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sawa\AppData\Local\Microsoft\Windows\INetCache\Content.Outlook\WIEJA2HG\"/>
    </mc:Choice>
  </mc:AlternateContent>
  <xr:revisionPtr revIDLastSave="0" documentId="8_{B5C6D35A-2014-4C4E-B433-FAF46BA6B7A8}" xr6:coauthVersionLast="47" xr6:coauthVersionMax="47" xr10:uidLastSave="{00000000-0000-0000-0000-000000000000}"/>
  <bookViews>
    <workbookView xWindow="-110" yWindow="-110" windowWidth="19420" windowHeight="12300" xr2:uid="{00000000-000D-0000-FFFF-FFFF00000000}"/>
  </bookViews>
  <sheets>
    <sheet name="管理表" sheetId="1" r:id="rId1"/>
    <sheet name="履歴" sheetId="2" r:id="rId2"/>
    <sheet name="集計" sheetId="3" r:id="rId3"/>
    <sheet name="入社予定" sheetId="4" r:id="rId4"/>
    <sheet name="リーダー・副" sheetId="5" r:id="rId5"/>
    <sheet name="帰国・退職予定" sheetId="6" r:id="rId6"/>
    <sheet name="連絡事項" sheetId="7" r:id="rId7"/>
    <sheet name="本社" sheetId="8" r:id="rId8"/>
    <sheet name="津吉" sheetId="9" r:id="rId9"/>
    <sheet name="小栗部屋(アトム)" sheetId="10" r:id="rId10"/>
    <sheet name="津吉部屋(コーポ津吉)" sheetId="11" r:id="rId11"/>
    <sheet name="津吉部屋(ビレッジ)" sheetId="12" r:id="rId12"/>
    <sheet name="中野①" sheetId="13" r:id="rId13"/>
    <sheet name="中野②" sheetId="14" r:id="rId14"/>
    <sheet name="中野③" sheetId="15" r:id="rId15"/>
    <sheet name="牛渕170-3" sheetId="16" r:id="rId16"/>
    <sheet name="牛渕123-1" sheetId="17" r:id="rId17"/>
    <sheet name="西条寮" sheetId="18" r:id="rId18"/>
    <sheet name="待機自転車" sheetId="19" r:id="rId19"/>
    <sheet name="H&amp;Cビレッジ" sheetId="20" r:id="rId20"/>
    <sheet name="推移表" sheetId="21" r:id="rId21"/>
    <sheet name="推移表２" sheetId="22" r:id="rId22"/>
    <sheet name="資格管理表" sheetId="23" r:id="rId23"/>
    <sheet name="購入明細" sheetId="24" r:id="rId24"/>
    <sheet name="３６協定" sheetId="25" r:id="rId25"/>
    <sheet name="連絡網" sheetId="26" r:id="rId26"/>
    <sheet name="スケジュール" sheetId="27" r:id="rId27"/>
  </sheets>
  <definedNames>
    <definedName name="_xlnm._FilterDatabase" localSheetId="5" hidden="1">帰国・退職予定!$B$1:$AQ$7</definedName>
    <definedName name="_xlnm._FilterDatabase" localSheetId="18" hidden="1">待機自転車!$H$15:$H$50</definedName>
    <definedName name="Z_7FDFF5FD_1FC0_4676_8B5D_935BD4CD1CCA_.wvu.FilterData" localSheetId="0" hidden="1">管理表!$A$1:$AP$163</definedName>
  </definedNames>
  <calcPr calcId="191029"/>
  <customWorkbookViews>
    <customWorkbookView name="フィルタ 1" guid="{7FDFF5FD-1FC0-4676-8B5D-935BD4CD1CC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2" l="1"/>
  <c r="C4" i="22"/>
  <c r="B4" i="22"/>
  <c r="E3" i="22"/>
  <c r="D3" i="22"/>
  <c r="C3" i="22"/>
  <c r="B3" i="22"/>
  <c r="Y45" i="21"/>
  <c r="X45" i="21"/>
  <c r="W45" i="21"/>
  <c r="V45" i="21"/>
  <c r="U45" i="21"/>
  <c r="T45" i="21"/>
  <c r="R45" i="21"/>
  <c r="Q45" i="21"/>
  <c r="P45" i="21"/>
  <c r="O45" i="21"/>
  <c r="N45" i="21"/>
  <c r="M45" i="21"/>
  <c r="F45" i="21"/>
  <c r="E45" i="21"/>
  <c r="C45" i="21"/>
  <c r="B45" i="21"/>
  <c r="Z44" i="21"/>
  <c r="S44" i="21"/>
  <c r="G44" i="21"/>
  <c r="D44" i="21"/>
  <c r="Z43" i="21"/>
  <c r="S43" i="21"/>
  <c r="G43" i="21"/>
  <c r="D43" i="21"/>
  <c r="Z42" i="21"/>
  <c r="S42" i="21"/>
  <c r="G42" i="21"/>
  <c r="D42" i="21"/>
  <c r="Z41" i="21"/>
  <c r="S41" i="21"/>
  <c r="G41" i="21"/>
  <c r="D41" i="21"/>
  <c r="Z40" i="21"/>
  <c r="S40" i="21"/>
  <c r="G40" i="21"/>
  <c r="D40" i="21"/>
  <c r="Z39" i="21"/>
  <c r="S39" i="21"/>
  <c r="G39" i="21"/>
  <c r="D39" i="21"/>
  <c r="Z38" i="21"/>
  <c r="S38" i="21"/>
  <c r="G38" i="21"/>
  <c r="D38" i="21"/>
  <c r="Z37" i="21"/>
  <c r="S37" i="21"/>
  <c r="G37" i="21"/>
  <c r="D37" i="21"/>
  <c r="Z36" i="21"/>
  <c r="S36" i="21"/>
  <c r="G36" i="21"/>
  <c r="D36" i="21"/>
  <c r="Z35" i="21"/>
  <c r="S35" i="21"/>
  <c r="G35" i="21"/>
  <c r="D35" i="21"/>
  <c r="Z34" i="21"/>
  <c r="S34" i="21"/>
  <c r="G34" i="21"/>
  <c r="D34" i="21"/>
  <c r="Z33" i="21"/>
  <c r="S33" i="21"/>
  <c r="G33" i="21"/>
  <c r="D33" i="21"/>
  <c r="Z32" i="21"/>
  <c r="S32" i="21"/>
  <c r="G32" i="21"/>
  <c r="D32" i="21"/>
  <c r="Z31" i="21"/>
  <c r="S31" i="21"/>
  <c r="G31" i="21"/>
  <c r="D31" i="21"/>
  <c r="Z30" i="21"/>
  <c r="S30" i="21"/>
  <c r="G30" i="21"/>
  <c r="D30" i="21"/>
  <c r="Z29" i="21"/>
  <c r="S29" i="21"/>
  <c r="G29" i="21"/>
  <c r="D29" i="21"/>
  <c r="Z28" i="21"/>
  <c r="S28" i="21"/>
  <c r="G28" i="21"/>
  <c r="D28" i="21"/>
  <c r="Z27" i="21"/>
  <c r="S27" i="21"/>
  <c r="G27" i="21"/>
  <c r="D27" i="21"/>
  <c r="Z26" i="21"/>
  <c r="S26" i="21"/>
  <c r="G26" i="21"/>
  <c r="D26" i="21"/>
  <c r="Z25" i="21"/>
  <c r="S25" i="21"/>
  <c r="G25" i="21"/>
  <c r="D25" i="21"/>
  <c r="Z24" i="21"/>
  <c r="S24" i="21"/>
  <c r="G24" i="21"/>
  <c r="D24" i="21"/>
  <c r="Z23" i="21"/>
  <c r="S23" i="21"/>
  <c r="G23" i="21"/>
  <c r="D23" i="21"/>
  <c r="Z22" i="21"/>
  <c r="S22" i="21"/>
  <c r="G22" i="21"/>
  <c r="D22" i="21"/>
  <c r="Z21" i="21"/>
  <c r="S21" i="21"/>
  <c r="G21" i="21"/>
  <c r="D21" i="21"/>
  <c r="Z20" i="21"/>
  <c r="S20" i="21"/>
  <c r="G20" i="21"/>
  <c r="D20" i="21"/>
  <c r="Z19" i="21"/>
  <c r="S19" i="21"/>
  <c r="G19" i="21"/>
  <c r="D19" i="21"/>
  <c r="Z18" i="21"/>
  <c r="S18" i="21"/>
  <c r="G18" i="21"/>
  <c r="D18" i="21"/>
  <c r="Z17" i="21"/>
  <c r="S17" i="21"/>
  <c r="G17" i="21"/>
  <c r="D17" i="21"/>
  <c r="Z16" i="21"/>
  <c r="S16" i="21"/>
  <c r="G16" i="21"/>
  <c r="D16" i="21"/>
  <c r="D45" i="21" s="1"/>
  <c r="Z15" i="21"/>
  <c r="S15" i="21"/>
  <c r="G15" i="21"/>
  <c r="D15" i="21"/>
  <c r="Z14" i="21"/>
  <c r="S14" i="21"/>
  <c r="G14" i="21"/>
  <c r="D14" i="21"/>
  <c r="Z13" i="21"/>
  <c r="S13" i="21"/>
  <c r="S45" i="21" s="1"/>
  <c r="G13" i="21"/>
  <c r="D13" i="21"/>
  <c r="Z12" i="21"/>
  <c r="S12" i="21"/>
  <c r="G12" i="21"/>
  <c r="D12" i="21"/>
  <c r="Z11" i="21"/>
  <c r="Z45" i="21" s="1"/>
  <c r="S11" i="21"/>
  <c r="G11" i="21"/>
  <c r="G45" i="21" s="1"/>
  <c r="D11" i="21"/>
  <c r="Z10" i="21"/>
  <c r="S10" i="21"/>
  <c r="Z9" i="21"/>
  <c r="S9" i="21"/>
  <c r="Z8" i="21"/>
  <c r="S8" i="21"/>
  <c r="Z7" i="21"/>
  <c r="S7" i="21"/>
  <c r="Z6" i="21"/>
  <c r="S6" i="21"/>
  <c r="AF5" i="21"/>
  <c r="E4" i="22" s="1"/>
  <c r="AE5" i="21"/>
  <c r="AE6" i="21" s="1"/>
  <c r="AE7" i="21" s="1"/>
  <c r="AE8" i="21" s="1"/>
  <c r="AE9" i="21" s="1"/>
  <c r="AE10" i="21" s="1"/>
  <c r="AE11" i="21" s="1"/>
  <c r="AE12" i="21" s="1"/>
  <c r="AE13" i="21" s="1"/>
  <c r="AE14" i="21" s="1"/>
  <c r="AE15" i="21" s="1"/>
  <c r="AE16" i="21" s="1"/>
  <c r="AE17" i="21" s="1"/>
  <c r="AE18" i="21" s="1"/>
  <c r="AE19" i="21" s="1"/>
  <c r="AE20" i="21" s="1"/>
  <c r="AE21" i="21" s="1"/>
  <c r="AE22" i="21" s="1"/>
  <c r="AE23" i="21" s="1"/>
  <c r="AE24" i="21" s="1"/>
  <c r="AE25" i="21" s="1"/>
  <c r="AE26" i="21" s="1"/>
  <c r="AE27" i="21" s="1"/>
  <c r="AE28" i="21" s="1"/>
  <c r="AE29" i="21" s="1"/>
  <c r="AE30" i="21" s="1"/>
  <c r="AE31" i="21" s="1"/>
  <c r="AE32" i="21" s="1"/>
  <c r="AE33" i="21" s="1"/>
  <c r="AE34" i="21" s="1"/>
  <c r="AE35" i="21" s="1"/>
  <c r="AE36" i="21" s="1"/>
  <c r="AE37" i="21" s="1"/>
  <c r="AE38" i="21" s="1"/>
  <c r="AE39" i="21" s="1"/>
  <c r="AE40" i="21" s="1"/>
  <c r="AE41" i="21" s="1"/>
  <c r="AE42" i="21" s="1"/>
  <c r="AE43" i="21" s="1"/>
  <c r="AE44" i="21" s="1"/>
  <c r="AD5" i="21"/>
  <c r="AD6" i="21" s="1"/>
  <c r="AD7" i="21" s="1"/>
  <c r="AD8" i="21" s="1"/>
  <c r="AD9" i="21" s="1"/>
  <c r="AD10" i="21" s="1"/>
  <c r="AD11" i="21" s="1"/>
  <c r="AD12" i="21" s="1"/>
  <c r="AD13" i="21" s="1"/>
  <c r="AD14" i="21" s="1"/>
  <c r="AD15" i="21" s="1"/>
  <c r="AD16" i="21" s="1"/>
  <c r="AD17" i="21" s="1"/>
  <c r="AD18" i="21" s="1"/>
  <c r="AD19" i="21" s="1"/>
  <c r="AD20" i="21" s="1"/>
  <c r="AD21" i="21" s="1"/>
  <c r="AD22" i="21" s="1"/>
  <c r="AD23" i="21" s="1"/>
  <c r="AD24" i="21" s="1"/>
  <c r="AD25" i="21" s="1"/>
  <c r="AD26" i="21" s="1"/>
  <c r="AD27" i="21" s="1"/>
  <c r="AD28" i="21" s="1"/>
  <c r="AD29" i="21" s="1"/>
  <c r="AD30" i="21" s="1"/>
  <c r="AD31" i="21" s="1"/>
  <c r="AD32" i="21" s="1"/>
  <c r="AD33" i="21" s="1"/>
  <c r="AD34" i="21" s="1"/>
  <c r="AD35" i="21" s="1"/>
  <c r="AD36" i="21" s="1"/>
  <c r="AD37" i="21" s="1"/>
  <c r="AD38" i="21" s="1"/>
  <c r="AD39" i="21" s="1"/>
  <c r="AD40" i="21" s="1"/>
  <c r="AD41" i="21" s="1"/>
  <c r="AD42" i="21" s="1"/>
  <c r="AD43" i="21" s="1"/>
  <c r="AD44" i="21" s="1"/>
  <c r="AC5" i="21"/>
  <c r="AC6" i="21" s="1"/>
  <c r="AB5" i="21"/>
  <c r="AB6" i="21" s="1"/>
  <c r="AB7" i="21" s="1"/>
  <c r="AB8" i="21" s="1"/>
  <c r="AB9" i="21" s="1"/>
  <c r="AB10" i="21" s="1"/>
  <c r="AB11" i="21" s="1"/>
  <c r="AB12" i="21" s="1"/>
  <c r="AB13" i="21" s="1"/>
  <c r="AB14" i="21" s="1"/>
  <c r="AB15" i="21" s="1"/>
  <c r="AB16" i="21" s="1"/>
  <c r="AB17" i="21" s="1"/>
  <c r="AB18" i="21" s="1"/>
  <c r="AB19" i="21" s="1"/>
  <c r="AB20" i="21" s="1"/>
  <c r="AB21" i="21" s="1"/>
  <c r="AB22" i="21" s="1"/>
  <c r="AB23" i="21" s="1"/>
  <c r="AB24" i="21" s="1"/>
  <c r="AB25" i="21" s="1"/>
  <c r="AB26" i="21" s="1"/>
  <c r="AB27" i="21" s="1"/>
  <c r="AB28" i="21" s="1"/>
  <c r="AB29" i="21" s="1"/>
  <c r="AB30" i="21" s="1"/>
  <c r="AB31" i="21" s="1"/>
  <c r="AB32" i="21" s="1"/>
  <c r="AB33" i="21" s="1"/>
  <c r="AB34" i="21" s="1"/>
  <c r="AB35" i="21" s="1"/>
  <c r="AB36" i="21" s="1"/>
  <c r="AB37" i="21" s="1"/>
  <c r="AB38" i="21" s="1"/>
  <c r="AB39" i="21" s="1"/>
  <c r="AB40" i="21" s="1"/>
  <c r="AB41" i="21" s="1"/>
  <c r="AB42" i="21" s="1"/>
  <c r="AB43" i="21" s="1"/>
  <c r="AB44" i="21" s="1"/>
  <c r="AA5" i="21"/>
  <c r="AG5" i="21" s="1"/>
  <c r="Z5" i="21"/>
  <c r="S5" i="21"/>
  <c r="I5" i="21"/>
  <c r="J5" i="21" s="1"/>
  <c r="H5" i="21"/>
  <c r="H6" i="21" s="1"/>
  <c r="AG4" i="21"/>
  <c r="Z4" i="21"/>
  <c r="S4" i="21"/>
  <c r="J4" i="21"/>
  <c r="L20" i="17"/>
  <c r="K20" i="17"/>
  <c r="J20" i="17"/>
  <c r="I20" i="17"/>
  <c r="H20" i="17"/>
  <c r="G20" i="17"/>
  <c r="F20" i="17"/>
  <c r="E20" i="17"/>
  <c r="D20" i="17"/>
  <c r="C20" i="17"/>
  <c r="B20" i="17"/>
  <c r="L19" i="17"/>
  <c r="K19" i="17"/>
  <c r="J19" i="17"/>
  <c r="I19" i="17"/>
  <c r="H19" i="17"/>
  <c r="G19" i="17"/>
  <c r="F19" i="17"/>
  <c r="E19" i="17"/>
  <c r="D19" i="17"/>
  <c r="C19" i="17"/>
  <c r="B19" i="17"/>
  <c r="L15" i="17"/>
  <c r="K15" i="17"/>
  <c r="J15" i="17"/>
  <c r="I15" i="17"/>
  <c r="H15" i="17"/>
  <c r="G15" i="17"/>
  <c r="F15" i="17"/>
  <c r="E15" i="17"/>
  <c r="D15" i="17"/>
  <c r="C15" i="17"/>
  <c r="B15" i="17"/>
  <c r="L11" i="17"/>
  <c r="K11" i="17"/>
  <c r="J11" i="17"/>
  <c r="I11" i="17"/>
  <c r="H11" i="17"/>
  <c r="G11" i="17"/>
  <c r="F11" i="17"/>
  <c r="E11" i="17"/>
  <c r="D11" i="17"/>
  <c r="C11" i="17"/>
  <c r="B11" i="17"/>
  <c r="B9" i="17"/>
  <c r="B6" i="17"/>
  <c r="L4" i="17"/>
  <c r="K4" i="17"/>
  <c r="J4" i="17"/>
  <c r="I4" i="17"/>
  <c r="H4" i="17"/>
  <c r="G4" i="17"/>
  <c r="F4" i="17"/>
  <c r="E4" i="17"/>
  <c r="D4" i="17"/>
  <c r="C4" i="17"/>
  <c r="K1" i="17" s="1"/>
  <c r="B4" i="17"/>
  <c r="L3" i="17"/>
  <c r="K3" i="17"/>
  <c r="J3" i="17"/>
  <c r="I3" i="17"/>
  <c r="H3" i="17"/>
  <c r="G3" i="17"/>
  <c r="F3" i="17"/>
  <c r="E3" i="17"/>
  <c r="D3" i="17"/>
  <c r="C3" i="17"/>
  <c r="B3" i="17"/>
  <c r="L31" i="16"/>
  <c r="K31" i="16"/>
  <c r="J31" i="16"/>
  <c r="I31" i="16"/>
  <c r="H31" i="16"/>
  <c r="G31" i="16"/>
  <c r="F31" i="16"/>
  <c r="E31" i="16"/>
  <c r="D31" i="16"/>
  <c r="C31" i="16"/>
  <c r="B31" i="16"/>
  <c r="L30" i="16"/>
  <c r="K30" i="16"/>
  <c r="J30" i="16"/>
  <c r="I30" i="16"/>
  <c r="H30" i="16"/>
  <c r="G30" i="16"/>
  <c r="F30" i="16"/>
  <c r="E30" i="16"/>
  <c r="D30" i="16"/>
  <c r="C30" i="16"/>
  <c r="B30" i="16"/>
  <c r="L28" i="16"/>
  <c r="K28" i="16"/>
  <c r="J28" i="16"/>
  <c r="I28" i="16"/>
  <c r="H28" i="16"/>
  <c r="G28" i="16"/>
  <c r="F28" i="16"/>
  <c r="E28" i="16"/>
  <c r="D28" i="16"/>
  <c r="C28" i="16"/>
  <c r="K1" i="16" s="1"/>
  <c r="B28" i="16"/>
  <c r="B26" i="16"/>
  <c r="B23" i="16"/>
  <c r="B15" i="16"/>
  <c r="B13" i="16"/>
  <c r="B6" i="16"/>
  <c r="B4" i="16"/>
  <c r="L3" i="16"/>
  <c r="K3" i="16"/>
  <c r="J3" i="16"/>
  <c r="I3" i="16"/>
  <c r="H3" i="16"/>
  <c r="G3" i="16"/>
  <c r="F3" i="16"/>
  <c r="E3" i="16"/>
  <c r="D3" i="16"/>
  <c r="C3" i="16"/>
  <c r="B3" i="16"/>
  <c r="B22" i="15"/>
  <c r="B21" i="15"/>
  <c r="B20" i="15"/>
  <c r="B19" i="15"/>
  <c r="B4" i="15"/>
  <c r="L3" i="15"/>
  <c r="K3" i="15"/>
  <c r="J3" i="15"/>
  <c r="I3" i="15"/>
  <c r="H3" i="15"/>
  <c r="G3" i="15"/>
  <c r="F3" i="15"/>
  <c r="E3" i="15"/>
  <c r="D3" i="15"/>
  <c r="C3" i="15"/>
  <c r="B3" i="15"/>
  <c r="K1" i="15"/>
  <c r="B22" i="14"/>
  <c r="B21" i="14"/>
  <c r="B20" i="14"/>
  <c r="B19" i="14"/>
  <c r="B4" i="14"/>
  <c r="L3" i="14"/>
  <c r="K3" i="14"/>
  <c r="J3" i="14"/>
  <c r="I3" i="14"/>
  <c r="H3" i="14"/>
  <c r="G3" i="14"/>
  <c r="F3" i="14"/>
  <c r="E3" i="14"/>
  <c r="D3" i="14"/>
  <c r="C3" i="14"/>
  <c r="B3" i="14"/>
  <c r="K1" i="14"/>
  <c r="B22" i="13"/>
  <c r="B21" i="13"/>
  <c r="B20" i="13"/>
  <c r="B19" i="13"/>
  <c r="B4" i="13"/>
  <c r="L3" i="13"/>
  <c r="K3" i="13"/>
  <c r="J3" i="13"/>
  <c r="I3" i="13"/>
  <c r="H3" i="13"/>
  <c r="G3" i="13"/>
  <c r="F3" i="13"/>
  <c r="E3" i="13"/>
  <c r="D3" i="13"/>
  <c r="C3" i="13"/>
  <c r="B3" i="13"/>
  <c r="K1" i="13"/>
  <c r="B64" i="12"/>
  <c r="L63" i="12"/>
  <c r="K63" i="12"/>
  <c r="J63" i="12"/>
  <c r="I63" i="12"/>
  <c r="H63" i="12"/>
  <c r="G63" i="12"/>
  <c r="F63" i="12"/>
  <c r="E63" i="12"/>
  <c r="D63" i="12"/>
  <c r="C63" i="12"/>
  <c r="B63" i="12"/>
  <c r="L62" i="12"/>
  <c r="K62" i="12"/>
  <c r="J62" i="12"/>
  <c r="I62" i="12"/>
  <c r="H62" i="12"/>
  <c r="G62" i="12"/>
  <c r="F62" i="12"/>
  <c r="E62" i="12"/>
  <c r="D62" i="12"/>
  <c r="C62" i="12"/>
  <c r="B62" i="12"/>
  <c r="L61" i="12"/>
  <c r="K61" i="12"/>
  <c r="J61" i="12"/>
  <c r="I61" i="12"/>
  <c r="H61" i="12"/>
  <c r="G61" i="12"/>
  <c r="F61" i="12"/>
  <c r="E61" i="12"/>
  <c r="D61" i="12"/>
  <c r="C61" i="12"/>
  <c r="B61" i="12"/>
  <c r="L59" i="12"/>
  <c r="K59" i="12"/>
  <c r="J59" i="12"/>
  <c r="I59" i="12"/>
  <c r="H59" i="12"/>
  <c r="G59" i="12"/>
  <c r="F59" i="12"/>
  <c r="E59" i="12"/>
  <c r="D59" i="12"/>
  <c r="C59" i="12"/>
  <c r="B59" i="12"/>
  <c r="L58" i="12"/>
  <c r="K58" i="12"/>
  <c r="J58" i="12"/>
  <c r="I58" i="12"/>
  <c r="H58" i="12"/>
  <c r="G58" i="12"/>
  <c r="F58" i="12"/>
  <c r="E58" i="12"/>
  <c r="D58" i="12"/>
  <c r="C58" i="12"/>
  <c r="B58" i="12"/>
  <c r="L57" i="12"/>
  <c r="K57" i="12"/>
  <c r="J57" i="12"/>
  <c r="I57" i="12"/>
  <c r="H57" i="12"/>
  <c r="G57" i="12"/>
  <c r="F57" i="12"/>
  <c r="E57" i="12"/>
  <c r="D57" i="12"/>
  <c r="C57" i="12"/>
  <c r="B57" i="12"/>
  <c r="L56" i="12"/>
  <c r="K56" i="12"/>
  <c r="J56" i="12"/>
  <c r="I56" i="12"/>
  <c r="H56" i="12"/>
  <c r="G56" i="12"/>
  <c r="F56" i="12"/>
  <c r="E56" i="12"/>
  <c r="D56" i="12"/>
  <c r="C56" i="12"/>
  <c r="B56" i="12"/>
  <c r="L55" i="12"/>
  <c r="K55" i="12"/>
  <c r="J55" i="12"/>
  <c r="I55" i="12"/>
  <c r="H55" i="12"/>
  <c r="G55" i="12"/>
  <c r="F55" i="12"/>
  <c r="E55" i="12"/>
  <c r="D55" i="12"/>
  <c r="C55" i="12"/>
  <c r="B55" i="12"/>
  <c r="L54" i="12"/>
  <c r="K54" i="12"/>
  <c r="J54" i="12"/>
  <c r="I54" i="12"/>
  <c r="H54" i="12"/>
  <c r="G54" i="12"/>
  <c r="F54" i="12"/>
  <c r="E54" i="12"/>
  <c r="D54" i="12"/>
  <c r="C54" i="12"/>
  <c r="B54" i="12"/>
  <c r="L53" i="12"/>
  <c r="K53" i="12"/>
  <c r="J53" i="12"/>
  <c r="I53" i="12"/>
  <c r="H53" i="12"/>
  <c r="G53" i="12"/>
  <c r="F53" i="12"/>
  <c r="E53" i="12"/>
  <c r="D53" i="12"/>
  <c r="C53" i="12"/>
  <c r="B53" i="12"/>
  <c r="L52" i="12"/>
  <c r="K52" i="12"/>
  <c r="J52" i="12"/>
  <c r="I52" i="12"/>
  <c r="H52" i="12"/>
  <c r="G52" i="12"/>
  <c r="F52" i="12"/>
  <c r="E52" i="12"/>
  <c r="D52" i="12"/>
  <c r="C52" i="12"/>
  <c r="B52" i="12"/>
  <c r="L50" i="12"/>
  <c r="K50" i="12"/>
  <c r="J50" i="12"/>
  <c r="I50" i="12"/>
  <c r="H50" i="12"/>
  <c r="G50" i="12"/>
  <c r="F50" i="12"/>
  <c r="E50" i="12"/>
  <c r="D50" i="12"/>
  <c r="C50" i="12"/>
  <c r="B50" i="12"/>
  <c r="L49" i="12"/>
  <c r="K49" i="12"/>
  <c r="J49" i="12"/>
  <c r="I49" i="12"/>
  <c r="H49" i="12"/>
  <c r="G49" i="12"/>
  <c r="F49" i="12"/>
  <c r="E49" i="12"/>
  <c r="D49" i="12"/>
  <c r="C49" i="12"/>
  <c r="B49" i="12"/>
  <c r="L48" i="12"/>
  <c r="K48" i="12"/>
  <c r="J48" i="12"/>
  <c r="I48" i="12"/>
  <c r="H48" i="12"/>
  <c r="G48" i="12"/>
  <c r="F48" i="12"/>
  <c r="E48" i="12"/>
  <c r="D48" i="12"/>
  <c r="C48" i="12"/>
  <c r="B48" i="12"/>
  <c r="L47" i="12"/>
  <c r="K47" i="12"/>
  <c r="J47" i="12"/>
  <c r="I47" i="12"/>
  <c r="H47" i="12"/>
  <c r="G47" i="12"/>
  <c r="F47" i="12"/>
  <c r="E47" i="12"/>
  <c r="D47" i="12"/>
  <c r="C47" i="12"/>
  <c r="B47" i="12"/>
  <c r="L46" i="12"/>
  <c r="K46" i="12"/>
  <c r="J46" i="12"/>
  <c r="I46" i="12"/>
  <c r="H46" i="12"/>
  <c r="G46" i="12"/>
  <c r="F46" i="12"/>
  <c r="E46" i="12"/>
  <c r="D46" i="12"/>
  <c r="C46" i="12"/>
  <c r="B46" i="12"/>
  <c r="L45" i="12"/>
  <c r="K45" i="12"/>
  <c r="J45" i="12"/>
  <c r="I45" i="12"/>
  <c r="H45" i="12"/>
  <c r="G45" i="12"/>
  <c r="F45" i="12"/>
  <c r="E45" i="12"/>
  <c r="D45" i="12"/>
  <c r="C45" i="12"/>
  <c r="B45" i="12"/>
  <c r="L44" i="12"/>
  <c r="K44" i="12"/>
  <c r="J44" i="12"/>
  <c r="I44" i="12"/>
  <c r="H44" i="12"/>
  <c r="G44" i="12"/>
  <c r="F44" i="12"/>
  <c r="E44" i="12"/>
  <c r="D44" i="12"/>
  <c r="C44" i="12"/>
  <c r="B44" i="12"/>
  <c r="L43" i="12"/>
  <c r="K43" i="12"/>
  <c r="J43" i="12"/>
  <c r="I43" i="12"/>
  <c r="H43" i="12"/>
  <c r="G43" i="12"/>
  <c r="F43" i="12"/>
  <c r="E43" i="12"/>
  <c r="D43" i="12"/>
  <c r="C43" i="12"/>
  <c r="B43" i="12"/>
  <c r="L42" i="12"/>
  <c r="K42" i="12"/>
  <c r="J42" i="12"/>
  <c r="I42" i="12"/>
  <c r="H42" i="12"/>
  <c r="G42" i="12"/>
  <c r="F42" i="12"/>
  <c r="E42" i="12"/>
  <c r="D42" i="12"/>
  <c r="C42" i="12"/>
  <c r="B42" i="12"/>
  <c r="L41" i="12"/>
  <c r="K41" i="12"/>
  <c r="J41" i="12"/>
  <c r="I41" i="12"/>
  <c r="H41" i="12"/>
  <c r="G41" i="12"/>
  <c r="F41" i="12"/>
  <c r="E41" i="12"/>
  <c r="D41" i="12"/>
  <c r="C41" i="12"/>
  <c r="B41" i="12"/>
  <c r="L40" i="12"/>
  <c r="K40" i="12"/>
  <c r="J40" i="12"/>
  <c r="I40" i="12"/>
  <c r="H40" i="12"/>
  <c r="G40" i="12"/>
  <c r="F40" i="12"/>
  <c r="E40" i="12"/>
  <c r="D40" i="12"/>
  <c r="C40" i="12"/>
  <c r="B40" i="12"/>
  <c r="L39" i="12"/>
  <c r="K39" i="12"/>
  <c r="J39" i="12"/>
  <c r="I39" i="12"/>
  <c r="H39" i="12"/>
  <c r="G39" i="12"/>
  <c r="F39" i="12"/>
  <c r="E39" i="12"/>
  <c r="D39" i="12"/>
  <c r="C39" i="12"/>
  <c r="B39" i="12"/>
  <c r="L38" i="12"/>
  <c r="K38" i="12"/>
  <c r="J38" i="12"/>
  <c r="I38" i="12"/>
  <c r="H38" i="12"/>
  <c r="G38" i="12"/>
  <c r="F38" i="12"/>
  <c r="E38" i="12"/>
  <c r="D38" i="12"/>
  <c r="C38" i="12"/>
  <c r="B38" i="12"/>
  <c r="L37" i="12"/>
  <c r="K37" i="12"/>
  <c r="J37" i="12"/>
  <c r="I37" i="12"/>
  <c r="H37" i="12"/>
  <c r="G37" i="12"/>
  <c r="F37" i="12"/>
  <c r="E37" i="12"/>
  <c r="D37" i="12"/>
  <c r="C37" i="12"/>
  <c r="B37" i="12"/>
  <c r="L36" i="12"/>
  <c r="K36" i="12"/>
  <c r="J36" i="12"/>
  <c r="I36" i="12"/>
  <c r="H36" i="12"/>
  <c r="G36" i="12"/>
  <c r="F36" i="12"/>
  <c r="E36" i="12"/>
  <c r="D36" i="12"/>
  <c r="C36" i="12"/>
  <c r="B36" i="12"/>
  <c r="L35" i="12"/>
  <c r="K35" i="12"/>
  <c r="J35" i="12"/>
  <c r="I35" i="12"/>
  <c r="H35" i="12"/>
  <c r="G35" i="12"/>
  <c r="F35" i="12"/>
  <c r="E35" i="12"/>
  <c r="D35" i="12"/>
  <c r="C35" i="12"/>
  <c r="B35" i="12"/>
  <c r="L34" i="12"/>
  <c r="K34" i="12"/>
  <c r="J34" i="12"/>
  <c r="I34" i="12"/>
  <c r="H34" i="12"/>
  <c r="G34" i="12"/>
  <c r="F34" i="12"/>
  <c r="E34" i="12"/>
  <c r="D34" i="12"/>
  <c r="C34" i="12"/>
  <c r="B34" i="12"/>
  <c r="L33" i="12"/>
  <c r="K33" i="12"/>
  <c r="J33" i="12"/>
  <c r="I33" i="12"/>
  <c r="H33" i="12"/>
  <c r="G33" i="12"/>
  <c r="F33" i="12"/>
  <c r="E33" i="12"/>
  <c r="D33" i="12"/>
  <c r="C33" i="12"/>
  <c r="B33" i="12"/>
  <c r="L32" i="12"/>
  <c r="K32" i="12"/>
  <c r="J32" i="12"/>
  <c r="I32" i="12"/>
  <c r="H32" i="12"/>
  <c r="G32" i="12"/>
  <c r="F32" i="12"/>
  <c r="E32" i="12"/>
  <c r="D32" i="12"/>
  <c r="C32" i="12"/>
  <c r="B32" i="12"/>
  <c r="L31" i="12"/>
  <c r="K31" i="12"/>
  <c r="J31" i="12"/>
  <c r="I31" i="12"/>
  <c r="H31" i="12"/>
  <c r="G31" i="12"/>
  <c r="F31" i="12"/>
  <c r="E31" i="12"/>
  <c r="D31" i="12"/>
  <c r="C31" i="12"/>
  <c r="B31" i="12"/>
  <c r="L29" i="12"/>
  <c r="K29" i="12"/>
  <c r="J29" i="12"/>
  <c r="I29" i="12"/>
  <c r="H29" i="12"/>
  <c r="G29" i="12"/>
  <c r="F29" i="12"/>
  <c r="E29" i="12"/>
  <c r="D29" i="12"/>
  <c r="C29" i="12"/>
  <c r="B29" i="12"/>
  <c r="L28" i="12"/>
  <c r="K28" i="12"/>
  <c r="J28" i="12"/>
  <c r="I28" i="12"/>
  <c r="H28" i="12"/>
  <c r="G28" i="12"/>
  <c r="F28" i="12"/>
  <c r="E28" i="12"/>
  <c r="D28" i="12"/>
  <c r="C28" i="12"/>
  <c r="B28" i="12"/>
  <c r="L26" i="12"/>
  <c r="K26" i="12"/>
  <c r="J26" i="12"/>
  <c r="I26" i="12"/>
  <c r="H26" i="12"/>
  <c r="G26" i="12"/>
  <c r="F26" i="12"/>
  <c r="E26" i="12"/>
  <c r="D26" i="12"/>
  <c r="C26" i="12"/>
  <c r="B26" i="12"/>
  <c r="L25" i="12"/>
  <c r="K25" i="12"/>
  <c r="J25" i="12"/>
  <c r="I25" i="12"/>
  <c r="H25" i="12"/>
  <c r="G25" i="12"/>
  <c r="F25" i="12"/>
  <c r="E25" i="12"/>
  <c r="D25" i="12"/>
  <c r="C25" i="12"/>
  <c r="B25" i="12"/>
  <c r="B22" i="12"/>
  <c r="L20" i="12"/>
  <c r="K20" i="12"/>
  <c r="J20" i="12"/>
  <c r="I20" i="12"/>
  <c r="H20" i="12"/>
  <c r="G20" i="12"/>
  <c r="F20" i="12"/>
  <c r="E20" i="12"/>
  <c r="D20" i="12"/>
  <c r="C20" i="12"/>
  <c r="B20" i="12"/>
  <c r="L19" i="12"/>
  <c r="K19" i="12"/>
  <c r="J19" i="12"/>
  <c r="I19" i="12"/>
  <c r="H19" i="12"/>
  <c r="G19" i="12"/>
  <c r="F19" i="12"/>
  <c r="E19" i="12"/>
  <c r="D19" i="12"/>
  <c r="C19" i="12"/>
  <c r="B19" i="12"/>
  <c r="L17" i="12"/>
  <c r="K17" i="12"/>
  <c r="J17" i="12"/>
  <c r="I17" i="12"/>
  <c r="H17" i="12"/>
  <c r="G17" i="12"/>
  <c r="F17" i="12"/>
  <c r="E17" i="12"/>
  <c r="D17" i="12"/>
  <c r="C17" i="12"/>
  <c r="B17" i="12"/>
  <c r="L16" i="12"/>
  <c r="K16" i="12"/>
  <c r="J16" i="12"/>
  <c r="I16" i="12"/>
  <c r="H16" i="12"/>
  <c r="G16" i="12"/>
  <c r="F16" i="12"/>
  <c r="E16" i="12"/>
  <c r="D16" i="12"/>
  <c r="C16" i="12"/>
  <c r="B16" i="12"/>
  <c r="L15" i="12"/>
  <c r="K15" i="12"/>
  <c r="J15" i="12"/>
  <c r="I15" i="12"/>
  <c r="H15" i="12"/>
  <c r="G15" i="12"/>
  <c r="F15" i="12"/>
  <c r="E15" i="12"/>
  <c r="D15" i="12"/>
  <c r="C15" i="12"/>
  <c r="B15" i="12"/>
  <c r="L14" i="12"/>
  <c r="K14" i="12"/>
  <c r="J14" i="12"/>
  <c r="I14" i="12"/>
  <c r="H14" i="12"/>
  <c r="G14" i="12"/>
  <c r="F14" i="12"/>
  <c r="E14" i="12"/>
  <c r="D14" i="12"/>
  <c r="C14" i="12"/>
  <c r="B14" i="12"/>
  <c r="L13" i="12"/>
  <c r="K13" i="12"/>
  <c r="J13" i="12"/>
  <c r="I13" i="12"/>
  <c r="H13" i="12"/>
  <c r="G13" i="12"/>
  <c r="F13" i="12"/>
  <c r="E13" i="12"/>
  <c r="D13" i="12"/>
  <c r="C13" i="12"/>
  <c r="B13" i="12"/>
  <c r="L12" i="12"/>
  <c r="K12" i="12"/>
  <c r="J12" i="12"/>
  <c r="I12" i="12"/>
  <c r="H12" i="12"/>
  <c r="G12" i="12"/>
  <c r="F12" i="12"/>
  <c r="E12" i="12"/>
  <c r="D12" i="12"/>
  <c r="C12" i="12"/>
  <c r="B12" i="12"/>
  <c r="L11" i="12"/>
  <c r="K11" i="12"/>
  <c r="J11" i="12"/>
  <c r="I11" i="12"/>
  <c r="H11" i="12"/>
  <c r="G11" i="12"/>
  <c r="F11" i="12"/>
  <c r="E11" i="12"/>
  <c r="D11" i="12"/>
  <c r="C11" i="12"/>
  <c r="B11" i="12"/>
  <c r="L10" i="12"/>
  <c r="K10" i="12"/>
  <c r="J10" i="12"/>
  <c r="I10" i="12"/>
  <c r="H10" i="12"/>
  <c r="G10" i="12"/>
  <c r="F10" i="12"/>
  <c r="E10" i="12"/>
  <c r="D10" i="12"/>
  <c r="C10" i="12"/>
  <c r="B10" i="12"/>
  <c r="L9" i="12"/>
  <c r="K9" i="12"/>
  <c r="J9" i="12"/>
  <c r="I9" i="12"/>
  <c r="H9" i="12"/>
  <c r="G9" i="12"/>
  <c r="F9" i="12"/>
  <c r="E9" i="12"/>
  <c r="D9" i="12"/>
  <c r="C9" i="12"/>
  <c r="B9" i="12"/>
  <c r="L8" i="12"/>
  <c r="K8" i="12"/>
  <c r="J8" i="12"/>
  <c r="I8" i="12"/>
  <c r="H8" i="12"/>
  <c r="G8" i="12"/>
  <c r="F8" i="12"/>
  <c r="E8" i="12"/>
  <c r="D8" i="12"/>
  <c r="C8" i="12"/>
  <c r="B8" i="12"/>
  <c r="L7" i="12"/>
  <c r="K7" i="12"/>
  <c r="J7" i="12"/>
  <c r="I7" i="12"/>
  <c r="H7" i="12"/>
  <c r="G7" i="12"/>
  <c r="F7" i="12"/>
  <c r="E7" i="12"/>
  <c r="D7" i="12"/>
  <c r="C7" i="12"/>
  <c r="B7" i="12"/>
  <c r="L6" i="12"/>
  <c r="K6" i="12"/>
  <c r="J6" i="12"/>
  <c r="I6" i="12"/>
  <c r="H6" i="12"/>
  <c r="G6" i="12"/>
  <c r="F6" i="12"/>
  <c r="E6" i="12"/>
  <c r="D6" i="12"/>
  <c r="C6" i="12"/>
  <c r="B6" i="12"/>
  <c r="L5" i="12"/>
  <c r="K5" i="12"/>
  <c r="J5" i="12"/>
  <c r="I5" i="12"/>
  <c r="H5" i="12"/>
  <c r="G5" i="12"/>
  <c r="F5" i="12"/>
  <c r="E5" i="12"/>
  <c r="D5" i="12"/>
  <c r="C5" i="12"/>
  <c r="B5" i="12"/>
  <c r="L4" i="12"/>
  <c r="K4" i="12"/>
  <c r="J4" i="12"/>
  <c r="I4" i="12"/>
  <c r="H4" i="12"/>
  <c r="G4" i="12"/>
  <c r="F4" i="12"/>
  <c r="E4" i="12"/>
  <c r="D4" i="12"/>
  <c r="C4" i="12"/>
  <c r="B4" i="12"/>
  <c r="L3" i="12"/>
  <c r="K3" i="12"/>
  <c r="J3" i="12"/>
  <c r="I3" i="12"/>
  <c r="H3" i="12"/>
  <c r="G3" i="12"/>
  <c r="F3" i="12"/>
  <c r="E3" i="12"/>
  <c r="D3" i="12"/>
  <c r="C3" i="12"/>
  <c r="B3" i="12"/>
  <c r="L18" i="11"/>
  <c r="K18" i="11"/>
  <c r="J18" i="11"/>
  <c r="I18" i="11"/>
  <c r="H18" i="11"/>
  <c r="G18" i="11"/>
  <c r="F18" i="11"/>
  <c r="E18" i="11"/>
  <c r="D18" i="11"/>
  <c r="C18" i="11"/>
  <c r="B18" i="11"/>
  <c r="L17" i="11"/>
  <c r="K17" i="11"/>
  <c r="J17" i="11"/>
  <c r="I17" i="11"/>
  <c r="H17" i="11"/>
  <c r="G17" i="11"/>
  <c r="F17" i="11"/>
  <c r="E17" i="11"/>
  <c r="D17" i="11"/>
  <c r="C17" i="11"/>
  <c r="B17" i="11"/>
  <c r="L16" i="11"/>
  <c r="K16" i="11"/>
  <c r="J16" i="11"/>
  <c r="I16" i="11"/>
  <c r="H16" i="11"/>
  <c r="G16" i="11"/>
  <c r="F16" i="11"/>
  <c r="E16" i="11"/>
  <c r="D16" i="11"/>
  <c r="C16" i="11"/>
  <c r="B16" i="11"/>
  <c r="L12" i="11"/>
  <c r="K12" i="11"/>
  <c r="J12" i="11"/>
  <c r="I12" i="11"/>
  <c r="H12" i="11"/>
  <c r="G12" i="11"/>
  <c r="F12" i="11"/>
  <c r="E12" i="11"/>
  <c r="D12" i="11"/>
  <c r="C12" i="11"/>
  <c r="B12" i="11"/>
  <c r="L11" i="11"/>
  <c r="K11" i="11"/>
  <c r="J11" i="11"/>
  <c r="I11" i="11"/>
  <c r="H11" i="11"/>
  <c r="G11" i="11"/>
  <c r="F11" i="11"/>
  <c r="E11" i="11"/>
  <c r="D11" i="11"/>
  <c r="C11" i="11"/>
  <c r="B11" i="11"/>
  <c r="L10" i="11"/>
  <c r="K10" i="11"/>
  <c r="J10" i="11"/>
  <c r="I10" i="11"/>
  <c r="H10" i="11"/>
  <c r="G10" i="11"/>
  <c r="F10" i="11"/>
  <c r="E10" i="11"/>
  <c r="D10" i="11"/>
  <c r="C10" i="11"/>
  <c r="B10" i="11"/>
  <c r="L5" i="11"/>
  <c r="K5" i="11"/>
  <c r="J5" i="11"/>
  <c r="I5" i="11"/>
  <c r="H5" i="11"/>
  <c r="G5" i="11"/>
  <c r="F5" i="11"/>
  <c r="E5" i="11"/>
  <c r="D5" i="11"/>
  <c r="C5" i="11"/>
  <c r="B5" i="11"/>
  <c r="L4" i="11"/>
  <c r="K4" i="11"/>
  <c r="J4" i="11"/>
  <c r="I4" i="11"/>
  <c r="H4" i="11"/>
  <c r="G4" i="11"/>
  <c r="F4" i="11"/>
  <c r="E4" i="11"/>
  <c r="D4" i="11"/>
  <c r="C4" i="11"/>
  <c r="B4" i="11"/>
  <c r="L3" i="11"/>
  <c r="K3" i="11"/>
  <c r="J3" i="11"/>
  <c r="I3" i="11"/>
  <c r="H3" i="11"/>
  <c r="G3" i="11"/>
  <c r="F3" i="11"/>
  <c r="E3" i="11"/>
  <c r="D3" i="11"/>
  <c r="C3" i="11"/>
  <c r="B3" i="11"/>
  <c r="L50" i="10"/>
  <c r="K50" i="10"/>
  <c r="J50" i="10"/>
  <c r="I50" i="10"/>
  <c r="H50" i="10"/>
  <c r="G50" i="10"/>
  <c r="F50" i="10"/>
  <c r="E50" i="10"/>
  <c r="D50" i="10"/>
  <c r="C50" i="10"/>
  <c r="B50" i="10"/>
  <c r="L46" i="10"/>
  <c r="K46" i="10"/>
  <c r="J46" i="10"/>
  <c r="I46" i="10"/>
  <c r="H46" i="10"/>
  <c r="G46" i="10"/>
  <c r="F46" i="10"/>
  <c r="E46" i="10"/>
  <c r="D46" i="10"/>
  <c r="C46" i="10"/>
  <c r="B46" i="10"/>
  <c r="L45" i="10"/>
  <c r="K45" i="10"/>
  <c r="J45" i="10"/>
  <c r="I45" i="10"/>
  <c r="H45" i="10"/>
  <c r="G45" i="10"/>
  <c r="F45" i="10"/>
  <c r="E45" i="10"/>
  <c r="D45" i="10"/>
  <c r="C45" i="10"/>
  <c r="B45" i="10"/>
  <c r="L44" i="10"/>
  <c r="K44" i="10"/>
  <c r="J44" i="10"/>
  <c r="I44" i="10"/>
  <c r="H44" i="10"/>
  <c r="G44" i="10"/>
  <c r="F44" i="10"/>
  <c r="E44" i="10"/>
  <c r="D44" i="10"/>
  <c r="C44" i="10"/>
  <c r="B44" i="10"/>
  <c r="L42" i="10"/>
  <c r="K42" i="10"/>
  <c r="J42" i="10"/>
  <c r="I42" i="10"/>
  <c r="H42" i="10"/>
  <c r="G42" i="10"/>
  <c r="F42" i="10"/>
  <c r="E42" i="10"/>
  <c r="D42" i="10"/>
  <c r="C42" i="10"/>
  <c r="B42" i="10"/>
  <c r="L41" i="10"/>
  <c r="K41" i="10"/>
  <c r="J41" i="10"/>
  <c r="I41" i="10"/>
  <c r="H41" i="10"/>
  <c r="G41" i="10"/>
  <c r="F41" i="10"/>
  <c r="E41" i="10"/>
  <c r="D41" i="10"/>
  <c r="C41" i="10"/>
  <c r="B41" i="10"/>
  <c r="L40" i="10"/>
  <c r="K40" i="10"/>
  <c r="J40" i="10"/>
  <c r="I40" i="10"/>
  <c r="H40" i="10"/>
  <c r="G40" i="10"/>
  <c r="F40" i="10"/>
  <c r="E40" i="10"/>
  <c r="D40" i="10"/>
  <c r="C40" i="10"/>
  <c r="B40" i="10"/>
  <c r="L39" i="10"/>
  <c r="K39" i="10"/>
  <c r="J39" i="10"/>
  <c r="I39" i="10"/>
  <c r="H39" i="10"/>
  <c r="G39" i="10"/>
  <c r="F39" i="10"/>
  <c r="E39" i="10"/>
  <c r="D39" i="10"/>
  <c r="C39" i="10"/>
  <c r="B39" i="10"/>
  <c r="L38" i="10"/>
  <c r="K38" i="10"/>
  <c r="J38" i="10"/>
  <c r="I38" i="10"/>
  <c r="H38" i="10"/>
  <c r="G38" i="10"/>
  <c r="F38" i="10"/>
  <c r="E38" i="10"/>
  <c r="D38" i="10"/>
  <c r="C38" i="10"/>
  <c r="B38" i="10"/>
  <c r="L37" i="10"/>
  <c r="K37" i="10"/>
  <c r="J37" i="10"/>
  <c r="I37" i="10"/>
  <c r="H37" i="10"/>
  <c r="G37" i="10"/>
  <c r="F37" i="10"/>
  <c r="E37" i="10"/>
  <c r="D37" i="10"/>
  <c r="C37" i="10"/>
  <c r="B37" i="10"/>
  <c r="L36" i="10"/>
  <c r="K36" i="10"/>
  <c r="J36" i="10"/>
  <c r="I36" i="10"/>
  <c r="H36" i="10"/>
  <c r="G36" i="10"/>
  <c r="F36" i="10"/>
  <c r="E36" i="10"/>
  <c r="D36" i="10"/>
  <c r="C36" i="10"/>
  <c r="B36" i="10"/>
  <c r="L35" i="10"/>
  <c r="K35" i="10"/>
  <c r="J35" i="10"/>
  <c r="I35" i="10"/>
  <c r="H35" i="10"/>
  <c r="G35" i="10"/>
  <c r="F35" i="10"/>
  <c r="E35" i="10"/>
  <c r="D35" i="10"/>
  <c r="C35" i="10"/>
  <c r="B35" i="10"/>
  <c r="L34" i="10"/>
  <c r="K34" i="10"/>
  <c r="J34" i="10"/>
  <c r="I34" i="10"/>
  <c r="H34" i="10"/>
  <c r="G34" i="10"/>
  <c r="F34" i="10"/>
  <c r="E34" i="10"/>
  <c r="D34" i="10"/>
  <c r="C34" i="10"/>
  <c r="B34" i="10"/>
  <c r="L32" i="10"/>
  <c r="K32" i="10"/>
  <c r="J32" i="10"/>
  <c r="I32" i="10"/>
  <c r="H32" i="10"/>
  <c r="G32" i="10"/>
  <c r="F32" i="10"/>
  <c r="E32" i="10"/>
  <c r="D32" i="10"/>
  <c r="C32" i="10"/>
  <c r="B32" i="10"/>
  <c r="L30" i="10"/>
  <c r="K30" i="10"/>
  <c r="J30" i="10"/>
  <c r="I30" i="10"/>
  <c r="H30" i="10"/>
  <c r="G30" i="10"/>
  <c r="F30" i="10"/>
  <c r="E30" i="10"/>
  <c r="D30" i="10"/>
  <c r="C30" i="10"/>
  <c r="B30" i="10"/>
  <c r="L29" i="10"/>
  <c r="K29" i="10"/>
  <c r="J29" i="10"/>
  <c r="I29" i="10"/>
  <c r="H29" i="10"/>
  <c r="G29" i="10"/>
  <c r="F29" i="10"/>
  <c r="E29" i="10"/>
  <c r="D29" i="10"/>
  <c r="C29" i="10"/>
  <c r="B29" i="10"/>
  <c r="L28" i="10"/>
  <c r="K28" i="10"/>
  <c r="J28" i="10"/>
  <c r="I28" i="10"/>
  <c r="H28" i="10"/>
  <c r="G28" i="10"/>
  <c r="F28" i="10"/>
  <c r="E28" i="10"/>
  <c r="D28" i="10"/>
  <c r="C28" i="10"/>
  <c r="B28" i="10"/>
  <c r="L26" i="10"/>
  <c r="K26" i="10"/>
  <c r="J26" i="10"/>
  <c r="I26" i="10"/>
  <c r="H26" i="10"/>
  <c r="G26" i="10"/>
  <c r="F26" i="10"/>
  <c r="E26" i="10"/>
  <c r="D26" i="10"/>
  <c r="C26" i="10"/>
  <c r="B26" i="10"/>
  <c r="L24" i="10"/>
  <c r="K24" i="10"/>
  <c r="J24" i="10"/>
  <c r="I24" i="10"/>
  <c r="H24" i="10"/>
  <c r="G24" i="10"/>
  <c r="F24" i="10"/>
  <c r="E24" i="10"/>
  <c r="D24" i="10"/>
  <c r="C24" i="10"/>
  <c r="B24" i="10"/>
  <c r="L23" i="10"/>
  <c r="K23" i="10"/>
  <c r="J23" i="10"/>
  <c r="I23" i="10"/>
  <c r="H23" i="10"/>
  <c r="G23" i="10"/>
  <c r="F23" i="10"/>
  <c r="E23" i="10"/>
  <c r="D23" i="10"/>
  <c r="C23" i="10"/>
  <c r="B23" i="10"/>
  <c r="L22" i="10"/>
  <c r="K22" i="10"/>
  <c r="J22" i="10"/>
  <c r="I22" i="10"/>
  <c r="H22" i="10"/>
  <c r="G22" i="10"/>
  <c r="F22" i="10"/>
  <c r="E22" i="10"/>
  <c r="D22" i="10"/>
  <c r="C22" i="10"/>
  <c r="B22" i="10"/>
  <c r="L20" i="10"/>
  <c r="K20" i="10"/>
  <c r="J20" i="10"/>
  <c r="I20" i="10"/>
  <c r="H20" i="10"/>
  <c r="G20" i="10"/>
  <c r="F20" i="10"/>
  <c r="E20" i="10"/>
  <c r="D20" i="10"/>
  <c r="C20" i="10"/>
  <c r="B20" i="10"/>
  <c r="L18" i="10"/>
  <c r="K18" i="10"/>
  <c r="J18" i="10"/>
  <c r="I18" i="10"/>
  <c r="H18" i="10"/>
  <c r="G18" i="10"/>
  <c r="F18" i="10"/>
  <c r="E18" i="10"/>
  <c r="D18" i="10"/>
  <c r="C18" i="10"/>
  <c r="B18" i="10"/>
  <c r="L16" i="10"/>
  <c r="K16" i="10"/>
  <c r="J16" i="10"/>
  <c r="I16" i="10"/>
  <c r="H16" i="10"/>
  <c r="G16" i="10"/>
  <c r="F16" i="10"/>
  <c r="E16" i="10"/>
  <c r="D16" i="10"/>
  <c r="C16" i="10"/>
  <c r="B16" i="10"/>
  <c r="L15" i="10"/>
  <c r="K15" i="10"/>
  <c r="J15" i="10"/>
  <c r="I15" i="10"/>
  <c r="H15" i="10"/>
  <c r="G15" i="10"/>
  <c r="F15" i="10"/>
  <c r="E15" i="10"/>
  <c r="D15" i="10"/>
  <c r="C15" i="10"/>
  <c r="B15" i="10"/>
  <c r="L14" i="10"/>
  <c r="K14" i="10"/>
  <c r="J14" i="10"/>
  <c r="I14" i="10"/>
  <c r="H14" i="10"/>
  <c r="G14" i="10"/>
  <c r="F14" i="10"/>
  <c r="E14" i="10"/>
  <c r="D14" i="10"/>
  <c r="C14" i="10"/>
  <c r="B14" i="10"/>
  <c r="L13" i="10"/>
  <c r="K13" i="10"/>
  <c r="J13" i="10"/>
  <c r="I13" i="10"/>
  <c r="H13" i="10"/>
  <c r="G13" i="10"/>
  <c r="F13" i="10"/>
  <c r="E13" i="10"/>
  <c r="D13" i="10"/>
  <c r="C13" i="10"/>
  <c r="B13" i="10"/>
  <c r="L12" i="10"/>
  <c r="K12" i="10"/>
  <c r="J12" i="10"/>
  <c r="I12" i="10"/>
  <c r="H12" i="10"/>
  <c r="G12" i="10"/>
  <c r="F12" i="10"/>
  <c r="E12" i="10"/>
  <c r="D12" i="10"/>
  <c r="C12" i="10"/>
  <c r="B12" i="10"/>
  <c r="L10" i="10"/>
  <c r="K10" i="10"/>
  <c r="J10" i="10"/>
  <c r="I10" i="10"/>
  <c r="H10" i="10"/>
  <c r="G10" i="10"/>
  <c r="F10" i="10"/>
  <c r="E10" i="10"/>
  <c r="D10" i="10"/>
  <c r="C10" i="10"/>
  <c r="B10" i="10"/>
  <c r="L9" i="10"/>
  <c r="K9" i="10"/>
  <c r="J9" i="10"/>
  <c r="I9" i="10"/>
  <c r="H9" i="10"/>
  <c r="G9" i="10"/>
  <c r="F9" i="10"/>
  <c r="E9" i="10"/>
  <c r="D9" i="10"/>
  <c r="C9" i="10"/>
  <c r="B9" i="10"/>
  <c r="L8" i="10"/>
  <c r="K8" i="10"/>
  <c r="J8" i="10"/>
  <c r="I8" i="10"/>
  <c r="H8" i="10"/>
  <c r="G8" i="10"/>
  <c r="F8" i="10"/>
  <c r="E8" i="10"/>
  <c r="D8" i="10"/>
  <c r="C8" i="10"/>
  <c r="B8" i="10"/>
  <c r="L7" i="10"/>
  <c r="K7" i="10"/>
  <c r="J7" i="10"/>
  <c r="I7" i="10"/>
  <c r="H7" i="10"/>
  <c r="G7" i="10"/>
  <c r="F7" i="10"/>
  <c r="E7" i="10"/>
  <c r="D7" i="10"/>
  <c r="C7" i="10"/>
  <c r="B7" i="10"/>
  <c r="L6" i="10"/>
  <c r="K6" i="10"/>
  <c r="J6" i="10"/>
  <c r="I6" i="10"/>
  <c r="H6" i="10"/>
  <c r="G6" i="10"/>
  <c r="F6" i="10"/>
  <c r="E6" i="10"/>
  <c r="D6" i="10"/>
  <c r="C6" i="10"/>
  <c r="B6" i="10"/>
  <c r="L3" i="10"/>
  <c r="K3" i="10"/>
  <c r="J3" i="10"/>
  <c r="I3" i="10"/>
  <c r="H3" i="10"/>
  <c r="G3" i="10"/>
  <c r="F3" i="10"/>
  <c r="E3" i="10"/>
  <c r="D3" i="10"/>
  <c r="C3" i="10"/>
  <c r="B3" i="10"/>
  <c r="AP112" i="9"/>
  <c r="U112" i="9"/>
  <c r="T112" i="9"/>
  <c r="S112" i="9"/>
  <c r="R112" i="9"/>
  <c r="Q112" i="9"/>
  <c r="O112" i="9"/>
  <c r="M112" i="9"/>
  <c r="L112" i="9"/>
  <c r="K112" i="9"/>
  <c r="J112" i="9"/>
  <c r="I112" i="9"/>
  <c r="H112" i="9"/>
  <c r="G112" i="9"/>
  <c r="E112" i="9"/>
  <c r="D112" i="9"/>
  <c r="C112" i="9"/>
  <c r="B112" i="9"/>
  <c r="AP111" i="9"/>
  <c r="U111" i="9"/>
  <c r="T111" i="9"/>
  <c r="S111" i="9"/>
  <c r="R111" i="9"/>
  <c r="Q111" i="9"/>
  <c r="O111" i="9"/>
  <c r="M111" i="9"/>
  <c r="L111" i="9"/>
  <c r="K111" i="9"/>
  <c r="J111" i="9"/>
  <c r="I111" i="9"/>
  <c r="H111" i="9"/>
  <c r="G111" i="9"/>
  <c r="E111" i="9"/>
  <c r="D111" i="9"/>
  <c r="C111" i="9"/>
  <c r="B111" i="9"/>
  <c r="AP110" i="9"/>
  <c r="Z110" i="9"/>
  <c r="S110" i="9"/>
  <c r="R110" i="9"/>
  <c r="Q110" i="9"/>
  <c r="O110" i="9"/>
  <c r="N110" i="9"/>
  <c r="M110" i="9"/>
  <c r="L110" i="9"/>
  <c r="K110" i="9"/>
  <c r="J110" i="9"/>
  <c r="H110" i="9"/>
  <c r="G110" i="9"/>
  <c r="E110" i="9"/>
  <c r="D110" i="9"/>
  <c r="C110" i="9"/>
  <c r="B110" i="9"/>
  <c r="AP109" i="9"/>
  <c r="Z109" i="9"/>
  <c r="T109" i="9"/>
  <c r="S109" i="9"/>
  <c r="R109" i="9"/>
  <c r="Q109" i="9"/>
  <c r="O109" i="9"/>
  <c r="N109" i="9"/>
  <c r="M109" i="9"/>
  <c r="L109" i="9"/>
  <c r="K109" i="9"/>
  <c r="J109" i="9"/>
  <c r="I109" i="9"/>
  <c r="H109" i="9"/>
  <c r="G109" i="9"/>
  <c r="E109" i="9"/>
  <c r="D109" i="9"/>
  <c r="C109" i="9"/>
  <c r="B109" i="9"/>
  <c r="AO108" i="9"/>
  <c r="AN108" i="9"/>
  <c r="AM108" i="9"/>
  <c r="AL108" i="9"/>
  <c r="Z108" i="9"/>
  <c r="Y108" i="9"/>
  <c r="W108" i="9"/>
  <c r="V108" i="9"/>
  <c r="U108" i="9"/>
  <c r="T108" i="9"/>
  <c r="S108" i="9"/>
  <c r="R108" i="9"/>
  <c r="Q108" i="9"/>
  <c r="O108" i="9"/>
  <c r="N108" i="9"/>
  <c r="M108" i="9"/>
  <c r="L108" i="9"/>
  <c r="K108" i="9"/>
  <c r="J108" i="9"/>
  <c r="H108" i="9"/>
  <c r="G108" i="9"/>
  <c r="F108" i="9"/>
  <c r="E108" i="9"/>
  <c r="D108" i="9"/>
  <c r="C108" i="9"/>
  <c r="B108" i="9"/>
  <c r="AO107" i="9"/>
  <c r="AN107" i="9"/>
  <c r="AM107" i="9"/>
  <c r="AL107" i="9"/>
  <c r="Z107" i="9"/>
  <c r="W107" i="9"/>
  <c r="V107" i="9"/>
  <c r="U107" i="9"/>
  <c r="T107" i="9"/>
  <c r="S107" i="9"/>
  <c r="R107" i="9"/>
  <c r="Q107" i="9"/>
  <c r="O107" i="9"/>
  <c r="N107" i="9"/>
  <c r="M107" i="9"/>
  <c r="L107" i="9"/>
  <c r="K107" i="9"/>
  <c r="J107" i="9"/>
  <c r="I107" i="9"/>
  <c r="H107" i="9"/>
  <c r="G107" i="9"/>
  <c r="F107" i="9"/>
  <c r="E107" i="9"/>
  <c r="D107" i="9"/>
  <c r="C107" i="9"/>
  <c r="B107" i="9"/>
  <c r="AP106" i="9"/>
  <c r="AO106" i="9"/>
  <c r="AN106" i="9"/>
  <c r="AM106" i="9"/>
  <c r="AL106" i="9"/>
  <c r="Z106" i="9"/>
  <c r="Y106" i="9"/>
  <c r="W106" i="9"/>
  <c r="V106" i="9"/>
  <c r="U106" i="9"/>
  <c r="T106" i="9"/>
  <c r="S106" i="9"/>
  <c r="R106" i="9"/>
  <c r="Q106" i="9"/>
  <c r="P106" i="9"/>
  <c r="O106" i="9"/>
  <c r="N106" i="9"/>
  <c r="M106" i="9"/>
  <c r="L106" i="9"/>
  <c r="K106" i="9"/>
  <c r="J106" i="9"/>
  <c r="I106" i="9"/>
  <c r="H106" i="9"/>
  <c r="G106" i="9"/>
  <c r="F106" i="9"/>
  <c r="E106" i="9"/>
  <c r="D106" i="9"/>
  <c r="C106" i="9"/>
  <c r="B106" i="9"/>
  <c r="AP105" i="9"/>
  <c r="AO105" i="9"/>
  <c r="AN105" i="9"/>
  <c r="AM105" i="9"/>
  <c r="AL105" i="9"/>
  <c r="Z105" i="9"/>
  <c r="Y105" i="9"/>
  <c r="W105" i="9"/>
  <c r="V105" i="9"/>
  <c r="U105" i="9"/>
  <c r="T105" i="9"/>
  <c r="S105" i="9"/>
  <c r="R105" i="9"/>
  <c r="Q105" i="9"/>
  <c r="P105" i="9"/>
  <c r="O105" i="9"/>
  <c r="N105" i="9"/>
  <c r="M105" i="9"/>
  <c r="L105" i="9"/>
  <c r="K105" i="9"/>
  <c r="J105" i="9"/>
  <c r="I105" i="9"/>
  <c r="H105" i="9"/>
  <c r="G105" i="9"/>
  <c r="F105" i="9"/>
  <c r="E105" i="9"/>
  <c r="D105" i="9"/>
  <c r="C105" i="9"/>
  <c r="B105" i="9"/>
  <c r="AP104" i="9"/>
  <c r="AO104" i="9"/>
  <c r="AN104" i="9"/>
  <c r="AM104" i="9"/>
  <c r="AL104" i="9"/>
  <c r="Z104" i="9"/>
  <c r="Y104" i="9"/>
  <c r="W104" i="9"/>
  <c r="V104" i="9"/>
  <c r="U104" i="9"/>
  <c r="T104" i="9"/>
  <c r="S104" i="9"/>
  <c r="R104" i="9"/>
  <c r="Q104" i="9"/>
  <c r="P104" i="9"/>
  <c r="O104" i="9"/>
  <c r="N104" i="9"/>
  <c r="M104" i="9"/>
  <c r="L104" i="9"/>
  <c r="K104" i="9"/>
  <c r="J104" i="9"/>
  <c r="I104" i="9"/>
  <c r="H104" i="9"/>
  <c r="G104" i="9"/>
  <c r="F104" i="9"/>
  <c r="E104" i="9"/>
  <c r="D104" i="9"/>
  <c r="C104" i="9"/>
  <c r="B104" i="9"/>
  <c r="A104" i="9"/>
  <c r="AP103" i="9"/>
  <c r="AO103" i="9"/>
  <c r="AN103" i="9"/>
  <c r="AM103" i="9"/>
  <c r="AL103" i="9"/>
  <c r="Z103" i="9"/>
  <c r="Y103" i="9"/>
  <c r="W103" i="9"/>
  <c r="V103" i="9"/>
  <c r="U103" i="9"/>
  <c r="T103" i="9"/>
  <c r="S103" i="9"/>
  <c r="R103" i="9"/>
  <c r="Q103" i="9"/>
  <c r="P103" i="9"/>
  <c r="O103" i="9"/>
  <c r="N103" i="9"/>
  <c r="M103" i="9"/>
  <c r="L103" i="9"/>
  <c r="K103" i="9"/>
  <c r="J103" i="9"/>
  <c r="I103" i="9"/>
  <c r="H103" i="9"/>
  <c r="G103" i="9"/>
  <c r="F103" i="9"/>
  <c r="E103" i="9"/>
  <c r="D103" i="9"/>
  <c r="C103" i="9"/>
  <c r="B103" i="9"/>
  <c r="A103" i="9"/>
  <c r="AP102" i="9"/>
  <c r="AO102" i="9"/>
  <c r="AN102" i="9"/>
  <c r="AM102" i="9"/>
  <c r="AL102" i="9"/>
  <c r="Z102" i="9"/>
  <c r="Y102" i="9"/>
  <c r="W102" i="9"/>
  <c r="V102" i="9"/>
  <c r="U102" i="9"/>
  <c r="T102" i="9"/>
  <c r="S102" i="9"/>
  <c r="R102" i="9"/>
  <c r="Q102" i="9"/>
  <c r="P102" i="9"/>
  <c r="O102" i="9"/>
  <c r="N102" i="9"/>
  <c r="M102" i="9"/>
  <c r="L102" i="9"/>
  <c r="K102" i="9"/>
  <c r="J102" i="9"/>
  <c r="I102" i="9"/>
  <c r="H102" i="9"/>
  <c r="G102" i="9"/>
  <c r="F102" i="9"/>
  <c r="E102" i="9"/>
  <c r="D102" i="9"/>
  <c r="C102" i="9"/>
  <c r="B102" i="9"/>
  <c r="A102" i="9"/>
  <c r="AP101" i="9"/>
  <c r="AO101" i="9"/>
  <c r="AN101" i="9"/>
  <c r="AM101" i="9"/>
  <c r="AL101" i="9"/>
  <c r="AA101" i="9"/>
  <c r="Z101" i="9"/>
  <c r="Y101" i="9"/>
  <c r="W101" i="9"/>
  <c r="V101" i="9"/>
  <c r="U101" i="9"/>
  <c r="T101" i="9"/>
  <c r="S101" i="9"/>
  <c r="R101" i="9"/>
  <c r="Q101" i="9"/>
  <c r="P101" i="9"/>
  <c r="O101" i="9"/>
  <c r="N101" i="9"/>
  <c r="M101" i="9"/>
  <c r="L101" i="9"/>
  <c r="K101" i="9"/>
  <c r="J101" i="9"/>
  <c r="I101" i="9"/>
  <c r="H101" i="9"/>
  <c r="G101" i="9"/>
  <c r="F101" i="9"/>
  <c r="E101" i="9"/>
  <c r="D101" i="9"/>
  <c r="C101" i="9"/>
  <c r="B101" i="9"/>
  <c r="A101" i="9"/>
  <c r="AP100" i="9"/>
  <c r="AO100" i="9"/>
  <c r="AN100" i="9"/>
  <c r="AM100" i="9"/>
  <c r="AL100" i="9"/>
  <c r="AA100" i="9"/>
  <c r="Z100" i="9"/>
  <c r="Y100" i="9"/>
  <c r="W100" i="9"/>
  <c r="V100" i="9"/>
  <c r="U100" i="9"/>
  <c r="T100" i="9"/>
  <c r="S100" i="9"/>
  <c r="R100" i="9"/>
  <c r="Q100" i="9"/>
  <c r="P100" i="9"/>
  <c r="O100" i="9"/>
  <c r="N100" i="9"/>
  <c r="M100" i="9"/>
  <c r="L100" i="9"/>
  <c r="K100" i="9"/>
  <c r="J100" i="9"/>
  <c r="I100" i="9"/>
  <c r="H100" i="9"/>
  <c r="G100" i="9"/>
  <c r="F100" i="9"/>
  <c r="E100" i="9"/>
  <c r="D100" i="9"/>
  <c r="C100" i="9"/>
  <c r="B100" i="9"/>
  <c r="A100" i="9"/>
  <c r="AP99" i="9"/>
  <c r="AO99" i="9"/>
  <c r="AN99" i="9"/>
  <c r="AM99" i="9"/>
  <c r="AL99" i="9"/>
  <c r="AA99" i="9"/>
  <c r="Z99" i="9"/>
  <c r="Y99" i="9"/>
  <c r="W99" i="9"/>
  <c r="V99" i="9"/>
  <c r="U99" i="9"/>
  <c r="T99" i="9"/>
  <c r="S99" i="9"/>
  <c r="R99" i="9"/>
  <c r="Q99" i="9"/>
  <c r="P99" i="9"/>
  <c r="O99" i="9"/>
  <c r="N99" i="9"/>
  <c r="M99" i="9"/>
  <c r="L99" i="9"/>
  <c r="K99" i="9"/>
  <c r="J99" i="9"/>
  <c r="I99" i="9"/>
  <c r="H99" i="9"/>
  <c r="G99" i="9"/>
  <c r="F99" i="9"/>
  <c r="E99" i="9"/>
  <c r="D99" i="9"/>
  <c r="C99" i="9"/>
  <c r="B99" i="9"/>
  <c r="A99" i="9"/>
  <c r="AP98" i="9"/>
  <c r="AO98" i="9"/>
  <c r="AN98" i="9"/>
  <c r="AM98" i="9"/>
  <c r="AL98" i="9"/>
  <c r="AA98" i="9"/>
  <c r="Z98" i="9"/>
  <c r="Y98" i="9"/>
  <c r="W98" i="9"/>
  <c r="V98" i="9"/>
  <c r="U98" i="9"/>
  <c r="T98" i="9"/>
  <c r="S98" i="9"/>
  <c r="R98" i="9"/>
  <c r="Q98" i="9"/>
  <c r="P98" i="9"/>
  <c r="O98" i="9"/>
  <c r="N98" i="9"/>
  <c r="M98" i="9"/>
  <c r="L98" i="9"/>
  <c r="K98" i="9"/>
  <c r="J98" i="9"/>
  <c r="I98" i="9"/>
  <c r="H98" i="9"/>
  <c r="G98" i="9"/>
  <c r="F98" i="9"/>
  <c r="E98" i="9"/>
  <c r="D98" i="9"/>
  <c r="C98" i="9"/>
  <c r="B98" i="9"/>
  <c r="A98" i="9"/>
  <c r="AP97" i="9"/>
  <c r="AO97" i="9"/>
  <c r="AN97" i="9"/>
  <c r="AM97" i="9"/>
  <c r="AL97" i="9"/>
  <c r="AA97" i="9"/>
  <c r="Z97" i="9"/>
  <c r="Y97" i="9"/>
  <c r="W97" i="9"/>
  <c r="V97" i="9"/>
  <c r="U97" i="9"/>
  <c r="T97" i="9"/>
  <c r="S97" i="9"/>
  <c r="R97" i="9"/>
  <c r="Q97" i="9"/>
  <c r="P97" i="9"/>
  <c r="O97" i="9"/>
  <c r="N97" i="9"/>
  <c r="M97" i="9"/>
  <c r="L97" i="9"/>
  <c r="K97" i="9"/>
  <c r="J97" i="9"/>
  <c r="I97" i="9"/>
  <c r="H97" i="9"/>
  <c r="G97" i="9"/>
  <c r="F97" i="9"/>
  <c r="E97" i="9"/>
  <c r="D97" i="9"/>
  <c r="C97" i="9"/>
  <c r="B97" i="9"/>
  <c r="A97" i="9"/>
  <c r="AP96" i="9"/>
  <c r="AO96" i="9"/>
  <c r="AN96" i="9"/>
  <c r="AM96" i="9"/>
  <c r="AL96" i="9"/>
  <c r="AA96" i="9"/>
  <c r="Z96" i="9"/>
  <c r="Y96" i="9"/>
  <c r="W96" i="9"/>
  <c r="V96" i="9"/>
  <c r="U96" i="9"/>
  <c r="T96" i="9"/>
  <c r="S96" i="9"/>
  <c r="R96" i="9"/>
  <c r="Q96" i="9"/>
  <c r="P96" i="9"/>
  <c r="O96" i="9"/>
  <c r="N96" i="9"/>
  <c r="M96" i="9"/>
  <c r="L96" i="9"/>
  <c r="K96" i="9"/>
  <c r="J96" i="9"/>
  <c r="I96" i="9"/>
  <c r="H96" i="9"/>
  <c r="G96" i="9"/>
  <c r="F96" i="9"/>
  <c r="E96" i="9"/>
  <c r="D96" i="9"/>
  <c r="C96" i="9"/>
  <c r="B96" i="9"/>
  <c r="A96" i="9"/>
  <c r="AP95" i="9"/>
  <c r="AO95" i="9"/>
  <c r="AN95" i="9"/>
  <c r="AM95" i="9"/>
  <c r="AL95" i="9"/>
  <c r="AA95" i="9"/>
  <c r="Z95" i="9"/>
  <c r="Y95" i="9"/>
  <c r="W95" i="9"/>
  <c r="V95" i="9"/>
  <c r="U95" i="9"/>
  <c r="T95" i="9"/>
  <c r="S95" i="9"/>
  <c r="R95" i="9"/>
  <c r="Q95" i="9"/>
  <c r="P95" i="9"/>
  <c r="O95" i="9"/>
  <c r="N95" i="9"/>
  <c r="M95" i="9"/>
  <c r="L95" i="9"/>
  <c r="K95" i="9"/>
  <c r="J95" i="9"/>
  <c r="I95" i="9"/>
  <c r="H95" i="9"/>
  <c r="G95" i="9"/>
  <c r="F95" i="9"/>
  <c r="E95" i="9"/>
  <c r="D95" i="9"/>
  <c r="C95" i="9"/>
  <c r="B95" i="9"/>
  <c r="A95" i="9"/>
  <c r="AP94" i="9"/>
  <c r="AO94" i="9"/>
  <c r="AN94" i="9"/>
  <c r="AM94" i="9"/>
  <c r="AL94" i="9"/>
  <c r="AA94" i="9"/>
  <c r="Z94" i="9"/>
  <c r="Y94" i="9"/>
  <c r="W94" i="9"/>
  <c r="V94" i="9"/>
  <c r="U94" i="9"/>
  <c r="T94" i="9"/>
  <c r="S94" i="9"/>
  <c r="R94" i="9"/>
  <c r="Q94" i="9"/>
  <c r="P94" i="9"/>
  <c r="O94" i="9"/>
  <c r="N94" i="9"/>
  <c r="M94" i="9"/>
  <c r="L94" i="9"/>
  <c r="K94" i="9"/>
  <c r="J94" i="9"/>
  <c r="I94" i="9"/>
  <c r="H94" i="9"/>
  <c r="G94" i="9"/>
  <c r="F94" i="9"/>
  <c r="E94" i="9"/>
  <c r="D94" i="9"/>
  <c r="C94" i="9"/>
  <c r="B94" i="9"/>
  <c r="A94" i="9"/>
  <c r="AP93" i="9"/>
  <c r="AO93" i="9"/>
  <c r="AN93" i="9"/>
  <c r="AM93" i="9"/>
  <c r="AL93" i="9"/>
  <c r="AA93" i="9"/>
  <c r="Z93" i="9"/>
  <c r="Y93" i="9"/>
  <c r="W93" i="9"/>
  <c r="V93" i="9"/>
  <c r="U93" i="9"/>
  <c r="T93" i="9"/>
  <c r="S93" i="9"/>
  <c r="R93" i="9"/>
  <c r="Q93" i="9"/>
  <c r="P93" i="9"/>
  <c r="O93" i="9"/>
  <c r="N93" i="9"/>
  <c r="M93" i="9"/>
  <c r="L93" i="9"/>
  <c r="K93" i="9"/>
  <c r="J93" i="9"/>
  <c r="I93" i="9"/>
  <c r="H93" i="9"/>
  <c r="G93" i="9"/>
  <c r="F93" i="9"/>
  <c r="E93" i="9"/>
  <c r="D93" i="9"/>
  <c r="C93" i="9"/>
  <c r="B93" i="9"/>
  <c r="A93" i="9"/>
  <c r="AP92" i="9"/>
  <c r="AO92" i="9"/>
  <c r="AN92" i="9"/>
  <c r="AM92" i="9"/>
  <c r="AL92" i="9"/>
  <c r="AA92" i="9"/>
  <c r="Z92" i="9"/>
  <c r="Y92" i="9"/>
  <c r="W92" i="9"/>
  <c r="V92" i="9"/>
  <c r="U92" i="9"/>
  <c r="T92" i="9"/>
  <c r="S92" i="9"/>
  <c r="R92" i="9"/>
  <c r="Q92" i="9"/>
  <c r="P92" i="9"/>
  <c r="O92" i="9"/>
  <c r="N92" i="9"/>
  <c r="M92" i="9"/>
  <c r="L92" i="9"/>
  <c r="K92" i="9"/>
  <c r="J92" i="9"/>
  <c r="I92" i="9"/>
  <c r="H92" i="9"/>
  <c r="G92" i="9"/>
  <c r="F92" i="9"/>
  <c r="E92" i="9"/>
  <c r="D92" i="9"/>
  <c r="C92" i="9"/>
  <c r="B92" i="9"/>
  <c r="A92" i="9"/>
  <c r="AP91" i="9"/>
  <c r="AO91" i="9"/>
  <c r="AN91" i="9"/>
  <c r="AM91" i="9"/>
  <c r="AL91" i="9"/>
  <c r="AA91" i="9"/>
  <c r="Z91" i="9"/>
  <c r="Y91" i="9"/>
  <c r="W91" i="9"/>
  <c r="V91" i="9"/>
  <c r="U91" i="9"/>
  <c r="T91" i="9"/>
  <c r="S91" i="9"/>
  <c r="R91" i="9"/>
  <c r="Q91" i="9"/>
  <c r="P91" i="9"/>
  <c r="O91" i="9"/>
  <c r="N91" i="9"/>
  <c r="M91" i="9"/>
  <c r="L91" i="9"/>
  <c r="K91" i="9"/>
  <c r="J91" i="9"/>
  <c r="I91" i="9"/>
  <c r="H91" i="9"/>
  <c r="G91" i="9"/>
  <c r="F91" i="9"/>
  <c r="E91" i="9"/>
  <c r="D91" i="9"/>
  <c r="C91" i="9"/>
  <c r="B91" i="9"/>
  <c r="A91" i="9"/>
  <c r="AP90" i="9"/>
  <c r="AO90" i="9"/>
  <c r="AN90" i="9"/>
  <c r="AM90" i="9"/>
  <c r="AL90" i="9"/>
  <c r="AA90" i="9"/>
  <c r="Z90" i="9"/>
  <c r="Y90" i="9"/>
  <c r="W90" i="9"/>
  <c r="V90" i="9"/>
  <c r="U90" i="9"/>
  <c r="T90" i="9"/>
  <c r="S90" i="9"/>
  <c r="R90" i="9"/>
  <c r="Q90" i="9"/>
  <c r="P90" i="9"/>
  <c r="O90" i="9"/>
  <c r="N90" i="9"/>
  <c r="M90" i="9"/>
  <c r="L90" i="9"/>
  <c r="K90" i="9"/>
  <c r="J90" i="9"/>
  <c r="I90" i="9"/>
  <c r="H90" i="9"/>
  <c r="G90" i="9"/>
  <c r="F90" i="9"/>
  <c r="E90" i="9"/>
  <c r="D90" i="9"/>
  <c r="C90" i="9"/>
  <c r="B90" i="9"/>
  <c r="A90" i="9"/>
  <c r="AP89" i="9"/>
  <c r="AO89" i="9"/>
  <c r="AN89" i="9"/>
  <c r="AM89" i="9"/>
  <c r="AL89" i="9"/>
  <c r="AA89" i="9"/>
  <c r="Z89" i="9"/>
  <c r="Y89" i="9"/>
  <c r="W89" i="9"/>
  <c r="V89" i="9"/>
  <c r="U89" i="9"/>
  <c r="T89" i="9"/>
  <c r="S89" i="9"/>
  <c r="R89" i="9"/>
  <c r="Q89" i="9"/>
  <c r="P89" i="9"/>
  <c r="O89" i="9"/>
  <c r="N89" i="9"/>
  <c r="M89" i="9"/>
  <c r="L89" i="9"/>
  <c r="K89" i="9"/>
  <c r="J89" i="9"/>
  <c r="I89" i="9"/>
  <c r="H89" i="9"/>
  <c r="G89" i="9"/>
  <c r="F89" i="9"/>
  <c r="E89" i="9"/>
  <c r="D89" i="9"/>
  <c r="C89" i="9"/>
  <c r="B89" i="9"/>
  <c r="AP88" i="9"/>
  <c r="AO88" i="9"/>
  <c r="AN88" i="9"/>
  <c r="AM88" i="9"/>
  <c r="AL88" i="9"/>
  <c r="AA88" i="9"/>
  <c r="Z88" i="9"/>
  <c r="Y88" i="9"/>
  <c r="W88" i="9"/>
  <c r="V88" i="9"/>
  <c r="U88" i="9"/>
  <c r="T88" i="9"/>
  <c r="S88" i="9"/>
  <c r="R88" i="9"/>
  <c r="Q88" i="9"/>
  <c r="P88" i="9"/>
  <c r="O88" i="9"/>
  <c r="N88" i="9"/>
  <c r="M88" i="9"/>
  <c r="L88" i="9"/>
  <c r="K88" i="9"/>
  <c r="J88" i="9"/>
  <c r="I88" i="9"/>
  <c r="H88" i="9"/>
  <c r="G88" i="9"/>
  <c r="F88" i="9"/>
  <c r="E88" i="9"/>
  <c r="D88" i="9"/>
  <c r="C88" i="9"/>
  <c r="B88" i="9"/>
  <c r="AP87" i="9"/>
  <c r="AO87" i="9"/>
  <c r="AN87" i="9"/>
  <c r="AM87" i="9"/>
  <c r="AL87" i="9"/>
  <c r="AA87" i="9"/>
  <c r="Z87" i="9"/>
  <c r="Y87" i="9"/>
  <c r="W87" i="9"/>
  <c r="V87" i="9"/>
  <c r="U87" i="9"/>
  <c r="T87" i="9"/>
  <c r="S87" i="9"/>
  <c r="R87" i="9"/>
  <c r="Q87" i="9"/>
  <c r="P87" i="9"/>
  <c r="O87" i="9"/>
  <c r="N87" i="9"/>
  <c r="M87" i="9"/>
  <c r="L87" i="9"/>
  <c r="K87" i="9"/>
  <c r="J87" i="9"/>
  <c r="I87" i="9"/>
  <c r="H87" i="9"/>
  <c r="G87" i="9"/>
  <c r="F87" i="9"/>
  <c r="E87" i="9"/>
  <c r="D87" i="9"/>
  <c r="C87" i="9"/>
  <c r="B87" i="9"/>
  <c r="AP86" i="9"/>
  <c r="AO86" i="9"/>
  <c r="AN86" i="9"/>
  <c r="AM86" i="9"/>
  <c r="AL86" i="9"/>
  <c r="AA86" i="9"/>
  <c r="Z86" i="9"/>
  <c r="Y86" i="9"/>
  <c r="W86" i="9"/>
  <c r="V86" i="9"/>
  <c r="U86" i="9"/>
  <c r="T86" i="9"/>
  <c r="S86" i="9"/>
  <c r="R86" i="9"/>
  <c r="Q86" i="9"/>
  <c r="P86" i="9"/>
  <c r="O86" i="9"/>
  <c r="N86" i="9"/>
  <c r="M86" i="9"/>
  <c r="L86" i="9"/>
  <c r="K86" i="9"/>
  <c r="J86" i="9"/>
  <c r="I86" i="9"/>
  <c r="H86" i="9"/>
  <c r="G86" i="9"/>
  <c r="F86" i="9"/>
  <c r="E86" i="9"/>
  <c r="D86" i="9"/>
  <c r="C86" i="9"/>
  <c r="B86" i="9"/>
  <c r="AP85" i="9"/>
  <c r="AO85" i="9"/>
  <c r="AN85" i="9"/>
  <c r="AM85" i="9"/>
  <c r="AL85" i="9"/>
  <c r="AA85" i="9"/>
  <c r="Z85" i="9"/>
  <c r="Y85" i="9"/>
  <c r="W85" i="9"/>
  <c r="V85" i="9"/>
  <c r="U85" i="9"/>
  <c r="T85" i="9"/>
  <c r="S85" i="9"/>
  <c r="R85" i="9"/>
  <c r="Q85" i="9"/>
  <c r="P85" i="9"/>
  <c r="O85" i="9"/>
  <c r="N85" i="9"/>
  <c r="M85" i="9"/>
  <c r="L85" i="9"/>
  <c r="K85" i="9"/>
  <c r="J85" i="9"/>
  <c r="I85" i="9"/>
  <c r="H85" i="9"/>
  <c r="G85" i="9"/>
  <c r="F85" i="9"/>
  <c r="E85" i="9"/>
  <c r="D85" i="9"/>
  <c r="C85" i="9"/>
  <c r="B85" i="9"/>
  <c r="AP84" i="9"/>
  <c r="AO84" i="9"/>
  <c r="AN84" i="9"/>
  <c r="AM84" i="9"/>
  <c r="AL84" i="9"/>
  <c r="AA84" i="9"/>
  <c r="Z84" i="9"/>
  <c r="Y84" i="9"/>
  <c r="W84" i="9"/>
  <c r="V84" i="9"/>
  <c r="U84" i="9"/>
  <c r="T84" i="9"/>
  <c r="S84" i="9"/>
  <c r="R84" i="9"/>
  <c r="Q84" i="9"/>
  <c r="P84" i="9"/>
  <c r="O84" i="9"/>
  <c r="N84" i="9"/>
  <c r="M84" i="9"/>
  <c r="L84" i="9"/>
  <c r="K84" i="9"/>
  <c r="J84" i="9"/>
  <c r="I84" i="9"/>
  <c r="H84" i="9"/>
  <c r="G84" i="9"/>
  <c r="F84" i="9"/>
  <c r="E84" i="9"/>
  <c r="D84" i="9"/>
  <c r="C84" i="9"/>
  <c r="B84" i="9"/>
  <c r="AP83" i="9"/>
  <c r="AO83" i="9"/>
  <c r="AN83" i="9"/>
  <c r="AM83" i="9"/>
  <c r="AL83" i="9"/>
  <c r="AA83" i="9"/>
  <c r="Z83" i="9"/>
  <c r="Y83" i="9"/>
  <c r="W83" i="9"/>
  <c r="V83" i="9"/>
  <c r="U83" i="9"/>
  <c r="T83" i="9"/>
  <c r="S83" i="9"/>
  <c r="R83" i="9"/>
  <c r="Q83" i="9"/>
  <c r="P83" i="9"/>
  <c r="O83" i="9"/>
  <c r="N83" i="9"/>
  <c r="M83" i="9"/>
  <c r="L83" i="9"/>
  <c r="K83" i="9"/>
  <c r="J83" i="9"/>
  <c r="I83" i="9"/>
  <c r="H83" i="9"/>
  <c r="G83" i="9"/>
  <c r="F83" i="9"/>
  <c r="E83" i="9"/>
  <c r="D83" i="9"/>
  <c r="C83" i="9"/>
  <c r="B83" i="9"/>
  <c r="AP82" i="9"/>
  <c r="AO82" i="9"/>
  <c r="AN82" i="9"/>
  <c r="AM82" i="9"/>
  <c r="AL82" i="9"/>
  <c r="AA82" i="9"/>
  <c r="Z82" i="9"/>
  <c r="Y82" i="9"/>
  <c r="W82" i="9"/>
  <c r="V82" i="9"/>
  <c r="U82" i="9"/>
  <c r="T82" i="9"/>
  <c r="S82" i="9"/>
  <c r="R82" i="9"/>
  <c r="Q82" i="9"/>
  <c r="P82" i="9"/>
  <c r="O82" i="9"/>
  <c r="N82" i="9"/>
  <c r="M82" i="9"/>
  <c r="L82" i="9"/>
  <c r="K82" i="9"/>
  <c r="J82" i="9"/>
  <c r="I82" i="9"/>
  <c r="H82" i="9"/>
  <c r="G82" i="9"/>
  <c r="F82" i="9"/>
  <c r="E82" i="9"/>
  <c r="D82" i="9"/>
  <c r="C82" i="9"/>
  <c r="B82" i="9"/>
  <c r="AP81" i="9"/>
  <c r="AO81" i="9"/>
  <c r="AN81" i="9"/>
  <c r="AM81" i="9"/>
  <c r="AL81" i="9"/>
  <c r="AA81" i="9"/>
  <c r="Z81" i="9"/>
  <c r="Y81" i="9"/>
  <c r="W81" i="9"/>
  <c r="V81" i="9"/>
  <c r="U81" i="9"/>
  <c r="T81" i="9"/>
  <c r="S81" i="9"/>
  <c r="R81" i="9"/>
  <c r="Q81" i="9"/>
  <c r="P81" i="9"/>
  <c r="O81" i="9"/>
  <c r="N81" i="9"/>
  <c r="M81" i="9"/>
  <c r="L81" i="9"/>
  <c r="K81" i="9"/>
  <c r="J81" i="9"/>
  <c r="I81" i="9"/>
  <c r="H81" i="9"/>
  <c r="G81" i="9"/>
  <c r="F81" i="9"/>
  <c r="E81" i="9"/>
  <c r="D81" i="9"/>
  <c r="C81" i="9"/>
  <c r="B81" i="9"/>
  <c r="AP80" i="9"/>
  <c r="AO80" i="9"/>
  <c r="AN80" i="9"/>
  <c r="AM80" i="9"/>
  <c r="AL80" i="9"/>
  <c r="AA80" i="9"/>
  <c r="Z80" i="9"/>
  <c r="Y80" i="9"/>
  <c r="W80" i="9"/>
  <c r="V80" i="9"/>
  <c r="U80" i="9"/>
  <c r="T80" i="9"/>
  <c r="S80" i="9"/>
  <c r="R80" i="9"/>
  <c r="Q80" i="9"/>
  <c r="P80" i="9"/>
  <c r="O80" i="9"/>
  <c r="N80" i="9"/>
  <c r="M80" i="9"/>
  <c r="L80" i="9"/>
  <c r="K80" i="9"/>
  <c r="J80" i="9"/>
  <c r="I80" i="9"/>
  <c r="H80" i="9"/>
  <c r="G80" i="9"/>
  <c r="F80" i="9"/>
  <c r="E80" i="9"/>
  <c r="D80" i="9"/>
  <c r="C80" i="9"/>
  <c r="B80" i="9"/>
  <c r="AP79" i="9"/>
  <c r="AO79" i="9"/>
  <c r="AN79" i="9"/>
  <c r="AM79" i="9"/>
  <c r="AL79" i="9"/>
  <c r="AA79" i="9"/>
  <c r="Z79" i="9"/>
  <c r="Y79" i="9"/>
  <c r="W79" i="9"/>
  <c r="V79" i="9"/>
  <c r="U79" i="9"/>
  <c r="T79" i="9"/>
  <c r="S79" i="9"/>
  <c r="R79" i="9"/>
  <c r="Q79" i="9"/>
  <c r="P79" i="9"/>
  <c r="O79" i="9"/>
  <c r="N79" i="9"/>
  <c r="M79" i="9"/>
  <c r="L79" i="9"/>
  <c r="K79" i="9"/>
  <c r="J79" i="9"/>
  <c r="I79" i="9"/>
  <c r="H79" i="9"/>
  <c r="G79" i="9"/>
  <c r="F79" i="9"/>
  <c r="E79" i="9"/>
  <c r="D79" i="9"/>
  <c r="C79" i="9"/>
  <c r="B79" i="9"/>
  <c r="AP78" i="9"/>
  <c r="AO78" i="9"/>
  <c r="AN78" i="9"/>
  <c r="AM78" i="9"/>
  <c r="AL78" i="9"/>
  <c r="AA78" i="9"/>
  <c r="Z78" i="9"/>
  <c r="Y78" i="9"/>
  <c r="W78" i="9"/>
  <c r="V78" i="9"/>
  <c r="U78" i="9"/>
  <c r="T78" i="9"/>
  <c r="S78" i="9"/>
  <c r="R78" i="9"/>
  <c r="Q78" i="9"/>
  <c r="P78" i="9"/>
  <c r="O78" i="9"/>
  <c r="N78" i="9"/>
  <c r="M78" i="9"/>
  <c r="L78" i="9"/>
  <c r="K78" i="9"/>
  <c r="J78" i="9"/>
  <c r="I78" i="9"/>
  <c r="H78" i="9"/>
  <c r="G78" i="9"/>
  <c r="F78" i="9"/>
  <c r="E78" i="9"/>
  <c r="D78" i="9"/>
  <c r="C78" i="9"/>
  <c r="B78" i="9"/>
  <c r="AP77" i="9"/>
  <c r="AO77" i="9"/>
  <c r="AN77" i="9"/>
  <c r="AM77" i="9"/>
  <c r="AL77" i="9"/>
  <c r="AA77" i="9"/>
  <c r="Z77" i="9"/>
  <c r="Y77" i="9"/>
  <c r="W77" i="9"/>
  <c r="V77" i="9"/>
  <c r="U77" i="9"/>
  <c r="T77" i="9"/>
  <c r="S77" i="9"/>
  <c r="R77" i="9"/>
  <c r="Q77" i="9"/>
  <c r="P77" i="9"/>
  <c r="O77" i="9"/>
  <c r="N77" i="9"/>
  <c r="M77" i="9"/>
  <c r="L77" i="9"/>
  <c r="K77" i="9"/>
  <c r="J77" i="9"/>
  <c r="I77" i="9"/>
  <c r="H77" i="9"/>
  <c r="G77" i="9"/>
  <c r="F77" i="9"/>
  <c r="E77" i="9"/>
  <c r="D77" i="9"/>
  <c r="C77" i="9"/>
  <c r="B77" i="9"/>
  <c r="A77" i="9"/>
  <c r="AP76" i="9"/>
  <c r="AO76" i="9"/>
  <c r="AN76" i="9"/>
  <c r="AM76" i="9"/>
  <c r="AL76" i="9"/>
  <c r="AB76" i="9"/>
  <c r="Z76" i="9"/>
  <c r="Y76" i="9"/>
  <c r="W76" i="9"/>
  <c r="V76" i="9"/>
  <c r="U76" i="9"/>
  <c r="T76" i="9"/>
  <c r="S76" i="9"/>
  <c r="R76" i="9"/>
  <c r="Q76" i="9"/>
  <c r="P76" i="9"/>
  <c r="O76" i="9"/>
  <c r="N76" i="9"/>
  <c r="M76" i="9"/>
  <c r="L76" i="9"/>
  <c r="K76" i="9"/>
  <c r="J76" i="9"/>
  <c r="I76" i="9"/>
  <c r="H76" i="9"/>
  <c r="G76" i="9"/>
  <c r="F76" i="9"/>
  <c r="E76" i="9"/>
  <c r="D76" i="9"/>
  <c r="C76" i="9"/>
  <c r="B76" i="9"/>
  <c r="AP75" i="9"/>
  <c r="AO75" i="9"/>
  <c r="AN75" i="9"/>
  <c r="AM75" i="9"/>
  <c r="AL75" i="9"/>
  <c r="AB75" i="9"/>
  <c r="Z75" i="9"/>
  <c r="W75" i="9"/>
  <c r="V75" i="9"/>
  <c r="U75" i="9"/>
  <c r="T75" i="9"/>
  <c r="S75" i="9"/>
  <c r="R75" i="9"/>
  <c r="Q75" i="9"/>
  <c r="P75" i="9"/>
  <c r="O75" i="9"/>
  <c r="N75" i="9"/>
  <c r="M75" i="9"/>
  <c r="L75" i="9"/>
  <c r="K75" i="9"/>
  <c r="J75" i="9"/>
  <c r="I75" i="9"/>
  <c r="H75" i="9"/>
  <c r="G75" i="9"/>
  <c r="F75" i="9"/>
  <c r="E75" i="9"/>
  <c r="D75" i="9"/>
  <c r="C75" i="9"/>
  <c r="B75" i="9"/>
  <c r="AP74" i="9"/>
  <c r="AO74" i="9"/>
  <c r="AN74" i="9"/>
  <c r="AM74" i="9"/>
  <c r="AL74" i="9"/>
  <c r="AB74" i="9"/>
  <c r="Z74" i="9"/>
  <c r="W74" i="9"/>
  <c r="V74" i="9"/>
  <c r="U74" i="9"/>
  <c r="T74" i="9"/>
  <c r="S74" i="9"/>
  <c r="R74" i="9"/>
  <c r="Q74" i="9"/>
  <c r="P74" i="9"/>
  <c r="O74" i="9"/>
  <c r="N74" i="9"/>
  <c r="M74" i="9"/>
  <c r="L74" i="9"/>
  <c r="K74" i="9"/>
  <c r="J74" i="9"/>
  <c r="I74" i="9"/>
  <c r="H74" i="9"/>
  <c r="G74" i="9"/>
  <c r="F74" i="9"/>
  <c r="E74" i="9"/>
  <c r="D74" i="9"/>
  <c r="C74" i="9"/>
  <c r="B74" i="9"/>
  <c r="AP73" i="9"/>
  <c r="AO73" i="9"/>
  <c r="AN73" i="9"/>
  <c r="AM73" i="9"/>
  <c r="AL73" i="9"/>
  <c r="AB73" i="9"/>
  <c r="AA73" i="9"/>
  <c r="Z73" i="9"/>
  <c r="Y73" i="9"/>
  <c r="W73" i="9"/>
  <c r="V73" i="9"/>
  <c r="U73" i="9"/>
  <c r="T73" i="9"/>
  <c r="S73" i="9"/>
  <c r="R73" i="9"/>
  <c r="Q73" i="9"/>
  <c r="P73" i="9"/>
  <c r="O73" i="9"/>
  <c r="N73" i="9"/>
  <c r="M73" i="9"/>
  <c r="L73" i="9"/>
  <c r="K73" i="9"/>
  <c r="J73" i="9"/>
  <c r="I73" i="9"/>
  <c r="H73" i="9"/>
  <c r="G73" i="9"/>
  <c r="F73" i="9"/>
  <c r="E73" i="9"/>
  <c r="D73" i="9"/>
  <c r="C73" i="9"/>
  <c r="B73" i="9"/>
  <c r="AP72" i="9"/>
  <c r="AN72" i="9"/>
  <c r="AM72" i="9"/>
  <c r="AL72" i="9"/>
  <c r="AK72" i="9"/>
  <c r="Z72" i="9"/>
  <c r="W72" i="9"/>
  <c r="V72" i="9"/>
  <c r="U72" i="9"/>
  <c r="T72" i="9"/>
  <c r="S72" i="9"/>
  <c r="R72" i="9"/>
  <c r="Q72" i="9"/>
  <c r="P72" i="9"/>
  <c r="O72" i="9"/>
  <c r="N72" i="9"/>
  <c r="M72" i="9"/>
  <c r="L72" i="9"/>
  <c r="K72" i="9"/>
  <c r="J72" i="9"/>
  <c r="I72" i="9"/>
  <c r="H72" i="9"/>
  <c r="G72" i="9"/>
  <c r="F72" i="9"/>
  <c r="E72" i="9"/>
  <c r="D72" i="9"/>
  <c r="C72" i="9"/>
  <c r="B72" i="9"/>
  <c r="A72" i="9"/>
  <c r="AP71" i="9"/>
  <c r="AN71" i="9"/>
  <c r="AM71" i="9"/>
  <c r="AL71" i="9"/>
  <c r="AK71" i="9"/>
  <c r="Z71" i="9"/>
  <c r="W71" i="9"/>
  <c r="V71" i="9"/>
  <c r="U71" i="9"/>
  <c r="T71" i="9"/>
  <c r="S71" i="9"/>
  <c r="R71" i="9"/>
  <c r="Q71" i="9"/>
  <c r="P71" i="9"/>
  <c r="O71" i="9"/>
  <c r="N71" i="9"/>
  <c r="M71" i="9"/>
  <c r="L71" i="9"/>
  <c r="K71" i="9"/>
  <c r="J71" i="9"/>
  <c r="I71" i="9"/>
  <c r="H71" i="9"/>
  <c r="G71" i="9"/>
  <c r="F71" i="9"/>
  <c r="E71" i="9"/>
  <c r="D71" i="9"/>
  <c r="C71" i="9"/>
  <c r="B71" i="9"/>
  <c r="A71" i="9"/>
  <c r="AP70" i="9"/>
  <c r="AN70" i="9"/>
  <c r="AM70" i="9"/>
  <c r="AL70" i="9"/>
  <c r="AK70" i="9"/>
  <c r="Z70" i="9"/>
  <c r="W70" i="9"/>
  <c r="V70" i="9"/>
  <c r="U70" i="9"/>
  <c r="T70" i="9"/>
  <c r="S70" i="9"/>
  <c r="R70" i="9"/>
  <c r="Q70" i="9"/>
  <c r="P70" i="9"/>
  <c r="O70" i="9"/>
  <c r="N70" i="9"/>
  <c r="M70" i="9"/>
  <c r="L70" i="9"/>
  <c r="K70" i="9"/>
  <c r="J70" i="9"/>
  <c r="I70" i="9"/>
  <c r="H70" i="9"/>
  <c r="G70" i="9"/>
  <c r="F70" i="9"/>
  <c r="E70" i="9"/>
  <c r="D70" i="9"/>
  <c r="C70" i="9"/>
  <c r="B70" i="9"/>
  <c r="A70" i="9"/>
  <c r="AP69" i="9"/>
  <c r="AN69" i="9"/>
  <c r="AM69" i="9"/>
  <c r="AL69" i="9"/>
  <c r="AK69" i="9"/>
  <c r="AH69" i="9"/>
  <c r="AF69" i="9"/>
  <c r="AE69" i="9"/>
  <c r="AB69" i="9"/>
  <c r="Z69" i="9"/>
  <c r="W69" i="9"/>
  <c r="V69" i="9"/>
  <c r="U69" i="9"/>
  <c r="T69" i="9"/>
  <c r="S69" i="9"/>
  <c r="R69" i="9"/>
  <c r="Q69" i="9"/>
  <c r="P69" i="9"/>
  <c r="O69" i="9"/>
  <c r="N69" i="9"/>
  <c r="M69" i="9"/>
  <c r="L69" i="9"/>
  <c r="K69" i="9"/>
  <c r="J69" i="9"/>
  <c r="I69" i="9"/>
  <c r="H69" i="9"/>
  <c r="G69" i="9"/>
  <c r="F69" i="9"/>
  <c r="E69" i="9"/>
  <c r="D69" i="9"/>
  <c r="C69" i="9"/>
  <c r="B69" i="9"/>
  <c r="A69" i="9"/>
  <c r="AP68" i="9"/>
  <c r="AN68" i="9"/>
  <c r="AM68" i="9"/>
  <c r="AL68" i="9"/>
  <c r="AK68" i="9"/>
  <c r="Z68" i="9"/>
  <c r="W68" i="9"/>
  <c r="V68" i="9"/>
  <c r="U68" i="9"/>
  <c r="T68" i="9"/>
  <c r="S68" i="9"/>
  <c r="R68" i="9"/>
  <c r="Q68" i="9"/>
  <c r="P68" i="9"/>
  <c r="O68" i="9"/>
  <c r="N68" i="9"/>
  <c r="M68" i="9"/>
  <c r="L68" i="9"/>
  <c r="K68" i="9"/>
  <c r="J68" i="9"/>
  <c r="I68" i="9"/>
  <c r="H68" i="9"/>
  <c r="G68" i="9"/>
  <c r="F68" i="9"/>
  <c r="E68" i="9"/>
  <c r="D68" i="9"/>
  <c r="C68" i="9"/>
  <c r="B68" i="9"/>
  <c r="A68" i="9"/>
  <c r="AP67" i="9"/>
  <c r="AN67" i="9"/>
  <c r="AM67" i="9"/>
  <c r="AL67" i="9"/>
  <c r="AK67" i="9"/>
  <c r="AA67" i="9"/>
  <c r="Z67" i="9"/>
  <c r="W67" i="9"/>
  <c r="V67" i="9"/>
  <c r="U67" i="9"/>
  <c r="T67" i="9"/>
  <c r="S67" i="9"/>
  <c r="R67" i="9"/>
  <c r="Q67" i="9"/>
  <c r="P67" i="9"/>
  <c r="O67" i="9"/>
  <c r="N67" i="9"/>
  <c r="M67" i="9"/>
  <c r="L67" i="9"/>
  <c r="K67" i="9"/>
  <c r="J67" i="9"/>
  <c r="I67" i="9"/>
  <c r="H67" i="9"/>
  <c r="G67" i="9"/>
  <c r="F67" i="9"/>
  <c r="E67" i="9"/>
  <c r="D67" i="9"/>
  <c r="C67" i="9"/>
  <c r="B67" i="9"/>
  <c r="A67" i="9"/>
  <c r="AP66" i="9"/>
  <c r="AN66" i="9"/>
  <c r="AM66" i="9"/>
  <c r="AL66" i="9"/>
  <c r="AK66" i="9"/>
  <c r="Z66" i="9"/>
  <c r="W66" i="9"/>
  <c r="V66" i="9"/>
  <c r="U66" i="9"/>
  <c r="T66" i="9"/>
  <c r="S66" i="9"/>
  <c r="R66" i="9"/>
  <c r="Q66" i="9"/>
  <c r="P66" i="9"/>
  <c r="O66" i="9"/>
  <c r="N66" i="9"/>
  <c r="M66" i="9"/>
  <c r="L66" i="9"/>
  <c r="K66" i="9"/>
  <c r="J66" i="9"/>
  <c r="I66" i="9"/>
  <c r="H66" i="9"/>
  <c r="G66" i="9"/>
  <c r="F66" i="9"/>
  <c r="E66" i="9"/>
  <c r="D66" i="9"/>
  <c r="C66" i="9"/>
  <c r="B66" i="9"/>
  <c r="A66" i="9"/>
  <c r="AP65" i="9"/>
  <c r="AN65" i="9"/>
  <c r="AM65" i="9"/>
  <c r="AL65" i="9"/>
  <c r="AK65" i="9"/>
  <c r="Z65" i="9"/>
  <c r="W65" i="9"/>
  <c r="V65" i="9"/>
  <c r="U65" i="9"/>
  <c r="T65" i="9"/>
  <c r="S65" i="9"/>
  <c r="R65" i="9"/>
  <c r="Q65" i="9"/>
  <c r="P65" i="9"/>
  <c r="O65" i="9"/>
  <c r="N65" i="9"/>
  <c r="M65" i="9"/>
  <c r="L65" i="9"/>
  <c r="K65" i="9"/>
  <c r="J65" i="9"/>
  <c r="I65" i="9"/>
  <c r="H65" i="9"/>
  <c r="G65" i="9"/>
  <c r="F65" i="9"/>
  <c r="E65" i="9"/>
  <c r="D65" i="9"/>
  <c r="C65" i="9"/>
  <c r="B65" i="9"/>
  <c r="A65" i="9"/>
  <c r="AP64" i="9"/>
  <c r="AN64" i="9"/>
  <c r="AL64" i="9"/>
  <c r="AK64" i="9"/>
  <c r="Z64" i="9"/>
  <c r="W64" i="9"/>
  <c r="V64" i="9"/>
  <c r="U64" i="9"/>
  <c r="T64" i="9"/>
  <c r="S64" i="9"/>
  <c r="R64" i="9"/>
  <c r="Q64" i="9"/>
  <c r="P64" i="9"/>
  <c r="O64" i="9"/>
  <c r="N64" i="9"/>
  <c r="M64" i="9"/>
  <c r="L64" i="9"/>
  <c r="K64" i="9"/>
  <c r="J64" i="9"/>
  <c r="I64" i="9"/>
  <c r="H64" i="9"/>
  <c r="G64" i="9"/>
  <c r="F64" i="9"/>
  <c r="E64" i="9"/>
  <c r="D64" i="9"/>
  <c r="C64" i="9"/>
  <c r="B64" i="9"/>
  <c r="A64" i="9"/>
  <c r="AP63" i="9"/>
  <c r="AK63" i="9"/>
  <c r="AA63" i="9"/>
  <c r="Z63" i="9"/>
  <c r="W63" i="9"/>
  <c r="V63" i="9"/>
  <c r="U63" i="9"/>
  <c r="T63" i="9"/>
  <c r="S63" i="9"/>
  <c r="R63" i="9"/>
  <c r="Q63" i="9"/>
  <c r="P63" i="9"/>
  <c r="O63" i="9"/>
  <c r="N63" i="9"/>
  <c r="M63" i="9"/>
  <c r="L63" i="9"/>
  <c r="K63" i="9"/>
  <c r="J63" i="9"/>
  <c r="I63" i="9"/>
  <c r="H63" i="9"/>
  <c r="G63" i="9"/>
  <c r="F63" i="9"/>
  <c r="E63" i="9"/>
  <c r="D63" i="9"/>
  <c r="C63" i="9"/>
  <c r="B63" i="9"/>
  <c r="A63" i="9"/>
  <c r="AP62" i="9"/>
  <c r="AN62" i="9"/>
  <c r="AM62" i="9"/>
  <c r="AL62" i="9"/>
  <c r="AK62" i="9"/>
  <c r="Z62" i="9"/>
  <c r="W62" i="9"/>
  <c r="V62" i="9"/>
  <c r="U62" i="9"/>
  <c r="T62" i="9"/>
  <c r="S62" i="9"/>
  <c r="R62" i="9"/>
  <c r="Q62" i="9"/>
  <c r="P62" i="9"/>
  <c r="O62" i="9"/>
  <c r="N62" i="9"/>
  <c r="M62" i="9"/>
  <c r="L62" i="9"/>
  <c r="K62" i="9"/>
  <c r="J62" i="9"/>
  <c r="I62" i="9"/>
  <c r="H62" i="9"/>
  <c r="G62" i="9"/>
  <c r="F62" i="9"/>
  <c r="E62" i="9"/>
  <c r="D62" i="9"/>
  <c r="C62" i="9"/>
  <c r="B62" i="9"/>
  <c r="A62" i="9"/>
  <c r="AP61" i="9"/>
  <c r="AN61" i="9"/>
  <c r="AL61" i="9"/>
  <c r="AK61" i="9"/>
  <c r="Z61" i="9"/>
  <c r="W61" i="9"/>
  <c r="V61" i="9"/>
  <c r="U61" i="9"/>
  <c r="T61" i="9"/>
  <c r="S61" i="9"/>
  <c r="R61" i="9"/>
  <c r="Q61" i="9"/>
  <c r="P61" i="9"/>
  <c r="O61" i="9"/>
  <c r="N61" i="9"/>
  <c r="M61" i="9"/>
  <c r="L61" i="9"/>
  <c r="K61" i="9"/>
  <c r="J61" i="9"/>
  <c r="I61" i="9"/>
  <c r="H61" i="9"/>
  <c r="G61" i="9"/>
  <c r="F61" i="9"/>
  <c r="E61" i="9"/>
  <c r="D61" i="9"/>
  <c r="C61" i="9"/>
  <c r="B61" i="9"/>
  <c r="A61" i="9"/>
  <c r="AP60" i="9"/>
  <c r="AN60" i="9"/>
  <c r="AL60" i="9"/>
  <c r="AK60" i="9"/>
  <c r="AH60" i="9"/>
  <c r="AF60" i="9"/>
  <c r="AE60" i="9"/>
  <c r="AA60" i="9"/>
  <c r="Z60" i="9"/>
  <c r="W60" i="9"/>
  <c r="V60" i="9"/>
  <c r="U60" i="9"/>
  <c r="T60" i="9"/>
  <c r="S60" i="9"/>
  <c r="R60" i="9"/>
  <c r="Q60" i="9"/>
  <c r="P60" i="9"/>
  <c r="O60" i="9"/>
  <c r="N60" i="9"/>
  <c r="M60" i="9"/>
  <c r="L60" i="9"/>
  <c r="K60" i="9"/>
  <c r="J60" i="9"/>
  <c r="I60" i="9"/>
  <c r="H60" i="9"/>
  <c r="G60" i="9"/>
  <c r="F60" i="9"/>
  <c r="E60" i="9"/>
  <c r="D60" i="9"/>
  <c r="C60" i="9"/>
  <c r="B60" i="9"/>
  <c r="A60" i="9"/>
  <c r="AN59" i="9"/>
  <c r="AL59" i="9"/>
  <c r="AK59" i="9"/>
  <c r="Z59" i="9"/>
  <c r="W59" i="9"/>
  <c r="V59" i="9"/>
  <c r="U59" i="9"/>
  <c r="T59" i="9"/>
  <c r="S59" i="9"/>
  <c r="R59" i="9"/>
  <c r="Q59" i="9"/>
  <c r="P59" i="9"/>
  <c r="O59" i="9"/>
  <c r="N59" i="9"/>
  <c r="M59" i="9"/>
  <c r="L59" i="9"/>
  <c r="K59" i="9"/>
  <c r="J59" i="9"/>
  <c r="I59" i="9"/>
  <c r="H59" i="9"/>
  <c r="G59" i="9"/>
  <c r="F59" i="9"/>
  <c r="E59" i="9"/>
  <c r="D59" i="9"/>
  <c r="C59" i="9"/>
  <c r="B59" i="9"/>
  <c r="A59" i="9"/>
  <c r="AP58" i="9"/>
  <c r="AN58" i="9"/>
  <c r="AM58" i="9"/>
  <c r="AL58" i="9"/>
  <c r="AK58" i="9"/>
  <c r="AA58" i="9"/>
  <c r="Z58" i="9"/>
  <c r="W58" i="9"/>
  <c r="V58" i="9"/>
  <c r="U58" i="9"/>
  <c r="T58" i="9"/>
  <c r="S58" i="9"/>
  <c r="R58" i="9"/>
  <c r="Q58" i="9"/>
  <c r="P58" i="9"/>
  <c r="O58" i="9"/>
  <c r="N58" i="9"/>
  <c r="M58" i="9"/>
  <c r="L58" i="9"/>
  <c r="K58" i="9"/>
  <c r="J58" i="9"/>
  <c r="I58" i="9"/>
  <c r="H58" i="9"/>
  <c r="G58" i="9"/>
  <c r="F58" i="9"/>
  <c r="E58" i="9"/>
  <c r="D58" i="9"/>
  <c r="C58" i="9"/>
  <c r="B58" i="9"/>
  <c r="A58" i="9"/>
  <c r="AP57" i="9"/>
  <c r="AN57" i="9"/>
  <c r="AL57" i="9"/>
  <c r="AK57" i="9"/>
  <c r="Z57" i="9"/>
  <c r="W57" i="9"/>
  <c r="V57" i="9"/>
  <c r="U57" i="9"/>
  <c r="T57" i="9"/>
  <c r="S57" i="9"/>
  <c r="R57" i="9"/>
  <c r="Q57" i="9"/>
  <c r="P57" i="9"/>
  <c r="O57" i="9"/>
  <c r="N57" i="9"/>
  <c r="M57" i="9"/>
  <c r="L57" i="9"/>
  <c r="K57" i="9"/>
  <c r="J57" i="9"/>
  <c r="I57" i="9"/>
  <c r="H57" i="9"/>
  <c r="G57" i="9"/>
  <c r="F57" i="9"/>
  <c r="E57" i="9"/>
  <c r="D57" i="9"/>
  <c r="C57" i="9"/>
  <c r="B57" i="9"/>
  <c r="A57" i="9"/>
  <c r="AP56" i="9"/>
  <c r="AN56" i="9"/>
  <c r="AL56" i="9"/>
  <c r="AK56" i="9"/>
  <c r="AB56" i="9"/>
  <c r="Z56" i="9"/>
  <c r="W56" i="9"/>
  <c r="V56" i="9"/>
  <c r="U56" i="9"/>
  <c r="T56" i="9"/>
  <c r="S56" i="9"/>
  <c r="R56" i="9"/>
  <c r="Q56" i="9"/>
  <c r="P56" i="9"/>
  <c r="O56" i="9"/>
  <c r="N56" i="9"/>
  <c r="M56" i="9"/>
  <c r="L56" i="9"/>
  <c r="K56" i="9"/>
  <c r="J56" i="9"/>
  <c r="I56" i="9"/>
  <c r="H56" i="9"/>
  <c r="G56" i="9"/>
  <c r="F56" i="9"/>
  <c r="E56" i="9"/>
  <c r="D56" i="9"/>
  <c r="C56" i="9"/>
  <c r="B56" i="9"/>
  <c r="A56" i="9"/>
  <c r="AP55" i="9"/>
  <c r="Z55" i="9"/>
  <c r="W55" i="9"/>
  <c r="V55" i="9"/>
  <c r="U55" i="9"/>
  <c r="T55" i="9"/>
  <c r="S55" i="9"/>
  <c r="R55" i="9"/>
  <c r="Q55" i="9"/>
  <c r="P55" i="9"/>
  <c r="O55" i="9"/>
  <c r="N55" i="9"/>
  <c r="M55" i="9"/>
  <c r="L55" i="9"/>
  <c r="K55" i="9"/>
  <c r="J55" i="9"/>
  <c r="H55" i="9"/>
  <c r="G55" i="9"/>
  <c r="F55" i="9"/>
  <c r="E55" i="9"/>
  <c r="D55" i="9"/>
  <c r="C55" i="9"/>
  <c r="B55" i="9"/>
  <c r="AP54" i="9"/>
  <c r="AN54" i="9"/>
  <c r="AM54" i="9"/>
  <c r="AL54" i="9"/>
  <c r="Z54" i="9"/>
  <c r="Y54" i="9"/>
  <c r="W54" i="9"/>
  <c r="V54" i="9"/>
  <c r="U54" i="9"/>
  <c r="T54" i="9"/>
  <c r="S54" i="9"/>
  <c r="R54" i="9"/>
  <c r="Q54" i="9"/>
  <c r="P54" i="9"/>
  <c r="O54" i="9"/>
  <c r="N54" i="9"/>
  <c r="M54" i="9"/>
  <c r="L54" i="9"/>
  <c r="K54" i="9"/>
  <c r="J54" i="9"/>
  <c r="I54" i="9"/>
  <c r="H54" i="9"/>
  <c r="G54" i="9"/>
  <c r="F54" i="9"/>
  <c r="E54" i="9"/>
  <c r="D54" i="9"/>
  <c r="C54" i="9"/>
  <c r="B54" i="9"/>
  <c r="AP53" i="9"/>
  <c r="AN53" i="9"/>
  <c r="AM53" i="9"/>
  <c r="AL53" i="9"/>
  <c r="AK53" i="9"/>
  <c r="AH53" i="9"/>
  <c r="AF53" i="9"/>
  <c r="AE53" i="9"/>
  <c r="AB53" i="9"/>
  <c r="Z53" i="9"/>
  <c r="Y53" i="9"/>
  <c r="W53" i="9"/>
  <c r="V53" i="9"/>
  <c r="U53" i="9"/>
  <c r="T53" i="9"/>
  <c r="S53" i="9"/>
  <c r="R53" i="9"/>
  <c r="Q53" i="9"/>
  <c r="P53" i="9"/>
  <c r="O53" i="9"/>
  <c r="N53" i="9"/>
  <c r="L53" i="9"/>
  <c r="K53" i="9"/>
  <c r="J53" i="9"/>
  <c r="H53" i="9"/>
  <c r="G53" i="9"/>
  <c r="F53" i="9"/>
  <c r="E53" i="9"/>
  <c r="D53" i="9"/>
  <c r="C53" i="9"/>
  <c r="B53" i="9"/>
  <c r="A53" i="9"/>
  <c r="AP52" i="9"/>
  <c r="AN52" i="9"/>
  <c r="AL52" i="9"/>
  <c r="AK52" i="9"/>
  <c r="Z52" i="9"/>
  <c r="Y52" i="9"/>
  <c r="W52" i="9"/>
  <c r="V52" i="9"/>
  <c r="U52" i="9"/>
  <c r="T52" i="9"/>
  <c r="S52" i="9"/>
  <c r="R52" i="9"/>
  <c r="Q52" i="9"/>
  <c r="P52" i="9"/>
  <c r="O52" i="9"/>
  <c r="N52" i="9"/>
  <c r="L52" i="9"/>
  <c r="K52" i="9"/>
  <c r="J52" i="9"/>
  <c r="I52" i="9"/>
  <c r="H52" i="9"/>
  <c r="G52" i="9"/>
  <c r="F52" i="9"/>
  <c r="E52" i="9"/>
  <c r="D52" i="9"/>
  <c r="C52" i="9"/>
  <c r="B52" i="9"/>
  <c r="A52" i="9"/>
  <c r="AP51" i="9"/>
  <c r="AN51" i="9"/>
  <c r="AM51" i="9"/>
  <c r="AL51" i="9"/>
  <c r="AK51" i="9"/>
  <c r="AA51" i="9"/>
  <c r="Z51" i="9"/>
  <c r="Y51" i="9"/>
  <c r="W51" i="9"/>
  <c r="V51" i="9"/>
  <c r="U51" i="9"/>
  <c r="T51" i="9"/>
  <c r="S51" i="9"/>
  <c r="R51" i="9"/>
  <c r="Q51" i="9"/>
  <c r="P51" i="9"/>
  <c r="O51" i="9"/>
  <c r="N51" i="9"/>
  <c r="M51" i="9"/>
  <c r="L51" i="9"/>
  <c r="K51" i="9"/>
  <c r="J51" i="9"/>
  <c r="I51" i="9"/>
  <c r="H51" i="9"/>
  <c r="G51" i="9"/>
  <c r="F51" i="9"/>
  <c r="E51" i="9"/>
  <c r="D51" i="9"/>
  <c r="C51" i="9"/>
  <c r="B51" i="9"/>
  <c r="A51" i="9"/>
  <c r="AP50" i="9"/>
  <c r="AN50" i="9"/>
  <c r="AM50" i="9"/>
  <c r="AL50" i="9"/>
  <c r="AK50" i="9"/>
  <c r="AB50" i="9"/>
  <c r="Z50" i="9"/>
  <c r="Y50" i="9"/>
  <c r="W50" i="9"/>
  <c r="V50" i="9"/>
  <c r="U50" i="9"/>
  <c r="T50" i="9"/>
  <c r="S50" i="9"/>
  <c r="R50" i="9"/>
  <c r="Q50" i="9"/>
  <c r="P50" i="9"/>
  <c r="O50" i="9"/>
  <c r="N50" i="9"/>
  <c r="L50" i="9"/>
  <c r="K50" i="9"/>
  <c r="J50" i="9"/>
  <c r="H50" i="9"/>
  <c r="G50" i="9"/>
  <c r="F50" i="9"/>
  <c r="E50" i="9"/>
  <c r="D50" i="9"/>
  <c r="C50" i="9"/>
  <c r="B50" i="9"/>
  <c r="A50" i="9"/>
  <c r="AP49" i="9"/>
  <c r="AN49" i="9"/>
  <c r="AM49" i="9"/>
  <c r="AL49" i="9"/>
  <c r="AH49" i="9"/>
  <c r="AF49" i="9"/>
  <c r="AE49" i="9"/>
  <c r="Z49" i="9"/>
  <c r="W49" i="9"/>
  <c r="V49" i="9"/>
  <c r="U49" i="9"/>
  <c r="T49" i="9"/>
  <c r="S49" i="9"/>
  <c r="R49" i="9"/>
  <c r="Q49" i="9"/>
  <c r="P49" i="9"/>
  <c r="O49" i="9"/>
  <c r="N49" i="9"/>
  <c r="M49" i="9"/>
  <c r="L49" i="9"/>
  <c r="K49" i="9"/>
  <c r="J49" i="9"/>
  <c r="I49" i="9"/>
  <c r="H49" i="9"/>
  <c r="G49" i="9"/>
  <c r="F49" i="9"/>
  <c r="E49" i="9"/>
  <c r="D49" i="9"/>
  <c r="C49" i="9"/>
  <c r="B49" i="9"/>
  <c r="AP48" i="9"/>
  <c r="AO48" i="9"/>
  <c r="AN48" i="9"/>
  <c r="AM48" i="9"/>
  <c r="AL48" i="9"/>
  <c r="AJ48" i="9"/>
  <c r="AH48" i="9"/>
  <c r="AF48" i="9"/>
  <c r="AC48" i="9"/>
  <c r="Z48" i="9"/>
  <c r="W48" i="9"/>
  <c r="V48" i="9"/>
  <c r="U48" i="9"/>
  <c r="T48" i="9"/>
  <c r="S48" i="9"/>
  <c r="R48" i="9"/>
  <c r="Q48" i="9"/>
  <c r="P48" i="9"/>
  <c r="O48" i="9"/>
  <c r="N48" i="9"/>
  <c r="M48" i="9"/>
  <c r="L48" i="9"/>
  <c r="K48" i="9"/>
  <c r="J48" i="9"/>
  <c r="I48" i="9"/>
  <c r="H48" i="9"/>
  <c r="G48" i="9"/>
  <c r="F48" i="9"/>
  <c r="E48" i="9"/>
  <c r="D48" i="9"/>
  <c r="C48" i="9"/>
  <c r="B48" i="9"/>
  <c r="AP47" i="9"/>
  <c r="AN47" i="9"/>
  <c r="AL47" i="9"/>
  <c r="AF47" i="9"/>
  <c r="AE47" i="9"/>
  <c r="AA47" i="9"/>
  <c r="Z47" i="9"/>
  <c r="X47" i="9"/>
  <c r="W47" i="9"/>
  <c r="V47" i="9"/>
  <c r="U47" i="9"/>
  <c r="S47" i="9"/>
  <c r="R47" i="9"/>
  <c r="Q47" i="9"/>
  <c r="P47" i="9"/>
  <c r="O47" i="9"/>
  <c r="N47" i="9"/>
  <c r="M47" i="9"/>
  <c r="L47" i="9"/>
  <c r="K47" i="9"/>
  <c r="J47" i="9"/>
  <c r="I47" i="9"/>
  <c r="H47" i="9"/>
  <c r="G47" i="9"/>
  <c r="F47" i="9"/>
  <c r="E47" i="9"/>
  <c r="D47" i="9"/>
  <c r="C47" i="9"/>
  <c r="B47" i="9"/>
  <c r="AP46" i="9"/>
  <c r="AN46" i="9"/>
  <c r="AM46" i="9"/>
  <c r="AH46" i="9"/>
  <c r="AG46" i="9"/>
  <c r="AD46" i="9"/>
  <c r="AA46" i="9"/>
  <c r="Z46" i="9"/>
  <c r="X46" i="9"/>
  <c r="W46" i="9"/>
  <c r="V46" i="9"/>
  <c r="U46" i="9"/>
  <c r="T46" i="9"/>
  <c r="S46" i="9"/>
  <c r="R46" i="9"/>
  <c r="Q46" i="9"/>
  <c r="P46" i="9"/>
  <c r="O46" i="9"/>
  <c r="N46" i="9"/>
  <c r="M46" i="9"/>
  <c r="L46" i="9"/>
  <c r="K46" i="9"/>
  <c r="J46" i="9"/>
  <c r="I46" i="9"/>
  <c r="H46" i="9"/>
  <c r="G46" i="9"/>
  <c r="F46" i="9"/>
  <c r="E46" i="9"/>
  <c r="D46" i="9"/>
  <c r="C46" i="9"/>
  <c r="B46" i="9"/>
  <c r="AP45" i="9"/>
  <c r="AN45" i="9"/>
  <c r="AM45" i="9"/>
  <c r="AL45" i="9"/>
  <c r="AK45" i="9"/>
  <c r="Z45" i="9"/>
  <c r="W45" i="9"/>
  <c r="V45" i="9"/>
  <c r="U45" i="9"/>
  <c r="T45" i="9"/>
  <c r="S45" i="9"/>
  <c r="R45" i="9"/>
  <c r="Q45" i="9"/>
  <c r="P45" i="9"/>
  <c r="O45" i="9"/>
  <c r="N45" i="9"/>
  <c r="L45" i="9"/>
  <c r="K45" i="9"/>
  <c r="J45" i="9"/>
  <c r="I45" i="9"/>
  <c r="H45" i="9"/>
  <c r="G45" i="9"/>
  <c r="F45" i="9"/>
  <c r="E45" i="9"/>
  <c r="D45" i="9"/>
  <c r="C45" i="9"/>
  <c r="B45" i="9"/>
  <c r="A45" i="9"/>
  <c r="AP44" i="9"/>
  <c r="AN44" i="9"/>
  <c r="AM44" i="9"/>
  <c r="AL44" i="9"/>
  <c r="AK44" i="9"/>
  <c r="AF44" i="9"/>
  <c r="AE44" i="9"/>
  <c r="AA44" i="9"/>
  <c r="Z44" i="9"/>
  <c r="W44" i="9"/>
  <c r="V44" i="9"/>
  <c r="U44" i="9"/>
  <c r="T44" i="9"/>
  <c r="S44" i="9"/>
  <c r="R44" i="9"/>
  <c r="Q44" i="9"/>
  <c r="P44" i="9"/>
  <c r="O44" i="9"/>
  <c r="N44" i="9"/>
  <c r="M44" i="9"/>
  <c r="L44" i="9"/>
  <c r="K44" i="9"/>
  <c r="J44" i="9"/>
  <c r="I44" i="9"/>
  <c r="H44" i="9"/>
  <c r="G44" i="9"/>
  <c r="F44" i="9"/>
  <c r="E44" i="9"/>
  <c r="D44" i="9"/>
  <c r="C44" i="9"/>
  <c r="B44" i="9"/>
  <c r="A44" i="9"/>
  <c r="AP43" i="9"/>
  <c r="AN43" i="9"/>
  <c r="AL43" i="9"/>
  <c r="AK43" i="9"/>
  <c r="AH43" i="9"/>
  <c r="AF43" i="9"/>
  <c r="AE43" i="9"/>
  <c r="Z43" i="9"/>
  <c r="X43" i="9"/>
  <c r="W43" i="9"/>
  <c r="V43" i="9"/>
  <c r="U43" i="9"/>
  <c r="T43" i="9"/>
  <c r="S43" i="9"/>
  <c r="R43" i="9"/>
  <c r="Q43" i="9"/>
  <c r="P43" i="9"/>
  <c r="O43" i="9"/>
  <c r="N43" i="9"/>
  <c r="M43" i="9"/>
  <c r="L43" i="9"/>
  <c r="K43" i="9"/>
  <c r="J43" i="9"/>
  <c r="I43" i="9"/>
  <c r="H43" i="9"/>
  <c r="G43" i="9"/>
  <c r="F43" i="9"/>
  <c r="E43" i="9"/>
  <c r="D43" i="9"/>
  <c r="C43" i="9"/>
  <c r="B43" i="9"/>
  <c r="A43" i="9"/>
  <c r="AP42" i="9"/>
  <c r="AN42" i="9"/>
  <c r="AM42" i="9"/>
  <c r="AL42" i="9"/>
  <c r="AK42" i="9"/>
  <c r="AB42" i="9"/>
  <c r="AA42" i="9"/>
  <c r="Z42" i="9"/>
  <c r="W42" i="9"/>
  <c r="V42" i="9"/>
  <c r="U42" i="9"/>
  <c r="T42" i="9"/>
  <c r="S42" i="9"/>
  <c r="R42" i="9"/>
  <c r="Q42" i="9"/>
  <c r="P42" i="9"/>
  <c r="O42" i="9"/>
  <c r="N42" i="9"/>
  <c r="M42" i="9"/>
  <c r="L42" i="9"/>
  <c r="K42" i="9"/>
  <c r="J42" i="9"/>
  <c r="I42" i="9"/>
  <c r="H42" i="9"/>
  <c r="G42" i="9"/>
  <c r="F42" i="9"/>
  <c r="E42" i="9"/>
  <c r="D42" i="9"/>
  <c r="C42" i="9"/>
  <c r="B42" i="9"/>
  <c r="A42" i="9"/>
  <c r="AP41" i="9"/>
  <c r="AN41" i="9"/>
  <c r="AL41" i="9"/>
  <c r="AK41" i="9"/>
  <c r="AF41" i="9"/>
  <c r="AE41" i="9"/>
  <c r="AA41" i="9"/>
  <c r="Z41" i="9"/>
  <c r="W41" i="9"/>
  <c r="V41" i="9"/>
  <c r="U41" i="9"/>
  <c r="T41" i="9"/>
  <c r="S41" i="9"/>
  <c r="R41" i="9"/>
  <c r="Q41" i="9"/>
  <c r="P41" i="9"/>
  <c r="O41" i="9"/>
  <c r="N41" i="9"/>
  <c r="M41" i="9"/>
  <c r="L41" i="9"/>
  <c r="K41" i="9"/>
  <c r="J41" i="9"/>
  <c r="H41" i="9"/>
  <c r="G41" i="9"/>
  <c r="F41" i="9"/>
  <c r="E41" i="9"/>
  <c r="D41" i="9"/>
  <c r="C41" i="9"/>
  <c r="B41" i="9"/>
  <c r="A41" i="9"/>
  <c r="AP40" i="9"/>
  <c r="AN40" i="9"/>
  <c r="AM40" i="9"/>
  <c r="AL40" i="9"/>
  <c r="AK40" i="9"/>
  <c r="AB40" i="9"/>
  <c r="Z40" i="9"/>
  <c r="W40" i="9"/>
  <c r="V40" i="9"/>
  <c r="U40" i="9"/>
  <c r="T40" i="9"/>
  <c r="S40" i="9"/>
  <c r="R40" i="9"/>
  <c r="Q40" i="9"/>
  <c r="P40" i="9"/>
  <c r="O40" i="9"/>
  <c r="N40" i="9"/>
  <c r="M40" i="9"/>
  <c r="L40" i="9"/>
  <c r="K40" i="9"/>
  <c r="J40" i="9"/>
  <c r="H40" i="9"/>
  <c r="G40" i="9"/>
  <c r="F40" i="9"/>
  <c r="E40" i="9"/>
  <c r="D40" i="9"/>
  <c r="C40" i="9"/>
  <c r="B40" i="9"/>
  <c r="A40" i="9"/>
  <c r="AP39" i="9"/>
  <c r="AN39" i="9"/>
  <c r="AL39" i="9"/>
  <c r="AK39" i="9"/>
  <c r="AA39" i="9"/>
  <c r="Z39" i="9"/>
  <c r="W39" i="9"/>
  <c r="V39" i="9"/>
  <c r="U39" i="9"/>
  <c r="T39" i="9"/>
  <c r="S39" i="9"/>
  <c r="R39" i="9"/>
  <c r="Q39" i="9"/>
  <c r="P39" i="9"/>
  <c r="O39" i="9"/>
  <c r="N39" i="9"/>
  <c r="L39" i="9"/>
  <c r="K39" i="9"/>
  <c r="J39" i="9"/>
  <c r="H39" i="9"/>
  <c r="G39" i="9"/>
  <c r="F39" i="9"/>
  <c r="E39" i="9"/>
  <c r="D39" i="9"/>
  <c r="C39" i="9"/>
  <c r="B39" i="9"/>
  <c r="A39" i="9"/>
  <c r="AN38" i="9"/>
  <c r="AM38" i="9"/>
  <c r="AL38" i="9"/>
  <c r="AK38" i="9"/>
  <c r="AJ38" i="9"/>
  <c r="AI38" i="9"/>
  <c r="AH38" i="9"/>
  <c r="AA38" i="9"/>
  <c r="Z38" i="9"/>
  <c r="W38" i="9"/>
  <c r="V38" i="9"/>
  <c r="U38" i="9"/>
  <c r="T38" i="9"/>
  <c r="S38" i="9"/>
  <c r="R38" i="9"/>
  <c r="Q38" i="9"/>
  <c r="P38" i="9"/>
  <c r="O38" i="9"/>
  <c r="N38" i="9"/>
  <c r="L38" i="9"/>
  <c r="K38" i="9"/>
  <c r="J38" i="9"/>
  <c r="I38" i="9"/>
  <c r="H38" i="9"/>
  <c r="G38" i="9"/>
  <c r="F38" i="9"/>
  <c r="E38" i="9"/>
  <c r="D38" i="9"/>
  <c r="C38" i="9"/>
  <c r="B38" i="9"/>
  <c r="A38" i="9"/>
  <c r="AP37" i="9"/>
  <c r="AN37" i="9"/>
  <c r="AM37" i="9"/>
  <c r="AL37" i="9"/>
  <c r="AK37" i="9"/>
  <c r="AA37" i="9"/>
  <c r="Z37" i="9"/>
  <c r="W37" i="9"/>
  <c r="V37" i="9"/>
  <c r="U37" i="9"/>
  <c r="T37" i="9"/>
  <c r="S37" i="9"/>
  <c r="R37" i="9"/>
  <c r="Q37" i="9"/>
  <c r="P37" i="9"/>
  <c r="O37" i="9"/>
  <c r="N37" i="9"/>
  <c r="L37" i="9"/>
  <c r="K37" i="9"/>
  <c r="J37" i="9"/>
  <c r="I37" i="9"/>
  <c r="H37" i="9"/>
  <c r="G37" i="9"/>
  <c r="F37" i="9"/>
  <c r="E37" i="9"/>
  <c r="D37" i="9"/>
  <c r="C37" i="9"/>
  <c r="B37" i="9"/>
  <c r="A37" i="9"/>
  <c r="AO36" i="9"/>
  <c r="AN36" i="9"/>
  <c r="AM36" i="9"/>
  <c r="AL36" i="9"/>
  <c r="AK36" i="9"/>
  <c r="AA36" i="9"/>
  <c r="Z36" i="9"/>
  <c r="W36" i="9"/>
  <c r="V36" i="9"/>
  <c r="U36" i="9"/>
  <c r="T36" i="9"/>
  <c r="S36" i="9"/>
  <c r="R36" i="9"/>
  <c r="Q36" i="9"/>
  <c r="P36" i="9"/>
  <c r="O36" i="9"/>
  <c r="N36" i="9"/>
  <c r="L36" i="9"/>
  <c r="K36" i="9"/>
  <c r="J36" i="9"/>
  <c r="H36" i="9"/>
  <c r="G36" i="9"/>
  <c r="F36" i="9"/>
  <c r="E36" i="9"/>
  <c r="D36" i="9"/>
  <c r="C36" i="9"/>
  <c r="B36" i="9"/>
  <c r="A36" i="9"/>
  <c r="AP35" i="9"/>
  <c r="AN35" i="9"/>
  <c r="AM35" i="9"/>
  <c r="AL35" i="9"/>
  <c r="AK35" i="9"/>
  <c r="AA35" i="9"/>
  <c r="Z35" i="9"/>
  <c r="W35" i="9"/>
  <c r="V35" i="9"/>
  <c r="U35" i="9"/>
  <c r="T35" i="9"/>
  <c r="S35" i="9"/>
  <c r="R35" i="9"/>
  <c r="Q35" i="9"/>
  <c r="P35" i="9"/>
  <c r="O35" i="9"/>
  <c r="N35" i="9"/>
  <c r="L35" i="9"/>
  <c r="K35" i="9"/>
  <c r="J35" i="9"/>
  <c r="H35" i="9"/>
  <c r="G35" i="9"/>
  <c r="F35" i="9"/>
  <c r="E35" i="9"/>
  <c r="D35" i="9"/>
  <c r="C35" i="9"/>
  <c r="B35" i="9"/>
  <c r="A35" i="9"/>
  <c r="AP34" i="9"/>
  <c r="AN34" i="9"/>
  <c r="AM34" i="9"/>
  <c r="AL34" i="9"/>
  <c r="AK34" i="9"/>
  <c r="AF34" i="9"/>
  <c r="AE34" i="9"/>
  <c r="Z34" i="9"/>
  <c r="W34" i="9"/>
  <c r="V34" i="9"/>
  <c r="U34" i="9"/>
  <c r="T34" i="9"/>
  <c r="S34" i="9"/>
  <c r="R34" i="9"/>
  <c r="Q34" i="9"/>
  <c r="P34" i="9"/>
  <c r="O34" i="9"/>
  <c r="N34" i="9"/>
  <c r="L34" i="9"/>
  <c r="K34" i="9"/>
  <c r="J34" i="9"/>
  <c r="I34" i="9"/>
  <c r="H34" i="9"/>
  <c r="G34" i="9"/>
  <c r="F34" i="9"/>
  <c r="E34" i="9"/>
  <c r="D34" i="9"/>
  <c r="C34" i="9"/>
  <c r="B34" i="9"/>
  <c r="A34" i="9"/>
  <c r="AP33" i="9"/>
  <c r="AN33" i="9"/>
  <c r="AM33" i="9"/>
  <c r="AL33" i="9"/>
  <c r="AK33" i="9"/>
  <c r="AA33" i="9"/>
  <c r="Z33" i="9"/>
  <c r="W33" i="9"/>
  <c r="V33" i="9"/>
  <c r="U33" i="9"/>
  <c r="T33" i="9"/>
  <c r="S33" i="9"/>
  <c r="R33" i="9"/>
  <c r="Q33" i="9"/>
  <c r="P33" i="9"/>
  <c r="O33" i="9"/>
  <c r="N33" i="9"/>
  <c r="M33" i="9"/>
  <c r="L33" i="9"/>
  <c r="K33" i="9"/>
  <c r="J33" i="9"/>
  <c r="I33" i="9"/>
  <c r="H33" i="9"/>
  <c r="G33" i="9"/>
  <c r="F33" i="9"/>
  <c r="E33" i="9"/>
  <c r="D33" i="9"/>
  <c r="C33" i="9"/>
  <c r="B33" i="9"/>
  <c r="A33" i="9"/>
  <c r="AN32" i="9"/>
  <c r="AM32" i="9"/>
  <c r="AL32" i="9"/>
  <c r="AK32" i="9"/>
  <c r="AA32" i="9"/>
  <c r="Z32" i="9"/>
  <c r="W32" i="9"/>
  <c r="V32" i="9"/>
  <c r="U32" i="9"/>
  <c r="T32" i="9"/>
  <c r="S32" i="9"/>
  <c r="R32" i="9"/>
  <c r="Q32" i="9"/>
  <c r="P32" i="9"/>
  <c r="O32" i="9"/>
  <c r="N32" i="9"/>
  <c r="L32" i="9"/>
  <c r="K32" i="9"/>
  <c r="J32" i="9"/>
  <c r="I32" i="9"/>
  <c r="H32" i="9"/>
  <c r="G32" i="9"/>
  <c r="F32" i="9"/>
  <c r="E32" i="9"/>
  <c r="D32" i="9"/>
  <c r="C32" i="9"/>
  <c r="B32" i="9"/>
  <c r="A32" i="9"/>
  <c r="AP31" i="9"/>
  <c r="AN31" i="9"/>
  <c r="AM31" i="9"/>
  <c r="AL31" i="9"/>
  <c r="AK31" i="9"/>
  <c r="AA31" i="9"/>
  <c r="Z31" i="9"/>
  <c r="W31" i="9"/>
  <c r="V31" i="9"/>
  <c r="U31" i="9"/>
  <c r="T31" i="9"/>
  <c r="S31" i="9"/>
  <c r="R31" i="9"/>
  <c r="Q31" i="9"/>
  <c r="P31" i="9"/>
  <c r="O31" i="9"/>
  <c r="N31" i="9"/>
  <c r="M31" i="9"/>
  <c r="L31" i="9"/>
  <c r="K31" i="9"/>
  <c r="J31" i="9"/>
  <c r="H31" i="9"/>
  <c r="G31" i="9"/>
  <c r="F31" i="9"/>
  <c r="E31" i="9"/>
  <c r="D31" i="9"/>
  <c r="C31" i="9"/>
  <c r="B31" i="9"/>
  <c r="A31" i="9"/>
  <c r="AN30" i="9"/>
  <c r="AM30" i="9"/>
  <c r="AL30" i="9"/>
  <c r="AK30" i="9"/>
  <c r="AA30" i="9"/>
  <c r="Z30" i="9"/>
  <c r="W30" i="9"/>
  <c r="V30" i="9"/>
  <c r="U30" i="9"/>
  <c r="T30" i="9"/>
  <c r="S30" i="9"/>
  <c r="R30" i="9"/>
  <c r="Q30" i="9"/>
  <c r="P30" i="9"/>
  <c r="O30" i="9"/>
  <c r="N30" i="9"/>
  <c r="L30" i="9"/>
  <c r="K30" i="9"/>
  <c r="J30" i="9"/>
  <c r="I30" i="9"/>
  <c r="H30" i="9"/>
  <c r="G30" i="9"/>
  <c r="F30" i="9"/>
  <c r="E30" i="9"/>
  <c r="D30" i="9"/>
  <c r="C30" i="9"/>
  <c r="B30" i="9"/>
  <c r="A30" i="9"/>
  <c r="AP29" i="9"/>
  <c r="AN29" i="9"/>
  <c r="AM29" i="9"/>
  <c r="AL29" i="9"/>
  <c r="AK29" i="9"/>
  <c r="AH29" i="9"/>
  <c r="AF29" i="9"/>
  <c r="AE29" i="9"/>
  <c r="Z29" i="9"/>
  <c r="W29" i="9"/>
  <c r="V29" i="9"/>
  <c r="U29" i="9"/>
  <c r="T29" i="9"/>
  <c r="S29" i="9"/>
  <c r="R29" i="9"/>
  <c r="Q29" i="9"/>
  <c r="P29" i="9"/>
  <c r="O29" i="9"/>
  <c r="N29" i="9"/>
  <c r="M29" i="9"/>
  <c r="L29" i="9"/>
  <c r="K29" i="9"/>
  <c r="J29" i="9"/>
  <c r="H29" i="9"/>
  <c r="G29" i="9"/>
  <c r="F29" i="9"/>
  <c r="E29" i="9"/>
  <c r="D29" i="9"/>
  <c r="C29" i="9"/>
  <c r="B29" i="9"/>
  <c r="A29" i="9"/>
  <c r="AP28" i="9"/>
  <c r="AN28" i="9"/>
  <c r="AL28" i="9"/>
  <c r="AK28" i="9"/>
  <c r="AA28" i="9"/>
  <c r="Z28" i="9"/>
  <c r="W28" i="9"/>
  <c r="V28" i="9"/>
  <c r="U28" i="9"/>
  <c r="T28" i="9"/>
  <c r="S28" i="9"/>
  <c r="R28" i="9"/>
  <c r="Q28" i="9"/>
  <c r="P28" i="9"/>
  <c r="O28" i="9"/>
  <c r="N28" i="9"/>
  <c r="L28" i="9"/>
  <c r="K28" i="9"/>
  <c r="J28" i="9"/>
  <c r="H28" i="9"/>
  <c r="G28" i="9"/>
  <c r="F28" i="9"/>
  <c r="E28" i="9"/>
  <c r="D28" i="9"/>
  <c r="C28" i="9"/>
  <c r="B28" i="9"/>
  <c r="A28" i="9"/>
  <c r="AP27" i="9"/>
  <c r="AN27" i="9"/>
  <c r="AM27" i="9"/>
  <c r="AL27" i="9"/>
  <c r="AK27" i="9"/>
  <c r="AF27" i="9"/>
  <c r="AE27" i="9"/>
  <c r="Z27" i="9"/>
  <c r="W27" i="9"/>
  <c r="V27" i="9"/>
  <c r="U27" i="9"/>
  <c r="T27" i="9"/>
  <c r="S27" i="9"/>
  <c r="R27" i="9"/>
  <c r="Q27" i="9"/>
  <c r="P27" i="9"/>
  <c r="O27" i="9"/>
  <c r="N27" i="9"/>
  <c r="L27" i="9"/>
  <c r="K27" i="9"/>
  <c r="J27" i="9"/>
  <c r="H27" i="9"/>
  <c r="G27" i="9"/>
  <c r="F27" i="9"/>
  <c r="E27" i="9"/>
  <c r="D27" i="9"/>
  <c r="C27" i="9"/>
  <c r="B27" i="9"/>
  <c r="A27" i="9"/>
  <c r="AP26" i="9"/>
  <c r="AN26" i="9"/>
  <c r="AM26" i="9"/>
  <c r="AL26" i="9"/>
  <c r="AK26" i="9"/>
  <c r="Z26" i="9"/>
  <c r="X26" i="9"/>
  <c r="W26" i="9"/>
  <c r="V26" i="9"/>
  <c r="U26" i="9"/>
  <c r="T26" i="9"/>
  <c r="S26" i="9"/>
  <c r="R26" i="9"/>
  <c r="Q26" i="9"/>
  <c r="P26" i="9"/>
  <c r="O26" i="9"/>
  <c r="N26" i="9"/>
  <c r="L26" i="9"/>
  <c r="K26" i="9"/>
  <c r="J26" i="9"/>
  <c r="H26" i="9"/>
  <c r="G26" i="9"/>
  <c r="F26" i="9"/>
  <c r="E26" i="9"/>
  <c r="D26" i="9"/>
  <c r="C26" i="9"/>
  <c r="B26" i="9"/>
  <c r="A26" i="9"/>
  <c r="AP25" i="9"/>
  <c r="AN25" i="9"/>
  <c r="AM25" i="9"/>
  <c r="AL25" i="9"/>
  <c r="AK25" i="9"/>
  <c r="AH25" i="9"/>
  <c r="AF25" i="9"/>
  <c r="AE25" i="9"/>
  <c r="AA25" i="9"/>
  <c r="Z25" i="9"/>
  <c r="W25" i="9"/>
  <c r="V25" i="9"/>
  <c r="U25" i="9"/>
  <c r="T25" i="9"/>
  <c r="S25" i="9"/>
  <c r="R25" i="9"/>
  <c r="Q25" i="9"/>
  <c r="P25" i="9"/>
  <c r="O25" i="9"/>
  <c r="N25" i="9"/>
  <c r="L25" i="9"/>
  <c r="K25" i="9"/>
  <c r="J25" i="9"/>
  <c r="I25" i="9"/>
  <c r="H25" i="9"/>
  <c r="G25" i="9"/>
  <c r="F25" i="9"/>
  <c r="E25" i="9"/>
  <c r="D25" i="9"/>
  <c r="C25" i="9"/>
  <c r="B25" i="9"/>
  <c r="A25" i="9"/>
  <c r="AP24" i="9"/>
  <c r="AN24" i="9"/>
  <c r="AM24" i="9"/>
  <c r="AL24" i="9"/>
  <c r="AK24" i="9"/>
  <c r="AH24" i="9"/>
  <c r="AF24" i="9"/>
  <c r="AE24" i="9"/>
  <c r="Z24" i="9"/>
  <c r="X24" i="9"/>
  <c r="W24" i="9"/>
  <c r="V24" i="9"/>
  <c r="U24" i="9"/>
  <c r="T24" i="9"/>
  <c r="S24" i="9"/>
  <c r="R24" i="9"/>
  <c r="Q24" i="9"/>
  <c r="P24" i="9"/>
  <c r="O24" i="9"/>
  <c r="N24" i="9"/>
  <c r="M24" i="9"/>
  <c r="L24" i="9"/>
  <c r="K24" i="9"/>
  <c r="J24" i="9"/>
  <c r="H24" i="9"/>
  <c r="G24" i="9"/>
  <c r="F24" i="9"/>
  <c r="E24" i="9"/>
  <c r="D24" i="9"/>
  <c r="C24" i="9"/>
  <c r="B24" i="9"/>
  <c r="A24" i="9"/>
  <c r="AN23" i="9"/>
  <c r="AM23" i="9"/>
  <c r="AL23" i="9"/>
  <c r="AK23" i="9"/>
  <c r="AA23" i="9"/>
  <c r="Z23" i="9"/>
  <c r="W23" i="9"/>
  <c r="V23" i="9"/>
  <c r="U23" i="9"/>
  <c r="T23" i="9"/>
  <c r="S23" i="9"/>
  <c r="R23" i="9"/>
  <c r="Q23" i="9"/>
  <c r="P23" i="9"/>
  <c r="O23" i="9"/>
  <c r="N23" i="9"/>
  <c r="L23" i="9"/>
  <c r="K23" i="9"/>
  <c r="J23" i="9"/>
  <c r="H23" i="9"/>
  <c r="G23" i="9"/>
  <c r="F23" i="9"/>
  <c r="E23" i="9"/>
  <c r="D23" i="9"/>
  <c r="C23" i="9"/>
  <c r="B23" i="9"/>
  <c r="A23" i="9"/>
  <c r="AP22" i="9"/>
  <c r="AN22" i="9"/>
  <c r="AM22" i="9"/>
  <c r="AL22" i="9"/>
  <c r="AK22" i="9"/>
  <c r="AH22" i="9"/>
  <c r="AF22" i="9"/>
  <c r="AE22" i="9"/>
  <c r="AB22" i="9"/>
  <c r="AA22" i="9"/>
  <c r="Z22" i="9"/>
  <c r="W22" i="9"/>
  <c r="V22" i="9"/>
  <c r="U22" i="9"/>
  <c r="T22" i="9"/>
  <c r="S22" i="9"/>
  <c r="R22" i="9"/>
  <c r="Q22" i="9"/>
  <c r="P22" i="9"/>
  <c r="O22" i="9"/>
  <c r="N22" i="9"/>
  <c r="M22" i="9"/>
  <c r="L22" i="9"/>
  <c r="K22" i="9"/>
  <c r="J22" i="9"/>
  <c r="H22" i="9"/>
  <c r="G22" i="9"/>
  <c r="F22" i="9"/>
  <c r="E22" i="9"/>
  <c r="D22" i="9"/>
  <c r="C22" i="9"/>
  <c r="B22" i="9"/>
  <c r="A22" i="9"/>
  <c r="AP21" i="9"/>
  <c r="AN21" i="9"/>
  <c r="AM21" i="9"/>
  <c r="AL21" i="9"/>
  <c r="AK21" i="9"/>
  <c r="AB21" i="9"/>
  <c r="Z21" i="9"/>
  <c r="W21" i="9"/>
  <c r="V21" i="9"/>
  <c r="U21" i="9"/>
  <c r="T21" i="9"/>
  <c r="S21" i="9"/>
  <c r="R21" i="9"/>
  <c r="Q21" i="9"/>
  <c r="P21" i="9"/>
  <c r="O21" i="9"/>
  <c r="N21" i="9"/>
  <c r="M21" i="9"/>
  <c r="L21" i="9"/>
  <c r="K21" i="9"/>
  <c r="J21" i="9"/>
  <c r="I21" i="9"/>
  <c r="H21" i="9"/>
  <c r="G21" i="9"/>
  <c r="F21" i="9"/>
  <c r="E21" i="9"/>
  <c r="D21" i="9"/>
  <c r="C21" i="9"/>
  <c r="B21" i="9"/>
  <c r="A21" i="9"/>
  <c r="AP20" i="9"/>
  <c r="AN20" i="9"/>
  <c r="AM20" i="9"/>
  <c r="AL20" i="9"/>
  <c r="AK20" i="9"/>
  <c r="AF20" i="9"/>
  <c r="AE20" i="9"/>
  <c r="Z20" i="9"/>
  <c r="W20" i="9"/>
  <c r="V20" i="9"/>
  <c r="U20" i="9"/>
  <c r="T20" i="9"/>
  <c r="S20" i="9"/>
  <c r="R20" i="9"/>
  <c r="Q20" i="9"/>
  <c r="P20" i="9"/>
  <c r="O20" i="9"/>
  <c r="N20" i="9"/>
  <c r="M20" i="9"/>
  <c r="L20" i="9"/>
  <c r="K20" i="9"/>
  <c r="J20" i="9"/>
  <c r="H20" i="9"/>
  <c r="G20" i="9"/>
  <c r="F20" i="9"/>
  <c r="E20" i="9"/>
  <c r="D20" i="9"/>
  <c r="C20" i="9"/>
  <c r="B20" i="9"/>
  <c r="A20" i="9"/>
  <c r="AP19" i="9"/>
  <c r="AN19" i="9"/>
  <c r="AM19" i="9"/>
  <c r="AK19" i="9"/>
  <c r="AH19" i="9"/>
  <c r="Z19" i="9"/>
  <c r="W19" i="9"/>
  <c r="V19" i="9"/>
  <c r="U19" i="9"/>
  <c r="T19" i="9"/>
  <c r="S19" i="9"/>
  <c r="R19" i="9"/>
  <c r="Q19" i="9"/>
  <c r="P19" i="9"/>
  <c r="O19" i="9"/>
  <c r="N19" i="9"/>
  <c r="M19" i="9"/>
  <c r="L19" i="9"/>
  <c r="K19" i="9"/>
  <c r="J19" i="9"/>
  <c r="I19" i="9"/>
  <c r="H19" i="9"/>
  <c r="G19" i="9"/>
  <c r="F19" i="9"/>
  <c r="E19" i="9"/>
  <c r="D19" i="9"/>
  <c r="C19" i="9"/>
  <c r="B19" i="9"/>
  <c r="A19" i="9"/>
  <c r="AP18" i="9"/>
  <c r="AN18" i="9"/>
  <c r="AL18" i="9"/>
  <c r="AK18" i="9"/>
  <c r="Z18" i="9"/>
  <c r="W18" i="9"/>
  <c r="V18" i="9"/>
  <c r="U18" i="9"/>
  <c r="T18" i="9"/>
  <c r="S18" i="9"/>
  <c r="R18" i="9"/>
  <c r="Q18" i="9"/>
  <c r="P18" i="9"/>
  <c r="O18" i="9"/>
  <c r="N18" i="9"/>
  <c r="L18" i="9"/>
  <c r="K18" i="9"/>
  <c r="J18" i="9"/>
  <c r="H18" i="9"/>
  <c r="G18" i="9"/>
  <c r="F18" i="9"/>
  <c r="E18" i="9"/>
  <c r="D18" i="9"/>
  <c r="C18" i="9"/>
  <c r="B18" i="9"/>
  <c r="A18" i="9"/>
  <c r="AP17" i="9"/>
  <c r="AN17" i="9"/>
  <c r="AL17" i="9"/>
  <c r="AK17" i="9"/>
  <c r="AF17" i="9"/>
  <c r="AE17" i="9"/>
  <c r="AB17" i="9"/>
  <c r="Z17" i="9"/>
  <c r="X17" i="9"/>
  <c r="W17" i="9"/>
  <c r="V17" i="9"/>
  <c r="U17" i="9"/>
  <c r="T17" i="9"/>
  <c r="S17" i="9"/>
  <c r="R17" i="9"/>
  <c r="Q17" i="9"/>
  <c r="P17" i="9"/>
  <c r="O17" i="9"/>
  <c r="N17" i="9"/>
  <c r="M17" i="9"/>
  <c r="L17" i="9"/>
  <c r="K17" i="9"/>
  <c r="J17" i="9"/>
  <c r="I17" i="9"/>
  <c r="H17" i="9"/>
  <c r="G17" i="9"/>
  <c r="F17" i="9"/>
  <c r="E17" i="9"/>
  <c r="D17" i="9"/>
  <c r="C17" i="9"/>
  <c r="B17" i="9"/>
  <c r="A17" i="9"/>
  <c r="AP16" i="9"/>
  <c r="AN16" i="9"/>
  <c r="AM16" i="9"/>
  <c r="AL16" i="9"/>
  <c r="AK16" i="9"/>
  <c r="AF16" i="9"/>
  <c r="AE16" i="9"/>
  <c r="Z16" i="9"/>
  <c r="W16" i="9"/>
  <c r="V16" i="9"/>
  <c r="U16" i="9"/>
  <c r="T16" i="9"/>
  <c r="S16" i="9"/>
  <c r="R16" i="9"/>
  <c r="Q16" i="9"/>
  <c r="P16" i="9"/>
  <c r="O16" i="9"/>
  <c r="N16" i="9"/>
  <c r="L16" i="9"/>
  <c r="K16" i="9"/>
  <c r="J16" i="9"/>
  <c r="I16" i="9"/>
  <c r="H16" i="9"/>
  <c r="G16" i="9"/>
  <c r="F16" i="9"/>
  <c r="E16" i="9"/>
  <c r="D16" i="9"/>
  <c r="C16" i="9"/>
  <c r="B16" i="9"/>
  <c r="A16" i="9"/>
  <c r="AP15" i="9"/>
  <c r="AN15" i="9"/>
  <c r="AM15" i="9"/>
  <c r="AL15" i="9"/>
  <c r="AK15" i="9"/>
  <c r="AF15" i="9"/>
  <c r="AE15" i="9"/>
  <c r="Z15" i="9"/>
  <c r="W15" i="9"/>
  <c r="V15" i="9"/>
  <c r="U15" i="9"/>
  <c r="T15" i="9"/>
  <c r="S15" i="9"/>
  <c r="R15" i="9"/>
  <c r="Q15" i="9"/>
  <c r="P15" i="9"/>
  <c r="O15" i="9"/>
  <c r="N15" i="9"/>
  <c r="L15" i="9"/>
  <c r="K15" i="9"/>
  <c r="J15" i="9"/>
  <c r="H15" i="9"/>
  <c r="G15" i="9"/>
  <c r="F15" i="9"/>
  <c r="E15" i="9"/>
  <c r="D15" i="9"/>
  <c r="C15" i="9"/>
  <c r="B15" i="9"/>
  <c r="A15" i="9"/>
  <c r="AP14" i="9"/>
  <c r="AO14" i="9"/>
  <c r="AN14" i="9"/>
  <c r="AM14" i="9"/>
  <c r="AL14" i="9"/>
  <c r="AK14" i="9"/>
  <c r="Z14" i="9"/>
  <c r="W14" i="9"/>
  <c r="V14" i="9"/>
  <c r="U14" i="9"/>
  <c r="T14" i="9"/>
  <c r="S14" i="9"/>
  <c r="R14" i="9"/>
  <c r="Q14" i="9"/>
  <c r="P14" i="9"/>
  <c r="O14" i="9"/>
  <c r="N14" i="9"/>
  <c r="L14" i="9"/>
  <c r="K14" i="9"/>
  <c r="J14" i="9"/>
  <c r="I14" i="9"/>
  <c r="H14" i="9"/>
  <c r="G14" i="9"/>
  <c r="F14" i="9"/>
  <c r="E14" i="9"/>
  <c r="D14" i="9"/>
  <c r="C14" i="9"/>
  <c r="B14" i="9"/>
  <c r="A14" i="9"/>
  <c r="AP13" i="9"/>
  <c r="AN13" i="9"/>
  <c r="AM13" i="9"/>
  <c r="AL13" i="9"/>
  <c r="AK13" i="9"/>
  <c r="Z13" i="9"/>
  <c r="W13" i="9"/>
  <c r="V13" i="9"/>
  <c r="U13" i="9"/>
  <c r="T13" i="9"/>
  <c r="S13" i="9"/>
  <c r="R13" i="9"/>
  <c r="Q13" i="9"/>
  <c r="P13" i="9"/>
  <c r="O13" i="9"/>
  <c r="N13" i="9"/>
  <c r="L13" i="9"/>
  <c r="K13" i="9"/>
  <c r="J13" i="9"/>
  <c r="I13" i="9"/>
  <c r="H13" i="9"/>
  <c r="G13" i="9"/>
  <c r="F13" i="9"/>
  <c r="E13" i="9"/>
  <c r="D13" i="9"/>
  <c r="C13" i="9"/>
  <c r="B13" i="9"/>
  <c r="A13" i="9"/>
  <c r="AP12" i="9"/>
  <c r="AN12" i="9"/>
  <c r="AM12" i="9"/>
  <c r="AL12" i="9"/>
  <c r="AK12" i="9"/>
  <c r="AH12" i="9"/>
  <c r="AF12" i="9"/>
  <c r="AE12" i="9"/>
  <c r="Z12" i="9"/>
  <c r="W12" i="9"/>
  <c r="V12" i="9"/>
  <c r="U12" i="9"/>
  <c r="T12" i="9"/>
  <c r="S12" i="9"/>
  <c r="R12" i="9"/>
  <c r="Q12" i="9"/>
  <c r="P12" i="9"/>
  <c r="O12" i="9"/>
  <c r="N12" i="9"/>
  <c r="M12" i="9"/>
  <c r="L12" i="9"/>
  <c r="K12" i="9"/>
  <c r="J12" i="9"/>
  <c r="H12" i="9"/>
  <c r="G12" i="9"/>
  <c r="F12" i="9"/>
  <c r="E12" i="9"/>
  <c r="D12" i="9"/>
  <c r="C12" i="9"/>
  <c r="B12" i="9"/>
  <c r="A12" i="9"/>
  <c r="AP11" i="9"/>
  <c r="AN11" i="9"/>
  <c r="AM11" i="9"/>
  <c r="AL11" i="9"/>
  <c r="AK11" i="9"/>
  <c r="AF11" i="9"/>
  <c r="AE11" i="9"/>
  <c r="AA11" i="9"/>
  <c r="Z11" i="9"/>
  <c r="W11" i="9"/>
  <c r="V11" i="9"/>
  <c r="U11" i="9"/>
  <c r="T11" i="9"/>
  <c r="S11" i="9"/>
  <c r="R11" i="9"/>
  <c r="Q11" i="9"/>
  <c r="P11" i="9"/>
  <c r="O11" i="9"/>
  <c r="N11" i="9"/>
  <c r="M11" i="9"/>
  <c r="L11" i="9"/>
  <c r="K11" i="9"/>
  <c r="J11" i="9"/>
  <c r="H11" i="9"/>
  <c r="G11" i="9"/>
  <c r="F11" i="9"/>
  <c r="E11" i="9"/>
  <c r="D11" i="9"/>
  <c r="C11" i="9"/>
  <c r="B11" i="9"/>
  <c r="A11" i="9"/>
  <c r="AP10" i="9"/>
  <c r="AN10" i="9"/>
  <c r="AM10" i="9"/>
  <c r="AL10" i="9"/>
  <c r="AK10" i="9"/>
  <c r="AA10" i="9"/>
  <c r="Z10" i="9"/>
  <c r="X10" i="9"/>
  <c r="W10" i="9"/>
  <c r="V10" i="9"/>
  <c r="U10" i="9"/>
  <c r="T10" i="9"/>
  <c r="S10" i="9"/>
  <c r="R10" i="9"/>
  <c r="Q10" i="9"/>
  <c r="P10" i="9"/>
  <c r="O10" i="9"/>
  <c r="N10" i="9"/>
  <c r="M10" i="9"/>
  <c r="L10" i="9"/>
  <c r="K10" i="9"/>
  <c r="J10" i="9"/>
  <c r="I10" i="9"/>
  <c r="H10" i="9"/>
  <c r="G10" i="9"/>
  <c r="F10" i="9"/>
  <c r="E10" i="9"/>
  <c r="D10" i="9"/>
  <c r="C10" i="9"/>
  <c r="B10" i="9"/>
  <c r="A10" i="9"/>
  <c r="AP9" i="9"/>
  <c r="AN9" i="9"/>
  <c r="AM9" i="9"/>
  <c r="AL9" i="9"/>
  <c r="AK9" i="9"/>
  <c r="Z9" i="9"/>
  <c r="W9" i="9"/>
  <c r="V9" i="9"/>
  <c r="U9" i="9"/>
  <c r="T9" i="9"/>
  <c r="S9" i="9"/>
  <c r="R9" i="9"/>
  <c r="Q9" i="9"/>
  <c r="P9" i="9"/>
  <c r="O9" i="9"/>
  <c r="N9" i="9"/>
  <c r="M9" i="9"/>
  <c r="L9" i="9"/>
  <c r="K9" i="9"/>
  <c r="J9" i="9"/>
  <c r="H9" i="9"/>
  <c r="G9" i="9"/>
  <c r="F9" i="9"/>
  <c r="E9" i="9"/>
  <c r="D9" i="9"/>
  <c r="C9" i="9"/>
  <c r="B9" i="9"/>
  <c r="A9" i="9"/>
  <c r="AP8" i="9"/>
  <c r="AN8" i="9"/>
  <c r="AM8" i="9"/>
  <c r="AL8" i="9"/>
  <c r="AK8" i="9"/>
  <c r="AF8" i="9"/>
  <c r="AE8" i="9"/>
  <c r="Z8" i="9"/>
  <c r="W8" i="9"/>
  <c r="V8" i="9"/>
  <c r="U8" i="9"/>
  <c r="T8" i="9"/>
  <c r="S8" i="9"/>
  <c r="R8" i="9"/>
  <c r="Q8" i="9"/>
  <c r="P8" i="9"/>
  <c r="O8" i="9"/>
  <c r="N8" i="9"/>
  <c r="M8" i="9"/>
  <c r="L8" i="9"/>
  <c r="K8" i="9"/>
  <c r="J8" i="9"/>
  <c r="I8" i="9"/>
  <c r="H8" i="9"/>
  <c r="G8" i="9"/>
  <c r="F8" i="9"/>
  <c r="E8" i="9"/>
  <c r="D8" i="9"/>
  <c r="C8" i="9"/>
  <c r="B8" i="9"/>
  <c r="A8" i="9"/>
  <c r="AP7" i="9"/>
  <c r="AO7" i="9"/>
  <c r="AL7" i="9"/>
  <c r="AG7" i="9"/>
  <c r="AF7" i="9"/>
  <c r="AE7" i="9"/>
  <c r="AD7" i="9"/>
  <c r="Z7" i="9"/>
  <c r="X7" i="9"/>
  <c r="W7" i="9"/>
  <c r="V7" i="9"/>
  <c r="U7" i="9"/>
  <c r="T7" i="9"/>
  <c r="S7" i="9"/>
  <c r="R7" i="9"/>
  <c r="Q7" i="9"/>
  <c r="P7" i="9"/>
  <c r="O7" i="9"/>
  <c r="N7" i="9"/>
  <c r="M7" i="9"/>
  <c r="L7" i="9"/>
  <c r="K7" i="9"/>
  <c r="J7" i="9"/>
  <c r="I7" i="9"/>
  <c r="H7" i="9"/>
  <c r="G7" i="9"/>
  <c r="F7" i="9"/>
  <c r="E7" i="9"/>
  <c r="D7" i="9"/>
  <c r="C7" i="9"/>
  <c r="B7" i="9"/>
  <c r="AP6" i="9"/>
  <c r="AO6" i="9"/>
  <c r="AL6" i="9"/>
  <c r="AG6" i="9"/>
  <c r="AF6" i="9"/>
  <c r="AE6" i="9"/>
  <c r="AD6" i="9"/>
  <c r="X6" i="9"/>
  <c r="W6" i="9"/>
  <c r="V6" i="9"/>
  <c r="U6" i="9"/>
  <c r="T6" i="9"/>
  <c r="S6" i="9"/>
  <c r="R6" i="9"/>
  <c r="Q6" i="9"/>
  <c r="P6" i="9"/>
  <c r="O6" i="9"/>
  <c r="N6" i="9"/>
  <c r="M6" i="9"/>
  <c r="L6" i="9"/>
  <c r="K6" i="9"/>
  <c r="J6" i="9"/>
  <c r="I6" i="9"/>
  <c r="H6" i="9"/>
  <c r="G6" i="9"/>
  <c r="F6" i="9"/>
  <c r="E6" i="9"/>
  <c r="D6" i="9"/>
  <c r="C6" i="9"/>
  <c r="B6" i="9"/>
  <c r="AP5" i="9"/>
  <c r="AN5" i="9"/>
  <c r="AM5" i="9"/>
  <c r="AL5" i="9"/>
  <c r="AH5" i="9"/>
  <c r="AD5" i="9"/>
  <c r="AC5" i="9"/>
  <c r="Z5" i="9"/>
  <c r="W5" i="9"/>
  <c r="V5" i="9"/>
  <c r="U5" i="9"/>
  <c r="T5" i="9"/>
  <c r="S5" i="9"/>
  <c r="R5" i="9"/>
  <c r="Q5" i="9"/>
  <c r="P5" i="9"/>
  <c r="O5" i="9"/>
  <c r="N5" i="9"/>
  <c r="M5" i="9"/>
  <c r="L5" i="9"/>
  <c r="K5" i="9"/>
  <c r="J5" i="9"/>
  <c r="I5" i="9"/>
  <c r="H5" i="9"/>
  <c r="G5" i="9"/>
  <c r="F5" i="9"/>
  <c r="E5" i="9"/>
  <c r="D5" i="9"/>
  <c r="C5" i="9"/>
  <c r="B5" i="9"/>
  <c r="AP4" i="9"/>
  <c r="AN4" i="9"/>
  <c r="AL4" i="9"/>
  <c r="AJ4" i="9"/>
  <c r="AH4" i="9"/>
  <c r="AF4" i="9"/>
  <c r="AE4" i="9"/>
  <c r="AA4" i="9"/>
  <c r="Z4" i="9"/>
  <c r="X4" i="9"/>
  <c r="W4" i="9"/>
  <c r="V4" i="9"/>
  <c r="U4" i="9"/>
  <c r="T4" i="9"/>
  <c r="S4" i="9"/>
  <c r="R4" i="9"/>
  <c r="Q4" i="9"/>
  <c r="P4" i="9"/>
  <c r="O4" i="9"/>
  <c r="N4" i="9"/>
  <c r="M4" i="9"/>
  <c r="L4" i="9"/>
  <c r="K4" i="9"/>
  <c r="J4" i="9"/>
  <c r="I4" i="9"/>
  <c r="H4" i="9"/>
  <c r="G4" i="9"/>
  <c r="F4" i="9"/>
  <c r="E4" i="9"/>
  <c r="D4" i="9"/>
  <c r="C4" i="9"/>
  <c r="B4" i="9"/>
  <c r="AP3" i="9"/>
  <c r="AO3" i="9"/>
  <c r="AN3" i="9"/>
  <c r="AM3" i="9"/>
  <c r="AL3" i="9"/>
  <c r="AK3" i="9"/>
  <c r="AJ3" i="9"/>
  <c r="AI3" i="9"/>
  <c r="AH3" i="9"/>
  <c r="AG3" i="9"/>
  <c r="AF3" i="9"/>
  <c r="AE3" i="9"/>
  <c r="AD3" i="9"/>
  <c r="AC3" i="9"/>
  <c r="AB3" i="9"/>
  <c r="AA3" i="9"/>
  <c r="Z3" i="9"/>
  <c r="Y3" i="9"/>
  <c r="X3" i="9"/>
  <c r="W3" i="9"/>
  <c r="V3" i="9"/>
  <c r="U3" i="9"/>
  <c r="T3" i="9"/>
  <c r="S3" i="9"/>
  <c r="R3" i="9"/>
  <c r="Q3" i="9"/>
  <c r="P3" i="9"/>
  <c r="O3" i="9"/>
  <c r="N3" i="9"/>
  <c r="M3" i="9"/>
  <c r="L3" i="9"/>
  <c r="K3" i="9"/>
  <c r="J3" i="9"/>
  <c r="I3" i="9"/>
  <c r="H3" i="9"/>
  <c r="G3" i="9"/>
  <c r="F3" i="9"/>
  <c r="E3" i="9"/>
  <c r="D3" i="9"/>
  <c r="C3" i="9"/>
  <c r="B3" i="9"/>
  <c r="A3" i="9"/>
  <c r="AP42" i="8"/>
  <c r="Z42" i="8"/>
  <c r="U42" i="8"/>
  <c r="T42" i="8"/>
  <c r="S42" i="8"/>
  <c r="R42" i="8"/>
  <c r="Q42" i="8"/>
  <c r="P42" i="8"/>
  <c r="N42" i="8"/>
  <c r="M42" i="8"/>
  <c r="L42" i="8"/>
  <c r="K42" i="8"/>
  <c r="J42" i="8"/>
  <c r="H42" i="8"/>
  <c r="G42" i="8"/>
  <c r="E42" i="8"/>
  <c r="D42" i="8"/>
  <c r="C42" i="8"/>
  <c r="B42" i="8"/>
  <c r="AP41" i="8"/>
  <c r="AO41" i="8"/>
  <c r="Z41" i="8"/>
  <c r="T41" i="8"/>
  <c r="S41" i="8"/>
  <c r="R41" i="8"/>
  <c r="Q41" i="8"/>
  <c r="O41" i="8"/>
  <c r="N41" i="8"/>
  <c r="M41" i="8"/>
  <c r="L41" i="8"/>
  <c r="K41" i="8"/>
  <c r="J41" i="8"/>
  <c r="I41" i="8"/>
  <c r="H41" i="8"/>
  <c r="G41" i="8"/>
  <c r="E41" i="8"/>
  <c r="D41" i="8"/>
  <c r="C41" i="8"/>
  <c r="B41" i="8"/>
  <c r="AP40" i="8"/>
  <c r="AN40" i="8"/>
  <c r="AL40" i="8"/>
  <c r="AC40" i="8"/>
  <c r="Z40" i="8"/>
  <c r="Y40" i="8"/>
  <c r="W40" i="8"/>
  <c r="V40" i="8"/>
  <c r="U40" i="8"/>
  <c r="T40" i="8"/>
  <c r="S40" i="8"/>
  <c r="R40" i="8"/>
  <c r="Q40" i="8"/>
  <c r="P40" i="8"/>
  <c r="O40" i="8"/>
  <c r="N40" i="8"/>
  <c r="M40" i="8"/>
  <c r="L40" i="8"/>
  <c r="K40" i="8"/>
  <c r="J40" i="8"/>
  <c r="I40" i="8"/>
  <c r="H40" i="8"/>
  <c r="G40" i="8"/>
  <c r="F40" i="8"/>
  <c r="E40" i="8"/>
  <c r="D40" i="8"/>
  <c r="C40" i="8"/>
  <c r="B40" i="8"/>
  <c r="AP39" i="8"/>
  <c r="AO39" i="8"/>
  <c r="AN39" i="8"/>
  <c r="AM39" i="8"/>
  <c r="AL39" i="8"/>
  <c r="Z39" i="8"/>
  <c r="Y39" i="8"/>
  <c r="W39" i="8"/>
  <c r="V39" i="8"/>
  <c r="U39" i="8"/>
  <c r="T39" i="8"/>
  <c r="S39" i="8"/>
  <c r="R39" i="8"/>
  <c r="Q39" i="8"/>
  <c r="P39" i="8"/>
  <c r="O39" i="8"/>
  <c r="N39" i="8"/>
  <c r="M39" i="8"/>
  <c r="L39" i="8"/>
  <c r="K39" i="8"/>
  <c r="J39" i="8"/>
  <c r="I39" i="8"/>
  <c r="H39" i="8"/>
  <c r="G39" i="8"/>
  <c r="F39" i="8"/>
  <c r="E39" i="8"/>
  <c r="D39" i="8"/>
  <c r="C39" i="8"/>
  <c r="B39" i="8"/>
  <c r="AP38" i="8"/>
  <c r="AO38" i="8"/>
  <c r="AN38" i="8"/>
  <c r="AM38" i="8"/>
  <c r="AL38" i="8"/>
  <c r="AH38" i="8"/>
  <c r="Z38" i="8"/>
  <c r="Y38" i="8"/>
  <c r="W38" i="8"/>
  <c r="V38" i="8"/>
  <c r="U38" i="8"/>
  <c r="T38" i="8"/>
  <c r="S38" i="8"/>
  <c r="R38" i="8"/>
  <c r="Q38" i="8"/>
  <c r="P38" i="8"/>
  <c r="O38" i="8"/>
  <c r="N38" i="8"/>
  <c r="M38" i="8"/>
  <c r="L38" i="8"/>
  <c r="K38" i="8"/>
  <c r="J38" i="8"/>
  <c r="I38" i="8"/>
  <c r="H38" i="8"/>
  <c r="G38" i="8"/>
  <c r="F38" i="8"/>
  <c r="E38" i="8"/>
  <c r="D38" i="8"/>
  <c r="C38" i="8"/>
  <c r="B38" i="8"/>
  <c r="AP37" i="8"/>
  <c r="AN37" i="8"/>
  <c r="Z37" i="8"/>
  <c r="Y37" i="8"/>
  <c r="W37" i="8"/>
  <c r="V37" i="8"/>
  <c r="U37" i="8"/>
  <c r="T37" i="8"/>
  <c r="S37" i="8"/>
  <c r="R37" i="8"/>
  <c r="Q37" i="8"/>
  <c r="P37" i="8"/>
  <c r="O37" i="8"/>
  <c r="N37" i="8"/>
  <c r="M37" i="8"/>
  <c r="L37" i="8"/>
  <c r="K37" i="8"/>
  <c r="J37" i="8"/>
  <c r="I37" i="8"/>
  <c r="H37" i="8"/>
  <c r="G37" i="8"/>
  <c r="F37" i="8"/>
  <c r="E37" i="8"/>
  <c r="D37" i="8"/>
  <c r="C37" i="8"/>
  <c r="B37" i="8"/>
  <c r="AP36" i="8"/>
  <c r="AN36" i="8"/>
  <c r="Z36" i="8"/>
  <c r="Y36" i="8"/>
  <c r="W36" i="8"/>
  <c r="V36" i="8"/>
  <c r="U36" i="8"/>
  <c r="T36" i="8"/>
  <c r="S36" i="8"/>
  <c r="R36" i="8"/>
  <c r="Q36" i="8"/>
  <c r="P36" i="8"/>
  <c r="O36" i="8"/>
  <c r="N36" i="8"/>
  <c r="M36" i="8"/>
  <c r="L36" i="8"/>
  <c r="K36" i="8"/>
  <c r="J36" i="8"/>
  <c r="I36" i="8"/>
  <c r="H36" i="8"/>
  <c r="G36" i="8"/>
  <c r="F36" i="8"/>
  <c r="E36" i="8"/>
  <c r="D36" i="8"/>
  <c r="C36" i="8"/>
  <c r="B36" i="8"/>
  <c r="AP35" i="8"/>
  <c r="AN35" i="8"/>
  <c r="AL35" i="8"/>
  <c r="AD35" i="8"/>
  <c r="Z35" i="8"/>
  <c r="Y35" i="8"/>
  <c r="W35" i="8"/>
  <c r="V35" i="8"/>
  <c r="U35" i="8"/>
  <c r="T35" i="8"/>
  <c r="S35" i="8"/>
  <c r="R35" i="8"/>
  <c r="Q35" i="8"/>
  <c r="P35" i="8"/>
  <c r="O35" i="8"/>
  <c r="N35" i="8"/>
  <c r="M35" i="8"/>
  <c r="L35" i="8"/>
  <c r="K35" i="8"/>
  <c r="J35" i="8"/>
  <c r="I35" i="8"/>
  <c r="H35" i="8"/>
  <c r="G35" i="8"/>
  <c r="F35" i="8"/>
  <c r="E35" i="8"/>
  <c r="D35" i="8"/>
  <c r="C35" i="8"/>
  <c r="B35" i="8"/>
  <c r="AP34" i="8"/>
  <c r="AN34" i="8"/>
  <c r="Z34" i="8"/>
  <c r="W34" i="8"/>
  <c r="V34" i="8"/>
  <c r="U34" i="8"/>
  <c r="T34" i="8"/>
  <c r="S34" i="8"/>
  <c r="R34" i="8"/>
  <c r="Q34" i="8"/>
  <c r="P34" i="8"/>
  <c r="O34" i="8"/>
  <c r="N34" i="8"/>
  <c r="M34" i="8"/>
  <c r="L34" i="8"/>
  <c r="K34" i="8"/>
  <c r="J34" i="8"/>
  <c r="I34" i="8"/>
  <c r="H34" i="8"/>
  <c r="G34" i="8"/>
  <c r="F34" i="8"/>
  <c r="E34" i="8"/>
  <c r="D34" i="8"/>
  <c r="C34" i="8"/>
  <c r="B34" i="8"/>
  <c r="AP33" i="8"/>
  <c r="AN33" i="8"/>
  <c r="Z33" i="8"/>
  <c r="W33" i="8"/>
  <c r="V33" i="8"/>
  <c r="U33" i="8"/>
  <c r="T33" i="8"/>
  <c r="S33" i="8"/>
  <c r="R33" i="8"/>
  <c r="Q33" i="8"/>
  <c r="P33" i="8"/>
  <c r="O33" i="8"/>
  <c r="N33" i="8"/>
  <c r="M33" i="8"/>
  <c r="L33" i="8"/>
  <c r="K33" i="8"/>
  <c r="J33" i="8"/>
  <c r="I33" i="8"/>
  <c r="H33" i="8"/>
  <c r="G33" i="8"/>
  <c r="F33" i="8"/>
  <c r="E33" i="8"/>
  <c r="D33" i="8"/>
  <c r="C33" i="8"/>
  <c r="B33" i="8"/>
  <c r="AP32" i="8"/>
  <c r="AN32" i="8"/>
  <c r="AC32" i="8"/>
  <c r="Z32" i="8"/>
  <c r="Y32" i="8"/>
  <c r="W32" i="8"/>
  <c r="V32" i="8"/>
  <c r="U32" i="8"/>
  <c r="T32" i="8"/>
  <c r="S32" i="8"/>
  <c r="R32" i="8"/>
  <c r="Q32" i="8"/>
  <c r="P32" i="8"/>
  <c r="O32" i="8"/>
  <c r="N32" i="8"/>
  <c r="M32" i="8"/>
  <c r="L32" i="8"/>
  <c r="K32" i="8"/>
  <c r="J32" i="8"/>
  <c r="I32" i="8"/>
  <c r="H32" i="8"/>
  <c r="G32" i="8"/>
  <c r="F32" i="8"/>
  <c r="E32" i="8"/>
  <c r="D32" i="8"/>
  <c r="C32" i="8"/>
  <c r="B32" i="8"/>
  <c r="AP31" i="8"/>
  <c r="AN31" i="8"/>
  <c r="AC31" i="8"/>
  <c r="Z31" i="8"/>
  <c r="Y31" i="8"/>
  <c r="W31" i="8"/>
  <c r="V31" i="8"/>
  <c r="U31" i="8"/>
  <c r="T31" i="8"/>
  <c r="S31" i="8"/>
  <c r="R31" i="8"/>
  <c r="Q31" i="8"/>
  <c r="P31" i="8"/>
  <c r="O31" i="8"/>
  <c r="N31" i="8"/>
  <c r="M31" i="8"/>
  <c r="L31" i="8"/>
  <c r="K31" i="8"/>
  <c r="J31" i="8"/>
  <c r="I31" i="8"/>
  <c r="H31" i="8"/>
  <c r="G31" i="8"/>
  <c r="F31" i="8"/>
  <c r="E31" i="8"/>
  <c r="D31" i="8"/>
  <c r="C31" i="8"/>
  <c r="B31" i="8"/>
  <c r="A31" i="8"/>
  <c r="AP30" i="8"/>
  <c r="AN30" i="8"/>
  <c r="AC30" i="8"/>
  <c r="Z30" i="8"/>
  <c r="Y30" i="8"/>
  <c r="W30" i="8"/>
  <c r="V30" i="8"/>
  <c r="U30" i="8"/>
  <c r="T30" i="8"/>
  <c r="S30" i="8"/>
  <c r="R30" i="8"/>
  <c r="Q30" i="8"/>
  <c r="P30" i="8"/>
  <c r="O30" i="8"/>
  <c r="N30" i="8"/>
  <c r="M30" i="8"/>
  <c r="L30" i="8"/>
  <c r="K30" i="8"/>
  <c r="J30" i="8"/>
  <c r="I30" i="8"/>
  <c r="H30" i="8"/>
  <c r="G30" i="8"/>
  <c r="F30" i="8"/>
  <c r="E30" i="8"/>
  <c r="D30" i="8"/>
  <c r="C30" i="8"/>
  <c r="B30" i="8"/>
  <c r="AP29" i="8"/>
  <c r="AN29" i="8"/>
  <c r="AC29" i="8"/>
  <c r="Z29" i="8"/>
  <c r="Y29" i="8"/>
  <c r="W29" i="8"/>
  <c r="V29" i="8"/>
  <c r="U29" i="8"/>
  <c r="T29" i="8"/>
  <c r="S29" i="8"/>
  <c r="R29" i="8"/>
  <c r="Q29" i="8"/>
  <c r="P29" i="8"/>
  <c r="O29" i="8"/>
  <c r="N29" i="8"/>
  <c r="M29" i="8"/>
  <c r="L29" i="8"/>
  <c r="K29" i="8"/>
  <c r="J29" i="8"/>
  <c r="I29" i="8"/>
  <c r="H29" i="8"/>
  <c r="G29" i="8"/>
  <c r="F29" i="8"/>
  <c r="E29" i="8"/>
  <c r="D29" i="8"/>
  <c r="C29" i="8"/>
  <c r="B29" i="8"/>
  <c r="AP28" i="8"/>
  <c r="AO28" i="8"/>
  <c r="AN28" i="8"/>
  <c r="AC28" i="8"/>
  <c r="Z28" i="8"/>
  <c r="Y28" i="8"/>
  <c r="W28" i="8"/>
  <c r="V28" i="8"/>
  <c r="U28" i="8"/>
  <c r="T28" i="8"/>
  <c r="S28" i="8"/>
  <c r="R28" i="8"/>
  <c r="Q28" i="8"/>
  <c r="P28" i="8"/>
  <c r="O28" i="8"/>
  <c r="N28" i="8"/>
  <c r="M28" i="8"/>
  <c r="L28" i="8"/>
  <c r="K28" i="8"/>
  <c r="J28" i="8"/>
  <c r="I28" i="8"/>
  <c r="H28" i="8"/>
  <c r="G28" i="8"/>
  <c r="F28" i="8"/>
  <c r="E28" i="8"/>
  <c r="D28" i="8"/>
  <c r="C28" i="8"/>
  <c r="B28" i="8"/>
  <c r="AP27" i="8"/>
  <c r="AO27" i="8"/>
  <c r="AN27" i="8"/>
  <c r="AM27" i="8"/>
  <c r="AL27" i="8"/>
  <c r="AF27" i="8"/>
  <c r="AE27" i="8"/>
  <c r="AB27" i="8"/>
  <c r="Z27" i="8"/>
  <c r="Y27" i="8"/>
  <c r="W27" i="8"/>
  <c r="V27" i="8"/>
  <c r="U27" i="8"/>
  <c r="T27" i="8"/>
  <c r="S27" i="8"/>
  <c r="R27" i="8"/>
  <c r="Q27" i="8"/>
  <c r="P27" i="8"/>
  <c r="O27" i="8"/>
  <c r="N27" i="8"/>
  <c r="M27" i="8"/>
  <c r="L27" i="8"/>
  <c r="K27" i="8"/>
  <c r="J27" i="8"/>
  <c r="I27" i="8"/>
  <c r="H27" i="8"/>
  <c r="G27" i="8"/>
  <c r="F27" i="8"/>
  <c r="E27" i="8"/>
  <c r="D27" i="8"/>
  <c r="C27" i="8"/>
  <c r="B27" i="8"/>
  <c r="AP26" i="8"/>
  <c r="AO26" i="8"/>
  <c r="AN26" i="8"/>
  <c r="AM26" i="8"/>
  <c r="AL26" i="8"/>
  <c r="AH26" i="8"/>
  <c r="AG26" i="8"/>
  <c r="AD26" i="8"/>
  <c r="AC26" i="8"/>
  <c r="AB26" i="8"/>
  <c r="Z26" i="8"/>
  <c r="W26" i="8"/>
  <c r="V26" i="8"/>
  <c r="U26" i="8"/>
  <c r="T26" i="8"/>
  <c r="S26" i="8"/>
  <c r="R26" i="8"/>
  <c r="Q26" i="8"/>
  <c r="P26" i="8"/>
  <c r="O26" i="8"/>
  <c r="N26" i="8"/>
  <c r="M26" i="8"/>
  <c r="L26" i="8"/>
  <c r="K26" i="8"/>
  <c r="J26" i="8"/>
  <c r="I26" i="8"/>
  <c r="H26" i="8"/>
  <c r="G26" i="8"/>
  <c r="F26" i="8"/>
  <c r="E26" i="8"/>
  <c r="D26" i="8"/>
  <c r="C26" i="8"/>
  <c r="B26" i="8"/>
  <c r="AP25" i="8"/>
  <c r="AN25" i="8"/>
  <c r="AJ25" i="8"/>
  <c r="AH25" i="8"/>
  <c r="AF25" i="8"/>
  <c r="AE25" i="8"/>
  <c r="AC25" i="8"/>
  <c r="Z25" i="8"/>
  <c r="W25" i="8"/>
  <c r="V25" i="8"/>
  <c r="U25" i="8"/>
  <c r="T25" i="8"/>
  <c r="S25" i="8"/>
  <c r="R25" i="8"/>
  <c r="Q25" i="8"/>
  <c r="P25" i="8"/>
  <c r="O25" i="8"/>
  <c r="N25" i="8"/>
  <c r="M25" i="8"/>
  <c r="L25" i="8"/>
  <c r="K25" i="8"/>
  <c r="J25" i="8"/>
  <c r="I25" i="8"/>
  <c r="H25" i="8"/>
  <c r="G25" i="8"/>
  <c r="F25" i="8"/>
  <c r="E25" i="8"/>
  <c r="D25" i="8"/>
  <c r="C25" i="8"/>
  <c r="B25" i="8"/>
  <c r="AP24" i="8"/>
  <c r="AN24" i="8"/>
  <c r="AH24" i="8"/>
  <c r="AC24" i="8"/>
  <c r="Z24" i="8"/>
  <c r="W24" i="8"/>
  <c r="V24" i="8"/>
  <c r="U24" i="8"/>
  <c r="T24" i="8"/>
  <c r="S24" i="8"/>
  <c r="R24" i="8"/>
  <c r="Q24" i="8"/>
  <c r="P24" i="8"/>
  <c r="O24" i="8"/>
  <c r="N24" i="8"/>
  <c r="L24" i="8"/>
  <c r="K24" i="8"/>
  <c r="J24" i="8"/>
  <c r="I24" i="8"/>
  <c r="H24" i="8"/>
  <c r="G24" i="8"/>
  <c r="F24" i="8"/>
  <c r="E24" i="8"/>
  <c r="D24" i="8"/>
  <c r="C24" i="8"/>
  <c r="B24" i="8"/>
  <c r="AP23" i="8"/>
  <c r="AN23" i="8"/>
  <c r="AH23" i="8"/>
  <c r="AF23" i="8"/>
  <c r="AE23" i="8"/>
  <c r="AB23" i="8"/>
  <c r="Z23" i="8"/>
  <c r="W23" i="8"/>
  <c r="V23" i="8"/>
  <c r="U23" i="8"/>
  <c r="T23" i="8"/>
  <c r="S23" i="8"/>
  <c r="R23" i="8"/>
  <c r="Q23" i="8"/>
  <c r="P23" i="8"/>
  <c r="O23" i="8"/>
  <c r="N23" i="8"/>
  <c r="M23" i="8"/>
  <c r="L23" i="8"/>
  <c r="K23" i="8"/>
  <c r="J23" i="8"/>
  <c r="I23" i="8"/>
  <c r="H23" i="8"/>
  <c r="G23" i="8"/>
  <c r="F23" i="8"/>
  <c r="E23" i="8"/>
  <c r="D23" i="8"/>
  <c r="C23" i="8"/>
  <c r="B23" i="8"/>
  <c r="AP22" i="8"/>
  <c r="AN22" i="8"/>
  <c r="AJ22" i="8"/>
  <c r="AH22" i="8"/>
  <c r="AF22" i="8"/>
  <c r="AE22" i="8"/>
  <c r="Z22" i="8"/>
  <c r="W22" i="8"/>
  <c r="V22" i="8"/>
  <c r="U22" i="8"/>
  <c r="T22" i="8"/>
  <c r="S22" i="8"/>
  <c r="R22" i="8"/>
  <c r="Q22" i="8"/>
  <c r="P22" i="8"/>
  <c r="O22" i="8"/>
  <c r="N22" i="8"/>
  <c r="M22" i="8"/>
  <c r="L22" i="8"/>
  <c r="K22" i="8"/>
  <c r="J22" i="8"/>
  <c r="I22" i="8"/>
  <c r="H22" i="8"/>
  <c r="G22" i="8"/>
  <c r="F22" i="8"/>
  <c r="E22" i="8"/>
  <c r="D22" i="8"/>
  <c r="C22" i="8"/>
  <c r="B22" i="8"/>
  <c r="AP21" i="8"/>
  <c r="AN21" i="8"/>
  <c r="AJ21" i="8"/>
  <c r="Z21" i="8"/>
  <c r="W21" i="8"/>
  <c r="V21" i="8"/>
  <c r="U21" i="8"/>
  <c r="T21" i="8"/>
  <c r="S21" i="8"/>
  <c r="R21" i="8"/>
  <c r="Q21" i="8"/>
  <c r="P21" i="8"/>
  <c r="O21" i="8"/>
  <c r="N21" i="8"/>
  <c r="M21" i="8"/>
  <c r="L21" i="8"/>
  <c r="K21" i="8"/>
  <c r="J21" i="8"/>
  <c r="I21" i="8"/>
  <c r="H21" i="8"/>
  <c r="G21" i="8"/>
  <c r="F21" i="8"/>
  <c r="E21" i="8"/>
  <c r="D21" i="8"/>
  <c r="C21" i="8"/>
  <c r="B21" i="8"/>
  <c r="AP20" i="8"/>
  <c r="AN20" i="8"/>
  <c r="AJ20" i="8"/>
  <c r="AF20" i="8"/>
  <c r="AE20" i="8"/>
  <c r="Z20" i="8"/>
  <c r="W20" i="8"/>
  <c r="V20" i="8"/>
  <c r="U20" i="8"/>
  <c r="T20" i="8"/>
  <c r="S20" i="8"/>
  <c r="R20" i="8"/>
  <c r="Q20" i="8"/>
  <c r="P20" i="8"/>
  <c r="O20" i="8"/>
  <c r="N20" i="8"/>
  <c r="M20" i="8"/>
  <c r="L20" i="8"/>
  <c r="K20" i="8"/>
  <c r="J20" i="8"/>
  <c r="I20" i="8"/>
  <c r="H20" i="8"/>
  <c r="G20" i="8"/>
  <c r="F20" i="8"/>
  <c r="E20" i="8"/>
  <c r="D20" i="8"/>
  <c r="C20" i="8"/>
  <c r="B20" i="8"/>
  <c r="AP19" i="8"/>
  <c r="AN19" i="8"/>
  <c r="AJ19" i="8"/>
  <c r="AH19" i="8"/>
  <c r="AF19" i="8"/>
  <c r="AE19" i="8"/>
  <c r="Z19" i="8"/>
  <c r="W19" i="8"/>
  <c r="V19" i="8"/>
  <c r="U19" i="8"/>
  <c r="T19" i="8"/>
  <c r="S19" i="8"/>
  <c r="R19" i="8"/>
  <c r="Q19" i="8"/>
  <c r="P19" i="8"/>
  <c r="O19" i="8"/>
  <c r="N19" i="8"/>
  <c r="M19" i="8"/>
  <c r="L19" i="8"/>
  <c r="K19" i="8"/>
  <c r="J19" i="8"/>
  <c r="I19" i="8"/>
  <c r="H19" i="8"/>
  <c r="G19" i="8"/>
  <c r="F19" i="8"/>
  <c r="E19" i="8"/>
  <c r="D19" i="8"/>
  <c r="C19" i="8"/>
  <c r="B19" i="8"/>
  <c r="AP18" i="8"/>
  <c r="AN18" i="8"/>
  <c r="AJ18" i="8"/>
  <c r="AI18" i="8"/>
  <c r="AH18" i="8"/>
  <c r="Z18" i="8"/>
  <c r="W18" i="8"/>
  <c r="V18" i="8"/>
  <c r="U18" i="8"/>
  <c r="T18" i="8"/>
  <c r="S18" i="8"/>
  <c r="R18" i="8"/>
  <c r="Q18" i="8"/>
  <c r="P18" i="8"/>
  <c r="O18" i="8"/>
  <c r="N18" i="8"/>
  <c r="M18" i="8"/>
  <c r="L18" i="8"/>
  <c r="K18" i="8"/>
  <c r="J18" i="8"/>
  <c r="I18" i="8"/>
  <c r="H18" i="8"/>
  <c r="G18" i="8"/>
  <c r="F18" i="8"/>
  <c r="E18" i="8"/>
  <c r="D18" i="8"/>
  <c r="C18" i="8"/>
  <c r="B18" i="8"/>
  <c r="AP17" i="8"/>
  <c r="AO17" i="8"/>
  <c r="AN17" i="8"/>
  <c r="AM17" i="8"/>
  <c r="AL17" i="8"/>
  <c r="AH17" i="8"/>
  <c r="AC17" i="8"/>
  <c r="Z17" i="8"/>
  <c r="W17" i="8"/>
  <c r="V17" i="8"/>
  <c r="U17" i="8"/>
  <c r="T17" i="8"/>
  <c r="S17" i="8"/>
  <c r="R17" i="8"/>
  <c r="Q17" i="8"/>
  <c r="P17" i="8"/>
  <c r="O17" i="8"/>
  <c r="N17" i="8"/>
  <c r="L17" i="8"/>
  <c r="K17" i="8"/>
  <c r="J17" i="8"/>
  <c r="I17" i="8"/>
  <c r="H17" i="8"/>
  <c r="G17" i="8"/>
  <c r="F17" i="8"/>
  <c r="E17" i="8"/>
  <c r="D17" i="8"/>
  <c r="C17" i="8"/>
  <c r="B17" i="8"/>
  <c r="AP16" i="8"/>
  <c r="AO16" i="8"/>
  <c r="AN16" i="8"/>
  <c r="AM16" i="8"/>
  <c r="AL16" i="8"/>
  <c r="AF16" i="8"/>
  <c r="AE16" i="8"/>
  <c r="AC16" i="8"/>
  <c r="Z16" i="8"/>
  <c r="W16" i="8"/>
  <c r="V16" i="8"/>
  <c r="U16" i="8"/>
  <c r="T16" i="8"/>
  <c r="S16" i="8"/>
  <c r="R16" i="8"/>
  <c r="Q16" i="8"/>
  <c r="P16" i="8"/>
  <c r="O16" i="8"/>
  <c r="N16" i="8"/>
  <c r="M16" i="8"/>
  <c r="L16" i="8"/>
  <c r="K16" i="8"/>
  <c r="J16" i="8"/>
  <c r="I16" i="8"/>
  <c r="H16" i="8"/>
  <c r="G16" i="8"/>
  <c r="F16" i="8"/>
  <c r="E16" i="8"/>
  <c r="D16" i="8"/>
  <c r="C16" i="8"/>
  <c r="B16" i="8"/>
  <c r="AP15" i="8"/>
  <c r="AN15" i="8"/>
  <c r="AM15" i="8"/>
  <c r="AL15" i="8"/>
  <c r="AF15" i="8"/>
  <c r="AE15" i="8"/>
  <c r="AC15" i="8"/>
  <c r="Z15" i="8"/>
  <c r="W15" i="8"/>
  <c r="V15" i="8"/>
  <c r="U15" i="8"/>
  <c r="T15" i="8"/>
  <c r="S15" i="8"/>
  <c r="R15" i="8"/>
  <c r="Q15" i="8"/>
  <c r="P15" i="8"/>
  <c r="O15" i="8"/>
  <c r="N15" i="8"/>
  <c r="L15" i="8"/>
  <c r="K15" i="8"/>
  <c r="J15" i="8"/>
  <c r="I15" i="8"/>
  <c r="H15" i="8"/>
  <c r="G15" i="8"/>
  <c r="F15" i="8"/>
  <c r="E15" i="8"/>
  <c r="D15" i="8"/>
  <c r="C15" i="8"/>
  <c r="B15" i="8"/>
  <c r="AP14" i="8"/>
  <c r="AO14" i="8"/>
  <c r="AN14" i="8"/>
  <c r="AM14" i="8"/>
  <c r="AL14" i="8"/>
  <c r="AF14" i="8"/>
  <c r="AE14" i="8"/>
  <c r="AC14" i="8"/>
  <c r="AB14" i="8"/>
  <c r="Z14" i="8"/>
  <c r="W14" i="8"/>
  <c r="V14" i="8"/>
  <c r="U14" i="8"/>
  <c r="T14" i="8"/>
  <c r="S14" i="8"/>
  <c r="R14" i="8"/>
  <c r="Q14" i="8"/>
  <c r="P14" i="8"/>
  <c r="O14" i="8"/>
  <c r="N14" i="8"/>
  <c r="M14" i="8"/>
  <c r="L14" i="8"/>
  <c r="K14" i="8"/>
  <c r="J14" i="8"/>
  <c r="I14" i="8"/>
  <c r="H14" i="8"/>
  <c r="G14" i="8"/>
  <c r="F14" i="8"/>
  <c r="E14" i="8"/>
  <c r="D14" i="8"/>
  <c r="C14" i="8"/>
  <c r="B14" i="8"/>
  <c r="AP13" i="8"/>
  <c r="AO13" i="8"/>
  <c r="AN13" i="8"/>
  <c r="AM13" i="8"/>
  <c r="AL13" i="8"/>
  <c r="AF13" i="8"/>
  <c r="AE13" i="8"/>
  <c r="AC13" i="8"/>
  <c r="Z13" i="8"/>
  <c r="W13" i="8"/>
  <c r="V13" i="8"/>
  <c r="U13" i="8"/>
  <c r="T13" i="8"/>
  <c r="S13" i="8"/>
  <c r="R13" i="8"/>
  <c r="Q13" i="8"/>
  <c r="P13" i="8"/>
  <c r="O13" i="8"/>
  <c r="N13" i="8"/>
  <c r="M13" i="8"/>
  <c r="L13" i="8"/>
  <c r="K13" i="8"/>
  <c r="J13" i="8"/>
  <c r="I13" i="8"/>
  <c r="H13" i="8"/>
  <c r="G13" i="8"/>
  <c r="F13" i="8"/>
  <c r="E13" i="8"/>
  <c r="D13" i="8"/>
  <c r="C13" i="8"/>
  <c r="B13" i="8"/>
  <c r="AP12" i="8"/>
  <c r="AO12" i="8"/>
  <c r="AN12" i="8"/>
  <c r="AM12" i="8"/>
  <c r="AL12" i="8"/>
  <c r="AF12" i="8"/>
  <c r="AE12" i="8"/>
  <c r="AC12" i="8"/>
  <c r="AB12" i="8"/>
  <c r="Z12" i="8"/>
  <c r="W12" i="8"/>
  <c r="V12" i="8"/>
  <c r="U12" i="8"/>
  <c r="T12" i="8"/>
  <c r="S12" i="8"/>
  <c r="R12" i="8"/>
  <c r="Q12" i="8"/>
  <c r="P12" i="8"/>
  <c r="O12" i="8"/>
  <c r="N12" i="8"/>
  <c r="M12" i="8"/>
  <c r="L12" i="8"/>
  <c r="K12" i="8"/>
  <c r="J12" i="8"/>
  <c r="I12" i="8"/>
  <c r="H12" i="8"/>
  <c r="G12" i="8"/>
  <c r="F12" i="8"/>
  <c r="E12" i="8"/>
  <c r="D12" i="8"/>
  <c r="C12" i="8"/>
  <c r="B12" i="8"/>
  <c r="AP11" i="8"/>
  <c r="AO11" i="8"/>
  <c r="AN11" i="8"/>
  <c r="AM11" i="8"/>
  <c r="AL11" i="8"/>
  <c r="AF11" i="8"/>
  <c r="AE11" i="8"/>
  <c r="AC11" i="8"/>
  <c r="AB11" i="8"/>
  <c r="Z11" i="8"/>
  <c r="W11" i="8"/>
  <c r="V11" i="8"/>
  <c r="U11" i="8"/>
  <c r="T11" i="8"/>
  <c r="S11" i="8"/>
  <c r="R11" i="8"/>
  <c r="Q11" i="8"/>
  <c r="P11" i="8"/>
  <c r="O11" i="8"/>
  <c r="N11" i="8"/>
  <c r="M11" i="8"/>
  <c r="L11" i="8"/>
  <c r="K11" i="8"/>
  <c r="J11" i="8"/>
  <c r="I11" i="8"/>
  <c r="H11" i="8"/>
  <c r="G11" i="8"/>
  <c r="F11" i="8"/>
  <c r="E11" i="8"/>
  <c r="D11" i="8"/>
  <c r="C11" i="8"/>
  <c r="B11" i="8"/>
  <c r="AP10" i="8"/>
  <c r="AN10" i="8"/>
  <c r="AL10" i="8"/>
  <c r="AJ10" i="8"/>
  <c r="AC10" i="8"/>
  <c r="Z10" i="8"/>
  <c r="Y10" i="8"/>
  <c r="W10" i="8"/>
  <c r="V10" i="8"/>
  <c r="U10" i="8"/>
  <c r="T10" i="8"/>
  <c r="S10" i="8"/>
  <c r="R10" i="8"/>
  <c r="Q10" i="8"/>
  <c r="P10" i="8"/>
  <c r="O10" i="8"/>
  <c r="N10" i="8"/>
  <c r="M10" i="8"/>
  <c r="L10" i="8"/>
  <c r="K10" i="8"/>
  <c r="J10" i="8"/>
  <c r="I10" i="8"/>
  <c r="H10" i="8"/>
  <c r="G10" i="8"/>
  <c r="F10" i="8"/>
  <c r="E10" i="8"/>
  <c r="D10" i="8"/>
  <c r="C10" i="8"/>
  <c r="B10" i="8"/>
  <c r="AN9" i="8"/>
  <c r="AL9" i="8"/>
  <c r="AJ9" i="8"/>
  <c r="AG9" i="8"/>
  <c r="AF9" i="8"/>
  <c r="AE9" i="8"/>
  <c r="Z9" i="8"/>
  <c r="X9" i="8"/>
  <c r="W9" i="8"/>
  <c r="V9" i="8"/>
  <c r="U9" i="8"/>
  <c r="T9" i="8"/>
  <c r="S9" i="8"/>
  <c r="R9" i="8"/>
  <c r="Q9" i="8"/>
  <c r="P9" i="8"/>
  <c r="O9" i="8"/>
  <c r="N9" i="8"/>
  <c r="M9" i="8"/>
  <c r="L9" i="8"/>
  <c r="K9" i="8"/>
  <c r="J9" i="8"/>
  <c r="I9" i="8"/>
  <c r="H9" i="8"/>
  <c r="G9" i="8"/>
  <c r="F9" i="8"/>
  <c r="E9" i="8"/>
  <c r="D9" i="8"/>
  <c r="C9" i="8"/>
  <c r="B9" i="8"/>
  <c r="AP8" i="8"/>
  <c r="AO8" i="8"/>
  <c r="AN8" i="8"/>
  <c r="AM8" i="8"/>
  <c r="AL8" i="8"/>
  <c r="AG8" i="8"/>
  <c r="AF8" i="8"/>
  <c r="AE8" i="8"/>
  <c r="AD8" i="8"/>
  <c r="AB8" i="8"/>
  <c r="Z8" i="8"/>
  <c r="X8" i="8"/>
  <c r="W8" i="8"/>
  <c r="V8" i="8"/>
  <c r="U8" i="8"/>
  <c r="T8" i="8"/>
  <c r="S8" i="8"/>
  <c r="R8" i="8"/>
  <c r="Q8" i="8"/>
  <c r="P8" i="8"/>
  <c r="O8" i="8"/>
  <c r="N8" i="8"/>
  <c r="M8" i="8"/>
  <c r="L8" i="8"/>
  <c r="K8" i="8"/>
  <c r="J8" i="8"/>
  <c r="I8" i="8"/>
  <c r="H8" i="8"/>
  <c r="G8" i="8"/>
  <c r="F8" i="8"/>
  <c r="E8" i="8"/>
  <c r="D8" i="8"/>
  <c r="C8" i="8"/>
  <c r="B8" i="8"/>
  <c r="AP7" i="8"/>
  <c r="AO7" i="8"/>
  <c r="AN7" i="8"/>
  <c r="AL7" i="8"/>
  <c r="AJ7" i="8"/>
  <c r="AG7" i="8"/>
  <c r="AF7" i="8"/>
  <c r="AE7" i="8"/>
  <c r="AD7" i="8"/>
  <c r="AA7" i="8"/>
  <c r="Z7" i="8"/>
  <c r="X7" i="8"/>
  <c r="W7" i="8"/>
  <c r="V7" i="8"/>
  <c r="T7" i="8"/>
  <c r="S7" i="8"/>
  <c r="R7" i="8"/>
  <c r="Q7" i="8"/>
  <c r="P7" i="8"/>
  <c r="O7" i="8"/>
  <c r="N7" i="8"/>
  <c r="L7" i="8"/>
  <c r="K7" i="8"/>
  <c r="J7" i="8"/>
  <c r="I7" i="8"/>
  <c r="H7" i="8"/>
  <c r="G7" i="8"/>
  <c r="F7" i="8"/>
  <c r="E7" i="8"/>
  <c r="D7" i="8"/>
  <c r="C7" i="8"/>
  <c r="B7" i="8"/>
  <c r="AP6" i="8"/>
  <c r="AO6" i="8"/>
  <c r="AN6" i="8"/>
  <c r="AM6" i="8"/>
  <c r="AL6" i="8"/>
  <c r="AF6" i="8"/>
  <c r="AE6" i="8"/>
  <c r="Z6" i="8"/>
  <c r="X6" i="8"/>
  <c r="W6" i="8"/>
  <c r="V6" i="8"/>
  <c r="U6" i="8"/>
  <c r="T6" i="8"/>
  <c r="S6" i="8"/>
  <c r="R6" i="8"/>
  <c r="Q6" i="8"/>
  <c r="P6" i="8"/>
  <c r="O6" i="8"/>
  <c r="N6" i="8"/>
  <c r="L6" i="8"/>
  <c r="K6" i="8"/>
  <c r="J6" i="8"/>
  <c r="I6" i="8"/>
  <c r="H6" i="8"/>
  <c r="G6" i="8"/>
  <c r="F6" i="8"/>
  <c r="E6" i="8"/>
  <c r="D6" i="8"/>
  <c r="C6" i="8"/>
  <c r="B6" i="8"/>
  <c r="AP5" i="8"/>
  <c r="AO5" i="8"/>
  <c r="AN5" i="8"/>
  <c r="AM5" i="8"/>
  <c r="AL5" i="8"/>
  <c r="AG5" i="8"/>
  <c r="AD5" i="8"/>
  <c r="Z5" i="8"/>
  <c r="X5" i="8"/>
  <c r="W5" i="8"/>
  <c r="V5" i="8"/>
  <c r="U5" i="8"/>
  <c r="T5" i="8"/>
  <c r="S5" i="8"/>
  <c r="R5" i="8"/>
  <c r="Q5" i="8"/>
  <c r="P5" i="8"/>
  <c r="O5" i="8"/>
  <c r="N5" i="8"/>
  <c r="M5" i="8"/>
  <c r="L5" i="8"/>
  <c r="K5" i="8"/>
  <c r="J5" i="8"/>
  <c r="I5" i="8"/>
  <c r="H5" i="8"/>
  <c r="G5" i="8"/>
  <c r="F5" i="8"/>
  <c r="E5" i="8"/>
  <c r="D5" i="8"/>
  <c r="C5" i="8"/>
  <c r="B5" i="8"/>
  <c r="AP4" i="8"/>
  <c r="AO4" i="8"/>
  <c r="AN4" i="8"/>
  <c r="AL4" i="8"/>
  <c r="AF4" i="8"/>
  <c r="AE4" i="8"/>
  <c r="AB4" i="8"/>
  <c r="Z4" i="8"/>
  <c r="X4" i="8"/>
  <c r="W4" i="8"/>
  <c r="V4" i="8"/>
  <c r="U4" i="8"/>
  <c r="T4" i="8"/>
  <c r="S4" i="8"/>
  <c r="R4" i="8"/>
  <c r="Q4" i="8"/>
  <c r="P4" i="8"/>
  <c r="O4" i="8"/>
  <c r="N4" i="8"/>
  <c r="M4" i="8"/>
  <c r="L4" i="8"/>
  <c r="K4" i="8"/>
  <c r="J4" i="8"/>
  <c r="I4" i="8"/>
  <c r="H4" i="8"/>
  <c r="G4" i="8"/>
  <c r="F4" i="8"/>
  <c r="E4" i="8"/>
  <c r="D4" i="8"/>
  <c r="C4" i="8"/>
  <c r="B4" i="8"/>
  <c r="AP3" i="8"/>
  <c r="AO3" i="8"/>
  <c r="AN3" i="8"/>
  <c r="AM3" i="8"/>
  <c r="AL3"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F3" i="8"/>
  <c r="E3" i="8"/>
  <c r="D3" i="8"/>
  <c r="C3" i="8"/>
  <c r="B3" i="8"/>
  <c r="A3" i="8"/>
  <c r="L44" i="6"/>
  <c r="L43" i="6"/>
  <c r="L42" i="6"/>
  <c r="L41" i="6"/>
  <c r="L40" i="6"/>
  <c r="L39" i="6"/>
  <c r="L38" i="6"/>
  <c r="L37" i="6"/>
  <c r="L36" i="6"/>
  <c r="L35" i="6"/>
  <c r="L34" i="6"/>
  <c r="L33" i="6"/>
  <c r="L32" i="6"/>
  <c r="L31" i="6"/>
  <c r="L30" i="6"/>
  <c r="L29" i="6"/>
  <c r="L28" i="6"/>
  <c r="L27" i="6"/>
  <c r="L26" i="6"/>
  <c r="L25" i="6"/>
  <c r="L24" i="6"/>
  <c r="L20" i="6"/>
  <c r="L18" i="6"/>
  <c r="L17" i="6"/>
  <c r="L16" i="6"/>
  <c r="L15" i="6"/>
  <c r="L14" i="6"/>
  <c r="L13" i="6"/>
  <c r="L12" i="6"/>
  <c r="L11" i="6"/>
  <c r="A11" i="6"/>
  <c r="L10" i="6"/>
  <c r="L7" i="6"/>
  <c r="L6" i="6"/>
  <c r="L5" i="6"/>
  <c r="L4" i="6"/>
  <c r="L3" i="6"/>
  <c r="L2" i="6"/>
  <c r="L114" i="4"/>
  <c r="L113" i="4"/>
  <c r="L112" i="4"/>
  <c r="L111" i="4"/>
  <c r="L109" i="4"/>
  <c r="L108" i="4"/>
  <c r="L107" i="4"/>
  <c r="L106" i="4"/>
  <c r="L104" i="4"/>
  <c r="L103" i="4"/>
  <c r="L102" i="4"/>
  <c r="L101" i="4"/>
  <c r="L100" i="4"/>
  <c r="L99" i="4"/>
  <c r="L98" i="4"/>
  <c r="L97" i="4"/>
  <c r="L96" i="4"/>
  <c r="L95" i="4"/>
  <c r="L94" i="4"/>
  <c r="L93" i="4"/>
  <c r="L92" i="4"/>
  <c r="L91" i="4"/>
  <c r="L90" i="4"/>
  <c r="L89" i="4"/>
  <c r="L88" i="4"/>
  <c r="L87" i="4"/>
  <c r="L85" i="4"/>
  <c r="L84" i="4"/>
  <c r="L83" i="4"/>
  <c r="L82" i="4"/>
  <c r="L81" i="4"/>
  <c r="L80" i="4"/>
  <c r="L79" i="4"/>
  <c r="L78" i="4"/>
  <c r="L77" i="4"/>
  <c r="L76" i="4"/>
  <c r="L74" i="4"/>
  <c r="L73" i="4"/>
  <c r="L72" i="4"/>
  <c r="L71" i="4"/>
  <c r="L70" i="4"/>
  <c r="L69" i="4"/>
  <c r="L68" i="4"/>
  <c r="L67" i="4"/>
  <c r="L66" i="4"/>
  <c r="L65" i="4"/>
  <c r="L64" i="4"/>
  <c r="L63" i="4"/>
  <c r="L62" i="4"/>
  <c r="L61" i="4"/>
  <c r="L25" i="4"/>
  <c r="L24" i="4"/>
  <c r="L23" i="4"/>
  <c r="L22" i="4"/>
  <c r="L21" i="4"/>
  <c r="L20" i="4"/>
  <c r="L19" i="4"/>
  <c r="L18" i="4"/>
  <c r="L17" i="4"/>
  <c r="L16" i="4"/>
  <c r="L15" i="4"/>
  <c r="L14" i="4"/>
  <c r="L3" i="4"/>
  <c r="K48" i="3"/>
  <c r="J48" i="3"/>
  <c r="I48" i="3"/>
  <c r="H48" i="3"/>
  <c r="G48" i="3"/>
  <c r="F48" i="3"/>
  <c r="K47" i="3"/>
  <c r="J47" i="3"/>
  <c r="I47" i="3"/>
  <c r="H47" i="3"/>
  <c r="G47" i="3"/>
  <c r="F47" i="3"/>
  <c r="D47" i="3"/>
  <c r="K46" i="3"/>
  <c r="J46" i="3"/>
  <c r="I46" i="3"/>
  <c r="H46" i="3"/>
  <c r="G46" i="3"/>
  <c r="F46" i="3"/>
  <c r="K45" i="3"/>
  <c r="J45" i="3"/>
  <c r="I45" i="3"/>
  <c r="H45" i="3"/>
  <c r="G45" i="3"/>
  <c r="F45" i="3"/>
  <c r="D45" i="3"/>
  <c r="B45" i="3"/>
  <c r="K44" i="3"/>
  <c r="J44" i="3"/>
  <c r="I44" i="3"/>
  <c r="H44" i="3"/>
  <c r="G44" i="3"/>
  <c r="F44" i="3"/>
  <c r="K43" i="3"/>
  <c r="J43" i="3"/>
  <c r="I43" i="3"/>
  <c r="H43" i="3"/>
  <c r="G43" i="3"/>
  <c r="F43" i="3"/>
  <c r="D43" i="3"/>
  <c r="K42" i="3"/>
  <c r="J42" i="3"/>
  <c r="I42" i="3"/>
  <c r="H42" i="3"/>
  <c r="G42" i="3"/>
  <c r="F42" i="3"/>
  <c r="K41" i="3"/>
  <c r="J41" i="3"/>
  <c r="I41" i="3"/>
  <c r="H41" i="3"/>
  <c r="G41" i="3"/>
  <c r="F41" i="3"/>
  <c r="D41" i="3"/>
  <c r="B41" i="3"/>
  <c r="K40" i="3"/>
  <c r="J40" i="3"/>
  <c r="I40" i="3"/>
  <c r="H40" i="3"/>
  <c r="G40" i="3"/>
  <c r="F40" i="3"/>
  <c r="K39" i="3"/>
  <c r="J39" i="3"/>
  <c r="I39" i="3"/>
  <c r="H39" i="3"/>
  <c r="G39" i="3"/>
  <c r="F39" i="3"/>
  <c r="D39" i="3"/>
  <c r="K38" i="3"/>
  <c r="J38" i="3"/>
  <c r="I38" i="3"/>
  <c r="H38" i="3"/>
  <c r="G38" i="3"/>
  <c r="F38" i="3"/>
  <c r="K37" i="3"/>
  <c r="J37" i="3"/>
  <c r="I37" i="3"/>
  <c r="H37" i="3"/>
  <c r="G37" i="3"/>
  <c r="F37" i="3"/>
  <c r="D37" i="3"/>
  <c r="B37" i="3"/>
  <c r="K36" i="3"/>
  <c r="J36" i="3"/>
  <c r="I36" i="3"/>
  <c r="H36" i="3"/>
  <c r="G36" i="3"/>
  <c r="F36" i="3"/>
  <c r="K35" i="3"/>
  <c r="J35" i="3"/>
  <c r="I35" i="3"/>
  <c r="H35" i="3"/>
  <c r="G35" i="3"/>
  <c r="F35" i="3"/>
  <c r="D35" i="3"/>
  <c r="K34" i="3"/>
  <c r="J34" i="3"/>
  <c r="I34" i="3"/>
  <c r="H34" i="3"/>
  <c r="G34" i="3"/>
  <c r="F34" i="3"/>
  <c r="K33" i="3"/>
  <c r="J33" i="3"/>
  <c r="I33" i="3"/>
  <c r="H33" i="3"/>
  <c r="G33" i="3"/>
  <c r="F33" i="3"/>
  <c r="D33" i="3"/>
  <c r="B33" i="3"/>
  <c r="K32" i="3"/>
  <c r="J32" i="3"/>
  <c r="I32" i="3"/>
  <c r="H32" i="3"/>
  <c r="G32" i="3"/>
  <c r="F32" i="3"/>
  <c r="K31" i="3"/>
  <c r="J31" i="3"/>
  <c r="I31" i="3"/>
  <c r="H31" i="3"/>
  <c r="G31" i="3"/>
  <c r="F31" i="3"/>
  <c r="D31" i="3"/>
  <c r="K30" i="3"/>
  <c r="J30" i="3"/>
  <c r="I30" i="3"/>
  <c r="H30" i="3"/>
  <c r="G30" i="3"/>
  <c r="F30" i="3"/>
  <c r="K29" i="3"/>
  <c r="J29" i="3"/>
  <c r="I29" i="3"/>
  <c r="H29" i="3"/>
  <c r="G29" i="3"/>
  <c r="F29" i="3"/>
  <c r="D29" i="3"/>
  <c r="B29" i="3"/>
  <c r="K28" i="3"/>
  <c r="K52" i="3" s="1"/>
  <c r="J28" i="3"/>
  <c r="J52" i="3" s="1"/>
  <c r="I28" i="3"/>
  <c r="I52" i="3" s="1"/>
  <c r="H28" i="3"/>
  <c r="H52" i="3" s="1"/>
  <c r="G28" i="3"/>
  <c r="G52" i="3" s="1"/>
  <c r="F28" i="3"/>
  <c r="F52" i="3" s="1"/>
  <c r="K27" i="3"/>
  <c r="K51" i="3" s="1"/>
  <c r="J27" i="3"/>
  <c r="J51" i="3" s="1"/>
  <c r="I27" i="3"/>
  <c r="I51" i="3" s="1"/>
  <c r="H27" i="3"/>
  <c r="H51" i="3" s="1"/>
  <c r="G27" i="3"/>
  <c r="G51" i="3" s="1"/>
  <c r="F27" i="3"/>
  <c r="F51" i="3" s="1"/>
  <c r="D27" i="3"/>
  <c r="D51" i="3" s="1"/>
  <c r="K26" i="3"/>
  <c r="K50" i="3" s="1"/>
  <c r="J26" i="3"/>
  <c r="J50" i="3" s="1"/>
  <c r="I26" i="3"/>
  <c r="I50" i="3" s="1"/>
  <c r="H26" i="3"/>
  <c r="H50" i="3" s="1"/>
  <c r="G26" i="3"/>
  <c r="G50" i="3" s="1"/>
  <c r="F26" i="3"/>
  <c r="F50" i="3" s="1"/>
  <c r="K25" i="3"/>
  <c r="K49" i="3" s="1"/>
  <c r="J25" i="3"/>
  <c r="J49" i="3" s="1"/>
  <c r="I25" i="3"/>
  <c r="I49" i="3" s="1"/>
  <c r="H25" i="3"/>
  <c r="H49" i="3" s="1"/>
  <c r="G25" i="3"/>
  <c r="G49" i="3" s="1"/>
  <c r="F25" i="3"/>
  <c r="F49" i="3" s="1"/>
  <c r="D25" i="3"/>
  <c r="D49" i="3" s="1"/>
  <c r="B25" i="3"/>
  <c r="B49" i="3" s="1"/>
  <c r="H18" i="3"/>
  <c r="G18" i="3"/>
  <c r="F18" i="3"/>
  <c r="H17" i="3"/>
  <c r="G17" i="3"/>
  <c r="F17" i="3"/>
  <c r="D17" i="3"/>
  <c r="H16" i="3"/>
  <c r="G16" i="3"/>
  <c r="F16" i="3"/>
  <c r="H15" i="3"/>
  <c r="G15" i="3"/>
  <c r="F15" i="3"/>
  <c r="D15" i="3"/>
  <c r="B15" i="3"/>
  <c r="F12" i="3"/>
  <c r="H11" i="3"/>
  <c r="G11" i="3"/>
  <c r="H10" i="3"/>
  <c r="G10" i="3"/>
  <c r="G14" i="3" s="1"/>
  <c r="F10" i="3"/>
  <c r="H9" i="3"/>
  <c r="G9" i="3"/>
  <c r="F9" i="3"/>
  <c r="D9" i="3"/>
  <c r="D13" i="3" s="1"/>
  <c r="H8" i="3"/>
  <c r="G8" i="3"/>
  <c r="G12" i="3" s="1"/>
  <c r="F8" i="3"/>
  <c r="H7" i="3"/>
  <c r="G7" i="3"/>
  <c r="F7" i="3"/>
  <c r="D7" i="3"/>
  <c r="D11" i="3" s="1"/>
  <c r="B7" i="3"/>
  <c r="H6" i="3"/>
  <c r="H22" i="3" s="1"/>
  <c r="G6" i="3"/>
  <c r="G22" i="3" s="1"/>
  <c r="F6" i="3"/>
  <c r="F22" i="3" s="1"/>
  <c r="H5" i="3"/>
  <c r="H21" i="3" s="1"/>
  <c r="G5" i="3"/>
  <c r="G21" i="3" s="1"/>
  <c r="F5" i="3"/>
  <c r="F21" i="3" s="1"/>
  <c r="D5" i="3"/>
  <c r="D21" i="3" s="1"/>
  <c r="H4" i="3"/>
  <c r="H12" i="3" s="1"/>
  <c r="G4" i="3"/>
  <c r="G20" i="3" s="1"/>
  <c r="F4" i="3"/>
  <c r="F20" i="3" s="1"/>
  <c r="H3" i="3"/>
  <c r="H19" i="3" s="1"/>
  <c r="G3" i="3"/>
  <c r="G19" i="3" s="1"/>
  <c r="F3" i="3"/>
  <c r="F19" i="3" s="1"/>
  <c r="D3" i="3"/>
  <c r="D19" i="3" s="1"/>
  <c r="B3" i="3"/>
  <c r="B19" i="3" s="1"/>
  <c r="L247"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1" i="1"/>
  <c r="L20" i="1"/>
  <c r="L19" i="1"/>
  <c r="L18" i="1"/>
  <c r="L17" i="1"/>
  <c r="L16" i="1"/>
  <c r="L15" i="1"/>
  <c r="L14" i="1"/>
  <c r="L13" i="1"/>
  <c r="L12" i="1"/>
  <c r="L11" i="1"/>
  <c r="L10" i="1"/>
  <c r="L9" i="1"/>
  <c r="L8" i="1"/>
  <c r="F8" i="1"/>
  <c r="L7" i="1"/>
  <c r="L6" i="1"/>
  <c r="L5" i="1"/>
  <c r="L4" i="1"/>
  <c r="A4" i="1"/>
  <c r="L3" i="1"/>
  <c r="L2" i="1"/>
  <c r="C5" i="22" l="1"/>
  <c r="AC7" i="21"/>
  <c r="B5" i="22"/>
  <c r="H7" i="21"/>
  <c r="AA6" i="21"/>
  <c r="F13" i="3"/>
  <c r="B11" i="3"/>
  <c r="F14" i="3"/>
  <c r="H13" i="3"/>
  <c r="H20" i="3"/>
  <c r="G13" i="3"/>
  <c r="F11" i="3"/>
  <c r="H14" i="3"/>
  <c r="AF6" i="21"/>
  <c r="I6" i="21"/>
  <c r="H8" i="21" l="1"/>
  <c r="B6" i="22"/>
  <c r="D5" i="22"/>
  <c r="I7" i="21"/>
  <c r="E5" i="22"/>
  <c r="AF7" i="21"/>
  <c r="J6" i="21"/>
  <c r="AG6" i="21"/>
  <c r="AA7" i="21"/>
  <c r="AC8" i="21"/>
  <c r="C6" i="22"/>
  <c r="AG7" i="21" l="1"/>
  <c r="AA8" i="21"/>
  <c r="AF8" i="21"/>
  <c r="E6" i="22"/>
  <c r="I8" i="21"/>
  <c r="D6" i="22"/>
  <c r="J8" i="21"/>
  <c r="H9" i="21"/>
  <c r="B7" i="22"/>
  <c r="C7" i="22"/>
  <c r="AC9" i="21"/>
  <c r="J7" i="21"/>
  <c r="B8" i="22" l="1"/>
  <c r="H10" i="21"/>
  <c r="C8" i="22"/>
  <c r="AC10" i="21"/>
  <c r="I9" i="21"/>
  <c r="D7" i="22"/>
  <c r="E7" i="22"/>
  <c r="AF9" i="21"/>
  <c r="AG8" i="21"/>
  <c r="AA9" i="21"/>
  <c r="E8" i="22" l="1"/>
  <c r="AF10" i="21"/>
  <c r="H11" i="21"/>
  <c r="B9" i="22"/>
  <c r="AC11" i="21"/>
  <c r="C9" i="22"/>
  <c r="AG9" i="21"/>
  <c r="AA10" i="21"/>
  <c r="D8" i="22"/>
  <c r="I10" i="21"/>
  <c r="J10" i="21" s="1"/>
  <c r="J9" i="21"/>
  <c r="AG10" i="21" l="1"/>
  <c r="AA11" i="21"/>
  <c r="AC12" i="21"/>
  <c r="C10" i="22"/>
  <c r="I11" i="21"/>
  <c r="D9" i="22"/>
  <c r="B10" i="22"/>
  <c r="H12" i="21"/>
  <c r="J11" i="21"/>
  <c r="AF11" i="21"/>
  <c r="E9" i="22"/>
  <c r="AF12" i="21" l="1"/>
  <c r="E10" i="22"/>
  <c r="D10" i="22"/>
  <c r="I12" i="21"/>
  <c r="B11" i="22"/>
  <c r="H13" i="21"/>
  <c r="J12" i="21"/>
  <c r="C11" i="22"/>
  <c r="AC13" i="21"/>
  <c r="AG11" i="21"/>
  <c r="AA12" i="21"/>
  <c r="AG12" i="21" l="1"/>
  <c r="AA13" i="21"/>
  <c r="H14" i="21"/>
  <c r="B12" i="22"/>
  <c r="D11" i="22"/>
  <c r="I13" i="21"/>
  <c r="AC14" i="21"/>
  <c r="C12" i="22"/>
  <c r="E11" i="22"/>
  <c r="AF13" i="21"/>
  <c r="E12" i="22" l="1"/>
  <c r="AF14" i="21"/>
  <c r="I14" i="21"/>
  <c r="D12" i="22"/>
  <c r="H15" i="21"/>
  <c r="J14" i="21"/>
  <c r="B13" i="22"/>
  <c r="C13" i="22"/>
  <c r="AC15" i="21"/>
  <c r="J13" i="21"/>
  <c r="AA14" i="21"/>
  <c r="AG13" i="21"/>
  <c r="AA15" i="21" l="1"/>
  <c r="AG14" i="21"/>
  <c r="B14" i="22"/>
  <c r="H16" i="21"/>
  <c r="C14" i="22"/>
  <c r="AC16" i="21"/>
  <c r="I15" i="21"/>
  <c r="D13" i="22"/>
  <c r="E13" i="22"/>
  <c r="AF15" i="21"/>
  <c r="E14" i="22" l="1"/>
  <c r="AF16" i="21"/>
  <c r="D14" i="22"/>
  <c r="I16" i="21"/>
  <c r="J15" i="21"/>
  <c r="H17" i="21"/>
  <c r="J16" i="21"/>
  <c r="B15" i="22"/>
  <c r="AC17" i="21"/>
  <c r="C15" i="22"/>
  <c r="AG15" i="21"/>
  <c r="AA16" i="21"/>
  <c r="AG16" i="21" l="1"/>
  <c r="AA17" i="21"/>
  <c r="I17" i="21"/>
  <c r="D15" i="22"/>
  <c r="AC18" i="21"/>
  <c r="C16" i="22"/>
  <c r="AF17" i="21"/>
  <c r="E15" i="22"/>
  <c r="B16" i="22"/>
  <c r="H18" i="21"/>
  <c r="J17" i="21"/>
  <c r="B17" i="22" l="1"/>
  <c r="H19" i="21"/>
  <c r="AF18" i="21"/>
  <c r="E16" i="22"/>
  <c r="D16" i="22"/>
  <c r="I18" i="21"/>
  <c r="J18" i="21" s="1"/>
  <c r="C17" i="22"/>
  <c r="AC19" i="21"/>
  <c r="AG17" i="21"/>
  <c r="AA18" i="21"/>
  <c r="E17" i="22" l="1"/>
  <c r="AF19" i="21"/>
  <c r="H20" i="21"/>
  <c r="B18" i="22"/>
  <c r="AG18" i="21"/>
  <c r="AA19" i="21"/>
  <c r="AC20" i="21"/>
  <c r="C18" i="22"/>
  <c r="D17" i="22"/>
  <c r="I19" i="21"/>
  <c r="I20" i="21" l="1"/>
  <c r="D18" i="22"/>
  <c r="C19" i="22"/>
  <c r="AC21" i="21"/>
  <c r="AA20" i="21"/>
  <c r="AG19" i="21"/>
  <c r="J19" i="21"/>
  <c r="H21" i="21"/>
  <c r="J20" i="21"/>
  <c r="B19" i="22"/>
  <c r="E18" i="22"/>
  <c r="AF20" i="21"/>
  <c r="AA21" i="21" l="1"/>
  <c r="AG20" i="21"/>
  <c r="C20" i="22"/>
  <c r="AC22" i="21"/>
  <c r="E19" i="22"/>
  <c r="AF21" i="21"/>
  <c r="B20" i="22"/>
  <c r="H22" i="21"/>
  <c r="J21" i="21"/>
  <c r="I21" i="21"/>
  <c r="D19" i="22"/>
  <c r="D20" i="22" l="1"/>
  <c r="I22" i="21"/>
  <c r="H23" i="21"/>
  <c r="B21" i="22"/>
  <c r="E20" i="22"/>
  <c r="AF22" i="21"/>
  <c r="AC23" i="21"/>
  <c r="C21" i="22"/>
  <c r="AG21" i="21"/>
  <c r="AA22" i="21"/>
  <c r="AF23" i="21" l="1"/>
  <c r="E21" i="22"/>
  <c r="I23" i="21"/>
  <c r="D21" i="22"/>
  <c r="AG22" i="21"/>
  <c r="AA23" i="21"/>
  <c r="AC24" i="21"/>
  <c r="C22" i="22"/>
  <c r="J22" i="21"/>
  <c r="B22" i="22"/>
  <c r="H24" i="21"/>
  <c r="J23" i="21"/>
  <c r="B23" i="22" l="1"/>
  <c r="H25" i="21"/>
  <c r="C23" i="22"/>
  <c r="AC25" i="21"/>
  <c r="D22" i="22"/>
  <c r="I24" i="21"/>
  <c r="J24" i="21" s="1"/>
  <c r="AG23" i="21"/>
  <c r="AA24" i="21"/>
  <c r="AF24" i="21"/>
  <c r="E22" i="22"/>
  <c r="AC26" i="21" l="1"/>
  <c r="C24" i="22"/>
  <c r="E23" i="22"/>
  <c r="AF25" i="21"/>
  <c r="AG24" i="21"/>
  <c r="AA25" i="21"/>
  <c r="D23" i="22"/>
  <c r="I25" i="21"/>
  <c r="H26" i="21"/>
  <c r="J25" i="21"/>
  <c r="B24" i="22"/>
  <c r="H27" i="21" l="1"/>
  <c r="J26" i="21"/>
  <c r="B25" i="22"/>
  <c r="I26" i="21"/>
  <c r="D24" i="22"/>
  <c r="AA26" i="21"/>
  <c r="AG25" i="21"/>
  <c r="E24" i="22"/>
  <c r="AF26" i="21"/>
  <c r="C25" i="22"/>
  <c r="AC27" i="21"/>
  <c r="C26" i="22" l="1"/>
  <c r="AC28" i="21"/>
  <c r="E25" i="22"/>
  <c r="AF27" i="21"/>
  <c r="AA27" i="21"/>
  <c r="AG26" i="21"/>
  <c r="I27" i="21"/>
  <c r="D25" i="22"/>
  <c r="B26" i="22"/>
  <c r="H28" i="21"/>
  <c r="J27" i="21"/>
  <c r="H29" i="21" l="1"/>
  <c r="B27" i="22"/>
  <c r="D26" i="22"/>
  <c r="I28" i="21"/>
  <c r="J28" i="21" s="1"/>
  <c r="E26" i="22"/>
  <c r="AF28" i="21"/>
  <c r="AC29" i="21"/>
  <c r="C27" i="22"/>
  <c r="AG27" i="21"/>
  <c r="AA28" i="21"/>
  <c r="AG28" i="21" l="1"/>
  <c r="AA29" i="21"/>
  <c r="AF29" i="21"/>
  <c r="E27" i="22"/>
  <c r="AC30" i="21"/>
  <c r="C28" i="22"/>
  <c r="I29" i="21"/>
  <c r="D27" i="22"/>
  <c r="B28" i="22"/>
  <c r="H30" i="21"/>
  <c r="J29" i="21"/>
  <c r="AF30" i="21" l="1"/>
  <c r="E28" i="22"/>
  <c r="B29" i="22"/>
  <c r="H31" i="21"/>
  <c r="D28" i="22"/>
  <c r="I30" i="21"/>
  <c r="C29" i="22"/>
  <c r="AC31" i="21"/>
  <c r="AG29" i="21"/>
  <c r="AA30" i="21"/>
  <c r="AG30" i="21" l="1"/>
  <c r="AA31" i="21"/>
  <c r="AC32" i="21"/>
  <c r="C30" i="22"/>
  <c r="D29" i="22"/>
  <c r="I31" i="21"/>
  <c r="J30" i="21"/>
  <c r="H32" i="21"/>
  <c r="J31" i="21"/>
  <c r="B30" i="22"/>
  <c r="E29" i="22"/>
  <c r="AF31" i="21"/>
  <c r="H33" i="21" l="1"/>
  <c r="B31" i="22"/>
  <c r="C31" i="22"/>
  <c r="AC33" i="21"/>
  <c r="E30" i="22"/>
  <c r="AF32" i="21"/>
  <c r="I32" i="21"/>
  <c r="D30" i="22"/>
  <c r="AA32" i="21"/>
  <c r="AG31" i="21"/>
  <c r="AA33" i="21" l="1"/>
  <c r="AG32" i="21"/>
  <c r="E31" i="22"/>
  <c r="AF33" i="21"/>
  <c r="C32" i="22"/>
  <c r="AC34" i="21"/>
  <c r="I33" i="21"/>
  <c r="D31" i="22"/>
  <c r="J32" i="21"/>
  <c r="B32" i="22"/>
  <c r="H34" i="21"/>
  <c r="J33" i="21"/>
  <c r="H35" i="21" l="1"/>
  <c r="B33" i="22"/>
  <c r="AC35" i="21"/>
  <c r="C33" i="22"/>
  <c r="E32" i="22"/>
  <c r="AF34" i="21"/>
  <c r="D32" i="22"/>
  <c r="I34" i="21"/>
  <c r="AG33" i="21"/>
  <c r="AA34" i="21"/>
  <c r="AC36" i="21" l="1"/>
  <c r="C34" i="22"/>
  <c r="AG34" i="21"/>
  <c r="AA35" i="21"/>
  <c r="I35" i="21"/>
  <c r="D33" i="22"/>
  <c r="J34" i="21"/>
  <c r="AF35" i="21"/>
  <c r="E33" i="22"/>
  <c r="B34" i="22"/>
  <c r="H36" i="21"/>
  <c r="J35" i="21"/>
  <c r="C35" i="22" l="1"/>
  <c r="AC37" i="21"/>
  <c r="B35" i="22"/>
  <c r="H37" i="21"/>
  <c r="AF36" i="21"/>
  <c r="E34" i="22"/>
  <c r="D34" i="22"/>
  <c r="I36" i="21"/>
  <c r="AG35" i="21"/>
  <c r="AA36" i="21"/>
  <c r="E35" i="22" l="1"/>
  <c r="AF37" i="21"/>
  <c r="H38" i="21"/>
  <c r="B36" i="22"/>
  <c r="AC38" i="21"/>
  <c r="C36" i="22"/>
  <c r="AG36" i="21"/>
  <c r="AA37" i="21"/>
  <c r="D35" i="22"/>
  <c r="I37" i="21"/>
  <c r="J37" i="21" s="1"/>
  <c r="J36" i="21"/>
  <c r="C37" i="22" l="1"/>
  <c r="AC39" i="21"/>
  <c r="H39" i="21"/>
  <c r="B37" i="22"/>
  <c r="I38" i="21"/>
  <c r="D36" i="22"/>
  <c r="AA38" i="21"/>
  <c r="AG37" i="21"/>
  <c r="E36" i="22"/>
  <c r="AF38" i="21"/>
  <c r="AA39" i="21" l="1"/>
  <c r="AG38" i="21"/>
  <c r="I39" i="21"/>
  <c r="D37" i="22"/>
  <c r="J38" i="21"/>
  <c r="E37" i="22"/>
  <c r="AF39" i="21"/>
  <c r="B38" i="22"/>
  <c r="H40" i="21"/>
  <c r="J39" i="21"/>
  <c r="C38" i="22"/>
  <c r="AC40" i="21"/>
  <c r="AC41" i="21" s="1"/>
  <c r="AC42" i="21" s="1"/>
  <c r="AC43" i="21" s="1"/>
  <c r="AC44" i="21" s="1"/>
  <c r="AG39" i="21" l="1"/>
  <c r="AA40" i="21"/>
  <c r="H41" i="21"/>
  <c r="E38" i="22"/>
  <c r="AF40" i="21"/>
  <c r="AF41" i="21" s="1"/>
  <c r="AF42" i="21" s="1"/>
  <c r="AF43" i="21" s="1"/>
  <c r="AF44" i="21" s="1"/>
  <c r="D38" i="22"/>
  <c r="I40" i="21"/>
  <c r="I41" i="21" s="1"/>
  <c r="I42" i="21" s="1"/>
  <c r="I43" i="21" s="1"/>
  <c r="I44" i="21" s="1"/>
  <c r="J40" i="21" l="1"/>
  <c r="H42" i="21"/>
  <c r="J41" i="21"/>
  <c r="AG40" i="21"/>
  <c r="AA41" i="21"/>
  <c r="AG41" i="21" l="1"/>
  <c r="AA42" i="21"/>
  <c r="H43" i="21"/>
  <c r="J42" i="21"/>
  <c r="H44" i="21" l="1"/>
  <c r="J44" i="21" s="1"/>
  <c r="J43" i="21"/>
  <c r="AG42" i="21"/>
  <c r="AA43" i="21"/>
  <c r="AA44" i="21" l="1"/>
  <c r="AG44" i="21" s="1"/>
  <c r="AG43" i="21"/>
</calcChain>
</file>

<file path=xl/sharedStrings.xml><?xml version="1.0" encoding="utf-8"?>
<sst xmlns="http://schemas.openxmlformats.org/spreadsheetml/2006/main" count="16038" uniqueCount="5062">
  <si>
    <t>区</t>
  </si>
  <si>
    <t>No</t>
  </si>
  <si>
    <t>勤務地</t>
  </si>
  <si>
    <t>国籍</t>
  </si>
  <si>
    <t>社員コード</t>
  </si>
  <si>
    <t>写真</t>
  </si>
  <si>
    <t>フリガナ</t>
  </si>
  <si>
    <t>氏名</t>
  </si>
  <si>
    <t>呼名</t>
  </si>
  <si>
    <t>性別</t>
  </si>
  <si>
    <t>生年月日</t>
  </si>
  <si>
    <t>年齢</t>
  </si>
  <si>
    <t>配偶者</t>
  </si>
  <si>
    <t>登録支援機関</t>
  </si>
  <si>
    <t>入社日</t>
  </si>
  <si>
    <t>帰国予定</t>
  </si>
  <si>
    <t>実習区分</t>
  </si>
  <si>
    <t>住所</t>
  </si>
  <si>
    <t>個・相部屋</t>
  </si>
  <si>
    <t>家賃負担</t>
  </si>
  <si>
    <t>雇用条件書</t>
  </si>
  <si>
    <t>カード期限</t>
  </si>
  <si>
    <t>在留カード番号</t>
  </si>
  <si>
    <t>雇用保険番号</t>
  </si>
  <si>
    <t>自転車渡日</t>
  </si>
  <si>
    <t>自転車No-防犯</t>
  </si>
  <si>
    <t>自転車回収日</t>
  </si>
  <si>
    <t>日本語検定</t>
  </si>
  <si>
    <t>試験資格</t>
  </si>
  <si>
    <t>一時退職日</t>
  </si>
  <si>
    <t>一時帰国From</t>
  </si>
  <si>
    <t>一時帰国To</t>
  </si>
  <si>
    <t>再入社</t>
  </si>
  <si>
    <t>退職区分</t>
  </si>
  <si>
    <t>退職日</t>
  </si>
  <si>
    <t>帰国費用</t>
  </si>
  <si>
    <t>部署長</t>
  </si>
  <si>
    <t>特定1号
保険加入</t>
  </si>
  <si>
    <t>特定1号
入国日</t>
  </si>
  <si>
    <t>特定1号保険期間</t>
  </si>
  <si>
    <t>給与口座</t>
  </si>
  <si>
    <t>備考</t>
  </si>
  <si>
    <t>在留カード表裏</t>
  </si>
  <si>
    <t>パスポート</t>
  </si>
  <si>
    <t>特定保険証券</t>
  </si>
  <si>
    <t>通帳</t>
  </si>
  <si>
    <t>保険証</t>
  </si>
  <si>
    <t>日本語合格</t>
  </si>
  <si>
    <t>特定２号合格</t>
  </si>
  <si>
    <t>免許関係</t>
  </si>
  <si>
    <t>その他１（写真）</t>
  </si>
  <si>
    <t>その他２（写真）</t>
  </si>
  <si>
    <t>その他１（ファイル）</t>
  </si>
  <si>
    <t>その他２（ファイル）</t>
  </si>
  <si>
    <t>津吉</t>
  </si>
  <si>
    <t>ベトナム</t>
  </si>
  <si>
    <t>07011401</t>
  </si>
  <si>
    <t>ホアン ティ フォン</t>
  </si>
  <si>
    <t>HOANG THI HUONG</t>
  </si>
  <si>
    <t>ホアンフォン</t>
  </si>
  <si>
    <t>女</t>
  </si>
  <si>
    <t>中四国</t>
  </si>
  <si>
    <t>2022/11</t>
  </si>
  <si>
    <t>技能実習3号</t>
  </si>
  <si>
    <t>松山市津吉町535-1コーポ津吉1-2</t>
  </si>
  <si>
    <t>ＤＸ30707722ＰＣ</t>
  </si>
  <si>
    <t>5100-318356-1</t>
  </si>
  <si>
    <t>退職</t>
  </si>
  <si>
    <t>07011502</t>
  </si>
  <si>
    <t>ドー ティ ミー  ハイン</t>
  </si>
  <si>
    <t>DO THI MI HANH</t>
  </si>
  <si>
    <t>ハイン</t>
  </si>
  <si>
    <t>ＤＸ89886995ＰＣ</t>
  </si>
  <si>
    <t>5100-318488-1</t>
  </si>
  <si>
    <t>07011602</t>
  </si>
  <si>
    <t>/appsheet/photograph/3.写真.030343.jpg</t>
  </si>
  <si>
    <t>グエン ビック フーン</t>
  </si>
  <si>
    <t>NGUYEN BICH PHUONG</t>
  </si>
  <si>
    <t>フーン</t>
  </si>
  <si>
    <t>有</t>
  </si>
  <si>
    <t>2027/01</t>
  </si>
  <si>
    <t>特定技能１号</t>
  </si>
  <si>
    <t>個</t>
  </si>
  <si>
    <t>UH17492757PC</t>
  </si>
  <si>
    <t>5100-318256-3</t>
  </si>
  <si>
    <t>通勤は自転車B-0128657
白26ｲﾝﾁABELIA
買い物と外出時は
ｱｼｽﾄ自転車（知人から貰った）</t>
  </si>
  <si>
    <t>2026/02/13</t>
  </si>
  <si>
    <t xml:space="preserve">広島→ハノイ
79,500-
空港までは自己で行くが荷物２個は空港まで会社負担 </t>
  </si>
  <si>
    <t>帰国
飛行機代会社負担</t>
  </si>
  <si>
    <t>〇</t>
  </si>
  <si>
    <t>2025/8/1～2026/7/31
※2026年に帰国予定の
為、本人より1年間の契約希望</t>
  </si>
  <si>
    <t>ひめぎん
末広町支店</t>
  </si>
  <si>
    <r>
      <rPr>
        <sz val="11"/>
        <color theme="1"/>
        <rFont val="MS PGothic"/>
        <family val="3"/>
        <charset val="128"/>
      </rPr>
      <t xml:space="preserve">2/20まで出勤・3/17より出勤
</t>
    </r>
    <r>
      <rPr>
        <sz val="11"/>
        <color rgb="FFFF0000"/>
        <rFont val="MS PGothic"/>
        <family val="3"/>
        <charset val="128"/>
      </rPr>
      <t xml:space="preserve">2026/2月に退職して帰国したい申し出。
新開工場長へ連絡済み。帰りの飛行機代を確認依頼。
帰りの飛行機代は会社負担（専務了承済）
</t>
    </r>
    <r>
      <rPr>
        <sz val="11"/>
        <color theme="1"/>
        <rFont val="MS PGothic"/>
        <family val="3"/>
        <charset val="128"/>
      </rPr>
      <t>2026/2/13退職　最終出勤日1/22（1/23～有給消化）
2/14退寮　2/13　給料現金払い
1/23～夫のところへ行くため、1/23～2/14までの光熱費
は￥1000請求（尾崎さんより1/14）
2/9口座解約、転出届予定。</t>
    </r>
  </si>
  <si>
    <t>07011603</t>
  </si>
  <si>
    <t>ヴー ティ アイン</t>
  </si>
  <si>
    <t>VU THI ANH</t>
  </si>
  <si>
    <t>アイン</t>
  </si>
  <si>
    <t>2027/10</t>
  </si>
  <si>
    <t>TJ66354580PA</t>
  </si>
  <si>
    <t>5100-318538-2</t>
  </si>
  <si>
    <t>本社</t>
  </si>
  <si>
    <t>07001701</t>
  </si>
  <si>
    <t>ブイ ティ チン</t>
  </si>
  <si>
    <t>BUI THI CHINH</t>
  </si>
  <si>
    <t>チン</t>
  </si>
  <si>
    <t>2029/06</t>
  </si>
  <si>
    <t>和泉北1-20-28アトムスカイマンション401</t>
  </si>
  <si>
    <t>NP48961811PA</t>
  </si>
  <si>
    <t>特定技能　23.7/10～</t>
  </si>
  <si>
    <t>番号なし　福岡47－え5316</t>
  </si>
  <si>
    <t>2024/04/21
小栗工場裏</t>
  </si>
  <si>
    <t>N3:2021.7月</t>
  </si>
  <si>
    <t>2024.4月完全帰国
帰国費用会社負担</t>
  </si>
  <si>
    <t>24.4.20退職決定（4/17最終出勤日、4/18～4/20は有休）
4/22退寮</t>
  </si>
  <si>
    <t>07001502</t>
  </si>
  <si>
    <t>チャン ティ ガー</t>
  </si>
  <si>
    <t>TRAN THI NGA</t>
  </si>
  <si>
    <t>ガー</t>
  </si>
  <si>
    <t>2023/11</t>
  </si>
  <si>
    <t>小栗1丁目3-30ﾋﾟｯｺﾛｶｽﾀｰﾆｬ308</t>
  </si>
  <si>
    <t>TJ69040729PC</t>
  </si>
  <si>
    <t>5103-260930-7</t>
  </si>
  <si>
    <t>07001509</t>
  </si>
  <si>
    <t>ブイ ティ ヴィエトザン</t>
  </si>
  <si>
    <t>BUI THI VIET GIANG</t>
  </si>
  <si>
    <t>ザン</t>
  </si>
  <si>
    <t>雄郡1丁目6-2ｱﾙﾄ雄郡西405</t>
  </si>
  <si>
    <t>TJ53898721PC</t>
  </si>
  <si>
    <t>5103-260928-3</t>
  </si>
  <si>
    <t>07001612</t>
  </si>
  <si>
    <t>/appsheet/photograph/小栗_タム_20240424.jpg</t>
  </si>
  <si>
    <t>グエン ティ タム</t>
  </si>
  <si>
    <t>NGUYEN THI TAM</t>
  </si>
  <si>
    <t>タム</t>
  </si>
  <si>
    <t>無</t>
  </si>
  <si>
    <t>2025/09</t>
  </si>
  <si>
    <t>和泉北1-20-28アトムスカイマンション304</t>
  </si>
  <si>
    <t>相1</t>
  </si>
  <si>
    <t>SA28686623PA</t>
  </si>
  <si>
    <t>5103-260925-5</t>
  </si>
  <si>
    <t>1966ーB-0091966</t>
  </si>
  <si>
    <t>N4
2024/07/07</t>
  </si>
  <si>
    <t>実習終了後完全帰国
12/23 松山→成田15,000
        宿泊
12/24 成田→ハノイ80,000</t>
  </si>
  <si>
    <t xml:space="preserve">2024.6.12～社員コード変わる済（特定活動になるため）
2024.6.12～9/152実習3号→特定活動　9/12～特定技能へ
</t>
  </si>
  <si>
    <t>07001611</t>
  </si>
  <si>
    <t>/appsheet/photograph/小栗_ミン_20240424.jpg</t>
  </si>
  <si>
    <t>ブイ ティ ミン</t>
  </si>
  <si>
    <t>BUI THI MINH</t>
  </si>
  <si>
    <t>ミン</t>
  </si>
  <si>
    <t>夫婦</t>
  </si>
  <si>
    <t>和泉北1-20-28アトムスカイマンション305</t>
  </si>
  <si>
    <t>UH54552117PC</t>
  </si>
  <si>
    <t>5103-260929-6</t>
  </si>
  <si>
    <t>返却済
宮内工場長の自転車を乗っている</t>
  </si>
  <si>
    <t/>
  </si>
  <si>
    <t>２018/10/30</t>
  </si>
  <si>
    <t>2025/8/1～2029/9/30</t>
  </si>
  <si>
    <t>伊予銀</t>
  </si>
  <si>
    <r>
      <rPr>
        <sz val="11"/>
        <color rgb="FF000000"/>
        <rFont val="MS PGothic"/>
        <family val="3"/>
        <charset val="128"/>
      </rPr>
      <t>※特定技能申請の為、ﾊﾟｽﾎﾟｰﾄと在留ｶｰﾄﾞは中四国預かり（6/13朴さんより）
2024.6.12～社員コード変わる済（特定活動になるため）
2024.6.12～9.12実習3号→特定活動　9/12～特定技能へ
※特定活動（6ヵ月）申請しその期間に特定技能へ変更予定。</t>
    </r>
    <r>
      <rPr>
        <sz val="11"/>
        <color rgb="FFFF0000"/>
        <rFont val="MS PGothic"/>
        <family val="3"/>
        <charset val="128"/>
      </rPr>
      <t xml:space="preserve">
2026/5/4出産予定日　一時帰国し出産予定。2026/3/24～6/29産休　6/30～2027/5/3育休</t>
    </r>
  </si>
  <si>
    <t>07001613</t>
  </si>
  <si>
    <t>/appsheet/photograph/10.写真.032947.jpg</t>
  </si>
  <si>
    <t>グエン ティ ロアン</t>
  </si>
  <si>
    <t>NGUYEN THI LOAN</t>
  </si>
  <si>
    <t>ロアン</t>
  </si>
  <si>
    <t>和泉北1-20-28アトムスカイマンション403</t>
  </si>
  <si>
    <t>個1</t>
  </si>
  <si>
    <t>UH51964624PC</t>
  </si>
  <si>
    <t>5103-260926-8</t>
  </si>
  <si>
    <t>1968-B-0091968
2024/08/27自転車変更
7912(1596)赤へ
2025/08/27変更
B-0246665-1008</t>
  </si>
  <si>
    <t>2024/01/27
2026/5月頃</t>
  </si>
  <si>
    <t>2024/02/27
2026/7月頃</t>
  </si>
  <si>
    <t>2025/8/1～2029/5/31</t>
  </si>
  <si>
    <t>伊予銀
湊町支店</t>
  </si>
  <si>
    <r>
      <rPr>
        <sz val="11"/>
        <color theme="1"/>
        <rFont val="MS PGothic"/>
        <family val="3"/>
        <charset val="128"/>
      </rPr>
      <t>※特定技能申請の為、ﾊﾟｽﾎﾟｰﾄと在留ｶｰﾄﾞは中四国預かり（6/13朴さんより）
2024.6.12～社員コード変わる済（特定活動になるため）
2024.6.12～9/152実習3号→特定活動　9/12～特定技能へ
※特定活動（6ヵ月）申請しその期間に特定技能へ変更予定。</t>
    </r>
    <r>
      <rPr>
        <sz val="11"/>
        <color rgb="FFFF0000"/>
        <rFont val="MS PGothic"/>
        <family val="3"/>
        <charset val="128"/>
      </rPr>
      <t xml:space="preserve">
</t>
    </r>
    <r>
      <rPr>
        <sz val="11"/>
        <color theme="1"/>
        <rFont val="MS PGothic"/>
        <family val="3"/>
        <charset val="128"/>
      </rPr>
      <t>2022.7.18一時退職8/9～一時帰国　2024.1.26一時退職
2025/10/4　2～3年前から週に5日程下痢が続いているため、窪田クリニックを受診。便検査の結果、病原性大腸菌O-18が見つかり、ベロ毒素の検査結果は陰性。（陽性であれば保健所に届け出が必要とのこと）。除菌のため、抗生物質の薬を5日服用し、5日後に再度便検査を病院でする予定。</t>
    </r>
  </si>
  <si>
    <t>/appsheet/photograph/07001613.通帳.040920.jpg</t>
  </si>
  <si>
    <t>協同本社</t>
  </si>
  <si>
    <t>17001003</t>
  </si>
  <si>
    <t>チャン ティ トゥー ヒエン転籍</t>
  </si>
  <si>
    <t>TRAN THI THU HIEN</t>
  </si>
  <si>
    <t>ヒエン</t>
  </si>
  <si>
    <t>2024/06</t>
  </si>
  <si>
    <t>TJ09931713PC</t>
  </si>
  <si>
    <t>5105-142066-5</t>
  </si>
  <si>
    <t>1905-1056</t>
  </si>
  <si>
    <t>小栗工場裏</t>
  </si>
  <si>
    <t>2025年頃日本に戻って技能実習を再開したいとの希望あり</t>
  </si>
  <si>
    <t>07001614</t>
  </si>
  <si>
    <t>/appsheet/photograph/12.写真.224547.jpg</t>
  </si>
  <si>
    <t>ホアン ティ チャン</t>
  </si>
  <si>
    <t xml:space="preserve"> HOANG THI TRANG</t>
  </si>
  <si>
    <t>チャン</t>
  </si>
  <si>
    <t>個2</t>
  </si>
  <si>
    <t>UH80838380PC</t>
  </si>
  <si>
    <t>5105-142112-5</t>
  </si>
  <si>
    <t>2021/01購入
なし-B-0188562</t>
  </si>
  <si>
    <r>
      <rPr>
        <sz val="11"/>
        <color rgb="FFFF0000"/>
        <rFont val="MS PGothic"/>
        <family val="3"/>
        <charset val="128"/>
      </rPr>
      <t xml:space="preserve">※特定技能申請の為、ﾊﾟｽﾎﾟｰﾄと在留ｶｰﾄﾞは中四国預かり（6/13朴さんより）
2024.6.12～9/12　実習3号→特定活動　9/12～特定技能へ
※特定活動（6ヵ月）申請しその期間に特定技能へ変更予定。
</t>
    </r>
    <r>
      <rPr>
        <sz val="11"/>
        <color rgb="FF000000"/>
        <rFont val="MS PGothic"/>
        <family val="3"/>
        <charset val="128"/>
      </rPr>
      <t>2024.6.12～（協同→中温へ転籍）</t>
    </r>
  </si>
  <si>
    <t>チャン ティ フォン</t>
  </si>
  <si>
    <t>TRAN THI HUONG</t>
  </si>
  <si>
    <t>チャンフォン</t>
  </si>
  <si>
    <t>技能実習2号</t>
  </si>
  <si>
    <t>和泉北1-20-28アトムスカイマンション402</t>
  </si>
  <si>
    <t>LD29267624PC</t>
  </si>
  <si>
    <t>5105-141994-8</t>
  </si>
  <si>
    <t>07001404</t>
  </si>
  <si>
    <t>フォン</t>
  </si>
  <si>
    <t>2023/01</t>
  </si>
  <si>
    <t>TJ51126887PC</t>
  </si>
  <si>
    <t>5106-445108-4</t>
  </si>
  <si>
    <t>07011405</t>
  </si>
  <si>
    <t>グエン ティ ゴック タオ</t>
  </si>
  <si>
    <t>NGUYEN THI NGOC THAO</t>
  </si>
  <si>
    <t>タオ</t>
  </si>
  <si>
    <t>2022/08</t>
  </si>
  <si>
    <t>松山市津吉町535-1コーポ津吉1-6</t>
  </si>
  <si>
    <t>DX17958926PC</t>
  </si>
  <si>
    <t>5105-743699-4</t>
  </si>
  <si>
    <t>07011504</t>
  </si>
  <si>
    <t>ファム ティ ヒエン</t>
  </si>
  <si>
    <t>PHAM THI HIEN</t>
  </si>
  <si>
    <t>ファムヒエン</t>
  </si>
  <si>
    <t>2024/08</t>
  </si>
  <si>
    <t>NP60084115PC</t>
  </si>
  <si>
    <t>5105-743702-4</t>
  </si>
  <si>
    <r>
      <rPr>
        <sz val="10"/>
        <color theme="1"/>
        <rFont val="MS PGothic"/>
        <family val="3"/>
        <charset val="128"/>
      </rPr>
      <t xml:space="preserve">自身で購入
</t>
    </r>
    <r>
      <rPr>
        <sz val="10"/>
        <color theme="1"/>
        <rFont val="MS PGothic"/>
        <family val="3"/>
        <charset val="128"/>
      </rPr>
      <t xml:space="preserve">会社支給　管理番号なし
</t>
    </r>
    <r>
      <rPr>
        <sz val="10"/>
        <color theme="1"/>
        <rFont val="MS PGothic"/>
        <family val="3"/>
        <charset val="128"/>
      </rPr>
      <t xml:space="preserve">B-0128655
</t>
    </r>
    <r>
      <rPr>
        <sz val="10"/>
        <color theme="1"/>
        <rFont val="MS PGothic"/>
        <family val="3"/>
        <charset val="128"/>
      </rPr>
      <t>買い物等は自転車使用</t>
    </r>
  </si>
  <si>
    <t>缶詰巻締上級
2024/09/12</t>
  </si>
  <si>
    <t>実習終了帰国
松山→ベトナム
６３，６００円</t>
  </si>
  <si>
    <t>2024.10.3実習3号終了が正しい　実習終了にて帰国予定
有給１６日在留カード期限10/22だが、10/3が実習終了のため9/9最終出勤、10/3退職 10/4退寮　現金支払い</t>
  </si>
  <si>
    <t>07011402</t>
  </si>
  <si>
    <t>グエン ティ トゥー</t>
  </si>
  <si>
    <t>NGUYEN THI THU</t>
  </si>
  <si>
    <t>トゥー</t>
  </si>
  <si>
    <t>DX99865766PC</t>
  </si>
  <si>
    <t>5105-743700-9</t>
  </si>
  <si>
    <t>07001403</t>
  </si>
  <si>
    <t>NP29436386PA</t>
  </si>
  <si>
    <t>5106-445109-7</t>
  </si>
  <si>
    <t>07011613</t>
  </si>
  <si>
    <t>/appsheet/photograph/19.写真.032434.jpg</t>
  </si>
  <si>
    <t>ファム ティ チン</t>
  </si>
  <si>
    <t xml:space="preserve">PHAM THI CHINH </t>
  </si>
  <si>
    <t>2029/08</t>
  </si>
  <si>
    <t>松山市上野町774番地ビレッジハウス松山上野1-303</t>
  </si>
  <si>
    <t>UH90854712PC</t>
  </si>
  <si>
    <t>5105-743701-1</t>
  </si>
  <si>
    <t>ご主人のバイクで通勤
会社支給　管理番号なし
B-0128654　白26ｲﾝﾁ</t>
  </si>
  <si>
    <t>通勤方法確認書
には通勤、買い物も
会社の自転車使用
と記載あり</t>
  </si>
  <si>
    <t>育児休暇中</t>
  </si>
  <si>
    <t>2025/03/11帰国費用
広島⇔ハノイ74,300円
半額負担し、特定終了後は
負担しない</t>
  </si>
  <si>
    <t>×</t>
  </si>
  <si>
    <t>自転車保険 2026/09/15</t>
  </si>
  <si>
    <t>ビレッジハウス　個人で契約するとのこと
妊娠のため2025.9月末頃？～産休（予定日11/7）2025.5.30出産で9月頃退職後一時帰国予定。（子供が1才になるまで）再度中温へ戻りたいとの希望あり。→中四国朴さんより、日本で出産すると本人が言っているとのこと。寮は次が確定しているため、再度確認依頼済。
2024/12/04～特定技能
2024/10/04～特定活動
2024.10.20　実習3号終了予定
130ズオンデタオが夫
2024/09/18 特定技能へ申請手続き
2024/09/25コーポ津吉1-6よりビレッジ2-503へ引越→通勤届済
2025.9.5引越　ビレッジ1-303へ（チン名義で借りる）
2025.9.27～育児休暇　2026/10/20までは確定
2025.11.4帝王切開予定
2025.10/31出産</t>
  </si>
  <si>
    <t>/appsheet/photograph/07011613.在留カード表裏.072221.pdf</t>
  </si>
  <si>
    <t>07011506</t>
  </si>
  <si>
    <t>カオ ティ トム</t>
  </si>
  <si>
    <t>CAO THI THOM</t>
  </si>
  <si>
    <t>トム</t>
  </si>
  <si>
    <t>2024/09</t>
  </si>
  <si>
    <t>TJ09914475PC</t>
  </si>
  <si>
    <t>5105-880527-2</t>
  </si>
  <si>
    <t>ズオン トアン　タン
（チン、タオの赤ちゃん）</t>
  </si>
  <si>
    <t>DUONG　TOAN　THANG</t>
  </si>
  <si>
    <t>男</t>
  </si>
  <si>
    <t>特定活動</t>
  </si>
  <si>
    <t>チン、タオの子供</t>
  </si>
  <si>
    <t>UH90942141PC</t>
  </si>
  <si>
    <t>―</t>
  </si>
  <si>
    <t>こちらでチンの更新と一緒に在留カード更新する｡</t>
  </si>
  <si>
    <t>07011764</t>
  </si>
  <si>
    <t>グエン ヴァン ハオ</t>
  </si>
  <si>
    <t>NGUYEN VAN HAO</t>
  </si>
  <si>
    <t>ハオ</t>
  </si>
  <si>
    <t>?</t>
  </si>
  <si>
    <t>松山市上野町774番地ビレッジハウス松山上野2-508</t>
  </si>
  <si>
    <t>TJ88198592RA</t>
  </si>
  <si>
    <t>5098-636935-8</t>
  </si>
  <si>
    <t>07011601</t>
  </si>
  <si>
    <t>ビー ティー ジェム フォン</t>
  </si>
  <si>
    <t>VI THI DIEM HUONG</t>
  </si>
  <si>
    <t>ビーフォン</t>
  </si>
  <si>
    <t>TJ92560142PA</t>
  </si>
  <si>
    <t>5097-085709-2</t>
  </si>
  <si>
    <t>グエン ティ チャム フェン</t>
  </si>
  <si>
    <t>NGUYEN THI TRAM HUYEN</t>
  </si>
  <si>
    <t>チャムフェン</t>
  </si>
  <si>
    <t>ポエム</t>
  </si>
  <si>
    <t>津吉町535-1コーポ津吉2-4</t>
  </si>
  <si>
    <t>DX99566980PC</t>
  </si>
  <si>
    <t>5105-699781-1</t>
  </si>
  <si>
    <t>07011761</t>
  </si>
  <si>
    <t>ホアン ティ ハン★</t>
  </si>
  <si>
    <t>HOANG THI HAN</t>
  </si>
  <si>
    <t>ハン</t>
  </si>
  <si>
    <t>ＴＪ04286685PC</t>
  </si>
  <si>
    <t>5105-385457-3</t>
  </si>
  <si>
    <t>07011762</t>
  </si>
  <si>
    <t>ヴー ティ・ホアン★</t>
  </si>
  <si>
    <t>VU THI HOAN</t>
  </si>
  <si>
    <t>ホアン</t>
  </si>
  <si>
    <t>ＴＪ39383067PC</t>
  </si>
  <si>
    <t>5105-385458-6</t>
  </si>
  <si>
    <t>2104?</t>
  </si>
  <si>
    <t>07011606</t>
  </si>
  <si>
    <t>/appsheet/photograph/26.写真.001347.jpg</t>
  </si>
  <si>
    <t>ヴー ティ ホアン</t>
  </si>
  <si>
    <t>2028/06</t>
  </si>
  <si>
    <t>UH16081560PA</t>
  </si>
  <si>
    <t>2104
通勤、買い物も会社
支給の自転車使用</t>
  </si>
  <si>
    <t>2026/1月２号試験希望_統括より</t>
  </si>
  <si>
    <r>
      <rPr>
        <sz val="11"/>
        <color rgb="FF000000"/>
        <rFont val="MS PGothic"/>
        <family val="3"/>
        <charset val="128"/>
      </rPr>
      <t xml:space="preserve">2024/07/01
</t>
    </r>
    <r>
      <rPr>
        <sz val="11"/>
        <color rgb="FFFF0000"/>
        <rFont val="MS PGothic"/>
        <family val="3"/>
        <charset val="128"/>
      </rPr>
      <t>2026/01/24</t>
    </r>
  </si>
  <si>
    <r>
      <rPr>
        <sz val="11"/>
        <color rgb="FF000000"/>
        <rFont val="MS PGothic"/>
        <family val="3"/>
        <charset val="128"/>
      </rPr>
      <t xml:space="preserve">2024/08/01
</t>
    </r>
    <r>
      <rPr>
        <sz val="11"/>
        <color rgb="FFFF0000"/>
        <rFont val="MS PGothic"/>
        <family val="3"/>
        <charset val="128"/>
      </rPr>
      <t>2026/03/21</t>
    </r>
  </si>
  <si>
    <t>一時退職</t>
  </si>
  <si>
    <t>2025/8/1～2028/6/30</t>
  </si>
  <si>
    <r>
      <rPr>
        <sz val="11"/>
        <color rgb="FF000000"/>
        <rFont val="MS PGothic"/>
        <family val="3"/>
        <charset val="128"/>
      </rPr>
      <t>24.7/3頃～8/5頃一時帰国　新開工場長へ申請あり4/24　→中四国
からの日程の連絡待ち。→6/30～7/31確定（6/19中四国より）
本人からの休暇届けは7/1～8/1一時帰国（全て有給申請）となって
いるため、中四国廣瀬さんへ確認依頼済（6/28中に）
一時帰国後8/6以降順風会で健診予定</t>
    </r>
    <r>
      <rPr>
        <sz val="11"/>
        <color rgb="FFFF0000"/>
        <rFont val="MS PGothic"/>
        <family val="3"/>
        <charset val="128"/>
      </rPr>
      <t xml:space="preserve">
</t>
    </r>
    <r>
      <rPr>
        <sz val="11"/>
        <color rgb="FF000000"/>
        <rFont val="MS PGothic"/>
        <family val="3"/>
        <charset val="128"/>
      </rPr>
      <t xml:space="preserve">24.4月分～ﾎｱﾝﾃｨﾊﾝが入寮したら家賃2万→1万へ
</t>
    </r>
    <r>
      <rPr>
        <sz val="11"/>
        <color rgb="FFFF0000"/>
        <rFont val="MS PGothic"/>
        <family val="3"/>
        <charset val="128"/>
      </rPr>
      <t>2026.1月　特定2号受験予定
2025/11/7特定2号試験終了後、２月初めから、２ヶ月一時帰国したい申し出あり。水沼さん了承。</t>
    </r>
  </si>
  <si>
    <t>/appsheet/photograph/07011606.特定２号合格.011012.pdf</t>
  </si>
  <si>
    <t>07011763</t>
  </si>
  <si>
    <t>チャン ティ ホアン リェン</t>
  </si>
  <si>
    <t>TRAN THI HOANG LIEN</t>
  </si>
  <si>
    <t>リエン</t>
  </si>
  <si>
    <t>ＴＪ53602521PC</t>
  </si>
  <si>
    <t>5105-385461-2</t>
  </si>
  <si>
    <t>07001609</t>
  </si>
  <si>
    <t>/appsheet/photograph/IDPhoto_20240711_マイン.jpg</t>
  </si>
  <si>
    <t>トー マイン トゥ</t>
  </si>
  <si>
    <t>TO MANH TU</t>
  </si>
  <si>
    <t>マイン</t>
  </si>
  <si>
    <t>2028/08</t>
  </si>
  <si>
    <t>SA48074257PA</t>
  </si>
  <si>
    <t>5109-022627-2</t>
  </si>
  <si>
    <t>2020/10購入
B-0177518-1040</t>
  </si>
  <si>
    <t>帰国</t>
  </si>
  <si>
    <t>特定技能1号期間更新中　24.7.11
2025.8月か9月頃に帰国希望（工場長より）
2025/08/31ピッコロ解約し、9/5退職9/9頃帰国
9/1～9/5アトム504
9/4退職、9/5退寮　有給残10日あり　※最終出勤日8/27　9/5現金払い</t>
  </si>
  <si>
    <t>07001629</t>
  </si>
  <si>
    <t>/appsheet/photograph/IDPhoto_20240711_ヴィエット.jpg</t>
  </si>
  <si>
    <t>チャン ヴァン ヴィエット</t>
  </si>
  <si>
    <t>TRAN VAN VIET</t>
  </si>
  <si>
    <t>ヴィエット</t>
  </si>
  <si>
    <t>和泉北1-20-28アトムスカイマンション504</t>
  </si>
  <si>
    <t>2025/08/01
2026/01/31</t>
  </si>
  <si>
    <t>UH63950753PC</t>
  </si>
  <si>
    <t>5109-022666-1</t>
  </si>
  <si>
    <t>2020/10購入 紛失17000002-B-0177519 新888-B-0143840-1653</t>
  </si>
  <si>
    <t>5/30立花駅にて盗難
6/3市駅前交番届出</t>
  </si>
  <si>
    <t>2025/12/25-2026/2/2 関西国際空港⇔ハノイ　115,800円</t>
  </si>
  <si>
    <t>伊予銀
三津浜支店</t>
  </si>
  <si>
    <r>
      <rPr>
        <sz val="11"/>
        <color rgb="FF000000"/>
        <rFont val="MS PGothic"/>
        <family val="3"/>
        <charset val="128"/>
      </rPr>
      <t>特定技能1号期間更新中　24.7.11 6/3 10:01受理　市駅前交番にて　5/30自転車盗難の申出。鍵が故障により施錠しておらずとの申し出。6/3組合に5,000円徴収依頼　　6/4￥5000支払済 2025/10/8伊予銀　三津浜支店　ワタナベさんより連絡あり。在留ｶｰﾄﾞ更新後のコピーの提出がまだ。10/17</t>
    </r>
    <r>
      <rPr>
        <sz val="11"/>
        <color rgb="FFFF0000"/>
        <rFont val="MS PGothic"/>
        <family val="3"/>
        <charset val="128"/>
      </rPr>
      <t xml:space="preserve">
2025/12/25～2026/02/02一時帰国希望（宮内工場長より）
2025/12/24一時退職　12/25～2026/2/2一時帰国　2026/2/3再入社
社員ｺｰﾄﾞ変更済</t>
    </r>
  </si>
  <si>
    <t>/appsheet/photograph/07001605.在留カード表裏.003116.pdf</t>
  </si>
  <si>
    <t>07001610</t>
  </si>
  <si>
    <t>/appsheet/photograph/IDPhoto_20240711_ダット.jpg</t>
  </si>
  <si>
    <t>グエン ヒュー タイン ダット</t>
  </si>
  <si>
    <t>NGUYEN HUU THANH DAT</t>
  </si>
  <si>
    <t>ダット</t>
  </si>
  <si>
    <t>松山市末広町5-14三和ﾏﾝｼｮﾝ末広201</t>
  </si>
  <si>
    <t>UH42724630PC</t>
  </si>
  <si>
    <t>5109-022610-8</t>
  </si>
  <si>
    <t>2020/10購入
17000003 B-0177520</t>
  </si>
  <si>
    <t>N3
2024/12/01</t>
  </si>
  <si>
    <t>2025/8/1～2028/8/31</t>
  </si>
  <si>
    <r>
      <rPr>
        <sz val="11"/>
        <color rgb="FF000000"/>
        <rFont val="MS PGothic"/>
        <family val="3"/>
        <charset val="128"/>
      </rPr>
      <t xml:space="preserve">特定技能1号期間更新中　24.7.11
2024.6.21～ｱﾄﾑ504→三和ﾏﾝｼｮﾝ末広201へ引越
6/26住所変更済（中四国で）
家賃￥21500/人。家具家電は会社負担
奥さんｱｲﾝと一緒に住む
2025/7/24一時帰国から戻ってから在留ｶｰﾄﾞ更新予定⇒済9/29
</t>
    </r>
    <r>
      <rPr>
        <sz val="11"/>
        <color rgb="FFFF0000"/>
        <rFont val="MS PGothic"/>
        <family val="3"/>
        <charset val="128"/>
      </rPr>
      <t>2026.1月　特定2号受験予定</t>
    </r>
  </si>
  <si>
    <t>/appsheet/photograph/07001610.通帳.042824.pdf</t>
  </si>
  <si>
    <t>/appsheet/photograph/07001610.特定２号合格.010117.pdf</t>
  </si>
  <si>
    <t>07001406</t>
  </si>
  <si>
    <t>ダン ティ タイン トゥイ</t>
  </si>
  <si>
    <t>DANG THI THANH THUY</t>
  </si>
  <si>
    <t>ダン</t>
  </si>
  <si>
    <t>TJ41491013PC</t>
  </si>
  <si>
    <t>5106-445113-6</t>
  </si>
  <si>
    <t>07001407</t>
  </si>
  <si>
    <t>ダオ ティ トゥー フエン</t>
  </si>
  <si>
    <t>DAO THI THU HUYEN</t>
  </si>
  <si>
    <t>ダオ</t>
  </si>
  <si>
    <t>TJ48438123PC</t>
  </si>
  <si>
    <t>5106-445107-1</t>
  </si>
  <si>
    <t>22.12/20　退職　　12/23　帰国</t>
  </si>
  <si>
    <t>07001402</t>
  </si>
  <si>
    <t>ハー ティ ソン</t>
  </si>
  <si>
    <t>HA THI SON</t>
  </si>
  <si>
    <t>ソン</t>
  </si>
  <si>
    <t>TJ44753516PC</t>
  </si>
  <si>
    <t>5106-445112-3</t>
  </si>
  <si>
    <t>07001401</t>
  </si>
  <si>
    <t>グエンティ ミン フォン</t>
  </si>
  <si>
    <t>NGUYEN THI MINH HUONG</t>
  </si>
  <si>
    <t>グエン</t>
  </si>
  <si>
    <t>TJ57789188PC</t>
  </si>
  <si>
    <t>5106-445110-8</t>
  </si>
  <si>
    <t>07011605</t>
  </si>
  <si>
    <t>ファム ティ リン</t>
  </si>
  <si>
    <t>PHAM THI LINH</t>
  </si>
  <si>
    <t>リン</t>
  </si>
  <si>
    <t>2028/02</t>
  </si>
  <si>
    <t>SA26542494PA</t>
  </si>
  <si>
    <t>5106-445114-9</t>
  </si>
  <si>
    <t>自身で購入（ｱｼｽﾄ自転車）通勤使用
ﾀﾞｲｷで購入　書類紛失の為
防犯登録等不明
会社支給　管理番号なし
B-0128657会社の自転車は時々使用</t>
  </si>
  <si>
    <r>
      <rPr>
        <sz val="10"/>
        <color rgb="FFFF0000"/>
        <rFont val="MS PGothic"/>
        <family val="3"/>
        <charset val="128"/>
      </rPr>
      <t>2024.8.14退職希望とのことで新開工場長より（7/1）</t>
    </r>
    <r>
      <rPr>
        <sz val="10"/>
        <color rgb="FF000000"/>
        <rFont val="MS PGothic"/>
        <family val="3"/>
        <charset val="128"/>
      </rPr>
      <t xml:space="preserve">2024.2/2～2/24一時帰国
特定技能23.2/28～　23.3/21～津吉へ
</t>
    </r>
    <r>
      <rPr>
        <sz val="10"/>
        <color rgb="FFFF0000"/>
        <rFont val="MS PGothic"/>
        <family val="3"/>
        <charset val="128"/>
      </rPr>
      <t>最終8/9退職 8/15退寮</t>
    </r>
  </si>
  <si>
    <t>07001617</t>
  </si>
  <si>
    <t>/appsheet/photograph/36.写真.225148.jpg</t>
  </si>
  <si>
    <t>グエン タイン ド―</t>
  </si>
  <si>
    <t>NGUYEN THANH DO</t>
  </si>
  <si>
    <t>ドー</t>
  </si>
  <si>
    <t>2028/12</t>
  </si>
  <si>
    <t>相2</t>
  </si>
  <si>
    <t>UH64477231PC</t>
  </si>
  <si>
    <t>5109-504178-2</t>
  </si>
  <si>
    <t>2021/01購入
8561
B-0188561-1188</t>
  </si>
  <si>
    <t>関空⇔ハノイ
98,300-会社負担</t>
  </si>
  <si>
    <t>―
自転車保険加入済
2026/2/1～2027/2/1　1年間</t>
  </si>
  <si>
    <t>/appsheet/photograph/07001617.在留カード表裏.072440.pdf</t>
  </si>
  <si>
    <t>管理表_Files_/07001617.パスポート.003113.pdf</t>
  </si>
  <si>
    <t>07001409</t>
  </si>
  <si>
    <t>ハー ティ タイン ハン</t>
  </si>
  <si>
    <t>HA THI THANH HANG</t>
  </si>
  <si>
    <t>TJ53670164PC</t>
  </si>
  <si>
    <t>5109-504268-5</t>
  </si>
  <si>
    <t>07011611</t>
  </si>
  <si>
    <t>レー ティ ニュン</t>
  </si>
  <si>
    <t>LE THI NHUNG</t>
  </si>
  <si>
    <t>ニュン</t>
  </si>
  <si>
    <t>NP14928533PA</t>
  </si>
  <si>
    <t>5109-504384-3</t>
  </si>
  <si>
    <r>
      <rPr>
        <sz val="11"/>
        <color theme="1"/>
        <rFont val="MS PGothic"/>
        <family val="3"/>
        <charset val="128"/>
      </rPr>
      <t xml:space="preserve">ｱｲｽﾄ自転車
B-0266737
青　ﾀｹﾀﾞ403　SUISUI
</t>
    </r>
    <r>
      <rPr>
        <sz val="8"/>
        <color theme="1"/>
        <rFont val="MS PGothic"/>
        <family val="3"/>
        <charset val="128"/>
      </rPr>
      <t>車体番号</t>
    </r>
    <r>
      <rPr>
        <sz val="11"/>
        <color theme="1"/>
        <rFont val="MS PGothic"/>
        <family val="3"/>
        <charset val="128"/>
      </rPr>
      <t xml:space="preserve">CFS22060439
</t>
    </r>
  </si>
  <si>
    <t xml:space="preserve">会社支給の自転車
は使用していない
</t>
  </si>
  <si>
    <r>
      <rPr>
        <sz val="10"/>
        <color rgb="FFFF0000"/>
        <rFont val="MS PGothic"/>
        <family val="3"/>
        <charset val="128"/>
      </rPr>
      <t xml:space="preserve">2024.8.14退職希望とのこと新開工場長より（7/1）
</t>
    </r>
    <r>
      <rPr>
        <sz val="10"/>
        <color rgb="FF000000"/>
        <rFont val="MS PGothic"/>
        <family val="3"/>
        <charset val="128"/>
      </rPr>
      <t xml:space="preserve">一時退職の為社員コード変わる2023.3/21～済
24.3.21～1人へ（家賃2万へ）　3/21再入社　3/21は欠勤
</t>
    </r>
    <r>
      <rPr>
        <sz val="10"/>
        <color rgb="FFFF0000"/>
        <rFont val="MS PGothic"/>
        <family val="3"/>
        <charset val="128"/>
      </rPr>
      <t>最終8/9退職 8/15退寮</t>
    </r>
  </si>
  <si>
    <t>07011408</t>
  </si>
  <si>
    <t>レー カイン ヴァン</t>
  </si>
  <si>
    <t>LE KHANH VAN</t>
  </si>
  <si>
    <t>ヴァン</t>
  </si>
  <si>
    <t>2023/02</t>
  </si>
  <si>
    <t>TJ64941730PC</t>
  </si>
  <si>
    <t>5109-504323-8</t>
  </si>
  <si>
    <t>07001501</t>
  </si>
  <si>
    <t>ヴー ティ・ホア</t>
  </si>
  <si>
    <t>VU THI HOA</t>
  </si>
  <si>
    <t>ホア</t>
  </si>
  <si>
    <t>TJ17412123PC</t>
  </si>
  <si>
    <t>5100-954995-4</t>
  </si>
  <si>
    <t>07001507</t>
  </si>
  <si>
    <t>クック ティ・トアン</t>
  </si>
  <si>
    <t>KHUC THI THOAN</t>
  </si>
  <si>
    <t>トアン</t>
  </si>
  <si>
    <t>TJ92668730PC</t>
  </si>
  <si>
    <t>5100-954998-2</t>
  </si>
  <si>
    <t>07012701</t>
  </si>
  <si>
    <t>ドゥ ティ フォン ザン</t>
  </si>
  <si>
    <t>DO THI HUONG GIANG</t>
  </si>
  <si>
    <t>キュービック</t>
  </si>
  <si>
    <t>松山市上野町774番地ビレッジハウス松山上野2-506</t>
  </si>
  <si>
    <t>TJ15016868PC</t>
  </si>
  <si>
    <t>5097-420160-4</t>
  </si>
  <si>
    <t>2024.4.20令和4年の源泉徴収票依頼あり。</t>
  </si>
  <si>
    <t>グエン ホン ニュン</t>
  </si>
  <si>
    <t>NGUYEN HONG NHUNG</t>
  </si>
  <si>
    <t>2026/10</t>
  </si>
  <si>
    <t>DX39572747PA</t>
  </si>
  <si>
    <t>5100-218012-7</t>
  </si>
  <si>
    <t>ファム ティ ハイ イエン</t>
  </si>
  <si>
    <t>PHAM THI HAI YEN</t>
  </si>
  <si>
    <t>2026/11</t>
  </si>
  <si>
    <t>松山市上野町774番地ビレッジハウス松山上野2-503</t>
  </si>
  <si>
    <t>DX97008497PA</t>
  </si>
  <si>
    <t>5103-439764-5</t>
  </si>
  <si>
    <t>ディン ティ トウイ</t>
  </si>
  <si>
    <t>DINH THI THUY</t>
  </si>
  <si>
    <t>TJ016/82361PC</t>
  </si>
  <si>
    <t>5103-763436-4</t>
  </si>
  <si>
    <t>グエン チョン マイン</t>
  </si>
  <si>
    <t>NGUYEN TRONG MANH</t>
  </si>
  <si>
    <t>DX20614267PA</t>
  </si>
  <si>
    <t>5103-340669-1</t>
  </si>
  <si>
    <t>07012607</t>
  </si>
  <si>
    <t>グエン クアン アィン</t>
  </si>
  <si>
    <t>NGUYEN QUANG ANH</t>
  </si>
  <si>
    <t>デルタ四国</t>
  </si>
  <si>
    <t>松山市上野町774番地ビレッジハウス松山上野2-504</t>
  </si>
  <si>
    <t>SA96273864PC</t>
  </si>
  <si>
    <t>5103-404967-7</t>
  </si>
  <si>
    <t>24.2.8退寮</t>
  </si>
  <si>
    <t>07012603</t>
  </si>
  <si>
    <t>グエン スアン ヒエップ</t>
  </si>
  <si>
    <t>NGUYEN XUAN HIEP</t>
  </si>
  <si>
    <t>2026/12</t>
  </si>
  <si>
    <t>TJ50818345PA</t>
  </si>
  <si>
    <t>5103-540391-6</t>
  </si>
  <si>
    <t>グエン アン トゥー</t>
  </si>
  <si>
    <t>NGUYEN ANH TU</t>
  </si>
  <si>
    <t>TJ55410419PC</t>
  </si>
  <si>
    <t>まだ</t>
  </si>
  <si>
    <t>07012625
07017701</t>
  </si>
  <si>
    <t>/appsheet/photograph/50.写真.031439.jpg</t>
  </si>
  <si>
    <t>チャン ティー トゥータオ</t>
  </si>
  <si>
    <t>TRAN THI THU THAO</t>
  </si>
  <si>
    <t>特定技能２号</t>
  </si>
  <si>
    <t>松山市上野町774番地ビレッジハウス松山上野2-507</t>
  </si>
  <si>
    <t>UH79100289PC</t>
  </si>
  <si>
    <t>5099-602786-1</t>
  </si>
  <si>
    <r>
      <rPr>
        <sz val="11"/>
        <color rgb="FF000000"/>
        <rFont val="MS PGothic"/>
        <family val="3"/>
        <charset val="128"/>
      </rPr>
      <t>自身の結婚の為一時帰国　勤務再開2025/5/19
一時退職のため、社員ｺｰﾄﾞ変更予定</t>
    </r>
    <r>
      <rPr>
        <sz val="11"/>
        <color rgb="FFFF0000"/>
        <rFont val="MS PGothic"/>
        <family val="3"/>
        <charset val="128"/>
      </rPr>
      <t xml:space="preserve">
</t>
    </r>
    <r>
      <rPr>
        <sz val="11"/>
        <color rgb="FF000000"/>
        <rFont val="MS PGothic"/>
        <family val="3"/>
        <charset val="128"/>
      </rPr>
      <t>2025.7.24給与口座を伊予銀行→ひめぎんへ変更したいとのこと。中温経由であれば一時的なことではなく、給与振込口座として作成するのであれば可能とのひめぎんより回答あり。</t>
    </r>
    <r>
      <rPr>
        <sz val="11"/>
        <color rgb="FFFF0000"/>
        <rFont val="MS PGothic"/>
        <family val="3"/>
        <charset val="128"/>
      </rPr>
      <t xml:space="preserve">
</t>
    </r>
    <r>
      <rPr>
        <sz val="11"/>
        <color rgb="FF000000"/>
        <rFont val="MS PGothic"/>
        <family val="3"/>
        <charset val="128"/>
      </rPr>
      <t xml:space="preserve">9月分の給料よりひめぎんへ変更。
在留ｶｰﾄﾞ更新申請中。更新後の在留ｶｰﾄﾞをひめぎんへ提出（ﾃﾞﾙﾀ・松岡さんへ伝え済8月末～9月頃予定）
伊予銀口座解約⇒仕事が忙しく休みが取れない為、年末までには銀行へ行く予定
2025/10　特定2号試験合格。早急に2号に移行したいとの回答。2号移行後は弊社の自社支援となる（ﾃﾞﾙﾀ松岡さんより10/27）
2025/12/21～特定2号へ移行予定
2025/11/12昨日、病院へ行って妊娠４週ぐらい。まだ小さいため、安定したら再度話す。新開工場長へは連絡済み
2025/12/15　特定2号へ移行完了
</t>
    </r>
    <r>
      <rPr>
        <sz val="11"/>
        <color rgb="FFFF0000"/>
        <rFont val="MS PGothic"/>
        <family val="3"/>
        <charset val="128"/>
      </rPr>
      <t>ブイよりタオが妊娠。出産予定9月。西条工場へ夫婦で行く予定のため、病院で迷っている。現在つばきウィメンズクリニック。後日相談</t>
    </r>
  </si>
  <si>
    <t>/appsheet/photograph/07012625.在留カード表裏.082059.pdf</t>
  </si>
  <si>
    <t>管理表_Files_/07012625.パスポート.070534.pdf</t>
  </si>
  <si>
    <t>/appsheet/photograph/07012625-07017701.その他１（ファイル）.055702.pdf</t>
  </si>
  <si>
    <t>07012624
07017700</t>
  </si>
  <si>
    <t>/appsheet/photograph/51.写真.031458.jpg</t>
  </si>
  <si>
    <t>ブイ ヒウ フン</t>
  </si>
  <si>
    <t>BUI HUU HUNG</t>
  </si>
  <si>
    <t>ブイ</t>
  </si>
  <si>
    <t>UH13080122PC</t>
  </si>
  <si>
    <t>5097-305748-7</t>
  </si>
  <si>
    <t>ﾊﾞｲｸ通勤
2024.3.21～</t>
  </si>
  <si>
    <r>
      <rPr>
        <sz val="11"/>
        <color rgb="FF000000"/>
        <rFont val="MS PGothic"/>
        <family val="3"/>
        <charset val="128"/>
      </rPr>
      <t>24.3.8頃～原付通勤　通勤届書類提出済3/17
4月分の給料から通勤手当変更
自身の結婚の為一時帰国　勤務再開2025/5/19
一時退職のため、社員ｺｰﾄﾞ変更予定</t>
    </r>
    <r>
      <rPr>
        <sz val="11"/>
        <color rgb="FFFF0000"/>
        <rFont val="MS PGothic"/>
        <family val="3"/>
        <charset val="128"/>
      </rPr>
      <t xml:space="preserve">
</t>
    </r>
    <r>
      <rPr>
        <sz val="11"/>
        <color rgb="FF000000"/>
        <rFont val="MS PGothic"/>
        <family val="3"/>
        <charset val="128"/>
      </rPr>
      <t>2025.7.24給与口座を伊予銀行→ひめぎんへ変更したいとのこと。中温経由であれば一時的なことではなく、給与振込口座として作成するのであれば可能とのひめぎんより回答あり。
9月分の給料よりひめぎんへ変更。
在留ｶｰﾄﾞ更新申請中</t>
    </r>
    <r>
      <rPr>
        <sz val="11"/>
        <color rgb="FFFF0000"/>
        <rFont val="MS PGothic"/>
        <family val="3"/>
        <charset val="128"/>
      </rPr>
      <t>。更新後の在留ｶｰﾄﾞをひめぎんへ提出（ﾃﾞﾙﾀ・松岡さんへ伝え済8月末～9月頃予定）
伊予銀口座解約⇒仕事が忙しく休みが取れない為、年末までには銀行へ行く予定
2025/10　特定2号試験合格。早急に2号に移行したいとの回答。2号移行後は弊社の自社支援となる（ﾃﾞﾙﾀ松岡さんより10/27）
2025/12/21～特定2号へ移行予定
2025/12/15　特定2号へ移行完了</t>
    </r>
  </si>
  <si>
    <t>/appsheet/photograph/07012624.在留カード表裏.082233.pdf</t>
  </si>
  <si>
    <t>管理表_Files_/07012624.パスポート.070709.pdf</t>
  </si>
  <si>
    <t>07012604</t>
  </si>
  <si>
    <t>ブイ ティ レー</t>
  </si>
  <si>
    <t>BUI THI LE</t>
  </si>
  <si>
    <t>レー</t>
  </si>
  <si>
    <t>2027/04</t>
  </si>
  <si>
    <t>SA19114543EA</t>
  </si>
  <si>
    <t>7912
(1596)赤</t>
  </si>
  <si>
    <t>2024.2.13鍵（7912赤）
返却済
自転車は小栗へ回収
2024-827小栗のロアンへ</t>
  </si>
  <si>
    <r>
      <rPr>
        <sz val="8"/>
        <color rgb="FFFF0000"/>
        <rFont val="MS PGothic"/>
        <family val="3"/>
        <charset val="128"/>
      </rPr>
      <t xml:space="preserve">24.6/13～7/12傷病手当申請予定・早めに提出いただくよう伝え済。
8/20退職の為入金があるまで口座を残してもらう等ﾃﾞﾙﾀへ依頼済（7/5）
在留ｶｰﾄﾞ更新中。（伊予銀へ
更新後のコピー提出要。1ヵ月延長済。6/26過ぎること了承済。更新
後の在留ｶｰﾄﾞを届きし速やかに本人が窓口へ提出）
</t>
    </r>
    <r>
      <rPr>
        <sz val="8"/>
        <color theme="1"/>
        <rFont val="MS PGothic"/>
        <family val="3"/>
        <charset val="128"/>
      </rPr>
      <t>24.8/9最終出勤日、8/21退寮　本人より妊娠の疑いあり。4/20に病院で
検査し妊娠。お相手：マイヴァンサン（MAI　VAN　SANG）/1995.9.9生/
実習生2号/勤務先：浦田建設㈲→緊急連絡先　勤務先089-924-8685
代表者：浦田一幸　入籍はしてない
24.8月中旬まで勤務し退職。帰国し出産、子供が1才まで育児予定。その後
再入社希望。（ﾃﾞﾙﾀ松岡さんより2024.4.20）新開工場長、専務了承済4/22"</t>
    </r>
  </si>
  <si>
    <t>07012605</t>
  </si>
  <si>
    <t>グエン バン ホー</t>
  </si>
  <si>
    <t>NGUYEN VAN HO</t>
  </si>
  <si>
    <t>ホー</t>
  </si>
  <si>
    <t>2027/07</t>
  </si>
  <si>
    <t>NP75209824PC</t>
  </si>
  <si>
    <t>5103-422049-3</t>
  </si>
  <si>
    <t>電動アシスト
会社支給の自転車返却済</t>
  </si>
  <si>
    <t>2023.1月
自転車・鍵回収済</t>
  </si>
  <si>
    <r>
      <rPr>
        <sz val="7"/>
        <color rgb="FF000000"/>
        <rFont val="MS PGothic"/>
        <family val="3"/>
        <charset val="128"/>
      </rPr>
      <t>2024.4/30退寮。本人より会社支給の自転車は本人が電動ｱｼｽﾄ購入時に返却済。</t>
    </r>
    <r>
      <rPr>
        <sz val="7"/>
        <color rgb="FFFF0000"/>
        <rFont val="MS PGothic"/>
        <family val="3"/>
        <charset val="128"/>
      </rPr>
      <t xml:space="preserve">
</t>
    </r>
    <r>
      <rPr>
        <sz val="7"/>
        <color rgb="FF000000"/>
        <rFont val="MS PGothic"/>
        <family val="3"/>
        <charset val="128"/>
      </rPr>
      <t>鍵は2023.1.23に返却済とのこと。（ﾃﾞﾙﾀより4/20）24.5/1一時退職5/3～6/18一時
帰国予定⇒家族より一時帰国ではなく、退職してほしいとの希望。4/15ﾃﾞﾙﾀ松岡さん
より　妻レー カイン ヴァン　22.12/25～1/10  帰国</t>
    </r>
  </si>
  <si>
    <t>07012703</t>
  </si>
  <si>
    <t>キエン ミン トゥアン</t>
  </si>
  <si>
    <t>KIEU MINH TUAN</t>
  </si>
  <si>
    <t>2027/09</t>
  </si>
  <si>
    <t>TJ84866671PC</t>
  </si>
  <si>
    <t>3815　　　　　　　(1593)</t>
  </si>
  <si>
    <t>07012606</t>
  </si>
  <si>
    <t>チャン クアン トゥアン</t>
  </si>
  <si>
    <t>TRAN QUANG TUAN</t>
  </si>
  <si>
    <t>NP42358626EA</t>
  </si>
  <si>
    <t>寮23.10/11～</t>
  </si>
  <si>
    <t>3816新鍵
B-0233816</t>
  </si>
  <si>
    <t xml:space="preserve">自転車返却希望
鍵と防犯登録を
津吉の事務所へ（6/13）
</t>
  </si>
  <si>
    <t>2024/01/23
2024/12/20</t>
  </si>
  <si>
    <t>2024/02/26
2025/02/20</t>
  </si>
  <si>
    <r>
      <rPr>
        <sz val="11"/>
        <color rgb="FFFF0000"/>
        <rFont val="MS PGothic"/>
        <family val="3"/>
        <charset val="128"/>
      </rPr>
      <t>支給の自転車返却予定。鍵が壊れているため、修理して新しい
鍵と防犯登録番号を分かるようにして6/26鍵を返却予定（6/13ﾃﾞﾙﾀへ）
2024/9/22に引越済2-508→2-504</t>
    </r>
    <r>
      <rPr>
        <sz val="11"/>
        <color rgb="FF000000"/>
        <rFont val="MS PGothic"/>
        <family val="3"/>
        <charset val="128"/>
      </rPr>
      <t>妻ハーティヴァン</t>
    </r>
    <r>
      <rPr>
        <sz val="11"/>
        <color rgb="FFFF0000"/>
        <rFont val="MS PGothic"/>
        <family val="3"/>
        <charset val="128"/>
      </rPr>
      <t xml:space="preserve">
</t>
    </r>
    <r>
      <rPr>
        <sz val="11"/>
        <color rgb="FF000000"/>
        <rFont val="MS PGothic"/>
        <family val="3"/>
        <charset val="128"/>
      </rPr>
      <t>24.1/23～2/26一時帰国 24/12/19最終出勤12/20退職退寮、
再入寮25/2/20再入社2/21歳入社</t>
    </r>
  </si>
  <si>
    <t>07012608</t>
  </si>
  <si>
    <t>フィン ゴック ガン</t>
  </si>
  <si>
    <t>HUYNH NGOC NGAN</t>
  </si>
  <si>
    <t>ｅ-人財</t>
  </si>
  <si>
    <t>2027/12</t>
  </si>
  <si>
    <t>NP83766353MA</t>
  </si>
  <si>
    <t>07012609</t>
  </si>
  <si>
    <t xml:space="preserve">ホー ティ ガー </t>
  </si>
  <si>
    <t>HO THI NGA</t>
  </si>
  <si>
    <t>松山市上野町774番地ビレッジハウス松山上野4-501</t>
  </si>
  <si>
    <t>SA11529932EA</t>
  </si>
  <si>
    <t>2203→ホアンティハンへ</t>
  </si>
  <si>
    <t>N3</t>
  </si>
  <si>
    <t>24.3/18退職、退寮
自転車の鍵（2203）、寮の鍵返却済3/21</t>
  </si>
  <si>
    <t>07012610</t>
  </si>
  <si>
    <t>グエン ティ クイン ガー</t>
  </si>
  <si>
    <t>NGUYEN THI QUYNH NGA</t>
  </si>
  <si>
    <t>NP63447264MA</t>
  </si>
  <si>
    <t>07012611</t>
  </si>
  <si>
    <t>チン ディン フン</t>
  </si>
  <si>
    <t>TRINH DINH HUNG</t>
  </si>
  <si>
    <t>NP30657628PC</t>
  </si>
  <si>
    <t>3815(1593)が返却</t>
  </si>
  <si>
    <t>3780　　　　　　　(1098)青</t>
  </si>
  <si>
    <t>07012612</t>
  </si>
  <si>
    <t>グエン ゴック ガー</t>
  </si>
  <si>
    <t>NGUYEN  NGOC  NGA</t>
  </si>
  <si>
    <t>SA76079571EA</t>
  </si>
  <si>
    <t>バイク通勤（原付）
2024.4.15～</t>
  </si>
  <si>
    <t>自転車返却希望
240322鍵回収現物2号棟前
3779(1062)赤-B-9233779-㉔</t>
  </si>
  <si>
    <t>N3
2024/07/07</t>
  </si>
  <si>
    <t>完全帰国</t>
  </si>
  <si>
    <r>
      <rPr>
        <sz val="11"/>
        <color rgb="FFFF0000"/>
        <rFont val="MS PGothic"/>
        <family val="3"/>
        <charset val="128"/>
      </rPr>
      <t>支給の自転車返却予定。6/26鍵をﾃﾞﾙﾀより返却予定
一時帰国　2024.6.26～8.5（結婚式）</t>
    </r>
    <r>
      <rPr>
        <sz val="11"/>
        <color rgb="FF000000"/>
        <rFont val="MS PGothic"/>
        <family val="3"/>
        <charset val="128"/>
      </rPr>
      <t xml:space="preserve">
2024.4.15～ﾊﾞｲｸ通勤　通勤届提出済4/15
4/21～通勤手当変更。自転車紛失2024.3/21⇒自転車、鍵あり。</t>
    </r>
  </si>
  <si>
    <t>07012613</t>
  </si>
  <si>
    <t>チャン ヴァン ヒエン</t>
  </si>
  <si>
    <t>TRAN VAN HIEN</t>
  </si>
  <si>
    <t>2028/04</t>
  </si>
  <si>
    <t>SA08839739EA</t>
  </si>
  <si>
    <r>
      <rPr>
        <sz val="8"/>
        <color theme="1"/>
        <rFont val="MS PGothic"/>
        <family val="3"/>
        <charset val="128"/>
      </rPr>
      <t xml:space="preserve">バイク通勤の為返却2024/3/26
</t>
    </r>
    <r>
      <rPr>
        <sz val="9"/>
        <color theme="1"/>
        <rFont val="MS PGothic"/>
        <family val="3"/>
        <charset val="128"/>
      </rPr>
      <t>（7931　　2024.3.26迄）</t>
    </r>
  </si>
  <si>
    <t>2024.3.26鍵久保さんへ
返却済
自転車はﾋﾞﾚｯｼﾞﾊｳｽ有</t>
  </si>
  <si>
    <t>2024.3.21～ﾊﾞｲｸ通勤　通勤届書類済3/25
4月分の給与～通勤手当変更　24.3.29　バイク対車の事故
8/5 ９月上旬に退職したい申し出
9/9退職　9/12退寮</t>
  </si>
  <si>
    <t>07012614</t>
  </si>
  <si>
    <t>ハー ティ ヴァン</t>
  </si>
  <si>
    <t>HA THI VAN</t>
  </si>
  <si>
    <t>2028/09</t>
  </si>
  <si>
    <t>NP85143709PC</t>
  </si>
  <si>
    <t>6666
B-0246666</t>
  </si>
  <si>
    <t>妊娠完全帰国</t>
  </si>
  <si>
    <r>
      <rPr>
        <sz val="11"/>
        <color rgb="FFFF0000"/>
        <rFont val="MS PGothic"/>
        <family val="3"/>
        <charset val="128"/>
      </rPr>
      <t xml:space="preserve">2024.10.4退職。10/4最終出勤日、10/10退寮
10/10給与は現金準備出来しﾃﾞﾙﾀへ支払予定
5/17病院で検査し妊娠7週目。
出産予定日2025年1月
</t>
    </r>
    <r>
      <rPr>
        <sz val="11"/>
        <color rgb="FF000000"/>
        <rFont val="MS PGothic"/>
        <family val="3"/>
        <charset val="128"/>
      </rPr>
      <t>24.1/23～2/26一時帰国　夫ﾁｬﾝｸｱﾝﾄｩｱﾝ</t>
    </r>
  </si>
  <si>
    <t>07012615</t>
  </si>
  <si>
    <t>グエン ホアン マン</t>
  </si>
  <si>
    <t>NGUYEN HOANG MAN</t>
  </si>
  <si>
    <t>2028/10</t>
  </si>
  <si>
    <t>SA60944681EA</t>
  </si>
  <si>
    <t>2207
Ｂ－0274811-V067</t>
  </si>
  <si>
    <r>
      <rPr>
        <sz val="11"/>
        <color theme="1"/>
        <rFont val="MS PGothic"/>
        <family val="3"/>
        <charset val="128"/>
      </rPr>
      <t xml:space="preserve">N3
</t>
    </r>
    <r>
      <rPr>
        <sz val="11"/>
        <color theme="1"/>
        <rFont val="MS PGothic"/>
        <family val="3"/>
        <charset val="128"/>
      </rPr>
      <t>2024.11月入社時あり</t>
    </r>
  </si>
  <si>
    <t>転職</t>
  </si>
  <si>
    <t>4/18退職　4/21退寮</t>
  </si>
  <si>
    <t>07012616</t>
  </si>
  <si>
    <t>グエン ヴァン ズオン</t>
  </si>
  <si>
    <t>NGUYEN VAN DUONG</t>
  </si>
  <si>
    <t>2029/01</t>
  </si>
  <si>
    <t>SA59269635PC</t>
  </si>
  <si>
    <t>2201ーB-0274805</t>
  </si>
  <si>
    <t>2024/08/22
コーポ津吉よりヴィレッジに
移動後回収し小栗へ
中野住宅へ</t>
  </si>
  <si>
    <r>
      <rPr>
        <sz val="8"/>
        <color rgb="FFFF0000"/>
        <rFont val="MS PGothic"/>
        <family val="3"/>
        <charset val="128"/>
      </rPr>
      <t>7/30 デルタ四国より帰国を8/15にとの話があり最終6/26付け退職6
/26～8/5一時帰国の予定が6/19～欠勤のため、確認した
ところ同部屋の実習生から6/24～帰国しているとのこと（新開工場長より6/24）（6/19～欠勤）ﾃﾞﾙﾀ確認（6/24）帰国は予定どおり8/5</t>
    </r>
    <r>
      <rPr>
        <sz val="10"/>
        <color rgb="FFFF0000"/>
        <rFont val="MS PGothic"/>
        <family val="3"/>
        <charset val="128"/>
      </rPr>
      <t xml:space="preserve">
</t>
    </r>
    <r>
      <rPr>
        <sz val="10"/>
        <color rgb="FF000000"/>
        <rFont val="MS PGothic"/>
        <family val="3"/>
        <charset val="128"/>
      </rPr>
      <t>24.2.19～入寮
2024.11.23～2025.1.6　一時帰国（土地の契約更新の為）
一時帰国　2024.6.24～8.5</t>
    </r>
  </si>
  <si>
    <t>出荷</t>
  </si>
  <si>
    <t>インドネシア</t>
  </si>
  <si>
    <t>07013629</t>
  </si>
  <si>
    <t>/appsheet/photograph/65.写真.033201.jpg</t>
  </si>
  <si>
    <t>ククー ヌル ハンドヨ</t>
  </si>
  <si>
    <t>KUKUH NUR HANDOYO</t>
  </si>
  <si>
    <t>クク</t>
  </si>
  <si>
    <t>H&amp;C</t>
  </si>
  <si>
    <t>2028/03</t>
  </si>
  <si>
    <t>松山市上野町774番地ビレッジハウス松山上野3-508</t>
  </si>
  <si>
    <t>UH69112519PC</t>
  </si>
  <si>
    <t>2301-V065</t>
  </si>
  <si>
    <t>垂水主任</t>
  </si>
  <si>
    <t>2025/6/１～2028/4/30</t>
  </si>
  <si>
    <t xml:space="preserve">24.7/10保険証紛失（H&amp;Cへ伝え済）
8/5～8/9有給使用予定（7/5H＆C古谷さんより）
2024.8月に3週間程一時帰国希望。（6/14H&amp;C三好さんより）新開工場長了承済。
有休残日数と次回の付与日で時季を再検討とのこと
（24.4.23H&amp;C三好さんより）
2025.10.24奥さんが中温で働きたいとのこと。特定1号取得、食料品の資格も取得済。（尾崎さんから新開工場長へ伝えるとのこと）
</t>
  </si>
  <si>
    <t>07013602</t>
  </si>
  <si>
    <t>フィフィ オリフィヤティ</t>
  </si>
  <si>
    <t>VIVI OLVIYATI</t>
  </si>
  <si>
    <t>帰国（結婚）</t>
  </si>
  <si>
    <t>2027/03</t>
  </si>
  <si>
    <t>東温市牛渕170-3</t>
  </si>
  <si>
    <t>TJ79903994FA</t>
  </si>
  <si>
    <t>07013603</t>
  </si>
  <si>
    <t>リダ ドゥイ アマリア</t>
  </si>
  <si>
    <t>RIDA DWI AMALIA</t>
  </si>
  <si>
    <t>松山市上野町774番地ビレッジハウス松山上野4-502</t>
  </si>
  <si>
    <t>NP41864952PC</t>
  </si>
  <si>
    <t>2/22退寮　・雇用契約書2/20受領　保険証回収2/21</t>
  </si>
  <si>
    <t>07013604</t>
  </si>
  <si>
    <t>サフリダ ユリアンティ</t>
  </si>
  <si>
    <t>SAFRIDA YULIANTI</t>
  </si>
  <si>
    <t>大学院</t>
  </si>
  <si>
    <t>TJ59788198FA</t>
  </si>
  <si>
    <t>四課</t>
  </si>
  <si>
    <t>07013630</t>
  </si>
  <si>
    <t>/appsheet/photograph/69.写真.025352.jpg</t>
  </si>
  <si>
    <t>ムハマッド ヒダヤット ヌロフマン</t>
  </si>
  <si>
    <t>MUHAMMAD HIDAYAT NUROHMAN</t>
  </si>
  <si>
    <t>UH67756555PC</t>
  </si>
  <si>
    <r>
      <rPr>
        <sz val="11"/>
        <color theme="1"/>
        <rFont val="MS PGothic"/>
        <family val="3"/>
        <charset val="128"/>
      </rPr>
      <t xml:space="preserve">自身で購入
</t>
    </r>
    <r>
      <rPr>
        <sz val="11"/>
        <color rgb="FFFF0000"/>
        <rFont val="MS PGothic"/>
        <family val="3"/>
        <charset val="128"/>
      </rPr>
      <t>元2302　シルバー
B-0287298-V208</t>
    </r>
  </si>
  <si>
    <t>大西係長</t>
  </si>
  <si>
    <r>
      <rPr>
        <sz val="11"/>
        <color theme="1"/>
        <rFont val="MS PGothic"/>
        <family val="3"/>
        <charset val="128"/>
      </rPr>
      <t>2024.5.8引越ﾋﾞﾚｯｼﾞﾊｳｽ3-508→ﾋﾞﾚｯｼﾞﾊｳｽ4-507へ
2026.1.14寮の契約終了の為、引越予定</t>
    </r>
    <r>
      <rPr>
        <sz val="11"/>
        <color rgb="FFFF0000"/>
        <rFont val="MS PGothic"/>
        <family val="3"/>
        <charset val="128"/>
      </rPr>
      <t xml:space="preserve">
2026/1/21ﾋﾞﾚｯｼﾞ4-507→3-508へ引越（契約終了の為）</t>
    </r>
  </si>
  <si>
    <t>/appsheet/photograph/07013630.在留カード表裏.042704.pdf</t>
  </si>
  <si>
    <t>07013631</t>
  </si>
  <si>
    <t>/appsheet/photograph/70.写真.025447.jpg</t>
  </si>
  <si>
    <t>レザ アルヤ ヌグラハ</t>
  </si>
  <si>
    <t>REZA ARYA NUGRAHA</t>
  </si>
  <si>
    <t>レザ</t>
  </si>
  <si>
    <t>松山市上野町774番地ビレッジハウス松山上野3-507</t>
  </si>
  <si>
    <t>UH91062732PC</t>
  </si>
  <si>
    <t>寮23.5/21～</t>
  </si>
  <si>
    <t>2303　鍵付き
B-0287297-V138</t>
  </si>
  <si>
    <t>2025/5/9 11:30自宅にて休みがちのため指導訪問 2025/6/24　2週間前から喉の痛みあり、1、2日目は38度の熱あり。よしおか内科へ⇒特定技能保険請求予定</t>
  </si>
  <si>
    <t>/appsheet/photograph/07013631.保険証.064740.pdf</t>
  </si>
  <si>
    <t>一課</t>
  </si>
  <si>
    <t>07013632</t>
  </si>
  <si>
    <t>/appsheet/photograph/71.写真.020439.jpg</t>
  </si>
  <si>
    <t>ファルハン ファティ ラマダンシャー</t>
  </si>
  <si>
    <t>FARHAN FATHI RAMADHANSYAH</t>
  </si>
  <si>
    <t>UH58397878PC</t>
  </si>
  <si>
    <t xml:space="preserve">2304
B-0287295-V088
</t>
  </si>
  <si>
    <t>小林主任</t>
  </si>
  <si>
    <t>自転車改造中で放置のため、管理人さんよりｸﾚｰﾑ
H&amp;Cより本人へ伝えてもらう現状復帰もしくは￥5000　3/27
2025/04/14処分　2025/2/21V2-405→V4-501へ引越
2025/5/9 11:00自宅にてGWに入り休んでいるので指導
2025/7/25中野クリニック受診予定　腰痛、眠れないので欠勤が続いているため</t>
  </si>
  <si>
    <t>箱入れ</t>
  </si>
  <si>
    <t>07013633</t>
  </si>
  <si>
    <t>/appsheet/photograph/72.写真.031751.jpg</t>
  </si>
  <si>
    <t>ナナ マルディアナ</t>
  </si>
  <si>
    <t>NANA MARDIANA</t>
  </si>
  <si>
    <t>UH92389157PC</t>
  </si>
  <si>
    <r>
      <rPr>
        <sz val="11"/>
        <color theme="1"/>
        <rFont val="MS PGothic"/>
        <family val="3"/>
        <charset val="128"/>
      </rPr>
      <t xml:space="preserve">自身で購入
</t>
    </r>
    <r>
      <rPr>
        <sz val="11"/>
        <color rgb="FFFF0000"/>
        <rFont val="MS PGothic"/>
        <family val="3"/>
        <charset val="128"/>
      </rPr>
      <t>元2305-V084</t>
    </r>
  </si>
  <si>
    <t>一時帰国予定</t>
  </si>
  <si>
    <t>水沼主任</t>
  </si>
  <si>
    <t>2024/11/09 ビレッジハウス上野2-405⇒3-507へ移動
2025/11/25ナナより、デウィマシトと来年結婚する。
2026/7/18～9/4まで帰国結婚、中温で２人で住居したい申出。
日程については、新開工場長と相談済。</t>
  </si>
  <si>
    <t>07013634</t>
  </si>
  <si>
    <t>/appsheet/photograph/73.写真.031810.jpg</t>
  </si>
  <si>
    <t>シャールル ムアリフ</t>
  </si>
  <si>
    <t>SYAHRUL MUARIF</t>
  </si>
  <si>
    <t>アルル</t>
  </si>
  <si>
    <t>松山市上野町774番地ビレッジハウス松山上野3-103</t>
  </si>
  <si>
    <t>UH07197758PC</t>
  </si>
  <si>
    <t>2306　鍵付き
B-0287299-V054</t>
  </si>
  <si>
    <t>自転車故障で欠勤24.7？
2025/2/21V2-405→V3-103へ引越</t>
  </si>
  <si>
    <t>07013610</t>
  </si>
  <si>
    <t>ラニ ヒダヤー</t>
  </si>
  <si>
    <t>RANI HIDAYAH</t>
  </si>
  <si>
    <t>東温市牛渕170-3（母屋1F）</t>
  </si>
  <si>
    <t>NP14098347PC</t>
  </si>
  <si>
    <t>07013635</t>
  </si>
  <si>
    <t>/appsheet/photograph/75.写真.031619.jpg</t>
  </si>
  <si>
    <t>レイハン アリ サハシカ ザカリ</t>
  </si>
  <si>
    <t>REYHAN ALI SAHASIKA ZACKARY</t>
  </si>
  <si>
    <t>レイハン</t>
  </si>
  <si>
    <t>UH59875474PC</t>
  </si>
  <si>
    <t>2307　鍵付き
B-0287293-V053</t>
  </si>
  <si>
    <t>2024.7.24労災　手を切って5針縫った。しばらく休み</t>
  </si>
  <si>
    <t>07013692</t>
  </si>
  <si>
    <t>/appsheet/photograph/76.写真.030513.jpg</t>
  </si>
  <si>
    <t>ヨヴィト チャトゥル ヌグラハ</t>
  </si>
  <si>
    <t>YOVITO CATUR NUGRAHA</t>
  </si>
  <si>
    <t>SA24363882PC</t>
  </si>
  <si>
    <r>
      <rPr>
        <sz val="11"/>
        <color theme="1"/>
        <rFont val="MS PGothic"/>
        <family val="3"/>
        <charset val="128"/>
      </rPr>
      <t xml:space="preserve">自身で購入
</t>
    </r>
    <r>
      <rPr>
        <sz val="11"/>
        <color rgb="FFFF0000"/>
        <rFont val="MS PGothic"/>
        <family val="3"/>
        <charset val="128"/>
      </rPr>
      <t>元2308
B-0287294-V175</t>
    </r>
  </si>
  <si>
    <t>本人負担</t>
  </si>
  <si>
    <t>2024/12に入り体調不良にて休み。12/21心療診療内科内科受診し一時帰国を進められる。一時退職し帰国を打診。12/20締有給すべて消化処理。体調復帰すれば再度入社する　1/19退寮
2025/3/7面接し、3/10再入社する
2025/4/30退職　5/28退寮。退職届預かり。現在、H&amp;Cにて在留ｶｰﾄﾞの更新のためﾊﾟｽﾎﾟｰﾄと預けている。更新間に合えば更新後に帰国希望。
帰国のﾁｹｯﾄは本人手配。4万円預かりの内　
手数料￥6,000+家賃計算し返金予定</t>
  </si>
  <si>
    <t>07013637</t>
  </si>
  <si>
    <t>/appsheet/photograph/77.写真.033328.jpg</t>
  </si>
  <si>
    <t>カデック アデリア ウィディアニタ レスタリ</t>
  </si>
  <si>
    <t>KADEK　ADELIA　WIDYANITA　LESTARI</t>
  </si>
  <si>
    <t>松山市上野町774番地ビレッジハウス松山上野4-505</t>
  </si>
  <si>
    <t>UH41395173PC</t>
  </si>
  <si>
    <t>自身で購入</t>
  </si>
  <si>
    <t>2024.8月末からもしくは9月初めから2～3週間程
お姉さんの結婚式で一時帰国希望（6/17H&amp;C三好さんより）
新開工場長了承済6/28</t>
  </si>
  <si>
    <t>07013601</t>
  </si>
  <si>
    <t>/appsheet/photograph/IDPhoto_20250328_78_トリ ユニ.jpg</t>
  </si>
  <si>
    <t>トリ ユニ</t>
  </si>
  <si>
    <t>TRI YUNI</t>
  </si>
  <si>
    <t>ユニ</t>
  </si>
  <si>
    <t>UH33566452PC</t>
  </si>
  <si>
    <t>2025/6/１～2027/4/30</t>
  </si>
  <si>
    <t>2025.3/5親の調子が悪いため一時帰国予定
2025.7.15～8/21　8/24より勤務</t>
  </si>
  <si>
    <t>07013605
07018700</t>
  </si>
  <si>
    <t>/appsheet/photograph/IDPhoto_20250328_79_エヴィ ラハユ.jpg</t>
  </si>
  <si>
    <t>エヴィ ラハユ</t>
  </si>
  <si>
    <t>EVI RAHAYU</t>
  </si>
  <si>
    <t>エヴィ</t>
  </si>
  <si>
    <t>松山市上野町774番地ビレッジハウス松山上野4-205</t>
  </si>
  <si>
    <t>UH82099732PC</t>
  </si>
  <si>
    <t>6668-故障のため
Ｂ－0246668-1635
2333代替
Ｂ－0304388-V212</t>
  </si>
  <si>
    <t>N3
 2025/07</t>
  </si>
  <si>
    <t>2022/04/10
（雇用契約書確認）</t>
  </si>
  <si>
    <t>2025/6/１～2027/4/30
2号移行時解約済</t>
  </si>
  <si>
    <r>
      <rPr>
        <sz val="11"/>
        <color theme="1"/>
        <rFont val="MS PGothic"/>
        <family val="3"/>
        <charset val="128"/>
      </rPr>
      <t xml:space="preserve">2024/11/27～2025/01/03自身の結婚の為一時帰国
</t>
    </r>
    <r>
      <rPr>
        <sz val="11"/>
        <color rgb="FFFF0000"/>
        <rFont val="MS PGothic"/>
        <family val="3"/>
        <charset val="128"/>
      </rPr>
      <t>2025.8.18自転車故障。（自転車は津吉工場の自転車置き場に有り）代替自転車渡す
2025/12/21～特定2号へ資格変更予定
2025/12/15　特定2号へ移行完了</t>
    </r>
  </si>
  <si>
    <t>/appsheet/photograph/07013605.在留カード表裏.081406.pdf</t>
  </si>
  <si>
    <t>管理表_Files_/07013605.パスポート.071830.pdf</t>
  </si>
  <si>
    <t>07013606</t>
  </si>
  <si>
    <t>/appsheet/photograph/IDPhoto_20250328_80_アユサ ヌル フィトリヤニ.jpg</t>
  </si>
  <si>
    <t>アユサ ヌル フィトリヤニ</t>
  </si>
  <si>
    <t>AYUSA NUR FITRIYANI</t>
  </si>
  <si>
    <t>松山市上野町774番地ビレッジハウス松山上野2-405</t>
  </si>
  <si>
    <t>UH11298219PC</t>
  </si>
  <si>
    <t>6671
Ｂ－0246671-1146</t>
  </si>
  <si>
    <t xml:space="preserve">2025/6/１～2027/4/30
</t>
  </si>
  <si>
    <t>2025/3/8牛渕1号館→ビレッジ4-502へ引越</t>
  </si>
  <si>
    <t>/appsheet/photograph/07013606.通帳.000822.jpg</t>
  </si>
  <si>
    <t>07013607</t>
  </si>
  <si>
    <t>ユリ アニ</t>
  </si>
  <si>
    <t>YULIANI</t>
  </si>
  <si>
    <t>ユリ</t>
  </si>
  <si>
    <t>母1F-4-相2</t>
  </si>
  <si>
    <t>SA20104549PC</t>
  </si>
  <si>
    <t>転職
（福岡スイーツ）</t>
  </si>
  <si>
    <t>2024.4.1～5/2一時帰国
2025/1に退職し、福岡の会社に転職申出(内定)
1/25退寮</t>
  </si>
  <si>
    <t>07013608</t>
  </si>
  <si>
    <t>アウィツ ドゥンヌライン</t>
  </si>
  <si>
    <t>AWIT DUNNURAIN</t>
  </si>
  <si>
    <t>母1F-1-相2</t>
  </si>
  <si>
    <t>SA63755763PC</t>
  </si>
  <si>
    <t>6672
Ｂ－0246672-1595</t>
  </si>
  <si>
    <t>2024.4.1～5/2一時帰国</t>
  </si>
  <si>
    <t>07013609</t>
  </si>
  <si>
    <t>ノヴィアナ ラティー</t>
  </si>
  <si>
    <t>NOVIANA RATIH</t>
  </si>
  <si>
    <t>母1F-3-相2</t>
  </si>
  <si>
    <t>SA68067686PC</t>
  </si>
  <si>
    <r>
      <rPr>
        <sz val="11"/>
        <color theme="1"/>
        <rFont val="MS PGothic"/>
        <family val="3"/>
        <charset val="128"/>
      </rPr>
      <t xml:space="preserve">自身で購入
</t>
    </r>
    <r>
      <rPr>
        <sz val="11"/>
        <color rgb="FFFF0000"/>
        <rFont val="MS PGothic"/>
        <family val="3"/>
        <charset val="128"/>
      </rPr>
      <t>元2311-V141</t>
    </r>
  </si>
  <si>
    <t>2024.4.1～5/2一時
2024.5月　労災申請
2025/1に退職し、福岡の会社に転職申出(内定）
1/25退寮</t>
  </si>
  <si>
    <t>07013612</t>
  </si>
  <si>
    <t>リンダ ヌルハリザ</t>
  </si>
  <si>
    <t>LINDA NURHALIZA</t>
  </si>
  <si>
    <t>リンダ</t>
  </si>
  <si>
    <t>SA03276157PC</t>
  </si>
  <si>
    <t>妊娠-出産</t>
  </si>
  <si>
    <r>
      <rPr>
        <sz val="11"/>
        <color rgb="FFFF0000"/>
        <rFont val="MS PGothic"/>
        <family val="3"/>
        <charset val="128"/>
      </rPr>
      <t xml:space="preserve">一時帰国後8/1以降順風会で健診予定
</t>
    </r>
    <r>
      <rPr>
        <sz val="11"/>
        <color rgb="FF000000"/>
        <rFont val="MS PGothic"/>
        <family val="3"/>
        <charset val="128"/>
      </rPr>
      <t xml:space="preserve">2024.6月一時帰国予定（結婚）→夫が8月入社予定。
</t>
    </r>
    <r>
      <rPr>
        <sz val="11"/>
        <color rgb="FFFF0000"/>
        <rFont val="MS PGothic"/>
        <family val="3"/>
        <charset val="128"/>
      </rPr>
      <t>4-205よりハクと4-501へ2024/08/10引越家賃15,000→20,000へ
8/29 H&amp;C三好さんより妊娠6週と連絡あり
2025/1/20退職　1/30退寮　1/30帰国
2025年11月頃中温へ戻りたいとのこと（ﾊｸより）</t>
    </r>
  </si>
  <si>
    <t>07013614</t>
  </si>
  <si>
    <t>/appsheet/photograph/IDPhoto_20250328_85_コフィファー ヌル コエリヤー.jpg</t>
  </si>
  <si>
    <t>コフィファー ヌル コエリヤー</t>
  </si>
  <si>
    <t>KHOFIFAH NUR KHOERIYAH</t>
  </si>
  <si>
    <t>コフィ</t>
  </si>
  <si>
    <t>UH31691579PC一時帰国前、申請済</t>
  </si>
  <si>
    <r>
      <rPr>
        <sz val="11"/>
        <color theme="1"/>
        <rFont val="MS PGothic"/>
        <family val="3"/>
        <charset val="128"/>
      </rPr>
      <t xml:space="preserve">2025/01/31
</t>
    </r>
    <r>
      <rPr>
        <sz val="11"/>
        <color rgb="FFFF0000"/>
        <rFont val="MS PGothic"/>
        <family val="3"/>
        <charset val="128"/>
      </rPr>
      <t>2026/04/20</t>
    </r>
  </si>
  <si>
    <r>
      <rPr>
        <sz val="11"/>
        <color rgb="FF000000"/>
        <rFont val="MS PGothic"/>
        <family val="3"/>
        <charset val="128"/>
      </rPr>
      <t>2025/03/03</t>
    </r>
    <r>
      <rPr>
        <sz val="11"/>
        <color rgb="FFFF0000"/>
        <rFont val="MS PGothic"/>
        <family val="3"/>
        <charset val="128"/>
      </rPr>
      <t xml:space="preserve">
2026/06/03</t>
    </r>
  </si>
  <si>
    <t>2022/04/10-2027/04/09</t>
  </si>
  <si>
    <r>
      <rPr>
        <sz val="11"/>
        <color theme="1"/>
        <rFont val="MS PGothic"/>
        <family val="3"/>
        <charset val="128"/>
      </rPr>
      <t xml:space="preserve">最終出勤日1/30 2025/1/31～3/3一時帰国
1/21～1/30まで勤務の為控除無し及びH&amp;C管理住宅
</t>
    </r>
    <r>
      <rPr>
        <sz val="11"/>
        <color rgb="FFFF0000"/>
        <rFont val="MS PGothic"/>
        <family val="3"/>
        <charset val="128"/>
      </rPr>
      <t>自身の結婚のため、2026/04/20～6/3まで一時帰国希望
（新開工場長より2025/12/23）
※在留カード（6/11期限）帰国前に更新申請
2026年5月もしくは6月の特定2号の試験も申し出ありとのこと</t>
    </r>
  </si>
  <si>
    <t>07013622</t>
  </si>
  <si>
    <t>ヴァニ アフリリアニ ファディラ</t>
  </si>
  <si>
    <t>VANNY AFRILIANI FADILAH</t>
  </si>
  <si>
    <t>ヴァ二</t>
  </si>
  <si>
    <t>東温市牛渕170-3（母屋2F）</t>
  </si>
  <si>
    <t>TJ55804897RD</t>
  </si>
  <si>
    <t>07013623</t>
  </si>
  <si>
    <t>ユリンドラ アウリア プトリ</t>
  </si>
  <si>
    <t>YULINDRA AULIA PUTRI</t>
  </si>
  <si>
    <t>TJ49633205RD</t>
  </si>
  <si>
    <t>　</t>
  </si>
  <si>
    <t>07013615</t>
  </si>
  <si>
    <t>/appsheet/photograph/IDPhoto_20250328_88_ウフィク ルフィアナ.jpg</t>
  </si>
  <si>
    <t>ウフィク ルフィアナ</t>
  </si>
  <si>
    <t>UFIK LUFIANA</t>
  </si>
  <si>
    <t>UH25074774PC</t>
  </si>
  <si>
    <t>6662
Ｂ－0246662-1767</t>
  </si>
  <si>
    <t>2024/09/21より１人部屋の為家賃15.000-変更
2025/7/17～8/24一時帰国　8/26～出勤</t>
  </si>
  <si>
    <t>/appsheet/photograph/07013615.在留カード表裏.062020.pdf</t>
  </si>
  <si>
    <t>07013616</t>
  </si>
  <si>
    <t>エルサ プルナマ セプティア プトリ</t>
  </si>
  <si>
    <t>ERSA PURNAMA SEPTIA PUTRI</t>
  </si>
  <si>
    <t>エルサ</t>
  </si>
  <si>
    <t>SA25435720PC</t>
  </si>
  <si>
    <t>２０２４/11月一時帰国したい申し出　⇒取り下げ
12/4～1/3一時帰国したい→変更
2025/1に退職し、福岡の会社に転職申出(内定）
1/25退寮</t>
  </si>
  <si>
    <t>07013617</t>
  </si>
  <si>
    <t>アルバシタ アマリア</t>
  </si>
  <si>
    <t>AL BASITA AMALIA</t>
  </si>
  <si>
    <t>アルバ</t>
  </si>
  <si>
    <t>SA94653239PC</t>
  </si>
  <si>
    <t>2205
B-0274808-V213</t>
  </si>
  <si>
    <t>12/3古谷さんより退職の意向の話。詳細は後日
1/31退寮　福岡の会社へ転職</t>
  </si>
  <si>
    <t>07013618</t>
  </si>
  <si>
    <t>イスティコマー</t>
  </si>
  <si>
    <t>ISTIKOMAH</t>
  </si>
  <si>
    <t>イスティ</t>
  </si>
  <si>
    <t>離1F-2-個1</t>
  </si>
  <si>
    <t>SA22913091PC</t>
  </si>
  <si>
    <t>6659
Ｂ－0246659-1645</t>
  </si>
  <si>
    <t>23.8/11～9/10一時帰国
2/28まで勤務
3/1～3/20まで有給 3/20退職</t>
  </si>
  <si>
    <t>07013611</t>
  </si>
  <si>
    <t>ロチ アンジェリ ルイタン</t>
  </si>
  <si>
    <t>ROCHI ANJELI RUITANG</t>
  </si>
  <si>
    <t>ロチ</t>
  </si>
  <si>
    <t>SA25451122PC</t>
  </si>
  <si>
    <t>結婚
帰国後転職</t>
  </si>
  <si>
    <t>1/21退寮
結婚のため、退職。帰国後結婚式を行い、旦那の勤務する大阪に転職予定</t>
  </si>
  <si>
    <t>07013613</t>
  </si>
  <si>
    <t>エガ アユ ドウィプラウェティ</t>
  </si>
  <si>
    <t>EGA AYU DWI PRAWESTI</t>
  </si>
  <si>
    <t>SA93545760PC</t>
  </si>
  <si>
    <t>6667
Ｂ－0246667-1173</t>
  </si>
  <si>
    <t>23.11/23～1/2一時帰国　1/5出社</t>
  </si>
  <si>
    <t>二課</t>
  </si>
  <si>
    <t>07013619
07018701</t>
  </si>
  <si>
    <t>/appsheet/photograph/IDPhoto_20250328_94_ミフタフル アリフ.jpg</t>
  </si>
  <si>
    <t>ミフタフル アリフ</t>
  </si>
  <si>
    <t>MIFTAKHUL ARIF</t>
  </si>
  <si>
    <t>アリフ</t>
  </si>
  <si>
    <t>UH86875702PC</t>
  </si>
  <si>
    <t>6660
B-0246660-1194
ｼﾙﾊﾞｰ26ｲﾝﾁ</t>
  </si>
  <si>
    <t xml:space="preserve">N4
</t>
  </si>
  <si>
    <t>佐伯主任</t>
  </si>
  <si>
    <r>
      <rPr>
        <sz val="11"/>
        <color rgb="FF000000"/>
        <rFont val="MS PGothic"/>
        <family val="3"/>
        <charset val="128"/>
      </rPr>
      <t xml:space="preserve">24.5/1～6/28一時帰国
7/8新開工場長より一時帰国に有給を使いたい申出あるも、事前申請ないため不可(専務相談済)
</t>
    </r>
    <r>
      <rPr>
        <sz val="11"/>
        <color rgb="FFFF0000"/>
        <rFont val="MS PGothic"/>
        <family val="3"/>
        <charset val="128"/>
      </rPr>
      <t>2025/12/21～特定2号へ資格変更予定
2025/12/15　特定2号へ移行完了</t>
    </r>
  </si>
  <si>
    <t>/appsheet/photograph/07013619.在留カード表裏.081828.pdf</t>
  </si>
  <si>
    <t>管理表_Files_/07013619.パスポート.070451.pdf</t>
  </si>
  <si>
    <t>07013620</t>
  </si>
  <si>
    <t>レストゥ グメラー</t>
  </si>
  <si>
    <t>RESTU GUMELAR</t>
  </si>
  <si>
    <t>SA83962817PC</t>
  </si>
  <si>
    <t>6670
Ｂ－0246670-1763</t>
  </si>
  <si>
    <t>N4
2017/01/22</t>
  </si>
  <si>
    <t>2024/10/09三好さんより退職の連絡。新開工場長へ連絡済。兵庫の冷凍食品11/1より時給1,200-平均して残業があるため、指導しても時給が大差ないため</t>
  </si>
  <si>
    <t>07013638</t>
  </si>
  <si>
    <t>/appsheet/photograph/IDPhoto_20250328_96_ニマトゥル マウリダ.jpg</t>
  </si>
  <si>
    <t>ニマトゥル マウリダ</t>
  </si>
  <si>
    <t>NIMATUL MAULIDA</t>
  </si>
  <si>
    <t>松山市上野町774番地ビレッジハウス松山上野4-504</t>
  </si>
  <si>
    <t>UH01039353PC</t>
  </si>
  <si>
    <t>自身で購入
元2309
中野住宅で使用</t>
  </si>
  <si>
    <t>2025/6/25-2028/5/24</t>
  </si>
  <si>
    <r>
      <rPr>
        <sz val="10"/>
        <color theme="1"/>
        <rFont val="MS PGothic"/>
        <family val="3"/>
        <charset val="128"/>
      </rPr>
      <t xml:space="preserve">N3：2024/07/07 10/15連絡あり→10/31振込分より手当
2025/5/6～6/10一時帰国　帰国後
6/9～ﾋﾞﾚｯｼﾞ4-504へ夫エカと住む
</t>
    </r>
    <r>
      <rPr>
        <sz val="10"/>
        <color rgb="FFFF0000"/>
        <rFont val="MS PGothic"/>
        <family val="3"/>
        <charset val="128"/>
      </rPr>
      <t>2025/11/2エカより、ニマが妊娠13週との連絡あり。今後について、相談すると伝える
エカと３人で津吉社長室にて話す。出産予定2026/5/5、つばきウイメンズで出産予定、日本にて産みたい。エカも特定２号受けたい。入社が2025/6/17、転職のため、特定１号の機嫌が2027/3までのため、入官へ確認。</t>
    </r>
  </si>
  <si>
    <t>07013639</t>
  </si>
  <si>
    <t>/appsheet/photograph/IDPhoto_20250328_97_ハビバ プリヤンティ.jpg</t>
  </si>
  <si>
    <t>ハビバ プリヤンティ</t>
  </si>
  <si>
    <t>HABIBAH PRIYANTI</t>
  </si>
  <si>
    <t>UH53265164PC</t>
  </si>
  <si>
    <r>
      <rPr>
        <sz val="11"/>
        <color theme="1"/>
        <rFont val="MS PGothic"/>
        <family val="3"/>
        <charset val="128"/>
      </rPr>
      <t xml:space="preserve">ｱｼｽﾄ（自身で購入）
</t>
    </r>
    <r>
      <rPr>
        <sz val="11"/>
        <color rgb="FFFF0000"/>
        <rFont val="MS PGothic"/>
        <family val="3"/>
        <charset val="128"/>
      </rPr>
      <t>2310-B-0287449
9/6中野住宅へ移動</t>
    </r>
  </si>
  <si>
    <t>2025/6/１～2028/5/31</t>
  </si>
  <si>
    <t>07013640</t>
  </si>
  <si>
    <t>/appsheet/photograph/IDPhoto_20250328_98_ノヴィ ノヴィタ.jpg</t>
  </si>
  <si>
    <t>ノヴィ ノヴィタ</t>
  </si>
  <si>
    <t>NOVI NOVITA</t>
  </si>
  <si>
    <t>UH31391623PC一時帰国後、申請</t>
  </si>
  <si>
    <t>寮23.10/21～</t>
  </si>
  <si>
    <t>2025/6/１～2028/5/31"</t>
  </si>
  <si>
    <t>2025/3/29～1号館1人部屋→ビレッジ4-502へ　家賃同額</t>
  </si>
  <si>
    <t>/appsheet/photograph/07013640.在留カード表裏.062206.pdf</t>
  </si>
  <si>
    <t>/appsheet/photograph/07013640.パスポート.062206.pdf</t>
  </si>
  <si>
    <t>07013641</t>
  </si>
  <si>
    <t>/appsheet/photograph/IDPhoto_20250328_99_ヌル アンディニ.jpg</t>
  </si>
  <si>
    <t>ヌル アンディニ</t>
  </si>
  <si>
    <t>NUR ANDINI</t>
  </si>
  <si>
    <t>アンディニ</t>
  </si>
  <si>
    <t>UH20712284PC一時帰国後、申請</t>
  </si>
  <si>
    <t>2312
B-0287451-V177</t>
  </si>
  <si>
    <r>
      <rPr>
        <sz val="11"/>
        <color theme="1"/>
        <rFont val="MS PGothic"/>
        <family val="3"/>
        <charset val="128"/>
      </rPr>
      <t xml:space="preserve">20240529退勤中に最後の階段で足をくじいた。
2024/09/14牛渕170-3→ビレッジ4-205引越
2025/10/30新開工場長より、2026/3/13より2ヶ月ぐらい、
自身の結婚のため帰国の申し出。日程の調整確認依頼
10/30現在有休残３日、11/29付与12日、合計15日
新開工場長へline済み
</t>
    </r>
    <r>
      <rPr>
        <sz val="11"/>
        <color rgb="FFFF0000"/>
        <rFont val="MS PGothic"/>
        <family val="3"/>
        <charset val="128"/>
      </rPr>
      <t>3/13結婚のため、一時帰国。5/10頃帰国し
在留カード更新手続きを行うと話す。</t>
    </r>
  </si>
  <si>
    <t>07013642</t>
  </si>
  <si>
    <t>/appsheet/photograph/100.写真.031150.jpg</t>
  </si>
  <si>
    <t>ジェシカ アウリア プトリ</t>
  </si>
  <si>
    <t>JESSICA AULIA PUTRI</t>
  </si>
  <si>
    <t>2028/05</t>
  </si>
  <si>
    <t>UH46443230PC</t>
  </si>
  <si>
    <t>綴る</t>
  </si>
  <si>
    <t>2325
B-0296139-V130
V230どっちか不明</t>
  </si>
  <si>
    <t>2025/6/１～2028/6/30</t>
  </si>
  <si>
    <t>2025/3/8牛渕2号館→ビレッジ2-405へ引越</t>
  </si>
  <si>
    <t>07013643</t>
  </si>
  <si>
    <t>/appsheet/photograph/101.写真.024815.jpg</t>
  </si>
  <si>
    <t>アナ ヤーロトゥン ニシャ</t>
  </si>
  <si>
    <t>ANA YAHROTUN NISHA</t>
  </si>
  <si>
    <t>UH89655030PC</t>
  </si>
  <si>
    <t>2314
B-0296113-X049</t>
  </si>
  <si>
    <t>2025/3/8牛渕2号館→ビレッジ2-405へ引越
お父さんが亡くなったため、2025/11/1～2025/11/25一時帰国希望</t>
  </si>
  <si>
    <t>07013644</t>
  </si>
  <si>
    <t>/appsheet/photograph/102.写真.031431.jpg</t>
  </si>
  <si>
    <t>ウィンドリヤンティ</t>
  </si>
  <si>
    <t>WINDRIYANTI</t>
  </si>
  <si>
    <t>東温市牛渕123-1</t>
  </si>
  <si>
    <t>１F-3-相2</t>
  </si>
  <si>
    <t>UH38521065PC</t>
  </si>
  <si>
    <t>2315
B-0296114-X206</t>
  </si>
  <si>
    <t>大学進学</t>
  </si>
  <si>
    <r>
      <rPr>
        <sz val="11"/>
        <color theme="1"/>
        <rFont val="MS PGothic"/>
        <family val="3"/>
        <charset val="128"/>
      </rPr>
      <t xml:space="preserve">2025/12/3　　大学進学の為、退職したいとの申し出あり。
2026/2/20退職希望。新開工場長は出来れば3/20
にしてほしいとのこと。
</t>
    </r>
    <r>
      <rPr>
        <sz val="11"/>
        <color rgb="FFFF0000"/>
        <rFont val="MS PGothic"/>
        <family val="3"/>
        <charset val="128"/>
      </rPr>
      <t>2026/2/20退職、2/21退寮、最終出勤日1/30
2/20給料現金払い（大学進学の為、帰国）</t>
    </r>
  </si>
  <si>
    <t>07013645</t>
  </si>
  <si>
    <t>/appsheet/photograph/103.写真.030456.jpg</t>
  </si>
  <si>
    <t>ロパ ヌルジャナー</t>
  </si>
  <si>
    <t>ROPA NURJANAH</t>
  </si>
  <si>
    <t>松山市上野町774番地ビレッジハウス松山上野4-407</t>
  </si>
  <si>
    <t>UH35593552PC</t>
  </si>
  <si>
    <t>2316
B-0296115-V187</t>
  </si>
  <si>
    <t>2025.5.2引越　牛渕123-1→ﾋﾞﾚｯｼﾞ4-407へ
家賃10.000→15,000へ
通勤届提出済</t>
  </si>
  <si>
    <t>/appsheet/photograph/07013645.通帳.235431.jpg</t>
  </si>
  <si>
    <t>07013646</t>
  </si>
  <si>
    <t>/appsheet/photograph/104.写真.024225.jpg</t>
  </si>
  <si>
    <t>デウィ マシト</t>
  </si>
  <si>
    <t>DEWI MASITHOH</t>
  </si>
  <si>
    <t>UH49694920PC</t>
  </si>
  <si>
    <r>
      <rPr>
        <sz val="11"/>
        <color theme="1"/>
        <rFont val="MS PGothic"/>
        <family val="3"/>
        <charset val="128"/>
      </rPr>
      <t xml:space="preserve">自身で購入
</t>
    </r>
    <r>
      <rPr>
        <sz val="11"/>
        <color rgb="FFFF0000"/>
        <rFont val="MS PGothic"/>
        <family val="3"/>
        <charset val="128"/>
      </rPr>
      <t>元2317-X236</t>
    </r>
  </si>
  <si>
    <t>2024.6.21～牛渕123-1→ﾋﾞﾚｯｼﾞ4-407へ引越
2025/11/25ナナマルディアナと来年結婚する。
2026/7/18～9/4まで帰国結婚、中温で２人で住居したい申出。
日程については、新開工場長と相談済。</t>
  </si>
  <si>
    <t>/appsheet/photograph/07013646.通帳.231936.jpg</t>
  </si>
  <si>
    <t>07013647</t>
  </si>
  <si>
    <t>/appsheet/photograph/105.写真.032534.jpg</t>
  </si>
  <si>
    <t>トリアニ プトリ ウタミ</t>
  </si>
  <si>
    <t>TRIANI PUTRI UTAMI</t>
  </si>
  <si>
    <t>リリ</t>
  </si>
  <si>
    <t>2F-3-相3</t>
  </si>
  <si>
    <t>SA03715972PC</t>
  </si>
  <si>
    <t>2318
B-0296117-X209</t>
  </si>
  <si>
    <t>2025/3/29新開工場長より退職の話
1ヶ月前依頼のため、5月に調整依頼
2025.5/20退職、5/20退寮予定、京都へ転職</t>
  </si>
  <si>
    <t>07013648</t>
  </si>
  <si>
    <t>/appsheet/photograph/106.写真.031518.jpg</t>
  </si>
  <si>
    <t>イスラ ナディア</t>
  </si>
  <si>
    <t xml:space="preserve">ISRA NADIA </t>
  </si>
  <si>
    <t>ナディア</t>
  </si>
  <si>
    <t>１F-１-相2</t>
  </si>
  <si>
    <t>UH67194128PC</t>
  </si>
  <si>
    <t>2326 B-0296142-V004</t>
  </si>
  <si>
    <t>2025/12/22</t>
  </si>
  <si>
    <t>07013649</t>
  </si>
  <si>
    <t>/appsheet/photograph/107.写真.031451.jpg</t>
  </si>
  <si>
    <t>デラ アストリヤ</t>
  </si>
  <si>
    <t>DELA ASTRIYA</t>
  </si>
  <si>
    <t>UH81719246PC</t>
  </si>
  <si>
    <t>2327-V046
V181どっちか不明</t>
  </si>
  <si>
    <t>愛媛銀行</t>
  </si>
  <si>
    <r>
      <rPr>
        <sz val="11"/>
        <color theme="1"/>
        <rFont val="MS PGothic"/>
        <family val="3"/>
        <charset val="128"/>
      </rPr>
      <t xml:space="preserve">2024.6.21～牛渕123-1→ﾋﾞﾚｯｼﾞ4-407へ引越
デラよりLINEで退職したい申し出あり。
いつ頃退職して帰国したいのかヒアリングする。有給残４時間
</t>
    </r>
    <r>
      <rPr>
        <sz val="11"/>
        <color rgb="FFFF0000"/>
        <rFont val="MS PGothic"/>
        <family val="3"/>
        <charset val="128"/>
      </rPr>
      <t>2026/2/20退職、2/22退寮、ｲﾝﾄﾞﾈｼｱへ帰国
最終出勤日2/3　2/20給料現金払い　特定1号保険解約返金</t>
    </r>
  </si>
  <si>
    <t>/appsheet/photograph/07013649.通帳.011920.jpg</t>
  </si>
  <si>
    <t>/appsheet/photograph/07013649.保険証.042554.jpg</t>
  </si>
  <si>
    <t>07013650</t>
  </si>
  <si>
    <t>/appsheet/photograph/108.写真.024856.jpg</t>
  </si>
  <si>
    <t>ニ ルー プトゥ ユリアンティニ</t>
  </si>
  <si>
    <t>NI LUH PUTU YULIANTINI</t>
  </si>
  <si>
    <t>松山市上野町774番地ビレッジハウス松山上野1-205</t>
  </si>
  <si>
    <t>UH83908670PC</t>
  </si>
  <si>
    <t>2313-B-0287457
元2328</t>
  </si>
  <si>
    <r>
      <rPr>
        <sz val="11"/>
        <color theme="1"/>
        <rFont val="MS PGothic"/>
        <family val="3"/>
        <charset val="128"/>
      </rPr>
      <t xml:space="preserve">24.3/11再入社
</t>
    </r>
    <r>
      <rPr>
        <sz val="11"/>
        <color rgb="FFFF0000"/>
        <rFont val="MS PGothic"/>
        <family val="3"/>
        <charset val="128"/>
      </rPr>
      <t>2025/7/21　牛渕123→ビレッジ1-205へ引越</t>
    </r>
  </si>
  <si>
    <t>07013651</t>
  </si>
  <si>
    <t>トリシリア ステファニ</t>
  </si>
  <si>
    <t xml:space="preserve">TRISILIA STEVANI </t>
  </si>
  <si>
    <t>リア</t>
  </si>
  <si>
    <t>SA15392392PC</t>
  </si>
  <si>
    <r>
      <rPr>
        <sz val="11"/>
        <color theme="1"/>
        <rFont val="MS PGothic"/>
        <family val="3"/>
        <charset val="128"/>
      </rPr>
      <t xml:space="preserve">自身で購入
</t>
    </r>
    <r>
      <rPr>
        <sz val="11"/>
        <color rgb="FFFF0000"/>
        <rFont val="MS PGothic"/>
        <family val="3"/>
        <charset val="128"/>
      </rPr>
      <t>元2313</t>
    </r>
  </si>
  <si>
    <t>進学
4/27帰国</t>
  </si>
  <si>
    <t>2024.6.21～牛渕123-1→ﾋﾞﾚｯｼﾞ4-407へ引越
2025/4/20進学のため退職</t>
  </si>
  <si>
    <t>07013652</t>
  </si>
  <si>
    <t>/appsheet/photograph/110.写真.030830.jpg</t>
  </si>
  <si>
    <t>リリス ワユニ</t>
  </si>
  <si>
    <t>LILIS WAHYUNI</t>
  </si>
  <si>
    <t>2F-2-相4</t>
  </si>
  <si>
    <t>UH24949243PC</t>
  </si>
  <si>
    <t>2328-B-0296140
中野住宅で使用</t>
  </si>
  <si>
    <t>2025/6/1～2028/10/31</t>
  </si>
  <si>
    <t>/appsheet/photograph/07013652.在留カード表裏.072529.pdf</t>
  </si>
  <si>
    <t>/appsheet/photograph/07013652.通帳.230939.jpg</t>
  </si>
  <si>
    <t>07013653</t>
  </si>
  <si>
    <t>/appsheet/photograph/111.写真.ディアナ プルティウィ.jpg</t>
  </si>
  <si>
    <t>ディアナ プルティウィ</t>
  </si>
  <si>
    <t>DIANA PERTIWI</t>
  </si>
  <si>
    <t>ディアナ</t>
  </si>
  <si>
    <t>UH52589559PC</t>
  </si>
  <si>
    <t>2329
B-0304389-V153</t>
  </si>
  <si>
    <t>2025/10/13-2028/10/12</t>
  </si>
  <si>
    <t>2024.5/5左腕骨折　傷病手当申請。5/7は有給。5/20
傷病手当の書類預かり　6月半ばまでは仕事復帰不可。
次回6/11通院予定。次回6/25の面会で仕事復帰時期
の説明があるとのこと。
2025.10.3整形外科を受診し、先生より治癒したとのことで治療は終了。
金具が2本入っているものを取り除くかどうかはご家族と相談し決める予定。（取り除く場合は2026年5月までに手術をした方がいいとのこと）
保険請求は治療が終了したので請求可能か、金具を取り除くまでの分全て終了してからの請求になるのかH＆C和田さんへ問合せ中（10/3渡部）</t>
  </si>
  <si>
    <t>/appsheet/photograph/07013653.在留カード表裏.072703.pdf</t>
  </si>
  <si>
    <t>/appsheet/photograph/07013653.通帳.075719.jpg</t>
  </si>
  <si>
    <t>07013654</t>
  </si>
  <si>
    <t>/appsheet/photograph/112.写真.032346.jpg</t>
  </si>
  <si>
    <t>インギト チカ プテリ アディティヤン</t>
  </si>
  <si>
    <t>INGGIT CIKA PUTRI ADITIYAN</t>
  </si>
  <si>
    <t>松山市松末2丁目16-17グレースフルハイツ203号</t>
  </si>
  <si>
    <t>UH63905058PC</t>
  </si>
  <si>
    <t>2330
B-0304391-V134</t>
  </si>
  <si>
    <t>出産のため？</t>
  </si>
  <si>
    <r>
      <rPr>
        <sz val="11"/>
        <color theme="1"/>
        <rFont val="MS PGothic"/>
        <family val="3"/>
        <charset val="128"/>
      </rPr>
      <t>2025.4/2新開工場長より７月～旦那（松山在住）と一緒に住みたい、
2025/6/20引越予定。ご主人名義で借りる予定。決まったら連絡が入る。（久米方面）</t>
    </r>
    <r>
      <rPr>
        <sz val="11"/>
        <color rgb="FFFF0000"/>
        <rFont val="MS PGothic"/>
        <family val="3"/>
        <charset val="128"/>
      </rPr>
      <t>8/11～9/12結婚のため帰国予定</t>
    </r>
    <r>
      <rPr>
        <sz val="11"/>
        <color theme="1"/>
        <rFont val="MS PGothic"/>
        <family val="3"/>
        <charset val="128"/>
      </rPr>
      <t xml:space="preserve">
2025.6.20引越　牛渕123-1→松山市松末２丁目１６－１７ココウミン（ご主人名義で借りる）へ引越
2025.7月結婚予定</t>
    </r>
    <r>
      <rPr>
        <sz val="11"/>
        <color rgb="FFFF0000"/>
        <rFont val="MS PGothic"/>
        <family val="3"/>
        <charset val="128"/>
      </rPr>
      <t xml:space="preserve">
</t>
    </r>
    <r>
      <rPr>
        <sz val="11"/>
        <color theme="1"/>
        <rFont val="MS PGothic"/>
        <family val="3"/>
        <charset val="128"/>
      </rPr>
      <t xml:space="preserve">ご主人：ココウミン（中国人）
勤務先：三菱自動車（技術者）090-3965-1989
在留資格：技術、人文知識、国際業務
2025/12/2新開工場長より、妊娠したとの申し出あり。
</t>
    </r>
    <r>
      <rPr>
        <sz val="11"/>
        <color rgb="FFFF0000"/>
        <rFont val="MS PGothic"/>
        <family val="3"/>
        <charset val="128"/>
      </rPr>
      <t>2026/03/31退職したいとのこと⇒3/20付で退職へ
資格変更で日本で出産希望</t>
    </r>
  </si>
  <si>
    <t>/appsheet/photograph/07013654.在留カード表裏.072122.pdf</t>
  </si>
  <si>
    <t>07013655</t>
  </si>
  <si>
    <t>/appsheet/photograph/113.写真.031538.jpg</t>
  </si>
  <si>
    <t>リズカ スティヤニンシー</t>
  </si>
  <si>
    <t>RIZKA SETYANINGSIH</t>
  </si>
  <si>
    <t>リズカ</t>
  </si>
  <si>
    <t>2F-1-相4</t>
  </si>
  <si>
    <t>UH29571459PC</t>
  </si>
  <si>
    <t>2332
B-0304393-V102
元2331</t>
  </si>
  <si>
    <t>母親が手術のため、一時帰国を希望
2025/12/14～2026/1/10まで</t>
  </si>
  <si>
    <t>/appsheet/photograph/07013655.在留カード表裏.072154.pdf</t>
  </si>
  <si>
    <t>07013656</t>
  </si>
  <si>
    <t>/appsheet/photograph/114.写真.031304.jpg</t>
  </si>
  <si>
    <t>ザーラ ファティハトゥン ニサ</t>
  </si>
  <si>
    <t>ZAHRA FATIKHATUN NISA</t>
  </si>
  <si>
    <t>UH43709461PC</t>
  </si>
  <si>
    <t>2331-B-0304396
元2332</t>
  </si>
  <si>
    <t>2023/10/08-2028/10/13
2025/6/1～2028/10/31</t>
  </si>
  <si>
    <t>2025/2/21～牛渕2号館→ビレッジ4-205へ</t>
  </si>
  <si>
    <t>/appsheet/photograph/07013656.在留カード表裏.072734.pdf</t>
  </si>
  <si>
    <t>07013657</t>
  </si>
  <si>
    <t>/appsheet/photograph/115.写真.030647.jpg</t>
  </si>
  <si>
    <t>デフィ ダマヤンティ</t>
  </si>
  <si>
    <t>DEFI DAMAYANTI</t>
  </si>
  <si>
    <t>UH53194730PC</t>
  </si>
  <si>
    <t>2333
Ｂ－0304388-V212</t>
  </si>
  <si>
    <t>/appsheet/photograph/07013657.在留カード表裏.072321.pdf</t>
  </si>
  <si>
    <t>07013658</t>
  </si>
  <si>
    <t>ラーミタ ヌル ハリザ</t>
  </si>
  <si>
    <t>RAHMITA NUR HALIZA</t>
  </si>
  <si>
    <t>NP84366476MA</t>
  </si>
  <si>
    <t>2334-Ｂ－0304399</t>
  </si>
  <si>
    <t>8/19 休みがちなので確認すると、精神的かも
H&amp;Cさん確認中　専務・新開工場長話済み
体調不良により、2024/9/29退職
10/3退寮・帰国</t>
  </si>
  <si>
    <t>07013659</t>
  </si>
  <si>
    <t>/appsheet/photograph/117.写真.031935.jpg</t>
  </si>
  <si>
    <t>シティ ロピアナ</t>
  </si>
  <si>
    <t>SITI ROPIANA</t>
  </si>
  <si>
    <t>ロピ</t>
  </si>
  <si>
    <t>松山市上野町774番地ビレッジハウス松山上野3-501</t>
  </si>
  <si>
    <t>UH95100477PC</t>
  </si>
  <si>
    <t>2335
Ｂ－0304395-V157</t>
  </si>
  <si>
    <t>ﾋﾞﾚｯｼﾞへ引越希望2025.5.16
2025.6.20引越　牛渕123-1→ﾋﾞﾚｯｼﾞ3-501へ</t>
  </si>
  <si>
    <t>/appsheet/photograph/07013659.在留カード表裏.072253.pdf</t>
  </si>
  <si>
    <t>07013660</t>
  </si>
  <si>
    <t>/appsheet/photograph/118.写真.031653.jpg</t>
  </si>
  <si>
    <t>ウィディアニンティアス スリスティアワン</t>
  </si>
  <si>
    <t>WIDYANINGTYAS SULISTIAWAN</t>
  </si>
  <si>
    <t>ウィディ</t>
  </si>
  <si>
    <t>離2F-2-個1</t>
  </si>
  <si>
    <t>UH60280566PC</t>
  </si>
  <si>
    <t>2336
Ｂ－0304400-V110</t>
  </si>
  <si>
    <t>退職予定</t>
  </si>
  <si>
    <t>/appsheet/photograph/07013660.在留カード表裏.072055.pdf</t>
  </si>
  <si>
    <t>07013661</t>
  </si>
  <si>
    <t>/appsheet/photograph/119.写真.024204.jpg</t>
  </si>
  <si>
    <t>シャリファ サニア</t>
  </si>
  <si>
    <t>SYARIFAH SANIAH</t>
  </si>
  <si>
    <t>UH87483077PC</t>
  </si>
  <si>
    <t>2337
Ｂ-0304398-V024</t>
  </si>
  <si>
    <t>秋田にいる彼氏１号　７月　飲食業持ってる
2025/7/21　ビレッジ1-205へ引越予定</t>
  </si>
  <si>
    <t>/appsheet/photograph/07013661.在留カード表裏.072342.pdf</t>
  </si>
  <si>
    <t>/appsheet/photograph/07013661.通帳.063051.jpg</t>
  </si>
  <si>
    <t>07013662</t>
  </si>
  <si>
    <t>/appsheet/photograph/120.写真.024218.jpg</t>
  </si>
  <si>
    <t>プジャ サンロヒャ プルバ</t>
  </si>
  <si>
    <t>PUJA SANROHYA PURBA</t>
  </si>
  <si>
    <t>UH04222035PC</t>
  </si>
  <si>
    <t>2338
Ｂ－0304394-V105</t>
  </si>
  <si>
    <t>N3 
2025/07</t>
  </si>
  <si>
    <t>2025/2/21～牛渕1号館→ビレッジ4-502へ</t>
  </si>
  <si>
    <t>/appsheet/photograph/07013662.在留カード表裏.072630.pdf</t>
  </si>
  <si>
    <t>/appsheet/photograph/07013662.通帳.010056.jpg</t>
  </si>
  <si>
    <t>07013663</t>
  </si>
  <si>
    <t>/appsheet/photograph/121.写真.032211.jpg</t>
  </si>
  <si>
    <t>デヴィ メルヴァ ヤヌアル</t>
  </si>
  <si>
    <t>DEVI MELVA YANUAR</t>
  </si>
  <si>
    <t>離2F-1-個1</t>
  </si>
  <si>
    <t>UH70743274PC</t>
  </si>
  <si>
    <t>2339
Ｂ－0304392-V135</t>
  </si>
  <si>
    <t>2025/12/15-2026/01/9一時帰国希望</t>
  </si>
  <si>
    <t>/appsheet/photograph/07013663.在留カード表裏.072405.pdf</t>
  </si>
  <si>
    <t>07013664</t>
  </si>
  <si>
    <t>セルリ ソレハ</t>
  </si>
  <si>
    <t>SHERLY SOLEHA</t>
  </si>
  <si>
    <t>母2F-1-相5</t>
  </si>
  <si>
    <t>SA81017746PC</t>
  </si>
  <si>
    <t>2340
Ｂ-0304397-V165</t>
  </si>
  <si>
    <t>07013621</t>
  </si>
  <si>
    <t>/appsheet/photograph/123.写真.032420.jpg</t>
  </si>
  <si>
    <t>フルー アイナ アンラ ヤラダニ</t>
  </si>
  <si>
    <t>HURUL AINA ANRA YALADANI</t>
  </si>
  <si>
    <t>アイナ</t>
  </si>
  <si>
    <t>東温市西岡601-2　EARLS　COURT東温Ⅱ　205号</t>
  </si>
  <si>
    <t>LJ74130965PC</t>
  </si>
  <si>
    <t>2204
B-0274809-V206
2026.2.17鍵回収</t>
  </si>
  <si>
    <t>N3 
2024/12</t>
  </si>
  <si>
    <t>2025/6/1～2027/12/31</t>
  </si>
  <si>
    <t>2025.6.20引越　牛渕170-3→新住所：東温市西岡601-2EARLS　COURT東温Ⅱ205号（小林さんと同居）</t>
  </si>
  <si>
    <t>/appsheet/photograph/07013621.在留カード表裏.015259.pdf</t>
  </si>
  <si>
    <t>07013624</t>
  </si>
  <si>
    <t>ユニタ サリニンシー</t>
  </si>
  <si>
    <t>YUNITA SARININGSIH</t>
  </si>
  <si>
    <t>ユニタ</t>
  </si>
  <si>
    <t>UH52204744PC</t>
  </si>
  <si>
    <r>
      <rPr>
        <sz val="11"/>
        <color rgb="FF000000"/>
        <rFont val="MS PGothic"/>
        <family val="3"/>
        <charset val="128"/>
      </rPr>
      <t xml:space="preserve">自身で購入
</t>
    </r>
    <r>
      <rPr>
        <sz val="11"/>
        <color rgb="FFFF0000"/>
        <rFont val="MS PGothic"/>
        <family val="3"/>
        <charset val="128"/>
      </rPr>
      <t>元2207</t>
    </r>
  </si>
  <si>
    <t>帰国_住民税
11,200－控除</t>
  </si>
  <si>
    <t>2023/2/21～牛渕170-3母屋2F→上野ビレッジ4-502へ引越
住民票、在留カード手続済3/8
2025/02頃一時帰国希望→変更依頼中
10k瘦せたため、親より帰国依頼</t>
  </si>
  <si>
    <t>07013625</t>
  </si>
  <si>
    <t>/appsheet/photograph/125.写真.033225.jpg</t>
  </si>
  <si>
    <t>ミフタフディン ラティフ</t>
  </si>
  <si>
    <t>MIFTAHUDIN LATIF</t>
  </si>
  <si>
    <t>ラティフ</t>
  </si>
  <si>
    <t>松山市上野町774番地ビレッジハウス松山上野1-507</t>
  </si>
  <si>
    <t>LJ02919850PC</t>
  </si>
  <si>
    <t>23.5/18自転車鍵紛失</t>
  </si>
  <si>
    <t>2208
B-0274812-V023</t>
  </si>
  <si>
    <t>ミャナと結婚の為、2026/7/21～9/20まで
一時帰国希望。新開工場長より2025/12/22</t>
  </si>
  <si>
    <t>/appsheet/photograph/07013625.在留カード表裏.015714.pdf</t>
  </si>
  <si>
    <t>07013626</t>
  </si>
  <si>
    <t>/appsheet/photograph/126.写真.033543.jpg</t>
  </si>
  <si>
    <t>ムハンマド ナウファル アリ ムフタル</t>
  </si>
  <si>
    <t>MUHAMMAD NAUFAL ALI MUKHTAR</t>
  </si>
  <si>
    <t>ナウファル</t>
  </si>
  <si>
    <t>LJ29637774PC</t>
  </si>
  <si>
    <t>2206
B-0274810-V114
ｼﾙﾊﾞｰ26ｲﾝﾁ元2209</t>
  </si>
  <si>
    <t>リアパンク</t>
  </si>
  <si>
    <t>2025/6/１～2027/12/31</t>
  </si>
  <si>
    <r>
      <rPr>
        <sz val="11"/>
        <color theme="1"/>
        <rFont val="MS PGothic"/>
        <family val="3"/>
        <charset val="128"/>
      </rPr>
      <t xml:space="preserve">4/19リフト取得検討中
3/27か3/28で一時帰国したいと申し出
2025/9月特定2号受験（不合格）
</t>
    </r>
    <r>
      <rPr>
        <sz val="11"/>
        <color rgb="FFFF0000"/>
        <rFont val="MS PGothic"/>
        <family val="3"/>
        <charset val="128"/>
      </rPr>
      <t>2026/1月　特定2号受験予定
2025/11/21引越　ビレッジ1-507号→ビレッジ2-504号へ
家賃2万へ
奥さんユニタサリニンシーと一緒に住む予定</t>
    </r>
  </si>
  <si>
    <t>/appsheet/photograph/07013626.在留カード表裏.015355.pdf</t>
  </si>
  <si>
    <t>/appsheet/photograph/07013626.特定２号合格.011136.pdf</t>
  </si>
  <si>
    <t>07013627</t>
  </si>
  <si>
    <t>/appsheet/photograph/127.写真.033721.jpg</t>
  </si>
  <si>
    <t>リズキー ハナフィ</t>
  </si>
  <si>
    <t>RIZQI KHANAFI</t>
  </si>
  <si>
    <t>ハナフィ</t>
  </si>
  <si>
    <t>UH49043472PC</t>
  </si>
  <si>
    <t>2210
B-0266775-V160</t>
  </si>
  <si>
    <t>2025.6.13茨木へ転職で退職希望　本人希望は8月中旬頃退職、次の会社と話しをして退職日を決め、新開工場長へ話をするように伝えた
2025/7/20退職　7/7～有給消化※最終出勤日7/4。7/31退寮
7/31給料現金払い。寮と自転車の鍵は7/31退寮日にビレッジのポストへ入れておく自転車番号2210確認済7/31（ひめぎん口座解約済）</t>
  </si>
  <si>
    <t>07013628</t>
  </si>
  <si>
    <t>/appsheet/photograph/128.写真.033250.jpg</t>
  </si>
  <si>
    <t>アリ クスナディ</t>
  </si>
  <si>
    <t>ALI KUSNADI</t>
  </si>
  <si>
    <t>アリ</t>
  </si>
  <si>
    <t>LJ02919901PC</t>
  </si>
  <si>
    <t>2212
元2211</t>
  </si>
  <si>
    <t>2024/07/02
2026/3/14</t>
  </si>
  <si>
    <t>2024/07/30
2026/4/21</t>
  </si>
  <si>
    <r>
      <rPr>
        <sz val="11"/>
        <color rgb="FF000000"/>
        <rFont val="MS PGothic"/>
        <family val="3"/>
        <charset val="128"/>
      </rPr>
      <t xml:space="preserve">一時帰国後8/1以降順風会で健診予定
一時帰国希望あり。有休残日数と次回の付与日で検討とのこと（24.4.23H&amp;C三好さん
より）一時帰国の内20日間は有給使用予定（5/9三好さんより）
</t>
    </r>
    <r>
      <rPr>
        <sz val="11"/>
        <color rgb="FFFF0000"/>
        <rFont val="MS PGothic"/>
        <family val="3"/>
        <charset val="128"/>
      </rPr>
      <t>2026/特定2号受験予定</t>
    </r>
  </si>
  <si>
    <t>/appsheet/photograph/07013628.在留カード表裏.015539.pdf</t>
  </si>
  <si>
    <t>/appsheet/photograph/07013628.特定２号合格.011218.pdf</t>
  </si>
  <si>
    <t>07011609</t>
  </si>
  <si>
    <t>/appsheet/photograph/129.写真.012424.jpg</t>
  </si>
  <si>
    <t>ディン ティ ヅエン</t>
  </si>
  <si>
    <t>DINH THI DUYEN</t>
  </si>
  <si>
    <t>ヅエン</t>
  </si>
  <si>
    <t>20240801伊予郡砥部町原町325-26 シティハイム101へ
旧伊予郡砥部町高尾田826-1コーポ麻生205</t>
  </si>
  <si>
    <t>ご主人の寮
⇒引越予定
8/1住所変更</t>
  </si>
  <si>
    <t>LJ50567500PC</t>
  </si>
  <si>
    <t>5099-194656-5</t>
  </si>
  <si>
    <t>B-0143841-1158 ｱｼｽﾄ自転車（自身で購入） ※通勤はアシスト自転車</t>
  </si>
  <si>
    <t xml:space="preserve">自転車保険加入2026/2/15～2027/2/15
</t>
  </si>
  <si>
    <t>※仕事に復帰する日程等決まればひめぎんへ伝える。
2025.6.13　7/1～8/14一時帰国
9月に子供の入園可否の連絡がある予定。入園が決まれば仕事復帰希望。朴さんより
2024/9/2～産休へ入りたいとのこと。手続き等必要か？24.7.23朴さん
住まいは探している。8/1住所変更（5/21朴さんより）3/13中四国より妊娠7週目
とのこと。予定日2024.10.13。2024/09/03～育児休暇　日本で出産、育児を希望。親が短期ﾋﾞｻﾞ（3～最長6ヵ月特定活動）で来る予定。専務→中四国本多さん、
ご主人の会社へ連絡予定　　夫：グエン　ヴァン　ヴィンさん　
電話　080-2512-8225　勤務先　(株)himeken　担当者　井上次長　
電話080-8633-5691</t>
  </si>
  <si>
    <t>/appsheet/photograph/07011609.在留カード表裏.061233.pdf</t>
  </si>
  <si>
    <t>/appsheet/photograph/07011609.パスポート.063240.pdf</t>
  </si>
  <si>
    <t>07011608</t>
  </si>
  <si>
    <t>/appsheet/photograph/130.写真.jpg</t>
  </si>
  <si>
    <t>ズオン デ タオ</t>
  </si>
  <si>
    <t>DUONG DE THAO</t>
  </si>
  <si>
    <t>デ　タオ</t>
  </si>
  <si>
    <t>4,400
駐車場のみ</t>
  </si>
  <si>
    <t>UH02946324PC</t>
  </si>
  <si>
    <t>寮24.1/9～</t>
  </si>
  <si>
    <t>ﾊﾞｲｸ通勤ﾎﾝﾀﾞDIO 110cc　
第2種の甲）2024.5.21～
2024/09/25車通勤ムーヴ
愛媛581の9211 822301129470
車検2026/03/05保険27/09/07
2025/4/3車両変更愛媛581ひ4257</t>
  </si>
  <si>
    <t>入社時会社から
自転車支給なし</t>
  </si>
  <si>
    <r>
      <rPr>
        <sz val="11"/>
        <color rgb="FF000000"/>
        <rFont val="MS PGothic"/>
        <family val="3"/>
        <charset val="128"/>
      </rPr>
      <t>2024.6.23車の免許取得予定　</t>
    </r>
    <r>
      <rPr>
        <sz val="11"/>
        <color rgb="FFFF0000"/>
        <rFont val="MS PGothic"/>
        <family val="3"/>
        <charset val="128"/>
      </rPr>
      <t>１９ファムティチンの夫</t>
    </r>
    <r>
      <rPr>
        <sz val="11"/>
        <color rgb="FF000000"/>
        <rFont val="MS PGothic"/>
        <family val="3"/>
        <charset val="128"/>
      </rPr>
      <t xml:space="preserve">
ﾊﾞｲｸ通勤届提出済5/2通勤手当5/21～変更（6月分の給料より）
2024.5.2　入社時自身で自転車を持ってきている
2024/09/28ヴィレッジ駐車場契約P1-063　月4,400円実費負担
2024/09/25車通勤届受領
2025/8/4車を買替予定とのこと。車庫証明の件でビレッジの管理人さんへ問合せありとのこと</t>
    </r>
    <r>
      <rPr>
        <sz val="11"/>
        <color rgb="FFFF0000"/>
        <rFont val="MS PGothic"/>
        <family val="3"/>
        <charset val="128"/>
      </rPr>
      <t xml:space="preserve">
</t>
    </r>
    <r>
      <rPr>
        <sz val="11"/>
        <color rgb="FF000000"/>
        <rFont val="MS PGothic"/>
        <family val="3"/>
        <charset val="128"/>
      </rPr>
      <t xml:space="preserve">2025.9.5引越　チン名義で借りる。ビレッジ1-303へ
</t>
    </r>
    <r>
      <rPr>
        <sz val="11"/>
        <color rgb="FFFF0000"/>
        <rFont val="MS PGothic"/>
        <family val="3"/>
        <charset val="128"/>
      </rPr>
      <t>2025/10/31～11/28育児休暇（10/31出産）　2026/1/4まで延長　2026/10/20までは確定
あと1ヶ月育児休暇を延長したいとの申し出（2025/12/26）　202/1/31まで延長
時給は育児休暇のため、￥1038。育児休暇明けに検討するとのこと（専務より）</t>
    </r>
  </si>
  <si>
    <t>/appsheet/photograph/07011608.在留カード表裏.000756.pdf</t>
  </si>
  <si>
    <t>管理表_Files_/07011608.パスポート.000756.pdf</t>
  </si>
  <si>
    <t>07001618</t>
  </si>
  <si>
    <t>/appsheet/photograph/131.写真.225308.jpg</t>
  </si>
  <si>
    <t>グエン タン ロン</t>
  </si>
  <si>
    <t>NGUYEN THANG LONG</t>
  </si>
  <si>
    <t>ロン</t>
  </si>
  <si>
    <t>2030/04</t>
  </si>
  <si>
    <t>和泉北1-20-28アトムスカイマンション404</t>
  </si>
  <si>
    <t>UH94536849PA</t>
  </si>
  <si>
    <r>
      <rPr>
        <sz val="11"/>
        <color theme="1"/>
        <rFont val="MS PGothic"/>
        <family val="3"/>
        <charset val="128"/>
      </rPr>
      <t>7909-202511盗難届済
B-0247909-1593</t>
    </r>
    <r>
      <rPr>
        <sz val="9"/>
        <color theme="1"/>
        <rFont val="MS PGothic"/>
        <family val="3"/>
        <charset val="128"/>
      </rPr>
      <t>鍵回収</t>
    </r>
    <r>
      <rPr>
        <sz val="11"/>
        <color theme="1"/>
        <rFont val="MS PGothic"/>
        <family val="3"/>
        <charset val="128"/>
      </rPr>
      <t xml:space="preserve">
代替B-0246656-1610
2026.4.3　代替自転車も盗難された</t>
    </r>
  </si>
  <si>
    <t>缶詰巻締専門
2024/09/12</t>
  </si>
  <si>
    <t>2025/04/15
2026/05/07</t>
  </si>
  <si>
    <t>2025/05/19
2026/06/08</t>
  </si>
  <si>
    <t>4/15広島→ハノイ
42,000-会社負担
実習終了帰国</t>
  </si>
  <si>
    <t>転職希望（大阪へ）×　中温残る
実習終了→特定技能申請中（2025.5）
2025.4.15～5.19一時帰国
2025.5.28～特定技能1号へ　社員ｺｰﾄﾞ変わる
2025/8/21～家賃20,000-</t>
  </si>
  <si>
    <t>07001619</t>
  </si>
  <si>
    <t>/appsheet/photograph/132.写真.225249.jpg</t>
  </si>
  <si>
    <t>ダオ ヴァン ゴック</t>
  </si>
  <si>
    <t>DAO VAN NGOC</t>
  </si>
  <si>
    <t>ゴック</t>
  </si>
  <si>
    <t>和泉北1-20-28アトムスカイマンション406</t>
  </si>
  <si>
    <t>LJ20876296PC</t>
  </si>
  <si>
    <t>7910
B-0247910-1610</t>
  </si>
  <si>
    <t>N4
2024/12/01</t>
  </si>
  <si>
    <r>
      <rPr>
        <sz val="11"/>
        <color rgb="FF000000"/>
        <rFont val="MS PGothic"/>
        <family val="3"/>
        <charset val="128"/>
      </rPr>
      <t>2025.4/25～6/10一時帰国、2025.6.11～出社</t>
    </r>
    <r>
      <rPr>
        <sz val="11"/>
        <color rgb="FFFF0000"/>
        <rFont val="MS PGothic"/>
        <family val="3"/>
        <charset val="128"/>
      </rPr>
      <t xml:space="preserve">
技能実習２号終了→特定技能１号　中温残る
実習終了後、一時帰国希望　時給1,050以上希望i出産帰国中のタオさんと２人で生活希望(アトムで)
今回の更新については、最低1,000円＋日本語検定2025/8/21～家賃20,000-
2026.1.21引越アトム404→アトム406へ　奥さんタオの入社に合わせて一緒に住む予定
家賃￥22500へ
ゴックの妹が入寮したら、ゴックとタオの家賃を要相談</t>
    </r>
  </si>
  <si>
    <t>/appsheet/photograph/07001619.在留カード表裏.070543.pdf</t>
  </si>
  <si>
    <t>/appsheet/photograph/07001619.通帳.225808.jpg</t>
  </si>
  <si>
    <t>07001620</t>
  </si>
  <si>
    <t>/appsheet/photograph/133.写真.034935.jpg</t>
  </si>
  <si>
    <t>ルオン トゥアン リン</t>
  </si>
  <si>
    <t>LUONG TUAN LINH</t>
  </si>
  <si>
    <t>ルオン</t>
  </si>
  <si>
    <t>和泉北1-20-28アトムスカイマンション506</t>
  </si>
  <si>
    <t>LJ78088029PC</t>
  </si>
  <si>
    <t>7911
B-0247911-1115</t>
  </si>
  <si>
    <t>2025/9/15-2030/4/14</t>
  </si>
  <si>
    <t>技能実習２号終了→特定技能１号　中温残る
実習終了後、一時帰国希望 残業増やしたい
時給1,060以上希望 １人部屋or１人暮希望
ゴックがいる間は2人でOK
ハー ティ タイン アンと結婚
2025/8　一時帰国後、アンと一緒に住む予定（ｱﾄﾑ404→ｱﾄﾑ506へ）8/21～家賃￥22500</t>
  </si>
  <si>
    <t>/appsheet/photograph/07001620.在留カード表裏.070522.pdf</t>
  </si>
  <si>
    <t>/appsheet/photograph/07001620.通帳.073132.jpg</t>
  </si>
  <si>
    <t>07001413</t>
  </si>
  <si>
    <t>/appsheet/photograph/134.写真.035142.jpg</t>
  </si>
  <si>
    <t>レー ティ ガン</t>
  </si>
  <si>
    <t>LE THI NGAN</t>
  </si>
  <si>
    <t>ガン</t>
  </si>
  <si>
    <t>2025/04</t>
  </si>
  <si>
    <t>SA05135148PA</t>
  </si>
  <si>
    <t>7912
B-0247912-1155</t>
  </si>
  <si>
    <t>技能実習２号終了→帰国予定</t>
  </si>
  <si>
    <t>07001414</t>
  </si>
  <si>
    <t>ヴー ティ タオ</t>
  </si>
  <si>
    <t>VU THI THAO</t>
  </si>
  <si>
    <t>ヴータオ</t>
  </si>
  <si>
    <t>SA65528601PA</t>
  </si>
  <si>
    <t>7913-B-0247913</t>
  </si>
  <si>
    <t>妊娠ー出産
帰国費用　66,400
松山→ハノイ</t>
  </si>
  <si>
    <t>出産予定2025/02/25頃
2024/10/15,16,18,19有給　10/17最終出勤
10/20退職10/22退寮
10/22午前中までに給与現金支給</t>
  </si>
  <si>
    <t>07001621</t>
  </si>
  <si>
    <t>/appsheet/photograph/136.写真.234905.jpg</t>
  </si>
  <si>
    <t>ファム ティ フーン</t>
  </si>
  <si>
    <t>PHAM THI PHUONG</t>
  </si>
  <si>
    <t>ファム</t>
  </si>
  <si>
    <t>UH05746279PA</t>
  </si>
  <si>
    <t xml:space="preserve">  　　 23.4/17～2号</t>
  </si>
  <si>
    <t>7914
B-0247914-1017</t>
  </si>
  <si>
    <t>2025/08頃
45日希望</t>
  </si>
  <si>
    <t>実習終了に伴い
会社負担</t>
  </si>
  <si>
    <r>
      <rPr>
        <sz val="11"/>
        <color rgb="FFFF0000"/>
        <rFont val="MS PGothic"/>
        <family val="3"/>
        <charset val="128"/>
      </rPr>
      <t xml:space="preserve">2025.6/26退職、6/24退寮（6/26帰国）
※帰国日に保険証、鍵等返却予定。6月分の家賃等は中四国へ請求。
傷病手当の書類は6月末頃提出予定。
退職日、退寮日保留　宮内工場長の判断で決定予定
保険証原本は傷病手当申請の為、中四国へ渡し
</t>
    </r>
    <r>
      <rPr>
        <sz val="11"/>
        <color rgb="FF000000"/>
        <rFont val="MS PGothic"/>
        <family val="3"/>
        <charset val="128"/>
      </rPr>
      <t>技能実習２号終了→特定技能１号　中温残る
実習終了後、一時帰国希望
１人部屋2DKで希望　3/21妊娠の疑い連絡あり</t>
    </r>
  </si>
  <si>
    <t>07001622</t>
  </si>
  <si>
    <t>/appsheet/photograph/137.写真.035239.jpg</t>
  </si>
  <si>
    <t>ハー ティ タイン アン</t>
  </si>
  <si>
    <t>HA THI THANH AN</t>
  </si>
  <si>
    <t>アン</t>
  </si>
  <si>
    <t>LJ28117156PC</t>
  </si>
  <si>
    <t>7915
B-0247915-1075</t>
  </si>
  <si>
    <t>技能実習２号終了→特定技能１号　中温残る
一時帰国予定なし
１人部屋希望
ルオン トゥアン リンと結婚
2025/8　一時帰国後、ルオンと一緒に住む予定（ｱﾄﾑ402→ｱﾄﾑ506へ）8/21～家賃￥22500</t>
  </si>
  <si>
    <t>/appsheet/photograph/07001622.在留カード表裏.070454.pdf</t>
  </si>
  <si>
    <t>07001623</t>
  </si>
  <si>
    <t>/appsheet/photograph/138.写真.224956.jpg</t>
  </si>
  <si>
    <t>レー ティ ダオ</t>
  </si>
  <si>
    <t>LE THI DAO</t>
  </si>
  <si>
    <t>LJ48606238PC</t>
  </si>
  <si>
    <t>7916
B-0247916-1113</t>
  </si>
  <si>
    <t>技能実習２号終了→特定技能１号　中温残る
実習終了後、一時帰国希望
夫：今治で勤務 2025/8/21～家賃20,000-</t>
  </si>
  <si>
    <t>/appsheet/photograph/07001623.在留カード表裏.070316.pdf</t>
  </si>
  <si>
    <t>07001624</t>
  </si>
  <si>
    <t>/appsheet/photograph/139.写真.035301.jpg</t>
  </si>
  <si>
    <t>チャン ティ タイン タム</t>
  </si>
  <si>
    <t>TRAN THI THANH TAM</t>
  </si>
  <si>
    <t>タインタム</t>
  </si>
  <si>
    <t>LJ85935256PC</t>
  </si>
  <si>
    <t>7917
B-0247917-1618</t>
  </si>
  <si>
    <t xml:space="preserve">技能実習２号終了→特定技能１号　中温残る
実習終了後、一時帰国希望
2025/8/21～家賃20,000-
</t>
  </si>
  <si>
    <t>/appsheet/photograph/07001624.在留カード表裏.070257.pdf</t>
  </si>
  <si>
    <t>07011614</t>
  </si>
  <si>
    <t>/appsheet/photograph/140.写真.042100.jpg</t>
  </si>
  <si>
    <t>ファム ティ フエン チャン</t>
  </si>
  <si>
    <t>PHAM THI HUYEN TRANG</t>
  </si>
  <si>
    <t>フェンチャン</t>
  </si>
  <si>
    <t>2030/03</t>
  </si>
  <si>
    <t>LJ02837417PC</t>
  </si>
  <si>
    <t>自身で購入（ｱｼｽﾄ自転車）
B-0304584
白・銀ﾊﾟﾅｿﾆｯｸ　ﾋﾞﾋﾞDX
7913-B-0227913赤24ｲﾝﾁ</t>
  </si>
  <si>
    <t>一時帰国</t>
  </si>
  <si>
    <t>実習終了に伴い会社負担</t>
  </si>
  <si>
    <t>2025/8/１～2030/3/31</t>
  </si>
  <si>
    <r>
      <rPr>
        <sz val="11"/>
        <color rgb="FF000000"/>
        <rFont val="MS PGothic"/>
        <family val="3"/>
        <charset val="128"/>
      </rPr>
      <t xml:space="preserve">24.3.21～ﾁｭｵﾝﾃｨﾄｩｰと同部屋へ引越。家賃は同じ
2025/04特定技能申請、実習終了に伴い2025/06頃一時帰国予定　日程は調整40日程度が妥当
2025/5/11コーポ津吉よりビレッジへ引越
</t>
    </r>
    <r>
      <rPr>
        <sz val="11"/>
        <color rgb="FFFF0000"/>
        <rFont val="MS PGothic"/>
        <family val="3"/>
        <charset val="128"/>
      </rPr>
      <t>2026/1/30～3/10一時帰国　在留カード更新が4/15期限
の為、帰国後3/12頃申請予定</t>
    </r>
  </si>
  <si>
    <t>/appsheet/photograph/07011614.在留カード表裏.055615.pdf</t>
  </si>
  <si>
    <t>/appsheet/photograph/07011614.パスポート.055615.pdf</t>
  </si>
  <si>
    <t>07011410</t>
  </si>
  <si>
    <t>グエン ティ キム クオン</t>
  </si>
  <si>
    <t>NGUYEN THI KIM CUONG</t>
  </si>
  <si>
    <t>クオン</t>
  </si>
  <si>
    <t>SA06041117PA</t>
  </si>
  <si>
    <r>
      <rPr>
        <sz val="11"/>
        <color rgb="FFFF0000"/>
        <rFont val="MS PGothic"/>
        <family val="3"/>
        <charset val="128"/>
      </rPr>
      <t>7914-B-0227914赤24ｲﾝﾁ</t>
    </r>
    <r>
      <rPr>
        <sz val="11"/>
        <color theme="1"/>
        <rFont val="MS PGothic"/>
        <family val="3"/>
        <charset val="128"/>
      </rPr>
      <t xml:space="preserve">
通勤、買い物も会社支給
の自転車使用</t>
    </r>
  </si>
  <si>
    <t>2025/04、実習２号終了に伴い帰国希望</t>
  </si>
  <si>
    <t>07011411</t>
  </si>
  <si>
    <t>チュオン ティ トゥー</t>
  </si>
  <si>
    <t>TRUONG THI THU</t>
  </si>
  <si>
    <t>ティトゥー</t>
  </si>
  <si>
    <t>SA61215380PA</t>
  </si>
  <si>
    <t>ｱｼｽﾄ自転車
B-0266736
白・銀　ﾀｹﾀﾞ403　SUISUI
車体番号OFS21120215
B-0128655</t>
  </si>
  <si>
    <t>07001626</t>
  </si>
  <si>
    <t>/appsheet/photograph/143.写真.035108.jpg</t>
  </si>
  <si>
    <t>グエン ティ ホン</t>
  </si>
  <si>
    <t>NGUYEN THI HONG</t>
  </si>
  <si>
    <t>ホン</t>
  </si>
  <si>
    <t>LJ30488010PC</t>
  </si>
  <si>
    <t>7918
B-0247918-1761</t>
  </si>
  <si>
    <t>2025.4.21技能実習２号終了→特定技能１号　中温残る
実習終了後、一時帰国希望
ホーチミン　有給使用
協同物産→中温へ転籍</t>
  </si>
  <si>
    <t>/appsheet/photograph/07001626.在留カード表裏.070228.pdf</t>
  </si>
  <si>
    <t>07001627</t>
  </si>
  <si>
    <t>/appsheet/photograph/144.写真.234710.jpg</t>
  </si>
  <si>
    <t>ダン ティ トゥエット</t>
  </si>
  <si>
    <t>DANG THI TUYET</t>
  </si>
  <si>
    <t>トゥエット</t>
  </si>
  <si>
    <t>UH70226708PA</t>
  </si>
  <si>
    <t xml:space="preserve">  　　 23.4/21～2号</t>
  </si>
  <si>
    <t>7919
B-0247919-1084</t>
  </si>
  <si>
    <t>2026/01/24</t>
  </si>
  <si>
    <t>N3　
2023.12.3合格</t>
  </si>
  <si>
    <t>家庭の事情により
退職・帰国
最終帰国費用本人負担</t>
  </si>
  <si>
    <r>
      <rPr>
        <sz val="10"/>
        <color rgb="FF000000"/>
        <rFont val="MS PGothic"/>
        <family val="3"/>
        <charset val="128"/>
      </rPr>
      <t>2025.4.21技能実習２号終了→特定技能１号　中温残る
実習終了後、一時帰国希望
彼：大阪（金属加工実習生2号）
2026.1.27一時帰国または退職（完全帰国）宮内工場長より2025.12.19
2025/12/25～2026/1/3大阪へ旅行。</t>
    </r>
    <r>
      <rPr>
        <sz val="10"/>
        <color rgb="FFFF0000"/>
        <rFont val="MS PGothic"/>
        <family val="3"/>
        <charset val="128"/>
      </rPr>
      <t xml:space="preserve">
2026/1/24退職、1/24給料現金払い
※最終出勤日1/19（1/20～1/24有給使用）
、1/25退寮（1/27大阪発）チケットは自分で取る
帰りの飛行機代は会社負担になるのか、宮内工場長より確認してほしいとのこと。</t>
    </r>
  </si>
  <si>
    <t>07001625</t>
  </si>
  <si>
    <t>/appsheet/photograph/145.写真.224740.jpg</t>
  </si>
  <si>
    <t>クアン ティ ハー</t>
  </si>
  <si>
    <t>QUAN THI HA</t>
  </si>
  <si>
    <t>ハー</t>
  </si>
  <si>
    <t>相3</t>
  </si>
  <si>
    <t>LJ12119790PC</t>
  </si>
  <si>
    <t>7920
B-0247920-1767</t>
  </si>
  <si>
    <r>
      <rPr>
        <sz val="11"/>
        <color theme="1"/>
        <rFont val="MS PGothic"/>
        <family val="3"/>
        <charset val="128"/>
      </rPr>
      <t xml:space="preserve">2025/04/25
</t>
    </r>
    <r>
      <rPr>
        <sz val="11"/>
        <color rgb="FFFF0000"/>
        <rFont val="MS PGothic"/>
        <family val="3"/>
        <charset val="128"/>
      </rPr>
      <t>2026/02/14</t>
    </r>
  </si>
  <si>
    <r>
      <rPr>
        <sz val="11"/>
        <color theme="1"/>
        <rFont val="MS PGothic"/>
        <family val="3"/>
        <charset val="128"/>
      </rPr>
      <t xml:space="preserve">2025/06/10
</t>
    </r>
    <r>
      <rPr>
        <sz val="11"/>
        <color rgb="FFFF0000"/>
        <rFont val="MS PGothic"/>
        <family val="3"/>
        <charset val="128"/>
      </rPr>
      <t>2026/03/14</t>
    </r>
  </si>
  <si>
    <t>2025/8/1～2030/3/31</t>
  </si>
  <si>
    <t>2025.4.21技能実習２号終了→特定技能１号　中温残る
実習終了後、一時帰国希望
協同物産→中温へ転籍</t>
  </si>
  <si>
    <t>08004401</t>
  </si>
  <si>
    <t>/appsheet/photograph/146.写真.035436.jpg</t>
  </si>
  <si>
    <t>チン グエン ザー ハン</t>
  </si>
  <si>
    <t>TRINH NGUYEN GIA HAN</t>
  </si>
  <si>
    <t>関東食肉</t>
  </si>
  <si>
    <t>2026/05</t>
  </si>
  <si>
    <t>和泉北1-20-28アトムスカイマンション602</t>
  </si>
  <si>
    <t>UH53838943PC</t>
  </si>
  <si>
    <t>2319
B-029656-X199</t>
  </si>
  <si>
    <t>実習2号終了で
転職</t>
  </si>
  <si>
    <t>2024.5.9～実習2号へ</t>
  </si>
  <si>
    <t>/appsheet/photograph/08004401.パスポート.020522.pdf</t>
  </si>
  <si>
    <t>/appsheet/photograph/08004401.その他１（ファイル）.000152.pdf</t>
  </si>
  <si>
    <t>08004402</t>
  </si>
  <si>
    <t>/appsheet/photograph/147.写真.035209.jpg</t>
  </si>
  <si>
    <t>グエン タオ ヴァン</t>
  </si>
  <si>
    <t>NGUYEN THAO VAN</t>
  </si>
  <si>
    <t>UH17624448PC</t>
  </si>
  <si>
    <t>2320
B-0296569-X020</t>
  </si>
  <si>
    <t>実習終了に伴う
一時帰国71,965
広島＝ハノイ</t>
  </si>
  <si>
    <t>-</t>
  </si>
  <si>
    <t>/appsheet/photograph/08004402.パスポート.072753.pdf</t>
  </si>
  <si>
    <t>/appsheet/photograph/08004402.その他１（写真）.230141.jpg</t>
  </si>
  <si>
    <t>08004403</t>
  </si>
  <si>
    <t>/appsheet/photograph/148.写真.234804.jpg</t>
  </si>
  <si>
    <t>グエン ティ チュク アイン</t>
  </si>
  <si>
    <t>NGUYEN THI CHUC ANH</t>
  </si>
  <si>
    <t>UH57268708PC</t>
  </si>
  <si>
    <t>2321
B-0296571-X136</t>
  </si>
  <si>
    <t>帰国費用　広島⇔ハノイ　72,317-</t>
  </si>
  <si>
    <t>/appsheet/photograph/08004403.その他１（ファイル）.082059.pdf</t>
  </si>
  <si>
    <t>08004404</t>
  </si>
  <si>
    <t>/appsheet/photograph/149.写真.235041.jpg</t>
  </si>
  <si>
    <t>チン ホアイ チャン</t>
  </si>
  <si>
    <t>TRINH HOAI TRANG</t>
  </si>
  <si>
    <t>ホアイ</t>
  </si>
  <si>
    <t>UH49506118PC</t>
  </si>
  <si>
    <t>2322
B-0296569-X027</t>
  </si>
  <si>
    <t>関空→ダナン5/18発 86,810円</t>
  </si>
  <si>
    <t>/appsheet/photograph/08004404.パスポート.061413.pdf</t>
  </si>
  <si>
    <t>/appsheet/photograph/08004404.その他１（ファイル）.000243.pdf</t>
  </si>
  <si>
    <t>/appsheet/photograph/08004404.その他２（ファイル）.073100.pdf</t>
  </si>
  <si>
    <t>08004405</t>
  </si>
  <si>
    <t>/appsheet/photograph/150.写真.235006.jpg</t>
  </si>
  <si>
    <t>ファム ターイ フォン ウエン</t>
  </si>
  <si>
    <t>PHAM THAI PHUONG UYEN</t>
  </si>
  <si>
    <t>ウエン</t>
  </si>
  <si>
    <t>UH45355402PC</t>
  </si>
  <si>
    <t>2323
B-0296573-V126</t>
  </si>
  <si>
    <t>広島　⇔ハノイ　68,114- ベトジェット</t>
  </si>
  <si>
    <t>/appsheet/photograph/08004405.パスポート.055127.pdf</t>
  </si>
  <si>
    <t>08004406</t>
  </si>
  <si>
    <t>/appsheet/photograph/151.写真.235007.jpg</t>
  </si>
  <si>
    <t>カオ ティ チャン</t>
  </si>
  <si>
    <t>CAO THI TRANG</t>
  </si>
  <si>
    <t>カオ</t>
  </si>
  <si>
    <t>UH94767631PC</t>
  </si>
  <si>
    <t>2324パンクにより回収
B-0296570-X079
2025/12/25変更
B-0287451-V177</t>
  </si>
  <si>
    <t>N4
2025.8.12合格</t>
  </si>
  <si>
    <t>2024.5.9～実習2号へ 実習終了に伴う一時帰国2026/08/11～9/24広島⇔ハノイ75,816-</t>
  </si>
  <si>
    <t>/appsheet/photograph/08004406.パスポート.061316.pdf</t>
  </si>
  <si>
    <t>/appsheet/photograph/08004406.その他１（ファイル）.042941.pdf</t>
  </si>
  <si>
    <t>18001401</t>
  </si>
  <si>
    <t>/appsheet/photograph/小栗_ズエン_20240426.jpg</t>
  </si>
  <si>
    <t>グエン ティ ホン ズエン</t>
  </si>
  <si>
    <t>NGUYEN THI HONG DUYEN</t>
  </si>
  <si>
    <t>ズエン</t>
  </si>
  <si>
    <t>2026/07</t>
  </si>
  <si>
    <t>UH52998254EA</t>
  </si>
  <si>
    <t>2326-B-0302681</t>
  </si>
  <si>
    <t>缶詰巻締初級
2024.3.7</t>
  </si>
  <si>
    <r>
      <rPr>
        <sz val="11"/>
        <color rgb="FF000000"/>
        <rFont val="MS PGothic"/>
        <family val="3"/>
        <charset val="128"/>
      </rPr>
      <t xml:space="preserve">2024.7.21～実習1号→2号へ
パスポートと在留カード中四国預かり2025.5.16
</t>
    </r>
    <r>
      <rPr>
        <sz val="11"/>
        <color rgb="FFFF0000"/>
        <rFont val="MS PGothic"/>
        <family val="3"/>
        <charset val="128"/>
      </rPr>
      <t>2026.7月の実習2号終了で退職（帰国）予定
1ヶ月前に帰国を希望</t>
    </r>
  </si>
  <si>
    <t>/appsheet/photograph/18001401.その他１（ファイル）.073815.23　広島→ハノイ　NGUYEN THI HONG DUYEN様).pdf</t>
  </si>
  <si>
    <t>18001402</t>
  </si>
  <si>
    <t>/appsheet/photograph/小栗_フオン_20240426.jpg</t>
  </si>
  <si>
    <t>グエン ティ フオン</t>
  </si>
  <si>
    <t xml:space="preserve">NGUYEN THI HUONG </t>
  </si>
  <si>
    <t>フオン</t>
  </si>
  <si>
    <t>UH07639317EA</t>
  </si>
  <si>
    <t>2327-B-0302680</t>
  </si>
  <si>
    <t>2024.7.21～実習1号→2号へ
パスポートと在留カード中四国預かり2025.5.16</t>
  </si>
  <si>
    <t>/appsheet/photograph/18001402.パスポート.072833.pdf</t>
  </si>
  <si>
    <t>07001608
07007700</t>
  </si>
  <si>
    <t>/appsheet/photograph/154.写真.225227.jpg</t>
  </si>
  <si>
    <t>グエン タイン チュン</t>
  </si>
  <si>
    <t>NGUYEN THANH TRUNG</t>
  </si>
  <si>
    <t>チュン</t>
  </si>
  <si>
    <t>2026/01</t>
  </si>
  <si>
    <t>UH75026157PC</t>
  </si>
  <si>
    <t>2325-B-0302682</t>
  </si>
  <si>
    <t>源泉徴収</t>
  </si>
  <si>
    <r>
      <rPr>
        <sz val="11"/>
        <color theme="1"/>
        <rFont val="MS PGothic"/>
        <family val="3"/>
        <charset val="128"/>
      </rPr>
      <t xml:space="preserve">2023/12/11
</t>
    </r>
    <r>
      <rPr>
        <sz val="11"/>
        <color rgb="FFFF0000"/>
        <rFont val="MS PGothic"/>
        <family val="3"/>
        <charset val="128"/>
      </rPr>
      <t>2026/04/22</t>
    </r>
  </si>
  <si>
    <r>
      <rPr>
        <sz val="11"/>
        <color theme="1"/>
        <rFont val="MS PGothic"/>
        <family val="3"/>
        <charset val="128"/>
      </rPr>
      <t xml:space="preserve">2024/01/20
</t>
    </r>
    <r>
      <rPr>
        <sz val="11"/>
        <color rgb="FFFF0000"/>
        <rFont val="MS PGothic"/>
        <family val="3"/>
        <charset val="128"/>
      </rPr>
      <t>2026/06/10</t>
    </r>
  </si>
  <si>
    <t>2025/8/1～2025/12/31
　　2号移行時解約済</t>
  </si>
  <si>
    <r>
      <rPr>
        <sz val="11"/>
        <color rgb="FF000000"/>
        <rFont val="MS PGothic"/>
        <family val="3"/>
        <charset val="128"/>
      </rPr>
      <t xml:space="preserve">特定技能1号期間更新中　24.7.11
23.12/11一時退職　23.12/11～1/20一時帰国
2025/09/11～特定技能１号
特定2号を受験する場合、1号を1年間延長可能。
2025/12/21～特定2号へ資格変更予定
2025/12/15　特定2号へ移行完了
</t>
    </r>
    <r>
      <rPr>
        <sz val="11"/>
        <color rgb="FFFF0000"/>
        <rFont val="MS PGothic"/>
        <family val="3"/>
        <charset val="128"/>
      </rPr>
      <t>2026/4/22～6/10一時帰国（育休）</t>
    </r>
  </si>
  <si>
    <t>/appsheet/photograph/07001608.在留カード表裏.082310.pdf</t>
  </si>
  <si>
    <t>管理表_Files_/07001608.パスポート.070219.pdf</t>
  </si>
  <si>
    <t>07012617</t>
  </si>
  <si>
    <t>ドー ティ ミン タム</t>
  </si>
  <si>
    <t>DO THI MINH TAM</t>
  </si>
  <si>
    <t>2029/02</t>
  </si>
  <si>
    <t>SA29212122EA</t>
  </si>
  <si>
    <t>3780-B-0233780
青26ｲﾝﾁ→ドゥへ</t>
  </si>
  <si>
    <r>
      <rPr>
        <sz val="10"/>
        <color rgb="FFFF0000"/>
        <rFont val="MS PGothic"/>
        <family val="3"/>
        <charset val="128"/>
      </rPr>
      <t>24.7.20退職　</t>
    </r>
    <r>
      <rPr>
        <sz val="10"/>
        <color rgb="FF000000"/>
        <rFont val="MS PGothic"/>
        <family val="3"/>
        <charset val="128"/>
      </rPr>
      <t>24.7.20退寮</t>
    </r>
    <r>
      <rPr>
        <sz val="10"/>
        <color rgb="FFFF0000"/>
        <rFont val="MS PGothic"/>
        <family val="3"/>
        <charset val="128"/>
      </rPr>
      <t xml:space="preserve">
</t>
    </r>
    <r>
      <rPr>
        <sz val="10"/>
        <color rgb="FF000000"/>
        <rFont val="MS PGothic"/>
        <family val="3"/>
        <charset val="128"/>
      </rPr>
      <t>24.7.28付で退職希望とのこと（7/1ﾃﾞﾙﾀより）
24.3.18入寮</t>
    </r>
  </si>
  <si>
    <t>07011610</t>
  </si>
  <si>
    <t>/appsheet/photograph/156.写真.035952.jpg</t>
  </si>
  <si>
    <t>ファム ティ イエン</t>
  </si>
  <si>
    <t>PHAM THI YEN</t>
  </si>
  <si>
    <t>イエン</t>
  </si>
  <si>
    <t>チン名義で
借りている</t>
  </si>
  <si>
    <t>LJ33663416PC</t>
  </si>
  <si>
    <t>2202-V183
通勤、買い物も会社支給
の自転車使用</t>
  </si>
  <si>
    <t>2025/8/1～2029/2/28</t>
  </si>
  <si>
    <t>2024/09/25コーポ津吉1-6よりビレッジ2-503へ引越→通勤届済 3/11～3/26一時帰国を変更
2025/09/05引越　ビレッジ1-303へ（チン名義で借りる）
2025/10/21～バイク通勤へ。通勤届提出待ち
10/24通勤届一式提出済
2026/3/1～家の建築のため一時帰国したい申出。新開工場長へ報告済みだが、本人より伝えるよう伝える。</t>
  </si>
  <si>
    <t>/appsheet/photograph/07011610.在留カード表裏.061617.pdf</t>
  </si>
  <si>
    <t>/appsheet/photograph/07011610.パスポート.063907.pdf</t>
  </si>
  <si>
    <t>07012618</t>
  </si>
  <si>
    <t>グェン ティ タン ヴィ</t>
  </si>
  <si>
    <t>NGUYEN THI THANH VY</t>
  </si>
  <si>
    <t>ヴィ</t>
  </si>
  <si>
    <t>SA35789627EA</t>
  </si>
  <si>
    <t>3815-B-0233815
シルバー26ｲﾝﾁ
シールC2407ハクへ変更</t>
  </si>
  <si>
    <r>
      <rPr>
        <sz val="11"/>
        <color theme="1"/>
        <rFont val="MS PGothic"/>
        <family val="3"/>
        <charset val="128"/>
      </rPr>
      <t xml:space="preserve">N3
</t>
    </r>
    <r>
      <rPr>
        <sz val="9"/>
        <color theme="1"/>
        <rFont val="MS PGothic"/>
        <family val="3"/>
        <charset val="128"/>
      </rPr>
      <t>2024.3.21入社時あり</t>
    </r>
  </si>
  <si>
    <r>
      <rPr>
        <sz val="10"/>
        <color rgb="FFFF0000"/>
        <rFont val="MS PGothic"/>
        <family val="3"/>
        <charset val="128"/>
      </rPr>
      <t>24.7.20退職</t>
    </r>
    <r>
      <rPr>
        <sz val="10"/>
        <color rgb="FF000000"/>
        <rFont val="MS PGothic"/>
        <family val="3"/>
        <charset val="128"/>
      </rPr>
      <t>　24.7.20退寮</t>
    </r>
    <r>
      <rPr>
        <sz val="10"/>
        <color rgb="FFFF0000"/>
        <rFont val="MS PGothic"/>
        <family val="3"/>
        <charset val="128"/>
      </rPr>
      <t xml:space="preserve">
</t>
    </r>
    <r>
      <rPr>
        <sz val="10"/>
        <color rgb="FF000000"/>
        <rFont val="MS PGothic"/>
        <family val="3"/>
        <charset val="128"/>
      </rPr>
      <t>24.7.28付で退職希望とのこと（7/1ﾃﾞﾙﾀより）
24.3.18入寮</t>
    </r>
  </si>
  <si>
    <t>07013665</t>
  </si>
  <si>
    <t>/appsheet/photograph/158.写真.032006.jpg</t>
  </si>
  <si>
    <t>アイナセプティハプサリデウィ</t>
  </si>
  <si>
    <t>AINA SEPTI HAPSARI DEWI</t>
  </si>
  <si>
    <t>松山市上野町774番地ビレッジハウス松山上野2-502</t>
  </si>
  <si>
    <t>LJ73076722PC</t>
  </si>
  <si>
    <t>2401-Ｂ－0325672</t>
  </si>
  <si>
    <t>N3　2025/12</t>
  </si>
  <si>
    <t>2025/6/1～2029/3/31</t>
  </si>
  <si>
    <r>
      <rPr>
        <sz val="11"/>
        <color theme="1"/>
        <rFont val="MS PGothic"/>
        <family val="3"/>
        <charset val="128"/>
      </rPr>
      <t xml:space="preserve">2025/3/29～大部屋→1号館別棟1人部屋へ　家賃15,000-へ変更
</t>
    </r>
    <r>
      <rPr>
        <sz val="11"/>
        <color rgb="FFFF0000"/>
        <rFont val="MS PGothic"/>
        <family val="3"/>
        <charset val="128"/>
      </rPr>
      <t>2025.6.20引越　牛渕170-3→ﾋﾞﾚｯｼﾞ2-502へ</t>
    </r>
  </si>
  <si>
    <t>/appsheet/photograph/07013665.在留カード表裏.070728.pdf</t>
  </si>
  <si>
    <t>/appsheet/photograph/07013665.通帳.062714.jpg</t>
  </si>
  <si>
    <t>/appsheet/photograph/07013665.保険証.062714.jpg</t>
  </si>
  <si>
    <t>07013666</t>
  </si>
  <si>
    <t>/appsheet/photograph/159.写真.025829.jpg</t>
  </si>
  <si>
    <t>サラーナズアファヒラ</t>
  </si>
  <si>
    <t>SARAH NAZWA FAHIRA</t>
  </si>
  <si>
    <t>サラー</t>
  </si>
  <si>
    <t>LJ42309804PC</t>
  </si>
  <si>
    <t>2403-Ｂ－0325671</t>
  </si>
  <si>
    <t>2025/6/1～2029/３/31</t>
  </si>
  <si>
    <r>
      <rPr>
        <sz val="11"/>
        <color rgb="FFFF0000"/>
        <rFont val="MS PGothic"/>
        <family val="3"/>
        <charset val="128"/>
      </rPr>
      <t>カナ表記相違との連絡あり　誤）ワ→正）ア（4/4H&amp;Cより）</t>
    </r>
    <r>
      <rPr>
        <sz val="11"/>
        <color theme="1"/>
        <rFont val="MS PGothic"/>
        <family val="3"/>
        <charset val="128"/>
      </rPr>
      <t xml:space="preserve">
24.3.22入寮（3/22-3/29までﾋﾞﾚｯｼﾞで待機）3/30に牛渕へ引越済
2025/3/29～大部屋→1号館別棟1人部屋へ　家賃15,000-へ変更
</t>
    </r>
    <r>
      <rPr>
        <sz val="11"/>
        <color rgb="FFFF0000"/>
        <rFont val="MS PGothic"/>
        <family val="3"/>
        <charset val="128"/>
      </rPr>
      <t>2025/06/20引越　牛渕170-3→ﾋﾞﾚｯｼﾞ2-502へ</t>
    </r>
  </si>
  <si>
    <t>/appsheet/photograph/07013666.在留カード表裏.070706.pdf</t>
  </si>
  <si>
    <t>/appsheet/photograph/07013666.通帳.011347.jpg</t>
  </si>
  <si>
    <t>07013667</t>
  </si>
  <si>
    <t>/appsheet/photograph/160.写真.032301.jpg</t>
  </si>
  <si>
    <t>ユナンダ ムルニアシー</t>
  </si>
  <si>
    <t>YUNANDA MURNIASIH</t>
  </si>
  <si>
    <t>ユナンダ</t>
  </si>
  <si>
    <t>LJ26674986PC</t>
  </si>
  <si>
    <t>2402-Ｂ－0325673</t>
  </si>
  <si>
    <r>
      <rPr>
        <sz val="11"/>
        <color theme="1"/>
        <rFont val="MS PGothic"/>
        <family val="3"/>
        <charset val="128"/>
      </rPr>
      <t xml:space="preserve">24.3.22入寮（3/22-3/29までﾋﾞﾚｯｼﾞで待機）3/30に牛渕170-3へ引越済
名前の読み方確認中（H&amp;Cへ確認済4/17）
2025/3/29～大部屋→1号館1人部屋へ　家賃15,000-へ変更
ﾋﾞﾚｯｼﾞへ引越希望2025.5.16
</t>
    </r>
    <r>
      <rPr>
        <sz val="11"/>
        <color rgb="FFFF0000"/>
        <rFont val="MS PGothic"/>
        <family val="3"/>
        <charset val="128"/>
      </rPr>
      <t>2025.6.20引越　牛渕170-3→ﾋﾞﾚｯｼﾞ3-501へ</t>
    </r>
  </si>
  <si>
    <t>/appsheet/photograph/07013667.在留カード表裏.070635.pdf</t>
  </si>
  <si>
    <t>/appsheet/photograph/07013667.通帳.074501.jpg</t>
  </si>
  <si>
    <t>07013668</t>
  </si>
  <si>
    <t>/appsheet/photograph/161.写真.031059.jpg</t>
  </si>
  <si>
    <t>ムハマドアロフィハルディアント</t>
  </si>
  <si>
    <t>MUHAMAD ARROOFI HARDIANTO</t>
  </si>
  <si>
    <t>アロフィ</t>
  </si>
  <si>
    <t>松山市上野町774番地ビレッジハウス松山上野4-507</t>
  </si>
  <si>
    <t>UH34980565PC</t>
  </si>
  <si>
    <t>2404
Ｂ－0325670-V057</t>
  </si>
  <si>
    <t xml:space="preserve">
解約2025/10/31付
〇</t>
  </si>
  <si>
    <r>
      <rPr>
        <sz val="11"/>
        <color theme="1"/>
        <rFont val="MS PGothic"/>
        <family val="3"/>
        <charset val="128"/>
      </rPr>
      <t xml:space="preserve">24.3.22入寮
2024.5月　欠勤が多いため、新開工場長と面談済。H&amp;C
三好さんへ伝えた（6/14）
</t>
    </r>
    <r>
      <rPr>
        <sz val="11"/>
        <color rgb="FFFF0000"/>
        <rFont val="MS PGothic"/>
        <family val="3"/>
        <charset val="128"/>
      </rPr>
      <t>2025/10/20退職　11/5頃退寮　10/31現金払い。特定1号保険2025/10/31付解約　11/4本人へ現金払い（会社立替）⇒後日会社へ解約返戻金は振込予定。</t>
    </r>
  </si>
  <si>
    <t>管理表_Images/07013668.パスポート.025634.jpg</t>
  </si>
  <si>
    <t>07013669</t>
  </si>
  <si>
    <t>/appsheet/photograph/162.写真.031335.jpg</t>
  </si>
  <si>
    <t>アプリヨノ</t>
  </si>
  <si>
    <t>APRILIYONO</t>
  </si>
  <si>
    <t>LJ18840473PC</t>
  </si>
  <si>
    <t>2405-Ｂ－0325669</t>
  </si>
  <si>
    <t>2024.5.8引越ﾋﾞﾚｯｼﾞﾊｳｽ4-507→ﾋﾞﾚｯｼﾞﾊｳｽ3-508へ
24.3.22入寮予定⇒ｲﾝﾌﾙｴﾝｻﾞの為、ﾋﾞｼﾞﾈｽﾎﾃﾙ
で待機後3/26～入寮
N3手当2025.9月給料～￥5000
2026/5/2～6/2まで一時帰国予定。新開工場長へ
許可をもらったとのこと。チケット送付依頼</t>
  </si>
  <si>
    <t>/appsheet/photograph/07013669.在留カード表裏.070606.pdf</t>
  </si>
  <si>
    <t>07011612</t>
  </si>
  <si>
    <t>/appsheet/photograph/163.写真.032456.jpg</t>
  </si>
  <si>
    <t>ホアン ティ ハン</t>
  </si>
  <si>
    <t>2029/03</t>
  </si>
  <si>
    <t>LJ41076546PC</t>
  </si>
  <si>
    <t>2406-B-0274807
シルバー26ｲﾝﾁABELIA
買い物はｱｼｽﾄ自転車
茶　ﾔﾏﾊ　ﾊﾟｽwith
B-0175328</t>
  </si>
  <si>
    <t>2025/8/1～2029/3/31</t>
  </si>
  <si>
    <r>
      <rPr>
        <sz val="11"/>
        <color rgb="FF000000"/>
        <rFont val="MS PGothic"/>
        <family val="3"/>
        <charset val="128"/>
      </rPr>
      <t xml:space="preserve">元ポエム　2024.4.4入寮
</t>
    </r>
    <r>
      <rPr>
        <sz val="11"/>
        <color rgb="FFFF0000"/>
        <rFont val="MS PGothic"/>
        <family val="3"/>
        <charset val="128"/>
      </rPr>
      <t>2026.1月　特定2号受験予定</t>
    </r>
  </si>
  <si>
    <t>/appsheet/photograph/07011612.在留カード表裏.062053.pdf</t>
  </si>
  <si>
    <t>/appsheet/photograph/07011612.パスポート.062053.pdf</t>
  </si>
  <si>
    <t>07013670</t>
  </si>
  <si>
    <t>ノペンシウス ジュリエアント</t>
  </si>
  <si>
    <t>NOPENSIUS JULIEANTO</t>
  </si>
  <si>
    <t>ノペン</t>
  </si>
  <si>
    <t>SA30339787PC</t>
  </si>
  <si>
    <t xml:space="preserve">6674ご自身で手配
Ｂ－0246674-1678
前の職場の物
</t>
  </si>
  <si>
    <t>N4</t>
  </si>
  <si>
    <t>転職
残業多いため帰国後転職</t>
  </si>
  <si>
    <t>2024.2月に入寮→一時帰国→4/16再入寮。入社
まではH&amp;Cが寮費負担入社日～本人請求。入社日から自転車保険加入。ﾚｽﾄｩｸﾞﾒﾗｰの紹介
2024/12/25H&amp;C三好さんより1/末退職申出
残業が多いため帰国しゆっくりするとのこと</t>
  </si>
  <si>
    <t>07001615</t>
  </si>
  <si>
    <t>/appsheet/photograph/165.写真.033056.jpg</t>
  </si>
  <si>
    <t>チャン ティ アイン</t>
  </si>
  <si>
    <t>TRAN THI ANH</t>
  </si>
  <si>
    <t>チャンアイン</t>
  </si>
  <si>
    <t>UH01995596PA</t>
  </si>
  <si>
    <t>C2406-愛媛県B-0337625
2024/09/09合鍵渡す（在庫0)</t>
  </si>
  <si>
    <t>2024.6.25入寮　ダットの奥さん　夫婦で一緒に住む</t>
  </si>
  <si>
    <t>/appsheet/photograph/07001615.在留カード表裏.064027.pdf</t>
  </si>
  <si>
    <t>07012620</t>
  </si>
  <si>
    <t>グエン ティ グエン</t>
  </si>
  <si>
    <t>NGUYEN THI NGUYEN</t>
  </si>
  <si>
    <t>SA06107106MA</t>
  </si>
  <si>
    <t>C2408中古</t>
  </si>
  <si>
    <t>N3
2024.6入社時</t>
  </si>
  <si>
    <t>旦那が永住取得
旦那のところへ</t>
  </si>
  <si>
    <t>手袋をしてなくて手を切った⇒労災　24.7
当初2025/5/8退職5/9退寮だったが、5/1に旦那の埼玉へ行き愛媛に帰ってこないため4/30退職へ変更
源泉徴収票、離職票渡し2025.6</t>
  </si>
  <si>
    <t>07012619</t>
  </si>
  <si>
    <t>/appsheet/photograph/167.写真.031347.jpg</t>
  </si>
  <si>
    <t>ズオン ゴク ハン</t>
  </si>
  <si>
    <t>DUONG NGOC HAN</t>
  </si>
  <si>
    <t>松山市上野町774番地ビレッジハウス松山上野1-402</t>
  </si>
  <si>
    <t>ご主人名義で
借りている</t>
  </si>
  <si>
    <t>UH40165047EA</t>
  </si>
  <si>
    <t>C2409中古</t>
  </si>
  <si>
    <t>2024.7.2入居 住まいはご主人名義で借り、一緒に住む
夫：ﾁｴｳ ﾋｴｳ ﾊﾞﾝさん 勤務先：四国ｼｷｼﾏﾊﾟﾝ
（砥部）962-4111 ﾌﾞｲﾃｨﾚｰの友人</t>
  </si>
  <si>
    <t>07013671</t>
  </si>
  <si>
    <t>/appsheet/photograph/IDPhoto_20250328_168_アエプ サエプル ハク.jpg</t>
  </si>
  <si>
    <t>アエプ サエプル ハク</t>
  </si>
  <si>
    <t>AEP SAEPUL HAK</t>
  </si>
  <si>
    <t>ハク</t>
  </si>
  <si>
    <t>UH98261164PC</t>
  </si>
  <si>
    <t>C2407-
B-0233815</t>
  </si>
  <si>
    <t>N3 2017/12
N2 2025/07</t>
  </si>
  <si>
    <t xml:space="preserve">2022/03/09-
特定活動
2023/03/03-
特定技能１号
</t>
  </si>
  <si>
    <t>2025/6/１～2027/3/31</t>
  </si>
  <si>
    <r>
      <rPr>
        <sz val="11"/>
        <color rgb="FFFF0000"/>
        <rFont val="MS PGothic"/>
        <family val="3"/>
        <charset val="128"/>
      </rPr>
      <t xml:space="preserve">2025.9.29住所変更済。
2025.9.21引越　ビレッジ4-501→2-503へ　家賃￥20000へ
掃除は自分でする
2025.7.25　ﾊｸよりﾘﾝﾀﾞが入社したら一緒に住みたいが、その前に繁忙期に入る前の9～10月頃に先に引越し1人で住みたいとのこと。ビレッジの空きがなければ自分で物件は探すが契約以降はお願いしたいとのこと。（ﾋﾞﾚｯｼﾞ4-508空き予定）
</t>
    </r>
    <r>
      <rPr>
        <sz val="11"/>
        <color rgb="FF000000"/>
        <rFont val="MS PGothic"/>
        <family val="3"/>
        <charset val="128"/>
      </rPr>
      <t>2025.7　一時帰国希望。新開工場長へ相談するよう伝えた⇒帰国キャンセル（7/25確認済）2026年に2号が受かったら帰国を考えているとのこと
リンダのご主人（6月に結婚）　静岡で介護職→退職しﾋﾞﾚｯｼﾞへ
入居中3/28→一時帰国し8月入社予定　24.4/30入寮予定
4-507よりリンダと4-501へ2024/08/10引越
家賃15,000→20,000へ</t>
    </r>
  </si>
  <si>
    <t>/appsheet/photograph/07013671.在留カード表裏.072211.pdf</t>
  </si>
  <si>
    <t>管理表_Files_/07013671.パスポート.072211.pdf</t>
  </si>
  <si>
    <t>07012621</t>
  </si>
  <si>
    <t>/appsheet/photograph/169.写真.031537.jpg</t>
  </si>
  <si>
    <t>グエン バァン ドゥ</t>
  </si>
  <si>
    <t>NGUYEN VAN DU</t>
  </si>
  <si>
    <t>SA04446810MA</t>
  </si>
  <si>
    <t>3780-旧タム
B-0233780-V118</t>
  </si>
  <si>
    <t>2024/4/3面接　OK 8/16～自転車保険済み
2024/08/19入寮
2025/02自身の結婚式の為一時帰国
再出勤日4/4
2025/7/8新開工場長より8/12退職希望。帰国して家族と一緒に暮らしたいとのこと。
8/12退職、8/13退寮、8/29給料現金払いデルタへ</t>
  </si>
  <si>
    <t>07013677</t>
  </si>
  <si>
    <t>/appsheet/photograph/170.写真.025615.jpg</t>
  </si>
  <si>
    <t>イ マデ エサノピオ</t>
  </si>
  <si>
    <t>I MADE ESA NOPIO</t>
  </si>
  <si>
    <t>マデ</t>
  </si>
  <si>
    <t>UH40517597PC</t>
  </si>
  <si>
    <t>202409購入
26シルバー
B-0343697-V108</t>
  </si>
  <si>
    <t>2025/6/1～2029/10/31</t>
  </si>
  <si>
    <t>2025.7.21～2人部屋→1人部屋へ　家賃￥20,000へ</t>
  </si>
  <si>
    <t>07013678</t>
  </si>
  <si>
    <t>/appsheet/photograph/171.写真.025535.jpg</t>
  </si>
  <si>
    <t>ラストノ スリ ムルヤ</t>
  </si>
  <si>
    <t>RASTONO SRI MULYA</t>
  </si>
  <si>
    <t>ラストノ</t>
  </si>
  <si>
    <t>UH71186347PC</t>
  </si>
  <si>
    <t>202409購入
26シルバー
B-0343698-X132</t>
  </si>
  <si>
    <t>ー</t>
  </si>
  <si>
    <t>07013679</t>
  </si>
  <si>
    <t>/appsheet/photograph/172.写真.034750.jpg</t>
  </si>
  <si>
    <t>イーサン シハブ ギッファリ</t>
  </si>
  <si>
    <t>IHSAN SHIHAB GIFFARI</t>
  </si>
  <si>
    <t>イーサン</t>
  </si>
  <si>
    <t>UH28839412PC</t>
  </si>
  <si>
    <t>202409購入
26シルバー
B-0343703-X157</t>
  </si>
  <si>
    <t>/appsheet/photograph/07013679.在留カード表裏.061911.pdf</t>
  </si>
  <si>
    <t>07013680</t>
  </si>
  <si>
    <t>/appsheet/photograph/173.写真.032032.jpg</t>
  </si>
  <si>
    <t>リザル ムハマド フィルダウス</t>
  </si>
  <si>
    <t>RIZAL MUHAMAD FIRDAUS</t>
  </si>
  <si>
    <t>リザル</t>
  </si>
  <si>
    <t>UH14292148PC</t>
  </si>
  <si>
    <t>202409購入
26シルバー
B-0343704-X240</t>
  </si>
  <si>
    <t>2026/1/23新開工場長より、5/6～6/6まで一時帰国のメールあり。</t>
  </si>
  <si>
    <t>/appsheet/photograph/07013680.在留カード表裏.061955.pdf</t>
  </si>
  <si>
    <t>07013672</t>
  </si>
  <si>
    <t>/appsheet/photograph/174.写真.025734.jpg</t>
  </si>
  <si>
    <t>ダナン アジ プリ アトモコ</t>
  </si>
  <si>
    <t>DANANG AJI PRI ATMOKO</t>
  </si>
  <si>
    <t>ダナン</t>
  </si>
  <si>
    <t>UH71864282PC</t>
  </si>
  <si>
    <t>202409購入
26シルバー
B-0343699-X149</t>
  </si>
  <si>
    <t>/appsheet/photograph/07013672.通帳.061717.jpg</t>
  </si>
  <si>
    <t>07013681</t>
  </si>
  <si>
    <t>/appsheet/photograph/175.写真.031028.jpg</t>
  </si>
  <si>
    <t>アルル ユスフ フィルダウス</t>
  </si>
  <si>
    <t>ARUL YUSUF FIRDAUS</t>
  </si>
  <si>
    <t>フィル</t>
  </si>
  <si>
    <t>松山市上野町774番地ビレッジハウス松山上野3-108</t>
  </si>
  <si>
    <t>UH39166902PC</t>
  </si>
  <si>
    <t>202409購入
26シルバー
B-0343700-X199</t>
  </si>
  <si>
    <t>2025.7.21引越予定　ｺｰﾎﾟ津吉1-6→ﾋﾞﾚｯｼﾞ3-108へ</t>
  </si>
  <si>
    <t>07013682</t>
  </si>
  <si>
    <t>/appsheet/photograph/176.写真.031901.jpg</t>
  </si>
  <si>
    <t>ムハッマド ユスフ</t>
  </si>
  <si>
    <t>MUHAMMAD YUSUF</t>
  </si>
  <si>
    <t>ユスフ</t>
  </si>
  <si>
    <t>UH66593836PC</t>
  </si>
  <si>
    <t>202409購入
26シルバー
B-0343706-X193</t>
  </si>
  <si>
    <t>2026/02/27</t>
  </si>
  <si>
    <t>新開工場長へ2026/2/20退職、10日後退寮の
申出あり。帰国希望。確認依頼。（2025/11/7）
2026/1/21引越　ﾋﾞﾚｯｼﾞ4-507→4-501へ（契約終了の為）
2/20退職しインドネシアに帰国。2/27給料現金払い、
3/1退寮（松山発）</t>
  </si>
  <si>
    <t>/appsheet/photograph/07013682.在留カード表裏.042631.pdf</t>
  </si>
  <si>
    <t>07013683</t>
  </si>
  <si>
    <t>/appsheet/photograph/177.写真.034831.jpg</t>
  </si>
  <si>
    <t>ライハン ヴィルギアン アルファレル</t>
  </si>
  <si>
    <t>RAYHAN VIRGIAN ALFARREL</t>
  </si>
  <si>
    <t>ライハン</t>
  </si>
  <si>
    <t>UH15226915PC</t>
  </si>
  <si>
    <t>202409購入
26シルバー
B-0343701-X096</t>
  </si>
  <si>
    <t>2025/2/14
鍵が折れた為替え渡す</t>
  </si>
  <si>
    <t>07013673</t>
  </si>
  <si>
    <t>/appsheet/photograph/178.写真.034235.jpg</t>
  </si>
  <si>
    <t>リヴァンドラ ジヨ マヘサ</t>
  </si>
  <si>
    <t>RIVANDRA JIYO MAHESA</t>
  </si>
  <si>
    <t>リヴァン</t>
  </si>
  <si>
    <t>UH40041600PC</t>
  </si>
  <si>
    <t>202409購入
26シルバー
B-0343702-X240</t>
  </si>
  <si>
    <t>07013684</t>
  </si>
  <si>
    <t>/appsheet/photograph/179.写真.032053.jpg</t>
  </si>
  <si>
    <t>アデゥン</t>
  </si>
  <si>
    <t>ADUN</t>
  </si>
  <si>
    <t>SA19330646FA</t>
  </si>
  <si>
    <t>202409購入
26シルバー
B-0343705-X227</t>
  </si>
  <si>
    <r>
      <rPr>
        <sz val="11"/>
        <color rgb="FF000000"/>
        <rFont val="MS PGothic"/>
        <family val="3"/>
        <charset val="128"/>
      </rPr>
      <t>2025/8/20本人より転職したいとの申請あり。在留
カードの更新は転職先にて更新を希望している。
所属長、新開工場長へ退職の了解を得るよう伝えた
（尾崎さんより）2025/8/22転職の為、新開工場長へ退職希望の申出あり。在留カードは転職先で更新予定。</t>
    </r>
    <r>
      <rPr>
        <sz val="11"/>
        <color rgb="FFFF0000"/>
        <rFont val="MS PGothic"/>
        <family val="3"/>
        <charset val="128"/>
      </rPr>
      <t xml:space="preserve">
</t>
    </r>
    <r>
      <rPr>
        <sz val="11"/>
        <color rgb="FF000000"/>
        <rFont val="MS PGothic"/>
        <family val="3"/>
        <charset val="128"/>
      </rPr>
      <t>10月下旬頃退職希望。退職日が決まればLINEで連絡入る予定。退職届提出済</t>
    </r>
    <r>
      <rPr>
        <sz val="11"/>
        <color rgb="FFFF0000"/>
        <rFont val="MS PGothic"/>
        <family val="3"/>
        <charset val="128"/>
      </rPr>
      <t xml:space="preserve">
10/20退職　11/2退寮　10/31現金払い</t>
    </r>
  </si>
  <si>
    <t>07013685</t>
  </si>
  <si>
    <t>/appsheet/photograph/180.写真.030944.jpg</t>
  </si>
  <si>
    <t>オクトリヴィア ザヘル</t>
  </si>
  <si>
    <t>OKTRIVIA ZAHER</t>
  </si>
  <si>
    <t>ヴィア</t>
  </si>
  <si>
    <t>松山市津吉町535-1コーポ津吉2-4</t>
  </si>
  <si>
    <t>UH01299678PC</t>
  </si>
  <si>
    <t>202409購入
26シルバー
B-0343707-X019</t>
  </si>
  <si>
    <t>大学進学
2026/1/7松山発
2026/1/10羽田発
本人負担</t>
  </si>
  <si>
    <r>
      <rPr>
        <sz val="11"/>
        <color rgb="FFFF0000"/>
        <rFont val="MS PGothic"/>
        <family val="3"/>
        <charset val="128"/>
      </rPr>
      <t>大学進学の為、退職希望　2025/11月希望→年内まで働けないか確認中（2025/9/12）⇒2026年　年明けに退職予定（尾崎さんより）
ザーラより2025/12/20退職、1/5退寮・帰国の話あり。新開工場長へ伝え本人に確認中（尾崎さんより10/31）</t>
    </r>
    <r>
      <rPr>
        <sz val="11"/>
        <color rgb="FF000000"/>
        <rFont val="MS PGothic"/>
        <family val="3"/>
        <charset val="128"/>
      </rPr>
      <t xml:space="preserve">
2025/9/21引越中野①→コーポ津吉2-4へ家賃￥20000へ
</t>
    </r>
    <r>
      <rPr>
        <sz val="11"/>
        <color rgb="FFFF0000"/>
        <rFont val="MS PGothic"/>
        <family val="3"/>
        <charset val="128"/>
      </rPr>
      <t>ザーラより、LINEにて、12/20を最終出勤日として翌1/5の飛行機で大学に行くため帰国したい申し出。新開工場長へ電話にて報告
本人より、12/20退職、最終出勤日12/18、12/26現金給与、1/7松山空港発(1/7退寮)、1/10東京発でチケットとった。
チケット送付依頼し、そのスケジュールにて進めると伝える。</t>
    </r>
  </si>
  <si>
    <t>07013686</t>
  </si>
  <si>
    <t>/appsheet/photograph/181.写真.030916.jpg</t>
  </si>
  <si>
    <t>ナファ アイヌル リズキ</t>
  </si>
  <si>
    <t>NAFA AINUR RIZQY</t>
  </si>
  <si>
    <t>ナファ</t>
  </si>
  <si>
    <t>松山市中野町442-1</t>
  </si>
  <si>
    <t>相</t>
  </si>
  <si>
    <t>SA58573773FA</t>
  </si>
  <si>
    <t>202409購入
26シルバー
B-0343708-V096</t>
  </si>
  <si>
    <t>本人負担
4/21帰国</t>
  </si>
  <si>
    <t xml:space="preserve">体調不良にて休み勝ち
中野→牛渕１へ引越予定
</t>
  </si>
  <si>
    <t>07013687</t>
  </si>
  <si>
    <t>/appsheet/photograph/182.写真.031004.jpg</t>
  </si>
  <si>
    <t>ザーラ ソンジャヤ</t>
  </si>
  <si>
    <t>ZAHRA SONJAYA</t>
  </si>
  <si>
    <t>ザーラ</t>
  </si>
  <si>
    <t>UH86563492PC</t>
  </si>
  <si>
    <t>202409購入
26シルバー
B-0343709-V037</t>
  </si>
  <si>
    <t>2025/9/21引越中野①→コーポ津吉2-4へ家賃￥20000へ</t>
  </si>
  <si>
    <t>07013688</t>
  </si>
  <si>
    <t>/appsheet/photograph/183.写真.031225.jpg</t>
  </si>
  <si>
    <t>ヌルル アフリナ セルビアンティ</t>
  </si>
  <si>
    <t>NURUL AFRINA SELVIANTI</t>
  </si>
  <si>
    <t>ヌルル</t>
  </si>
  <si>
    <t>松山市中野町368-6</t>
  </si>
  <si>
    <t>UH58359289PC</t>
  </si>
  <si>
    <t>旧2201
26シルバー
B-0274805-V128</t>
  </si>
  <si>
    <t>2025/9/21～1人部屋へ家賃￥20000へ
2025/10/21引越　中野①（中野町442-1）→中野③（中野町368-6）へ　家賃￥20,000-へ</t>
  </si>
  <si>
    <t>07013674</t>
  </si>
  <si>
    <t>/appsheet/photograph/184.写真.032121.jpg</t>
  </si>
  <si>
    <t>マヤング ヌルハサナー</t>
  </si>
  <si>
    <t>MAYANG NURHASANAH</t>
  </si>
  <si>
    <t>マヤン</t>
  </si>
  <si>
    <t>UH34302751PC</t>
  </si>
  <si>
    <t>旧2309
26シルバー
B-0287448-V038</t>
  </si>
  <si>
    <t>2025/5/19朝、寮で胸の痛みで救急搬送された5/20欠勤（新開工場長より）
2025/9/21引越中野①→コーポ津吉2-4へ家賃￥20000へ</t>
  </si>
  <si>
    <t>/appsheet/photograph/07013674.保険証.064804.pdf</t>
  </si>
  <si>
    <t>07013675</t>
  </si>
  <si>
    <t>/appsheet/photograph/185.写真.032748.jpg</t>
  </si>
  <si>
    <t>チンティア インダー ゲスタ</t>
  </si>
  <si>
    <t>CINTHIA INDAH GESTA</t>
  </si>
  <si>
    <t>チンティア</t>
  </si>
  <si>
    <t>UH04301535PC</t>
  </si>
  <si>
    <t>旧2310
26シルバー
B-0287449-V098</t>
  </si>
  <si>
    <t>ﾋﾞﾚｯｼﾞへ引越希望2025.5.16
2025.6.20引越　中野442-1→ﾋﾞﾚｯｼﾞ3-501へ</t>
  </si>
  <si>
    <t>/appsheet/photograph/07013675.通帳.002314.jpg</t>
  </si>
  <si>
    <t>/appsheet/photograph/07013675.保険証.002314.jpg</t>
  </si>
  <si>
    <t>07013676</t>
  </si>
  <si>
    <t>/appsheet/photograph/186.写真.024949.jpg</t>
  </si>
  <si>
    <t>ミャナ デウィ アフナン</t>
  </si>
  <si>
    <t>MYANA DEWI AFNAN</t>
  </si>
  <si>
    <t>ミャナ</t>
  </si>
  <si>
    <t>UH46862255PC一時帰国後、申請</t>
  </si>
  <si>
    <t>旧2328
26シルバー
B-0296140-V201</t>
  </si>
  <si>
    <r>
      <rPr>
        <sz val="11"/>
        <color rgb="FF000000"/>
        <rFont val="MS PGothic"/>
        <family val="3"/>
        <charset val="128"/>
      </rPr>
      <t xml:space="preserve">2025/9/21～1人部屋へ家賃￥20000へ
2025/10/21引越　中野①（中野町442-1）→中野③（中野町368-6）へ　家賃￥20,000-へ
</t>
    </r>
    <r>
      <rPr>
        <sz val="11"/>
        <color rgb="FFFF0000"/>
        <rFont val="MS PGothic"/>
        <family val="3"/>
        <charset val="128"/>
      </rPr>
      <t>ラティフと結婚の為、2026/7/21～9/20まで
一時帰国希望。新開工場長より2025/12/22
在留カードは日本へ戻ってから更新予定（期限2026年10月20日）</t>
    </r>
  </si>
  <si>
    <t>07013689</t>
  </si>
  <si>
    <t>/appsheet/photograph/187.写真.025020.jpg</t>
  </si>
  <si>
    <t>アニサー ファッラス ナビル ザハビヤー</t>
  </si>
  <si>
    <t>ANISAH FARRAS NABIL DZAHABIYYAH</t>
  </si>
  <si>
    <t>アニサー</t>
  </si>
  <si>
    <t>UH55437318PC</t>
  </si>
  <si>
    <t>旧2335
26シルバー
Ｂ-0304395-V157</t>
  </si>
  <si>
    <t>2025/7/21　中野442-1→ビレッジ1-205へ引越</t>
  </si>
  <si>
    <t>07013690</t>
  </si>
  <si>
    <t>/appsheet/photograph/188.写真.030759.jpg</t>
  </si>
  <si>
    <t>ニケン エカ ヌルリナワティ</t>
  </si>
  <si>
    <t>NIKEN EKA NURLINAWATI</t>
  </si>
  <si>
    <t>ニケン</t>
  </si>
  <si>
    <t>UH50933947PC</t>
  </si>
  <si>
    <t>旧2336
26シルバー
Ｂ-0304400-V110</t>
  </si>
  <si>
    <t>07013691</t>
  </si>
  <si>
    <t>/appsheet/photograph/189.写真.030622.jpg</t>
  </si>
  <si>
    <t>アルヴィタ</t>
  </si>
  <si>
    <t>ALVITA</t>
  </si>
  <si>
    <t>UH95792453PC</t>
  </si>
  <si>
    <t>旧2337
26シルバー
Ｂ-0304398-V024</t>
  </si>
  <si>
    <t>08001401</t>
  </si>
  <si>
    <t>/appsheet/photograph/190.写真.225103.jpg</t>
  </si>
  <si>
    <t>ボー グエン ホアイ ナム</t>
  </si>
  <si>
    <t>VO NGUYEN HOAI NAM</t>
  </si>
  <si>
    <t>ナム</t>
  </si>
  <si>
    <t>和泉北1-20-28アトムスカイマンション604</t>
  </si>
  <si>
    <t>UH94681581EA</t>
  </si>
  <si>
    <t>202409購入
26シルバー
B-0343710-X208</t>
  </si>
  <si>
    <t>20250306-BS-4491
缶詰巻締初級合格</t>
  </si>
  <si>
    <t>2024/4/25面接　合格
2024/10/15入寮</t>
  </si>
  <si>
    <t>08001402</t>
  </si>
  <si>
    <t>/appsheet/photograph/191.写真.225124.jpg</t>
  </si>
  <si>
    <t>ファム ヒュー タン</t>
  </si>
  <si>
    <t>PHAM HUU THANG</t>
  </si>
  <si>
    <t>タン</t>
  </si>
  <si>
    <t>UH90621287EA</t>
  </si>
  <si>
    <t>202409購入
26シルバー
B-0343711-V182</t>
  </si>
  <si>
    <t>20250306-BS-4492
缶詰巻締初級合格</t>
  </si>
  <si>
    <r>
      <rPr>
        <sz val="11"/>
        <color rgb="FF000000"/>
        <rFont val="MS PGothic"/>
        <family val="3"/>
        <charset val="128"/>
      </rPr>
      <t xml:space="preserve">2024/4/25面接　合格
2024/10/15入寮
</t>
    </r>
    <r>
      <rPr>
        <sz val="11"/>
        <color rgb="FFFF0000"/>
        <rFont val="MS PGothic"/>
        <family val="3"/>
        <charset val="128"/>
      </rPr>
      <t xml:space="preserve">2026/1/21引越。
アトム604→アトム404へ。家賃￥20000へ
</t>
    </r>
    <r>
      <rPr>
        <sz val="11"/>
        <color rgb="FF000000"/>
        <rFont val="MS PGothic"/>
        <family val="3"/>
        <charset val="128"/>
      </rPr>
      <t>中四国へ確認し、本人が1人部屋を希望し、
家賃が変更となる旨、軽微変更届を提出すればOKとの確認済</t>
    </r>
  </si>
  <si>
    <t>/appsheet/photograph/08001402.在留カード表裏.002937.pdf</t>
  </si>
  <si>
    <t>08001403</t>
  </si>
  <si>
    <t>/appsheet/photograph/192.写真.034834.jpg</t>
  </si>
  <si>
    <t>ホー ティ ニュン</t>
  </si>
  <si>
    <t>HO THI NHUNG</t>
  </si>
  <si>
    <t>UH78850007EA</t>
  </si>
  <si>
    <t>202409購入
26シルバー
B-0343712-V209</t>
  </si>
  <si>
    <t>20250306-BS-4493
缶詰巻締初級合格</t>
  </si>
  <si>
    <t>08001404</t>
  </si>
  <si>
    <t>/appsheet/photograph/193.写真.034754.jpg</t>
  </si>
  <si>
    <t>グエン ティ リエウ</t>
  </si>
  <si>
    <t>NGUYEN THI LIEU</t>
  </si>
  <si>
    <t>リエウ</t>
  </si>
  <si>
    <t>UH71184870EA</t>
  </si>
  <si>
    <t>202409購入
26シルバー
B-0343713-V239</t>
  </si>
  <si>
    <t>20250306-BS-4494
缶詰巻締初級合格</t>
  </si>
  <si>
    <t>08001405</t>
  </si>
  <si>
    <t>/appsheet/photograph/194.写真.234937.jpg</t>
  </si>
  <si>
    <t>ディン ティ タオ グエン</t>
  </si>
  <si>
    <t>DINH THI THAO NGUYEN</t>
  </si>
  <si>
    <t>ディン</t>
  </si>
  <si>
    <t>UH75420369EA</t>
  </si>
  <si>
    <t>202410購入
26シルバー
B-0344083-X221</t>
  </si>
  <si>
    <t>20250306-BS-4495
缶詰巻締初級合格</t>
  </si>
  <si>
    <t>2024/4/25面接　合格 2024/10/15入寮 2025/11/6生理が4ヶ月こないため、11/18中四国 から病院へ行く予定。2025/11/14藤原副工場長より、寝込んでいるようなので様子を見て来てほしいとのこと。→確認に行ったところ、生理痛で腹痛がひどいとのこと。明日11/15（土）の午前中まで休んで午後から出勤しますとのこと。藤原副工場長へも伝え済。連絡なしで休んでいるため、連絡するように同部屋の人に伝えておくとのこと。</t>
  </si>
  <si>
    <t>08004407</t>
  </si>
  <si>
    <t>/appsheet/photograph/195.写真.224859.jpg</t>
  </si>
  <si>
    <t>チャン ヴァン チュン</t>
  </si>
  <si>
    <t>TRAN VAN CHUNG</t>
  </si>
  <si>
    <t>チャンチュン</t>
  </si>
  <si>
    <t>LJ56119282PC</t>
  </si>
  <si>
    <t>旧7913　195
B-0247913-1610</t>
  </si>
  <si>
    <t>2024/5/30面接合格　2024/12/02入国 
2025/01/09入寮 1/10入社</t>
  </si>
  <si>
    <t>/appsheet/photograph/08004407.在留カード表裏.041835.pdf</t>
  </si>
  <si>
    <t>/appsheet/photograph/07004407.通帳.040917.pdf</t>
  </si>
  <si>
    <t>08004408</t>
  </si>
  <si>
    <t>/appsheet/photograph/196.写真.224807.jpg</t>
  </si>
  <si>
    <t>ブイ ヴァン ライ</t>
  </si>
  <si>
    <t>BUI VAN LAI</t>
  </si>
  <si>
    <t>ライ</t>
  </si>
  <si>
    <t>LJ05065975PC</t>
  </si>
  <si>
    <t>旧6666　196
B-0246666-1656</t>
  </si>
  <si>
    <t>/appsheet/photograph/08004408.在留カード表裏.041803.pdf</t>
  </si>
  <si>
    <t>/appsheet/photograph/07004408.通帳.043607.pdf</t>
  </si>
  <si>
    <t>07001616</t>
  </si>
  <si>
    <t>/appsheet/photograph/197.写真.000636.jpg</t>
  </si>
  <si>
    <t>チャン ティ トゥー ヒエン</t>
  </si>
  <si>
    <t>和泉北1-20-28アトムスカイマンション705</t>
  </si>
  <si>
    <t>LJ18084808PC</t>
  </si>
  <si>
    <t>26 シルバー旧2316
B-0296115-V187</t>
  </si>
  <si>
    <r>
      <rPr>
        <sz val="11"/>
        <color theme="1"/>
        <rFont val="MS PGothic"/>
        <family val="3"/>
        <charset val="128"/>
      </rPr>
      <t xml:space="preserve">2019/5/9
</t>
    </r>
    <r>
      <rPr>
        <sz val="11"/>
        <color rgb="FFFF0000"/>
        <rFont val="MS PGothic"/>
        <family val="3"/>
        <charset val="128"/>
      </rPr>
      <t>確認すること</t>
    </r>
  </si>
  <si>
    <t>2025/8/1～2030/1/31</t>
  </si>
  <si>
    <r>
      <rPr>
        <sz val="10"/>
        <color theme="1"/>
        <rFont val="MS PGothic"/>
        <family val="3"/>
        <charset val="128"/>
      </rPr>
      <t xml:space="preserve">12/9朴さんよりTELでwifi設置依頼
2/21入国 2/25衛生講習9:00 2/26入社
</t>
    </r>
    <r>
      <rPr>
        <sz val="10"/>
        <color rgb="FFFF0000"/>
        <rFont val="MS PGothic"/>
        <family val="3"/>
        <charset val="128"/>
      </rPr>
      <t>妹チャンティトゥー2025/11/19入寮予定　同部屋
家賃、光熱費はヒエンが全額支払い</t>
    </r>
  </si>
  <si>
    <t>/appsheet/photograph/07001616.在留カード表裏.010128.pdf</t>
  </si>
  <si>
    <t>07012622</t>
  </si>
  <si>
    <t>/appsheet/photograph/198.写真.035844.jpg</t>
  </si>
  <si>
    <t>グエン タイン チャン</t>
  </si>
  <si>
    <t>NGUYEN THANH TRANG</t>
  </si>
  <si>
    <t>UH79915241MA</t>
  </si>
  <si>
    <t>アベリア　赤
B-0357434-V030</t>
  </si>
  <si>
    <t>2024/11/29面接　合格 子宮筋腫の為、2025/11/16入院（県病院）、11/17手術、11/20退院予定。12/20まで自宅療養。12/21～就労可能。病院から連帯保証人を弊社で対応（専務確認済）傷病手当申請予定。
デルタより子宮筋腫の手術に伴い体調が優れない為、業務量の少ない業種へ転職希望とのことで退職の申し出あり。2026/3/24退職希望、退寮日未定。（2026/2/20）</t>
  </si>
  <si>
    <t>07012623</t>
  </si>
  <si>
    <t>/appsheet/photograph/199.写真.035913.jpg</t>
  </si>
  <si>
    <t>グエン ティ アイン</t>
  </si>
  <si>
    <t xml:space="preserve">NGUYEN THI ANH
</t>
  </si>
  <si>
    <t>UH33886956MA</t>
  </si>
  <si>
    <t>アベリア　茶
B-0357435-V-111</t>
  </si>
  <si>
    <t>2024/11/29面接　合格
2025.8.6デルタ・松岡さんより　9/6
2025/9/6退職、9/8退寮　9/30現金払いデルタへ</t>
  </si>
  <si>
    <t>18001403</t>
  </si>
  <si>
    <t>/appsheet/photograph/200.写真.224048.jpg</t>
  </si>
  <si>
    <t>グエン シー マイン</t>
  </si>
  <si>
    <t>NGUYEN SY MANH</t>
  </si>
  <si>
    <t>シー</t>
  </si>
  <si>
    <t>技能実習1号</t>
  </si>
  <si>
    <t>和泉北1-20-28アトムスカイマンション605</t>
  </si>
  <si>
    <t>UH05987589FA</t>
  </si>
  <si>
    <t>鍵付替 白-26
B-0128655-V088
事故により交換2025/12/23
B-0343698-X132</t>
  </si>
  <si>
    <r>
      <rPr>
        <sz val="11"/>
        <color rgb="FF000000"/>
        <rFont val="MS PGothic"/>
        <family val="3"/>
        <charset val="128"/>
      </rPr>
      <t>2/28面接　合格
岩手からの紹介</t>
    </r>
    <r>
      <rPr>
        <sz val="11"/>
        <color rgb="FFFF0000"/>
        <rFont val="MS PGothic"/>
        <family val="3"/>
        <charset val="128"/>
      </rPr>
      <t xml:space="preserve">
2025/12/21自転車で事故（相手自転車）</t>
    </r>
  </si>
  <si>
    <t>18001404</t>
  </si>
  <si>
    <t>/appsheet/photograph/201.写真.224018.jpg</t>
  </si>
  <si>
    <t>チン バン タイン</t>
  </si>
  <si>
    <t>TRINH VAN THANH</t>
  </si>
  <si>
    <t>UH75130225FA</t>
  </si>
  <si>
    <t>旧ガン シルバー26
B-0247912-1155</t>
  </si>
  <si>
    <t>2/28面接　合格
岩手からの紹介
2025/10　腰痛　労災</t>
  </si>
  <si>
    <t>/appsheet/photograph/17001402.通帳.050755.pdf</t>
  </si>
  <si>
    <t>07012626</t>
  </si>
  <si>
    <t>/appsheet/photograph/202.写真.034753.jpg</t>
  </si>
  <si>
    <t>グエン クアン フィ</t>
  </si>
  <si>
    <t>NGUYEN QUANG HUY</t>
  </si>
  <si>
    <t>フィ</t>
  </si>
  <si>
    <t>UH32643358EA</t>
  </si>
  <si>
    <t>202409購入　旧ナファ
26シルバー
B-0343708-V096</t>
  </si>
  <si>
    <r>
      <rPr>
        <sz val="10"/>
        <color rgb="FF000000"/>
        <rFont val="MS PGothic"/>
        <family val="3"/>
        <charset val="128"/>
      </rPr>
      <t xml:space="preserve">4/9面接　合格　　　現在の職場を5/15退職　
5/16入寮　5/14ﾃﾞﾙﾀへ寮の鍵と自転車の
鍵を渡し済　布団は本人持参
6/6迄に認定下りる予定（ﾃﾞﾙﾀより6/2）
</t>
    </r>
    <r>
      <rPr>
        <sz val="10"/>
        <color rgb="FFFF0000"/>
        <rFont val="MS PGothic"/>
        <family val="3"/>
        <charset val="128"/>
      </rPr>
      <t>2025/11/20退職　11/25退寮　寮の掃除をしてから退寮するようﾃﾞﾙﾀ松岡さんへ伝え済。11/28現金払い
退寮日が変更になった。11/20退職、11/21退寮、11/21の15時頃の飛行機。11/21の9時部屋の立ち会いだが、事前に１８日～２０日までに部屋確認すると伝える</t>
    </r>
  </si>
  <si>
    <t>07018601</t>
  </si>
  <si>
    <t>/appsheet/photograph/203.写真.050342.jpg</t>
  </si>
  <si>
    <t>エカ トリヤナ</t>
  </si>
  <si>
    <t>EKA TRIYANA</t>
  </si>
  <si>
    <t>エカ</t>
  </si>
  <si>
    <t>UH34795168EA</t>
  </si>
  <si>
    <t>B-0304396-V102
元2331ザーラ</t>
  </si>
  <si>
    <t>N3 2025/06
N2 2025/07</t>
  </si>
  <si>
    <t>2025/6/24-2027/3/23</t>
  </si>
  <si>
    <r>
      <rPr>
        <sz val="9"/>
        <color rgb="FF000000"/>
        <rFont val="MS PGothic"/>
        <family val="3"/>
        <charset val="128"/>
      </rPr>
      <t>2025/3/28面接　合格
ニマトゥル マウリダ夫
ニマトゥル マウリダさんと一緒に住みたい
７月に一度帰国してを来年にするか確認依頼</t>
    </r>
    <r>
      <rPr>
        <sz val="9"/>
        <color rgb="FFFF0000"/>
        <rFont val="MS PGothic"/>
        <family val="3"/>
        <charset val="128"/>
      </rPr>
      <t xml:space="preserve">
5/6～6/9帰国　6/9入寮、6/17入社
2025/11/5特定２号受けたい。入社が2025/6/17、転職のため、特定１号の期限が2027/3までのため、入官へ確認。
2026/2/15～ビレッジの駐車場契約（2年契約）　駐車場代2月分の給料から￥8140、4月以降￥3300/月　給与引き</t>
    </r>
  </si>
  <si>
    <t>/appsheet/photograph/07018601.在留カード表裏.062241.pdf</t>
  </si>
  <si>
    <t>/appsheet/photograph/07018601.パスポート.062241.pdf</t>
  </si>
  <si>
    <t>/appsheet/photograph/07018601.免許関係.232859.pdf</t>
  </si>
  <si>
    <t>07018602</t>
  </si>
  <si>
    <t>/appsheet/photograph/204.写真.235242.jpg</t>
  </si>
  <si>
    <t>UH38197447EA</t>
  </si>
  <si>
    <t>不要</t>
  </si>
  <si>
    <t>2025/8/1～2027/3/31</t>
  </si>
  <si>
    <t>2025/1/20退職し福岡へ就職するが、7/9再入社</t>
  </si>
  <si>
    <t>07018603</t>
  </si>
  <si>
    <t>/appsheet/photograph/205.写真.031645.jpg</t>
  </si>
  <si>
    <t>レストゥ</t>
  </si>
  <si>
    <t>UH98867287EA</t>
  </si>
  <si>
    <t>2025.7.8入寮、7/22入社。6月退職し７月に中温希望　姫路の会社へ転職
2024/10/09三好さんより退職の連絡。新開工場長へ連絡済。兵庫の冷凍食品11/1より時給1,200-平均して残業があるため、指導しても時給が大差ないため</t>
  </si>
  <si>
    <t>07018604</t>
  </si>
  <si>
    <t>/appsheet/photograph/206.写真.061154.jpg</t>
  </si>
  <si>
    <t>ムハンマド　ファジャル　リズキ　ダウライ</t>
  </si>
  <si>
    <t>MUHAMMAD FAJAR RIZKY DAULAY</t>
  </si>
  <si>
    <t>リズキ</t>
  </si>
  <si>
    <t>UH06610138EA</t>
  </si>
  <si>
    <t>B-0274810</t>
  </si>
  <si>
    <t>2025/7/22入寮、8/4入社
2025/5/23面接　合格
サニアの彼氏　現在新潟で特定1号として就業中。
（2023.7～2025.7迄）
2025/6/5退職・6/7退寮し福島の弟のところへ行き申請出来し一時帰国後、中温で働きたい</t>
  </si>
  <si>
    <t>07001628</t>
  </si>
  <si>
    <t>/appsheet/photograph/207.写真.084711.jpg</t>
  </si>
  <si>
    <t>チャン ティ ヌー</t>
  </si>
  <si>
    <t>TRAN THI NU</t>
  </si>
  <si>
    <t>ヌー</t>
  </si>
  <si>
    <t>個3</t>
  </si>
  <si>
    <t>UH65617663FA</t>
  </si>
  <si>
    <t>B-0247914-1017</t>
  </si>
  <si>
    <r>
      <rPr>
        <sz val="11"/>
        <color rgb="FF000000"/>
        <rFont val="MS PGothic"/>
        <family val="3"/>
        <charset val="128"/>
      </rPr>
      <t>2026/02/05</t>
    </r>
    <r>
      <rPr>
        <sz val="11"/>
        <color rgb="FFFF0000"/>
        <rFont val="MS PGothic"/>
        <family val="3"/>
        <charset val="128"/>
      </rPr>
      <t xml:space="preserve">
2026/06/15</t>
    </r>
  </si>
  <si>
    <t>2026/03/07
2026/08/02</t>
  </si>
  <si>
    <t>2025/9/15-2030/8/14</t>
  </si>
  <si>
    <t>伊予銀
大街道支店</t>
  </si>
  <si>
    <t>2025/3/27　合格
実習生2号修了者
2025.8.20入国、入寮・8/21入社
中四国は入国時のチケット手配まで（10万まで）
→9/1中温へ切替予定
2026.6/15～7/30一時帰国希望（宮内工場長より2025/12/19）</t>
  </si>
  <si>
    <t>https://drive.google.com/file/d/1DApCPMDEH-5UElVN3J65K8_MTK6bl1JE/view?usp=sharing</t>
  </si>
  <si>
    <t>/appsheet/photograph/07001628.通帳.010840.jpg</t>
  </si>
  <si>
    <t>/appsheet/photograph/07001628.保険証.010840.jpg</t>
  </si>
  <si>
    <t>07018609</t>
  </si>
  <si>
    <t>/appsheet/photograph/208.写真.021314.jpg</t>
  </si>
  <si>
    <t>エティ スラストリ</t>
  </si>
  <si>
    <t>ETI SULASTRI</t>
  </si>
  <si>
    <t>エティ</t>
  </si>
  <si>
    <t>UH66078188PC</t>
  </si>
  <si>
    <t>B-0377310-1155</t>
  </si>
  <si>
    <r>
      <rPr>
        <sz val="8"/>
        <color rgb="FFFF0000"/>
        <rFont val="MS PGothic"/>
        <family val="3"/>
        <charset val="128"/>
      </rPr>
      <t xml:space="preserve">2025.7月購入
5年間は廃棄しない
（補助金で購入の為）
</t>
    </r>
    <r>
      <rPr>
        <sz val="13"/>
        <color rgb="FF000000"/>
        <rFont val="MS PGothic"/>
        <family val="3"/>
        <charset val="128"/>
      </rPr>
      <t>2025．12．3回収</t>
    </r>
  </si>
  <si>
    <t>2025/10/1-2030/8/31</t>
  </si>
  <si>
    <t>2025/9/11入寮・9/12入社
2024/12/12面接　合格
H&amp;C人材保証 旅費送出期間負担</t>
  </si>
  <si>
    <t>07018610</t>
  </si>
  <si>
    <t>/appsheet/photograph/209.写真.021628.jpg</t>
  </si>
  <si>
    <t>ノヴィヤンティ ジャナティン アリッヤ</t>
  </si>
  <si>
    <t>NOVIYANTI JANATIN ALIYYAH</t>
  </si>
  <si>
    <t>ノヴィ</t>
  </si>
  <si>
    <t>UH28793045PC</t>
  </si>
  <si>
    <t>B-0377313-1718</t>
  </si>
  <si>
    <t>2025.7月購入
5年間は廃棄しない
（補助金で購入の為）</t>
  </si>
  <si>
    <t>07018611</t>
  </si>
  <si>
    <t>/appsheet/photograph/210.写真.021600.jpg</t>
  </si>
  <si>
    <t>オリフェア レギナ パルピエ</t>
  </si>
  <si>
    <t>OLIVEA REGINA PALUPIE</t>
  </si>
  <si>
    <t>オリフェア</t>
  </si>
  <si>
    <t>UH82271041PC</t>
  </si>
  <si>
    <t>B-0377324-1135</t>
  </si>
  <si>
    <r>
      <rPr>
        <sz val="8"/>
        <color rgb="FFFF0000"/>
        <rFont val="MS PGothic"/>
        <family val="3"/>
        <charset val="128"/>
      </rPr>
      <t xml:space="preserve">2025.7月購入
5年間は廃棄しない
（補助金で購入の為）
</t>
    </r>
    <r>
      <rPr>
        <sz val="13"/>
        <color rgb="FF000000"/>
        <rFont val="MS PGothic"/>
        <family val="3"/>
        <charset val="128"/>
      </rPr>
      <t>2025．12．3回収</t>
    </r>
  </si>
  <si>
    <t>07018612</t>
  </si>
  <si>
    <t>/appsheet/photograph/211.写真.021412.jpg</t>
  </si>
  <si>
    <t>タラユニ</t>
  </si>
  <si>
    <t>TARYUNI</t>
  </si>
  <si>
    <t>UH65936650PC</t>
  </si>
  <si>
    <t>B-0377321-1645</t>
  </si>
  <si>
    <r>
      <rPr>
        <sz val="8"/>
        <color rgb="FFFF0000"/>
        <rFont val="MS PGothic"/>
        <family val="3"/>
        <charset val="128"/>
      </rPr>
      <t xml:space="preserve">2025.7月購入
5年間は廃棄しない
（補助金で購入の為）
</t>
    </r>
    <r>
      <rPr>
        <sz val="12"/>
        <color rgb="FF000000"/>
        <rFont val="MS PGothic"/>
        <family val="3"/>
        <charset val="128"/>
      </rPr>
      <t>2025.11.25回収</t>
    </r>
  </si>
  <si>
    <t>07018613</t>
  </si>
  <si>
    <t>/appsheet/photograph/212.写真.021526.jpg</t>
  </si>
  <si>
    <t>テゥティ スサンティ</t>
  </si>
  <si>
    <t>TUTI SUSANTI</t>
  </si>
  <si>
    <t>テゥティ</t>
  </si>
  <si>
    <t>UH15375412PC</t>
  </si>
  <si>
    <t>B-0377311-1060</t>
  </si>
  <si>
    <r>
      <rPr>
        <sz val="8"/>
        <color rgb="FFFF0000"/>
        <rFont val="MS PGothic"/>
        <family val="3"/>
        <charset val="128"/>
      </rPr>
      <t xml:space="preserve">2025.7月購入
5年間は廃棄しない
（補助金で購入の為）
</t>
    </r>
    <r>
      <rPr>
        <sz val="13"/>
        <color rgb="FF000000"/>
        <rFont val="MS PGothic"/>
        <family val="3"/>
        <charset val="128"/>
      </rPr>
      <t>2025．12．3回収</t>
    </r>
  </si>
  <si>
    <t>07018614</t>
  </si>
  <si>
    <t>/appsheet/photograph/213.写真.021704.jpg</t>
  </si>
  <si>
    <t>ティア レギタ ティタニア</t>
  </si>
  <si>
    <t>TYA REGITA TITANIA</t>
  </si>
  <si>
    <t>レギタ</t>
  </si>
  <si>
    <t>UH45683244PC</t>
  </si>
  <si>
    <t>B-0377297-1572</t>
  </si>
  <si>
    <r>
      <rPr>
        <sz val="8"/>
        <color rgb="FFFF0000"/>
        <rFont val="MS PGothic"/>
        <family val="3"/>
        <charset val="128"/>
      </rPr>
      <t xml:space="preserve">2025.7月購入
5年間は廃棄しない
（補助金で購入の為）
</t>
    </r>
    <r>
      <rPr>
        <sz val="13"/>
        <color rgb="FF000000"/>
        <rFont val="MS PGothic"/>
        <family val="3"/>
        <charset val="128"/>
      </rPr>
      <t>2025．12．3回収</t>
    </r>
  </si>
  <si>
    <t>07018615</t>
  </si>
  <si>
    <t>/appsheet/photograph/214.写真.021328.jpg</t>
  </si>
  <si>
    <t>スハルティニ</t>
  </si>
  <si>
    <t>SUHARTINI</t>
  </si>
  <si>
    <t>スハル</t>
  </si>
  <si>
    <t>UH63814373PC</t>
  </si>
  <si>
    <t>B-0377312-1756</t>
  </si>
  <si>
    <t>07018616</t>
  </si>
  <si>
    <t>/appsheet/photograph/215.写真.021459.jpg</t>
  </si>
  <si>
    <t>アルザ ムムタナ</t>
  </si>
  <si>
    <t>ALDZA MUMTHANA</t>
  </si>
  <si>
    <t>アルザ</t>
  </si>
  <si>
    <t>離1F-2-相2</t>
  </si>
  <si>
    <t>UH12429074PC</t>
  </si>
  <si>
    <t>B-0377301-1637</t>
  </si>
  <si>
    <t xml:space="preserve">2025.7月購入
5年間は廃棄しない
（補助金で購入の為）
</t>
  </si>
  <si>
    <r>
      <rPr>
        <sz val="11"/>
        <color rgb="FF000000"/>
        <rFont val="MS PGothic"/>
        <family val="3"/>
        <charset val="128"/>
      </rPr>
      <t xml:space="preserve">2025/9/11入寮・9/12入社
2024/12/12面接　合格
H&amp;C人材保証 旅費送出期間負担
2025/10/11右肩に痛みあり。1年程前から痛みあり。インドネシアで呼吸困難になったことがあり、日本で働きだしてから右肩を回すと音が出る　⇒金澤整形外科受診　肩の筋肉が悪くて痛みが出ているとのこと。レントゲンの結果、骨、形状等に異常なし。首を上にあげる動作はなるべくしない、電気をあてるリハビリに通ったほうがいいとのこと。枕の高さの調節も必要。
次回以降　10/18リハビリのみ、10/25診察、リハビリ予約。
</t>
    </r>
    <r>
      <rPr>
        <sz val="11"/>
        <color rgb="FFFF0000"/>
        <rFont val="MS PGothic"/>
        <family val="3"/>
        <charset val="128"/>
      </rPr>
      <t>2026/1/21　牛渕170-3母屋　2人部屋⇒離れの1F1人部屋へ移動　家賃￥10000→￥15000へ</t>
    </r>
  </si>
  <si>
    <t>/appsheet/photograph/07018616.通帳.233823.jpg</t>
  </si>
  <si>
    <t>07018617</t>
  </si>
  <si>
    <t>/appsheet/photograph/216.写真.021235.jpg</t>
  </si>
  <si>
    <t>サエ アユ ニンルム</t>
  </si>
  <si>
    <t>SAE AYU NINGRUM</t>
  </si>
  <si>
    <t>サエ</t>
  </si>
  <si>
    <t>UH39791519PC</t>
  </si>
  <si>
    <t>B-0377325-1715</t>
  </si>
  <si>
    <r>
      <rPr>
        <sz val="8"/>
        <color rgb="FFFF0000"/>
        <rFont val="MS PGothic"/>
        <family val="3"/>
        <charset val="128"/>
      </rPr>
      <t xml:space="preserve">2025.7月購入
5年間は廃棄しない
（補助金で購入の為）
</t>
    </r>
    <r>
      <rPr>
        <sz val="13"/>
        <color rgb="FF000000"/>
        <rFont val="MS PGothic"/>
        <family val="3"/>
        <charset val="128"/>
      </rPr>
      <t>2025．12．3回収</t>
    </r>
  </si>
  <si>
    <t>/appsheet/photograph/07018617.通帳.021538.jpg</t>
  </si>
  <si>
    <t>07018605</t>
  </si>
  <si>
    <t>/appsheet/photograph/217.写真.021039.jpg</t>
  </si>
  <si>
    <t>エンゼル デスティ ナタリア</t>
  </si>
  <si>
    <t>ENZEL DESTI NATALIA</t>
  </si>
  <si>
    <t>エンゼル</t>
  </si>
  <si>
    <t>UH40796281PC</t>
  </si>
  <si>
    <t>B-0377306-1175</t>
  </si>
  <si>
    <t>2025/9/11入寮・9/12入社
2025/3/11面接　合格
H&amp;C人材保証 旅費送出期間負担</t>
  </si>
  <si>
    <t>/appsheet/photograph/07018605.通帳.234843.jpg</t>
  </si>
  <si>
    <t>07018606</t>
  </si>
  <si>
    <t>/appsheet/photograph/218.写真.021116.jpg</t>
  </si>
  <si>
    <t>アウリア　ラーマ</t>
  </si>
  <si>
    <t>AULIA RAHMAH</t>
  </si>
  <si>
    <t>アウリア</t>
  </si>
  <si>
    <t>UH45356037PC</t>
  </si>
  <si>
    <t>B-0377323-1194</t>
  </si>
  <si>
    <t>2025/9/11入寮・9/12入社
2025/3/11面接　合格
H&amp;C人材保証 旅費送出期間負担
2025/10/31新開工場長より、インドネシア時より、脊髄がまがる
病気で重たいもの等をもつ仕事を変更してほしい
との申し出あり。入国前の健康診断でも問題がない
ため入国ができ、入国後の健康診断でも該当ない
ため、本人と面談を行う
デフィとヤニと４人で牛渕２号館ではなし。
病院には行ってない。とりあえず、できるところまで
やってみて、ダメになる前に上長へ。新開工場長へ報告済み</t>
  </si>
  <si>
    <t>07018607</t>
  </si>
  <si>
    <t>/appsheet/photograph/219.写真.021135.jpg</t>
  </si>
  <si>
    <t>デラ　フィトリヤニ</t>
  </si>
  <si>
    <t>DELA FITRIYANI</t>
  </si>
  <si>
    <t>デラ</t>
  </si>
  <si>
    <t>UH39670910PC</t>
  </si>
  <si>
    <t>B-0377309-1081</t>
  </si>
  <si>
    <t>/appsheet/photograph/07018607.通帳.074426.jpg</t>
  </si>
  <si>
    <t>/appsheet/photograph/07018607.保険証.074426.jpg</t>
  </si>
  <si>
    <t>07018608</t>
  </si>
  <si>
    <t>/appsheet/photograph/220.写真.021154.jpg</t>
  </si>
  <si>
    <t>アスリヤー</t>
  </si>
  <si>
    <t>ASRIYAH</t>
  </si>
  <si>
    <t>リヤー</t>
  </si>
  <si>
    <t>UH73371864PC</t>
  </si>
  <si>
    <t>B-377316-1212</t>
  </si>
  <si>
    <r>
      <rPr>
        <sz val="8"/>
        <color rgb="FFFF0000"/>
        <rFont val="MS PGothic"/>
        <family val="3"/>
        <charset val="128"/>
      </rPr>
      <t xml:space="preserve">2025.7月購入
5年間は廃棄しない
（補助金で購入の為）
</t>
    </r>
    <r>
      <rPr>
        <sz val="13"/>
        <color rgb="FF000000"/>
        <rFont val="MS PGothic"/>
        <family val="3"/>
        <charset val="128"/>
      </rPr>
      <t>2025．12．3回収</t>
    </r>
  </si>
  <si>
    <t>R</t>
  </si>
  <si>
    <t>07018618</t>
  </si>
  <si>
    <t>/appsheet/photograph/221.写真.041608.jpg</t>
  </si>
  <si>
    <t>スラストリ</t>
  </si>
  <si>
    <t>SULASTRI</t>
  </si>
  <si>
    <t>INA</t>
  </si>
  <si>
    <t>東温市牛渕170‐３</t>
  </si>
  <si>
    <t>UH60038680FA</t>
  </si>
  <si>
    <t>B-0377292-1733</t>
  </si>
  <si>
    <t>2025/11/1～2030/10/31</t>
  </si>
  <si>
    <t>12/12面接　合格
2025/10/17入寮・10/21入社</t>
  </si>
  <si>
    <t>/appsheet/photograph/07018618.在留カード表裏.063834.pdf</t>
  </si>
  <si>
    <t>管理表_Files_/07018618.パスポート.063835.pdf</t>
  </si>
  <si>
    <t>/appsheet/photograph/07018618.通帳.064233.pdf</t>
  </si>
  <si>
    <t>07018619</t>
  </si>
  <si>
    <t>/appsheet/photograph/222.写真.041649.jpg</t>
  </si>
  <si>
    <t>レニ ドゥウィ スーリヤニ</t>
  </si>
  <si>
    <t>RENI DWI SURYANI</t>
  </si>
  <si>
    <t>レニ</t>
  </si>
  <si>
    <t>UH59564443FA</t>
  </si>
  <si>
    <t>B-0377293-1637</t>
  </si>
  <si>
    <t>2/5面接　合格
2025/10/17入寮・10/21入社</t>
  </si>
  <si>
    <t>/appsheet/photograph/07018619.在留カード表裏.063457.pdf</t>
  </si>
  <si>
    <t>管理表_Files_/07018619.パスポート.063457.pdf</t>
  </si>
  <si>
    <t>/appsheet/photograph/07018619.通帳.064252.pdf</t>
  </si>
  <si>
    <t>/appsheet/photograph/07018619.保険証.074939.pdf</t>
  </si>
  <si>
    <t>07018620</t>
  </si>
  <si>
    <t>/appsheet/photograph/223.写真.041740.jpg</t>
  </si>
  <si>
    <t>デア ワルギアンティ</t>
  </si>
  <si>
    <t>DEA WARGIANTI</t>
  </si>
  <si>
    <t>デア</t>
  </si>
  <si>
    <t>UH05980607FA</t>
  </si>
  <si>
    <t>B-0377300-1743</t>
  </si>
  <si>
    <t>/appsheet/photograph/07018620.在留カード表裏.063749.pdf</t>
  </si>
  <si>
    <t>管理表_Files_/07018620.パスポート.063749.pdf</t>
  </si>
  <si>
    <t>/appsheet/photograph/07018620.通帳.064315.pdf</t>
  </si>
  <si>
    <t>/appsheet/photograph/07018620.保険証.071607.pdf</t>
  </si>
  <si>
    <t>07018621</t>
  </si>
  <si>
    <t>/appsheet/photograph/224.写真.041824.jpg</t>
  </si>
  <si>
    <t>オクティヤニンシー</t>
  </si>
  <si>
    <t>OKTIYANINGSIH</t>
  </si>
  <si>
    <t>オクティ</t>
  </si>
  <si>
    <t>UH52493178FA</t>
  </si>
  <si>
    <t>B-0377303-1618</t>
  </si>
  <si>
    <t xml:space="preserve">2/5面接　合格
2025/10/17入寮・10/21入社
</t>
  </si>
  <si>
    <t>/appsheet/photograph/07018621.在留カード表裏.073408.pdf</t>
  </si>
  <si>
    <t>管理表_Files_/07018621.パスポート.073408.pdf</t>
  </si>
  <si>
    <t>/appsheet/photograph/07018621.通帳.064345.pdf</t>
  </si>
  <si>
    <t>07018622</t>
  </si>
  <si>
    <t>/appsheet/photograph/225.写真.041907.jpg</t>
  </si>
  <si>
    <t>アイシャー ドウィ アプリアンティ</t>
  </si>
  <si>
    <t>AISYAH DWI APRIANTI</t>
  </si>
  <si>
    <t>アイシャー</t>
  </si>
  <si>
    <t>UH37168996FA</t>
  </si>
  <si>
    <t>B-０377306-1175</t>
  </si>
  <si>
    <t>/appsheet/photograph/07018622.在留カード表裏.073808.pdf</t>
  </si>
  <si>
    <t>管理表_Files_/07018622.パスポート.073808.pdf</t>
  </si>
  <si>
    <t>/appsheet/photograph/07018622.通帳.064400.pdf</t>
  </si>
  <si>
    <t>07018623</t>
  </si>
  <si>
    <t>/appsheet/photograph/226.写真.042342.jpg</t>
  </si>
  <si>
    <t>カハリマテゥン シャクディア</t>
  </si>
  <si>
    <t>KHALIMATUN SYAQDIAH</t>
  </si>
  <si>
    <t>ディア</t>
  </si>
  <si>
    <t>UH71152654FA</t>
  </si>
  <si>
    <t>B-0377314-1540</t>
  </si>
  <si>
    <t>/appsheet/photograph/07018623.在留カード表裏.073951.pdf</t>
  </si>
  <si>
    <t>管理表_Files_/07018623.パスポート.073951.pdf</t>
  </si>
  <si>
    <t>/appsheet/photograph/07018623.通帳.064418.pdf</t>
  </si>
  <si>
    <t>/appsheet/photograph/07018623.保険証.070807.pdf</t>
  </si>
  <si>
    <t>07018624</t>
  </si>
  <si>
    <t>/appsheet/photograph/227.写真.041507.jpg</t>
  </si>
  <si>
    <t>ロサベラ アプリル</t>
  </si>
  <si>
    <t>ROSABELLA APRIL</t>
  </si>
  <si>
    <t>ベリ</t>
  </si>
  <si>
    <t>UH51458516FA</t>
  </si>
  <si>
    <t>B-0377317-1618</t>
  </si>
  <si>
    <r>
      <rPr>
        <sz val="11"/>
        <color rgb="FF000000"/>
        <rFont val="MS PGothic"/>
        <family val="3"/>
        <charset val="128"/>
      </rPr>
      <t xml:space="preserve">2/5面接　合格
2025/10/17入寮・10/21入社
</t>
    </r>
    <r>
      <rPr>
        <sz val="11"/>
        <color rgb="FFFF0000"/>
        <rFont val="MS PGothic"/>
        <family val="3"/>
        <charset val="128"/>
      </rPr>
      <t>2026/1/21引越　牛渕170-3→コーポつよし2-4へ
家賃￥20000へ</t>
    </r>
  </si>
  <si>
    <t>/appsheet/photograph/07018624.在留カード表裏.075521.pdf</t>
  </si>
  <si>
    <t>管理表_Files_/07018624.パスポート.074119.pdf</t>
  </si>
  <si>
    <t>/appsheet/photograph/07018624.通帳.064439.pdf</t>
  </si>
  <si>
    <t>/appsheet/photograph/07018624.保険証.075303.pdf</t>
  </si>
  <si>
    <t>07018625</t>
  </si>
  <si>
    <t>/appsheet/photograph/228.写真.042410.jpg</t>
  </si>
  <si>
    <t>デヴィ セヴィヤニ</t>
  </si>
  <si>
    <t>DEVI SEVIYANI</t>
  </si>
  <si>
    <t>デヴィ</t>
  </si>
  <si>
    <t>UH92412804FA</t>
  </si>
  <si>
    <t>B-0377320-1741</t>
  </si>
  <si>
    <t>/appsheet/photograph/07018625.在留カード表裏.074247.pdf</t>
  </si>
  <si>
    <t>管理表_Files_/07018625.パスポート.074247.pdf</t>
  </si>
  <si>
    <t>/appsheet/photograph/07018625.通帳.064503.pdf</t>
  </si>
  <si>
    <t>/appsheet/photograph/07018625.保険証.071321.pdf</t>
  </si>
  <si>
    <t>07018626</t>
  </si>
  <si>
    <t>/appsheet/photograph/229.写真.042114.jpg</t>
  </si>
  <si>
    <t>リヴァニ ダマヤンティ ムティア チャルサ</t>
  </si>
  <si>
    <t>RIVANI DAMAYANTI MUTIA　CARSA</t>
  </si>
  <si>
    <t>ヴァニ</t>
  </si>
  <si>
    <t>UH87465575FA</t>
  </si>
  <si>
    <t>B-0377327-1595</t>
  </si>
  <si>
    <t>/appsheet/photograph/07018626.在留カード表裏.074335.pdf</t>
  </si>
  <si>
    <t>管理表_Files_/07018626.パスポート.074335.pdf</t>
  </si>
  <si>
    <t>/appsheet/photograph/07018626.通帳.064524.pdf</t>
  </si>
  <si>
    <t>/appsheet/photograph/07018626.保険証.075046.pdf</t>
  </si>
  <si>
    <t>07018627</t>
  </si>
  <si>
    <t>/appsheet/photograph/230.写真.042213.jpg</t>
  </si>
  <si>
    <t>ティアラ サフィトリ</t>
  </si>
  <si>
    <t>TIARA SAFITRI</t>
  </si>
  <si>
    <t>ティアラ</t>
  </si>
  <si>
    <t>UH90914513FA</t>
  </si>
  <si>
    <t>B-0377328-1113</t>
  </si>
  <si>
    <t>/appsheet/photograph/07018627.在留カード表裏.074838.pdf</t>
  </si>
  <si>
    <t>管理表_Files_/07018627.パスポート.074838.pdf</t>
  </si>
  <si>
    <t>/appsheet/photograph/07018627.通帳.064539.pdf</t>
  </si>
  <si>
    <t>/appsheet/photograph/07018627.保険証.075234.pdf</t>
  </si>
  <si>
    <t>07018628</t>
  </si>
  <si>
    <t>/appsheet/photograph/231.写真.042241.jpg</t>
  </si>
  <si>
    <t>ラティサ ディニ フェブリヤンティ</t>
  </si>
  <si>
    <t>RATISA DINI FEBRIYANTI</t>
  </si>
  <si>
    <t>ラティサ</t>
  </si>
  <si>
    <t>UH23191450FA</t>
  </si>
  <si>
    <t>B-0377329-1648</t>
  </si>
  <si>
    <t>/appsheet/photograph/07018628.在留カード表裏.074916.pdf</t>
  </si>
  <si>
    <t>管理表_Files_/07018628.パスポート.074916.pdf</t>
  </si>
  <si>
    <t>/appsheet/photograph/07018628.通帳.064603.pdf</t>
  </si>
  <si>
    <t>/appsheet/photograph/07018628.保険証.075115.pdf</t>
  </si>
  <si>
    <t>07018629</t>
  </si>
  <si>
    <t>/appsheet/photograph/232.写真.042304.jpg</t>
  </si>
  <si>
    <t>アングン シャフィラ</t>
  </si>
  <si>
    <t>ANGGUN SHAFIRA</t>
  </si>
  <si>
    <t>アングン</t>
  </si>
  <si>
    <t>UH81381598FA</t>
  </si>
  <si>
    <t>B-0377330-1060</t>
  </si>
  <si>
    <t>/appsheet/photograph/07018629.在留カード表裏.075000.pdf</t>
  </si>
  <si>
    <t>管理表_Files_/07018629.パスポート.075000.pdf</t>
  </si>
  <si>
    <t>/appsheet/photograph/07018629.通帳.064629.pdf</t>
  </si>
  <si>
    <t>/appsheet/photograph/07018629.保険証.075141.pdf</t>
  </si>
  <si>
    <t>07018630</t>
  </si>
  <si>
    <t>/appsheet/photograph/233.写真.074132.jpg</t>
  </si>
  <si>
    <t>ムハマド ギムナスティアル</t>
  </si>
  <si>
    <t>MUHAMAD GYMNASTIAR</t>
  </si>
  <si>
    <t>ギム</t>
  </si>
  <si>
    <t>松山市中野町457-1</t>
  </si>
  <si>
    <t>UH27560917FA</t>
  </si>
  <si>
    <t>Ｂ-0304389-V153</t>
  </si>
  <si>
    <t>/appsheet/photograph/07018630.在留カード表裏.075051.pdf</t>
  </si>
  <si>
    <t>管理表_Files_/07018630.パスポート.075051.pdf</t>
  </si>
  <si>
    <t>/appsheet/photograph/07018630.通帳.064652.pdf</t>
  </si>
  <si>
    <t>/appsheet/photograph/07018630.保険証.074851.pdf</t>
  </si>
  <si>
    <t>07018631</t>
  </si>
  <si>
    <t>/appsheet/photograph/234.写真.074220.jpg</t>
  </si>
  <si>
    <t>ムハッマド ユダ サプトラ</t>
  </si>
  <si>
    <t>MUHAMMAD YUDHA SAPUTRA</t>
  </si>
  <si>
    <t>ユダ</t>
  </si>
  <si>
    <t>UH82476295PC</t>
  </si>
  <si>
    <t>Ｂ-0304397-V165</t>
  </si>
  <si>
    <r>
      <rPr>
        <sz val="11"/>
        <color rgb="FF000000"/>
        <rFont val="MS PGothic"/>
        <family val="3"/>
        <charset val="128"/>
      </rPr>
      <t xml:space="preserve">2/5面接　合格
2025/10/17入寮・10/21入社
</t>
    </r>
    <r>
      <rPr>
        <sz val="11"/>
        <color rgb="FFFF0000"/>
        <rFont val="MS PGothic"/>
        <family val="3"/>
        <charset val="128"/>
      </rPr>
      <t>2025/11/8在留カードが、銀行口座作成してから紛失。
探したが見つからず。とりあえず、コピーを渡す。
11/10在留カード再発行</t>
    </r>
  </si>
  <si>
    <t>/appsheet/photograph/07018631.在留カード表裏.080014.pdf</t>
  </si>
  <si>
    <t>管理表_Files_/07018631.パスポート.075134.pdf</t>
  </si>
  <si>
    <t>/appsheet/photograph/07018631.通帳.064727.pdf</t>
  </si>
  <si>
    <t>/appsheet/photograph/07018631.保険証.075207.pdf</t>
  </si>
  <si>
    <t>07018632</t>
  </si>
  <si>
    <t>/appsheet/photograph/235.写真.074321.jpg</t>
  </si>
  <si>
    <t>ジラールル リド エス</t>
  </si>
  <si>
    <t>ZHILAALUL RIDHA S</t>
  </si>
  <si>
    <t>ジラ</t>
  </si>
  <si>
    <t>UH69715034FA</t>
  </si>
  <si>
    <t>Ｂ-0274813-V240</t>
  </si>
  <si>
    <t>/appsheet/photograph/07018632.在留カード表裏.075455.pdf</t>
  </si>
  <si>
    <t>管理表_Files_/07018632.パスポート.075455.pdf</t>
  </si>
  <si>
    <t>/appsheet/photograph/07018632.通帳.064747.pdf</t>
  </si>
  <si>
    <t>/appsheet/photograph/07018632.保険証.074913.pdf</t>
  </si>
  <si>
    <t>08001406</t>
  </si>
  <si>
    <t>/appsheet/photograph/07001424.写真.224706.jpg</t>
  </si>
  <si>
    <t>チャン ティ トゥー</t>
  </si>
  <si>
    <t>TRAN THI THU</t>
  </si>
  <si>
    <t>UH24579676FA</t>
  </si>
  <si>
    <t>2025/6/16面接　合格
ヒエンの妹　ヒエンと同部屋予定
2025/10/20入国・11/19入寮・11/21入社
家賃、光熱費はヒエン（姉）が全額支払う予定
雇用契約書上は問題ないか中四国　朴さん
へ問合せ中（工場長より10/23渡部）
→問題ないとのこと。</t>
  </si>
  <si>
    <t>/appsheet/photograph/00000000.在留カード表裏.064826.pdf</t>
  </si>
  <si>
    <t>管理表_Files_/00000000.パスポート.064826.pdf</t>
  </si>
  <si>
    <t>/appsheet/photograph/07001424.通帳.225645.jpg</t>
  </si>
  <si>
    <t>07018633</t>
  </si>
  <si>
    <t>/appsheet/photograph/07018633.写真.052002.jpg</t>
  </si>
  <si>
    <t>LJ63294244PC</t>
  </si>
  <si>
    <t>202409購入　旧フィ
26シルバー
B-0343708-V096</t>
  </si>
  <si>
    <t>2025/12/1～2028/01/31</t>
  </si>
  <si>
    <r>
      <rPr>
        <sz val="11"/>
        <color theme="1"/>
        <rFont val="MS PGothic"/>
        <family val="3"/>
        <charset val="128"/>
      </rPr>
      <t xml:space="preserve">2023/01/11入社2023/2/21～牛渕170-3母屋2F→上野ビレッジ4-502へ引越
住民票、在留カード手続済3/8
2025/02頃一時帰国希望→変更依頼中
10k瘦せたため、親より帰国依頼
2025/03/20退職
ナウファルの奥さん
再雇用時の入国の飛行機代は本人負担。布団のみ購入。
</t>
    </r>
    <r>
      <rPr>
        <sz val="11"/>
        <color rgb="FFFF0000"/>
        <rFont val="MS PGothic"/>
        <family val="3"/>
        <charset val="128"/>
      </rPr>
      <t>2025/11/30入寮　12/8入社
雇入時健康診断は2026/1月予定</t>
    </r>
  </si>
  <si>
    <t>/appsheet/photograph/07018633.在留カード表裏.061340.pdf</t>
  </si>
  <si>
    <t>/appsheet/photograph/07018633.パスポート.064330.pdf</t>
  </si>
  <si>
    <t>/appsheet/photograph/07018633.通帳.060527.pdf</t>
  </si>
  <si>
    <t>/appsheet/photograph/07018633.保険証.013917.pdf</t>
  </si>
  <si>
    <t>08001407</t>
  </si>
  <si>
    <t>/appsheet/photograph/00000000.写真.232024.jpg</t>
  </si>
  <si>
    <t>LJ00763243FA</t>
  </si>
  <si>
    <t>B-0304391-V134</t>
  </si>
  <si>
    <r>
      <rPr>
        <sz val="11"/>
        <color rgb="FF000000"/>
        <rFont val="MS PGothic"/>
        <family val="3"/>
        <charset val="128"/>
      </rPr>
      <t>夫ゴック。出産予定2025/02/25頃</t>
    </r>
    <r>
      <rPr>
        <sz val="11"/>
        <color rgb="FFFF0000"/>
        <rFont val="MS PGothic"/>
        <family val="3"/>
        <charset val="128"/>
      </rPr>
      <t xml:space="preserve">
2026/01/30入寮、2/3入社
</t>
    </r>
  </si>
  <si>
    <t>07018634</t>
  </si>
  <si>
    <t>/appsheet/photograph/07018634.写真.050945.jpg</t>
  </si>
  <si>
    <t>タフィフ　ヌル　アンディカ</t>
  </si>
  <si>
    <t>TAFIF NUR ANDIKA</t>
  </si>
  <si>
    <t>タフィフ</t>
  </si>
  <si>
    <t>中温</t>
  </si>
  <si>
    <t>2031/01</t>
  </si>
  <si>
    <t>LJ63250088PC</t>
  </si>
  <si>
    <t xml:space="preserve">B-0296116－X236 </t>
  </si>
  <si>
    <t>2026/3/1-2031/2/28</t>
  </si>
  <si>
    <t>妻ウフィク
2025/8/20ウフィクより中温で雇用してほしいとのこと。新開工場長は前向きに検討してほしいとのこと。2026の入社でかまわないのでとのこと
2025/09/01面接　合格　
2025/08/02ウフィクと結婚
ウフィクが休みの日に再度話をする予定</t>
  </si>
  <si>
    <t>/appsheet/photograph/07018634.在留カード表裏.063908.pdf</t>
  </si>
  <si>
    <t>/appsheet/photograph/07018634.パスポート.050831.pdf</t>
  </si>
  <si>
    <t>/appsheet/photograph/07018634.通帳.015209.pdf</t>
  </si>
  <si>
    <t>/appsheet/photograph/07018634.保険証.232836.pdf</t>
  </si>
  <si>
    <t>07018635</t>
  </si>
  <si>
    <t>/appsheet/photograph/07018635.写真.014652.jpg</t>
  </si>
  <si>
    <t>LJ13769919GA</t>
  </si>
  <si>
    <t>不要申出</t>
  </si>
  <si>
    <t>2026/5/1～</t>
  </si>
  <si>
    <t>/appsheet/photograph/07018635.在留カード表裏.014836.pdf</t>
  </si>
  <si>
    <t>/appsheet/photograph/07018635.パスポート.014836.pdf</t>
  </si>
  <si>
    <t>/appsheet/photograph/07018635.通帳.070752.pdf</t>
  </si>
  <si>
    <t>07018636</t>
  </si>
  <si>
    <t>/appsheet/photograph/22222222.写真.024058.jpg</t>
  </si>
  <si>
    <t>フェリンダ</t>
  </si>
  <si>
    <t>FELINDA</t>
  </si>
  <si>
    <t>松山市上野町774番地ビレッジハウス松山上野4₋407</t>
  </si>
  <si>
    <t>LJ58798422PC</t>
  </si>
  <si>
    <t>○</t>
  </si>
  <si>
    <t>/appsheet/photograph/07018636.在留カード表裏.070536.pdf</t>
  </si>
  <si>
    <t>/appsheet/photograph/22222222.パスポート.014937.pdf</t>
  </si>
  <si>
    <t>/appsheet/photograph/07018636.通帳.070657.pdf</t>
  </si>
  <si>
    <t>00000001</t>
  </si>
  <si>
    <t>アグス　プラヨガ</t>
  </si>
  <si>
    <t>AGUS PRAYOGA</t>
  </si>
  <si>
    <t>ヨガ</t>
  </si>
  <si>
    <t>松山市上野町774番地ビレッジハウス松山上野3ｰ508</t>
  </si>
  <si>
    <t>エヴィの夫</t>
  </si>
  <si>
    <t>00000002</t>
  </si>
  <si>
    <t>バン　ティ　タム</t>
  </si>
  <si>
    <t>BANG　THI　TAM</t>
  </si>
  <si>
    <t>バン</t>
  </si>
  <si>
    <t>アトム401</t>
  </si>
  <si>
    <t>6667
Ｂ－0246667-1158</t>
  </si>
  <si>
    <t>2025/9/22面接　合格</t>
  </si>
  <si>
    <t>00000003</t>
  </si>
  <si>
    <t>アルム　ムティアラ　ヴァレンティネザ　プトリ</t>
  </si>
  <si>
    <t>ARUM MUTIARA VALENTINEZA PUTRI</t>
  </si>
  <si>
    <t>ククの奥さん</t>
  </si>
  <si>
    <t>00000004</t>
  </si>
  <si>
    <t>チャン ティ シン</t>
  </si>
  <si>
    <t>TRAN THI SINH</t>
  </si>
  <si>
    <t>2026/4月末頃</t>
  </si>
  <si>
    <t>ライの妻</t>
  </si>
  <si>
    <t>2/18面接　合格
ライの奥さん</t>
  </si>
  <si>
    <t>00000005</t>
  </si>
  <si>
    <t>イルハム　マウラナ</t>
  </si>
  <si>
    <t>ILHAM　MAULANA</t>
  </si>
  <si>
    <t>イルハム</t>
  </si>
  <si>
    <t>中野町457-1</t>
  </si>
  <si>
    <t>4/25面接　合格</t>
  </si>
  <si>
    <t>00000006</t>
  </si>
  <si>
    <t>ヒクマル　ハナフィス</t>
  </si>
  <si>
    <t>HIKMAL HANAFIS</t>
  </si>
  <si>
    <t>ヒクマル</t>
  </si>
  <si>
    <t>連番</t>
  </si>
  <si>
    <t>日付</t>
  </si>
  <si>
    <t>時間</t>
  </si>
  <si>
    <t>登録者</t>
  </si>
  <si>
    <t>実習生</t>
  </si>
  <si>
    <t>場所</t>
  </si>
  <si>
    <t>申請区分</t>
  </si>
  <si>
    <t>完了区分</t>
  </si>
  <si>
    <t>登録画像１－１</t>
  </si>
  <si>
    <t>登録画像１－２</t>
  </si>
  <si>
    <t>登録記事</t>
  </si>
  <si>
    <t>対応１日付</t>
  </si>
  <si>
    <t>対応１時間</t>
  </si>
  <si>
    <t>対応者１</t>
  </si>
  <si>
    <t>対応画像１ー１</t>
  </si>
  <si>
    <t>対応画像１－２</t>
  </si>
  <si>
    <t>対応１記事</t>
  </si>
  <si>
    <t>対応２日付</t>
  </si>
  <si>
    <t>対応２時間</t>
  </si>
  <si>
    <t>対応者２</t>
  </si>
  <si>
    <t>対応画像２ー１</t>
  </si>
  <si>
    <t>対応画像２－２</t>
  </si>
  <si>
    <t>対応２記事</t>
  </si>
  <si>
    <t>対応３日付</t>
  </si>
  <si>
    <t>対応３時間</t>
  </si>
  <si>
    <t>対応者３</t>
  </si>
  <si>
    <t>対応画像３ー１</t>
  </si>
  <si>
    <t>対応画像３－２</t>
  </si>
  <si>
    <t>対応３記事</t>
  </si>
  <si>
    <t>対応４日付</t>
  </si>
  <si>
    <t>対応４時間</t>
  </si>
  <si>
    <t>対応者４</t>
  </si>
  <si>
    <t>対応画像４ー１</t>
  </si>
  <si>
    <t>対応画像４－２</t>
  </si>
  <si>
    <t>対応４記事</t>
  </si>
  <si>
    <t>対応５日付</t>
  </si>
  <si>
    <t>対応５時間</t>
  </si>
  <si>
    <t>対応者５</t>
  </si>
  <si>
    <t>対応画像５ー１</t>
  </si>
  <si>
    <t>対応画像５－２</t>
  </si>
  <si>
    <t>対応５記事</t>
  </si>
  <si>
    <t>池内</t>
  </si>
  <si>
    <t>ビレッジ4-502</t>
  </si>
  <si>
    <t>病院</t>
  </si>
  <si>
    <t>完了</t>
  </si>
  <si>
    <t>履歴_Images/1.対応画像１ー２.015505.jpg</t>
  </si>
  <si>
    <t>10.26から体調不良　10.28かどた内科にて受診でコロナ陽性　金曜日まで自宅療養</t>
  </si>
  <si>
    <t>ビレッジ3-501</t>
  </si>
  <si>
    <t>対応中</t>
  </si>
  <si>
    <t>10/29にチンティアから、11/12にどい心療内科へ連れてってほしいと相談。（最近眠れない、涙が出る。などの症状）本人が11：50診察予約している。チンティアのおばが通訳として病院に同行予定。</t>
  </si>
  <si>
    <t>尾崎</t>
  </si>
  <si>
    <t>新開工場長より、昨日、タブレット入力ミスを他の実習生に指摘され更衣室で泣いてた。その時に精神科受診の話を聞いた。本日、休み。明日も休むようなら様子を確認すると伝える。11.1_10時自宅にて池内さん尾崎で話し、落ち着いた様子。とりあえず、月曜日から仕事にはいく。ブイにも話しなくていいとのこと。また何かあれば、連絡依頼。11/4に11/3,11/4出勤確認。</t>
  </si>
  <si>
    <t>11/12どい心療内科受診。3か月ほど前から不安症状あり。他人からどう見られているのかとても気にしてしまい過剰に不安になる。失敗するのが怖く、色々考えて集中できない。10日分の薬をもらい11/22に再度受診予定。11月頭の実習生に怒られた件も少しトラウマになっているので、今後のチーム組むときにできれば配慮をしてほしいと工場長に相談した。</t>
  </si>
  <si>
    <t>11/22経過観察。インドネシアにいるときにも心療内科かかってたらしい。合う薬模索中。次回12/5 10:00~</t>
  </si>
  <si>
    <t>12/22済・次回1/23　9:50～</t>
  </si>
  <si>
    <t>新開工場長より、2026/3/13より2ヶ月ぐらい、自身の結婚のため帰国の申し出。日程の調整確認依頼</t>
  </si>
  <si>
    <t>10/30現在有休残３日、11/29付与12日、合計15日新開工場長へline済み</t>
  </si>
  <si>
    <t>/appsheet/rireki_photo/3.対応画像２ー１.231248.jpg</t>
  </si>
  <si>
    <t>/appsheet/rireki_photo/3.対応画像２－２.231248.jpg</t>
  </si>
  <si>
    <t>3/13結婚のため、一時帰国。5/10頃帰国し在留カード更新手続きを行うと話す。</t>
  </si>
  <si>
    <t>/appsheet/rireki_photo/3.対応画像３ー１.060848.jpg</t>
  </si>
  <si>
    <t>/appsheet/rireki_photo/3.対応画像３－２.060848.jpg</t>
  </si>
  <si>
    <t>/appsheet/rireki_photo/3.対応画像４ー１.000907.jpg</t>
  </si>
  <si>
    <t>3/12松山発17:40に変更。インドネシアへはノヴィと一緒</t>
  </si>
  <si>
    <t>ザーラより、LINEにて、12/20を最終出勤日として翌1/5の飛行機で大学に行くため帰国したい申し出。新開工場長へ電話にて報告</t>
  </si>
  <si>
    <t>10/30現在有休残４日。付与日は4/29のため、４日で新開工場長へline済</t>
  </si>
  <si>
    <t>/appsheet/rireki_photo/4.対応画像２ー１.041443.jpg</t>
  </si>
  <si>
    <t>本人より、12/20退職、12/末現金給与、1/7松山空港発(1/7退寮)、1/10東京発でチケットとった。チケット送付依頼し、そのスケジュールにて進めると伝える。1/10羽田空港11:45発</t>
  </si>
  <si>
    <t>最終出勤12/18　12/19と12/20は有給使用</t>
  </si>
  <si>
    <t>アトム705</t>
  </si>
  <si>
    <t>購入</t>
  </si>
  <si>
    <t>/appsheet/rireki_photo/5.登録画像１－１.012008.jpg</t>
  </si>
  <si>
    <t>/appsheet/rireki_photo/5.登録画像１－２.012009.jpg</t>
  </si>
  <si>
    <t>ヒエンの妹が入社するので、エアコン設置依頼</t>
  </si>
  <si>
    <t>竹内空調さんへ11/18までに設置依頼</t>
  </si>
  <si>
    <t>/appsheet/rireki_photo/5.対応画像２ー１.043834.jpg</t>
  </si>
  <si>
    <t>竹内空調にて設置済み　三菱エアコン　77,000税別　月末締め翌月OK</t>
  </si>
  <si>
    <t>コーポ津吉1-6</t>
  </si>
  <si>
    <t>修理</t>
  </si>
  <si>
    <t>コーポ津吉1-6で３日間Wifiが使えない状態の申し出。</t>
  </si>
  <si>
    <t>電源及び配線再起動により稼働、マデ休みにより</t>
  </si>
  <si>
    <t>問合せ</t>
  </si>
  <si>
    <t>/appsheet/rireki_photo/7.登録画像１－１.074924.jpg</t>
  </si>
  <si>
    <t>/appsheet/rireki_photo/7.登録画像１－２.074924.jpg</t>
  </si>
  <si>
    <t>新開工場長より、インドネシア時より、脊髄がまがる病気で重たいもの等をもつ仕事を変更してほしいとの申し出あり。入国前の健康診断でも問題がないため入国ができ、入国後の健康診断でも該当ないため、本人と面談を行う</t>
  </si>
  <si>
    <t>デフィとヤニと４人で牛渕２号館ではなし。病院には行ってない。とりあえず、できるところまでやってみて、ダメになる前に上長へ。新開工場長へ報告済み</t>
  </si>
  <si>
    <t>妊娠</t>
  </si>
  <si>
    <t>エカより、ニマが妊娠13週との連絡あり。今後について、相談すると伝える。</t>
  </si>
  <si>
    <t>新開工場長へline連絡</t>
  </si>
  <si>
    <t>エカと３人で津吉社長室にて話す。出産予定5/5、つばきウイメンズで出産予定、日本にて産みたい。エカも特定２号受けたい。入社が2025/6/17、転職のため、特定１号の期限が2027/3までのため、入官へ確認</t>
  </si>
  <si>
    <t>/appsheet/rireki_photo/8.対応画像３ー１.235743.jpg</t>
  </si>
  <si>
    <t>出産を県立中央病院へ変更した。予定通り3/25より産休予定</t>
  </si>
  <si>
    <t>11/4ヅエンから尾崎さんへ就労証明書発行依頼あり。→恒岡さんへ記入依頼済。出来上がり次第ヅエンへ届ける。</t>
  </si>
  <si>
    <t>本人へ就労証明書と年末調整の書類を渡す。年末調整は後日取りに来ると伝える。</t>
  </si>
  <si>
    <t>年末調整及び送金明細書回収する</t>
  </si>
  <si>
    <t>07001423</t>
  </si>
  <si>
    <t>11/6朴さんより宮内工場長へ連絡あり。ディンが4か月ほど生理が来ていないらしく、11/18に中四国が婦人科へ連れていくとのこと。</t>
  </si>
  <si>
    <t>一応、生理再開したとのことで病院は行かないことになった。</t>
  </si>
  <si>
    <t>/appsheet/rireki_photo/11.登録画像１－１.215912.jpg</t>
  </si>
  <si>
    <t>新開工場長より、２/２０退職、１０日後退寮の申し出あり、確認依頼。</t>
  </si>
  <si>
    <t>2/20退職してインドネシアに帰国する。2/末給料、3/1に松山発の予定。</t>
  </si>
  <si>
    <t>アトム404</t>
  </si>
  <si>
    <t>/appsheet/rireki_photo/12.登録画像１－１.231036.jpg</t>
  </si>
  <si>
    <t>宮内工場長に、皮膚に発疹みたいなものがあり、病院に行きたい申し出あり。11/7、９時に連れていく旨連絡。</t>
  </si>
  <si>
    <t>二宮皮ふ科受診。全身にかゆみと発疹あり。蕁麻疹と診断。２日前くらいから出ているので、食べ物などのアレルギーではなさそう。免疫低下やストレス？薬飲んで様子見る。</t>
  </si>
  <si>
    <t>11/17月曜日、子宮筋腫の手術</t>
  </si>
  <si>
    <t>恒岡さんより、デルタ四国の通訳よりTELあり、手術跡が大きく、当初11/30までやすみだったが、12/20ごろまでには出勤すると連絡あり。後日、12/1～の休暇届作成すること</t>
  </si>
  <si>
    <t>本人と面談。12/3水曜日が通院日。12/20まで傷口が大きいため休暇申出。12/3病院受診時に診断書をもらうとのこと</t>
  </si>
  <si>
    <t>紛失</t>
  </si>
  <si>
    <t>在留カードが、銀行口座作成してから紛失。探したが見つからず。とりあえず、コピーを渡す。</t>
  </si>
  <si>
    <t>11/6在留カード紛失の申し出。11/8に南署にて遺失物届を出した。受理番号1669。11/10に入管へ在留カード再発行申請をする予定。</t>
  </si>
  <si>
    <t>入官にて在留カード再発行を行い、昼、食堂にて渡す。</t>
  </si>
  <si>
    <t>２号試験終了後、２月初めから、２ヶ月一時帰国したい申し出あり。水沼さん了承。</t>
  </si>
  <si>
    <t>/appsheet/rireki_photo/15.対応画像１ー２.073801.jpg</t>
  </si>
  <si>
    <t>1/24～３/24まで一時帰国。広島空港発着</t>
  </si>
  <si>
    <t>新開工場長より、手が痛いので病院へ連れていってほしいとの依頼あり。以前、尾崎に話してたとのこと。10/4に日曜日に診察できる整形外科の案内があり、南松山病院を案内。その当時、ハクと一緒に行くと行っていたが、実際に診察したかどうかは不明。本日お昼に確認する。</t>
  </si>
  <si>
    <t>手首は痛いが、木曜日か金曜日でOK。新開工場長へ伝え、時間が分かったら連絡依頼。10/4は整形外科の先生がいないため診察しなかった。金澤整形でもOK</t>
  </si>
  <si>
    <t>11.13金澤受診。重いものや手首の曲げで負担かかっている。レントゲンにて、左手首、少し炎症してる。電気治療を何度か行いリハビリで様子見る。次回は11.29リハビリ。イーサンは次回より１人で受診</t>
  </si>
  <si>
    <t>ビレッジ2-502</t>
  </si>
  <si>
    <t>同部屋のアルバシタから、アイナの体調不良とLINEあり。数日前から声が出なくなっていた。近くのよしおか内科を案内。</t>
  </si>
  <si>
    <t>アルバシタと話す。イナは今日11:30～仕事で熱はなく声が出ない様子。明日、昼からなので、午前中、病院へ行くなら８時までにLINE依頼</t>
  </si>
  <si>
    <t>/appsheet/rireki_photo/17.対応画像２ー１.052518.jpg</t>
  </si>
  <si>
    <t>11/11　よしおか内科受診。熱はないため検査なし。鼻水・咳・声枯れの症状で薬飲んで様子見。仕事は通常通り勤務する。</t>
  </si>
  <si>
    <t>2026/2月に退職して帰国したい申し出。新開工場長へ連絡済み。帰りの飛行機代を確認依頼。</t>
  </si>
  <si>
    <t>履歴_Images/18.対応画像１ー２.025523.jpg</t>
  </si>
  <si>
    <t>/appsheet/rireki_photo/18.対応画像１－２.025523.jpg</t>
  </si>
  <si>
    <t>2/14広島空港13:00発チケット、交通手段確認</t>
  </si>
  <si>
    <t>/appsheet/rireki_photo/18.対応画像２－２.065708.jpg</t>
  </si>
  <si>
    <t>広島空港までは自分で行くとのこと</t>
  </si>
  <si>
    <t>/appsheet/rireki_photo/18.対応画像３ー１.065516.jpg</t>
  </si>
  <si>
    <t>/appsheet/rireki_photo/18.対応画像３－２.065516.jpg</t>
  </si>
  <si>
    <t>銀行及び転出届、広島空港２つ荷物をヤマト運輸持ち込み。保険証回収済み。家の鍵と自転車鍵はハンヘ土曜日に渡すとのこと。</t>
  </si>
  <si>
    <t>/appsheet/rireki_photo/19.登録画像１－１.082907.jpg</t>
  </si>
  <si>
    <t>/appsheet/rireki_photo/19.登録画像１－２.082907.jpg</t>
  </si>
  <si>
    <t>退寮日が変更になった。11/20退職、11/21退寮、11/21の15時頃の飛行機。11/21の9時部屋の立ち会いだが、事前に１８日～２０日までに部屋確認すると伝える</t>
  </si>
  <si>
    <t>履歴_Images/19.対応画像１ー２.082907.jpg</t>
  </si>
  <si>
    <t>/appsheet/rireki_photo/19.対応画像１－２.082910.jpg</t>
  </si>
  <si>
    <t>日曜日に掃除とゴミを捨てるよう指示。最終11/21の１０時訪問予定</t>
  </si>
  <si>
    <t>退去確認。部屋の鍵、自転車の鍵、保険証預り終了。デルタ四国立会</t>
  </si>
  <si>
    <t>ビレッジ中野さんから、松山南警察地域課高山さん958-0110より自転車が置かれており撤去依頼があったと連絡あり。</t>
  </si>
  <si>
    <t>昼休憩にて本人がおり、自転車撤去に向かう。朝、出勤時にアンディ二が自転車でこけてククが自転車で会社に連れて行った。アンディ二の自転車をチャンが乗って行って、チャンの自転車を日野車体の車庫に置いたため、日野車体より警察に連絡が入る。仕事終わりに取りに行く予定だった。</t>
  </si>
  <si>
    <t>チャン同席の上、日野車体に訪問し、お詫びし自転車を回収する。結構お怒りモードだったが、ご迷惑おかけしたことお詫びし了承をえる。</t>
  </si>
  <si>
    <t>大澤専務に報告後、新開工場長へ栗ご飯の素持参予定</t>
  </si>
  <si>
    <t>/appsheet/rireki_photo/21.登録画像１－１.024607.jpg</t>
  </si>
  <si>
    <t>/appsheet/rireki_photo/21.登録画像１－２.024607.jpg</t>
  </si>
  <si>
    <t>昨日から背中が痛いので病院へ行きたいとの申し出あり。</t>
  </si>
  <si>
    <t>右脇腹あたりが痛む。息するのも痛みがあるため、金澤受診。レントゲンをとり、症状から骨にヒビが入ってる可能性があるとのこと。固定バンドをつけて生活するように言われた。11.20に金澤を受診するよう言われた。１人では不安なので付き添って欲しいとのこと。仕事については、本人の無理のない範囲で行うよう伝えた</t>
  </si>
  <si>
    <t>呼吸時の痛みは治まったが、まだ起き上がるとき辛い。固定バンド外してたので、お風呂以外はバントするよう伝えた。12/4受診予定</t>
  </si>
  <si>
    <t>12/4にて、通院終了</t>
  </si>
  <si>
    <t>07012625</t>
  </si>
  <si>
    <t>昨日、病院へ行って妊娠４週ぐらい。まだ小さいため、安定したら再度話す。新開工場長へは連絡済み</t>
  </si>
  <si>
    <t>ブイより、流産したと報告あり。タオは本日休み。</t>
  </si>
  <si>
    <t>藤原さんより、ディンが体調不良なのか、仕事に来てないので部屋に見に行って欲しいとのことで渡部さんに見に行ってもらった。生理痛がひどく寝込んでいた。15日の昼から仕事に行くとのこと。18日には中四国と一緒に婦人科へ受診することになっている→病院行かなくていいとのこと。</t>
  </si>
  <si>
    <t>渡部</t>
  </si>
  <si>
    <t>牛渕１</t>
  </si>
  <si>
    <t>/appsheet/rireki_photo/24.登録画像１－１.013658.jpg</t>
  </si>
  <si>
    <t>エヴィより、手が腫れて病院へ行きたいとの申し出あり。11/15土曜日8:45迎え行くと伝える</t>
  </si>
  <si>
    <t>履歴_Images/24.対応画像１ー２.013658.jpg</t>
  </si>
  <si>
    <t>/appsheet/rireki_photo/24.対応画像１－２.013658.jpg</t>
  </si>
  <si>
    <t>金澤整形に受診、新開工場長と相談し、手の固定されてるので11/16休み、11/17病院へ行き、手の固定がどうなるかで勤務するか判断。11/17、11/20に病院へ行くと伝える。11/17金澤整形受診、痛みもまだあり固定器具もはずせないため、11/20受診まで休み、新開工場長へ連絡済み</t>
  </si>
  <si>
    <t>/appsheet/rireki_photo/24.対応画像２ー１.005843.jpg</t>
  </si>
  <si>
    <t>まだ内出血で腫れている。指を曲げるような仕事は控えるよう言われた。本人が早く仕事復帰したいというので、新開さんへ事情を伝えた上で11/20昼から勤務してみるとのこと。次回11/27受診予定。</t>
  </si>
  <si>
    <t>12/4受診。また来週も来るよう言われたが、本人はもう行かなくても大丈夫と言ってるので、今回で通院終了。</t>
  </si>
  <si>
    <t>11/27 経過良好だが、まだ少し痛み残っているため12/4に受診予定がある。オクトリヴィアも4日に受診なので二人で行くよう伝えた。12/11再診。痛みはないが右手握れない。</t>
  </si>
  <si>
    <t>宮内工場長より、アトムマンションに自転車を停めていたところ、紛失したとのこと。本人に詳細確認予定。</t>
  </si>
  <si>
    <t>ロンに詳細を確認したところ、11/11(火)の15時頃に買い物に行こうとしたところ無くなっていた。鍵はかけておいていた。代替自転車が必要とのことで、準備が出来し伝える。</t>
  </si>
  <si>
    <t>/appsheet/rireki_photo/25.対応画像２ー１.054120.jpg</t>
  </si>
  <si>
    <t>自転車6656（B-0246656）が準備できたので、ロンに鍵を渡した。</t>
  </si>
  <si>
    <t>子宮筋腫の手術のため、デルタより病院からの連帯保証人に雇用主様にて対応をお願いしたいとのメールあり。専務に確認したところ弊社で対応する旨了承済み。傷病手当で進めるようにとのこと。</t>
  </si>
  <si>
    <t>病院からの書類をデルタへ渡した。休暇届けをデルタの松岡さんに代筆で記入してもらう。傷病手当の書類を2セット渡し済み。11/20締めで1回目の申請をすると伝えた。</t>
  </si>
  <si>
    <t>デルタ　松岡さんより、傷病手当の書類が揃い次第、持って来られる予定。</t>
  </si>
  <si>
    <t>書類回収により申請終了</t>
  </si>
  <si>
    <t>中野２</t>
  </si>
  <si>
    <t>自転車が何かおかしい。中野２に置いている</t>
  </si>
  <si>
    <t>履歴_Images/27.対応画像１ー２.044644.jpg</t>
  </si>
  <si>
    <t>後輪にネジが刺さっていたため、抜いて対応終了</t>
  </si>
  <si>
    <t>ビレッジ3-507</t>
  </si>
  <si>
    <t>ナウファルより腰が痛いので病院へ連れていってほしいと連絡あり</t>
  </si>
  <si>
    <t>金澤整形受診。ぎっくり腰のため、次回11/20、痛みがまだあるようなら、11/27受診依頼。次回は自転車で行くよう指示。</t>
  </si>
  <si>
    <t>痛みほぼ治った。今ある薬飲み切ってもう病院行かなくていいとのこと。</t>
  </si>
  <si>
    <t>入社時の健康診断で貧血で要治療判定。専務より、貧血で倒れるといけないので病院を受診するよう言われた。有給がないため、土曜日に受診できる中野クリニックに行く予定。11/29午前中受診予定</t>
  </si>
  <si>
    <t>中野クリニック受診。鉄欠乏性貧血と診断され、1カ月薬を服用し、飲みきったら再度受診し採血の予定。</t>
  </si>
  <si>
    <t>ビレッジ3-508</t>
  </si>
  <si>
    <t>/appsheet/rireki_photo/30.登録画像１－１.234126.jpg</t>
  </si>
  <si>
    <t>/appsheet/rireki_photo/30.登録画像１－２.001414.jpg</t>
  </si>
  <si>
    <t>自転車がパンクしたと申し出あり。月曜日に対応する。カギが必要と伝える。</t>
  </si>
  <si>
    <t>履歴_Images/30.対応画像１ー２.065249.jpg</t>
  </si>
  <si>
    <t>/appsheet/rireki_photo/30.対応画像１－２.065248.jpg</t>
  </si>
  <si>
    <t>タイヤ交換、4,000円、鍵を前かごにいれる</t>
  </si>
  <si>
    <t>11/17の夜からガスが使えなくなったとの連絡あり。尾崎さんに見に行ってもらう。</t>
  </si>
  <si>
    <t>履歴_Images/31.対応画像１ー２.023432.jpg</t>
  </si>
  <si>
    <t>/appsheet/rireki_photo/31.対応画像１－２.023432.jpg</t>
  </si>
  <si>
    <t>トーカイガス089-932-3351に来てもらい、復旧。ガス欠だった。</t>
  </si>
  <si>
    <t>コーポ津吉1-2</t>
  </si>
  <si>
    <t>/appsheet/rireki_photo/32.登録画像１－１.215921.jpg</t>
  </si>
  <si>
    <t>健診で大腸がんの健診を受けるよう話す。来週夜勤のため受診可能。</t>
  </si>
  <si>
    <t>履歴_Images/32.対応画像１ー２.074922.jpg</t>
  </si>
  <si>
    <t>/appsheet/rireki_photo/32.対応画像１－２.074922.jpg</t>
  </si>
  <si>
    <t>■ 診察予約  【診察日時】2025年11月25日 10:30 【医療機関】眞柴消化器内科クリニック（TEL: 0899681202)　11/28(金)12：00～16:00大腸内視鏡検査　28日は仕事休むこと新開さんへ連絡済</t>
  </si>
  <si>
    <t>検査問題なく終了。異常もなく、結果は問題なし。</t>
  </si>
  <si>
    <t>07001605</t>
  </si>
  <si>
    <t>宮内工場長より2025/12/25～2/3まで一時帰国の申出あり。チケットは中温で取得の要請あり。</t>
  </si>
  <si>
    <t>履歴_Images/33.対応画像１ー２.030953.jpg</t>
  </si>
  <si>
    <t>/appsheet/rireki_photo/33.対応画像１－２.030953.jpg</t>
  </si>
  <si>
    <t>関西国際空港　12/25 10:00発　13:30着　ハノイ　2/2　01:05発　06:55着　往復115,800-にてチケット手配</t>
  </si>
  <si>
    <t>11/23に歯が痛く熱もあり病院に行きたいとLINEあり。休日2連休で病院も休診で職員も休日のため、25日まで様子見るとのこと。</t>
  </si>
  <si>
    <t>履歴_Images/34.対応画像１ー２.010745.jpg</t>
  </si>
  <si>
    <t>/appsheet/rireki_photo/34.対応画像１－２.022749.jpg</t>
  </si>
  <si>
    <t>11/25、9:30～グリーン歯科予約　11/25右奥歯下が腫れてて抜くしかない。３日分の化膿止めと熱覚ましをもらい、12/2に抜く予定。病院の先生より、疲れと化膿及び熱があるため木曜日まで休み。木曜日に症状連絡依頼→11/27少し腫れているが、痛み治まってきたので11/28から出勤。</t>
  </si>
  <si>
    <t>/appsheet/rireki_photo/34.対応画像２ー１.022749.jpg</t>
  </si>
  <si>
    <t>12/2抜歯した。12/9　9：30に消毒の為、再受診</t>
  </si>
  <si>
    <t>結婚</t>
  </si>
  <si>
    <t>ナナより、デウィマシトと来年結婚する。2026/7/18～9/4まで帰国結婚、中温で２人で住居したい申出。日程については、新開工場長と相談済。</t>
  </si>
  <si>
    <t>ナナとLINE交換しやり取りすると伝える</t>
  </si>
  <si>
    <t>/appsheet/rireki_photo/35.対応画像２ー１.224711.jpg</t>
  </si>
  <si>
    <t>/appsheet/rireki_photo/35.対応画像２－２.224710.jpg</t>
  </si>
  <si>
    <t>ナナより、チケットもらう</t>
  </si>
  <si>
    <t>牛渕２</t>
  </si>
  <si>
    <t>/appsheet/rireki_photo/36.登録画像１－１.053858.jpg</t>
  </si>
  <si>
    <t>６、２５、３６、８、１、１２、１５、１４</t>
  </si>
  <si>
    <t>６の自転車を中野１へ移動</t>
  </si>
  <si>
    <t>/appsheet/rireki_photo/37.登録画像１－１.055108.jpg</t>
  </si>
  <si>
    <t>電気が弱い</t>
  </si>
  <si>
    <t>履歴_Images/37.対応画像１ー２.055108.jpg</t>
  </si>
  <si>
    <t>電球が切れているため、電球交換</t>
  </si>
  <si>
    <t>口の周りが荒れて痛みがあり皮膚科に行きたいと申し出。１人で行くのは不安なので着いてきてほしいとのこと。11/29 9:00八木皮膚科受診予定</t>
  </si>
  <si>
    <t>歯磨き粉や、リップクリームが合わないのかも？ワセリン100パーのものを使うこと、口の周りを拭きすぎないことを指導された。塗り薬を1～2週間使って治らなければ再受診。</t>
  </si>
  <si>
    <t>/appsheet/rireki_photo/39.登録画像１－１.112134.jpg</t>
  </si>
  <si>
    <t>デラよりLINEで退職したい申し出あり。いつ頃退職して帰国したいのかヒアリングする。有給残12日（12月付与）と４時間</t>
  </si>
  <si>
    <t>/appsheet/rireki_photo/39.対応画像１ー２.013036.jpg</t>
  </si>
  <si>
    <t>デラと話し、退職希望日は1/20だが、1月が厳しいなら2/20でも構わない。とりあえず体調がよくないので帰国したいとのこと。新開さんへLINE済。→新開さんより2/20退職で。とのこと。デラにLINE済</t>
  </si>
  <si>
    <t>/appsheet/rireki_photo/40.登録画像１－１.232819.jpg</t>
  </si>
  <si>
    <t>/appsheet/rireki_photo/40.登録画像１－２.232819.jpg</t>
  </si>
  <si>
    <t>母親が手術のため、一時帰国を希望、12/14～1/10まで</t>
  </si>
  <si>
    <t>履歴_Images/40.対応画像１ー２.230924.jpg</t>
  </si>
  <si>
    <t>新開工場長相談済。12/14～1/10まで。有給等後日と伝える。→12/2有給提出したとのこと</t>
  </si>
  <si>
    <t>松山空港送迎完了</t>
  </si>
  <si>
    <t>エヴィより、銀行のキャッシュカードが間違えてロックがかかったとのこと。</t>
  </si>
  <si>
    <t>伊予銀富永様へ確認済。12/2に暗所番号変更手続き書類持ってきてくれる。</t>
  </si>
  <si>
    <t>大街道支店にてキャッシュカード即時発行。レギタへカードも渡し完了</t>
  </si>
  <si>
    <t>牛渕１別棟</t>
  </si>
  <si>
    <t>新開工場長よりメルヴァ12/15～1/9帰国希望のラインあり。</t>
  </si>
  <si>
    <t>/appsheet/rireki_photo/42.対応画像１ー２.030538.jpg</t>
  </si>
  <si>
    <t>/appsheet/rireki_photo/42.対応画像１－２.030537.jpg</t>
  </si>
  <si>
    <t>チケットにて日程確認。12/14～1/10一時帰国</t>
  </si>
  <si>
    <t>新開工場長より昨日掃除中に頭をぶつけ、仕事を続けてたが、その後駐輪場で倒れた。今日休んでおり、昼から男の子より病院へ行きたいと申出があったため、確認依頼。朝一確認すると伝える。</t>
  </si>
  <si>
    <t>現在、意識もしっかりしており、ご飯もさっき食べた。朝まではしんどかったが現在は大丈夫とのことで様子を見る。昨日１９時頃頭をぶつけ２２時頃退社。ライハンと一緒に自転車を押してかえった。本日は休みにし何か調子がおかしかったら連絡依頼。新開工場長連絡済。</t>
  </si>
  <si>
    <t>/appsheet/rireki_photo/43.対応画像２ー１.003909.jpg</t>
  </si>
  <si>
    <t>体調は大丈夫と返信もあり、12/3も朝から出勤しているようなので、そのまま様子見。</t>
  </si>
  <si>
    <t>新開工場長より、妊娠したとの申し出あり。</t>
  </si>
  <si>
    <t>チカと話す。家族帯同ビザに夫に資格変更してもらう。3/20退職にてスケジュール。出産予定は８月とのこと</t>
  </si>
  <si>
    <t>3/20退職</t>
  </si>
  <si>
    <t>12/3に退職の申し出。帰国し、大学へ通いたいとのこと。本人は、2/20退職希望しているが、新開さんは3/20ではだめかとのこと。（12月に有給12日付与予定で計14日になる予定）</t>
  </si>
  <si>
    <t>/appsheet/rireki_photo/45.対応画像１ー２.072915.jpg</t>
  </si>
  <si>
    <t>/appsheet/rireki_photo/45.対応画像１－２.013015.jpg</t>
  </si>
  <si>
    <t>本人は3月には大学が始まるので2月退職を強く希望。新開さんへ了承をもらい、2/20退職で進める。</t>
  </si>
  <si>
    <t>携帯</t>
  </si>
  <si>
    <t>エヴィより12/6土曜日に携帯契約したい申し出。</t>
  </si>
  <si>
    <t>尾崎 , 池内</t>
  </si>
  <si>
    <t>牛渕より楽天へ。契約時、リヴァニ、ギム、ジラも来て契約。</t>
  </si>
  <si>
    <t>ビレッジ4-501</t>
  </si>
  <si>
    <t>自転車パンクして修理の依頼あり。明日対応すると伝える</t>
  </si>
  <si>
    <t>/appsheet/rireki_photo/47.対応画像１ー２.083045.jpg</t>
  </si>
  <si>
    <t>/appsheet/rireki_photo/47.対応画像１－２.083045.jpg</t>
  </si>
  <si>
    <t>カドタ自転車にて前輪のブレーキと後輪交換。6,000円</t>
  </si>
  <si>
    <t>07001608</t>
  </si>
  <si>
    <t>アトム305</t>
  </si>
  <si>
    <t>/appsheet/rireki_photo/48.登録画像１－１.094142.jpg</t>
  </si>
  <si>
    <t>/appsheet/rireki_photo/48.登録画像１－２.094142.jpg</t>
  </si>
  <si>
    <t>天井から水が落ちてくる。蛍光灯が切れた</t>
  </si>
  <si>
    <t>/appsheet/rireki_photo/48.対応画像１ー２.085452.jpg</t>
  </si>
  <si>
    <t>/appsheet/rireki_photo/48.対応画像１－２.085452.jpg</t>
  </si>
  <si>
    <t>蛍光灯交換済。水漏れは行った時には確認できず。</t>
  </si>
  <si>
    <t>ビレッジ2-502 , ビレッジ4-502</t>
  </si>
  <si>
    <t>クレーム</t>
  </si>
  <si>
    <t>ビレッジ中野さんより、2-502と4-502の段ボールの出し方の指導依頼。段ボールは縛って出すことになってる。</t>
  </si>
  <si>
    <t>アルバシタとプジャにLINEにて部屋の全員へ通知依頼</t>
  </si>
  <si>
    <t>アトム404と604について、カンの出し方の指導依頼。ペットやプラスチックにカンが含まれている</t>
  </si>
  <si>
    <t>昼礼時に全員に注意喚起</t>
  </si>
  <si>
    <t>石崎さんより、アトム606の人より騒音のクレームあり。注意及び気を付けるよう依頼あり</t>
  </si>
  <si>
    <t>昼礼後、注意喚起</t>
  </si>
  <si>
    <t>/appsheet/rireki_photo/52.登録画像１－１.041311.jpg</t>
  </si>
  <si>
    <t>ナウファルより、レザが頭痛で休むので病院へ連れていってほしいと連絡あり。一人で行けないか確認中</t>
  </si>
  <si>
    <t>風邪ではなく疲れからのようなので、様子見。</t>
  </si>
  <si>
    <t>ナウファルより、インドネシアで洪水の災害で、家が浸水したと連絡あり。月曜日に確認すると返信</t>
  </si>
  <si>
    <t>インドネシアで被害を受け５日間連絡が取れなく被害を受けたが、どうしようもないためとのことで終了</t>
  </si>
  <si>
    <t>ククより、妻を2/10～２ヶ月間、短期滞在ビザで呼びたい。一緒に生活したい。申請するために、住民票、納税、課税証明書を取得してほしい申し出。</t>
  </si>
  <si>
    <t>本人と面談。マンスリーマンションの説明を行い、ククの部屋にいるなら協力すると伝え、別途部屋を用意することはしないと伝える。短期滞在ビザの申請については協力すると伝える。</t>
  </si>
  <si>
    <t>1/19入管へ特定技能１号として申請</t>
  </si>
  <si>
    <t>3/27入管より入国許可の通知が届く</t>
  </si>
  <si>
    <t>17000007</t>
  </si>
  <si>
    <t>12/15　最近胃の不調がある。宮内工場長が朴さんへ病院へ連れていくよう連絡済</t>
  </si>
  <si>
    <t>12/17朴さん同行で受診。胃カメラをし、12/23に再受診予定</t>
  </si>
  <si>
    <t>朴さんより、病院に行って診察するも、特に問題なし。本人も納得とのことで終了。</t>
  </si>
  <si>
    <t>ビレッジ4-505</t>
  </si>
  <si>
    <t>H＆Cが用意した冷蔵庫が小さすぎるため、全然入れれなくて困っている。大きい冷蔵庫がほしいとのこと。尾崎さんへ相談</t>
  </si>
  <si>
    <t>新しいものを購入するのは難しいが中古のものはあれば優先的に譲る。すぐの対応はできないと伝えている。</t>
  </si>
  <si>
    <t>/appsheet/rireki_photo/57.登録画像１－１.231749.jpg</t>
  </si>
  <si>
    <t>/appsheet/rireki_photo/57.登録画像１－２.231749.jpg</t>
  </si>
  <si>
    <t>頭が痛く、病院へ行きたい申し出あり。よしおか内科へ行けるか確認。１人で行けそうなので、先に行ってもらい、後で駆けつけるとLINE</t>
  </si>
  <si>
    <t>/appsheet/rireki_photo/57.対応画像１ー２.235720.jpg</t>
  </si>
  <si>
    <t>よしおか内科受診。現在、36.1度、はなみずのみの症状のため、症状抗生物質をもらい様子見。まだ体調が悪いため、通院予定。</t>
  </si>
  <si>
    <t>07004405</t>
  </si>
  <si>
    <t>アトム602</t>
  </si>
  <si>
    <t>12/17　頭痛で早退。薬あるということで、昼に様子見行く</t>
  </si>
  <si>
    <t>池内 , 渡部</t>
  </si>
  <si>
    <t>部屋も見たが不在。</t>
  </si>
  <si>
    <t>アトム504</t>
  </si>
  <si>
    <t>/appsheet/rireki_photo/59.登録画像１－１.233826.jpg</t>
  </si>
  <si>
    <t>宮内工場長より電球交換の依頼。風呂の電球交換</t>
  </si>
  <si>
    <t>12/16に朴さんと婦人科受診。生理不順の改善が見られないため、12/23に検査結果が出る予定とのこと。引き続き朴さんと連携を取りながら様子見る。</t>
  </si>
  <si>
    <t>朴さんより、本日病院受診したが、１１月に生理が来てるとのことで、特に問題はないようだとのこと。２月までまだないようなら再度受診予定</t>
  </si>
  <si>
    <t>ギムから頭痛と吐き気で休んでいる。と連絡あり。病院は自転車で行くのしんどいから行かないとのこと</t>
  </si>
  <si>
    <t>エヴィより、呼吸が１週間ほどしんどいので、原因がしりたい。土曜日に呼吸器内科受診予定</t>
  </si>
  <si>
    <t>カハリの病院の結果は異常はありませんでした。 ですが、背骨が少し曲がっていて姿勢が悪くなっているので、それのせいで息が苦しくなることがあるのかもしれません。 長時間同じ姿勢にならないように気をつけてみてください。とのこと。</t>
  </si>
  <si>
    <t>/appsheet/rireki_photo/62.対応画像２ー１.232701.jpg</t>
  </si>
  <si>
    <t>ラストノからカハリ良くならない、痛いと言っているとのことで他院受診希望。12/27　11：30　眞柴消化器内科予約</t>
  </si>
  <si>
    <t>眞柴消化器内科へ受診。レントゲン、採血異常なし。息苦しさは休みの日にはならない。年末年始の休暇でしっかり体休めるようにつたえた。</t>
  </si>
  <si>
    <t>/appsheet/rireki_photo/63.登録画像１－１.121300.jpg</t>
  </si>
  <si>
    <t>イナからガス使えなくなったとのこと。連絡来たのが夜なので、翌日20日に対応すると伝えた。</t>
  </si>
  <si>
    <t>/appsheet/rireki_photo/63.対応画像１ー２.001016.jpg</t>
  </si>
  <si>
    <t>/appsheet/rireki_photo/63.対応画像１－２.001016.jpg</t>
  </si>
  <si>
    <t>四国ガス燃料、990-1200へ連絡。ACの表示は長時間ガスを使用したため安全装置が働いて、止まったとのこと。鍵の開けて解除し、復旧。イナに解除方法伝える</t>
  </si>
  <si>
    <t>宮内工場長より、家庭の事情により2026/1/27より一時帰国もしくは退職の予定とのこと。</t>
  </si>
  <si>
    <t>宮内工場長より、1/24退職、1/24給料現金払い、1/25退寮　1/22、23有給使用　最終出勤日1/21 帰りの飛行機代は会社負担になるのか宮内工場長より確認してほしいとのこと。</t>
  </si>
  <si>
    <t>1/25のバスにて関空へ</t>
  </si>
  <si>
    <t>/appsheet/rireki_photo/65.登録画像１－１.030930.jpg</t>
  </si>
  <si>
    <t>牛渕１のレンジの皿が割れた。皿を交換する</t>
  </si>
  <si>
    <t>廃棄予定電子レンジより交換にて終了</t>
  </si>
  <si>
    <t>携帯契約したい申し出。12/27午前中に行きたい</t>
  </si>
  <si>
    <t>楽天重信　10:00で予約</t>
  </si>
  <si>
    <t>携帯契約で終了　070-9449-6583</t>
  </si>
  <si>
    <t>申請中</t>
  </si>
  <si>
    <t>/appsheet/rireki_photo/67.登録画像１－１.075345.jpg</t>
  </si>
  <si>
    <t>新開工場長よりラティフとミャナが7/21～9/20まで結婚のため一時帰国希望のＬＩＮＥあり。</t>
  </si>
  <si>
    <t>/appsheet/rireki_photo/67.対応画像１ー２.055640.jpg</t>
  </si>
  <si>
    <t>/appsheet/rireki_photo/67.対応画像１－２.055640.jpg</t>
  </si>
  <si>
    <t>チケット画面</t>
  </si>
  <si>
    <t>/appsheet/rireki_photo/68.登録画像１－１.215049.jpg</t>
  </si>
  <si>
    <t>/appsheet/rireki_photo/68.登録画像１－２.215049.jpg</t>
  </si>
  <si>
    <t>自転車修理依頼</t>
  </si>
  <si>
    <t>/appsheet/rireki_photo/68.対応画像１ー２.074701.jpg</t>
  </si>
  <si>
    <t>/appsheet/rireki_photo/68.対応画像１－２.074701.jpg</t>
  </si>
  <si>
    <t>カドタ自転車にて修理。2,600円</t>
  </si>
  <si>
    <t>アトム605</t>
  </si>
  <si>
    <t>/appsheet/rireki_photo/69.登録画像１－１.233325.jpg</t>
  </si>
  <si>
    <t>/appsheet/rireki_photo/69.登録画像１－２.233325.jpg</t>
  </si>
  <si>
    <t>宮内工場長より昨日自転車で事故したとの報告あり。8:05に相手先に電話するも出ず。8:13朴さんに一報し、本人より事故の状況聞き取り依頼。</t>
  </si>
  <si>
    <t>/appsheet/rireki_photo/69.対応画像１ー２.075527.jpg</t>
  </si>
  <si>
    <t>/appsheet/rireki_photo/69.対応画像１－２.081445.jpg</t>
  </si>
  <si>
    <t>11:45相手の母親より連絡あり。090-3379-6981、山根さん、担当者などを送付いただいた。</t>
  </si>
  <si>
    <t>/appsheet/rireki_photo/69.対応画像２ー１.001324.jpg</t>
  </si>
  <si>
    <t>/appsheet/rireki_photo/69.対応画像２－２.053112.jpg</t>
  </si>
  <si>
    <t>シーに聞き取り（ダット通訳）写真の場所にてぶつかった、朴さんより、連絡をとるがシーより連絡がないとのこと。</t>
  </si>
  <si>
    <t>/appsheet/rireki_photo/69.対応画像３ー１.002148.jpg</t>
  </si>
  <si>
    <t>/appsheet/rireki_photo/69.対応画像３－２.002148.jpg</t>
  </si>
  <si>
    <t>3/25に2,600円の振込を行ったと連絡あり。</t>
  </si>
  <si>
    <t>/appsheet/rireki_photo/69.対応画像４ー１.002148.jpg</t>
  </si>
  <si>
    <t>アトム606の方より、毎日騒音がひどいとのことでアトムへ怒鳴りこんできているとのこと。</t>
  </si>
  <si>
    <t>ヒエンに気を付けるよう伝えた。ご主人、トゥーにも伝えてもらうようにした。</t>
  </si>
  <si>
    <t>ヒエンに聞き取り、夜が遅く料理をしている可能性があるため、再度、注意を依頼</t>
  </si>
  <si>
    <t>/appsheet/rireki_photo/71.登録画像１－１.232114.jpg</t>
  </si>
  <si>
    <t>給料について問い合わせあり</t>
  </si>
  <si>
    <t>/appsheet/rireki_photo/71.対応画像１ー２.232220.jpg</t>
  </si>
  <si>
    <t>新開工場長へLINEにて連絡。対応依頼。</t>
  </si>
  <si>
    <t>新開工場長より説明を受け納得したとの回答あり</t>
  </si>
  <si>
    <t>一時帰国 , 結婚</t>
  </si>
  <si>
    <t>/appsheet/rireki_photo/72.登録画像１－１.224426.jpg</t>
  </si>
  <si>
    <t>新開工場長より、LINEにて、2025/4/20～6/3まで、自身の結婚のため一時帰国の申し出あり。また、次の特定２号の試験の申し出ありとのこと</t>
  </si>
  <si>
    <t>連番 127 日付 2026/02/19 時間 12:39:07 登録者 尾崎 実習生 コフィファー ヌル コエリヤー View Ref (実習生) 申請区分 一時帰国 完了区分 申請中 登録記事 4/20～6/5帰国。在留カード更新、4/15頃行う</t>
  </si>
  <si>
    <t>3/12入管へ提出</t>
  </si>
  <si>
    <t>/appsheet/rireki_photo/73.登録画像１－１.032137.jpg</t>
  </si>
  <si>
    <t>/appsheet/rireki_photo/73.登録画像１－２.032137.jpg</t>
  </si>
  <si>
    <t>楽天より弁護士を使ってメールあり、対応してほしいとのこと。市ヶ谷中央法律事務所　05031172527</t>
  </si>
  <si>
    <t>弁護士事務所へ電話したが本人同席でないと対応できないと言われた。後日レザと改めて電話する</t>
  </si>
  <si>
    <t>レザ同席の元、弁護士事務所へ連絡。滞納分R7.7～10月分￥13,195。12/25レザからお金を預かり支払い済。</t>
  </si>
  <si>
    <t>スハルより、サエと一緒に別棟に移っていいかの問い合わせ。ウフィック、ウイッティOKとのことで部屋を見て決めたい</t>
  </si>
  <si>
    <t>別棟へ移動はいやとのことで、食堂の前に移る。ウィックに２名探すよう指示。</t>
  </si>
  <si>
    <t>/appsheet/rireki_photo/75.登録画像１－１.053631.jpg</t>
  </si>
  <si>
    <t>中野２の自転車置場が、夜間暗いため電気を設置依頼</t>
  </si>
  <si>
    <t>/appsheet/rireki_photo/75.対応画像１ー２.053631.jpg</t>
  </si>
  <si>
    <t>/appsheet/rireki_photo/75.対応画像１－２.053631.jpg</t>
  </si>
  <si>
    <t>ダイキにて購入し、仮設置</t>
  </si>
  <si>
    <t>12/26にナウファルにて問題ないとの回答。</t>
  </si>
  <si>
    <t>チンや子供で大変なため、育児休暇を延長依頼。確認すると伝える</t>
  </si>
  <si>
    <t>1/31まで延長にて回答、本人了承</t>
  </si>
  <si>
    <t>/appsheet/rireki_photo/77.登録画像１－１.083652.jpg</t>
  </si>
  <si>
    <t>/appsheet/rireki_photo/77.登録画像１－２.083652.jpg</t>
  </si>
  <si>
    <t>/appsheet/rireki_photo/77.対応画像１ー２.083652.jpg</t>
  </si>
  <si>
    <t>/appsheet/rireki_photo/77.対応画像１－２.084647.jpg</t>
  </si>
  <si>
    <t>参加登録はしましたが、１人で参加はむずかしいので確認すること</t>
  </si>
  <si>
    <t>/appsheet/rireki_photo/77.対応画像２ー１.042450.jpg</t>
  </si>
  <si>
    <t>/appsheet/rireki_photo/77.対応画像２－２.042450.jpg</t>
  </si>
  <si>
    <t>アイシャーも成人式出席のため、参加登録。東温市役所にも、２名で参加、連絡して問題ない回答</t>
  </si>
  <si>
    <t>/appsheet/rireki_photo/78.登録画像１－１.080618.jpg</t>
  </si>
  <si>
    <t>/appsheet/rireki_photo/78.登録画像１－２.080618.jpg</t>
  </si>
  <si>
    <t>明日、病院へ連れて行ってほしいと連絡あり。熱３８咳と喉が痛い症状。明日、よしおか内科予約し連絡する。朝８時までに症状報告依頼。サニアも同じ症状のため病院へ行きたい</t>
  </si>
  <si>
    <t>よしおか内科受診、リズキはインフルB、サニアは該当なし。サニアはインフルの薬でていないとのこと。</t>
  </si>
  <si>
    <t>リズキより薬の追加がほしいと連絡あり。よしおか内科に確認。４日分の薬と１０回分の咳止めを処方してもらい840円。</t>
  </si>
  <si>
    <t>コーポ津吉2-4</t>
  </si>
  <si>
    <t>/appsheet/rireki_photo/79.登録画像１－１.225855.jpg</t>
  </si>
  <si>
    <t>アリフより、マヤンとダナンが熱との連絡あり。</t>
  </si>
  <si>
    <t>本日の病院は雨等により無理とのことで、1/6(火曜日)10:30で再予約</t>
  </si>
  <si>
    <t>池内 , 尾崎</t>
  </si>
  <si>
    <t>1/6よしおか内科受診。ダナンはインフルA。解熱すれば11日より勤務。マヤングは陰性で熱もないため、昼から勤務。</t>
  </si>
  <si>
    <t>ビレッジ1-205</t>
  </si>
  <si>
    <t>/appsheet/rireki_photo/80.登録画像１－１.235023.jpg</t>
  </si>
  <si>
    <t>給湯器が使用できないとの申し出あり。管理人に確認すると伝える</t>
  </si>
  <si>
    <t>お湯が出たと報告あり。完了</t>
  </si>
  <si>
    <t>5日くらい前から、頭痛、左胸あたりが痛み苦しくなる。吐き気あり。夜も寝れないなどの症状があり、病院へ行きたいとのこと。</t>
  </si>
  <si>
    <t>1/6くぼた呼吸器内科へ受診。症状を伝えたが尿検査、血圧測って終了。仮病じゃないかと言われ、吐き気の薬飲み処方。とりあえず、処方された薬飲んで様子見。</t>
  </si>
  <si>
    <t>1/17に病状確認。本人的に治ったとのこと。</t>
  </si>
  <si>
    <t>/appsheet/rireki_photo/82.登録画像１－１.231529.jpg</t>
  </si>
  <si>
    <t>一時帰国の申出。3/12に変更～4/10までアンディニと一緒とのこと</t>
  </si>
  <si>
    <t>/appsheet/rireki_photo/83.登録画像１－１.122539.jpg</t>
  </si>
  <si>
    <t>/appsheet/rireki_photo/83.登録画像１－２.123809.jpg</t>
  </si>
  <si>
    <t>手がぶつぶつができて痒いので病院へ行きたい申し出あり。新開工場長へLINE連絡済み</t>
  </si>
  <si>
    <t>1/8八木皮膚科受診。両手の手の甲、両腕、両足にひどめの湿疹でかゆい。乾燥がひどいのが原因。塗り薬多めに貰い様子見てみる。</t>
  </si>
  <si>
    <t>ビレッジ4-407</t>
  </si>
  <si>
    <t>/appsheet/rireki_photo/84.登録画像１－１.215241.jpg</t>
  </si>
  <si>
    <t>新開工場長より、月曜日1/5より指が少し腫れていると連絡あり。今週様子見て治らないようなら来週病院へ</t>
  </si>
  <si>
    <t>/appsheet/rireki_photo/84.対応画像１ー２.080221.jpg</t>
  </si>
  <si>
    <t>左手中指、右手薬指が痛い、来週痛いようなら再度連絡依頼。→1/24（土）金澤整形受診</t>
  </si>
  <si>
    <t>金澤受診。レントゲンでは異常はないが、リウマチの可能性もあるかもしれないので採血を実施。次回1/31に検査結果とリハビリ予定(ナナと二人で行くとのこと)</t>
  </si>
  <si>
    <t>/appsheet/rireki_photo/85.登録画像１－１.002700.jpg</t>
  </si>
  <si>
    <t>冷蔵庫が冷えない申し出があり、確認に行くと冷蔵が出来ない様子</t>
  </si>
  <si>
    <t>/appsheet/rireki_photo/85.対応画像１ー２.080138.jpg</t>
  </si>
  <si>
    <t>冷えないため、専務に相談、2019年8月購入のため、購入相談、OK</t>
  </si>
  <si>
    <t>/appsheet/rireki_photo/85.対応画像２ー１.080702.jpg</t>
  </si>
  <si>
    <t>ケーズ電気にて購入、1/17土曜日配達</t>
  </si>
  <si>
    <t>ケーズ電気にて購入搬入</t>
  </si>
  <si>
    <t>アトム402</t>
  </si>
  <si>
    <t>/appsheet/rireki_photo/86.登録画像１－１.055902.jpg</t>
  </si>
  <si>
    <t>宮内工場長より、ヌーの一時帰国6/15～8/2の連絡あり。（飛行機は6/16　9:20大阪発～8/1　7:50大阪着）</t>
  </si>
  <si>
    <t>中野３</t>
  </si>
  <si>
    <t>/appsheet/rireki_photo/87.登録画像１－１.102030.jpg</t>
  </si>
  <si>
    <t>ミャナより現在しばらくばね指で通院しているが、薬でも改善しないため、手術になるとのこと。1/17の朝に受診予定のために一緒に話を聞きに行くことにする。</t>
  </si>
  <si>
    <t>金澤より、日赤へ紹介状を送ってもらった。後日、日赤へいつ受診行くかなど連絡来る。引き続き池内対応します。→1/28　13:00～日赤</t>
  </si>
  <si>
    <t>日赤の整形受診。ばね指の症状の、指の引っ掛かりが強い。今回は注射で痛み緩和の処置。1か月後に改善がなければ手術の日程を決めましょうという話になった。次回、2月25日(水)13:10～</t>
  </si>
  <si>
    <t>3/17 午前中手術　3/25抜糸　予定。新開工場長と大西さん連絡済み</t>
  </si>
  <si>
    <t>/appsheet/rireki_photo/88.登録画像１－１.111237.jpg</t>
  </si>
  <si>
    <t>自転車のペダル修理依頼</t>
  </si>
  <si>
    <t>/appsheet/rireki_photo/88.対応画像１ー２.001235.jpg</t>
  </si>
  <si>
    <t>/appsheet/rireki_photo/88.対応画像１－２.001235.jpg</t>
  </si>
  <si>
    <t>クランプを抜くには特殊な工具が必要なため、門田サイクルへ、月曜日まで預ける</t>
  </si>
  <si>
    <t>/appsheet/rireki_photo/88.対応画像３ー１.054033.jpg</t>
  </si>
  <si>
    <t>/appsheet/rireki_photo/88.対応画像３－２.054033.jpg</t>
  </si>
  <si>
    <t>古い自転車の部品と交換。工賃2,000円</t>
  </si>
  <si>
    <t>/appsheet/rireki_photo/89.登録画像１－１.111450.jpg</t>
  </si>
  <si>
    <t>自転車のパンク修理依頼。会社にある様子</t>
  </si>
  <si>
    <t>/appsheet/rireki_photo/89.対応画像１ー２.035224.jpg</t>
  </si>
  <si>
    <t>修理終了</t>
  </si>
  <si>
    <t>エカより、1/15午後、ニマを椿ウイメンズに一緒にいってほしいとの話があり。時間を連絡依頼</t>
  </si>
  <si>
    <t>/appsheet/rireki_photo/90.対応画像１ー２.124350.jpg</t>
  </si>
  <si>
    <t>明日の病院はなし。次回は自分で行くとの申し出</t>
  </si>
  <si>
    <t>ビレッジ2-506</t>
  </si>
  <si>
    <t>/appsheet/rireki_photo/91.登録画像１－１.010524.jpg</t>
  </si>
  <si>
    <t>/appsheet/rireki_photo/91.登録画像１－２.074303.jpg</t>
  </si>
  <si>
    <t>おやしらずがいたく歯医者にいくと連絡あり。あとで、病院の予約ずみの様子。グリーン歯科　9:00</t>
  </si>
  <si>
    <t>おやしらずを抜く、なにもなければ、終了</t>
  </si>
  <si>
    <t>1/16発熱で早退したと連絡あり。38度くらい。17日(土)に八木耳鼻咽喉科にて発熱外来受けれるようにこちらで病院の手配をする。病院へはインフル、コロナの検査希望をつたえた。予約制ではないので朝8：30～11：00までに受付するように伝えた。</t>
  </si>
  <si>
    <t>インフルA。発症日が1/16(金)で、1/21まで自宅療養。新開さんへ連絡済。特定1号保険は未加入</t>
  </si>
  <si>
    <t>/appsheet/rireki_photo/93.登録画像１－１.135003.jpg</t>
  </si>
  <si>
    <t>/appsheet/rireki_photo/93.登録画像１－２.135003.jpg</t>
  </si>
  <si>
    <t>エヴィより、牛渕に国民年金の紙が来たとのこと。確認すると伝える</t>
  </si>
  <si>
    <t>アイシャーからとの返事</t>
  </si>
  <si>
    <t>/appsheet/rireki_photo/94.登録画像１－１.233403.jpg</t>
  </si>
  <si>
    <t>エヴィより連絡あり。</t>
  </si>
  <si>
    <t>/appsheet/rireki_photo/94.対応画像１ー２.022552.jpg</t>
  </si>
  <si>
    <t>一度取り外す、中野１へ</t>
  </si>
  <si>
    <t>/appsheet/rireki_photo/94.対応画像２ー１.022552.jpg</t>
  </si>
  <si>
    <t>/appsheet/rireki_photo/94.対応画像２－２.022552.jpg</t>
  </si>
  <si>
    <t>4-507ヒダヤットの部屋の分と交換する</t>
  </si>
  <si>
    <t>/appsheet/rireki_photo/94.対応画像３ー１.094705.jpg</t>
  </si>
  <si>
    <t>パイプに穴が開いたため、パイプ交換</t>
  </si>
  <si>
    <t>/appsheet/rireki_photo/95.登録画像１－１.011729.jpg</t>
  </si>
  <si>
    <t>/appsheet/rireki_photo/95.登録画像１－２.011729.jpg</t>
  </si>
  <si>
    <t>アトム６０６の谷森さんより騒音についての問い合わせあり。</t>
  </si>
  <si>
    <t>谷森さんへ連絡して確認。現在のところ、穏やかな日々を送っているとのこと。何かあれば、連絡を依頼。</t>
  </si>
  <si>
    <t>21時頃、ジラより電話があり、ベリが外で倒れ気絶したとのこと。ジラがコーポ津吉まで連れて帰った。新開工場長へ連絡をし、様子を見に行っていただく。</t>
  </si>
  <si>
    <t>/appsheet/rireki_photo/96.対応画像１ー２.133221.jpg</t>
  </si>
  <si>
    <t>新開工場長よりべリの様子を見に行っていただき、意識あり、熱無し。薬飲ませて対応していただきました。翌朝、べリの様子を見に行き報告すると伝えました</t>
  </si>
  <si>
    <t>/appsheet/rireki_photo/96.対応画像２ー１.225707.jpg</t>
  </si>
  <si>
    <t>/appsheet/rireki_photo/96.対応画像２－２.225706.jpg</t>
  </si>
  <si>
    <t>平成脳神経外科受診、MRI、血液検査共に問題なし。血圧102/56で血圧が低いため、脳に血液が送られるにが低下したため、脳低血圧による失神ではないかとのこと。脱水症状もあるため、水分及び食事をきちんととるよう指示。専務より、２日は休んで体調整えるよう指示あり。山本統括にも報告済み</t>
  </si>
  <si>
    <t>1/23より勤務している</t>
  </si>
  <si>
    <t>/appsheet/rireki_photo/97.登録画像１－１.040204.jpg</t>
  </si>
  <si>
    <t>レギタより、オリフェアとノビと３人で下の部屋に移動したいと申請あり。</t>
  </si>
  <si>
    <t>３人が移動したと報告あり</t>
  </si>
  <si>
    <t>/appsheet/rireki_photo/98.登録画像１－１.003330.jpg</t>
  </si>
  <si>
    <t>宮内工場長より、ヌーの一時帰国2/5～3/7の連絡あり。（飛行機は2/5　13：30広島発～3/7　12:00広島着）</t>
  </si>
  <si>
    <t>ビレッジ1-303</t>
  </si>
  <si>
    <t>3/1～家の建築のため一時帰国したい申出。新開工場長へ報告済みだが、本人より伝えるよう伝える。</t>
  </si>
  <si>
    <t>/appsheet/rireki_photo/99.対応画像１ー２.010017.jpg</t>
  </si>
  <si>
    <t>/appsheet/rireki_photo/99.対応画像１－２.012048.jpg</t>
  </si>
  <si>
    <t>飛行機チケット受領。2/26～4/14の飛行機（広島発着）2/25最終出勤、4/15勤務開始</t>
  </si>
  <si>
    <t>/appsheet/rireki_photo/100.登録画像１－１.230839.jpg</t>
  </si>
  <si>
    <t>自転車の鍵が折れた。自分でやってみて出来なければ連絡依頼</t>
  </si>
  <si>
    <t>/appsheet/rireki_photo/100.対応画像１ー２.050334.jpg</t>
  </si>
  <si>
    <t>/appsheet/rireki_photo/100.対応画像１－２.050334.jpg</t>
  </si>
  <si>
    <t>鍵を取り出す</t>
  </si>
  <si>
    <t>/appsheet/rireki_photo/101.登録画像１－１.231049.jpg</t>
  </si>
  <si>
    <t>新開工場長より、5/6～6/6まで一時帰国のメールあり。</t>
  </si>
  <si>
    <t>/appsheet/rireki_photo/102.登録画像１－１.013055.jpg</t>
  </si>
  <si>
    <t>/appsheet/rireki_photo/102.登録画像１－２.013055.jpg</t>
  </si>
  <si>
    <t>1/25 11時過ぎ頃寮を出る予定。自転車と寮の鍵はホンへ渡すとのこと。1/26に回収予定。自転車の確認済。エレベーター付近の駐輪場へ停めている。NO.7919</t>
  </si>
  <si>
    <t>/appsheet/rireki_photo/102.対応画像２ー１.013816.jpg</t>
  </si>
  <si>
    <t>中野２へ</t>
  </si>
  <si>
    <t>/appsheet/rireki_photo/103.登録画像１－１.091523.jpg</t>
  </si>
  <si>
    <t>足に痛みがあり、病院へ行きたいとLINEあり。</t>
  </si>
  <si>
    <t>/appsheet/rireki_photo/103.対応画像１ー２.032103.jpg</t>
  </si>
  <si>
    <t>/appsheet/rireki_photo/103.対応画像１－２.032103.jpg</t>
  </si>
  <si>
    <t>自転車で転倒した際に怪我した。膝から足首にかけて打撲しており内出血しているため、足を引きずっている状態。金澤整形にて受診。骨折や筋肉の損傷はないが痛みが引くまで無理しない様にとのこと。２月１週目に再受診させる予定。（仕事終わり18時頃に行くように伝えた）</t>
  </si>
  <si>
    <t>足の怪我も治ったとのこと</t>
  </si>
  <si>
    <t>/appsheet/rireki_photo/104.登録画像１－１.235827.jpg</t>
  </si>
  <si>
    <t>藤原副工場長より、ロンが目に出来物ができて病院へ行きたいと申し出があり。近くの病院に空きがないため、直接行くと伝える</t>
  </si>
  <si>
    <t>あおば眼科受診。石が発生しているため、取る。まだ、下に石がありそれが表面に出てくることがあり、表面に出てきたら取るしかないとのこと。今回石を取るので出血してるので１時間ぐらい痛みがある。３日間目薬を処方し終了。</t>
  </si>
  <si>
    <t>再度、痛みが発生したため再受診。目をさわったことにより、めいぼができた。飲み薬を処方し様子を見る</t>
  </si>
  <si>
    <t>/appsheet/rireki_photo/105.登録画像１－１.232527.jpg</t>
  </si>
  <si>
    <t>自転車の調子が悪いと連絡あり。男の子が直してくれたので一旦は大丈夫そうとのことだが、また修理依頼が来るかもしれません</t>
  </si>
  <si>
    <t>/appsheet/rireki_photo/106.登録画像１－１.014345.jpg</t>
  </si>
  <si>
    <t>/appsheet/rireki_photo/106.登録画像１－２.014345.jpg</t>
  </si>
  <si>
    <t>ホンより、４０１の台所の排水が漏れると連絡あり。アトム石崎さんへ連絡。1/27火曜日9:30に予約が取れたと連絡あり。</t>
  </si>
  <si>
    <t>石崎さんより業者手配し完了</t>
  </si>
  <si>
    <t>/appsheet/rireki_photo/107.登録画像１－１.230157.jpg</t>
  </si>
  <si>
    <t>/appsheet/rireki_photo/107.登録画像１－２.230157.jpg</t>
  </si>
  <si>
    <t>６０２の風呂の水漏れ、石崎さんへLINE済</t>
  </si>
  <si>
    <t>石崎さん対応済み</t>
  </si>
  <si>
    <t>アトム406</t>
  </si>
  <si>
    <t>/appsheet/rireki_photo/108.登録画像１－１.230839.jpg</t>
  </si>
  <si>
    <t>洗濯機の給水のところが合わない。</t>
  </si>
  <si>
    <t>/appsheet/rireki_photo/108.対応画像１ー２.020230.jpg</t>
  </si>
  <si>
    <t>ダイキにて部品購入し、設置</t>
  </si>
  <si>
    <t>ビレッジ4-504</t>
  </si>
  <si>
    <t>/appsheet/rireki_photo/109.登録画像１－１.230846.jpg</t>
  </si>
  <si>
    <t>/appsheet/rireki_photo/109.登録画像１－２.230846.jpg</t>
  </si>
  <si>
    <t>エカより、駐車場契約について相談あり。明日、確認して連絡すると伝える。</t>
  </si>
  <si>
    <t>/appsheet/rireki_photo/109.対応画像１ー２.000903.jpg</t>
  </si>
  <si>
    <t>ビレッジへ契約対応中</t>
  </si>
  <si>
    <t>ビレッジより許可証等届いたため、エカへＬＩＮＥ及び津吉印刷し本人へ</t>
  </si>
  <si>
    <t>/appsheet/rireki_photo/110.登録画像１－１.035110.jpg</t>
  </si>
  <si>
    <t>エヴィより、タラユニの自転車がパンクで修理依頼。明日、行うと通知</t>
  </si>
  <si>
    <t>/appsheet/rireki_photo/110.対応画像１ー２.064330.jpg</t>
  </si>
  <si>
    <t>現在パンクしていないため、大西工場長代理に連絡。エヴィに確認及び本人より、空気をいれてしばらくすると抜けてるとのこと。現在のところパンクしていないので様子を見てと伝える</t>
  </si>
  <si>
    <t>/appsheet/rireki_photo/111.登録画像１－１.044838.jpg</t>
  </si>
  <si>
    <t>ロパから、鼻水が止まらない。夜も寝れないので、病院でアレルギー検査を受けたいとのこと。アレルギー検査できる病院を探すと伝えている。→1/31㈯　8:15～よしおか内科へ。一人で行く。何かあったら池内へ電話かかってくるので対応する。</t>
  </si>
  <si>
    <t>/appsheet/rireki_photo/111.対応画像１ー２.041911.jpg</t>
  </si>
  <si>
    <t>検査結果は異常なく、たまねぎのアレルギーはなし。</t>
  </si>
  <si>
    <t>/appsheet/rireki_photo/112.登録画像１－１.222237.jpg</t>
  </si>
  <si>
    <t>新開工場長より、リリスが昨日手を怪我したと連絡あり。病院へはいっており、月曜日も行くとの報告あり。</t>
  </si>
  <si>
    <t>/appsheet/rireki_photo/112.対応画像１ー２.231514.jpg</t>
  </si>
  <si>
    <t>デュアナからも連絡あり。</t>
  </si>
  <si>
    <t>/appsheet/rireki_photo/112.対応画像２ー１.120842.jpg</t>
  </si>
  <si>
    <t>中川病院にて1/31と2/2に処置してもらった。2/3も受診予定。2/4から出勤したいとのこと</t>
  </si>
  <si>
    <t>/appsheet/rireki_photo/113.登録画像１－１.225737.jpg</t>
  </si>
  <si>
    <t>/appsheet/rireki_photo/113.登録画像１－２.225737.jpg</t>
  </si>
  <si>
    <t>チンより、出産一時金の用紙について、問い合わせあり。近く訪問するので、そのときに記入する。</t>
  </si>
  <si>
    <t>/appsheet/rireki_photo/113.対応画像１ー２.031004.jpg</t>
  </si>
  <si>
    <t>書類作成し、提出依頼</t>
  </si>
  <si>
    <t>/appsheet/rireki_photo/114.登録画像１－１.225804.jpg</t>
  </si>
  <si>
    <t>退職後の書類の依頼があり。</t>
  </si>
  <si>
    <t>/appsheet/rireki_photo/114.対応画像１ー２.001445.jpg</t>
  </si>
  <si>
    <t>資格取得証明書送付、後は、退職後、送付予定</t>
  </si>
  <si>
    <t>/appsheet/rireki_photo/115.登録画像１－１.001516.jpg</t>
  </si>
  <si>
    <t>2/2～体調不良で休んでいる。頭が痛いので病院へ行きたいとのこと。八木耳鼻咽喉科へ連絡</t>
  </si>
  <si>
    <t>八木病院へ受診。コロナ、インフル陰性。風邪薬もらう</t>
  </si>
  <si>
    <t>日本にいる友達を中温に転職の依頼。履歴書、在留カード、パスポート、A2、飲食資格を送るよう伝える</t>
  </si>
  <si>
    <t>3人対応中</t>
  </si>
  <si>
    <t>/appsheet/rireki_photo/117.登録画像１－１.044532.jpg</t>
  </si>
  <si>
    <t>/appsheet/rireki_photo/117.登録画像１－２.044531.jpg</t>
  </si>
  <si>
    <t>2/5　マヤングより足が痛い、かゆくて我慢できない。靴履くのもつらく病院へ連れていってほしいとのこと。尾崎さんが津吉付近にいるので病院同行お願いした。同日同時間にデヴィメルヴァも八木病院へ行くことになっていたので、一緒に。</t>
  </si>
  <si>
    <t>八木皮膚科受診。しもやけ。寒いため、靴下などで温くする。薬をもらい様子を見る</t>
  </si>
  <si>
    <t>アトム石崎さんより、５０２の人が来て、昨日、洗面台の上から水が雨のように降ってきたとのこと。現地確認すると、洗濯機の排水と台所の排水が悪いとのことで、石崎さんへ伝える。本日、13:30に現地確認予定</t>
  </si>
  <si>
    <t>アトム石崎さんより、昨日、配管を交換したが、詰まりが直ってない様子。月曜日、業者手配し連絡しますとのこと。</t>
  </si>
  <si>
    <t>作業終了の連絡あり</t>
  </si>
  <si>
    <t>/appsheet/rireki_photo/119.登録画像１－１.061120.jpg</t>
  </si>
  <si>
    <t>外の配水管が詰まってるのでは？と問い合わせ。明日、確認すると返信</t>
  </si>
  <si>
    <t>/appsheet/rireki_photo/119.対応画像１ー２.065217.jpg</t>
  </si>
  <si>
    <t>/appsheet/rireki_photo/119.対応画像１－２.065217.jpg</t>
  </si>
  <si>
    <t>保険の福岡さんへ、保険適応できないか確認依頼。</t>
  </si>
  <si>
    <t>/appsheet/rireki_photo/119.対応画像２ー１.051108.jpg</t>
  </si>
  <si>
    <t>/appsheet/rireki_photo/119.対応画像２－２.051103.jpg</t>
  </si>
  <si>
    <t>福岡さんより保険の対象外。アベレージ社長へ確認を依頼。コスモ技研さんかどや技研にて確認。シャワー室下にて詰まりや温水より水漏れしてる様子。明日、１４時以降対応</t>
  </si>
  <si>
    <t>かどや設備西村さんにて、対応済み</t>
  </si>
  <si>
    <t>かどや設備にて再度修理</t>
  </si>
  <si>
    <t>２/20ディアナより再度水漏れの連絡あり。かどや設備さんへ連絡</t>
  </si>
  <si>
    <t>/appsheet/rireki_photo/120.登録画像１－１.034840.jpg</t>
  </si>
  <si>
    <t>/appsheet/rireki_photo/120.登録画像１－２.034840.jpg</t>
  </si>
  <si>
    <t>エヴィより連絡あり。２週間前から小指が痛いので病院へ行きたい</t>
  </si>
  <si>
    <t>炎症しているのか腫れている。骨は異常なし。痛み止めと湿布で様子見。2/20に再度受診予定。</t>
  </si>
  <si>
    <t>まだ痛む。次回2/27　仕事終わり17：00以降に自分で行くよう指示</t>
  </si>
  <si>
    <t>ヒダヤットより、洗濯機が壊れたと連絡あり。</t>
  </si>
  <si>
    <t>/appsheet/rireki_photo/121.対応画像１ー２.013531.jpg</t>
  </si>
  <si>
    <t>/appsheet/rireki_photo/121.対応画像１－２.013531.jpg</t>
  </si>
  <si>
    <t>これだけの洗濯物が絡んでた</t>
  </si>
  <si>
    <t>/appsheet/rireki_photo/121.対応画像２ー１.013531.jpg</t>
  </si>
  <si>
    <t>/appsheet/rireki_photo/121.対応画像２－２.014155.jpg</t>
  </si>
  <si>
    <t>全ての洗濯物を撤去。稼働確認</t>
  </si>
  <si>
    <t>Wifiが繋がらない</t>
  </si>
  <si>
    <t>/appsheet/rireki_photo/122.対応画像１ー２.053948.jpg</t>
  </si>
  <si>
    <t>再起動し、接続確認</t>
  </si>
  <si>
    <t>/appsheet/rireki_photo/123.登録画像１－１.063604.jpg</t>
  </si>
  <si>
    <t>/appsheet/rireki_photo/123.登録画像１－２.063603.jpg</t>
  </si>
  <si>
    <t>電気がつかない</t>
  </si>
  <si>
    <t>/appsheet/rireki_photo/123.対応画像１ー２.063604.jpg</t>
  </si>
  <si>
    <t>/appsheet/rireki_photo/123.対応画像１－２.063606.jpg</t>
  </si>
  <si>
    <t>廃棄分より同じサイズの分を一時的に取り付け</t>
  </si>
  <si>
    <t>/appsheet/rireki_photo/124.登録画像１－１.225453.jpg</t>
  </si>
  <si>
    <t>/appsheet/rireki_photo/124.登録画像１－２.225454.jpg</t>
  </si>
  <si>
    <t>一時帰国したい申し出。祖母の調子が悪いとのことだが、3/10～８月までは長すぎるし、在留カードが更新できない。検討中</t>
  </si>
  <si>
    <t>履歴_Images/124.対応画像１ー１.085723.jpg</t>
  </si>
  <si>
    <t>帰国までに在留カード更新を条件に帰国。新開工場長連絡済み</t>
  </si>
  <si>
    <t>/appsheet/rireki_photo/124.対応画像２ー１.041845.jpg</t>
  </si>
  <si>
    <t>帰国3/10～5/22でチケット確定</t>
  </si>
  <si>
    <t>/appsheet/rireki_photo/125.登録画像１－１.231105.jpg</t>
  </si>
  <si>
    <t>自転車後ろタイヤパンク</t>
  </si>
  <si>
    <t>/appsheet/rireki_photo/125.対応画像１ー２.045311.jpg</t>
  </si>
  <si>
    <t>タイヤが避けていたのでタイヤとチューブ交換。4000円立て替え。</t>
  </si>
  <si>
    <t>/appsheet/rireki_photo/126.登録画像１－１.052732.jpg</t>
  </si>
  <si>
    <t>/appsheet/rireki_photo/126.登録画像１－２.052732.jpg</t>
  </si>
  <si>
    <t>シンクの水が溢れるとのことで、石崎さんに対応依頼。</t>
  </si>
  <si>
    <t>石崎さんより完了報告あり</t>
  </si>
  <si>
    <t>ビレッジ3-103</t>
  </si>
  <si>
    <t>/appsheet/rireki_photo/127.登録画像１－１.072027.jpg</t>
  </si>
  <si>
    <t>/appsheet/rireki_photo/127.登録画像１－２.072027.jpg</t>
  </si>
  <si>
    <t>管理人さんより通路に放置してたので、上に上げた。改造もしているとのこと。本人に戻すよう指示。</t>
  </si>
  <si>
    <t>/appsheet/rireki_photo/128.登録画像１－１.103448.jpg</t>
  </si>
  <si>
    <t>/appsheet/rireki_photo/128.登録画像１－２.103449.jpg</t>
  </si>
  <si>
    <t>自転車置き場の屋根のトタンが外れて危険</t>
  </si>
  <si>
    <t>/appsheet/rireki_photo/128.対応画像１ー２.103449.jpg</t>
  </si>
  <si>
    <t>ダイキにて購入して修理</t>
  </si>
  <si>
    <t>/appsheet/rireki_photo/129.登録画像１－１.132936.jpg</t>
  </si>
  <si>
    <t>デルタ四国松岡さんより、子宮筋腫の手術に伴い体調が優れない為、業務量の少ない業種へ転職を希望  退職日希望日 2026年3月24日  退寮希望日 未定</t>
  </si>
  <si>
    <t>履歴_Images/129.対応画像１ー１.085840.jpg</t>
  </si>
  <si>
    <t>有給４日、カット勤務のため、3/12最終出勤。3/20退職。3/31給料は組合へ渡す</t>
  </si>
  <si>
    <t>ブイより、タオが妊娠。出産予定９月１８日で、西条に夫婦で行く予定のため、病院で迷っている。現在ツバキウイメンズ。後日相談。</t>
  </si>
  <si>
    <t>2/25　ブイから、今後の子育てのことなどを踏まえ、松山に残るか西条に行くかもう一度検討したい。と相談があった。新開工場長へ伝えブイと話してもらう。</t>
  </si>
  <si>
    <t>/appsheet/rireki_photo/131.登録画像１－１.033957.jpg</t>
  </si>
  <si>
    <t>/appsheet/rireki_photo/131.登録画像１－２.063855.jpg</t>
  </si>
  <si>
    <t>シンクの給湯器が使用できないと連絡あり</t>
  </si>
  <si>
    <t>/appsheet/rireki_photo/131.対応画像１－２.005818.jpg</t>
  </si>
  <si>
    <t>/appsheet/rireki_photo/131.対応画像２ー１.070639.jpg</t>
  </si>
  <si>
    <t>電池交換して動作確認。終了</t>
  </si>
  <si>
    <t>/appsheet/rireki_photo/132.登録画像１－１.063536.jpg</t>
  </si>
  <si>
    <t>自転車の鍵を紛失して、交換依頼</t>
  </si>
  <si>
    <t>履歴_Images/132.対応画像１ー１.015541.jpg</t>
  </si>
  <si>
    <t>/appsheet/rireki_photo/132.対応画像１－２.021931.jpg</t>
  </si>
  <si>
    <t>予備のカギが合わないため、検討依頼</t>
  </si>
  <si>
    <t>かどた自転車に確認。自転車のカギ番号が分からなければ無理。購入したところに確認依頼</t>
  </si>
  <si>
    <t>/appsheet/rireki_photo/133.登録画像１－１.063802.jpg</t>
  </si>
  <si>
    <t>5/2～6/2まで一時帰国予定、チケット送付依頼</t>
  </si>
  <si>
    <t>履歴_Images/133.対応画像１ー１.094658.jpg</t>
  </si>
  <si>
    <t>チケット</t>
  </si>
  <si>
    <t>朝、賞味期限切れの食パンを食べて、吐いている。新開工場長と相談し、退社し後で確認しに行くと伝える</t>
  </si>
  <si>
    <t>１６時頃、頭が痛いとのことでしたが、１２時頃よりは体調はいいとのことで、何かあれば連絡をもらうようにしてます。</t>
  </si>
  <si>
    <t>お昼食堂にて、大丈夫との返事</t>
  </si>
  <si>
    <t>/appsheet/rireki_photo/135.登録画像１－１.230351.jpg</t>
  </si>
  <si>
    <t>/appsheet/rireki_photo/135.登録画像１－２.230351.jpg</t>
  </si>
  <si>
    <t>アリより、一時帰国申し出</t>
  </si>
  <si>
    <t>3/14～4/21帰国にてチケット済</t>
  </si>
  <si>
    <t>宮内工場長より、ロン5月頃帰国したいとのこと。在留カード期限５/２９のため日程確認</t>
  </si>
  <si>
    <t>履歴_Images/136.対応画像１ー１.002835.jpg</t>
  </si>
  <si>
    <t>在留カード更新書類は提出済み。5/6～6/9まで帰国。チケット有。</t>
  </si>
  <si>
    <t>ビレッジ3-108</t>
  </si>
  <si>
    <t>ビレッジハウス管理人中野さんより、段ボール等片付け依頼。インドネシアリーダーへLINE。</t>
  </si>
  <si>
    <t>/appsheet/rireki_photo/138.登録画像１－１.012546.jpg</t>
  </si>
  <si>
    <t>/appsheet/rireki_photo/138.登録画像１－２.012546.jpg</t>
  </si>
  <si>
    <t>新開工場長から、アユサ３９度発熱と連絡あり。本人に症状聞き取りし、よしおか内科へ行く手配した。アユサ１人で受診。</t>
  </si>
  <si>
    <t>履歴_Images/138.対応画像１ー１.085223.jpg</t>
  </si>
  <si>
    <t>/appsheet/rireki_photo/138.対応画像１－２.085223.jpg</t>
  </si>
  <si>
    <t>領収書預かる</t>
  </si>
  <si>
    <t>宮内工場長から、ロアン一時帰国５月～２か月くらい希望とのこと。在留カード期限9/29</t>
  </si>
  <si>
    <t>宮内工場長より、専門級試験の学科の結果が合格点数に達してなかったため、5月に実習2号終了で退職となる旨を工場長から本人へ伝えたとのことです。</t>
  </si>
  <si>
    <t>大西工場長代理より、２日前から熱で休んでおり現在も３７.２とのことで、病院へ行きたいとのこと。明日は休みとのことで、、明日、確認しに行くと伝える。</t>
  </si>
  <si>
    <t>ギムと会うも、現在、熱もなく様子を見るでいいとのこと</t>
  </si>
  <si>
    <t>/appsheet/rireki_photo/142.登録画像１－１.230534.jpg</t>
  </si>
  <si>
    <t>エヴィより、自転車パンク修理依頼</t>
  </si>
  <si>
    <t>履歴_Images/142.対応画像１ー１.015948.jpg</t>
  </si>
  <si>
    <t>パンク修理終了 元の場所に戻しました</t>
  </si>
  <si>
    <t>自転車パンク修理依頼</t>
  </si>
  <si>
    <t>履歴_Images/143.対応画像１ー１.063420.jpg</t>
  </si>
  <si>
    <t>ユニタの自転車。タイヤ、チューブ交換</t>
  </si>
  <si>
    <t>/appsheet/rireki_photo/144.登録画像１－１.022012.jpg</t>
  </si>
  <si>
    <t>/appsheet/rireki_photo/144.登録画像１－２.022012.jpg</t>
  </si>
  <si>
    <t>市県民税について支払いの相談あり。後日、支払いの確認必要。反映に時間がかかる、及び</t>
  </si>
  <si>
    <t>姫路の納税証明書必要</t>
  </si>
  <si>
    <t>/appsheet/rireki_photo/145.登録画像１－１.025717.jpg</t>
  </si>
  <si>
    <t>/appsheet/rireki_photo/145.登録画像１－２.025717.jpg</t>
  </si>
  <si>
    <t>楽天モバイルの支払について連絡あり。</t>
  </si>
  <si>
    <t>履歴_Images/145.対応画像１ー１.025717.jpg</t>
  </si>
  <si>
    <t>コンビニの用紙あるか確認依頼</t>
  </si>
  <si>
    <t>/appsheet/rireki_photo/145.対応画像２ー１.002433.jpg</t>
  </si>
  <si>
    <t>3/2、食堂にて対応予定</t>
  </si>
  <si>
    <t>/appsheet/rireki_photo/145.対応画像３ー１.141943.jpg</t>
  </si>
  <si>
    <t>尾崎さんが立て替えて支払いしたが、まだ利用できないと連絡あり。週明けの対応にする。→翌日使用できたとのこと</t>
  </si>
  <si>
    <t>ビレッジ4-205</t>
  </si>
  <si>
    <t>/appsheet/rireki_photo/146.登録画像１－１.050426.jpg</t>
  </si>
  <si>
    <t>Wifiが使用できない</t>
  </si>
  <si>
    <t>履歴_Images/146.対応画像１ー１.224945.jpg</t>
  </si>
  <si>
    <t>出来たと連絡あり</t>
  </si>
  <si>
    <t>土曜日朝より、お腹の左側が痛いので、病院へ行きたい申出</t>
  </si>
  <si>
    <t>履歴_Images/147.対応画像１ー１.002026.jpg</t>
  </si>
  <si>
    <t>/appsheet/rireki_photo/147.対応画像１－２.002026.jpg</t>
  </si>
  <si>
    <t>遠藤内科受診。痛みや症状より、県病院にて受診を進められる。</t>
  </si>
  <si>
    <t>/appsheet/rireki_photo/147.対応画像２ー１.032119.jpg</t>
  </si>
  <si>
    <t>/appsheet/rireki_photo/147.対応画像２－２.032300.jpg</t>
  </si>
  <si>
    <t>すぐにとのことで、県病院へ</t>
  </si>
  <si>
    <t>/appsheet/rireki_photo/147.対応画像３ー１.032300.jpg</t>
  </si>
  <si>
    <t>けいしつえんとの診断。本日と明日は休み</t>
  </si>
  <si>
    <t>/appsheet/rireki_photo/148.登録画像１－１.014854.jpg</t>
  </si>
  <si>
    <t>/appsheet/rireki_photo/148.登録画像１－２.014854.jpg</t>
  </si>
  <si>
    <t>弁護士より、楽天モバイルの督促あり</t>
  </si>
  <si>
    <t>コンビニで支払いができた。とのこと。</t>
  </si>
  <si>
    <t>/appsheet/rireki_photo/149.登録画像１－１.050902.jpg</t>
  </si>
  <si>
    <t>自転車の前輪タイヤゴム外れて走行不可。自転車屋にて修理</t>
  </si>
  <si>
    <t>/appsheet/rireki_photo/150.登録画像１－１.234721.jpg</t>
  </si>
  <si>
    <t>/appsheet/rireki_photo/150.登録画像１－２.234721.jpg</t>
  </si>
  <si>
    <t>郵便の不在通知が分からず、在留カード受け取り期限過ぎた。再配達可能か問い合わせる。</t>
  </si>
  <si>
    <t>東京入管　おだいば分室へ問合せし、申請番号や本人情報を記載した紙と、簡易書留分の切手を貼った返信用封筒を同封し、速達で再発送依頼をした。</t>
  </si>
  <si>
    <t>/appsheet/rireki_photo/151.登録画像１－１.234657.jpg</t>
  </si>
  <si>
    <t>昨日から腹痛で欠勤している。病院行くか聞き取り中</t>
  </si>
  <si>
    <t>3/4復帰していたので、完了とする</t>
  </si>
  <si>
    <t>/appsheet/rireki_photo/152.登録画像１－１.023435.jpg</t>
  </si>
  <si>
    <t>/appsheet/rireki_photo/152.登録画像１－２.023435.jpg</t>
  </si>
  <si>
    <t>5/10チケット購入</t>
  </si>
  <si>
    <t>5/10 9:30関西国際空港発　ダナン12:25着　50,450円</t>
  </si>
  <si>
    <t>ビレッジ2-507</t>
  </si>
  <si>
    <t>/appsheet/rireki_photo/153.登録画像１－１.073453.jpg</t>
  </si>
  <si>
    <t>洗濯機の脱水がエラーが出てできない</t>
  </si>
  <si>
    <t>履歴_Images/153.対応画像１ー１.121238.jpg</t>
  </si>
  <si>
    <t>/appsheet/rireki_photo/153.対応画像１－２.121238.jpg</t>
  </si>
  <si>
    <t>脱水で止まる、ハイアール担当者、基盤が壊れてるようで、１万前後かかりそうとのこと</t>
  </si>
  <si>
    <t>/appsheet/rireki_photo/153.対応画像２ー１.231715.jpg</t>
  </si>
  <si>
    <t>/appsheet/rireki_photo/153.対応画像２－２.231715.jpg</t>
  </si>
  <si>
    <t>ビレッジ2-507のJW-U55HK（C7MAT0013）を中野２へ。牛渕２の洗濯機JW-U55HK（C7NBT0204）を入れ替え</t>
  </si>
  <si>
    <t>牛渕にて退職相談。大学卒業して技人国で在留したいが勉強する時間がないので、転職。山梨の会社に５月より勤務予定。</t>
  </si>
  <si>
    <t>退職については、まだ、内密にとの依頼</t>
  </si>
  <si>
    <t>/appsheet/rireki_photo/155.登録画像１－１.045628.jpg</t>
  </si>
  <si>
    <t>使ってない部屋に移動したいとのこと。尾崎さんへ確認して返事すると回答</t>
  </si>
  <si>
    <t>ニル―から眼科へ行きたいと申し出。目がずっと赤く痛みがある。インドネシアの眼科やほかの眼科で手術を勧められたことがある。3/28㈯9:00～まえおか眼科。</t>
  </si>
  <si>
    <t>まえおか眼科受診。白目の細胞が黒めに侵食してきている。放置していると黒目全部に膜が張ったように白目の細胞が増殖するので、今の時点で手術したほうがいい。とのこと。紹介状を用意してもらい、4/14(火)10:00～愛大付属受診予定。そこで今後の手術のスケジュールを確認する。手術は日帰りでできる。</t>
  </si>
  <si>
    <t>新開工場長より、レイハンとジェシカが5/26～6/26一時帰国の話あり。</t>
  </si>
  <si>
    <t>履歴_Images/157.対応画像１ー１.074647.jpg</t>
  </si>
  <si>
    <t>/appsheet/rireki_photo/157.対応画像１－２.074647.jpg</t>
  </si>
  <si>
    <t>レイハンよりチケット購入した送付あり。国内線確認中</t>
  </si>
  <si>
    <t>履歴_Images/158.対応画像１ー１.074723.jpg</t>
  </si>
  <si>
    <t>/appsheet/rireki_photo/158.対応画像１－２.074723.jpg</t>
  </si>
  <si>
    <t>3/11退職希望の申し出。体調もあまり良くないため残業の少ない仕事をしたい。5月～山梨へ転職する。新開さんへLINEした。</t>
  </si>
  <si>
    <t>新開工場長より、一時帰国の期間が4月中旬まで伸びそう。帰国理由が旦那との離婚だったが、警察？との話で延びそうとの連絡あり。離婚については、内密にとの依頼</t>
  </si>
  <si>
    <t>履歴_Images/160.対応画像１ー１.235838.jpg</t>
  </si>
  <si>
    <t>3/20付退職扱い。日本へ来る日がわかったら、連絡を依頼</t>
  </si>
  <si>
    <t>ウフィクの後の部屋に入りたいとの申し出。他にもいると伝え相談扱い</t>
  </si>
  <si>
    <t>ウフィクの後に、ティアラとカハリの２名で住みたいとのことで、他の人もOKとのことで了承</t>
  </si>
  <si>
    <t>/appsheet/rireki_photo/162.登録画像１－１.192710.jpg</t>
  </si>
  <si>
    <t>新開工場長より、退職したロチの勤務証明書がほしいとの連絡</t>
  </si>
  <si>
    <t>履歴_Images/162.対応画像１ー１.235601.jpg</t>
  </si>
  <si>
    <t>535-0003 大阪府大阪市旭区中宮3丁目15-15ジョイテル3-301へ郵送</t>
  </si>
  <si>
    <t>/appsheet/rireki_photo/163.登録画像１－１.233358.jpg</t>
  </si>
  <si>
    <t>3/23入国予定のリンダ(妻)の入国が中止になった。おそらく4/:頃になるかと思われる</t>
  </si>
  <si>
    <t>履歴_Images/163.対応画像１ー１.232816.jpg</t>
  </si>
  <si>
    <t>4/4入国</t>
  </si>
  <si>
    <t>/appsheet/rireki_photo/164.登録画像１－１.032349.jpg</t>
  </si>
  <si>
    <t>ラティサより、デア、スラストリの３人でアパートへ住みたい申請あり。</t>
  </si>
  <si>
    <t>/appsheet/rireki_photo/165.登録画像１－１.072343.jpg</t>
  </si>
  <si>
    <t>4/20退職の申し出あり。10/29入社</t>
  </si>
  <si>
    <t>履歴_Images/165.対応画像１ー１.065310.jpg</t>
  </si>
  <si>
    <t>/appsheet/rireki_photo/165.対応画像１－２.065355.jpg</t>
  </si>
  <si>
    <t>5/1退寮　チケット済</t>
  </si>
  <si>
    <t>ビレッジ1-205 , ビレッジ2-508 , ビレッジ2-504 , ビレッジ2-503 , ビレッジ2-502</t>
  </si>
  <si>
    <t>/appsheet/rireki_photo/166.登録画像１－１.004749.jpg</t>
  </si>
  <si>
    <t>/appsheet/rireki_photo/166.登録画像１－２.004749.jpg</t>
  </si>
  <si>
    <t>段ボールの出し方と騒音、においについて中野さんより連絡あり</t>
  </si>
  <si>
    <t>履歴_Images/166.対応画像１ー１.004749.jpg</t>
  </si>
  <si>
    <t>/appsheet/rireki_photo/166.対応画像１－２.004751.jpg</t>
  </si>
  <si>
    <t>インドネシア全体と、サニア、ハク、ナウファルに送付</t>
  </si>
  <si>
    <t>手首が湿疹でかゆい。薬ほしい。3/21土に自分で受診。小国皮膚科に連絡済</t>
  </si>
  <si>
    <t>/appsheet/rireki_photo/168.登録画像１－１.113126.jpg</t>
  </si>
  <si>
    <t>帰りに知らない男性に自転車のライトが弱いと怒られた。名前、住所、会社名を聞かれ警察に連絡すると言われたそう。自転車のライトは確認してから取り替え等の対応をする。警察や男性から連絡来たらこちらで対応するとハクに伝えている</t>
  </si>
  <si>
    <t>自転車の補助（ハンドルにつけるタイプ）の電池がなかったので、取り替えした。それで、大丈夫とのこと</t>
  </si>
  <si>
    <t>ビレッジハウス中野さんより、3-401の人より２３時頃3-501がベランダの出入りがうるさいとクレームあり。</t>
  </si>
  <si>
    <t>昨日、23時には寝てたが気を付けるよう３人に伝えてもらうて</t>
  </si>
  <si>
    <t>/appsheet/rireki_photo/170.登録画像１－１.060043.jpg</t>
  </si>
  <si>
    <t>ビレッジハウス中野さんより、段ボールが自転車置場に置いてありクレームとなっている。</t>
  </si>
  <si>
    <t>チャンの自転車だったため、中野さんに送るまで待ってほしいと依頼</t>
  </si>
  <si>
    <t>/appsheet/rireki_photo/171.登録画像１－１.075837.jpg</t>
  </si>
  <si>
    <t>/appsheet/rireki_photo/171.登録画像１－２.075837.jpg</t>
  </si>
  <si>
    <t>電気の大きいやつと豆電気が付かない</t>
  </si>
  <si>
    <t>履歴_Images/171.対応画像１ー１.014312.jpg</t>
  </si>
  <si>
    <t>電気交換</t>
  </si>
  <si>
    <t>/appsheet/rireki_photo/172.登録画像１－１.080000.jpg</t>
  </si>
  <si>
    <t>大家さんへ連絡し、修理可能か連絡。後日、確認するとのこと</t>
  </si>
  <si>
    <t>履歴_Images/172.対応画像１ー１.234652.jpg</t>
  </si>
  <si>
    <t>大家さんより、3/28 13:00業者が確認に入る</t>
  </si>
  <si>
    <t>大家さんより、4/19.26に修理に入りたい申し出</t>
  </si>
  <si>
    <t>日曜日から体調不良で病院へ行きたい申し出。よしおか内科へ連絡済。自分で行く。</t>
  </si>
  <si>
    <t>/appsheet/rireki_photo/174.登録画像１－１.040231.jpg</t>
  </si>
  <si>
    <t>病院へ行きたい申出</t>
  </si>
  <si>
    <t>履歴_Images/174.対応画像１ー１.010323.jpg</t>
  </si>
  <si>
    <t>/appsheet/rireki_photo/174.対応画像１－２.010323.jpg</t>
  </si>
  <si>
    <t>カビが発生とのことで、塗り薬を処方</t>
  </si>
  <si>
    <t>宮内</t>
  </si>
  <si>
    <t>希望７/20～9/1　広島→ハノイ</t>
  </si>
  <si>
    <t>履歴_Images/175.対応画像１ー１.230058.jpg</t>
  </si>
  <si>
    <t>飛行機の便の関係で、広島⇔ハノイ7/21～9/1　フオンと一緒　@71,965 ２人で143,930-</t>
  </si>
  <si>
    <t>/appsheet/rireki_photo/176.登録画像１－１.080319.jpg</t>
  </si>
  <si>
    <t>歯医者に行きたい申し出。4/3　9:00～グリーン歯科予約</t>
  </si>
  <si>
    <t>２月に結婚した、妻が宮城から昨日から泊まっている。明日帰る。事前に伝えるよう伝える。また、部屋内でタバコ吸ってるため指導。室内で吸わないこと伝える。</t>
  </si>
  <si>
    <t>/appsheet/rireki_photo/178.登録画像１－１.002557.jpg</t>
  </si>
  <si>
    <t>アユサより、7/12～8/11まで一時帰国の申し出</t>
  </si>
  <si>
    <t>新開工場長より了承のため、アユサへOKの連絡しチケットを送付依頼</t>
  </si>
  <si>
    <t>/appsheet/rireki_photo/179.登録画像１－１.072712.jpg</t>
  </si>
  <si>
    <t>/appsheet/rireki_photo/179.登録画像１－２.072712.jpg</t>
  </si>
  <si>
    <t>牛渕１の別棟の冷蔵庫が２つとも故障している。２人入居するため冷蔵庫がほしい</t>
  </si>
  <si>
    <t>専務に相談し、中野１の使ってない１台を持っていって、新たに入居するときに購入を依頼し了承を得る</t>
  </si>
  <si>
    <t>中野１の冷蔵庫を持っていった</t>
  </si>
  <si>
    <t>グエンより7月にヴァンと同じ日程でハノイに広島より、帰りたい申し出。</t>
  </si>
  <si>
    <t>履歴_Images/180.対応画像１ー１.230152.jpg</t>
  </si>
  <si>
    <t>飛行機の便の関係で、広島⇔ハノイ7/21～9/1　ヴァンと一緒　@71,965 ２人で143,930-</t>
  </si>
  <si>
    <t>藤原副工場長より、体が痒く内科に連れていったが、明日、皮膚科に連れていって、津吉へ連れていってほしい申し出</t>
  </si>
  <si>
    <t>小国皮膚科受診。昨日、南松山病院へ行ってることなど伝え、じんましん。カニアレルギーかどうかは不明。10日分の飲み薬にて様子を見るとのこと。</t>
  </si>
  <si>
    <t>3/29 15:00~高島屋近くの駐輪場に自転車をとめて飲みに行きタクシーで帰宅。4/3　17：30～自転車を取りに行ったら無かった。鍵はかけていた。とのこと。自転車盗難2回目なので厳重注意。</t>
  </si>
  <si>
    <t>松山市都市生活サービス課へ連絡し撤去されてないか確認したが市では回収してないので警察へ盗難届を提出する予定。</t>
  </si>
  <si>
    <t>8/10～9/25一時帰国希望</t>
  </si>
  <si>
    <t>履歴_Images/183.対応画像１ー１.225706.jpg</t>
  </si>
  <si>
    <t>8/11広島⇔ハノイ9/24チケット購入</t>
  </si>
  <si>
    <t>愛媛銀行　滝川様より、帰国期間が長いため不正利用防止のためホアンの口座を一時的に停止すると連絡あり。ホアンが戻ってきたら解除の手続きする。</t>
  </si>
  <si>
    <t>/appsheet/rireki_photo/185.登録画像１－１.225052.jpg</t>
  </si>
  <si>
    <t>履歴_Images/185.対応画像１ー１.041620.jpg</t>
  </si>
  <si>
    <t>/appsheet/rireki_photo/185.対応画像１－２.041620.jpg</t>
  </si>
  <si>
    <t>パンク修理代1,000円、鍵は手袋内に入れる</t>
  </si>
  <si>
    <t>代金回収</t>
  </si>
  <si>
    <t>洗面台の排水が流れない</t>
  </si>
  <si>
    <t>履歴_Images/186.対応画像１ー１.043238.jpg</t>
  </si>
  <si>
    <t>ビレッジにて借りて対応。</t>
  </si>
  <si>
    <t>平山さんより、金曜日から発熱、昼から病院を手配してほしい</t>
  </si>
  <si>
    <t>遠藤内科、発熱外来14:30～、着いたら連絡をするよう本人に伝える。</t>
  </si>
  <si>
    <t>/appsheet/rireki_photo/187.対応画像２ー１.074444.jpg</t>
  </si>
  <si>
    <t>病院にて薬をもらったと連絡あり</t>
  </si>
  <si>
    <t>通訳</t>
  </si>
  <si>
    <t>NGUYEN VAN HOI</t>
  </si>
  <si>
    <t>グエン バン ホイ</t>
  </si>
  <si>
    <t>070-1057-6789</t>
  </si>
  <si>
    <t>埼玉県さいたま市桜区西堀2-10-36-302号</t>
  </si>
  <si>
    <t>区分</t>
  </si>
  <si>
    <t>区分人数</t>
  </si>
  <si>
    <t>男女区分</t>
  </si>
  <si>
    <t>男女人数</t>
  </si>
  <si>
    <t>国籍人数</t>
  </si>
  <si>
    <t>特定技能</t>
  </si>
  <si>
    <t>AO HENDARSO</t>
  </si>
  <si>
    <t>アオ ヘンダルソ</t>
  </si>
  <si>
    <t>090-9822-1984</t>
  </si>
  <si>
    <t>本社小計</t>
  </si>
  <si>
    <t>合計</t>
  </si>
  <si>
    <t>松山市末広町</t>
  </si>
  <si>
    <t>７９０－００２３</t>
  </si>
  <si>
    <t>松山市中野町</t>
  </si>
  <si>
    <t>７９１－１１２１</t>
  </si>
  <si>
    <t>ダオ　ティ　トゥイ　リン</t>
  </si>
  <si>
    <t>DAO　THI　THUY　LINH</t>
  </si>
  <si>
    <t>2026/2月末
～3月頃</t>
  </si>
  <si>
    <t xml:space="preserve">ゴックの妹 </t>
  </si>
  <si>
    <t>ゴック、タオ
家賃どうするか</t>
  </si>
  <si>
    <t>ゴックの妹</t>
  </si>
  <si>
    <t>ハーさんの弟の奥さん
ハーさんと同部屋希望　アトム401</t>
  </si>
  <si>
    <t>2026/5月頃</t>
  </si>
  <si>
    <t>ククの奥さん
松山市中野町442-1</t>
  </si>
  <si>
    <t>ナスルル ファーミ</t>
  </si>
  <si>
    <t>NASRUL FAHMI</t>
  </si>
  <si>
    <t xml:space="preserve">ヌルアンディニの夫　
松山市上野町774番地ビレッジハウス松山上野4-501
</t>
  </si>
  <si>
    <t>ヌルアンディニの夫</t>
  </si>
  <si>
    <t>グエン　ティ　フォアン　マイ</t>
  </si>
  <si>
    <t>NGUYEN THI HOANG MAI</t>
  </si>
  <si>
    <t>特定活動告示9号</t>
  </si>
  <si>
    <t>ゴー　グエン　トゥエット　バン</t>
  </si>
  <si>
    <t>NGO NGUYEN TUYET BANG</t>
  </si>
  <si>
    <t>ホー　ティ　ホン　アン</t>
  </si>
  <si>
    <t>HO THI HONG AN</t>
  </si>
  <si>
    <t>グエン　ファム　トゥオン　ヴィ</t>
  </si>
  <si>
    <t>NGUYEN PHAM TUONG VY</t>
  </si>
  <si>
    <t>ダン　ティ　ゴック　ヴァン</t>
  </si>
  <si>
    <t>DANG THI NGOC VANG</t>
  </si>
  <si>
    <t>ダン　ティ　トゥイ　アイン</t>
  </si>
  <si>
    <t>DANG THI THUY ANH</t>
  </si>
  <si>
    <t>ホー　ティ　ホン　トム</t>
  </si>
  <si>
    <t>HO THI HONG THOM</t>
  </si>
  <si>
    <t>グエン　レー　スアン　ハイン</t>
  </si>
  <si>
    <t>NGUYEN LE XUAN HANH</t>
  </si>
  <si>
    <t>ゴー　ミ　アイン</t>
  </si>
  <si>
    <t>NGO MY ANH</t>
  </si>
  <si>
    <t>チャン　グエン　カ　ハン</t>
  </si>
  <si>
    <t>TRAN NGUYEN KHA HAN</t>
  </si>
  <si>
    <t>チュオン　ゴック　ジェップ</t>
  </si>
  <si>
    <t>TRUONG NGOC DIEP</t>
  </si>
  <si>
    <t>グエン　フォン　ガン</t>
  </si>
  <si>
    <t>NGUYEN PHUONG NGAN</t>
  </si>
  <si>
    <t>バングン　ケダトン</t>
  </si>
  <si>
    <t>BANGUN KEDHATON</t>
  </si>
  <si>
    <t>レイハン友人つながり</t>
  </si>
  <si>
    <t>アクマル　クルニアワン</t>
  </si>
  <si>
    <t>AKMAL　KURNIAWAN</t>
  </si>
  <si>
    <t>レイハン友人</t>
  </si>
  <si>
    <t>4/8面接　合格</t>
  </si>
  <si>
    <t>ムハッマド　イマム　アル　フィトリ</t>
  </si>
  <si>
    <t>MUHAMMAD　IMAM　AL　FITRI</t>
  </si>
  <si>
    <t>ハリ　テグ　プラセティオ</t>
  </si>
  <si>
    <t>HARI　TEGUH　PRASETIO</t>
  </si>
  <si>
    <t>エヴィ夫　友人</t>
  </si>
  <si>
    <t>アリファ　ハフィゾトゥン　ハサナ</t>
  </si>
  <si>
    <t>ALIFAH　HAFIZHOTUN　HASANAH</t>
  </si>
  <si>
    <t>サエ　友人</t>
  </si>
  <si>
    <t>4/13面接　合格</t>
  </si>
  <si>
    <t>トリ　ヌル　インダー　レスタリ</t>
  </si>
  <si>
    <t>TRI　NUR　INDAH　LESTARI</t>
  </si>
  <si>
    <t>アイシャ、エヴィ　友人</t>
  </si>
  <si>
    <t>リヴォ　デャルマザル</t>
  </si>
  <si>
    <t>RIVO DHARMAZAL</t>
  </si>
  <si>
    <t>リヴォ</t>
  </si>
  <si>
    <t>アルディアヌス　バワメネウィ</t>
  </si>
  <si>
    <t>ARDIANUS BAWAMENEWI</t>
  </si>
  <si>
    <t>アルディ</t>
  </si>
  <si>
    <t>エム　フィクリ　イクサン</t>
  </si>
  <si>
    <t>M. FIKRI　IKHSAN</t>
  </si>
  <si>
    <t>フィクリ</t>
  </si>
  <si>
    <t>フェルナ　マルヤニ</t>
  </si>
  <si>
    <t>FERNA MARYANI</t>
  </si>
  <si>
    <t>フェルナ</t>
  </si>
  <si>
    <t>東温市牛渕170-３</t>
  </si>
  <si>
    <t>エラ　マルリアナ　リヤンティ</t>
  </si>
  <si>
    <t>ELA　MARLIANA　RIYANTI</t>
  </si>
  <si>
    <t>エラ</t>
  </si>
  <si>
    <t>ファンニ　ヨランダ</t>
  </si>
  <si>
    <t>FANNY YOLANDA</t>
  </si>
  <si>
    <t>ファンニ</t>
  </si>
  <si>
    <t>リディア　アフィザ</t>
  </si>
  <si>
    <t>LIDYA AFIZA</t>
  </si>
  <si>
    <t>リディア</t>
  </si>
  <si>
    <t>セプティ　エカ　ドウィジャヤンティ</t>
  </si>
  <si>
    <t>SEPTI EKA DWIJAYANTI</t>
  </si>
  <si>
    <t>デフィアナ　レトノワティ</t>
  </si>
  <si>
    <t>DEVIANA RETNOWATI</t>
  </si>
  <si>
    <t>レトノ</t>
  </si>
  <si>
    <t>ムハマド　バユ　アセガフ</t>
  </si>
  <si>
    <t>MUHAMMAD BAYU ASSEGAF</t>
  </si>
  <si>
    <t>バユ</t>
  </si>
  <si>
    <t>中野①　3人　or中野②　7人</t>
  </si>
  <si>
    <t>アディ　プラタマ　マウルディ</t>
  </si>
  <si>
    <t>ADI　PRATAMA　MAULUDY</t>
  </si>
  <si>
    <t>アディ</t>
  </si>
  <si>
    <t>フィルサン　アヌグラー</t>
  </si>
  <si>
    <t>FIRSAN ANUGRAH</t>
  </si>
  <si>
    <t>フィルサン</t>
  </si>
  <si>
    <t>スルヤ　アンガ　ジャテサプトラ</t>
  </si>
  <si>
    <t>SURYA ANGGA JATISAPUTRA</t>
  </si>
  <si>
    <t>アンガ</t>
  </si>
  <si>
    <t>ラフマド　グナワン</t>
  </si>
  <si>
    <t>RAHMAD GUNAWAN</t>
  </si>
  <si>
    <t>ラフマド</t>
  </si>
  <si>
    <t>ブイ　ティ　フェ</t>
  </si>
  <si>
    <t>BUI　THI　HUE</t>
  </si>
  <si>
    <t>レー　ティ　スアン</t>
  </si>
  <si>
    <t>LE　THI　XOAN</t>
  </si>
  <si>
    <t>ファン　ティ　トゥエット　ニー</t>
  </si>
  <si>
    <t>PHAN　THI　TUYET</t>
  </si>
  <si>
    <t>グエン　ヴァン　ゴック</t>
  </si>
  <si>
    <t>NGUYEN　VAN　NGOC</t>
  </si>
  <si>
    <t>ファム　ティ　トゥン</t>
  </si>
  <si>
    <t>PHAM　THI　TUNG</t>
  </si>
  <si>
    <t>チャン　ティ　エン</t>
  </si>
  <si>
    <t>TRAN　THI　YEN</t>
  </si>
  <si>
    <t>ブイ　ヴァン　バイ</t>
  </si>
  <si>
    <t>BUI　VAN　BAY</t>
  </si>
  <si>
    <t>ファム　ティ　タン</t>
  </si>
  <si>
    <t>PHAM　THI　THANH</t>
  </si>
  <si>
    <t>グエン　ティ　タイン　チュック</t>
  </si>
  <si>
    <t>NGUYEN　THI　THANH　CHUC</t>
  </si>
  <si>
    <t>グエン　ティ　ニュー　クイ</t>
  </si>
  <si>
    <t>NGUYEN　NHU　QUYNH</t>
  </si>
  <si>
    <t>チャン　ティ　ホア　ミー</t>
  </si>
  <si>
    <t>TRAN　THI　HOA　MY</t>
  </si>
  <si>
    <t>ブイ　ズン　クイン</t>
  </si>
  <si>
    <t>BUI　DUY QUYNH</t>
  </si>
  <si>
    <t>ルオン　ティ　モン　チン</t>
  </si>
  <si>
    <t>LUONG　THI　MONG　TRINH</t>
  </si>
  <si>
    <t>グエン　コン　トゥアン　アイン</t>
  </si>
  <si>
    <t>NGUYEN　CONG　TUAN　ANH</t>
  </si>
  <si>
    <t>ヴォ―　ティ　トゥイ　アン</t>
  </si>
  <si>
    <t>VO　THI　THUY　AN</t>
  </si>
  <si>
    <t>ゴー　ティ　トゥオン</t>
  </si>
  <si>
    <t>NGO　THI　THUONG</t>
  </si>
  <si>
    <t>ホー　ティ　ロアン</t>
  </si>
  <si>
    <t>HO　THI　LOAN</t>
  </si>
  <si>
    <t>チャン　ティ　ホア</t>
  </si>
  <si>
    <t>TRAN　THI　HOA　</t>
  </si>
  <si>
    <t>ホアン　チイ　クイン　チャン</t>
  </si>
  <si>
    <t>HOANG　THI　QUYNH　TRANG</t>
  </si>
  <si>
    <t>グエン　トゥ　タオ</t>
  </si>
  <si>
    <t>NGUYEN　THU　TAO</t>
  </si>
  <si>
    <t>グエン　チイ　リー</t>
  </si>
  <si>
    <t>NGUYEN　THI　LY</t>
  </si>
  <si>
    <t>ダン　ティ　ミー　ニー</t>
  </si>
  <si>
    <t>DANG　THI　MY　NHI</t>
  </si>
  <si>
    <t>ファム　チュオン　アン</t>
  </si>
  <si>
    <t>PHAM　TRUONG　AN</t>
  </si>
  <si>
    <t>１</t>
  </si>
  <si>
    <t>AISMA</t>
  </si>
  <si>
    <t>2026/4/2面接</t>
  </si>
  <si>
    <t>２</t>
  </si>
  <si>
    <t>AFIF MUNIRUDIN</t>
  </si>
  <si>
    <t>３</t>
  </si>
  <si>
    <t>ROHMAN SAWALUDIN</t>
  </si>
  <si>
    <t>４</t>
  </si>
  <si>
    <t>ANDIKA TRI FILDA</t>
  </si>
  <si>
    <t>５</t>
  </si>
  <si>
    <t>ARDIA RESSA SETIA KURNIAWAN</t>
  </si>
  <si>
    <t>６</t>
  </si>
  <si>
    <t>FACRUL MUFLY HASAN</t>
  </si>
  <si>
    <t>７</t>
  </si>
  <si>
    <t>DEDEN DENI ALPIKIH</t>
  </si>
  <si>
    <t>８</t>
  </si>
  <si>
    <t>UMI SURYANTI</t>
  </si>
  <si>
    <t>９</t>
  </si>
  <si>
    <t>ALIN MARLINA</t>
  </si>
  <si>
    <t>１０</t>
  </si>
  <si>
    <t>AMELIA AGNES ISRAEL</t>
  </si>
  <si>
    <t>シティ ヌル アジーザ</t>
  </si>
  <si>
    <t>SITI NUR AZIEZAH</t>
  </si>
  <si>
    <t>アジーザ</t>
  </si>
  <si>
    <t>マイ クラデア ザンデイ</t>
  </si>
  <si>
    <t>MAY CLAUDHEA ZHANDY</t>
  </si>
  <si>
    <t>ノフィア レスタリ</t>
  </si>
  <si>
    <t>NOVIA LESTARI</t>
  </si>
  <si>
    <t>ノフィア</t>
  </si>
  <si>
    <t>フェッビ プトリ ヴァレンチナ</t>
  </si>
  <si>
    <t>FEBBY PUTRI VALENTINA</t>
  </si>
  <si>
    <t>フェッビ</t>
  </si>
  <si>
    <t>ピピット アユ レスタリ</t>
  </si>
  <si>
    <t>PIPIT AYU LESTARI</t>
  </si>
  <si>
    <t>ピピット</t>
  </si>
  <si>
    <t>ナディアトゥル フスナ ハニファー</t>
  </si>
  <si>
    <t>NADIATUL HUSNA HANIFAH</t>
  </si>
  <si>
    <t>ムハンマド イブヌ アブディル ジャディド アリフィン</t>
  </si>
  <si>
    <t>MUHAMMAD IBNU ABDIL JADID ARIFIN</t>
  </si>
  <si>
    <t>イブヌ</t>
  </si>
  <si>
    <t>アフリザル</t>
  </si>
  <si>
    <t>AFRIZAL</t>
  </si>
  <si>
    <t>ロニ ヌルハディ</t>
  </si>
  <si>
    <t>RONI NURHADI</t>
  </si>
  <si>
    <t>ムハマド ユヌス</t>
  </si>
  <si>
    <t>MUHAMAD YUNUS</t>
  </si>
  <si>
    <t>ユヌス</t>
  </si>
  <si>
    <t>ヌル ジヤダトゥン ニクマー</t>
  </si>
  <si>
    <t>NUR ZIYADATUN NIKMAH</t>
  </si>
  <si>
    <t>ジヤ</t>
  </si>
  <si>
    <t>リニア ラハユ セティアワティ</t>
  </si>
  <si>
    <t>LINIA RAHAYU SETIAWATI</t>
  </si>
  <si>
    <t>リニア</t>
  </si>
  <si>
    <t>スリス ヤナ</t>
  </si>
  <si>
    <t xml:space="preserve"> SULIS YANA</t>
  </si>
  <si>
    <t>スリス</t>
  </si>
  <si>
    <t>トゥティク ラーマ ソリハ</t>
  </si>
  <si>
    <t>TUTIK RAHMA SOLIHAH</t>
  </si>
  <si>
    <t>ラーマ</t>
  </si>
  <si>
    <t>アフィコ コリアトゥル ハニム</t>
  </si>
  <si>
    <t>AFIQOH QORIATUL HANIM</t>
  </si>
  <si>
    <t>アフィコ</t>
  </si>
  <si>
    <t>イチャ ウィジャヤンティ</t>
  </si>
  <si>
    <t>ICA WIJAYANTI</t>
  </si>
  <si>
    <t>イチャ</t>
  </si>
  <si>
    <t>イルハム アルファリッチ</t>
  </si>
  <si>
    <t>ILHAM ALFARIZZI</t>
  </si>
  <si>
    <t xml:space="preserve">ナビラ フィアマニッラ ラーマン </t>
  </si>
  <si>
    <t>NABILA FIAMAILLAH RACHMAN</t>
  </si>
  <si>
    <t>ナビラ</t>
  </si>
  <si>
    <t>ブー　ティ　トゥ　ハー</t>
  </si>
  <si>
    <t>VU THI THU HA</t>
  </si>
  <si>
    <t>？2025/11/21頃</t>
  </si>
  <si>
    <t>ご主人と住む　ビレッジハウス</t>
  </si>
  <si>
    <r>
      <rPr>
        <sz val="9"/>
        <color rgb="FF000000"/>
        <rFont val="MS PGothic"/>
        <family val="3"/>
        <charset val="128"/>
      </rPr>
      <t>2025/5/23面接　合格　
津吉工場のリンさんの知人
現在香川で実習生2号として就業中。2025/9末
退職予定、</t>
    </r>
    <r>
      <rPr>
        <sz val="9"/>
        <color rgb="FFFF0000"/>
        <rFont val="MS PGothic"/>
        <family val="3"/>
        <charset val="128"/>
      </rPr>
      <t>10/3に一時帰国後、　10/18結婚予定
11月から中温で働く予定　
ご主人の情報を連絡もらうよう本人へ伝えた9/9
ご主人名義でビレッジ借りている
・布団、自転車は自身で用意
2025/11/12　妊娠のため、キャンセル</t>
    </r>
  </si>
  <si>
    <t>辞退</t>
  </si>
  <si>
    <t>アギン ロマン ムスタフ</t>
  </si>
  <si>
    <t>AGIN ROMAN MUSTAF</t>
  </si>
  <si>
    <t>アギン</t>
  </si>
  <si>
    <t>2025/05頃</t>
  </si>
  <si>
    <t>2/5面接　合格</t>
  </si>
  <si>
    <t>シティ マルヤティ</t>
  </si>
  <si>
    <t>SITI MARYATI</t>
  </si>
  <si>
    <t>2/5面接　合格
H&amp;C人材保証 旅費送出期間負担</t>
  </si>
  <si>
    <t>アリファ ハフィジョトゥン ハサナ</t>
  </si>
  <si>
    <t>ALIFAH HAFIZHOTUN HASANAH</t>
  </si>
  <si>
    <t>チャン ゴック ロン</t>
  </si>
  <si>
    <t>TRAN NGOC LONG</t>
  </si>
  <si>
    <t>2025/06頃</t>
  </si>
  <si>
    <t>3/11面接　合格
2025/3/31父親休止のため辞退</t>
  </si>
  <si>
    <t>ファム ヴァン ダット</t>
  </si>
  <si>
    <t>PHAM VAN DAT</t>
  </si>
  <si>
    <t>3/11面接　合格
2025/05/02辞退</t>
  </si>
  <si>
    <t>ミラ リスワティ</t>
  </si>
  <si>
    <t>MIRA LISWATI</t>
  </si>
  <si>
    <t>2025/04頃</t>
  </si>
  <si>
    <t>12/12面接　合格
2025/7/22辞退</t>
  </si>
  <si>
    <t>アユ アンジャニ</t>
  </si>
  <si>
    <t>AYU ANJANI</t>
  </si>
  <si>
    <t>アユ</t>
  </si>
  <si>
    <t>2/5面接　合格
2025/7/22辞退</t>
  </si>
  <si>
    <t>ベトナム　　　女3名　</t>
  </si>
  <si>
    <t>インドネシア　男13名（+3名　部屋確定）</t>
  </si>
  <si>
    <t>女　4</t>
  </si>
  <si>
    <r>
      <rPr>
        <sz val="11"/>
        <color theme="1"/>
        <rFont val="MS PGothic"/>
        <family val="3"/>
        <charset val="128"/>
      </rPr>
      <t>インドネシア　女</t>
    </r>
    <r>
      <rPr>
        <sz val="11"/>
        <color rgb="FFFF0000"/>
        <rFont val="MS PGothic"/>
        <family val="3"/>
        <charset val="128"/>
      </rPr>
      <t>31名</t>
    </r>
    <r>
      <rPr>
        <sz val="11"/>
        <color theme="1"/>
        <rFont val="MS PGothic"/>
        <family val="3"/>
        <charset val="128"/>
      </rPr>
      <t>（+1名　部屋確定）</t>
    </r>
  </si>
  <si>
    <t>女　9</t>
  </si>
  <si>
    <t>ベトナム　　　男1名（部屋確定）　　</t>
  </si>
  <si>
    <t>女12</t>
  </si>
  <si>
    <t>男3</t>
  </si>
  <si>
    <t>女　6</t>
  </si>
  <si>
    <t>男 10</t>
  </si>
  <si>
    <t>特定生リーダー・副リーダー候補</t>
  </si>
  <si>
    <t>（工場長。部署長推薦）</t>
  </si>
  <si>
    <t>部署名</t>
  </si>
  <si>
    <t>社員ＣＤ</t>
  </si>
  <si>
    <t>入社年月日</t>
  </si>
  <si>
    <t>在籍年月</t>
  </si>
  <si>
    <t>製造一課</t>
  </si>
  <si>
    <t>リーダー</t>
  </si>
  <si>
    <t>マイン(男性)</t>
  </si>
  <si>
    <t>2020.10.15</t>
  </si>
  <si>
    <t>5年</t>
  </si>
  <si>
    <t>07001607</t>
  </si>
  <si>
    <t>ドー (男性)</t>
  </si>
  <si>
    <t>2021.01.25</t>
  </si>
  <si>
    <t>4年</t>
  </si>
  <si>
    <t>副リーダー</t>
  </si>
  <si>
    <t>ロアン(女性)</t>
  </si>
  <si>
    <t>2018.12.01</t>
  </si>
  <si>
    <t>7年</t>
  </si>
  <si>
    <t>ミン (女性)</t>
  </si>
  <si>
    <t>製造二課</t>
  </si>
  <si>
    <t xml:space="preserve">07001605
</t>
  </si>
  <si>
    <t>ヴィエット(男性)</t>
  </si>
  <si>
    <t>チャン (女性)</t>
  </si>
  <si>
    <t>2019.06.11</t>
  </si>
  <si>
    <t>6年</t>
  </si>
  <si>
    <t>製造三課</t>
  </si>
  <si>
    <t>ダット(男性)</t>
  </si>
  <si>
    <t>07004416</t>
  </si>
  <si>
    <t>ヒエン(女性)</t>
  </si>
  <si>
    <t>※出産のため2023年6月一時帰国中。2025年2月再入社予定</t>
  </si>
  <si>
    <t>製造第一課 Aライン</t>
  </si>
  <si>
    <t>グエンビックフーン</t>
  </si>
  <si>
    <t>女性</t>
  </si>
  <si>
    <t>（7年）</t>
  </si>
  <si>
    <t>製造第一課 Bライン</t>
  </si>
  <si>
    <t>07012602</t>
  </si>
  <si>
    <t>チャンティートゥータオ</t>
  </si>
  <si>
    <t>（2年10カ月）</t>
  </si>
  <si>
    <t>製造第一課 Ｃライン</t>
  </si>
  <si>
    <t>ファムティ チン</t>
  </si>
  <si>
    <t>（5年）</t>
  </si>
  <si>
    <t>男性</t>
  </si>
  <si>
    <t>（1年11カ月）</t>
  </si>
  <si>
    <t>製造第一課 Dライン</t>
  </si>
  <si>
    <t>07012601</t>
  </si>
  <si>
    <t>ブィ ヒュウ フン</t>
  </si>
  <si>
    <t>アユサヌルフィトリヤニ</t>
  </si>
  <si>
    <t>（2年7カ月）</t>
  </si>
  <si>
    <t>製造第二課</t>
  </si>
  <si>
    <t>07013619</t>
  </si>
  <si>
    <t>製造第四課</t>
  </si>
  <si>
    <t>07013605</t>
  </si>
  <si>
    <t>レイハンアリサハシカザカリ</t>
  </si>
  <si>
    <t>（1年7カ月）</t>
  </si>
  <si>
    <t>シャールル アルル</t>
  </si>
  <si>
    <t>製品管理課（箱入）</t>
  </si>
  <si>
    <t>ヴーティ ホアン</t>
  </si>
  <si>
    <t>（3年7カ月）</t>
  </si>
  <si>
    <t>※1回退職、再入社</t>
  </si>
  <si>
    <t>製品管理課（出荷）</t>
  </si>
  <si>
    <t>ムハマンドナウファルアリムフタル</t>
  </si>
  <si>
    <t>女性７名 男性６名 計１３名</t>
  </si>
  <si>
    <t>特定技能生リーダー（二期）</t>
  </si>
  <si>
    <t>２年１１ヶ月</t>
  </si>
  <si>
    <t>カデック アデリア</t>
  </si>
  <si>
    <t>２年８ヶ月</t>
  </si>
  <si>
    <t>２年５ヶ月</t>
  </si>
  <si>
    <t>製造第三課</t>
  </si>
  <si>
    <t>２年１０ヶ月</t>
  </si>
  <si>
    <t>ヌル アンディ二</t>
  </si>
  <si>
    <t>２年６ヶ月</t>
  </si>
  <si>
    <t>２年２ヶ月</t>
  </si>
  <si>
    <t>６名</t>
  </si>
  <si>
    <t>特定技能生副リーダー</t>
  </si>
  <si>
    <t>製造第一課 Cライン</t>
  </si>
  <si>
    <t>３年２ヶ月</t>
  </si>
  <si>
    <t>１年８ヶ月</t>
  </si>
  <si>
    <t>１年４ヶ月</t>
  </si>
  <si>
    <t>１年１ヶ月</t>
  </si>
  <si>
    <t>フオ</t>
  </si>
  <si>
    <t>Ｑ</t>
  </si>
  <si>
    <t>ディン　ティ　ヅエン</t>
  </si>
  <si>
    <t>伊予郡砥部町高尾田826-1コーポ麻生205</t>
  </si>
  <si>
    <t>ご主人の寮</t>
  </si>
  <si>
    <t>SA06113967PA</t>
  </si>
  <si>
    <t>返却</t>
  </si>
  <si>
    <r>
      <rPr>
        <sz val="11"/>
        <color theme="1"/>
        <rFont val="MS PGothic"/>
        <family val="3"/>
        <charset val="128"/>
      </rPr>
      <t xml:space="preserve">2024/01/10
</t>
    </r>
    <r>
      <rPr>
        <sz val="11"/>
        <color rgb="FFFF0000"/>
        <rFont val="MS PGothic"/>
        <family val="3"/>
        <charset val="128"/>
      </rPr>
      <t>2025/07/01</t>
    </r>
  </si>
  <si>
    <r>
      <rPr>
        <sz val="11"/>
        <color theme="1"/>
        <rFont val="MS PGothic"/>
        <family val="3"/>
        <charset val="128"/>
      </rPr>
      <t xml:space="preserve">2024/03/08
</t>
    </r>
    <r>
      <rPr>
        <sz val="11"/>
        <color rgb="FFFF0000"/>
        <rFont val="MS PGothic"/>
        <family val="3"/>
        <charset val="128"/>
      </rPr>
      <t>2025/08/14</t>
    </r>
  </si>
  <si>
    <t>2024/9/2～
育児休暇予定</t>
  </si>
  <si>
    <r>
      <rPr>
        <sz val="9"/>
        <color rgb="FFFF0000"/>
        <rFont val="MS PGothic"/>
        <family val="3"/>
        <charset val="128"/>
      </rPr>
      <t xml:space="preserve">2025/09に子供の入園について可否の連絡が入る予定。入園が
決まれば仕事復帰する予定。2025/7/1～8/14一時帰国
再入社時、特定1号保険に加入するか確認する
</t>
    </r>
    <r>
      <rPr>
        <sz val="9"/>
        <color rgb="FF000000"/>
        <rFont val="MS PGothic"/>
        <family val="3"/>
        <charset val="128"/>
      </rPr>
      <t xml:space="preserve">9/2～産休へ入りたいとのこと。手続き等必要か？24.7.23朴さん
住まいは探している。8/1住所変更（5/21朴さんより）3/13中四国より妊娠7週目
とのこと。予定日2024.10.13。日本で出産、育児を希望。親が
短期ﾋﾞｻﾞ（3～最長6ヵ月特定活動）で来る予定。専務→中四国本多さん、ご主人の会社へ連絡予定　　
夫：グエン　ヴァン　ヴィンさん　
電話　080-2512-8225　勤務先　(株)himeken　担当者　井上次長　
電話080-8633-5691
2025/10/20お子さんが1才になったが保育園が決まらず6ヵ月（2026/4/20）まで
育休の延長申請済（10/22）
</t>
    </r>
    <r>
      <rPr>
        <sz val="9"/>
        <color rgb="FFFF0000"/>
        <rFont val="MS PGothic"/>
        <family val="3"/>
        <charset val="128"/>
      </rPr>
      <t xml:space="preserve">
</t>
    </r>
  </si>
  <si>
    <t>ファムチン</t>
  </si>
  <si>
    <t>SA44306016PA</t>
  </si>
  <si>
    <t>2025/9/27～
育児休暇予定</t>
  </si>
  <si>
    <t>ビレッジハウス　個人で契約するとのこと
妊娠のため2025.9月末頃？～産休（予定日11/7）2025.5.30出産で9月頃退職後一時帰国予定。（子供が1才になるまで）再度中温へ戻りたいとの希望あり。→中四国朴さんより、日本で出産すると本人が言っているとのこと。寮は次が確定しているため、再度確認依頼済。
2024/12/04～特定技能
2024/10/04～特定活動
2024.10.20　実習3号終了予定
130ズオンデタオが夫
2024/09/18 特定技能へ申請手続き
2024/09/25コーポ津吉1-6よりビレッジ2-503へ引越→通勤届済</t>
  </si>
  <si>
    <r>
      <rPr>
        <sz val="11"/>
        <color theme="1"/>
        <rFont val="MS PGothic"/>
        <family val="3"/>
        <charset val="128"/>
      </rPr>
      <t xml:space="preserve">2023/12/11
</t>
    </r>
    <r>
      <rPr>
        <sz val="11"/>
        <color rgb="FFFF0000"/>
        <rFont val="MS PGothic"/>
        <family val="3"/>
        <charset val="128"/>
      </rPr>
      <t>2026/03/01</t>
    </r>
  </si>
  <si>
    <t>※特定技能申請の為、ﾊﾟｽﾎﾟｰﾄと在留ｶｰﾄﾞは中四国預かり（6/13朴さんより）
2024.6.12～社員コード変わる済（特定活動になるため）
2024.6.12～9.12実習3号→特定活動　9/12～特定技能へ
※特定活動（6ヵ月）申請しその期間に特定技能へ変更予定。
2026/5/4出産予定日　一時帰国し出産予定。2026/3/24～6/29産休　6/30～2027/5/3育休</t>
  </si>
  <si>
    <r>
      <rPr>
        <sz val="10"/>
        <color theme="1"/>
        <rFont val="MS PGothic"/>
        <family val="3"/>
        <charset val="128"/>
      </rPr>
      <t xml:space="preserve">N3：2024/07/07 10/15連絡あり→10/31振込分より手当
2025/5/6～6/10一時帰国　帰国後
6/9～ﾋﾞﾚｯｼﾞ4-504へ夫エカと住む
</t>
    </r>
    <r>
      <rPr>
        <sz val="10"/>
        <color rgb="FFFF0000"/>
        <rFont val="MS PGothic"/>
        <family val="3"/>
        <charset val="128"/>
      </rPr>
      <t>2025/11/2エカより、ニマが妊娠13週との連絡あり。今後について、相談すると伝える
エカと３人で津吉社長室にて話す。
出産予定2026/5/5、つばきウイメンズで出産予定。
日本にて産みたい。
エカも特定２号受けたい。入社が2025/6/17
転職のため、特定１号の期限が2027/3までのため、入官へ確認。</t>
    </r>
  </si>
  <si>
    <r>
      <rPr>
        <sz val="11"/>
        <color rgb="FF000000"/>
        <rFont val="MS PGothic"/>
        <family val="3"/>
        <charset val="128"/>
      </rPr>
      <t>自身の結婚の為一時帰国　勤務再開2025/5/19
一時退職のため、社員ｺｰﾄﾞ変更予定</t>
    </r>
    <r>
      <rPr>
        <sz val="11"/>
        <color rgb="FFFF0000"/>
        <rFont val="MS PGothic"/>
        <family val="3"/>
        <charset val="128"/>
      </rPr>
      <t xml:space="preserve">
</t>
    </r>
    <r>
      <rPr>
        <sz val="11"/>
        <color rgb="FF000000"/>
        <rFont val="MS PGothic"/>
        <family val="3"/>
        <charset val="128"/>
      </rPr>
      <t>2025.7.24給与口座を伊予銀行→ひめぎんへ変更したいとのこと。中温経由であれば一時的なことではなく、給与振込口座として作成するのであれば可能とのひめぎんより回答あり。</t>
    </r>
    <r>
      <rPr>
        <sz val="11"/>
        <color rgb="FFFF0000"/>
        <rFont val="MS PGothic"/>
        <family val="3"/>
        <charset val="128"/>
      </rPr>
      <t xml:space="preserve">
</t>
    </r>
    <r>
      <rPr>
        <sz val="11"/>
        <color rgb="FF000000"/>
        <rFont val="MS PGothic"/>
        <family val="3"/>
        <charset val="128"/>
      </rPr>
      <t xml:space="preserve">9月分の給料よりひめぎんへ変更。
在留ｶｰﾄﾞ更新申請中。更新後の在留ｶｰﾄﾞをひめぎんへ提出（ﾃﾞﾙﾀ・松岡さんへ伝え済8月末～9月頃予定）
伊予銀口座解約⇒仕事が忙しく休みが取れない為、年末までには銀行へ行く予定
2025/10　特定2号試験合格。早急に2号に移行したいとの回答。2号移行後は弊社の自社支援となる（ﾃﾞﾙﾀ松岡さんより10/27）
2025/12/21～特定2号へ移行予定
2025/11/12昨日、病院へ行って妊娠４週ぐらい。まだ小さいため、安定したら再度話す。新開工場長へは連絡済み
2025/12/15　特定2号へ移行完了
</t>
    </r>
    <r>
      <rPr>
        <sz val="11"/>
        <color rgb="FFFF0000"/>
        <rFont val="MS PGothic"/>
        <family val="3"/>
        <charset val="128"/>
      </rPr>
      <t>ブイよりタオが妊娠。出産予定9月。西条工場へ夫婦で行く予定のため、病院で迷っている。現在つばきウィメンズクリニック。後日相談</t>
    </r>
  </si>
  <si>
    <t>松山で出産</t>
  </si>
  <si>
    <r>
      <rPr>
        <sz val="11"/>
        <color theme="1"/>
        <rFont val="MS PGothic"/>
        <family val="3"/>
        <charset val="128"/>
      </rPr>
      <t>2025.4/2新開工場長より７月～旦那（松山在住）と一緒に住みたい、
2025/6/20引越予定。ご主人名義で借りる予定。決まったら連絡が入る。（久米方面）</t>
    </r>
    <r>
      <rPr>
        <sz val="11"/>
        <color rgb="FFFF0000"/>
        <rFont val="MS PGothic"/>
        <family val="3"/>
        <charset val="128"/>
      </rPr>
      <t>8/11～9/12結婚のため帰国予定</t>
    </r>
    <r>
      <rPr>
        <sz val="11"/>
        <color theme="1"/>
        <rFont val="MS PGothic"/>
        <family val="3"/>
        <charset val="128"/>
      </rPr>
      <t xml:space="preserve">
2025.6.20引越　牛渕123-1→松山市松末２丁目１６－１７ココウミン（ご主人名義で借りる）へ引越
2025.7月結婚予定</t>
    </r>
    <r>
      <rPr>
        <sz val="11"/>
        <color rgb="FFFF0000"/>
        <rFont val="MS PGothic"/>
        <family val="3"/>
        <charset val="128"/>
      </rPr>
      <t xml:space="preserve">
</t>
    </r>
    <r>
      <rPr>
        <sz val="11"/>
        <color theme="1"/>
        <rFont val="MS PGothic"/>
        <family val="3"/>
        <charset val="128"/>
      </rPr>
      <t>ご主人：ココウミン（中国人）
勤務先：三菱自動車（技術者）090-3965-1989
在留資格：技術、人文知識、国際業務
2025/12/2新開工場長より、妊娠したとの申し出あり。</t>
    </r>
  </si>
  <si>
    <t>2025/9/4退職・9/5退寮</t>
  </si>
  <si>
    <t>特定技能1号期間更新中　24.7.11
2025.8月か9月頃に帰国希望（工場長より）
2025/08/31ピッコロ解約し、9/5退職9/9頃帰国
9/1～9/5アトム
9/4退職、9/5退寮　有給残10日あり　※最終出勤日8/27　9/5現金払い</t>
  </si>
  <si>
    <r>
      <rPr>
        <sz val="11"/>
        <color theme="1"/>
        <rFont val="MS PGothic"/>
        <family val="3"/>
        <charset val="128"/>
      </rPr>
      <t>通勤は自転車B-0128657
白26ｲﾝﾁABELIA
買い物と外出時は
ｱｼｽﾄ自転車</t>
    </r>
    <r>
      <rPr>
        <sz val="11"/>
        <color theme="1"/>
        <rFont val="MS PGothic"/>
        <family val="3"/>
        <charset val="128"/>
      </rPr>
      <t>（知人から貰った）</t>
    </r>
  </si>
  <si>
    <t>帰国
帰国費用会社負担</t>
  </si>
  <si>
    <t>2025/8/1～2026/7/31
※2026年に帰国予定の
為、本人より1年間の契約
希望</t>
  </si>
  <si>
    <r>
      <rPr>
        <sz val="11"/>
        <color theme="1"/>
        <rFont val="MS PGothic"/>
        <family val="3"/>
        <charset val="128"/>
      </rPr>
      <t xml:space="preserve">2/20まで出勤・3/17より出勤
</t>
    </r>
    <r>
      <rPr>
        <sz val="11"/>
        <color rgb="FFFF0000"/>
        <rFont val="MS PGothic"/>
        <family val="3"/>
        <charset val="128"/>
      </rPr>
      <t xml:space="preserve">2026/2月に退職して帰国したい申し出。
新開工場長へ連絡済み。帰りの飛行機代を確認依頼。
</t>
    </r>
    <r>
      <rPr>
        <sz val="11"/>
        <color theme="1"/>
        <rFont val="MS PGothic"/>
        <family val="3"/>
        <charset val="128"/>
      </rPr>
      <t>飛行機代は会社負担（専務へ確認済11/19）</t>
    </r>
  </si>
  <si>
    <t>出産</t>
  </si>
  <si>
    <r>
      <rPr>
        <sz val="11"/>
        <color theme="1"/>
        <rFont val="MS PGothic"/>
        <family val="3"/>
        <charset val="128"/>
      </rPr>
      <t>2025.4/2新開工場長より７月～旦那（松山在住）と一緒に住みたい、
2025/6/20引越予定。ご主人名義で借りる予定。決まったら連絡が入る。（久米方面）</t>
    </r>
    <r>
      <rPr>
        <sz val="11"/>
        <color rgb="FFFF0000"/>
        <rFont val="MS PGothic"/>
        <family val="3"/>
        <charset val="128"/>
      </rPr>
      <t>8/11～9/12結婚のため帰国予定</t>
    </r>
    <r>
      <rPr>
        <sz val="11"/>
        <color theme="1"/>
        <rFont val="MS PGothic"/>
        <family val="3"/>
        <charset val="128"/>
      </rPr>
      <t xml:space="preserve">
2025.6.20引越　牛渕123-1→松山市松末２丁目１６－１７ココウミン（ご主人名義で借りる）へ引越
2025.7月結婚予定</t>
    </r>
    <r>
      <rPr>
        <sz val="11"/>
        <color rgb="FFFF0000"/>
        <rFont val="MS PGothic"/>
        <family val="3"/>
        <charset val="128"/>
      </rPr>
      <t xml:space="preserve">
</t>
    </r>
    <r>
      <rPr>
        <sz val="11"/>
        <color theme="1"/>
        <rFont val="MS PGothic"/>
        <family val="3"/>
        <charset val="128"/>
      </rPr>
      <t>ご主人：ココウミン（中国人）
勤務先：三菱自動車（技術者）090-3965-1989
在留資格：技術、人文知識、国際業務
2025/12/2新開工場長より、妊娠したとの申し出あり。</t>
    </r>
  </si>
  <si>
    <t>2024.5.9～実習2号へ
2026/5/8実習2号終了で退職（転職）</t>
  </si>
  <si>
    <t>実習2号終了で
退職（帰国）</t>
  </si>
  <si>
    <t>6/19退職、6/22現金給与6/23帰国</t>
  </si>
  <si>
    <t>UH56662900PA</t>
  </si>
  <si>
    <t>2025/10/31～
2026/1/31育休</t>
  </si>
  <si>
    <r>
      <rPr>
        <sz val="11"/>
        <color rgb="FFFF0000"/>
        <rFont val="MS PGothic"/>
        <family val="3"/>
        <charset val="128"/>
      </rPr>
      <t>2024.6.23車の免許取得予定　１９ファムティチンの夫</t>
    </r>
    <r>
      <rPr>
        <sz val="11"/>
        <color rgb="FF000000"/>
        <rFont val="MS PGothic"/>
        <family val="3"/>
        <charset val="128"/>
      </rPr>
      <t xml:space="preserve">
ﾊﾞｲｸ通勤届提出済5/2通勤手当5/21～変更（6月分の給料より）
2024.5.2　入社時自身で自転車を持ってきている
2024/09/28ヴィレッジ駐車場契約P1-063　月4,400円実費負担
2024/09/25車通勤届受領
2025/8/4車を買替予定とのこと。車庫証明の件でビレッジの管理人さんへ問合せありとのこと</t>
    </r>
    <r>
      <rPr>
        <sz val="11"/>
        <color rgb="FFFF0000"/>
        <rFont val="MS PGothic"/>
        <family val="3"/>
        <charset val="128"/>
      </rPr>
      <t xml:space="preserve">
</t>
    </r>
    <r>
      <rPr>
        <sz val="11"/>
        <color rgb="FF000000"/>
        <rFont val="MS PGothic"/>
        <family val="3"/>
        <charset val="128"/>
      </rPr>
      <t xml:space="preserve">2025.9.5引越　チン名義で借りる。ビレッジ1-303へ
</t>
    </r>
    <r>
      <rPr>
        <sz val="11"/>
        <color rgb="FFFF0000"/>
        <rFont val="MS PGothic"/>
        <family val="3"/>
        <charset val="128"/>
      </rPr>
      <t>2025/11/4～12/4育休　→延長1/4　→延長1/31</t>
    </r>
  </si>
  <si>
    <t>07011409</t>
  </si>
  <si>
    <t>ファム　ティ　フエン　チャン</t>
  </si>
  <si>
    <t>PHAM　THI　HUYEN　TRANG</t>
  </si>
  <si>
    <t>SA11837284PA</t>
  </si>
  <si>
    <t>会社支給の自転車
は使用していない
ｺｰﾎﾟ津吉にあり</t>
  </si>
  <si>
    <t>帰国後、
在留ｶｰﾄﾞ更新</t>
  </si>
  <si>
    <t>24.3.21～ﾁｭｵﾝﾃｨﾄｩｰと同部屋へ引越。家賃は同じ
2025/04特定技能申請、実習終了に伴い2025/06頃一時帰国予定　日程は調整40日程度が妥当</t>
  </si>
  <si>
    <r>
      <rPr>
        <sz val="10"/>
        <color rgb="FF000000"/>
        <rFont val="MS PGothic"/>
        <family val="3"/>
        <charset val="128"/>
      </rPr>
      <t xml:space="preserve">2025/3/27　合格
実習生2号修了者
2025.8.20入国、入寮・8/21入社
中四国は入国時のチケット手配まで（10万まで）
→9/1中温へ切替予定
</t>
    </r>
    <r>
      <rPr>
        <sz val="10"/>
        <color rgb="FFFF0000"/>
        <rFont val="MS PGothic"/>
        <family val="3"/>
        <charset val="128"/>
      </rPr>
      <t>2026.6/15～7/30一時帰国希望（宮内工場長より2025/12/19）</t>
    </r>
  </si>
  <si>
    <t>2104
通勤、買い物も会社支給
の自転車使用</t>
  </si>
  <si>
    <r>
      <rPr>
        <sz val="11"/>
        <color rgb="FF000000"/>
        <rFont val="MS PGothic"/>
        <family val="3"/>
        <charset val="128"/>
      </rPr>
      <t xml:space="preserve">2024/07/01
</t>
    </r>
    <r>
      <rPr>
        <sz val="11"/>
        <color rgb="FFFF0000"/>
        <rFont val="MS PGothic"/>
        <family val="3"/>
        <charset val="128"/>
      </rPr>
      <t>2026/01/24</t>
    </r>
  </si>
  <si>
    <r>
      <rPr>
        <sz val="11"/>
        <color rgb="FF000000"/>
        <rFont val="MS PGothic"/>
        <family val="3"/>
        <charset val="128"/>
      </rPr>
      <t xml:space="preserve">2024/08/01
</t>
    </r>
    <r>
      <rPr>
        <sz val="11"/>
        <color rgb="FFFF0000"/>
        <rFont val="MS PGothic"/>
        <family val="3"/>
        <charset val="128"/>
      </rPr>
      <t>2026/03/21</t>
    </r>
  </si>
  <si>
    <r>
      <rPr>
        <sz val="11"/>
        <color rgb="FF000000"/>
        <rFont val="MS PGothic"/>
        <family val="3"/>
        <charset val="128"/>
      </rPr>
      <t>24.7/3頃～8/5頃一時帰国　新開工場長へ申請あり4/24　→中四国
からの日程の連絡待ち。→6/30～7/31確定（6/19中四国より）
本人からの休暇届けは7/1～8/1一時帰国（全て有給申請）となって
いるため、中四国廣瀬さんへ確認依頼済（6/28中に）
一時帰国後8/6以降順風会で健診予定</t>
    </r>
    <r>
      <rPr>
        <sz val="11"/>
        <color rgb="FFFF0000"/>
        <rFont val="MS PGothic"/>
        <family val="3"/>
        <charset val="128"/>
      </rPr>
      <t xml:space="preserve">
</t>
    </r>
    <r>
      <rPr>
        <sz val="11"/>
        <color rgb="FF000000"/>
        <rFont val="MS PGothic"/>
        <family val="3"/>
        <charset val="128"/>
      </rPr>
      <t xml:space="preserve">24.4月分～ﾎｱﾝﾃｨﾊﾝが入寮したら家賃2万→1万へ
</t>
    </r>
    <r>
      <rPr>
        <sz val="11"/>
        <color rgb="FFFF0000"/>
        <rFont val="MS PGothic"/>
        <family val="3"/>
        <charset val="128"/>
      </rPr>
      <t xml:space="preserve">2026.1月　特定2号受験予定
</t>
    </r>
  </si>
  <si>
    <t>UH29608234PA</t>
  </si>
  <si>
    <r>
      <rPr>
        <sz val="11"/>
        <color theme="1"/>
        <rFont val="MS PGothic"/>
        <family val="3"/>
        <charset val="128"/>
      </rPr>
      <t xml:space="preserve">2025/04/25
</t>
    </r>
    <r>
      <rPr>
        <sz val="11"/>
        <color rgb="FFFF0000"/>
        <rFont val="MS PGothic"/>
        <family val="3"/>
        <charset val="128"/>
      </rPr>
      <t>2026/02/14</t>
    </r>
  </si>
  <si>
    <r>
      <rPr>
        <sz val="11"/>
        <color theme="1"/>
        <rFont val="MS PGothic"/>
        <family val="3"/>
        <charset val="128"/>
      </rPr>
      <t xml:space="preserve">2025/06/10
</t>
    </r>
    <r>
      <rPr>
        <sz val="11"/>
        <color rgb="FFFF0000"/>
        <rFont val="MS PGothic"/>
        <family val="3"/>
        <charset val="128"/>
      </rPr>
      <t>2026/03/14</t>
    </r>
  </si>
  <si>
    <t>UH23532383PA</t>
  </si>
  <si>
    <r>
      <rPr>
        <sz val="11"/>
        <color theme="1"/>
        <rFont val="MS PGothic"/>
        <family val="3"/>
        <charset val="128"/>
      </rPr>
      <t xml:space="preserve">2025/03/16
</t>
    </r>
    <r>
      <rPr>
        <sz val="11"/>
        <color rgb="FFFF0000"/>
        <rFont val="MS PGothic"/>
        <family val="3"/>
        <charset val="128"/>
      </rPr>
      <t>2026/02/26</t>
    </r>
  </si>
  <si>
    <r>
      <rPr>
        <sz val="11"/>
        <color theme="1"/>
        <rFont val="MS PGothic"/>
        <family val="3"/>
        <charset val="128"/>
      </rPr>
      <t xml:space="preserve">2025/03/30
</t>
    </r>
    <r>
      <rPr>
        <sz val="11"/>
        <color rgb="FFFF0000"/>
        <rFont val="MS PGothic"/>
        <family val="3"/>
        <charset val="128"/>
      </rPr>
      <t>2026/04/14</t>
    </r>
  </si>
  <si>
    <t>/appsheet/photograph/07011610.在留カード表裏.063739.pdf</t>
  </si>
  <si>
    <r>
      <rPr>
        <sz val="11"/>
        <color theme="1"/>
        <rFont val="MS PGothic"/>
        <family val="3"/>
        <charset val="128"/>
      </rPr>
      <t xml:space="preserve">20240529退勤中に最後の階段で足をくじいた。
2024/09/14牛渕170-3→ビレッジ4-205引越
2025/10/30新開工場長より、2026/3/13より2ヶ月ぐらい、
自身の結婚のため帰国の申し出。日程の調整確認依頼
10/30現在有休残３日、11/29付与12日、合計15日
新開工場長へline済み
</t>
    </r>
    <r>
      <rPr>
        <sz val="11"/>
        <color rgb="FFFF0000"/>
        <rFont val="MS PGothic"/>
        <family val="3"/>
        <charset val="128"/>
      </rPr>
      <t>3/13結婚のため、一時帰国。5/10頃帰国し
在留カード更新手続きを行うと話す。</t>
    </r>
  </si>
  <si>
    <r>
      <rPr>
        <sz val="11"/>
        <color rgb="FF000000"/>
        <rFont val="MS PGothic"/>
        <family val="3"/>
        <charset val="128"/>
      </rPr>
      <t xml:space="preserve">一時帰国後8/1以降順風会で健診予定
一時帰国希望あり。有休残日数と次回の付与日で検討とのこと（24.4.23H&amp;C三好さん
より）一時帰国の内20日間は有給使用予定（5/9三好さんより）
</t>
    </r>
    <r>
      <rPr>
        <sz val="11"/>
        <color rgb="FFFF0000"/>
        <rFont val="MS PGothic"/>
        <family val="3"/>
        <charset val="128"/>
      </rPr>
      <t>2026/特定2号受験予定</t>
    </r>
  </si>
  <si>
    <r>
      <rPr>
        <sz val="11"/>
        <color theme="1"/>
        <rFont val="MS PGothic"/>
        <family val="3"/>
        <charset val="128"/>
      </rPr>
      <t xml:space="preserve">2023/12/11
</t>
    </r>
    <r>
      <rPr>
        <sz val="11"/>
        <color rgb="FFFF0000"/>
        <rFont val="MS PGothic"/>
        <family val="3"/>
        <charset val="128"/>
      </rPr>
      <t>2026/04/22</t>
    </r>
  </si>
  <si>
    <r>
      <rPr>
        <sz val="11"/>
        <color theme="1"/>
        <rFont val="MS PGothic"/>
        <family val="3"/>
        <charset val="128"/>
      </rPr>
      <t xml:space="preserve">2024/01/20
</t>
    </r>
    <r>
      <rPr>
        <sz val="11"/>
        <color rgb="FFFF0000"/>
        <rFont val="MS PGothic"/>
        <family val="3"/>
        <charset val="128"/>
      </rPr>
      <t>2026/06/10</t>
    </r>
  </si>
  <si>
    <r>
      <rPr>
        <sz val="11"/>
        <color rgb="FF000000"/>
        <rFont val="MS PGothic"/>
        <family val="3"/>
        <charset val="128"/>
      </rPr>
      <t xml:space="preserve">特定技能1号期間更新中　24.7.11
23.12/11一時退職　23.12/11～1/20一時帰国
2025/09/11～特定技能１号
</t>
    </r>
    <r>
      <rPr>
        <sz val="11"/>
        <color rgb="FFFF0000"/>
        <rFont val="MS PGothic"/>
        <family val="3"/>
        <charset val="128"/>
      </rPr>
      <t xml:space="preserve">特定2号を受験する場合、1号を1年間延長可能。
2025/12/21～特定2号へ資格変更予定
2025/12/15　特定2号へ移行完了
</t>
    </r>
    <r>
      <rPr>
        <sz val="11"/>
        <color rgb="FF000000"/>
        <rFont val="MS PGothic"/>
        <family val="3"/>
        <charset val="128"/>
      </rPr>
      <t>2026/4/22～6/10一時帰国（育休）</t>
    </r>
  </si>
  <si>
    <t>UH31691579PC</t>
  </si>
  <si>
    <r>
      <rPr>
        <sz val="11"/>
        <color theme="1"/>
        <rFont val="MS PGothic"/>
        <family val="3"/>
        <charset val="128"/>
      </rPr>
      <t xml:space="preserve">2025/01/31
</t>
    </r>
    <r>
      <rPr>
        <sz val="11"/>
        <color rgb="FFFF0000"/>
        <rFont val="MS PGothic"/>
        <family val="3"/>
        <charset val="128"/>
      </rPr>
      <t>2026/04/20</t>
    </r>
  </si>
  <si>
    <r>
      <rPr>
        <sz val="11"/>
        <color theme="1"/>
        <rFont val="MS PGothic"/>
        <family val="3"/>
        <charset val="128"/>
      </rPr>
      <t xml:space="preserve">2025/03/03
</t>
    </r>
    <r>
      <rPr>
        <sz val="11"/>
        <color rgb="FFFF0000"/>
        <rFont val="MS PGothic"/>
        <family val="3"/>
        <charset val="128"/>
      </rPr>
      <t>2026/06/03</t>
    </r>
  </si>
  <si>
    <t>帰国前
在留ｶｰﾄﾞ更新</t>
  </si>
  <si>
    <r>
      <rPr>
        <sz val="11"/>
        <color theme="1"/>
        <rFont val="MS PGothic"/>
        <family val="3"/>
        <charset val="128"/>
      </rPr>
      <t xml:space="preserve">最終出勤日1/30 2025/1/31～3/3一時帰国
1/21～1/30まで勤務の為控除無し及びH&amp;C管理住宅
</t>
    </r>
    <r>
      <rPr>
        <sz val="11"/>
        <color rgb="FFFF0000"/>
        <rFont val="MS PGothic"/>
        <family val="3"/>
        <charset val="128"/>
      </rPr>
      <t>結婚のため、2026/04/20～6/3まで一時帰国希望
（新開工場長より2025/12/23）</t>
    </r>
  </si>
  <si>
    <t>UH04955658PC</t>
  </si>
  <si>
    <r>
      <rPr>
        <sz val="11"/>
        <color theme="1"/>
        <rFont val="MS PGothic"/>
        <family val="3"/>
        <charset val="128"/>
      </rPr>
      <t>7909-202511盗難届済
B-0247909-1593</t>
    </r>
    <r>
      <rPr>
        <sz val="9"/>
        <color theme="1"/>
        <rFont val="MS PGothic"/>
        <family val="3"/>
        <charset val="128"/>
      </rPr>
      <t>鍵回収</t>
    </r>
    <r>
      <rPr>
        <sz val="11"/>
        <color theme="1"/>
        <rFont val="MS PGothic"/>
        <family val="3"/>
        <charset val="128"/>
      </rPr>
      <t xml:space="preserve">
代替B-0246656-1610</t>
    </r>
  </si>
  <si>
    <t>2025/04/15
2026/5月頃</t>
  </si>
  <si>
    <t>2025/05/19
2026/●月？</t>
  </si>
  <si>
    <r>
      <rPr>
        <sz val="11"/>
        <color theme="1"/>
        <rFont val="MS PGothic"/>
        <family val="3"/>
        <charset val="128"/>
      </rPr>
      <t>※特定技能申請の為、ﾊﾟｽﾎﾟｰﾄと在留ｶｰﾄﾞは中四国預かり（6/13朴さんより）
2024.6.12～社員コード変わる済（特定活動になるため）
2024.6.12～9/152実習3号→特定活動　9/12～特定技能へ
※特定活動（6ヵ月）申請しその期間に特定技能へ変更予定。</t>
    </r>
    <r>
      <rPr>
        <sz val="11"/>
        <color rgb="FFFF0000"/>
        <rFont val="MS PGothic"/>
        <family val="3"/>
        <charset val="128"/>
      </rPr>
      <t xml:space="preserve">
</t>
    </r>
    <r>
      <rPr>
        <sz val="11"/>
        <color theme="1"/>
        <rFont val="MS PGothic"/>
        <family val="3"/>
        <charset val="128"/>
      </rPr>
      <t>2022.7.18一時退職8/9～一時帰国　2024.1.26一時退職
2025/10/4　2～3年前から週に5日程下痢が続いているため、窪田クリニックを受診。便検査の結果、病原性大腸菌O-18が見つかり、ベロ毒素の検査結果は陰性。（陽性であれば保健所に届け出が必要とのこと）。除菌のため、抗生物質の薬を5日服用し、5日後に再度便検査を病院でする予定。</t>
    </r>
  </si>
  <si>
    <t>2026/02/05
2026/06/15</t>
  </si>
  <si>
    <r>
      <rPr>
        <sz val="10"/>
        <color rgb="FF000000"/>
        <rFont val="MS PGothic"/>
        <family val="3"/>
        <charset val="128"/>
      </rPr>
      <t xml:space="preserve">2025/3/27　合格
実習生2号修了者
2025.8.20入国、入寮・8/21入社
中四国は入国時のチケット手配まで（10万まで）
→9/1中温へ切替予定
</t>
    </r>
    <r>
      <rPr>
        <sz val="10"/>
        <color rgb="FFFF0000"/>
        <rFont val="MS PGothic"/>
        <family val="3"/>
        <charset val="128"/>
      </rPr>
      <t>2026.6/15～7/30一時帰国希望（宮内工場長より2025/12/19）</t>
    </r>
  </si>
  <si>
    <r>
      <rPr>
        <sz val="11"/>
        <color theme="1"/>
        <rFont val="MS PGothic"/>
        <family val="3"/>
        <charset val="128"/>
      </rPr>
      <t xml:space="preserve">自身で購入
</t>
    </r>
    <r>
      <rPr>
        <sz val="11"/>
        <color rgb="FFFF0000"/>
        <rFont val="MS PGothic"/>
        <family val="3"/>
        <charset val="128"/>
      </rPr>
      <t>元2305-V084</t>
    </r>
  </si>
  <si>
    <r>
      <rPr>
        <sz val="11"/>
        <color theme="1"/>
        <rFont val="MS PGothic"/>
        <family val="3"/>
        <charset val="128"/>
      </rPr>
      <t xml:space="preserve">自身で購入
</t>
    </r>
    <r>
      <rPr>
        <sz val="11"/>
        <color rgb="FFFF0000"/>
        <rFont val="MS PGothic"/>
        <family val="3"/>
        <charset val="128"/>
      </rPr>
      <t>元2317-X236</t>
    </r>
  </si>
  <si>
    <t>UH84235418PC</t>
  </si>
  <si>
    <t>UH46862255PC</t>
  </si>
  <si>
    <r>
      <rPr>
        <sz val="11"/>
        <color rgb="FF000000"/>
        <rFont val="MS PGothic"/>
        <family val="3"/>
        <charset val="128"/>
      </rPr>
      <t xml:space="preserve">2025/9/21～1人部屋へ家賃￥20000へ
2025/10/21引越　中野①（中野町442-1）→中野③（中野町368-6）へ　家賃￥20,000-へ
</t>
    </r>
    <r>
      <rPr>
        <sz val="11"/>
        <color rgb="FFFF0000"/>
        <rFont val="MS PGothic"/>
        <family val="3"/>
        <charset val="128"/>
      </rPr>
      <t>ラティフと結婚の為、2026/7/21～9/20まで
一時帰国希望。新開工場長より2025/12/22</t>
    </r>
  </si>
  <si>
    <r>
      <rPr>
        <sz val="11"/>
        <color rgb="FF000000"/>
        <rFont val="MS PGothic"/>
        <family val="3"/>
        <charset val="128"/>
      </rPr>
      <t xml:space="preserve">元ポエム　2024.4.4入寮
</t>
    </r>
    <r>
      <rPr>
        <sz val="11"/>
        <color rgb="FFFF0000"/>
        <rFont val="MS PGothic"/>
        <family val="3"/>
        <charset val="128"/>
      </rPr>
      <t>2026.1月　特定2号受験予定</t>
    </r>
  </si>
  <si>
    <r>
      <rPr>
        <sz val="11"/>
        <color rgb="FFFF0000"/>
        <rFont val="MS PGothic"/>
        <family val="3"/>
        <charset val="128"/>
      </rPr>
      <t xml:space="preserve">特定技能1号期間更新中　24.7.11
</t>
    </r>
    <r>
      <rPr>
        <sz val="11"/>
        <color rgb="FF000000"/>
        <rFont val="MS PGothic"/>
        <family val="3"/>
        <charset val="128"/>
      </rPr>
      <t>2024.6.21～ｱﾄﾑ504→三和ﾏﾝｼｮﾝ末広201へ引越
6/26住所変更済（中四国で）
家賃￥21500/人。家具家電は会社負担
奥さんｱｲﾝと一緒に住む</t>
    </r>
  </si>
  <si>
    <t xml:space="preserve"> </t>
  </si>
  <si>
    <t>育児休暇</t>
  </si>
  <si>
    <r>
      <rPr>
        <sz val="10"/>
        <color theme="1"/>
        <rFont val="Arial"/>
        <family val="2"/>
      </rPr>
      <t>9/2～育児休暇 休暇中、</t>
    </r>
    <r>
      <rPr>
        <sz val="10"/>
        <color theme="1"/>
        <rFont val="Arial"/>
        <family val="2"/>
      </rPr>
      <t>中四国管理料月額10,000-</t>
    </r>
  </si>
  <si>
    <t>カデック　アデリア　ウィディアニタ　レスタリ</t>
  </si>
  <si>
    <t>松山市上野町774番地ビレッジハウス上野4-505</t>
  </si>
  <si>
    <r>
      <rPr>
        <sz val="10"/>
        <color theme="1"/>
        <rFont val="Arial"/>
        <family val="2"/>
      </rPr>
      <t>9/7～9/28一時帰国</t>
    </r>
    <r>
      <rPr>
        <sz val="10"/>
        <color theme="1"/>
        <rFont val="Arial"/>
        <family val="2"/>
      </rPr>
      <t>→9/30より勤務確認</t>
    </r>
  </si>
  <si>
    <t>チャン　ヴァン　ヒエン</t>
  </si>
  <si>
    <t>松山市上野町774番地ビレッジハウス上野2-503</t>
  </si>
  <si>
    <t>2024/09/09退職　9/12退寮</t>
  </si>
  <si>
    <t>ラーミタ　ヌル　ハリザ</t>
  </si>
  <si>
    <t>2024/09/29退職　10/3退寮</t>
  </si>
  <si>
    <t>退寮</t>
  </si>
  <si>
    <t>2024/09/12退寮</t>
  </si>
  <si>
    <t>給料</t>
  </si>
  <si>
    <r>
      <rPr>
        <sz val="10"/>
        <color theme="1"/>
        <rFont val="Arial"/>
        <family val="2"/>
      </rPr>
      <t>07001608</t>
    </r>
  </si>
  <si>
    <t>小栗</t>
  </si>
  <si>
    <t>N3合格　５，０００円追加</t>
  </si>
  <si>
    <r>
      <rPr>
        <sz val="10"/>
        <color theme="1"/>
        <rFont val="Arial"/>
        <family val="2"/>
      </rPr>
      <t>07001608</t>
    </r>
  </si>
  <si>
    <r>
      <rPr>
        <sz val="10"/>
        <color theme="1"/>
        <rFont val="Arial"/>
        <family val="2"/>
      </rPr>
      <t>グエン タイン チュン</t>
    </r>
  </si>
  <si>
    <r>
      <rPr>
        <sz val="10"/>
        <color theme="1"/>
        <rFont val="Arial"/>
        <family val="2"/>
      </rPr>
      <t>和泉北1-20-28アトムスカイマンション305</t>
    </r>
  </si>
  <si>
    <t>8/21賃金改定　1,000円</t>
  </si>
  <si>
    <t>グエン ティ　タム</t>
  </si>
  <si>
    <t>8/21賃金改定　1,050円 特定・N4</t>
  </si>
  <si>
    <t>ブイ ティ　ミン</t>
  </si>
  <si>
    <t>2024/09/末振込　9/12退寮</t>
  </si>
  <si>
    <t>グエン　ゴック　ガー</t>
  </si>
  <si>
    <t>松山市上野町774番地ビレッジハウス上野2-506</t>
  </si>
  <si>
    <t>引越</t>
  </si>
  <si>
    <t>ハー　ティ　ヴァン</t>
  </si>
  <si>
    <t>松山市上野町774番地ビレッジハウス上野2-508</t>
  </si>
  <si>
    <t>2024/10/４退職　9/末→2-506　3人部屋</t>
  </si>
  <si>
    <t>9/末→2-504 3人部屋</t>
  </si>
  <si>
    <t>07011505</t>
  </si>
  <si>
    <r>
      <rPr>
        <sz val="10"/>
        <color theme="1"/>
        <rFont val="Arial"/>
        <family val="2"/>
      </rPr>
      <t>ファム ティ チン</t>
    </r>
  </si>
  <si>
    <r>
      <rPr>
        <sz val="10"/>
        <color theme="1"/>
        <rFont val="Arial"/>
        <family val="2"/>
      </rPr>
      <t>津吉町535-1コーポ津吉2-4</t>
    </r>
  </si>
  <si>
    <t>10/1～ビレッジハウス上野2-503</t>
  </si>
  <si>
    <t>ファム　ティ　イエン</t>
  </si>
  <si>
    <t>津吉町535-1コーポ津吉1-6</t>
  </si>
  <si>
    <t>10/1～コーポ津吉2-4　10/4退寮</t>
  </si>
  <si>
    <t>通勤</t>
  </si>
  <si>
    <t>ズオン　デ　タオ</t>
  </si>
  <si>
    <r>
      <rPr>
        <sz val="10"/>
        <color theme="1"/>
        <rFont val="Arial"/>
        <family val="2"/>
      </rPr>
      <t>バイク→車通勤　申請許可後変更</t>
    </r>
    <r>
      <rPr>
        <sz val="10"/>
        <color theme="1"/>
        <rFont val="Arial"/>
        <family val="2"/>
      </rPr>
      <t>→許可</t>
    </r>
  </si>
  <si>
    <t>１０月</t>
  </si>
  <si>
    <t>10/3実習終了退職 10/4退寮</t>
  </si>
  <si>
    <t>2024/10/4退職 最終出勤日</t>
  </si>
  <si>
    <t>ヴー　ティ　タオ</t>
  </si>
  <si>
    <r>
      <rPr>
        <sz val="10"/>
        <color theme="1"/>
        <rFont val="Arial"/>
        <family val="2"/>
      </rPr>
      <t>和泉北1-20-28アトムスカイマンション402</t>
    </r>
  </si>
  <si>
    <r>
      <rPr>
        <sz val="10"/>
        <color theme="1"/>
        <rFont val="Arial"/>
        <family val="2"/>
      </rPr>
      <t>2024/10/15,16,18,19有給　10/17最終出勤</t>
    </r>
    <r>
      <rPr>
        <sz val="10"/>
        <color theme="1"/>
        <rFont val="Arial"/>
        <family val="2"/>
      </rPr>
      <t xml:space="preserve">
10/20退職　10/22退寮</t>
    </r>
  </si>
  <si>
    <t>レストゥ　グメラー</t>
  </si>
  <si>
    <t>松山市上野町774番地ビレッジハウス上野3-507</t>
  </si>
  <si>
    <t>10/20にて退職(確定)</t>
  </si>
  <si>
    <t>離職票</t>
  </si>
  <si>
    <r>
      <rPr>
        <sz val="10"/>
        <color theme="1"/>
        <rFont val="Arial"/>
        <family val="2"/>
      </rPr>
      <t>2024/09/29退職　10/3退寮　H&amp;Cへ渡す</t>
    </r>
    <r>
      <rPr>
        <sz val="10"/>
        <color theme="1"/>
        <rFont val="Arial"/>
        <family val="2"/>
      </rPr>
      <t>⇒済</t>
    </r>
  </si>
  <si>
    <t>実習
→特定活動</t>
  </si>
  <si>
    <r>
      <rPr>
        <sz val="10"/>
        <color theme="1"/>
        <rFont val="Arial"/>
        <family val="2"/>
      </rPr>
      <t>ファム ティ チン</t>
    </r>
  </si>
  <si>
    <r>
      <rPr>
        <sz val="10"/>
        <color theme="1"/>
        <rFont val="Arial"/>
        <family val="2"/>
      </rPr>
      <t>津吉町535-1コーポ津吉2-4</t>
    </r>
  </si>
  <si>
    <t>10/4～特定活動</t>
  </si>
  <si>
    <t>2024/10/10退寮</t>
  </si>
  <si>
    <r>
      <rPr>
        <sz val="10"/>
        <color theme="1"/>
        <rFont val="Arial"/>
        <family val="2"/>
      </rPr>
      <t>ファム ティ ヒエン</t>
    </r>
  </si>
  <si>
    <t>10/4退寮</t>
  </si>
  <si>
    <r>
      <rPr>
        <sz val="10"/>
        <color theme="1"/>
        <rFont val="Arial"/>
        <family val="2"/>
      </rPr>
      <t>和泉北1-20-28アトムスカイマンション402</t>
    </r>
  </si>
  <si>
    <t>2024/10/22退寮</t>
  </si>
  <si>
    <t>10/19予定だがH&amp;C管理</t>
  </si>
  <si>
    <t>帰国日程変更のため　2024/10/８ 9時現金用意【小栗】　</t>
  </si>
  <si>
    <r>
      <rPr>
        <sz val="10"/>
        <color theme="1"/>
        <rFont val="Arial"/>
        <family val="2"/>
      </rPr>
      <t>ファム ティ ヒエン</t>
    </r>
  </si>
  <si>
    <t>10/4　13:00頃本社にて現金</t>
  </si>
  <si>
    <r>
      <rPr>
        <sz val="10"/>
        <color theme="1"/>
        <rFont val="Arial"/>
        <family val="2"/>
      </rPr>
      <t>和泉北1-20-28アトムスカイマンション402</t>
    </r>
  </si>
  <si>
    <t>2024/10/22午前中現金</t>
  </si>
  <si>
    <t>2024/10/03退寮までに現金</t>
  </si>
  <si>
    <t>ニマトゥル　マウリダ</t>
  </si>
  <si>
    <t>N3合格　10/31給料より5,000円</t>
  </si>
  <si>
    <t>10/20にて退職→　10/31現金H&amp;Cへ 　兵庫へ転職</t>
  </si>
  <si>
    <t>給料控除等</t>
  </si>
  <si>
    <r>
      <rPr>
        <sz val="10"/>
        <color theme="1"/>
        <rFont val="Arial"/>
        <family val="2"/>
      </rPr>
      <t>グエン バァン ドゥ</t>
    </r>
  </si>
  <si>
    <r>
      <rPr>
        <sz val="10"/>
        <color theme="1"/>
        <rFont val="Arial"/>
        <family val="2"/>
      </rPr>
      <t>松山市上野町774番地ビレッジハウス上野2-504</t>
    </r>
  </si>
  <si>
    <t>8/21入社時給897円　10/13～956円に変更</t>
  </si>
  <si>
    <t>ヴィレッジ駐車場10/20締め分より4,840円控除
以降　毎月駐車場代として4,400円控除必要</t>
  </si>
  <si>
    <t>※住所変更に伴う申請</t>
  </si>
  <si>
    <t>バイク→車</t>
  </si>
  <si>
    <t>※通勤方法の変更　バイク→車</t>
  </si>
  <si>
    <t>通勤・給料</t>
  </si>
  <si>
    <r>
      <rPr>
        <sz val="10"/>
        <color theme="1"/>
        <rFont val="Arial"/>
        <family val="2"/>
      </rPr>
      <t>ファム ティ チン</t>
    </r>
  </si>
  <si>
    <r>
      <rPr>
        <sz val="10"/>
        <color theme="1"/>
        <rFont val="Arial"/>
        <family val="2"/>
      </rPr>
      <t>津吉町535-1コーポ津吉2-4</t>
    </r>
  </si>
  <si>
    <t>※自転車通勤の距離変更に伴う通勤費変更　10/1～変更</t>
  </si>
  <si>
    <t>入社</t>
  </si>
  <si>
    <t>イ　マデ　エサノピオ</t>
  </si>
  <si>
    <t>オクトリヴィア　ザヘル</t>
  </si>
  <si>
    <t>男性10名　女性10名</t>
  </si>
  <si>
    <t>ラストノ　スリ　ムルヤ</t>
  </si>
  <si>
    <t>ナファ　アイヌル　リズキ</t>
  </si>
  <si>
    <t>10/22 男性2名女性3名入社　黄色</t>
  </si>
  <si>
    <t>イーサン　シハブ　ギッファリ</t>
  </si>
  <si>
    <t>ザーラ　ソンジャヤ</t>
  </si>
  <si>
    <t>10/29 男性8名女性7名入社　水色</t>
  </si>
  <si>
    <t>リザル　ムハマド　フィルダウス</t>
  </si>
  <si>
    <t>ヌルル　アフリナ　セルビアンティ</t>
  </si>
  <si>
    <t>ダナン　アジ　プリ　アトモコ</t>
  </si>
  <si>
    <t>マヤング　ヌルハサナー</t>
  </si>
  <si>
    <t>アルル　ユスフ　フィルダウス</t>
  </si>
  <si>
    <t>チンティア　インダー　ゲスタ</t>
  </si>
  <si>
    <t>ムハッマド　ユスフ</t>
  </si>
  <si>
    <t>ミャナ　デウィ　アフナン</t>
  </si>
  <si>
    <t>ライハン　ヴィルギアン　アルファレル</t>
  </si>
  <si>
    <t>アニサー　ファッラス　ナビル　ザハビヤー</t>
  </si>
  <si>
    <t>リヴァンドラ　ジヨ　マヘサ</t>
  </si>
  <si>
    <t>ニケン　エカ　ヌルリナワティ</t>
  </si>
  <si>
    <t>ボー　グェン　ホアイ　ナム</t>
  </si>
  <si>
    <t>10/15入寮　10/16入社</t>
  </si>
  <si>
    <t>ファム　ヒュー　タン</t>
  </si>
  <si>
    <t>ホー　ティ　ニュン</t>
  </si>
  <si>
    <t>グエン　ティ　リエウ</t>
  </si>
  <si>
    <t>ディン　ティ　タオ　グエン</t>
  </si>
  <si>
    <t>その他</t>
  </si>
  <si>
    <t>東温市牛渕170-3→ビレッジ4-205へ移動</t>
  </si>
  <si>
    <r>
      <rPr>
        <sz val="10"/>
        <color theme="1"/>
        <rFont val="Arial"/>
        <family val="2"/>
      </rPr>
      <t>H&amp;Cへ牛渕寮費　15,352円請求10/1入金有
　</t>
    </r>
    <r>
      <rPr>
        <sz val="10"/>
        <color theme="1"/>
        <rFont val="Arial"/>
        <family val="2"/>
      </rPr>
      <t>移動日9/14</t>
    </r>
  </si>
  <si>
    <t>１１月</t>
  </si>
  <si>
    <t>一時帰国→2024/11/20退職に変更</t>
  </si>
  <si>
    <t>11/9最終出勤 11/11～11/20有給消化　11/20退寮</t>
  </si>
  <si>
    <t>エヴィ　ラハユ</t>
  </si>
  <si>
    <t>松山市上野町774番地ビレッジハウス上野4-205</t>
  </si>
  <si>
    <t>2024/11/27最終出勤午前中～一時帰国～2025/01/3自身の結婚</t>
  </si>
  <si>
    <t>控除関係</t>
  </si>
  <si>
    <r>
      <rPr>
        <sz val="10"/>
        <color theme="1"/>
        <rFont val="Arial"/>
        <family val="2"/>
      </rPr>
      <t>11/27～1/3一時帰国　12月社会保険料のみ11月末より天引
　家賃は翌月 給料は通常通り　月末振込　</t>
    </r>
    <r>
      <rPr>
        <sz val="10"/>
        <color rgb="FFFF0000"/>
        <rFont val="Arial"/>
        <family val="2"/>
      </rPr>
      <t>←社会保険料返金</t>
    </r>
  </si>
  <si>
    <t>リンダ　ヌルハリザ</t>
  </si>
  <si>
    <t>松山市上野町774番地ビレッジハウス上野4-501</t>
  </si>
  <si>
    <t>１０月給料マイナス分　33,378円控除</t>
  </si>
  <si>
    <t>部屋移動</t>
  </si>
  <si>
    <t>ナナ　マルディアナ</t>
  </si>
  <si>
    <t>松山市上野町774番地ビレッジハウス上野2-405</t>
  </si>
  <si>
    <r>
      <rPr>
        <sz val="10"/>
        <color theme="1"/>
        <rFont val="Arial"/>
        <family val="2"/>
      </rPr>
      <t xml:space="preserve">ビレッジハウス上野2-405⇒3-507へ移動　
</t>
    </r>
    <r>
      <rPr>
        <sz val="10"/>
        <color theme="1"/>
        <rFont val="Arial"/>
        <family val="2"/>
      </rPr>
      <t>11/9に部屋移動</t>
    </r>
  </si>
  <si>
    <t>11/29 デルタ四国に現金</t>
  </si>
  <si>
    <t>１２月</t>
  </si>
  <si>
    <r>
      <rPr>
        <sz val="10"/>
        <color theme="1"/>
        <rFont val="Arial"/>
        <family val="2"/>
      </rPr>
      <t>チャン クアン トゥアン</t>
    </r>
    <r>
      <rPr>
        <sz val="10"/>
        <color rgb="FFFF0000"/>
        <rFont val="Arial"/>
        <family val="2"/>
      </rPr>
      <t>→退職へ変更</t>
    </r>
  </si>
  <si>
    <t>松山市上野町774番地ビレッジハウス上野2-504</t>
  </si>
  <si>
    <t>退職日2024/12/20　最終出勤12/19　再度勤務25/02/21</t>
  </si>
  <si>
    <t>07013636</t>
  </si>
  <si>
    <r>
      <rPr>
        <sz val="10"/>
        <color theme="1"/>
        <rFont val="Arial"/>
        <family val="2"/>
      </rPr>
      <t xml:space="preserve">松山市上野町774番地ビレッジハウス上野3-103
</t>
    </r>
    <r>
      <rPr>
        <sz val="10"/>
        <color theme="1"/>
        <rFont val="Arial"/>
        <family val="2"/>
      </rPr>
      <t>退職日確認中</t>
    </r>
  </si>
  <si>
    <r>
      <rPr>
        <sz val="10"/>
        <color theme="1"/>
        <rFont val="Arial"/>
        <family val="2"/>
      </rPr>
      <t>2024/12に入り体調不良にて休み。12/21診療内科受診し一時帰国を進められる。一時退職し帰国を打診。12/20締有給すべて消化処理。</t>
    </r>
    <r>
      <rPr>
        <sz val="10"/>
        <color rgb="FFFF0000"/>
        <rFont val="Arial"/>
        <family val="2"/>
      </rPr>
      <t>12/27一時退職、1月早めに帰国</t>
    </r>
  </si>
  <si>
    <r>
      <rPr>
        <sz val="10"/>
        <color theme="1"/>
        <rFont val="Arial"/>
        <family val="2"/>
      </rPr>
      <t>最終出勤2024/12/17</t>
    </r>
    <r>
      <rPr>
        <sz val="10"/>
        <color theme="1"/>
        <rFont val="Arial"/>
        <family val="2"/>
      </rPr>
      <t xml:space="preserve"> 退職日2024/12/20　完全帰国</t>
    </r>
  </si>
  <si>
    <t>退寮日2024/12/23　15:30成田行ジェットスター～</t>
  </si>
  <si>
    <r>
      <rPr>
        <sz val="10"/>
        <color theme="1"/>
        <rFont val="Arial"/>
        <family val="2"/>
      </rPr>
      <t>チャン クアン トゥアン</t>
    </r>
    <r>
      <rPr>
        <sz val="10"/>
        <color rgb="FFFF0000"/>
        <rFont val="Arial"/>
        <family val="2"/>
      </rPr>
      <t>→退職へ変更</t>
    </r>
  </si>
  <si>
    <t>12/末銀行振込OK、12/末の給料より12/21～2/20、
家賃30,000円控除OK</t>
  </si>
  <si>
    <t>12/23 午前中現金　完全帰国</t>
  </si>
  <si>
    <t>再入寮・再入社</t>
  </si>
  <si>
    <r>
      <rPr>
        <sz val="10"/>
        <color theme="1"/>
        <rFont val="Arial"/>
        <family val="2"/>
      </rPr>
      <t>チャン クアン トゥアン</t>
    </r>
  </si>
  <si>
    <t>2024/12/21～2025/2/20一時退職　再度勤務25/02/21
家賃2か月・社会保険あれば1か月分を先に徴収→本人了承</t>
  </si>
  <si>
    <t>2025年１月</t>
  </si>
  <si>
    <t>入寮</t>
  </si>
  <si>
    <t>チャン　ヴァン　チュン</t>
  </si>
  <si>
    <t>2025/01/09入寮</t>
  </si>
  <si>
    <t>ブイ　ヴァン　ライ</t>
  </si>
  <si>
    <t>入社予定</t>
  </si>
  <si>
    <t>2025/01/10入社予定</t>
  </si>
  <si>
    <t>松山市上野町774番地ビレッジハウス上野4-502</t>
  </si>
  <si>
    <r>
      <rPr>
        <sz val="10"/>
        <color theme="1"/>
        <rFont val="Arial"/>
        <family val="2"/>
      </rPr>
      <t>最終出勤日1/30 2025/1/31～3/3一時帰国 帰国日3/4 開始3/6
帰国期間の控除OKだが、</t>
    </r>
    <r>
      <rPr>
        <sz val="10"/>
        <color rgb="FFFF0000"/>
        <rFont val="Arial"/>
        <family val="2"/>
      </rPr>
      <t>８日勤務ありのため控除なし</t>
    </r>
  </si>
  <si>
    <t>1/19退職2025/1/20～2025/03/05 チケット済　3/7より再勤務</t>
  </si>
  <si>
    <t>ユリ　アニ</t>
  </si>
  <si>
    <t>2025/1/20に退職 福岡の会社に転職申出(内定) 有給残 15日</t>
  </si>
  <si>
    <t>ノヴィアナ　ラティー</t>
  </si>
  <si>
    <t>2025/1/20に退職 福岡の会社に転職申出(内定) 有給残7日</t>
  </si>
  <si>
    <t>2025/1/20に退職 結婚の為帰国大阪の旦那の会社へ転職有給残8日</t>
  </si>
  <si>
    <t>エルサ　プルナマ　セプティア　プトリ</t>
  </si>
  <si>
    <t>2025/1/20に退職 福岡の会社に転職申出(内定)　　有給残13日</t>
  </si>
  <si>
    <t>アルバシタ　アマリア</t>
  </si>
  <si>
    <t>2025/1/20に退職 福岡の会社へ転職　有給残12日</t>
  </si>
  <si>
    <t>妊娠中　1/20退職　1/30帰国　1/30退寮</t>
  </si>
  <si>
    <t>松山市上野町774番地ビレッジハウス上野3-103</t>
  </si>
  <si>
    <t>1/20退職　残業多いため一時帰国しゆっくりしたい申出　転職</t>
  </si>
  <si>
    <t>1/20締給料より、2月の家賃10,000円控除</t>
  </si>
  <si>
    <t>2月</t>
  </si>
  <si>
    <r>
      <rPr>
        <sz val="10"/>
        <color theme="1"/>
        <rFont val="Arial"/>
        <family val="2"/>
      </rPr>
      <t>リンダ帰国後部屋移動　4-501→2-405予定→</t>
    </r>
    <r>
      <rPr>
        <sz val="10"/>
        <color rgb="FFFF0000"/>
        <rFont val="Arial"/>
        <family val="2"/>
      </rPr>
      <t>そのまま</t>
    </r>
  </si>
  <si>
    <t>2/21入国 2/25衛生講習9:00 2/26入社</t>
  </si>
  <si>
    <t>津吉町535-1コーポ津吉1-2</t>
  </si>
  <si>
    <t>2025/2/23～3/16親族結婚式出席のため帰国
2/20まで出勤　3/17～出勤</t>
  </si>
  <si>
    <t>2025/2/27最終出勤 2/28～4/3自身の結婚の為帰国 4/4再出勤日</t>
  </si>
  <si>
    <r>
      <rPr>
        <sz val="10"/>
        <color theme="1"/>
        <rFont val="Arial"/>
        <family val="2"/>
      </rPr>
      <t xml:space="preserve">再入寮・再入社
</t>
    </r>
    <r>
      <rPr>
        <sz val="10"/>
        <color rgb="FFFF0000"/>
        <rFont val="Arial"/>
        <family val="2"/>
      </rPr>
      <t>　→退職へ変更</t>
    </r>
  </si>
  <si>
    <r>
      <rPr>
        <sz val="10"/>
        <color theme="1"/>
        <rFont val="Arial"/>
        <family val="2"/>
      </rPr>
      <t>チャン クアン トゥアン</t>
    </r>
    <r>
      <rPr>
        <sz val="10"/>
        <color rgb="FFFF0000"/>
        <rFont val="Arial"/>
        <family val="2"/>
      </rPr>
      <t>→退職へ変更</t>
    </r>
  </si>
  <si>
    <t>2024/12/21～2025/2/20一時退職　再度勤務25/02/21
家賃2か月・社会保険あれば1か月分を先に徴収→本人了承
急遽退職へ変更　4,131円2/25回収済</t>
  </si>
  <si>
    <t>給料（資格手当）</t>
  </si>
  <si>
    <r>
      <rPr>
        <sz val="10"/>
        <color rgb="FFFF0000"/>
        <rFont val="Arial"/>
        <family val="2"/>
      </rPr>
      <t>資格手当　5,000円</t>
    </r>
    <r>
      <rPr>
        <sz val="10"/>
        <color theme="1"/>
        <rFont val="Arial"/>
        <family val="2"/>
      </rPr>
      <t xml:space="preserve">
日本語能力検定N3合格 2024/12/01受験 2025/1/31確認</t>
    </r>
  </si>
  <si>
    <t>07001417</t>
  </si>
  <si>
    <r>
      <rPr>
        <sz val="10"/>
        <color rgb="FFFF0000"/>
        <rFont val="Arial"/>
        <family val="2"/>
      </rPr>
      <t>資格手当　5,000円</t>
    </r>
    <r>
      <rPr>
        <sz val="10"/>
        <color theme="1"/>
        <rFont val="Arial"/>
        <family val="2"/>
      </rPr>
      <t xml:space="preserve">
日本語能力検定N3合格 2024/12/01受験 2025/2/17確認</t>
    </r>
  </si>
  <si>
    <t>一時帰国費用37,150-控除　今回の控除により帰国費用は不要</t>
  </si>
  <si>
    <t>3月</t>
  </si>
  <si>
    <t>グエン　タイン　チャン</t>
  </si>
  <si>
    <t>3/13入国　3/17入社</t>
  </si>
  <si>
    <t>グエン　ティ　アイン</t>
  </si>
  <si>
    <t>2025/03/11～3/30親族結婚式出席のため帰国
3/10まで出勤　3/31～勤務</t>
  </si>
  <si>
    <r>
      <rPr>
        <sz val="10"/>
        <color rgb="FFFF0000"/>
        <rFont val="Arial"/>
        <family val="2"/>
      </rPr>
      <t>2025/03/16～3/30に変更</t>
    </r>
    <r>
      <rPr>
        <sz val="10"/>
        <color theme="1"/>
        <rFont val="Arial"/>
        <family val="2"/>
      </rPr>
      <t>親族結婚式出席のため帰国</t>
    </r>
  </si>
  <si>
    <t>松山市上野町774番地ビレッジハウス上野1-507</t>
  </si>
  <si>
    <t>2025/3/28頃～4/27一時帰国　4/28より勤務</t>
  </si>
  <si>
    <t>2/21～ビレッジハウス上野4-501へ引越　公共料金修正</t>
  </si>
  <si>
    <t>2/21～ビレッジハウス上野3-103へ引越　公共料金修正</t>
  </si>
  <si>
    <t>H&amp;C管理</t>
  </si>
  <si>
    <t>2/21～ビレッジハウス上野4-205へ引越　公共料金修正
家賃15,000-へ</t>
  </si>
  <si>
    <t>2/21～ビレッジハウス上野4-502へ引越　公共料金修正
家賃15,000-へ</t>
  </si>
  <si>
    <t>3/8～ビレッジハウス上野2-405へ引越　公共料金修正
家賃15,000-へ</t>
  </si>
  <si>
    <t>家賃変更</t>
  </si>
  <si>
    <t>2/21～家賃20,000-→15,000へ（夫婦→共同のため）</t>
  </si>
  <si>
    <t>2人部屋拒否のため、家賃変更10,000→20,000へ　以後20,000</t>
  </si>
  <si>
    <t>給料（家賃控除）</t>
  </si>
  <si>
    <t>2月３月分の家賃＋仲介負担分3/末の給料より82,013円控除
以後4月～家賃45,000円控除
3月分電気料金　3,046円控除</t>
  </si>
  <si>
    <r>
      <rPr>
        <sz val="10"/>
        <color theme="1"/>
        <rFont val="Arial"/>
        <family val="2"/>
      </rPr>
      <t>給料</t>
    </r>
    <r>
      <rPr>
        <sz val="10"/>
        <color rgb="FFFF0000"/>
        <rFont val="Arial"/>
        <family val="2"/>
      </rPr>
      <t xml:space="preserve"> 現金支給</t>
    </r>
  </si>
  <si>
    <r>
      <rPr>
        <sz val="10"/>
        <color theme="1"/>
        <rFont val="Arial"/>
        <family val="2"/>
      </rPr>
      <t>給料現金</t>
    </r>
    <r>
      <rPr>
        <sz val="10"/>
        <color rgb="FFFF0000"/>
        <rFont val="Arial"/>
        <family val="2"/>
      </rPr>
      <t>（本社にてＨ＆Ｃへ渡す）</t>
    </r>
  </si>
  <si>
    <r>
      <rPr>
        <sz val="10"/>
        <color theme="1"/>
        <rFont val="Arial"/>
        <family val="2"/>
      </rPr>
      <t>給料現金</t>
    </r>
    <r>
      <rPr>
        <sz val="10"/>
        <color rgb="FFFF0000"/>
        <rFont val="Arial"/>
        <family val="2"/>
      </rPr>
      <t>（本社にてＨ＆Ｃへ渡す）</t>
    </r>
  </si>
  <si>
    <r>
      <rPr>
        <sz val="10"/>
        <color theme="1"/>
        <rFont val="Arial"/>
        <family val="2"/>
      </rPr>
      <t>給料現金</t>
    </r>
    <r>
      <rPr>
        <sz val="10"/>
        <color rgb="FFFF0000"/>
        <rFont val="Arial"/>
        <family val="2"/>
      </rPr>
      <t>（本社にてＨ＆Ｃへ渡す）</t>
    </r>
  </si>
  <si>
    <r>
      <rPr>
        <sz val="10"/>
        <color theme="1"/>
        <rFont val="Arial"/>
        <family val="2"/>
      </rPr>
      <t>給料現金</t>
    </r>
    <r>
      <rPr>
        <sz val="10"/>
        <color rgb="FFFF0000"/>
        <rFont val="Arial"/>
        <family val="2"/>
      </rPr>
      <t>（本社にてＨ＆Ｃへ渡す）</t>
    </r>
  </si>
  <si>
    <r>
      <rPr>
        <sz val="10"/>
        <color theme="1"/>
        <rFont val="Arial"/>
        <family val="2"/>
      </rPr>
      <t>給料現金</t>
    </r>
    <r>
      <rPr>
        <sz val="10"/>
        <color rgb="FFFF0000"/>
        <rFont val="Arial"/>
        <family val="2"/>
      </rPr>
      <t>（本社にてＨ＆Ｃへ渡す）</t>
    </r>
  </si>
  <si>
    <t>3/20退職 2340Ｂ-0304397-V165</t>
  </si>
  <si>
    <t>退職届済</t>
  </si>
  <si>
    <t>3/20退職 2/28最終出勤　6659Ｂ－0246659-1645</t>
  </si>
  <si>
    <t>3/20退職　住民税11,200円追加徴収</t>
  </si>
  <si>
    <r>
      <rPr>
        <sz val="10"/>
        <color rgb="FFFF0000"/>
        <rFont val="Arial"/>
        <family val="2"/>
      </rPr>
      <t xml:space="preserve">3/20退職 </t>
    </r>
    <r>
      <rPr>
        <sz val="10"/>
        <color theme="1"/>
        <rFont val="Arial"/>
        <family val="2"/>
      </rPr>
      <t>6667Ｂ－0246667-1173</t>
    </r>
  </si>
  <si>
    <r>
      <rPr>
        <sz val="10"/>
        <color rgb="FFFF0000"/>
        <rFont val="Arial"/>
        <family val="2"/>
      </rPr>
      <t xml:space="preserve">3/20退職 </t>
    </r>
    <r>
      <rPr>
        <sz val="10"/>
        <color theme="1"/>
        <rFont val="Arial"/>
        <family val="2"/>
      </rPr>
      <t>6672Ｂ－0246772-1595</t>
    </r>
  </si>
  <si>
    <t>4月</t>
  </si>
  <si>
    <t>07001411</t>
  </si>
  <si>
    <t>ダオ　ヴァン　ゴック</t>
  </si>
  <si>
    <r>
      <rPr>
        <sz val="10"/>
        <color rgb="FF434343"/>
        <rFont val="Arial"/>
        <family val="2"/>
      </rPr>
      <t>実習終了に伴う一時帰国　</t>
    </r>
    <r>
      <rPr>
        <sz val="10"/>
        <color rgb="FFFF0000"/>
        <rFont val="Arial"/>
        <family val="2"/>
      </rPr>
      <t>2025/04/25～6/10確定　6/11～出社</t>
    </r>
  </si>
  <si>
    <t>17000006</t>
  </si>
  <si>
    <t>クアン　ティ　ハー</t>
  </si>
  <si>
    <r>
      <rPr>
        <sz val="10"/>
        <color rgb="FF434343"/>
        <rFont val="Arial"/>
        <family val="2"/>
      </rPr>
      <t>実習終了に伴う一時帰国　</t>
    </r>
    <r>
      <rPr>
        <sz val="10"/>
        <color rgb="FFFF0000"/>
        <rFont val="Arial"/>
        <family val="2"/>
      </rPr>
      <t>2025/04/25～6/10確定　6/11～出社</t>
    </r>
  </si>
  <si>
    <t>07001410</t>
  </si>
  <si>
    <t>グエン　タン　ロン</t>
  </si>
  <si>
    <r>
      <rPr>
        <sz val="10"/>
        <color theme="1"/>
        <rFont val="Arial"/>
        <family val="2"/>
      </rPr>
      <t>実習終了に伴う一時帰国　2025/04/15～5/19確定　</t>
    </r>
    <r>
      <rPr>
        <sz val="10"/>
        <color rgb="FFFF0000"/>
        <rFont val="Arial"/>
        <family val="2"/>
      </rPr>
      <t>帰国確認本人負担</t>
    </r>
  </si>
  <si>
    <t>ブイ ヒュウ フン</t>
  </si>
  <si>
    <t>松山市上野町774番地ビレッジハウス上野2-507</t>
  </si>
  <si>
    <t>4/9退職 自身の結婚の為一時帰国 2025/4/9～5/17 勤務再開 5/19</t>
  </si>
  <si>
    <t>保険証カギ回収</t>
  </si>
  <si>
    <t>変更</t>
  </si>
  <si>
    <t>3/29～1号館1人部屋→ビレッジハウス上野4-502へ引越
公共料金修正　家賃同額</t>
  </si>
  <si>
    <t>アイナセプティハプサリデヴィ</t>
  </si>
  <si>
    <t>3/29～大部屋→別棟1人部屋へ　家賃15,000-へ変更</t>
  </si>
  <si>
    <t>3/29～大部屋→1号館1人部屋へ　家賃15,000-へ変更</t>
  </si>
  <si>
    <t>グエン　ティ　キム　クオン</t>
  </si>
  <si>
    <t>2025/4/10実習終了に伴い完全帰国</t>
  </si>
  <si>
    <t>チュオン　ティ　トゥー</t>
  </si>
  <si>
    <t>レー　ティ　ガン</t>
  </si>
  <si>
    <t>2025/4/10実習終了に伴い完全帰国 4/15</t>
  </si>
  <si>
    <t>4/18退職　4/21退寮　月末松岡さんへ現金</t>
  </si>
  <si>
    <t>松山市上野町774番地ビレッジハウス上野4-407</t>
  </si>
  <si>
    <r>
      <rPr>
        <sz val="10"/>
        <color theme="1"/>
        <rFont val="Arial"/>
        <family val="2"/>
      </rPr>
      <t xml:space="preserve">4/６最終出勤日 4/20退職 </t>
    </r>
    <r>
      <rPr>
        <sz val="10"/>
        <color theme="1"/>
        <rFont val="Arial"/>
        <family val="2"/>
      </rPr>
      <t xml:space="preserve">退寮日4/27 </t>
    </r>
    <r>
      <rPr>
        <sz val="10"/>
        <color theme="1"/>
        <rFont val="Arial"/>
        <family val="2"/>
      </rPr>
      <t>進学希望の為</t>
    </r>
  </si>
  <si>
    <t>4/20退職　4/21帰国</t>
  </si>
  <si>
    <t>給料控除</t>
  </si>
  <si>
    <t>家賃５月分も控除　ほかにあれば控除　通常通り月末振込</t>
  </si>
  <si>
    <r>
      <rPr>
        <sz val="10"/>
        <color theme="1"/>
        <rFont val="Arial"/>
        <family val="2"/>
      </rPr>
      <t>2025/04/15～5/19　</t>
    </r>
    <r>
      <rPr>
        <sz val="10"/>
        <color rgb="FFFF0000"/>
        <rFont val="Arial"/>
        <family val="2"/>
      </rPr>
      <t>日本へ帰国確認本人負担　家賃５月分も控除</t>
    </r>
  </si>
  <si>
    <r>
      <rPr>
        <sz val="10"/>
        <color rgb="FFFF0000"/>
        <rFont val="Arial"/>
        <family val="2"/>
      </rPr>
      <t>一時帰国　</t>
    </r>
    <r>
      <rPr>
        <sz val="10"/>
        <color rgb="FFFF0000"/>
        <rFont val="Arial"/>
        <family val="2"/>
      </rPr>
      <t xml:space="preserve">2025/04/25～6/10確定　家賃５月分も控除
</t>
    </r>
    <r>
      <rPr>
        <sz val="10"/>
        <color rgb="FFFF0000"/>
        <rFont val="Arial"/>
        <family val="2"/>
      </rPr>
      <t>通常通り月末振込</t>
    </r>
  </si>
  <si>
    <t>一時帰国　2025/04/25～6/10確定　家賃５月分も控除
通常通り月末振込</t>
  </si>
  <si>
    <t>07001415</t>
  </si>
  <si>
    <t>5月分の家賃、社会保険料徴収　6/6迄に本人が支払いに来る予定⇒中四国へ請求</t>
  </si>
  <si>
    <t>給料 月末口座</t>
  </si>
  <si>
    <t>4/15広島より一時帰国　給料は通常通り月末振込</t>
  </si>
  <si>
    <r>
      <rPr>
        <sz val="10"/>
        <color theme="1"/>
        <rFont val="Arial"/>
        <family val="2"/>
      </rPr>
      <t xml:space="preserve">給料 </t>
    </r>
    <r>
      <rPr>
        <sz val="10"/>
        <color rgb="FFFF0000"/>
        <rFont val="Arial"/>
        <family val="2"/>
      </rPr>
      <t>現金支給</t>
    </r>
  </si>
  <si>
    <t>4/14現金支給 4/15広島より帰国 4/8～4/10有給消化 4/15退寮</t>
  </si>
  <si>
    <t>4/30小栗事務所にて現金松岡さんへ 4/18退職 有給残なし</t>
  </si>
  <si>
    <r>
      <rPr>
        <sz val="10"/>
        <color rgb="FF000000"/>
        <rFont val="Arial"/>
        <family val="2"/>
      </rPr>
      <t xml:space="preserve">4/６最終出勤日 4/20退職 </t>
    </r>
    <r>
      <rPr>
        <sz val="10"/>
        <color rgb="FFFF0000"/>
        <rFont val="Arial"/>
        <family val="2"/>
      </rPr>
      <t xml:space="preserve">退寮日4/27 </t>
    </r>
    <r>
      <rPr>
        <sz val="10"/>
        <color rgb="FF000000"/>
        <rFont val="Arial"/>
        <family val="2"/>
      </rPr>
      <t>進学の為帰国</t>
    </r>
    <r>
      <rPr>
        <sz val="10"/>
        <color rgb="FFFF0000"/>
        <rFont val="Arial"/>
        <family val="2"/>
      </rPr>
      <t xml:space="preserve"> 銀行解約
4/25現金準備</t>
    </r>
    <r>
      <rPr>
        <sz val="10"/>
        <color rgb="FF000000"/>
        <rFont val="Arial"/>
        <family val="2"/>
      </rPr>
      <t>（H&amp;Cのため尾崎へ）</t>
    </r>
  </si>
  <si>
    <t>4/30小栗事務所にて現金H&amp;Cへ</t>
  </si>
  <si>
    <t>実習→特定</t>
  </si>
  <si>
    <t>実習終了により特定技能　4/21～時給変更あり 新時給1,000</t>
  </si>
  <si>
    <t>実習終了により特定技能　4/21～時給変更あり 新時給1,050</t>
  </si>
  <si>
    <t>07001412</t>
  </si>
  <si>
    <t>実習終了により特定技能　4/21～時給変更あり新時給1,050</t>
  </si>
  <si>
    <t>実習終了により特定技能　4/21～時給変更あり新時給1,000</t>
  </si>
  <si>
    <t>07001416</t>
  </si>
  <si>
    <t>実習終了により特定技能　4/21～時給変更あり新時給1,020</t>
  </si>
  <si>
    <t>07001418</t>
  </si>
  <si>
    <r>
      <rPr>
        <sz val="10"/>
        <color theme="1"/>
        <rFont val="Arial"/>
        <family val="2"/>
      </rPr>
      <t>実習終了により特定技能　</t>
    </r>
    <r>
      <rPr>
        <sz val="10"/>
        <color rgb="FFFF0000"/>
        <rFont val="Arial"/>
        <family val="2"/>
      </rPr>
      <t>4/21～時給変更あり新時給984</t>
    </r>
  </si>
  <si>
    <t>17000004</t>
  </si>
  <si>
    <t>実習終了により特定技能＋協同→中温　4/21～時給変更あり新時給1,000　社員ｺｰﾄﾞ変更</t>
  </si>
  <si>
    <t>＋協同→中温</t>
  </si>
  <si>
    <t>17000005</t>
  </si>
  <si>
    <t>実習終了により特定技能＋協同→中温　4/21～時給変更あり新時給1,020　社員ｺｰﾄﾞ変更</t>
  </si>
  <si>
    <t>5月</t>
  </si>
  <si>
    <t>17001401</t>
  </si>
  <si>
    <r>
      <rPr>
        <sz val="10"/>
        <color theme="1"/>
        <rFont val="Arial"/>
        <family val="2"/>
      </rPr>
      <t>4/27研修終了　</t>
    </r>
    <r>
      <rPr>
        <sz val="10"/>
        <color rgb="FFFF0000"/>
        <rFont val="Arial"/>
        <family val="2"/>
      </rPr>
      <t>4/30入寮</t>
    </r>
    <r>
      <rPr>
        <sz val="10"/>
        <color theme="1"/>
        <rFont val="Arial"/>
        <family val="2"/>
      </rPr>
      <t>　5/1入社</t>
    </r>
  </si>
  <si>
    <t>17001402</t>
  </si>
  <si>
    <r>
      <rPr>
        <sz val="10"/>
        <color theme="1"/>
        <rFont val="Arial"/>
        <family val="2"/>
      </rPr>
      <t>4/27研修終了　</t>
    </r>
    <r>
      <rPr>
        <sz val="10"/>
        <color rgb="FFFF0000"/>
        <rFont val="Arial"/>
        <family val="2"/>
      </rPr>
      <t>4/30入寮　</t>
    </r>
    <r>
      <rPr>
        <sz val="10"/>
        <color theme="1"/>
        <rFont val="Arial"/>
        <family val="2"/>
      </rPr>
      <t>5/1入社</t>
    </r>
  </si>
  <si>
    <t>5/16入寮　6/10入社</t>
  </si>
  <si>
    <r>
      <rPr>
        <sz val="10"/>
        <color theme="1"/>
        <rFont val="Arial"/>
        <family val="2"/>
      </rPr>
      <t>4/9退職 自身の結婚の為一時帰国 2025/4/9～5/17  5/19再入社　</t>
    </r>
    <r>
      <rPr>
        <sz val="10"/>
        <color rgb="FFFF0000"/>
        <rFont val="Arial"/>
        <family val="2"/>
      </rPr>
      <t>社員ｺｰﾄﾞ変更</t>
    </r>
  </si>
  <si>
    <r>
      <rPr>
        <sz val="10"/>
        <color theme="1"/>
        <rFont val="Arial"/>
        <family val="2"/>
      </rPr>
      <t>4/9退職 自身の結婚の為一時帰国 2025/4/9～5/17  5/19再入社　</t>
    </r>
    <r>
      <rPr>
        <sz val="10"/>
        <color rgb="FFFF0000"/>
        <rFont val="Arial"/>
        <family val="2"/>
      </rPr>
      <t>社員ｺｰﾄﾞ変更</t>
    </r>
  </si>
  <si>
    <t>結婚のため一時帰国5/6～6/9帰国後エカと一緒V4-504　6/11～出社</t>
  </si>
  <si>
    <t>ビレッジのトリシリアの5/2引越　Ｖ４－４０７へ</t>
  </si>
  <si>
    <t>ビレッジの２－５０６へ 5/11引越</t>
  </si>
  <si>
    <t>カギ回収</t>
  </si>
  <si>
    <t>通勤費＆家賃変更</t>
  </si>
  <si>
    <t>東温市牛渕123-1→ビレッジ4-407へ</t>
  </si>
  <si>
    <t>5/2引越　Ｖ４－４０７へ　家賃¥15,000へ　通勤費変更6月分～</t>
  </si>
  <si>
    <t>通勤届済</t>
  </si>
  <si>
    <t>5/11引越　Ｖ２－５０６へ 　家賃¥15,000へ　通勤費変更6月分～</t>
  </si>
  <si>
    <t>通勤届</t>
  </si>
  <si>
    <t>5/16入寮　※5/16～5/20分の家賃は6月分の給料から引く</t>
  </si>
  <si>
    <t>5/8退職 5/9退寮変更　5/1に旦那の埼玉へ行くため4/30退職へ変更</t>
  </si>
  <si>
    <t>5/20退職  5/20退寮　4/1現在有給残15日　4/30～5/20有給消化</t>
  </si>
  <si>
    <t>保険証済</t>
  </si>
  <si>
    <r>
      <rPr>
        <sz val="10"/>
        <color rgb="FFFF0000"/>
        <rFont val="Arial"/>
        <family val="2"/>
      </rPr>
      <t>4/28退職</t>
    </r>
    <r>
      <rPr>
        <sz val="10"/>
        <color rgb="FFFF0000"/>
        <rFont val="Arial"/>
        <family val="2"/>
      </rPr>
      <t>へ 退寮日5/28確定　40,000円より控除</t>
    </r>
  </si>
  <si>
    <t>保険証済　カギ回収</t>
  </si>
  <si>
    <t>Wifi代</t>
  </si>
  <si>
    <t>６０４のWifiを使用　500円徴収　604Wifi４人で2,190円を均等割</t>
  </si>
  <si>
    <t>給料現金</t>
  </si>
  <si>
    <t>4/30退職へ変更　5/30現金デルタ四国へ</t>
  </si>
  <si>
    <t>5/20退職　5/30現金（ゆうちょへ振込）明細郵送
614-8377京都府八幡市男山香呂５　Ａ４４－５０２へ（郵送済5/30）</t>
  </si>
  <si>
    <t>6月</t>
  </si>
  <si>
    <t>松山市上野町774番地ビレッジハウス上野4-504</t>
  </si>
  <si>
    <r>
      <rPr>
        <sz val="10"/>
        <color rgb="FF000000"/>
        <rFont val="Arial"/>
        <family val="2"/>
      </rPr>
      <t>6/9入寮</t>
    </r>
    <r>
      <rPr>
        <sz val="10"/>
        <color rgb="FFFF0000"/>
        <rFont val="Arial"/>
        <family val="2"/>
      </rPr>
      <t>　6/17入社　</t>
    </r>
    <r>
      <rPr>
        <sz val="10"/>
        <color rgb="FF000000"/>
        <rFont val="Arial"/>
        <family val="2"/>
      </rPr>
      <t>ニマトゥルマウリダさんと一緒に住む</t>
    </r>
  </si>
  <si>
    <t>2025/06/24～7/24 一時帰国</t>
  </si>
  <si>
    <t>6/21引越　ビレッジの２－５０２へ</t>
  </si>
  <si>
    <t>6/9引越　帰国後エカと一緒V4-504へ</t>
  </si>
  <si>
    <t>シティ　ロピアナ</t>
  </si>
  <si>
    <t>6/21引越　ビレッジの３－５０１へ</t>
  </si>
  <si>
    <t>ユナンダ　ムルニアンシー</t>
  </si>
  <si>
    <t>チンティア　インダーゲスタ</t>
  </si>
  <si>
    <t>旦那と住居する6/21～　及び９月ごろ結婚のため一時帰国予定
松山市松末２丁目１６－１７ココウミンへ引越</t>
  </si>
  <si>
    <r>
      <rPr>
        <sz val="10"/>
        <color rgb="FFFF0000"/>
        <rFont val="Arial"/>
        <family val="2"/>
      </rPr>
      <t>6/21引越　</t>
    </r>
    <r>
      <rPr>
        <sz val="10"/>
        <color rgb="FF000000"/>
        <rFont val="Arial"/>
        <family val="2"/>
      </rPr>
      <t>新住所：東温市西岡601-2EARLS　COURT東温Ⅱ205号</t>
    </r>
  </si>
  <si>
    <t>6/21引越　旦那と住居する　家賃なし　通勤費変更6/21～</t>
  </si>
  <si>
    <t>6/21引越　ビレッジの２－５０２へ　家賃￥15,000へ　通勤費変更6/21～</t>
  </si>
  <si>
    <r>
      <rPr>
        <sz val="10"/>
        <color rgb="FF000000"/>
        <rFont val="Arial"/>
        <family val="2"/>
      </rPr>
      <t>6/9引越</t>
    </r>
    <r>
      <rPr>
        <sz val="10"/>
        <color rgb="FFFF0000"/>
        <rFont val="Arial"/>
        <family val="2"/>
      </rPr>
      <t>　</t>
    </r>
    <r>
      <rPr>
        <sz val="10"/>
        <color rgb="FF000000"/>
        <rFont val="Arial"/>
        <family val="2"/>
      </rPr>
      <t>帰国後エカと一緒V4-504</t>
    </r>
    <r>
      <rPr>
        <sz val="10"/>
        <color rgb="FFFF0000"/>
        <rFont val="Arial"/>
        <family val="2"/>
      </rPr>
      <t>　家賃￥20,000へwifiなし　通勤費変更6/21～</t>
    </r>
  </si>
  <si>
    <t>6/21引越　ビレッジの３－５０１へ　家賃￥15,000へ　通勤費変更6/21～</t>
  </si>
  <si>
    <t>5/21～家賃20,000円へ変更</t>
  </si>
  <si>
    <t>　　</t>
  </si>
  <si>
    <r>
      <rPr>
        <sz val="10"/>
        <color rgb="FF000000"/>
        <rFont val="Arial"/>
        <family val="2"/>
      </rPr>
      <t>6/9入寮</t>
    </r>
    <r>
      <rPr>
        <sz val="10"/>
        <color rgb="FFFF0000"/>
        <rFont val="Arial"/>
        <family val="2"/>
      </rPr>
      <t>　</t>
    </r>
    <r>
      <rPr>
        <sz val="10"/>
        <color rgb="FF000000"/>
        <rFont val="Arial"/>
        <family val="2"/>
      </rPr>
      <t>6/17入社</t>
    </r>
    <r>
      <rPr>
        <sz val="10"/>
        <color rgb="FFFF0000"/>
        <rFont val="Arial"/>
        <family val="2"/>
      </rPr>
      <t>　家賃￥20,000　wifiなし</t>
    </r>
  </si>
  <si>
    <r>
      <rPr>
        <sz val="10"/>
        <color rgb="FFFF0000"/>
        <rFont val="Arial"/>
        <family val="2"/>
      </rPr>
      <t>6/21引越　家賃なし　通勤費6/21～変更　</t>
    </r>
    <r>
      <rPr>
        <sz val="10"/>
        <color rgb="FF000000"/>
        <rFont val="Arial"/>
        <family val="2"/>
      </rPr>
      <t>新住所：東温市西岡601-2EARLS　COURT東温Ⅱ205号</t>
    </r>
  </si>
  <si>
    <t>6/26退職　6/24退寮（6/24帰国）　家賃等は中四国へ請求　傷病手当が振込まれ
たら支払予定7/20頃　寮、自転車の鍵返却予定</t>
  </si>
  <si>
    <r>
      <rPr>
        <sz val="10"/>
        <color theme="1"/>
        <rFont val="Arial"/>
        <family val="2"/>
      </rPr>
      <t>保険証済・</t>
    </r>
    <r>
      <rPr>
        <sz val="10"/>
        <color rgb="FFFF0000"/>
        <rFont val="Arial"/>
        <family val="2"/>
      </rPr>
      <t>鍵</t>
    </r>
  </si>
  <si>
    <t>インドネシア該当者</t>
  </si>
  <si>
    <t>特定1号保険料　6月末給料から天引き　別紙渡し済</t>
  </si>
  <si>
    <r>
      <rPr>
        <sz val="10"/>
        <color rgb="FF000000"/>
        <rFont val="Arial"/>
        <family val="2"/>
      </rPr>
      <t>6/9入寮</t>
    </r>
    <r>
      <rPr>
        <sz val="10"/>
        <color rgb="FFFF0000"/>
        <rFont val="Arial"/>
        <family val="2"/>
      </rPr>
      <t>　</t>
    </r>
    <r>
      <rPr>
        <sz val="10"/>
        <color rgb="FF000000"/>
        <rFont val="Arial"/>
        <family val="2"/>
      </rPr>
      <t>6/17入社　</t>
    </r>
    <r>
      <rPr>
        <sz val="10"/>
        <color rgb="FFFF0000"/>
        <rFont val="Arial"/>
        <family val="2"/>
      </rPr>
      <t>6月分の給料は現金払い　N3手当7月分～</t>
    </r>
  </si>
  <si>
    <t>7月</t>
  </si>
  <si>
    <r>
      <rPr>
        <sz val="10"/>
        <color rgb="FF000000"/>
        <rFont val="Arial"/>
        <family val="2"/>
      </rPr>
      <t>7/8松山入寮</t>
    </r>
    <r>
      <rPr>
        <sz val="10"/>
        <color rgb="FFFF0000"/>
        <rFont val="Arial"/>
        <family val="2"/>
      </rPr>
      <t>　7/22入社　姫路へ転職後、中温へ再度戻る</t>
    </r>
  </si>
  <si>
    <t>松山市上野町774番地ビレッジハウス上野2-502</t>
  </si>
  <si>
    <r>
      <rPr>
        <sz val="10"/>
        <color rgb="FF000000"/>
        <rFont val="Arial"/>
        <family val="2"/>
      </rPr>
      <t>7/8(火)松山へ来る入寮</t>
    </r>
    <r>
      <rPr>
        <sz val="10"/>
        <color rgb="FFFF0000"/>
        <rFont val="Arial"/>
        <family val="2"/>
      </rPr>
      <t>　7/9入社　福岡へ転職後、中温へ再度戻る</t>
    </r>
  </si>
  <si>
    <t>グエン　ティ　ホン</t>
  </si>
  <si>
    <t>実習終了に伴う一時帰国　2025/07/10～8/18</t>
  </si>
  <si>
    <t>ルオン　トゥアン　リン</t>
  </si>
  <si>
    <t>実習終了に伴う一時帰国　2025/07/17～8/17</t>
  </si>
  <si>
    <r>
      <rPr>
        <sz val="10"/>
        <color rgb="FFFF0000"/>
        <rFont val="Arial"/>
        <family val="2"/>
      </rPr>
      <t>7/15～8/21</t>
    </r>
    <r>
      <rPr>
        <sz val="10"/>
        <color theme="1"/>
        <rFont val="Arial"/>
        <family val="2"/>
      </rPr>
      <t>　親の体調悪いため一時帰国　8/24～出勤</t>
    </r>
  </si>
  <si>
    <r>
      <rPr>
        <sz val="10"/>
        <color rgb="FFFF0000"/>
        <rFont val="Arial"/>
        <family val="2"/>
      </rPr>
      <t>7/17～8/24　</t>
    </r>
    <r>
      <rPr>
        <sz val="10"/>
        <color theme="1"/>
        <rFont val="Arial"/>
        <family val="2"/>
      </rPr>
      <t>一時帰国　8/26～出勤</t>
    </r>
  </si>
  <si>
    <t>レー　ティ　ダオ</t>
  </si>
  <si>
    <t>実習終了に伴う一時帰国　2025/07/08～8/4</t>
  </si>
  <si>
    <t>ダン　ティ　トゥエット</t>
  </si>
  <si>
    <t>実習終了に伴う一時帰国　2025/07/19～8/29</t>
  </si>
  <si>
    <t>実習終了に伴う一時帰国　2025/07/08～8/14</t>
  </si>
  <si>
    <t>7011609</t>
  </si>
  <si>
    <t>伊予郡砥部町原町325-26 シティハイム101</t>
  </si>
  <si>
    <t>7/1～8/14一時帰国</t>
  </si>
  <si>
    <r>
      <rPr>
        <sz val="10"/>
        <color rgb="FF000000"/>
        <rFont val="Arial"/>
        <family val="2"/>
      </rPr>
      <t>7/8入寮</t>
    </r>
    <r>
      <rPr>
        <sz val="10"/>
        <color rgb="FFFF0000"/>
        <rFont val="Arial"/>
        <family val="2"/>
      </rPr>
      <t>　7/22入社確定　家賃￥15,000　</t>
    </r>
    <r>
      <rPr>
        <sz val="10"/>
        <color rgb="FF000000"/>
        <rFont val="Arial"/>
        <family val="2"/>
      </rPr>
      <t>姫路へ転職後、中温へ再度戻る</t>
    </r>
  </si>
  <si>
    <r>
      <rPr>
        <sz val="10"/>
        <color rgb="FF000000"/>
        <rFont val="Arial"/>
        <family val="2"/>
      </rPr>
      <t>7/8入寮　7/9入社</t>
    </r>
    <r>
      <rPr>
        <sz val="10"/>
        <color rgb="FFFF0000"/>
        <rFont val="Arial"/>
        <family val="2"/>
      </rPr>
      <t>　家賃￥15,000へ　N3　手当5,000-は８月給料より</t>
    </r>
  </si>
  <si>
    <t>6/20Wifi設置　7月給料（6/21～）よりwifi代金 1,600円控除に変更</t>
  </si>
  <si>
    <t>07001419</t>
  </si>
  <si>
    <t>7月給料（6/21～）よりwifi代金 800円控除に変更</t>
  </si>
  <si>
    <t>07001420</t>
  </si>
  <si>
    <t>07004407</t>
  </si>
  <si>
    <t>07004408</t>
  </si>
  <si>
    <t>松山市上野町774番地ビレッジハウス上野3-508</t>
  </si>
  <si>
    <r>
      <rPr>
        <sz val="10"/>
        <color rgb="FF000000"/>
        <rFont val="Arial"/>
        <family val="2"/>
      </rPr>
      <t>7/20退職</t>
    </r>
    <r>
      <rPr>
        <sz val="10"/>
        <color rgb="FFFF0000"/>
        <rFont val="Arial"/>
        <family val="2"/>
      </rPr>
      <t xml:space="preserve">　8/1退寮　※最終出勤日7/4（金）7/7～有給消化　
</t>
    </r>
    <r>
      <rPr>
        <sz val="10"/>
        <color rgb="FF000000"/>
        <rFont val="Arial"/>
        <family val="2"/>
      </rPr>
      <t>7/18に保険証は回収済。</t>
    </r>
    <r>
      <rPr>
        <sz val="10"/>
        <color rgb="FFFF0000"/>
        <rFont val="Arial"/>
        <family val="2"/>
      </rPr>
      <t>※8/1退寮日に寮と自転車の鍵をﾋﾞﾚｯｼﾞのポストへ入れる</t>
    </r>
  </si>
  <si>
    <t>保険証済・鍵済</t>
  </si>
  <si>
    <r>
      <rPr>
        <sz val="10"/>
        <color rgb="FF000000"/>
        <rFont val="Arial"/>
        <family val="2"/>
      </rPr>
      <t>7/8入寮</t>
    </r>
    <r>
      <rPr>
        <sz val="10"/>
        <color rgb="FFFF0000"/>
        <rFont val="Arial"/>
        <family val="2"/>
      </rPr>
      <t>　</t>
    </r>
    <r>
      <rPr>
        <sz val="10"/>
        <color rgb="FF000000"/>
        <rFont val="Arial"/>
        <family val="2"/>
      </rPr>
      <t>7/9入社</t>
    </r>
    <r>
      <rPr>
        <sz val="10"/>
        <color rgb="FFFF0000"/>
        <rFont val="Arial"/>
        <family val="2"/>
      </rPr>
      <t>　7月分の給料は現金払い　N3手当8月分の給料～</t>
    </r>
  </si>
  <si>
    <t>N3証明書済</t>
  </si>
  <si>
    <t>口座コピー済</t>
  </si>
  <si>
    <r>
      <rPr>
        <sz val="10"/>
        <color rgb="FF000000"/>
        <rFont val="Arial"/>
        <family val="2"/>
      </rPr>
      <t>7/20退職</t>
    </r>
    <r>
      <rPr>
        <sz val="10"/>
        <color rgb="FFFF0000"/>
        <rFont val="Arial"/>
        <family val="2"/>
      </rPr>
      <t>　7月分の給料振込7/31現金払い　</t>
    </r>
    <r>
      <rPr>
        <sz val="10"/>
        <color rgb="FF0000FF"/>
        <rFont val="Arial"/>
        <family val="2"/>
      </rPr>
      <t>※7/31　10時までに本人へ渡す</t>
    </r>
  </si>
  <si>
    <r>
      <rPr>
        <sz val="10"/>
        <color rgb="FF000000"/>
        <rFont val="Arial"/>
        <family val="2"/>
      </rPr>
      <t>7/8松山入寮</t>
    </r>
    <r>
      <rPr>
        <sz val="10"/>
        <color rgb="FFFF0000"/>
        <rFont val="Arial"/>
        <family val="2"/>
      </rPr>
      <t>　7/22入社</t>
    </r>
  </si>
  <si>
    <t>特定1号保険料　7月末給料から天引き　別紙渡し 13,510円控除</t>
  </si>
  <si>
    <t>特定1号保険料　7月末給料から天引き　別紙渡し 21,110円控除</t>
  </si>
  <si>
    <t>8月</t>
  </si>
  <si>
    <r>
      <rPr>
        <sz val="10"/>
        <color rgb="FF000000"/>
        <rFont val="Arial"/>
        <family val="2"/>
      </rPr>
      <t>7/22入寮、</t>
    </r>
    <r>
      <rPr>
        <sz val="10"/>
        <color rgb="FFFF0000"/>
        <rFont val="Arial"/>
        <family val="2"/>
      </rPr>
      <t>8/4入社　</t>
    </r>
    <r>
      <rPr>
        <sz val="10"/>
        <color rgb="FF000000"/>
        <rFont val="Arial"/>
        <family val="2"/>
      </rPr>
      <t>サニアの彼氏</t>
    </r>
  </si>
  <si>
    <r>
      <rPr>
        <sz val="10"/>
        <color rgb="FFFF0000"/>
        <rFont val="Arial"/>
        <family val="2"/>
      </rPr>
      <t>8/20入寮　8/21入社　</t>
    </r>
    <r>
      <rPr>
        <sz val="10"/>
        <color rgb="FF000000"/>
        <rFont val="Arial"/>
        <family val="2"/>
      </rPr>
      <t>特定として再入社予定　</t>
    </r>
    <r>
      <rPr>
        <sz val="10"/>
        <color rgb="FFFF0000"/>
        <rFont val="Arial"/>
        <family val="2"/>
      </rPr>
      <t>※中四国→9/1中温へ切替</t>
    </r>
  </si>
  <si>
    <t>松山市松末２丁目１６－１７ココウミン</t>
  </si>
  <si>
    <r>
      <rPr>
        <sz val="10"/>
        <color rgb="FFFF0000"/>
        <rFont val="Arial"/>
        <family val="2"/>
      </rPr>
      <t>8/9～9/12</t>
    </r>
    <r>
      <rPr>
        <sz val="10"/>
        <color theme="1"/>
        <rFont val="Arial"/>
        <family val="2"/>
      </rPr>
      <t>一時帰国　結婚の為</t>
    </r>
  </si>
  <si>
    <r>
      <rPr>
        <sz val="10"/>
        <color rgb="FF000000"/>
        <rFont val="Arial"/>
        <family val="2"/>
      </rPr>
      <t>7/22入寮、</t>
    </r>
    <r>
      <rPr>
        <sz val="10"/>
        <color rgb="FFFF0000"/>
        <rFont val="Arial"/>
        <family val="2"/>
      </rPr>
      <t>8/4入社　</t>
    </r>
    <r>
      <rPr>
        <sz val="10"/>
        <color rgb="FF000000"/>
        <rFont val="Arial"/>
        <family val="2"/>
      </rPr>
      <t>サニアの彼氏</t>
    </r>
    <r>
      <rPr>
        <sz val="10"/>
        <color rgb="FFFF0000"/>
        <rFont val="Arial"/>
        <family val="2"/>
      </rPr>
      <t>　家賃￥15,000へ</t>
    </r>
  </si>
  <si>
    <t>7013650</t>
  </si>
  <si>
    <t>ニ ルー プトゥ ユリアンティ二</t>
  </si>
  <si>
    <t>7/21引越　ビレッジの1-205へ　7/21～家賃￥15,000・通勤費変更　 Wifi 880円へ</t>
  </si>
  <si>
    <t>7013689</t>
  </si>
  <si>
    <t>7013661</t>
  </si>
  <si>
    <t>7013673</t>
  </si>
  <si>
    <t>7/21引越　ビレッジの3-108へ　7/21～家賃￥15,000・通勤費変更　 Wifi 880円へ</t>
  </si>
  <si>
    <t>7013683</t>
  </si>
  <si>
    <t>7013681</t>
  </si>
  <si>
    <t>7/21～1人部屋 20,000-へ</t>
  </si>
  <si>
    <t>7/21～1人部屋 15,000-へ</t>
  </si>
  <si>
    <t>7001623</t>
  </si>
  <si>
    <t>8/21～家賃￥20,000へ</t>
  </si>
  <si>
    <t>7001624</t>
  </si>
  <si>
    <t>7001618</t>
  </si>
  <si>
    <t>7001619</t>
  </si>
  <si>
    <t>7001622</t>
  </si>
  <si>
    <r>
      <rPr>
        <sz val="10"/>
        <color rgb="FFFF0000"/>
        <rFont val="Arial"/>
        <family val="2"/>
      </rPr>
      <t>一時帰国後、アトム506へ8/21引越　</t>
    </r>
    <r>
      <rPr>
        <sz val="10"/>
        <color theme="1"/>
        <rFont val="Arial"/>
        <family val="2"/>
      </rPr>
      <t>ルオンと一緒に住む　</t>
    </r>
    <r>
      <rPr>
        <sz val="10"/>
        <color rgb="FFFF0000"/>
        <rFont val="Arial"/>
        <family val="2"/>
      </rPr>
      <t>家賃￥22,500-</t>
    </r>
  </si>
  <si>
    <r>
      <rPr>
        <sz val="10"/>
        <color rgb="FFFF0000"/>
        <rFont val="Arial"/>
        <family val="2"/>
      </rPr>
      <t>一時帰国後、アトム506へ8/21引越</t>
    </r>
    <r>
      <rPr>
        <sz val="10"/>
        <color theme="1"/>
        <rFont val="Arial"/>
        <family val="2"/>
      </rPr>
      <t>　アンと一緒に住む　</t>
    </r>
    <r>
      <rPr>
        <sz val="10"/>
        <color rgb="FFFF0000"/>
        <rFont val="Arial"/>
        <family val="2"/>
      </rPr>
      <t>家賃￥22,500-</t>
    </r>
  </si>
  <si>
    <r>
      <rPr>
        <sz val="10"/>
        <color rgb="FFFF0000"/>
        <rFont val="Arial"/>
        <family val="2"/>
      </rPr>
      <t>8/20入寮　8/21入社　</t>
    </r>
    <r>
      <rPr>
        <sz val="10"/>
        <color rgb="FF000000"/>
        <rFont val="Arial"/>
        <family val="2"/>
      </rPr>
      <t>特定として再入社予定</t>
    </r>
    <r>
      <rPr>
        <sz val="10"/>
        <color rgb="FFFF0000"/>
        <rFont val="Arial"/>
        <family val="2"/>
      </rPr>
      <t>　家賃￥20,000 1人部屋</t>
    </r>
  </si>
  <si>
    <t>8/30迄ﾋﾟｯｺﾛ　9/1～9/5アトム504へ　9/5退寮　※8/31～9/5の家賃・光熱費は請求しない</t>
  </si>
  <si>
    <r>
      <rPr>
        <sz val="10"/>
        <color rgb="FFFF0000"/>
        <rFont val="Arial"/>
        <family val="2"/>
      </rPr>
      <t>一時帰国後、アトム506へ8/21引越　</t>
    </r>
    <r>
      <rPr>
        <sz val="10"/>
        <color theme="1"/>
        <rFont val="Arial"/>
        <family val="2"/>
      </rPr>
      <t>ルオンと一緒に住む wifi 合計1,595-控除</t>
    </r>
  </si>
  <si>
    <t>住所変更済</t>
  </si>
  <si>
    <t>口座住所変更済</t>
  </si>
  <si>
    <t>ｱﾄﾑ402鍵</t>
  </si>
  <si>
    <r>
      <rPr>
        <sz val="10"/>
        <color rgb="FFFF0000"/>
        <rFont val="Arial"/>
        <family val="2"/>
      </rPr>
      <t>一時帰国後、アトム506へ8/21引越</t>
    </r>
    <r>
      <rPr>
        <sz val="10"/>
        <color theme="1"/>
        <rFont val="Arial"/>
        <family val="2"/>
      </rPr>
      <t>　アンと一緒に住むwifi 合計1,595-控除</t>
    </r>
  </si>
  <si>
    <t>ｱﾄﾑ404鍵済</t>
  </si>
  <si>
    <t>8/30迄ﾋﾟｯｺﾛ　8/31～9/5アトムへ504　2人部屋　※家賃光熱費は請求しない</t>
  </si>
  <si>
    <r>
      <rPr>
        <sz val="10"/>
        <color theme="1"/>
        <rFont val="Arial"/>
        <family val="2"/>
      </rPr>
      <t>8/12退職　8/13退寮　有給残なし　</t>
    </r>
    <r>
      <rPr>
        <sz val="10"/>
        <color rgb="FFFF0000"/>
        <rFont val="Arial"/>
        <family val="2"/>
      </rPr>
      <t>※寮と自転車の鍵はデルタから返却予定</t>
    </r>
  </si>
  <si>
    <t>保険証・鍵済</t>
  </si>
  <si>
    <t>8/12退職　8/13退寮予定　※8月分の給料は8/29現金払い→デルタへ</t>
  </si>
  <si>
    <t>N3　手当5,000-は８月給料より  特定1号保険料　
8月末給料から天引き　別紙渡し 12,980円控除</t>
  </si>
  <si>
    <t>特定1号保険料 8月末給料から天引き　別紙渡し 12,980円控除</t>
  </si>
  <si>
    <t>9/4退職、9/5退寮　※最終出勤日8/27　※9/5現金払い</t>
  </si>
  <si>
    <r>
      <rPr>
        <sz val="10"/>
        <color rgb="FF000000"/>
        <rFont val="Arial"/>
        <family val="2"/>
      </rPr>
      <t>8/4入社　</t>
    </r>
    <r>
      <rPr>
        <sz val="10"/>
        <color rgb="FFFF0000"/>
        <rFont val="Arial"/>
        <family val="2"/>
      </rPr>
      <t>※8月分の給料は現金払い</t>
    </r>
  </si>
  <si>
    <t>ベトナム該当者</t>
  </si>
  <si>
    <t>特定1号保険料 8月末給料から天引き　別紙渡し  両方で15名 337,900円</t>
  </si>
  <si>
    <r>
      <rPr>
        <sz val="10"/>
        <color rgb="FF000000"/>
        <rFont val="Arial"/>
        <family val="2"/>
      </rPr>
      <t>8/20入寮　8/21入社</t>
    </r>
    <r>
      <rPr>
        <sz val="10"/>
        <color rgb="FFFF0000"/>
        <rFont val="Arial"/>
        <family val="2"/>
      </rPr>
      <t>　8月分の家賃は9月分の給料から引く</t>
    </r>
  </si>
  <si>
    <t>ファムティチン</t>
  </si>
  <si>
    <r>
      <rPr>
        <sz val="10"/>
        <color theme="1"/>
        <rFont val="Arial"/>
        <family val="2"/>
      </rPr>
      <t xml:space="preserve">妊娠のため9/26最終出勤 </t>
    </r>
    <r>
      <rPr>
        <sz val="10"/>
        <color rgb="FFFF0000"/>
        <rFont val="Arial"/>
        <family val="2"/>
      </rPr>
      <t>9/27～産休～2026/10/20</t>
    </r>
    <r>
      <rPr>
        <sz val="10"/>
        <color theme="1"/>
        <rFont val="Arial"/>
        <family val="2"/>
      </rPr>
      <t>（10/31出産）</t>
    </r>
  </si>
  <si>
    <t>入社,通勤費＆家賃変更</t>
  </si>
  <si>
    <t>9/11入寮　9/12入社　家賃10,000-　9月分の給料は現金払い</t>
  </si>
  <si>
    <t xml:space="preserve">口座ｺﾋﾟｰ済 </t>
  </si>
  <si>
    <t>住民票済</t>
  </si>
  <si>
    <t>健康診断10/6済</t>
  </si>
  <si>
    <t>健康診断10/8済</t>
  </si>
  <si>
    <t>健康診断10/14済</t>
  </si>
  <si>
    <r>
      <rPr>
        <sz val="10"/>
        <color theme="1"/>
        <rFont val="Arial"/>
        <family val="2"/>
      </rPr>
      <t>8/22～原付バイク通勤へ　</t>
    </r>
    <r>
      <rPr>
        <sz val="10"/>
        <color rgb="FFFF0000"/>
        <rFont val="Arial"/>
        <family val="2"/>
      </rPr>
      <t>9月給料～通勤費変更</t>
    </r>
  </si>
  <si>
    <t>ズオンデタオ</t>
  </si>
  <si>
    <t>9/5引越　ビレッジ1-303へﾁﾝ名義）～9/6～家賃￥15,000→￥0　駐車場￥4,400のみ請求</t>
  </si>
  <si>
    <t>9/5引越　ビレッジ1-303へﾁﾝ名義）～9/6～家賃￥15,000→￥0</t>
  </si>
  <si>
    <t>9/5引越　ビレッジ1-303へ　チン名義で借りる　車買替予定</t>
  </si>
  <si>
    <t>在留ｶｰﾄﾞｺﾋﾟｰ済</t>
  </si>
  <si>
    <t>口座住所変更本人で</t>
  </si>
  <si>
    <t>鍵2-503</t>
  </si>
  <si>
    <t>9/5引越　ビレッジ1-303へ　チン名義で借りる　</t>
  </si>
  <si>
    <t>9/6退職　9/8退寮　有給残なし　※寮と自転車の鍵はﾃﾞﾙﾀから返却予定</t>
  </si>
  <si>
    <r>
      <rPr>
        <sz val="10"/>
        <color rgb="FFFF0000"/>
        <rFont val="Arial"/>
        <family val="2"/>
      </rPr>
      <t xml:space="preserve">9/4退職、9/5退寮　帰国のため。※最終出勤日8/27　
</t>
    </r>
    <r>
      <rPr>
        <sz val="10"/>
        <color rgb="FF000000"/>
        <rFont val="Arial"/>
        <family val="2"/>
      </rPr>
      <t>※寮（ﾋﾟｯｺﾛ）の鍵は工場長返却済。</t>
    </r>
    <r>
      <rPr>
        <sz val="10"/>
        <color rgb="FFFF0000"/>
        <rFont val="Arial"/>
        <family val="2"/>
      </rPr>
      <t>保険証、自転車の鍵回収</t>
    </r>
  </si>
  <si>
    <r>
      <rPr>
        <sz val="10"/>
        <color theme="1"/>
        <rFont val="Arial"/>
        <family val="2"/>
      </rPr>
      <t>9/6退職　9/8退寮　</t>
    </r>
    <r>
      <rPr>
        <sz val="10"/>
        <color rgb="FFFF0000"/>
        <rFont val="Arial"/>
        <family val="2"/>
      </rPr>
      <t>※9月分の給料は9/30現金払い→デルタへ</t>
    </r>
  </si>
  <si>
    <t>N3合格　9/末給料より5,000円追加</t>
  </si>
  <si>
    <t>東温市西岡601-2　EARLS　COURTⅡ　205号</t>
  </si>
  <si>
    <t>N2合格　9/末給料より10,000円へ変更</t>
  </si>
  <si>
    <t>N2合格　9/末給料より10,000円へ変更　</t>
  </si>
  <si>
    <t>07012624</t>
  </si>
  <si>
    <t>9月分の給料からひめぎんへ振込口座変更</t>
  </si>
  <si>
    <r>
      <rPr>
        <sz val="10"/>
        <color theme="1"/>
        <rFont val="Arial"/>
        <family val="2"/>
      </rPr>
      <t>伊予銀解約</t>
    </r>
    <r>
      <rPr>
        <sz val="10"/>
        <color rgb="FFFF0000"/>
        <rFont val="Arial"/>
        <family val="2"/>
      </rPr>
      <t>年末迄に</t>
    </r>
  </si>
  <si>
    <r>
      <rPr>
        <sz val="10"/>
        <color theme="1"/>
        <rFont val="Arial"/>
        <family val="2"/>
      </rPr>
      <t>伊予銀解約</t>
    </r>
    <r>
      <rPr>
        <sz val="10"/>
        <color rgb="FFFF0000"/>
        <rFont val="Arial"/>
        <family val="2"/>
      </rPr>
      <t>年末迄に</t>
    </r>
  </si>
  <si>
    <r>
      <rPr>
        <sz val="10"/>
        <color rgb="FF000000"/>
        <rFont val="Arial"/>
        <family val="2"/>
      </rPr>
      <t>8/20入寮　8/21入社</t>
    </r>
    <r>
      <rPr>
        <sz val="10"/>
        <color rgb="FFFF0000"/>
        <rFont val="Arial"/>
        <family val="2"/>
      </rPr>
      <t>　8月分の家賃は9月分の給料から引く</t>
    </r>
  </si>
  <si>
    <t>特定1号保険料 9月末給料から天引き　別紙渡し 　7名￥225,660</t>
  </si>
  <si>
    <t>10月</t>
  </si>
  <si>
    <t>9/21引越　ビレッジ2-503へ　家賃￥15,000→￥20,000へ</t>
  </si>
  <si>
    <t>9/21引越　コーポ津吉2-4へ　家賃￥20,000へ</t>
  </si>
  <si>
    <t xml:space="preserve">9/21引越　コーポ津吉2-4へ　家賃￥20,000へ </t>
  </si>
  <si>
    <r>
      <rPr>
        <sz val="10"/>
        <color rgb="FF000000"/>
        <rFont val="Arial"/>
        <family val="2"/>
      </rPr>
      <t>10/20退職</t>
    </r>
    <r>
      <rPr>
        <sz val="10"/>
        <color rgb="FFFF0000"/>
        <rFont val="Arial"/>
        <family val="2"/>
      </rPr>
      <t xml:space="preserve"> 11/2退寮確定 </t>
    </r>
    <r>
      <rPr>
        <sz val="10"/>
        <color rgb="FF000000"/>
        <rFont val="Arial"/>
        <family val="2"/>
      </rPr>
      <t>10/10～10/20有給消化 ※最終出勤日10/9</t>
    </r>
    <r>
      <rPr>
        <sz val="10"/>
        <color rgb="FFFF0000"/>
        <rFont val="Arial"/>
        <family val="2"/>
      </rPr>
      <t>　
※10月分の給料は10/31現金払い</t>
    </r>
  </si>
  <si>
    <t>口座解約済</t>
  </si>
  <si>
    <t>転出届済</t>
  </si>
  <si>
    <t>有給申請済</t>
  </si>
  <si>
    <t>自転車・寮鍵</t>
  </si>
  <si>
    <r>
      <rPr>
        <sz val="10"/>
        <color rgb="FF000000"/>
        <rFont val="Arial"/>
        <family val="2"/>
      </rPr>
      <t xml:space="preserve">10/20退職 </t>
    </r>
    <r>
      <rPr>
        <sz val="10"/>
        <color rgb="FFFF0000"/>
        <rFont val="Arial"/>
        <family val="2"/>
      </rPr>
      <t xml:space="preserve">11/5退寮確定 </t>
    </r>
    <r>
      <rPr>
        <sz val="10"/>
        <color rgb="FF000000"/>
        <rFont val="Arial"/>
        <family val="2"/>
      </rPr>
      <t xml:space="preserve">10/7～有給消化 ※最終出勤日10/6
</t>
    </r>
    <r>
      <rPr>
        <sz val="10"/>
        <color rgb="FFFF0000"/>
        <rFont val="Arial"/>
        <family val="2"/>
      </rPr>
      <t>※10月分の給料は10/31現金払い、1号保険返金￥23,320（会社立替）</t>
    </r>
  </si>
  <si>
    <t>1号保険解約　返金</t>
  </si>
  <si>
    <t>9/21引越　ビレッジ2-503へ 家賃20,000-へ変更　Wi-Fi　￥1,430</t>
  </si>
  <si>
    <t>鍵4-501済</t>
  </si>
  <si>
    <t>9/21引越　コーポ津吉2-4へ 家賃20,000-へ変更</t>
  </si>
  <si>
    <t>10/21引越　中野368-6へ　9/21～１人部屋のため家賃￥20,000へ</t>
  </si>
  <si>
    <t>特定1号保険料 10月末給料から天引き　別紙渡し 　14名￥464,680</t>
  </si>
  <si>
    <t>特定1号保険料　10月末給料から天引き　別紙渡し 13,510円控除</t>
  </si>
  <si>
    <t>※7月末給料から引かれて無い為、10月末給引き</t>
  </si>
  <si>
    <t>特定1号保険料　10月末給料から天引き　別紙渡し 21,110円控除</t>
  </si>
  <si>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</si>
  <si>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</si>
  <si>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</si>
  <si>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</si>
  <si>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</si>
  <si>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</si>
  <si>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</si>
  <si>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</si>
  <si>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</si>
  <si>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</si>
  <si>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</si>
  <si>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</si>
  <si>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r>
      <rPr>
        <sz val="10"/>
        <color rgb="FF000000"/>
        <rFont val="Arial"/>
        <family val="2"/>
      </rPr>
      <t>9/11入寮　9/12入社　</t>
    </r>
    <r>
      <rPr>
        <sz val="10"/>
        <color rgb="FFFF0000"/>
        <rFont val="Arial"/>
        <family val="2"/>
      </rPr>
      <t>※10月分の給料～伊予銀口座へ振込</t>
    </r>
  </si>
  <si>
    <t>入社＆家賃</t>
  </si>
  <si>
    <t>※10/17入寮 10/21入社　家賃￥10,000　※10/17-20分の家賃、1,333/人　
10月分の家賃は11月分の給料から引く</t>
  </si>
  <si>
    <t>住民票</t>
  </si>
  <si>
    <t>口座ｺﾋﾟｰ</t>
  </si>
  <si>
    <t>健康診断1月</t>
  </si>
  <si>
    <t>アイシャー ドウィ アプリヤンティ</t>
  </si>
  <si>
    <t>※10/17入寮 10/21入社　家賃￥15,000　※10/17-20分の家賃、2,000/人　
10月分の家賃は11月分の給料から引く</t>
  </si>
  <si>
    <t>11月</t>
  </si>
  <si>
    <t>07001424</t>
  </si>
  <si>
    <t>チャン　ティ　トゥー</t>
  </si>
  <si>
    <r>
      <rPr>
        <sz val="10"/>
        <color rgb="FFFF0000"/>
        <rFont val="Arial"/>
        <family val="2"/>
      </rPr>
      <t>11/19入寮　11/21入社　</t>
    </r>
    <r>
      <rPr>
        <sz val="10"/>
        <color rgb="FF000000"/>
        <rFont val="Arial"/>
        <family val="2"/>
      </rPr>
      <t>ヒエンの妹　ヒエンと同部屋予定</t>
    </r>
  </si>
  <si>
    <t>口座ｺﾋﾟｰ済</t>
  </si>
  <si>
    <t>健康診断済</t>
  </si>
  <si>
    <t>社員ｺｰﾄﾞ</t>
  </si>
  <si>
    <t>11/1～11/25　一時帰国</t>
  </si>
  <si>
    <r>
      <rPr>
        <sz val="10"/>
        <color rgb="FFFF0000"/>
        <rFont val="Arial"/>
        <family val="2"/>
      </rPr>
      <t>11/19入寮　11/21入社　</t>
    </r>
    <r>
      <rPr>
        <sz val="10"/>
        <color rgb="FF000000"/>
        <rFont val="Arial"/>
        <family val="2"/>
      </rPr>
      <t>ヒエンと同部屋</t>
    </r>
    <r>
      <rPr>
        <sz val="10"/>
        <color rgb="FFFF0000"/>
        <rFont val="Arial"/>
        <family val="2"/>
      </rPr>
      <t>　家賃・光熱費はﾋｴﾝが全額支払</t>
    </r>
  </si>
  <si>
    <t>11/19～ﾁｬﾝﾃｨﾄｩｰ（妹）と同部屋　家賃・光熱費は妹ﾁｬﾝﾃｨﾄｩｰ分もﾋｴﾝが全額支払</t>
  </si>
  <si>
    <r>
      <rPr>
        <sz val="10"/>
        <color theme="1"/>
        <rFont val="Arial"/>
        <family val="2"/>
      </rPr>
      <t>10/21～バイク通勤へ　</t>
    </r>
    <r>
      <rPr>
        <sz val="10"/>
        <color rgb="FFFF0000"/>
        <rFont val="Arial"/>
        <family val="2"/>
      </rPr>
      <t>※11月分の給料より通勤費変更</t>
    </r>
  </si>
  <si>
    <t>免許証（住所変更）</t>
  </si>
  <si>
    <t>自賠責ｺﾋﾟｰ</t>
  </si>
  <si>
    <r>
      <rPr>
        <sz val="10"/>
        <color rgb="FFFF0000"/>
        <rFont val="Arial"/>
        <family val="2"/>
      </rPr>
      <t>10/21引越　中野368-6へ　</t>
    </r>
    <r>
      <rPr>
        <sz val="10"/>
        <color rgb="FF000000"/>
        <rFont val="Arial"/>
        <family val="2"/>
      </rPr>
      <t>9/21～１人部屋のため家賃￥20,000へ</t>
    </r>
  </si>
  <si>
    <t>住所変更</t>
  </si>
  <si>
    <t>在留ｶｰﾄﾞｺﾋﾟｰ</t>
  </si>
  <si>
    <t>口座住所変更</t>
  </si>
  <si>
    <t>鍵中野442-1</t>
  </si>
  <si>
    <r>
      <rPr>
        <sz val="10"/>
        <color rgb="FFFF0000"/>
        <rFont val="Arial"/>
        <family val="2"/>
      </rPr>
      <t>10/21引越　中野368-6へ　</t>
    </r>
    <r>
      <rPr>
        <sz val="10"/>
        <color rgb="FF000000"/>
        <rFont val="Arial"/>
        <family val="2"/>
      </rPr>
      <t>9/21～１人部屋のため家賃￥20,000へ</t>
    </r>
  </si>
  <si>
    <r>
      <rPr>
        <sz val="10"/>
        <color rgb="FFFF0000"/>
        <rFont val="Arial"/>
        <family val="2"/>
      </rPr>
      <t>10/21引越　中野368-6へ　</t>
    </r>
    <r>
      <rPr>
        <sz val="10"/>
        <color rgb="FF000000"/>
        <rFont val="Arial"/>
        <family val="2"/>
      </rPr>
      <t>9/21～１人部屋のため家賃￥20,000へ</t>
    </r>
  </si>
  <si>
    <r>
      <rPr>
        <sz val="10"/>
        <color rgb="FFFF0000"/>
        <rFont val="Arial"/>
        <family val="2"/>
      </rPr>
      <t>10/21引越　中野368-6へ　</t>
    </r>
    <r>
      <rPr>
        <sz val="10"/>
        <color rgb="FF000000"/>
        <rFont val="Arial"/>
        <family val="2"/>
      </rPr>
      <t>9/21～１人部屋のため家賃￥20,000へ</t>
    </r>
  </si>
  <si>
    <r>
      <rPr>
        <sz val="10"/>
        <color theme="1"/>
        <rFont val="Arial"/>
        <family val="2"/>
      </rPr>
      <t>11/20退職　11/21退寮</t>
    </r>
    <r>
      <rPr>
        <sz val="10"/>
        <color rgb="FFFF0000"/>
        <rFont val="Arial"/>
        <family val="2"/>
      </rPr>
      <t>　※11月分の給料は11/28現金払い→デルタへ</t>
    </r>
  </si>
  <si>
    <t>部屋確認済</t>
  </si>
  <si>
    <t>自転車確認</t>
  </si>
  <si>
    <r>
      <rPr>
        <sz val="10"/>
        <color rgb="FF000000"/>
        <rFont val="Arial"/>
        <family val="2"/>
      </rPr>
      <t>特定1号保険料</t>
    </r>
    <r>
      <rPr>
        <sz val="10"/>
        <color rgb="FFFF0000"/>
        <rFont val="Arial"/>
        <family val="2"/>
      </rPr>
      <t xml:space="preserve"> 11月末給料から天引き　別紙渡し 　15名￥519,000</t>
    </r>
  </si>
  <si>
    <t>健康診断1/15</t>
  </si>
  <si>
    <r>
      <rPr>
        <sz val="10"/>
        <color theme="1"/>
        <rFont val="Arial"/>
        <family val="2"/>
      </rPr>
      <t>9月分の給料から</t>
    </r>
    <r>
      <rPr>
        <sz val="10"/>
        <color rgb="FFFF0000"/>
        <rFont val="Arial"/>
        <family val="2"/>
      </rPr>
      <t>ひめぎんへ振込口座変更</t>
    </r>
  </si>
  <si>
    <r>
      <rPr>
        <sz val="10"/>
        <color theme="1"/>
        <rFont val="Arial"/>
        <family val="2"/>
      </rPr>
      <t>伊予銀解約</t>
    </r>
    <r>
      <rPr>
        <sz val="10"/>
        <color rgb="FFFF0000"/>
        <rFont val="Arial"/>
        <family val="2"/>
      </rPr>
      <t>年明けに</t>
    </r>
  </si>
  <si>
    <r>
      <rPr>
        <sz val="10"/>
        <color theme="1"/>
        <rFont val="Arial"/>
        <family val="2"/>
      </rPr>
      <t>9月分の給料から</t>
    </r>
    <r>
      <rPr>
        <sz val="10"/>
        <color rgb="FFFF0000"/>
        <rFont val="Arial"/>
        <family val="2"/>
      </rPr>
      <t>ひめぎんへ振込口座変更</t>
    </r>
  </si>
  <si>
    <r>
      <rPr>
        <sz val="10"/>
        <color theme="1"/>
        <rFont val="Arial"/>
        <family val="2"/>
      </rPr>
      <t>伊予銀解約</t>
    </r>
    <r>
      <rPr>
        <sz val="10"/>
        <color rgb="FFFF0000"/>
        <rFont val="Arial"/>
        <family val="2"/>
      </rPr>
      <t>年明けに</t>
    </r>
  </si>
  <si>
    <r>
      <rPr>
        <sz val="10"/>
        <color rgb="FFFF0000"/>
        <rFont val="Arial"/>
        <family val="2"/>
      </rPr>
      <t>10/31～2026/10/20　育児休暇</t>
    </r>
    <r>
      <rPr>
        <sz val="10"/>
        <color rgb="FF000000"/>
        <rFont val="Arial"/>
        <family val="2"/>
      </rPr>
      <t>（出産日10/31）</t>
    </r>
  </si>
  <si>
    <t>休暇申請済</t>
  </si>
  <si>
    <t>12月</t>
  </si>
  <si>
    <r>
      <rPr>
        <sz val="10"/>
        <color rgb="FFFF0000"/>
        <rFont val="Arial"/>
        <family val="2"/>
      </rPr>
      <t>11/30入寮　12/8入社　</t>
    </r>
    <r>
      <rPr>
        <sz val="10"/>
        <color rgb="FF000000"/>
        <rFont val="Arial"/>
        <family val="2"/>
      </rPr>
      <t>ﾅｳﾌｧﾙの奥さん　ﾅｳﾌｧﾙと同部屋</t>
    </r>
  </si>
  <si>
    <t>1号保険済</t>
  </si>
  <si>
    <t>雇用契約書済</t>
  </si>
  <si>
    <t>2025/12/24　一時退職　2026/2/3　再入社予定</t>
  </si>
  <si>
    <t>退職届</t>
  </si>
  <si>
    <t>転出届</t>
  </si>
  <si>
    <t>保険証回収</t>
  </si>
  <si>
    <t>自転車・寮鍵1/7</t>
  </si>
  <si>
    <t xml:space="preserve">東温市牛渕123-1
</t>
  </si>
  <si>
    <t>12/14～2026/1/10　一時帰国</t>
  </si>
  <si>
    <t>休暇申請</t>
  </si>
  <si>
    <r>
      <rPr>
        <sz val="10"/>
        <color rgb="FFFF0000"/>
        <rFont val="Arial"/>
        <family val="2"/>
      </rPr>
      <t>12/25～2026/2/2</t>
    </r>
    <r>
      <rPr>
        <sz val="10"/>
        <color rgb="FFFF0000"/>
        <rFont val="Arial"/>
        <family val="2"/>
      </rPr>
      <t>　一時帰国</t>
    </r>
  </si>
  <si>
    <r>
      <rPr>
        <sz val="10"/>
        <color rgb="FFFF0000"/>
        <rFont val="Arial"/>
        <family val="2"/>
      </rPr>
      <t>12/20退職　</t>
    </r>
    <r>
      <rPr>
        <sz val="10"/>
        <color theme="1"/>
        <rFont val="Arial"/>
        <family val="2"/>
      </rPr>
      <t>最終出勤日12/18　</t>
    </r>
    <r>
      <rPr>
        <sz val="10"/>
        <color rgb="FFFF0000"/>
        <rFont val="Arial"/>
        <family val="2"/>
      </rPr>
      <t>1/7退寮</t>
    </r>
    <r>
      <rPr>
        <sz val="10"/>
        <color theme="1"/>
        <rFont val="Arial"/>
        <family val="2"/>
      </rPr>
      <t>（松山発）1/10帰国　東京発（大学進学の為）</t>
    </r>
    <r>
      <rPr>
        <sz val="10"/>
        <color rgb="FFFF0000"/>
        <rFont val="Arial"/>
        <family val="2"/>
      </rPr>
      <t xml:space="preserve">
※12月分の給料は12/26現金払い</t>
    </r>
  </si>
  <si>
    <t>有給申請</t>
  </si>
  <si>
    <t>口座解約</t>
  </si>
  <si>
    <t>引越・家賃</t>
  </si>
  <si>
    <r>
      <rPr>
        <sz val="10"/>
        <color rgb="FF000000"/>
        <rFont val="Arial"/>
        <family val="2"/>
      </rPr>
      <t>11/21引越　ビレッジハウス2-504へ　</t>
    </r>
    <r>
      <rPr>
        <sz val="10"/>
        <color rgb="FFFF0000"/>
        <rFont val="Arial"/>
        <family val="2"/>
      </rPr>
      <t>11/21～家賃￥20,000へ　
Wi-Fi￥2860　2人で割る※日割りなし</t>
    </r>
  </si>
  <si>
    <t>鍵1-507</t>
  </si>
  <si>
    <r>
      <rPr>
        <sz val="10"/>
        <color rgb="FFFF0000"/>
        <rFont val="Arial"/>
        <family val="2"/>
      </rPr>
      <t>11/30入寮　12/8入社　家賃￥20,000へ Wi-Fi￥2860　2人で割る※家賃、Wi-Fi日割りなし　</t>
    </r>
    <r>
      <rPr>
        <sz val="10"/>
        <color rgb="FF000000"/>
        <rFont val="Arial"/>
        <family val="2"/>
      </rPr>
      <t>ﾅｳﾌｧﾙの奥さん　ﾅｳﾌｧﾙと同部屋</t>
    </r>
  </si>
  <si>
    <r>
      <rPr>
        <sz val="10"/>
        <color rgb="FF000000"/>
        <rFont val="Arial"/>
        <family val="2"/>
      </rPr>
      <t>特定1号保険￥16,260</t>
    </r>
    <r>
      <rPr>
        <sz val="10"/>
        <color rgb="FFFF0000"/>
        <rFont val="Arial"/>
        <family val="2"/>
      </rPr>
      <t>　</t>
    </r>
    <r>
      <rPr>
        <sz val="10"/>
        <color rgb="FF000000"/>
        <rFont val="Arial"/>
        <family val="2"/>
      </rPr>
      <t>※12/末ナウファルが現金で支払う⇒12/1支払済</t>
    </r>
  </si>
  <si>
    <t>中野①442-1　Wi-Fi修理費　12月分給料から￥1,650引く</t>
  </si>
  <si>
    <t>※中野①Wi-Fi断線修理6,600円を4人で負担</t>
  </si>
  <si>
    <r>
      <rPr>
        <sz val="10"/>
        <color rgb="FF000000"/>
        <rFont val="Arial"/>
        <family val="2"/>
      </rPr>
      <t>12/21～特定2号へ移行</t>
    </r>
    <r>
      <rPr>
        <sz val="10"/>
        <color rgb="FF000000"/>
        <rFont val="Arial"/>
        <family val="2"/>
      </rPr>
      <t>　自転車保険1/1～加入　￥1,750徴収済</t>
    </r>
  </si>
  <si>
    <r>
      <rPr>
        <sz val="10"/>
        <color rgb="FF000000"/>
        <rFont val="Arial"/>
        <family val="2"/>
      </rPr>
      <t>12/21～特定2号へ移行</t>
    </r>
    <r>
      <rPr>
        <sz val="10"/>
        <color rgb="FF000000"/>
        <rFont val="Arial"/>
        <family val="2"/>
      </rPr>
      <t>　自転車保険1/1～加入　￥1,750徴収済</t>
    </r>
  </si>
  <si>
    <r>
      <rPr>
        <sz val="10"/>
        <color rgb="FFFF0000"/>
        <rFont val="Arial"/>
        <family val="2"/>
      </rPr>
      <t>1/27～3/7　一時帰国</t>
    </r>
    <r>
      <rPr>
        <sz val="10"/>
        <color theme="1"/>
        <rFont val="Arial"/>
        <family val="2"/>
      </rPr>
      <t>　2025/4 実習終了に伴い一時帰国</t>
    </r>
    <r>
      <rPr>
        <sz val="10"/>
        <color rgb="FFFF0000"/>
        <rFont val="Arial"/>
        <family val="2"/>
      </rPr>
      <t>　※帰国後在留ｶｰﾄﾞ更新予定</t>
    </r>
  </si>
  <si>
    <t>ﾁｹｯﾄ代会社負担</t>
  </si>
  <si>
    <t>1/24～3/21【帰国変更４月中旬】　一時帰国</t>
  </si>
  <si>
    <r>
      <rPr>
        <sz val="10"/>
        <color rgb="FFFF0000"/>
        <rFont val="Arial"/>
        <family val="2"/>
      </rPr>
      <t>1/24退職　</t>
    </r>
    <r>
      <rPr>
        <sz val="10"/>
        <color rgb="FF000000"/>
        <rFont val="Arial"/>
        <family val="2"/>
      </rPr>
      <t>※最終出勤日1/19（1/20～24有給使用）</t>
    </r>
    <r>
      <rPr>
        <sz val="10"/>
        <color rgb="FFFF0000"/>
        <rFont val="Arial"/>
        <family val="2"/>
      </rPr>
      <t>1/25退寮 ※1/24給料現金払</t>
    </r>
    <r>
      <rPr>
        <b/>
        <sz val="10"/>
        <color rgb="FFFF0000"/>
        <rFont val="Arial"/>
        <family val="2"/>
      </rPr>
      <t>確定</t>
    </r>
  </si>
  <si>
    <t>保険証回収1/24</t>
  </si>
  <si>
    <t>口座解約1/21</t>
  </si>
  <si>
    <t>転出届1/21</t>
  </si>
  <si>
    <t>1号保険解約返金1/23</t>
  </si>
  <si>
    <t>自転車・寮鍵1/26</t>
  </si>
  <si>
    <t>07007700</t>
  </si>
  <si>
    <t>12/21～特定2号へ移行　手当￥8,000 ※1月分の給料から支給　社員ｺｰﾄﾞ変更</t>
  </si>
  <si>
    <t>1号保険解約</t>
  </si>
  <si>
    <t>07017700</t>
  </si>
  <si>
    <t>07017701</t>
  </si>
  <si>
    <t>07018700</t>
  </si>
  <si>
    <t>自転車保険</t>
  </si>
  <si>
    <t>07018701</t>
  </si>
  <si>
    <t>社員ｺｰﾄﾞ変更</t>
  </si>
  <si>
    <t>チン　グエン　ザー　ハン</t>
  </si>
  <si>
    <t>12/21～社員ｺｰﾄﾞ変更</t>
  </si>
  <si>
    <t>グエン　タオ　ヴァン</t>
  </si>
  <si>
    <t>グエン　ティ　チュク　アイン</t>
  </si>
  <si>
    <t>チン　ホアイ　チャン</t>
  </si>
  <si>
    <t>カオ　ティ　チャン</t>
  </si>
  <si>
    <t>グエン　ティ　ホン　ズエン</t>
  </si>
  <si>
    <t>ボー　グエン　ホアイ　ナム</t>
  </si>
  <si>
    <r>
      <rPr>
        <sz val="10"/>
        <color rgb="FFFF0000"/>
        <rFont val="Arial"/>
        <family val="2"/>
      </rPr>
      <t>1/30入寮　2/3入社　</t>
    </r>
    <r>
      <rPr>
        <sz val="10"/>
        <color rgb="FF000000"/>
        <rFont val="Arial"/>
        <family val="2"/>
      </rPr>
      <t>ゴックの妻　ゴックと一緒に住む</t>
    </r>
  </si>
  <si>
    <t>住民票2/2</t>
  </si>
  <si>
    <t>口座ｺﾋﾟｰ2/2</t>
  </si>
  <si>
    <t>健康診断（中四国）</t>
  </si>
  <si>
    <t>自転車保険（中四国）</t>
  </si>
  <si>
    <r>
      <rPr>
        <sz val="10"/>
        <color rgb="FFFF0000"/>
        <rFont val="Arial"/>
        <family val="2"/>
      </rPr>
      <t>2/18入寮　2/24入社予定</t>
    </r>
    <r>
      <rPr>
        <sz val="10"/>
        <color theme="1"/>
        <rFont val="Arial"/>
        <family val="2"/>
      </rPr>
      <t>　</t>
    </r>
    <r>
      <rPr>
        <sz val="10"/>
        <color rgb="FFFF0000"/>
        <rFont val="Arial"/>
        <family val="2"/>
      </rPr>
      <t>家賃￥20,000　</t>
    </r>
    <r>
      <rPr>
        <sz val="10"/>
        <color theme="1"/>
        <rFont val="Arial"/>
        <family val="2"/>
      </rPr>
      <t>ウフィクの夫　ウフィクと一緒に住む</t>
    </r>
  </si>
  <si>
    <t>健康診断2/19</t>
  </si>
  <si>
    <t>1号保険加入</t>
  </si>
  <si>
    <t>在留カード提出</t>
  </si>
  <si>
    <r>
      <rPr>
        <sz val="10"/>
        <color rgb="FF000000"/>
        <rFont val="Arial"/>
        <family val="2"/>
      </rPr>
      <t>2025/12/24一時退職</t>
    </r>
    <r>
      <rPr>
        <sz val="10"/>
        <color rgb="FFFF0000"/>
        <rFont val="Arial"/>
        <family val="2"/>
      </rPr>
      <t>　2026/2/3再入社　社員ｺｰﾄﾞ変更</t>
    </r>
  </si>
  <si>
    <t>雇用契約書</t>
  </si>
  <si>
    <t>転入届2/3</t>
  </si>
  <si>
    <t>住民票2/3</t>
  </si>
  <si>
    <t>自転車・寮鍵2/2ﾄﾞｰへ</t>
  </si>
  <si>
    <t>チャンティヌー</t>
  </si>
  <si>
    <t>2/5～3/7　一時帰国　</t>
  </si>
  <si>
    <t>クアンティハー</t>
  </si>
  <si>
    <t>2/14～3/14　一時帰国　※2/9に在留ｶｰﾄﾞ更新申請</t>
  </si>
  <si>
    <r>
      <rPr>
        <sz val="10"/>
        <color rgb="FFFF0000"/>
        <rFont val="Arial"/>
        <family val="2"/>
      </rPr>
      <t>2/26～4/14　一時帰国</t>
    </r>
    <r>
      <rPr>
        <sz val="10"/>
        <color theme="1"/>
        <rFont val="Arial"/>
        <family val="2"/>
      </rPr>
      <t>（家の建築のため）</t>
    </r>
  </si>
  <si>
    <r>
      <rPr>
        <sz val="10"/>
        <color rgb="FFFF0000"/>
        <rFont val="Arial"/>
        <family val="2"/>
      </rPr>
      <t>1/21引越　アトム406へ　家賃￥22,500へ　Wi-Fi￥3190（2人で）</t>
    </r>
    <r>
      <rPr>
        <sz val="10"/>
        <color rgb="FF000000"/>
        <rFont val="Arial"/>
        <family val="2"/>
      </rPr>
      <t>タオと一緒に住む</t>
    </r>
  </si>
  <si>
    <t>在留ｶｰﾄﾞ</t>
  </si>
  <si>
    <t>鍵404回収</t>
  </si>
  <si>
    <t>1/21引越　アトム404へ 　家賃￥20,000へ</t>
  </si>
  <si>
    <t>住所変更（2/2中四国）</t>
  </si>
  <si>
    <t>鍵604回収</t>
  </si>
  <si>
    <r>
      <rPr>
        <sz val="10"/>
        <color rgb="FFFF0000"/>
        <rFont val="Arial"/>
        <family val="2"/>
      </rPr>
      <t>1/21引越　ビレッジ3-508へ引越　</t>
    </r>
    <r>
      <rPr>
        <sz val="10"/>
        <color rgb="FF000000"/>
        <rFont val="Arial"/>
        <family val="2"/>
      </rPr>
      <t>2026/1/14ﾋﾞﾚｯｼﾞ契約終了の為、引越</t>
    </r>
  </si>
  <si>
    <t>鍵4-507回収</t>
  </si>
  <si>
    <r>
      <rPr>
        <sz val="10"/>
        <color rgb="FFFF0000"/>
        <rFont val="Arial"/>
        <family val="2"/>
      </rPr>
      <t>1/21引越　ビレッジ4-501へ引越　</t>
    </r>
    <r>
      <rPr>
        <sz val="10"/>
        <color rgb="FF000000"/>
        <rFont val="Arial"/>
        <family val="2"/>
      </rPr>
      <t>2026/1/14ﾋﾞﾚｯｼﾞ契約終了の為、引越</t>
    </r>
  </si>
  <si>
    <t>1/21引越　牛渕170-3の母屋の2人部屋→離れの1F1人部屋へ引越　家賃￥15,000へ変更</t>
  </si>
  <si>
    <t>1/21引越　コーポ津吉2－４へ　家賃￥20,000へ　　　</t>
  </si>
  <si>
    <t>通勤費＆家賃</t>
  </si>
  <si>
    <r>
      <rPr>
        <sz val="10"/>
        <color rgb="FFFF0000"/>
        <rFont val="Arial"/>
        <family val="2"/>
      </rPr>
      <t>1/30入寮　2/3入社　家賃￥22,500　Wi-Fi￥3190（2人で）</t>
    </r>
    <r>
      <rPr>
        <sz val="10"/>
        <color rgb="FF000000"/>
        <rFont val="Arial"/>
        <family val="2"/>
      </rPr>
      <t>ゴックの妻　ゴックと一緒に住む</t>
    </r>
  </si>
  <si>
    <t>7018601</t>
  </si>
  <si>
    <t>エカ　トリヤナ</t>
  </si>
  <si>
    <t>2/15～駐車場契約 2月分給与より手数料含む8,140円追加控除 4月より3,300円控除</t>
  </si>
  <si>
    <r>
      <rPr>
        <sz val="10"/>
        <color rgb="FFFF0000"/>
        <rFont val="Arial"/>
        <family val="2"/>
      </rPr>
      <t>2/18入寮　2/24入社予定</t>
    </r>
    <r>
      <rPr>
        <sz val="10"/>
        <color theme="1"/>
        <rFont val="Arial"/>
        <family val="2"/>
      </rPr>
      <t>　</t>
    </r>
    <r>
      <rPr>
        <sz val="10"/>
        <color rgb="FFFF0000"/>
        <rFont val="Arial"/>
        <family val="2"/>
      </rPr>
      <t>2月分の光熱費等3月分でまとめて引く　
家賃￥20,000（3月分より）　</t>
    </r>
    <r>
      <rPr>
        <sz val="10"/>
        <color theme="1"/>
        <rFont val="Arial"/>
        <family val="2"/>
      </rPr>
      <t>ウフィクと一緒に住む</t>
    </r>
  </si>
  <si>
    <r>
      <rPr>
        <sz val="10"/>
        <color rgb="FFFF0000"/>
        <rFont val="Arial"/>
        <family val="2"/>
      </rPr>
      <t>2/20退職　3/1退寮（松山発）</t>
    </r>
    <r>
      <rPr>
        <sz val="10"/>
        <color rgb="FF000000"/>
        <rFont val="Arial"/>
        <family val="2"/>
      </rPr>
      <t>ｲﾝﾄﾞﾈｼｱへ帰国　</t>
    </r>
    <r>
      <rPr>
        <sz val="10"/>
        <color rgb="FFFF0000"/>
        <rFont val="Arial"/>
        <family val="2"/>
      </rPr>
      <t>※2/27給料現金払い</t>
    </r>
  </si>
  <si>
    <r>
      <rPr>
        <sz val="10"/>
        <color rgb="FFFF0000"/>
        <rFont val="Arial"/>
        <family val="2"/>
      </rPr>
      <t>2/13退職　2/14退寮（広島発）</t>
    </r>
    <r>
      <rPr>
        <sz val="10"/>
        <color rgb="FF000000"/>
        <rFont val="Arial"/>
        <family val="2"/>
      </rPr>
      <t>ﾍﾞﾄﾅﾑへ帰国</t>
    </r>
    <r>
      <rPr>
        <sz val="10"/>
        <color rgb="FFFF0000"/>
        <rFont val="Arial"/>
        <family val="2"/>
      </rPr>
      <t>　※2/13給料現金払い　
※飛行機代会社負担。特定1号保険解約返金　1/23～2/14光熱費は￥1,000請求</t>
    </r>
  </si>
  <si>
    <t>1号保険解約返金</t>
  </si>
  <si>
    <r>
      <rPr>
        <sz val="10"/>
        <color rgb="FFFF0000"/>
        <rFont val="Arial"/>
        <family val="2"/>
      </rPr>
      <t>2/20退職　2/22退寮　</t>
    </r>
    <r>
      <rPr>
        <sz val="10"/>
        <color rgb="FF000000"/>
        <rFont val="Arial"/>
        <family val="2"/>
      </rPr>
      <t>ｲﾝﾄﾞﾈｼｱへ帰国　最終出勤日2/3</t>
    </r>
    <r>
      <rPr>
        <sz val="10"/>
        <color rgb="FFFF0000"/>
        <rFont val="Arial"/>
        <family val="2"/>
      </rPr>
      <t>　特定1号保険解約返金
 ※2/20給料現金払い</t>
    </r>
  </si>
  <si>
    <t>自転車無し・寮鍵→ロパに渡す</t>
  </si>
  <si>
    <r>
      <rPr>
        <sz val="10"/>
        <color rgb="FFFF0000"/>
        <rFont val="Arial"/>
        <family val="2"/>
      </rPr>
      <t>2/20退職　2/20退寮</t>
    </r>
    <r>
      <rPr>
        <sz val="10"/>
        <color rgb="FF000000"/>
        <rFont val="Arial"/>
        <family val="2"/>
      </rPr>
      <t>　最終出勤日1/30</t>
    </r>
    <r>
      <rPr>
        <sz val="10"/>
        <color rgb="FFFF0000"/>
        <rFont val="Arial"/>
        <family val="2"/>
      </rPr>
      <t>　※2/20給料現金払い</t>
    </r>
    <r>
      <rPr>
        <sz val="10"/>
        <color rgb="FF000000"/>
        <rFont val="Arial"/>
        <family val="2"/>
      </rPr>
      <t>　（大学進学の為）</t>
    </r>
  </si>
  <si>
    <t>自転車・寮鍵なし</t>
  </si>
  <si>
    <t>N3合格　手当￥5,000　※2月分給料（1/21～）から支給　合格証・領収書済</t>
  </si>
  <si>
    <t>合格証</t>
  </si>
  <si>
    <t>領収証</t>
  </si>
  <si>
    <t>3/1～出産のため一時帰国 家賃などはチュンから引く</t>
  </si>
  <si>
    <t>申請</t>
  </si>
  <si>
    <t>3/1～出産のため一時帰国【確定・チケットあり】</t>
  </si>
  <si>
    <r>
      <rPr>
        <sz val="10"/>
        <color rgb="FFFF0000"/>
        <rFont val="Arial"/>
        <family val="2"/>
      </rPr>
      <t>3/12～5/12一時帰国</t>
    </r>
    <r>
      <rPr>
        <sz val="10"/>
        <color rgb="FF000000"/>
        <rFont val="Arial"/>
        <family val="2"/>
      </rPr>
      <t>（自身の結婚のため）</t>
    </r>
    <r>
      <rPr>
        <sz val="10"/>
        <color rgb="FFFF0000"/>
        <rFont val="Arial"/>
        <family val="2"/>
      </rPr>
      <t>【確定・チケットあり】※帰国後在留ｶｰﾄﾞ更新予定 6/11</t>
    </r>
  </si>
  <si>
    <t>ノヴィ　ノヴィタ</t>
  </si>
  <si>
    <r>
      <rPr>
        <sz val="10"/>
        <color rgb="FFFF0000"/>
        <rFont val="Arial"/>
        <family val="2"/>
      </rPr>
      <t>3/12～4/10　一時帰国【確定・チケットあり】</t>
    </r>
    <r>
      <rPr>
        <sz val="10"/>
        <color rgb="FF000000"/>
        <rFont val="Arial"/>
        <family val="2"/>
      </rPr>
      <t>　</t>
    </r>
    <r>
      <rPr>
        <sz val="10"/>
        <color rgb="FFFF0000"/>
        <rFont val="Arial"/>
        <family val="2"/>
      </rPr>
      <t>※帰国後在留ｶｰﾄﾞ更新予定　6/11</t>
    </r>
  </si>
  <si>
    <t>3/10頃～5/22　一時帰国　【確定・チケットあり】※在留ｶｰﾄﾞ期限5/30　帰国前に申請</t>
  </si>
  <si>
    <r>
      <rPr>
        <sz val="10"/>
        <color rgb="FFFF0000"/>
        <rFont val="Arial"/>
        <family val="2"/>
      </rPr>
      <t>3/14～4/21　一時帰国</t>
    </r>
    <r>
      <rPr>
        <sz val="10"/>
        <color rgb="FFFF0000"/>
        <rFont val="Arial"/>
        <family val="2"/>
      </rPr>
      <t>【確定・チケットあり】</t>
    </r>
  </si>
  <si>
    <t>４月分家賃控除、住民税控除　帰国日未定</t>
  </si>
  <si>
    <t>3/20退職  最終出勤日3/20　3/31給料振込（通常）　特定1号保険解約返金　
※夫の家族滞在へ在留資格変更予定　</t>
  </si>
  <si>
    <t>口座解約（本人）</t>
  </si>
  <si>
    <t>転出届はなし</t>
  </si>
  <si>
    <t>在留ｶｰﾄﾞ切替</t>
  </si>
  <si>
    <t>3/20退職【確定】　3/19退寮日　岐阜（転職）</t>
  </si>
  <si>
    <t>口座解約【デルタ】</t>
  </si>
  <si>
    <t>転出届【デルタ】</t>
  </si>
  <si>
    <t>3/7引越　ﾋﾞﾚｯｼﾞ4-501へ</t>
  </si>
  <si>
    <t>鍵2-508回収</t>
  </si>
  <si>
    <t>7013680</t>
  </si>
  <si>
    <t>3/7引越　ﾋﾞﾚｯｼﾞ1-507へ</t>
  </si>
  <si>
    <t>7013615</t>
  </si>
  <si>
    <r>
      <rPr>
        <sz val="10"/>
        <color rgb="FFFF0000"/>
        <rFont val="Arial"/>
        <family val="2"/>
      </rPr>
      <t>3/10引越　ﾋﾞﾚｯｼﾞ2-508へ　家賃￥￥20,000へ　</t>
    </r>
    <r>
      <rPr>
        <sz val="10"/>
        <color rgb="FF000000"/>
        <rFont val="Arial"/>
        <family val="2"/>
      </rPr>
      <t>夫タフィフと一緒に住む　</t>
    </r>
  </si>
  <si>
    <t>3/21引越　コーポ津吉1-2へ</t>
  </si>
  <si>
    <t>鍵2-506</t>
  </si>
  <si>
    <t>特定1号保険3/1～加入￥34,600　3月分の給料から引く</t>
  </si>
  <si>
    <t>給料現金3/31 3/20退職【確定】デルタ四国松岡さんへ</t>
  </si>
  <si>
    <t>3/10頃～5/22 一時帰国【確定・チケットあり】家賃・社保他4.5月分含め3ヶ月分控除</t>
  </si>
  <si>
    <t>※2026年1月不可　421育児休暇終了　特定1号保険要確認</t>
  </si>
  <si>
    <r>
      <rPr>
        <sz val="10"/>
        <color rgb="FFFF0000"/>
        <rFont val="Arial"/>
        <family val="2"/>
      </rPr>
      <t>3/3入管許可・4/4入寮　4/7入社　家賃￥20,000　Wi-Fi￥1,430　</t>
    </r>
    <r>
      <rPr>
        <sz val="10"/>
        <color theme="1"/>
        <rFont val="Arial"/>
        <family val="2"/>
      </rPr>
      <t>ﾊｸの奥さん　ﾊｸと一緒に住む</t>
    </r>
  </si>
  <si>
    <t>健康診断7月</t>
  </si>
  <si>
    <t>1号保険or自転車保険</t>
  </si>
  <si>
    <t>寮鍵</t>
  </si>
  <si>
    <t>転居届（郵便局）</t>
  </si>
  <si>
    <t>4/4入国・入寮　4/10入社確定　家賃￥15,000</t>
  </si>
  <si>
    <t>3/27入管許可 4/23入寮予定 4/24入社確定　家賃￥15,000</t>
  </si>
  <si>
    <r>
      <rPr>
        <sz val="10"/>
        <color rgb="FFFF0000"/>
        <rFont val="Arial"/>
        <family val="2"/>
      </rPr>
      <t>3/27入管許可 4/29入寮予定 5/1入社確定　家賃￥20,000　Wi-Fi￥1,430　</t>
    </r>
    <r>
      <rPr>
        <sz val="10"/>
        <color rgb="FF000000"/>
        <rFont val="Arial"/>
        <family val="2"/>
      </rPr>
      <t>ククと住む</t>
    </r>
  </si>
  <si>
    <t>3/3入管許可・入寮日入社日未定　3/●入寮　3/●入社　家賃￥</t>
  </si>
  <si>
    <t>健康診断</t>
  </si>
  <si>
    <r>
      <rPr>
        <sz val="10"/>
        <color rgb="FFFF0000"/>
        <rFont val="Arial"/>
        <family val="2"/>
      </rPr>
      <t>4/20～6/3　一時帰国</t>
    </r>
    <r>
      <rPr>
        <sz val="10"/>
        <color theme="1"/>
        <rFont val="Arial"/>
        <family val="2"/>
      </rPr>
      <t>（自身の結婚のため）　</t>
    </r>
    <r>
      <rPr>
        <sz val="10"/>
        <color rgb="FFFF0000"/>
        <rFont val="Arial"/>
        <family val="2"/>
      </rPr>
      <t>※在留ｶｰﾄﾞ帰国前更新申請</t>
    </r>
  </si>
  <si>
    <t>4/21～6/10帰国未定　一時帰国（育児休暇）チケット確認</t>
  </si>
  <si>
    <t>4/20退職　転職（山梨県）退寮日5/6　 4/10最終出勤 4/11～有給消化８日</t>
  </si>
  <si>
    <t>東温市牛渕170- 3</t>
  </si>
  <si>
    <t>4/20退職　転職（山梨県）退寮日5/6　 4/16最終出勤 4/17～有給消化３日</t>
  </si>
  <si>
    <t>4/20退職　転職（愛知県）退寮日5/1 4/14最終出勤 4/15～有給消化５日</t>
  </si>
  <si>
    <t>4/28退職　実習2号終了で退職（大阪転職）　5/2退寮　4/30給料現金 5/10関空チケット済</t>
  </si>
  <si>
    <t>ﾒｰﾙ</t>
  </si>
  <si>
    <r>
      <rPr>
        <sz val="10"/>
        <color rgb="FFFF0000"/>
        <rFont val="Arial"/>
        <family val="2"/>
      </rPr>
      <t>4/21引越　ﾋﾞﾚ3ｰ508→ﾋﾞﾚ2-506へ　家賃￥20,000へ　Wi-Fi￥1,430　4/7鍵渡す確認依頼　</t>
    </r>
    <r>
      <rPr>
        <sz val="10"/>
        <color rgb="FF000000"/>
        <rFont val="Arial"/>
        <family val="2"/>
      </rPr>
      <t>アルムと住む</t>
    </r>
  </si>
  <si>
    <t>鍵3ｰ508</t>
  </si>
  <si>
    <t>通勤届なし</t>
  </si>
  <si>
    <t>2/21～１人部屋のため差額5,000、3/21～家賃15,000+退寮日5/6まで日割り控除</t>
  </si>
  <si>
    <t>控除</t>
  </si>
  <si>
    <t>2/15～駐車場契約 2月分給与より手数料含む8,140円追加控除 4月より￥3,300/月控除</t>
  </si>
  <si>
    <t>通勤費変更</t>
  </si>
  <si>
    <t>3/7～車通勤へ　4/末給料より変更　通勤届提出済</t>
  </si>
  <si>
    <t xml:space="preserve">ファム ティ フエン チャン        </t>
  </si>
  <si>
    <t>4/21～通勤費なし</t>
  </si>
  <si>
    <t>4/21～通勤費　変更</t>
  </si>
  <si>
    <t>5/6～6/6？5/8～5/28？　一時帰国　※日程確認中</t>
  </si>
  <si>
    <t>5/7～6/9　一時帰国　チケット済　5/29在留カード更新　申請済</t>
  </si>
  <si>
    <t>5/2～6/2　一時帰国　チケット済</t>
  </si>
  <si>
    <t>5/7～7/7　一時帰国チケット済　※在留ｶｰﾄﾞ9/29　帰国後申請</t>
  </si>
  <si>
    <t>5/14～6/25一時帰国チケット済</t>
  </si>
  <si>
    <t>5/30～6/28の国際便チケット　国内線確認中</t>
  </si>
  <si>
    <r>
      <rPr>
        <sz val="10"/>
        <color rgb="FFFF0000"/>
        <rFont val="Arial"/>
        <family val="2"/>
      </rPr>
      <t xml:space="preserve">3/31入国予定　4/30入寮　5/1入社予定　家賃￥　ハーさんと同部屋希望
 </t>
    </r>
    <r>
      <rPr>
        <sz val="10"/>
        <color rgb="FF000000"/>
        <rFont val="Arial"/>
        <family val="2"/>
      </rPr>
      <t>ハーさんの弟の奥さん</t>
    </r>
  </si>
  <si>
    <t>住民票orマイナ</t>
  </si>
  <si>
    <t>2026/05/1入社</t>
  </si>
  <si>
    <t>ヌルの夫</t>
  </si>
  <si>
    <t>3/27入管許可 5/11入国予定</t>
  </si>
  <si>
    <t>5/16退職 5/2～16有休10日  実習2号終了で退職　5/18退寮
5/18関空→ダナンチケット済　5/16給料現金払い</t>
  </si>
  <si>
    <t>6/15～8/2　一時帰国　宮内工場長より　※帰国後在留ｶｰﾄﾞ更新予定（8/20期限）</t>
  </si>
  <si>
    <t>6/14～7/30　一時帰国　</t>
  </si>
  <si>
    <t>6/21～8/4 実習終了による一時帰国 チケット済</t>
  </si>
  <si>
    <r>
      <rPr>
        <sz val="10"/>
        <color rgb="FFFF0000"/>
        <rFont val="Arial"/>
        <family val="2"/>
      </rPr>
      <t xml:space="preserve">2/●～3/●入寮　2月末～3月頃入社予定　家賃￥　※家賃はｺﾞｯｸ、ﾀｵと相談予定　
</t>
    </r>
    <r>
      <rPr>
        <sz val="10"/>
        <color rgb="FF000000"/>
        <rFont val="Arial"/>
        <family val="2"/>
      </rPr>
      <t>ゴックの妹　（ｺﾞｯｸ、ﾀｵと同部屋）</t>
    </r>
  </si>
  <si>
    <r>
      <rPr>
        <sz val="10"/>
        <color rgb="FFFF0000"/>
        <rFont val="Arial"/>
        <family val="2"/>
      </rPr>
      <t>2/●入寮　2月末頃入社予定　家賃￥10,000　</t>
    </r>
    <r>
      <rPr>
        <sz val="10"/>
        <color rgb="FF000000"/>
        <rFont val="Arial"/>
        <family val="2"/>
      </rPr>
      <t>ライの妻</t>
    </r>
  </si>
  <si>
    <t>2/●入寮　2/●入社　家賃￥</t>
  </si>
  <si>
    <t>2/●入寮　2/●入社　家賃￥10,000</t>
  </si>
  <si>
    <t>6/19退職（帰国）　退寮日6/23（6/23広島帰国）6/22給料現金払い 送迎中四国チケット済</t>
  </si>
  <si>
    <r>
      <rPr>
        <sz val="10"/>
        <color theme="1"/>
        <rFont val="Arial"/>
        <family val="2"/>
      </rPr>
      <t>有給申請</t>
    </r>
    <r>
      <rPr>
        <sz val="10"/>
        <color rgb="FFFF0000"/>
        <rFont val="Arial"/>
        <family val="2"/>
      </rPr>
      <t>2/21付与予定</t>
    </r>
  </si>
  <si>
    <t>ﾁｹｯﾄ手配</t>
  </si>
  <si>
    <r>
      <rPr>
        <sz val="10"/>
        <color rgb="FFFF0000"/>
        <rFont val="Arial"/>
        <family val="2"/>
      </rPr>
      <t>7/18～9/4　一時帰国</t>
    </r>
    <r>
      <rPr>
        <sz val="10"/>
        <color theme="1"/>
        <rFont val="Arial"/>
        <family val="2"/>
      </rPr>
      <t>　帰国しデウィマシトと結婚。一緒に住みたい</t>
    </r>
  </si>
  <si>
    <r>
      <rPr>
        <sz val="10"/>
        <color rgb="FFFF0000"/>
        <rFont val="Arial"/>
        <family val="2"/>
      </rPr>
      <t>7/18～9/4　一時帰国</t>
    </r>
    <r>
      <rPr>
        <sz val="10"/>
        <color theme="1"/>
        <rFont val="Arial"/>
        <family val="2"/>
      </rPr>
      <t>　帰国しナナマルディアナと結婚。一緒に住みたい</t>
    </r>
  </si>
  <si>
    <r>
      <rPr>
        <sz val="10"/>
        <color rgb="FFFF0000"/>
        <rFont val="Arial"/>
        <family val="2"/>
      </rPr>
      <t>7/21～9/20　一時帰国</t>
    </r>
    <r>
      <rPr>
        <sz val="10"/>
        <color theme="1"/>
        <rFont val="Arial"/>
        <family val="2"/>
      </rPr>
      <t>　帰国しミャナと結婚。7/6 9/5</t>
    </r>
  </si>
  <si>
    <r>
      <rPr>
        <sz val="10"/>
        <color rgb="FFFF0000"/>
        <rFont val="Arial"/>
        <family val="2"/>
      </rPr>
      <t>7/21～9/20　一時帰国</t>
    </r>
    <r>
      <rPr>
        <sz val="10"/>
        <color theme="1"/>
        <rFont val="Arial"/>
        <family val="2"/>
      </rPr>
      <t>　帰国しラティフと結婚。　</t>
    </r>
    <r>
      <rPr>
        <sz val="10"/>
        <color rgb="FFFF0000"/>
        <rFont val="Arial"/>
        <family val="2"/>
      </rPr>
      <t>※帰国後在留ｶｰﾄﾞ更新予定</t>
    </r>
  </si>
  <si>
    <t>7/12～8/11 一時帰国希望</t>
  </si>
  <si>
    <t>7/21～9/1 実習終了による一時帰国希望 広島＝ハノイ71,965- チケット済</t>
  </si>
  <si>
    <t>8/11～9/24 実習終了による一時帰国希望 広島⇔ハノイ 75,816-チケット済</t>
  </si>
  <si>
    <r>
      <rPr>
        <sz val="10"/>
        <color rgb="FFFF0000"/>
        <rFont val="Arial"/>
        <family val="2"/>
      </rPr>
      <t>引越先未定　7/18～9/4一時帰国</t>
    </r>
    <r>
      <rPr>
        <sz val="10"/>
        <color theme="1"/>
        <rFont val="Arial"/>
        <family val="2"/>
      </rPr>
      <t>　帰国しデウィマシトと一緒に住みたい</t>
    </r>
  </si>
  <si>
    <t>鍵3-507</t>
  </si>
  <si>
    <r>
      <rPr>
        <sz val="10"/>
        <color rgb="FFFF0000"/>
        <rFont val="Arial"/>
        <family val="2"/>
      </rPr>
      <t>引越先未定　7/18～9/4一時帰国</t>
    </r>
    <r>
      <rPr>
        <sz val="10"/>
        <color theme="1"/>
        <rFont val="Arial"/>
        <family val="2"/>
      </rPr>
      <t>　帰国しナナマルディアナと一緒に住みたい</t>
    </r>
  </si>
  <si>
    <t>鍵4-407</t>
  </si>
  <si>
    <t>和泉北1-20-28アトムスカイマンション</t>
  </si>
  <si>
    <t>アトム不動産　石崎さん　080-6388-5851</t>
  </si>
  <si>
    <t>愛媛CATV　水岡さん女性　090-7145-1307</t>
  </si>
  <si>
    <t>〒790-0038</t>
  </si>
  <si>
    <t>ベストすまいる保険　福岡さん　089-943-0417 FAX947-6726 090-1172-1988</t>
  </si>
  <si>
    <t>室</t>
  </si>
  <si>
    <t>部屋番号</t>
  </si>
  <si>
    <t>家賃</t>
  </si>
  <si>
    <t>共益費</t>
  </si>
  <si>
    <t>駐車場</t>
  </si>
  <si>
    <t>チャン ティ シン予定</t>
  </si>
  <si>
    <t>2026/2月末頃　シンを入れるので10,000</t>
  </si>
  <si>
    <t>ｽﾞｴﾝ実習2号終了で退職予定　終了の1ヶ月前に帰国希望</t>
  </si>
  <si>
    <t>※2026/8月特定に移行時にﾎｱｲと同部屋希望</t>
  </si>
  <si>
    <t>ﾄｩｴｯﾄ2026/1/26退寮</t>
  </si>
  <si>
    <t>バン　ティ　タム予定</t>
  </si>
  <si>
    <t>ﾊﾞﾝﾃｨﾀﾑ2026/4/30入寮予定　ﾊｰと同部屋希望</t>
  </si>
  <si>
    <t>ｱﾝ2025/8/17引越506へ</t>
  </si>
  <si>
    <t>2DK希望</t>
  </si>
  <si>
    <t>ヌー2025/8/21～20,000へ</t>
  </si>
  <si>
    <t>そのままでOK</t>
  </si>
  <si>
    <t>ロン2025/8/21～20,000へ</t>
  </si>
  <si>
    <t>ﾙｵﾝ2025/8/17引越506へ</t>
  </si>
  <si>
    <t>ﾀﾝ2026/1/21　604→404へ引越（家賃2万）　旧ｺﾞｯｸ2026/1/21　406へ引越</t>
  </si>
  <si>
    <t>2026/1/21引越　家賃￥22500　404→406へ</t>
  </si>
  <si>
    <t>2026/2/1～契約</t>
  </si>
  <si>
    <t>2026/1/30入寮　家賃￥22500</t>
  </si>
  <si>
    <r>
      <rPr>
        <sz val="11"/>
        <color theme="1"/>
        <rFont val="Arial"/>
        <family val="2"/>
      </rPr>
      <t>２DK　</t>
    </r>
    <r>
      <rPr>
        <sz val="11"/>
        <color rgb="FFFF0000"/>
        <rFont val="Arial"/>
        <family val="2"/>
      </rPr>
      <t>2025/12/25～2026/2/2一時帰国</t>
    </r>
  </si>
  <si>
    <t>2025.６月の給料から20,000へ</t>
  </si>
  <si>
    <t>2025/8/17引越</t>
  </si>
  <si>
    <t>2025/9/1～契約</t>
  </si>
  <si>
    <t>ｸﾞｴﾝ2026/5　退寮予定</t>
  </si>
  <si>
    <t>※2026/5月特定に移行時に1人部屋希望</t>
  </si>
  <si>
    <t>2025.6/21～WIFI　4人で割る</t>
  </si>
  <si>
    <t>旧ﾀﾝ2026/1/21　404へ引越</t>
  </si>
  <si>
    <t>2025.4.30入寮</t>
  </si>
  <si>
    <t>２DK</t>
  </si>
  <si>
    <t>他社</t>
  </si>
  <si>
    <t>ヒエンのご主人</t>
  </si>
  <si>
    <t>2025/11/19入寮　※家賃・光熱費はﾋｴﾝが全額支払</t>
  </si>
  <si>
    <t>特定技能1号</t>
  </si>
  <si>
    <t>三和ﾏﾝｼｮﾝ
末広201</t>
  </si>
  <si>
    <t>2024/10現在</t>
  </si>
  <si>
    <t>チャン ティ トゥー ヒエン夫</t>
  </si>
  <si>
    <t>氏名：TRAN VAN VIET 現在特定技能2年目</t>
  </si>
  <si>
    <t>生年月日：1989年11月22日</t>
  </si>
  <si>
    <t>住所：愛媛県松山市久米窪田町916番地19</t>
  </si>
  <si>
    <t>勤務先：(株)アットハウジング</t>
  </si>
  <si>
    <t>登録支援機関： アジア国際支援協同組合</t>
  </si>
  <si>
    <t>本部 広島県三原市本郷南6-23-28</t>
  </si>
  <si>
    <t>所長 松浦 宗三 携帯：080-5465-8227</t>
  </si>
  <si>
    <t>電話：0848-86-5352</t>
  </si>
  <si>
    <t>dsklewoe</t>
  </si>
  <si>
    <t>松山市津吉町535-1コーポ津吉</t>
  </si>
  <si>
    <t>〒791-1122</t>
  </si>
  <si>
    <t>1-2</t>
  </si>
  <si>
    <t>ｸﾞｴﾝﾋﾞｯｸﾌｰﾝ2026/2/14退寮</t>
  </si>
  <si>
    <t>ファムティフエンチャン</t>
  </si>
  <si>
    <t>1-6</t>
  </si>
  <si>
    <t>2025.7/21～1人部屋　家賃¥20000へ</t>
  </si>
  <si>
    <t>2025.7.21引越　ビレッジ3-108へ</t>
  </si>
  <si>
    <t>2-4</t>
  </si>
  <si>
    <t>ｵｸﾄﾘｳﾞｨｱ2026/1/7退寮</t>
  </si>
  <si>
    <t>2025.9.21引越1人部屋　家賃￥20000</t>
  </si>
  <si>
    <t>ﾛｻﾍﾞﾗ2026/1/21引越　家賃￥20000へ牛渕170-3→ｺｰﾎﾟつよし2-4</t>
  </si>
  <si>
    <t>松山市上野町774番地ビレッジハウス松山上野</t>
  </si>
  <si>
    <t>管理室</t>
  </si>
  <si>
    <t>089-963-8230</t>
  </si>
  <si>
    <t>中温契約</t>
  </si>
  <si>
    <t>2026/2/3 ビレッジ木下さんへ　3月に２部屋仮押さえ</t>
  </si>
  <si>
    <t>〒791-1136</t>
  </si>
  <si>
    <t>入居者相談室</t>
  </si>
  <si>
    <t>0120-830-415</t>
  </si>
  <si>
    <t>0120-002-638</t>
  </si>
  <si>
    <t>H&amp;C切替</t>
  </si>
  <si>
    <t>契約日</t>
  </si>
  <si>
    <t>1-205</t>
  </si>
  <si>
    <t>2025.7.21引越</t>
  </si>
  <si>
    <t>1-507</t>
  </si>
  <si>
    <t>ﾘｻﾞﾙ2-508から引越予定　旧ﾅｳﾌｧﾙ2025/11/22引越→2-504へ</t>
  </si>
  <si>
    <t>2-405</t>
  </si>
  <si>
    <t>3/8引越</t>
  </si>
  <si>
    <t>2-502</t>
  </si>
  <si>
    <t>2025.6.21引越</t>
  </si>
  <si>
    <t>2025.7/8入寮</t>
  </si>
  <si>
    <t>2-503</t>
  </si>
  <si>
    <t>2025.9.21引越　￥20000</t>
  </si>
  <si>
    <t>2026.4/4入寮予定</t>
  </si>
  <si>
    <t>（駐車場ｽﾞｵﾝﾃﾞﾀｵ分）</t>
  </si>
  <si>
    <t>2-504</t>
  </si>
  <si>
    <t>旧ｸﾞｴﾝｸﾞｱﾝﾌｨ2025/11/21退寮</t>
  </si>
  <si>
    <t>ﾅｳﾌｧﾙ2025/11/21引越</t>
  </si>
  <si>
    <t>2025/11/30入寮</t>
  </si>
  <si>
    <t>2-506</t>
  </si>
  <si>
    <t>ﾌｴﾝﾁｬﾝ2026/1/27～3/7一時帰国　3/21付コーポ津吉1-2へ</t>
  </si>
  <si>
    <t>2026/3/19ｸﾞｴﾝﾀｲﾝﾁｬﾝ退寮</t>
  </si>
  <si>
    <t>クク夫婦？</t>
  </si>
  <si>
    <t>2025/9/8退寮</t>
  </si>
  <si>
    <t>2-507</t>
  </si>
  <si>
    <t>2-508</t>
  </si>
  <si>
    <t>3/1以降　ｲｰｻﾝ4-501へ引越予定、ﾘｻﾞﾙ1-507引越予定</t>
  </si>
  <si>
    <r>
      <rPr>
        <sz val="11"/>
        <color rgb="FFFF0000"/>
        <rFont val="Arial"/>
        <family val="2"/>
      </rPr>
      <t>2/3ウフィクへ変更　</t>
    </r>
    <r>
      <rPr>
        <strike/>
        <sz val="11"/>
        <color rgb="FFFF0000"/>
        <rFont val="Arial"/>
        <family val="2"/>
      </rPr>
      <t>エヴィ、エヴィの夫、エヴィの妹引越予定</t>
    </r>
  </si>
  <si>
    <t>タフィフ2026/2/18入寮　旧アデゥン2025/11/2退寮</t>
  </si>
  <si>
    <t>3-103</t>
  </si>
  <si>
    <t>ﾖｳﾞｨｯﾄ5/28退寮/ﾚｽﾄｩ2025/7/8入寮</t>
  </si>
  <si>
    <t>3-108</t>
  </si>
  <si>
    <t>3-501</t>
  </si>
  <si>
    <t>2025.6.20引越</t>
  </si>
  <si>
    <t>3-507</t>
  </si>
  <si>
    <t>ﾅﾅ2026/9/5～ﾃﾞｳｨﾏｼﾄと一緒に住みたい（7/18～9/4一時帰国）</t>
  </si>
  <si>
    <t>3-508</t>
  </si>
  <si>
    <t>2026.4月中アグス（エヴィ夫）入寮予定</t>
  </si>
  <si>
    <t>ﾋﾀﾞﾔｯﾄ2026/1/21引越。旧リズキー ハナフィ2025/8/1退寮</t>
  </si>
  <si>
    <t>4-205</t>
  </si>
  <si>
    <t>4-407</t>
  </si>
  <si>
    <t>ﾃﾞﾗｱｽﾄﾘﾔ2026/2/22退寮</t>
  </si>
  <si>
    <t>2026.2.6中温へ切替予定</t>
  </si>
  <si>
    <t>2026/9/5～ﾅﾅと一緒に住みたい（7/18～9/4一時帰国）</t>
  </si>
  <si>
    <t>フェリンダ</t>
  </si>
  <si>
    <r>
      <rPr>
        <sz val="11"/>
        <color theme="1"/>
        <rFont val="Arial"/>
        <family val="2"/>
      </rPr>
      <t>2025.5.2引越　</t>
    </r>
    <r>
      <rPr>
        <sz val="11"/>
        <color rgb="FFFF0000"/>
        <rFont val="Arial"/>
        <family val="2"/>
      </rPr>
      <t>2026.4.4フェリンダ入寮</t>
    </r>
  </si>
  <si>
    <t>4-501</t>
  </si>
  <si>
    <t>ﾕｽﾌ2026/3/1退寮予定→イーサン2-508から引越予定→ヌルの夫</t>
  </si>
  <si>
    <t>4-502</t>
  </si>
  <si>
    <t>給湯器なし</t>
  </si>
  <si>
    <t>4-504</t>
  </si>
  <si>
    <t>2025.6.9入寮</t>
  </si>
  <si>
    <t>2025.6.9引越</t>
  </si>
  <si>
    <t>（駐車場ｴｶ　ﾄﾘﾔﾅ分）</t>
  </si>
  <si>
    <t>wifiなし</t>
  </si>
  <si>
    <t>2026/02～2年契約</t>
  </si>
  <si>
    <t>4-505</t>
  </si>
  <si>
    <t>2026.1.1中温へ切替予定</t>
  </si>
  <si>
    <t>4-507</t>
  </si>
  <si>
    <t>旧ﾋﾀﾞﾔｯﾄ、ﾕｽﾌ2026.1/21引越　※2026.1.14契約終了の為</t>
  </si>
  <si>
    <t>四国電力　1/9済　1/14 17時</t>
  </si>
  <si>
    <t>1/14付H&amp;C解約依頼済</t>
  </si>
  <si>
    <t>水道</t>
  </si>
  <si>
    <t>1/15停止</t>
  </si>
  <si>
    <r>
      <rPr>
        <sz val="11"/>
        <color rgb="FFFF0000"/>
        <rFont val="Arial"/>
        <family val="2"/>
      </rPr>
      <t>旧アロフィ2025/11/5退寮</t>
    </r>
    <r>
      <rPr>
        <sz val="11"/>
        <color theme="1"/>
        <rFont val="Arial"/>
        <family val="2"/>
      </rPr>
      <t>　ダナン・ファルハンと喧嘩</t>
    </r>
  </si>
  <si>
    <t>ガス</t>
  </si>
  <si>
    <t>1/13 で停止</t>
  </si>
  <si>
    <t>※</t>
  </si>
  <si>
    <t>ズオン　ゴク　ハン</t>
  </si>
  <si>
    <t>1-402</t>
  </si>
  <si>
    <t>ご主人名義で借りている</t>
  </si>
  <si>
    <t>※2-508・3-508・4-501・4-507⇒現在、2人部屋が4部屋の為、</t>
  </si>
  <si>
    <t>8人で3部屋にするよう伝え済（2026年1月以降？）</t>
  </si>
  <si>
    <t>1-303</t>
  </si>
  <si>
    <t>2025.9.5～ﾁﾝ名義で借りている</t>
  </si>
  <si>
    <t>駐車場代￥4,400のみ（2025.10月給与引～）</t>
  </si>
  <si>
    <t>チンの姉</t>
  </si>
  <si>
    <t>H＆C</t>
  </si>
  <si>
    <t>ご主人と一緒に住む2025.6.20～　2026.3.20退職</t>
  </si>
  <si>
    <t>松山市松末２丁目１６－１７グレースフルハイツ203号</t>
  </si>
  <si>
    <t>小林さんと一緒に住む</t>
  </si>
  <si>
    <t>東温市西岡601-2EARLS　COURT東温Ⅱ205号</t>
  </si>
  <si>
    <t>2025.6.20～</t>
  </si>
  <si>
    <t>夫と子供と住む</t>
  </si>
  <si>
    <t>/14</t>
  </si>
  <si>
    <t>女性7</t>
  </si>
  <si>
    <t>〒791-1121</t>
  </si>
  <si>
    <t>和8</t>
  </si>
  <si>
    <t>和6</t>
  </si>
  <si>
    <t>2026.4月クク夫婦入寮予定</t>
  </si>
  <si>
    <t>DK</t>
  </si>
  <si>
    <t>/19</t>
  </si>
  <si>
    <t>男性7</t>
  </si>
  <si>
    <t>2025/10/17入寮　部屋割まだ</t>
  </si>
  <si>
    <t>トイレ</t>
  </si>
  <si>
    <t>洗面台</t>
  </si>
  <si>
    <t>１４</t>
  </si>
  <si>
    <t>2人</t>
  </si>
  <si>
    <t>風呂</t>
  </si>
  <si>
    <t>洋24</t>
  </si>
  <si>
    <t>玄関</t>
  </si>
  <si>
    <t>洋16</t>
  </si>
  <si>
    <t>2025/10/2～水道使用開始</t>
  </si>
  <si>
    <t>丹生谷さん　（車屋）
090-3786-5445</t>
  </si>
  <si>
    <t>2025.10.16？契約予定</t>
  </si>
  <si>
    <t>10/21引越　部屋割まだ</t>
  </si>
  <si>
    <t>4人</t>
  </si>
  <si>
    <t>３人</t>
  </si>
  <si>
    <t>電気</t>
  </si>
  <si>
    <t>10/16～使用開始</t>
  </si>
  <si>
    <t>CATV</t>
  </si>
  <si>
    <t>牛渕1号館</t>
  </si>
  <si>
    <t>〒791-0213</t>
  </si>
  <si>
    <t>24人</t>
  </si>
  <si>
    <t>※10/17入寮12名</t>
  </si>
  <si>
    <t>※9/11入寮9名</t>
  </si>
  <si>
    <t>1F</t>
  </si>
  <si>
    <t>ｻﾆｱ2025/7/21引越ﾋﾞﾚｯｼﾞ1-205へ</t>
  </si>
  <si>
    <t>母1F-2-個1</t>
  </si>
  <si>
    <t>6/20ﾋﾞﾚｯｼﾞへ引越</t>
  </si>
  <si>
    <t>元
ﾘﾋﾞﾝｸﾞ</t>
  </si>
  <si>
    <t>4/9確認</t>
  </si>
  <si>
    <t>ﾆﾏﾄｩﾙ2025/6/9引越ﾋﾞﾚｯｼﾞへ</t>
  </si>
  <si>
    <t>LDK</t>
  </si>
  <si>
    <t>2F</t>
  </si>
  <si>
    <t>ﾃｨｱﾗ　ｻﾌｨﾄﾘ</t>
  </si>
  <si>
    <t>母2F-2-相3</t>
  </si>
  <si>
    <t>２７</t>
  </si>
  <si>
    <t>離1F-1-相2</t>
  </si>
  <si>
    <t>2026/1/21引越　家賃￥15000へ</t>
  </si>
  <si>
    <t>洋6</t>
  </si>
  <si>
    <t>2025/7/21～　12/15～1/9一時帰国</t>
  </si>
  <si>
    <t>2025/7/21～</t>
  </si>
  <si>
    <t>ﾗﾃｨｻﾃﾞｨﾆﾌｪﾌﾞﾘﾔﾝﾃｨ</t>
  </si>
  <si>
    <t>ｱﾝｸﾞﾝ　ｼｬﾌｨﾗ</t>
  </si>
  <si>
    <t>ｱｲｼｬｰﾄﾞｳｨｱﾌﾟﾘｱﾝﾃｨ</t>
  </si>
  <si>
    <t>ｶﾊﾘﾏﾃｩﾝ　ｼｬｸﾃﾞｨｱ</t>
  </si>
  <si>
    <t>ﾘｳﾞｧﾆ　ﾀﾞﾏﾔﾝﾃｨ　ﾑﾃｨｱ　ﾁｬﾙｻ</t>
  </si>
  <si>
    <t>ﾃﾞｳﾞｨ　ｾｳﾞｨﾔﾆ</t>
  </si>
  <si>
    <t>２F</t>
  </si>
  <si>
    <t>ｵｸﾃｨﾔﾆﾝｼｰ</t>
  </si>
  <si>
    <t>ﾃﾞｱ　ﾜﾙｷﾞｱﾝﾃｨ</t>
  </si>
  <si>
    <t>ﾚﾆ　ﾄﾞｩｳｨ　ｽｰﾘﾔﾆ</t>
  </si>
  <si>
    <t>リビング</t>
  </si>
  <si>
    <t>牛渕2号館</t>
  </si>
  <si>
    <t>/18</t>
  </si>
  <si>
    <t>残0か２</t>
  </si>
  <si>
    <t>間取</t>
  </si>
  <si>
    <t>１F-2-相3</t>
  </si>
  <si>
    <t>2025/9/11入寮4名※部屋割確認</t>
  </si>
  <si>
    <t>アスリア</t>
  </si>
  <si>
    <t>2025/7/21～1人部屋¥15000</t>
  </si>
  <si>
    <t>ｳｨﾝﾄﾞﾘﾔﾝﾃｨ2026/2/21退寮予定</t>
  </si>
  <si>
    <t>ﾘｽﾞｶ2025/12/14～2026/1/10一時帰国</t>
  </si>
  <si>
    <t>2025/9/11入寮　6/20ﾋﾞﾚｯｼﾞ3-501へ引越</t>
  </si>
  <si>
    <t>2025/9/11入寮　チカ6/20引越</t>
  </si>
  <si>
    <t>ﾆ ﾙｰ7/21引越ﾋﾞﾚｯｼﾞ1-205へ</t>
  </si>
  <si>
    <t>ウィンドリヤンティ2026/2/21退寮</t>
  </si>
  <si>
    <t>　　現</t>
  </si>
  <si>
    <t>キッチン</t>
  </si>
  <si>
    <t>現　リズカ</t>
  </si>
  <si>
    <t>デラヤニ</t>
  </si>
  <si>
    <t>ＤＫ</t>
  </si>
  <si>
    <t>たたみ</t>
  </si>
  <si>
    <t>552-2310-04-2621</t>
  </si>
  <si>
    <t>552-2310-04-2622</t>
  </si>
  <si>
    <t>552-2310-04-2623</t>
  </si>
  <si>
    <t>552-2310-04-2625</t>
  </si>
  <si>
    <t>552-2310-04-2626</t>
  </si>
  <si>
    <t>西条市丹原町田野上方４５５番地１</t>
  </si>
  <si>
    <t>B棟</t>
  </si>
  <si>
    <t>552-2310-04-2600</t>
  </si>
  <si>
    <t>552-2310-04-2611</t>
  </si>
  <si>
    <t>552-2310-04-2612</t>
  </si>
  <si>
    <t>552-2310-04-2613</t>
  </si>
  <si>
    <t>552-2310-04-2615</t>
  </si>
  <si>
    <t>552-2310-04-2616</t>
  </si>
  <si>
    <t>552-2310-04-2521</t>
  </si>
  <si>
    <t>552-2310-04-2522</t>
  </si>
  <si>
    <t>552-2310-04-2523</t>
  </si>
  <si>
    <t>552-2310-04-2525</t>
  </si>
  <si>
    <t>552-2310-04-2526</t>
  </si>
  <si>
    <t>C棟</t>
  </si>
  <si>
    <t>552-2310-04-2500</t>
  </si>
  <si>
    <t>552-2310-04-2511</t>
  </si>
  <si>
    <t>552-2310-04-2512</t>
  </si>
  <si>
    <t>552-2310-04-2513</t>
  </si>
  <si>
    <t>552-2310-04-2515</t>
  </si>
  <si>
    <t>552-2310-04-2516</t>
  </si>
  <si>
    <t>552-2310-04-2421</t>
  </si>
  <si>
    <t>552-2310-04-2422</t>
  </si>
  <si>
    <t>552-2310-04-2423</t>
  </si>
  <si>
    <t>552-2310-04-2425</t>
  </si>
  <si>
    <t>552-2310-04-2426</t>
  </si>
  <si>
    <t>552-2310-04-2326</t>
  </si>
  <si>
    <t>552-2310-04-2325</t>
  </si>
  <si>
    <t>552-2310-04-2323</t>
  </si>
  <si>
    <t>552-2310-04-2322</t>
  </si>
  <si>
    <t>552-2310-04-2321</t>
  </si>
  <si>
    <t>D棟</t>
  </si>
  <si>
    <t>A棟</t>
  </si>
  <si>
    <t>552-2310-04-2400</t>
  </si>
  <si>
    <t>552-2310-04-2300</t>
  </si>
  <si>
    <t>552-2310-04-2411</t>
  </si>
  <si>
    <t>552-2310-04-2412</t>
  </si>
  <si>
    <t>552-2310-04-2413</t>
  </si>
  <si>
    <t>552-2310-04-2415</t>
  </si>
  <si>
    <t>552-2310-04-2416</t>
  </si>
  <si>
    <t>552-2310-04-2316</t>
  </si>
  <si>
    <t>552-2310-04-2315</t>
  </si>
  <si>
    <t>552-2310-04-2313</t>
  </si>
  <si>
    <t>552-2310-04-2312</t>
  </si>
  <si>
    <t>552-2310-04-2311</t>
  </si>
  <si>
    <t>552-2310-04-2821</t>
  </si>
  <si>
    <t>552-2310-04-2822</t>
  </si>
  <si>
    <t>552-2310-04-2823</t>
  </si>
  <si>
    <t>552-2310-04-2825</t>
  </si>
  <si>
    <t>552-2310-04-2826</t>
  </si>
  <si>
    <t>552-2310-04-2721</t>
  </si>
  <si>
    <t>552-2310-04-2722</t>
  </si>
  <si>
    <t>552-2310-04-2723</t>
  </si>
  <si>
    <t>552-2310-04-2725</t>
  </si>
  <si>
    <t>552-2310-04-2726</t>
  </si>
  <si>
    <t>F棟</t>
  </si>
  <si>
    <t>E棟</t>
  </si>
  <si>
    <t>552-2310-04-2800</t>
  </si>
  <si>
    <t>552-2310-04-2700</t>
  </si>
  <si>
    <t>552-2310-04-2811</t>
  </si>
  <si>
    <t>552-2310-04-2812</t>
  </si>
  <si>
    <t>552-2310-04-2813</t>
  </si>
  <si>
    <t>552-2310-04-2815</t>
  </si>
  <si>
    <t>552-2310-04-2816</t>
  </si>
  <si>
    <t>552-2310-04-2711</t>
  </si>
  <si>
    <t>552-2310-04-2712</t>
  </si>
  <si>
    <t>552-2310-04-2713</t>
  </si>
  <si>
    <t>552-2310-04-2715</t>
  </si>
  <si>
    <t>552-2310-04-2716</t>
  </si>
  <si>
    <t>家賃26,000</t>
  </si>
  <si>
    <t>テーブル25</t>
  </si>
  <si>
    <t>２段ベット150</t>
  </si>
  <si>
    <t>食器棚25</t>
  </si>
  <si>
    <t>レンジ台25</t>
  </si>
  <si>
    <t>2025/12/08予備設置</t>
  </si>
  <si>
    <t xml:space="preserve"> B-0304396-V102</t>
  </si>
  <si>
    <t>ビレッジハウス_中温津吉予備１</t>
  </si>
  <si>
    <t>シルバー26</t>
  </si>
  <si>
    <t>6672-Ｂ-0246672-1595</t>
  </si>
  <si>
    <t>ビレッジハウス_中温津吉予備２</t>
  </si>
  <si>
    <t>2025/12/13予備設置</t>
  </si>
  <si>
    <t>6659-Ｂ-0246659-1645</t>
  </si>
  <si>
    <t>ビレッジハウス_中温津吉予備３</t>
  </si>
  <si>
    <t>2403-Ｂ-0325671</t>
  </si>
  <si>
    <t>ビレッジハウス_中温津吉予備４</t>
  </si>
  <si>
    <t>2025/12/22予備設置</t>
  </si>
  <si>
    <t>B-0233780-1098</t>
  </si>
  <si>
    <t>牛渕１_中温予備５</t>
  </si>
  <si>
    <t>アオ26</t>
  </si>
  <si>
    <t>B-0227931-V118</t>
  </si>
  <si>
    <t>牛渕１_中温予備６</t>
  </si>
  <si>
    <t>B-0343701-V135</t>
  </si>
  <si>
    <t>牛渕２_中温予備７</t>
  </si>
  <si>
    <t>Ｂ-0246675-1545</t>
  </si>
  <si>
    <t>牛渕２_中温予備８</t>
  </si>
  <si>
    <t>2025/12/12予備設置</t>
  </si>
  <si>
    <t>Ｂ-0304399-V168</t>
  </si>
  <si>
    <t>アトム_小栗予備１</t>
  </si>
  <si>
    <t>Ｂ-0246663-1028</t>
  </si>
  <si>
    <t>アトム_小栗予備２</t>
  </si>
  <si>
    <t>保管鍵</t>
  </si>
  <si>
    <t>チャン ティ トゥー　ヒエン</t>
  </si>
  <si>
    <t>予備2
B-0117216-1212</t>
  </si>
  <si>
    <t>不明小栗工場裏</t>
  </si>
  <si>
    <t>26-シルバー</t>
  </si>
  <si>
    <t>白</t>
  </si>
  <si>
    <t>不明</t>
  </si>
  <si>
    <t>なしー松南-352726</t>
  </si>
  <si>
    <t>26-黒</t>
  </si>
  <si>
    <t>2024/08/26
自転車撤去より連絡があり回収</t>
  </si>
  <si>
    <t>グエン　ヴァン　ズオン</t>
  </si>
  <si>
    <r>
      <rPr>
        <sz val="9"/>
        <color rgb="FF1F1F1F"/>
        <rFont val="Aptos Narrow"/>
        <family val="2"/>
        <scheme val="minor"/>
      </rPr>
      <t>グエン ティ ロアン</t>
    </r>
  </si>
  <si>
    <t>予備2
B-0091968-V059</t>
  </si>
  <si>
    <t>26-白</t>
  </si>
  <si>
    <t>使用可能</t>
  </si>
  <si>
    <t>3781-B-0233781</t>
  </si>
  <si>
    <t>24-赤</t>
  </si>
  <si>
    <t>6666
B-0246666-1656</t>
  </si>
  <si>
    <t>2024/10/19小栗工場裏
26シルバー</t>
  </si>
  <si>
    <t>2334
B-0304399-V168</t>
  </si>
  <si>
    <t>VU　THI　THAO</t>
  </si>
  <si>
    <t>7913
B-0247913-1610</t>
  </si>
  <si>
    <t>2024/10/22小栗工場裏
26シルバー</t>
  </si>
  <si>
    <t>"7914
B-0247914-1017"</t>
  </si>
  <si>
    <t>ヌーへ</t>
  </si>
  <si>
    <t>7914-B-0227914-1125</t>
  </si>
  <si>
    <t>2025/04/14小栗工場裏</t>
  </si>
  <si>
    <t>赤24ｲﾝﾁ</t>
  </si>
  <si>
    <t>B-0128655</t>
  </si>
  <si>
    <t>2025/04/14小栗工場裏
26白　鍵なし</t>
  </si>
  <si>
    <t xml:space="preserve">  TRAN THI THU</t>
  </si>
  <si>
    <t>グエンティアインからトゥーへ</t>
  </si>
  <si>
    <t>旧2334
B-0304399-V168</t>
  </si>
  <si>
    <t>V012</t>
  </si>
  <si>
    <t>B-0091966-V219</t>
  </si>
  <si>
    <t>ヒエン一時　旧タム</t>
  </si>
  <si>
    <t>V022</t>
  </si>
  <si>
    <t>V082</t>
  </si>
  <si>
    <t>V089</t>
  </si>
  <si>
    <t>V095</t>
  </si>
  <si>
    <t>2025/5/29ビレッジ２号棟前</t>
  </si>
  <si>
    <t>V123</t>
  </si>
  <si>
    <t>V124</t>
  </si>
  <si>
    <t>V128</t>
  </si>
  <si>
    <t>V194</t>
  </si>
  <si>
    <t>V195</t>
  </si>
  <si>
    <t>2313-B-0287457</t>
  </si>
  <si>
    <t>ビレッジ2号棟後ろパンク</t>
  </si>
  <si>
    <t>V230</t>
  </si>
  <si>
    <t>V240</t>
  </si>
  <si>
    <t>補助金自転車40台</t>
  </si>
  <si>
    <t>補助金シール</t>
  </si>
  <si>
    <t>X152</t>
  </si>
  <si>
    <t>B-0377291-1724</t>
  </si>
  <si>
    <t>B-0377294-1517</t>
  </si>
  <si>
    <t>B-0377295-1241</t>
  </si>
  <si>
    <t>中野１</t>
  </si>
  <si>
    <t>B-0377296-1750</t>
  </si>
  <si>
    <t>牛渕２→中野１</t>
  </si>
  <si>
    <t>12/3カギ回収</t>
  </si>
  <si>
    <t>B-0377298-1763</t>
  </si>
  <si>
    <t>B-0377299-1552</t>
  </si>
  <si>
    <t>１１</t>
  </si>
  <si>
    <t>１２</t>
  </si>
  <si>
    <t>B-0377302-1178</t>
  </si>
  <si>
    <t>ニンシー</t>
  </si>
  <si>
    <t>１３</t>
  </si>
  <si>
    <t>B-0377304-1136</t>
  </si>
  <si>
    <t>１５</t>
  </si>
  <si>
    <t>B-0377305-1163</t>
  </si>
  <si>
    <t>ドゥイ</t>
  </si>
  <si>
    <t>１６</t>
  </si>
  <si>
    <t>１７</t>
  </si>
  <si>
    <t>B-0377307-1214</t>
  </si>
  <si>
    <t>東温市牛渕123₋1</t>
  </si>
  <si>
    <t>１８</t>
  </si>
  <si>
    <t>B-0377308-1035</t>
  </si>
  <si>
    <t>１９</t>
  </si>
  <si>
    <t>２０</t>
  </si>
  <si>
    <t>B-0377310 -1155</t>
  </si>
  <si>
    <t>２１</t>
  </si>
  <si>
    <t>B-0377311 -1060</t>
  </si>
  <si>
    <t>２２</t>
  </si>
  <si>
    <t>B-0377312 -1756</t>
  </si>
  <si>
    <t>２３</t>
  </si>
  <si>
    <t>B-0377313 -1718</t>
  </si>
  <si>
    <t>カハリ</t>
  </si>
  <si>
    <t>２４</t>
  </si>
  <si>
    <t>B-0377314 -1540</t>
  </si>
  <si>
    <t>２５</t>
  </si>
  <si>
    <t>B-0377315-1155</t>
  </si>
  <si>
    <t>２６</t>
  </si>
  <si>
    <t>B-0377316-1212</t>
  </si>
  <si>
    <t>アプリル</t>
  </si>
  <si>
    <t>２８</t>
  </si>
  <si>
    <t>B-0377318-1650</t>
  </si>
  <si>
    <t>２９</t>
  </si>
  <si>
    <t>B-0377319-1605</t>
  </si>
  <si>
    <t>３０</t>
  </si>
  <si>
    <t>３１</t>
  </si>
  <si>
    <t>11/25カギ回収</t>
  </si>
  <si>
    <t>３２</t>
  </si>
  <si>
    <t>B-0377322-1639</t>
  </si>
  <si>
    <t>３３</t>
  </si>
  <si>
    <t>３４</t>
  </si>
  <si>
    <t>３５</t>
  </si>
  <si>
    <t>３６</t>
  </si>
  <si>
    <t>B-0377326-1096</t>
  </si>
  <si>
    <t>リヴァニ</t>
  </si>
  <si>
    <t>３７</t>
  </si>
  <si>
    <t>３８</t>
  </si>
  <si>
    <t>ディニ</t>
  </si>
  <si>
    <t>３９</t>
  </si>
  <si>
    <t>４０</t>
  </si>
  <si>
    <t>松山市中野町457‐1</t>
  </si>
  <si>
    <t>リド</t>
  </si>
  <si>
    <t>ブイ ティ　チン</t>
  </si>
  <si>
    <t>番号なし　福岡47－え53161</t>
  </si>
  <si>
    <t>26-赤</t>
  </si>
  <si>
    <t>前輪パンク→2024/11/5処分
松山南クリーンセンター持込</t>
  </si>
  <si>
    <t>1969-B-0091969</t>
  </si>
  <si>
    <t>2025/07/23松山南CS処分</t>
  </si>
  <si>
    <t>2025/11/14処分
松山南クリーンセンター持込</t>
  </si>
  <si>
    <r>
      <rPr>
        <sz val="9"/>
        <color rgb="FF1F1F1F"/>
        <rFont val="Aptos Narrow"/>
        <family val="2"/>
        <scheme val="minor"/>
      </rPr>
      <t>グエン ティ ロアン</t>
    </r>
  </si>
  <si>
    <t>6668-故障のため
Ｂ－0246668-1635</t>
  </si>
  <si>
    <t>津吉工場自転車置場</t>
  </si>
  <si>
    <t>2025/11/26処分
松山南クリーンセンター持込</t>
  </si>
  <si>
    <t>前輪スポーク折れ</t>
  </si>
  <si>
    <t>2025/12/2処分
松山南クリーンセンター持込</t>
  </si>
  <si>
    <t>部品取後、処分</t>
  </si>
  <si>
    <t>2026/3/4処分
松山南クリーンセンター持込</t>
  </si>
  <si>
    <t>2026/3/19処分
松山南クリーンセンター持込</t>
  </si>
  <si>
    <r>
      <rPr>
        <sz val="11"/>
        <color theme="1"/>
        <rFont val="MS PGothic"/>
        <family val="3"/>
        <charset val="128"/>
      </rPr>
      <t xml:space="preserve">自身で購入
</t>
    </r>
    <r>
      <rPr>
        <sz val="11"/>
        <color rgb="FFFF0000"/>
        <rFont val="MS PGothic"/>
        <family val="3"/>
        <charset val="128"/>
      </rPr>
      <t>元2302　シルバー
B-0287298-V208</t>
    </r>
  </si>
  <si>
    <t>2026/3/27処分
松山南クリーンセンター持込</t>
  </si>
  <si>
    <t>2026/04/08
松山南クリーンセンター持込</t>
  </si>
  <si>
    <t>2020/10購入 紛失
17000002-B-0177519</t>
  </si>
  <si>
    <t>原契約開始日</t>
  </si>
  <si>
    <t>契約開始日</t>
  </si>
  <si>
    <t>契約終了日</t>
  </si>
  <si>
    <t>賃料</t>
  </si>
  <si>
    <t>短期解約違約金</t>
  </si>
  <si>
    <t>松山上野1号棟0507号室</t>
  </si>
  <si>
    <t>￥37,000</t>
  </si>
  <si>
    <t>なし</t>
  </si>
  <si>
    <t>切替</t>
  </si>
  <si>
    <t>保険</t>
  </si>
  <si>
    <t>松山上野2号棟0405号室</t>
  </si>
  <si>
    <t>￥40,000</t>
  </si>
  <si>
    <t>松山上野3号棟0103号室</t>
  </si>
  <si>
    <t>￥41,000</t>
  </si>
  <si>
    <t>松山上野3号棟0507号室</t>
  </si>
  <si>
    <t>￥31,000</t>
  </si>
  <si>
    <t>松山上野3号棟0508号室</t>
  </si>
  <si>
    <t>￥38,000</t>
  </si>
  <si>
    <t>松山上野4号棟0205号室</t>
  </si>
  <si>
    <t>￥43,000</t>
  </si>
  <si>
    <t>松山上野4号棟0407号室</t>
  </si>
  <si>
    <t>あり</t>
  </si>
  <si>
    <t>松山上野4号棟0502号室</t>
  </si>
  <si>
    <t>松山上野4号棟0505号室</t>
  </si>
  <si>
    <t>松山上野4号棟0507号室</t>
  </si>
  <si>
    <t>中温技能実習生推移表</t>
  </si>
  <si>
    <t>退社</t>
  </si>
  <si>
    <t>年月</t>
  </si>
  <si>
    <t>入社計</t>
  </si>
  <si>
    <t>退社計</t>
  </si>
  <si>
    <t>合計計</t>
  </si>
  <si>
    <t>2023/03</t>
  </si>
  <si>
    <t>2023/04</t>
  </si>
  <si>
    <t>2023/05</t>
  </si>
  <si>
    <t>2023/06</t>
  </si>
  <si>
    <t>2023/07</t>
  </si>
  <si>
    <t>2023/08</t>
  </si>
  <si>
    <t>2023/09</t>
  </si>
  <si>
    <t>2023/10</t>
  </si>
  <si>
    <t>2023/12</t>
  </si>
  <si>
    <t>2024/01</t>
  </si>
  <si>
    <t>2024/02</t>
  </si>
  <si>
    <t>2024/03</t>
  </si>
  <si>
    <t>2024/04</t>
  </si>
  <si>
    <t>2024/05</t>
  </si>
  <si>
    <t>2024/07</t>
  </si>
  <si>
    <t>2024/10</t>
  </si>
  <si>
    <t>2024/11</t>
  </si>
  <si>
    <t>2024/12</t>
  </si>
  <si>
    <t>2025/01</t>
  </si>
  <si>
    <t>2025/02</t>
  </si>
  <si>
    <t>2025/03</t>
  </si>
  <si>
    <t>2025/05</t>
  </si>
  <si>
    <t>2025/06</t>
  </si>
  <si>
    <t>2025/07</t>
  </si>
  <si>
    <t>2025/08</t>
  </si>
  <si>
    <t>2025/10</t>
  </si>
  <si>
    <t>2025/11</t>
  </si>
  <si>
    <t>2025/12</t>
  </si>
  <si>
    <t>2026/02</t>
  </si>
  <si>
    <t>2026/03</t>
  </si>
  <si>
    <t>2026/04</t>
  </si>
  <si>
    <t>計</t>
  </si>
  <si>
    <t>男女</t>
  </si>
  <si>
    <t>人数</t>
  </si>
  <si>
    <t>工場</t>
  </si>
  <si>
    <t>入退社</t>
  </si>
  <si>
    <t>2024年10月31日現在</t>
  </si>
  <si>
    <t>外国人技能実習養成講座資格管理表</t>
  </si>
  <si>
    <t>入管　２号担当　那須さん</t>
  </si>
  <si>
    <t>入管　高岡さん</t>
  </si>
  <si>
    <t>氏 名</t>
  </si>
  <si>
    <t>①技能実習責任者</t>
  </si>
  <si>
    <t>②技能実習指導員</t>
  </si>
  <si>
    <t>③生活指導員</t>
  </si>
  <si>
    <t>取得日（又は前回更新日） 
下段は受講予定日</t>
  </si>
  <si>
    <t>更新時期</t>
  </si>
  <si>
    <t>取得日（又は前回更新日）
  下段は受講予定日</t>
  </si>
  <si>
    <t>取得日（又は前回更新日）
 下段は受講予定日</t>
  </si>
  <si>
    <t>山本 真悟</t>
  </si>
  <si>
    <t>2021.2.3（全基連）</t>
  </si>
  <si>
    <t>2024.2まで</t>
  </si>
  <si>
    <t>宮内 聡明</t>
  </si>
  <si>
    <t>2024.1.29（全基連）</t>
  </si>
  <si>
    <t>2027.1まで</t>
  </si>
  <si>
    <t>2022.8.4（アプロンテ）</t>
  </si>
  <si>
    <t>2025.8まで</t>
  </si>
  <si>
    <t>2023.2.17（JITCO）</t>
  </si>
  <si>
    <t>2026.2まで</t>
  </si>
  <si>
    <t>2025/8頃予定</t>
  </si>
  <si>
    <t>猪川 浩平</t>
  </si>
  <si>
    <t>2018.10.25（JITCO）</t>
  </si>
  <si>
    <t>2021.10まで</t>
  </si>
  <si>
    <t>岡本 豊史</t>
  </si>
  <si>
    <t>2018.11.14（PMC）</t>
  </si>
  <si>
    <t>2021.11まで</t>
  </si>
  <si>
    <t>能勢 正浩</t>
  </si>
  <si>
    <t>2022.5.11（PMC）</t>
  </si>
  <si>
    <t>2025.5まで</t>
  </si>
  <si>
    <t>尾崎 浩</t>
  </si>
  <si>
    <t>2024.5.31(PMC）</t>
  </si>
  <si>
    <t>2027.5まで</t>
  </si>
  <si>
    <t>渡部 美樹</t>
  </si>
  <si>
    <t>協同</t>
  </si>
  <si>
    <t>山野本 浩二</t>
  </si>
  <si>
    <t>2020.2.18（JITCO）</t>
  </si>
  <si>
    <t>2023.2まで</t>
  </si>
  <si>
    <t>新開 亮</t>
  </si>
  <si>
    <t>藤原 飛高</t>
  </si>
  <si>
    <t>2022.2.2（PMC）</t>
  </si>
  <si>
    <t>2025.2まで</t>
  </si>
  <si>
    <t>※24.3 宮内工場長相談済</t>
  </si>
  <si>
    <t>※「技能実習責任者」は３年毎の更新が絶対条件です。</t>
  </si>
  <si>
    <t>※技能実習指導員は講習の受講は義務付けられてはない。ただし、講習受講履歴は優良な実習実施者の</t>
  </si>
  <si>
    <t>※「技能実習指導者」は実習を行う技能について5年以上の経験が必要（前職での経験年数も含めてかまわない）</t>
  </si>
  <si>
    <t>配点に含まれる。 優良な実習実施者となると技能実習3号の受入れが可能となり、受入れ人数枠が増える</t>
  </si>
  <si>
    <t>というメリットあり。</t>
  </si>
  <si>
    <t>関東食肉は2024.5月～技能実習責任者は宮内工場長で届け出</t>
  </si>
  <si>
    <t>2024/12/3 中四国朴さんと話す</t>
  </si>
  <si>
    <t>中四国は猪川次長→宮内工場長へ申請中 24.5.30</t>
  </si>
  <si>
    <t>協同の藤原さんの技能実習指導員の更新について</t>
  </si>
  <si>
    <t>※生活指導員も同様に受講は必須ではないが、受講をしていると評価に加算される。</t>
  </si>
  <si>
    <t>技能実習指導員については、義務ではなく、常勤の職員が３名のため、職員以上の受け入れが不可</t>
  </si>
  <si>
    <t>並びに、実習実施者の配点についても３名以上不可</t>
  </si>
  <si>
    <t>実習３号の受け入れが可能となるが、今回２号より特定へ移動するためメリットがないとのこと</t>
  </si>
  <si>
    <t>最終的に、技能実習指導員は中温の宮内工場長で行うでOK</t>
  </si>
  <si>
    <t>購入日</t>
  </si>
  <si>
    <t>住宅</t>
  </si>
  <si>
    <t>商品名</t>
  </si>
  <si>
    <t>メーカー</t>
  </si>
  <si>
    <t>型式他</t>
  </si>
  <si>
    <t>購入場所</t>
  </si>
  <si>
    <t>金額</t>
  </si>
  <si>
    <t>保証</t>
  </si>
  <si>
    <t>保証終了</t>
  </si>
  <si>
    <t>室内灯</t>
  </si>
  <si>
    <t>西村ジョイ</t>
  </si>
  <si>
    <t>アトム604</t>
  </si>
  <si>
    <t>洗濯機</t>
  </si>
  <si>
    <t>MAXZEN</t>
  </si>
  <si>
    <t>7K</t>
  </si>
  <si>
    <t>ダイキ</t>
  </si>
  <si>
    <t>給油ポット</t>
  </si>
  <si>
    <t>Peacock</t>
  </si>
  <si>
    <t>WMJ型</t>
  </si>
  <si>
    <t>ネット</t>
  </si>
  <si>
    <t>1年</t>
  </si>
  <si>
    <t>電子レンジ</t>
  </si>
  <si>
    <t>IRIS</t>
  </si>
  <si>
    <t>トースター</t>
  </si>
  <si>
    <t>YAMAZEN</t>
  </si>
  <si>
    <t>YTSーS100</t>
  </si>
  <si>
    <t>炊飯器</t>
  </si>
  <si>
    <t>YJP-DM102　5.5合</t>
  </si>
  <si>
    <t>中野住宅</t>
  </si>
  <si>
    <t>掃除機</t>
  </si>
  <si>
    <t>Tailulu E23</t>
  </si>
  <si>
    <t>E23</t>
  </si>
  <si>
    <t>アクア</t>
  </si>
  <si>
    <t>AQW-V10R 10k</t>
  </si>
  <si>
    <t>ケーズ電気</t>
  </si>
  <si>
    <t>冷蔵庫</t>
  </si>
  <si>
    <t>Panasonic</t>
  </si>
  <si>
    <t>NR-FVF45S1-W</t>
  </si>
  <si>
    <t>津吉1-6</t>
  </si>
  <si>
    <t>V2-506</t>
  </si>
  <si>
    <t>アイロン</t>
  </si>
  <si>
    <t>2025/02/</t>
  </si>
  <si>
    <t>Wi-Fi</t>
  </si>
  <si>
    <t>BUFFALO</t>
  </si>
  <si>
    <t>Haier</t>
  </si>
  <si>
    <t>JR-CV34C(W)</t>
  </si>
  <si>
    <t>ケーズデンキ</t>
  </si>
  <si>
    <t>2025/4/</t>
  </si>
  <si>
    <t>2026/04/</t>
  </si>
  <si>
    <t>YJP-DM102</t>
  </si>
  <si>
    <t>エアコン</t>
  </si>
  <si>
    <t>三菱電機</t>
  </si>
  <si>
    <t>MSZ-GV2225-W</t>
  </si>
  <si>
    <t>竹内空調</t>
  </si>
  <si>
    <t>寝具</t>
  </si>
  <si>
    <t>布団一式</t>
  </si>
  <si>
    <t>ﾁｬﾝﾃｨﾄｩｰ</t>
  </si>
  <si>
    <t>ハイアール修理 2025/04/07　受付ＦＡＸ　0570-060-292 担当柳原　070-5681-9700</t>
  </si>
  <si>
    <t>FAX0570-013-791</t>
  </si>
  <si>
    <t>４２時間の月</t>
  </si>
  <si>
    <t>５・６・７・１２・１・２月　</t>
  </si>
  <si>
    <t>（表示月の２１日～翌月２０日）</t>
  </si>
  <si>
    <t>７８時間の月</t>
  </si>
  <si>
    <t>３・４・８・９・１０・１１月</t>
  </si>
  <si>
    <t>ジツコ会員番号</t>
  </si>
  <si>
    <t>(株)中温 1006717100</t>
  </si>
  <si>
    <t>(有)協同物産 1010316600</t>
  </si>
  <si>
    <t>帰国に対する費用負担について</t>
  </si>
  <si>
    <t>入国/中温</t>
  </si>
  <si>
    <t>▼</t>
  </si>
  <si>
    <t>実習1号</t>
  </si>
  <si>
    <t>実習2号</t>
  </si>
  <si>
    <t xml:space="preserve">実習生・・・・入国１回/帰国１回会社負担
実習生3号・・入国１回/2号終了後往復1回/帰国時1回
実習生～特定・入国１回/2号終了後往復1回/帰国時1回
　※3号終了時、帰国費用負担した場合は、
　　特定技能終了時は自己負担（逆のケースあり）
特定技能・・・入国１回/帰国1回会社負担
　※３年未満の帰国は自己負担
</t>
  </si>
  <si>
    <t>▲</t>
  </si>
  <si>
    <t>中温/帰国</t>
  </si>
  <si>
    <t>実習3号</t>
  </si>
  <si>
    <t>実習生/特定技能</t>
  </si>
  <si>
    <r>
      <rPr>
        <sz val="11"/>
        <color rgb="FFFF0000"/>
        <rFont val="Arial"/>
        <family val="2"/>
      </rPr>
      <t>入国/</t>
    </r>
    <r>
      <rPr>
        <sz val="11"/>
        <color rgb="FFFF0000"/>
        <rFont val="Arial"/>
        <family val="2"/>
      </rPr>
      <t>個人</t>
    </r>
  </si>
  <si>
    <t>個人/帰国</t>
  </si>
  <si>
    <t>帰国/3年未満個人</t>
  </si>
  <si>
    <t>関東食肉輸出入事業協同組合</t>
  </si>
  <si>
    <t>法人番号</t>
  </si>
  <si>
    <t>〒270-0023</t>
  </si>
  <si>
    <t>電話番号</t>
  </si>
  <si>
    <t>047-711-9324</t>
  </si>
  <si>
    <t>千葉県松戸市八ヶ崎2丁目3番1号</t>
  </si>
  <si>
    <t>登録年月日</t>
  </si>
  <si>
    <t>代表者</t>
  </si>
  <si>
    <t>久慈純也</t>
  </si>
  <si>
    <t>登録番号</t>
  </si>
  <si>
    <t>23登-008419</t>
  </si>
  <si>
    <t>支援担当者</t>
  </si>
  <si>
    <t>吉田剛志</t>
  </si>
  <si>
    <t>中四国経済交流事業協同組合</t>
  </si>
  <si>
    <t>〒791-8063</t>
  </si>
  <si>
    <t>089-967-6334</t>
  </si>
  <si>
    <t>愛媛県松山市神田町３番１９号</t>
  </si>
  <si>
    <t>理事長 水井 健太郎</t>
  </si>
  <si>
    <t>19登-002354</t>
  </si>
  <si>
    <t>株式会社デルタ四国</t>
  </si>
  <si>
    <t>〒760-0078</t>
  </si>
  <si>
    <t>087-802-1029</t>
  </si>
  <si>
    <t>香川県高松市今里町一丁目３２番地１</t>
  </si>
  <si>
    <t>22登-007706</t>
  </si>
  <si>
    <t>代表取締役</t>
  </si>
  <si>
    <t>白石　景子</t>
  </si>
  <si>
    <t>mạng lưới liên hệ 実習生連絡網 Jaringan kontak</t>
  </si>
  <si>
    <t>山本統括・新開工場長</t>
  </si>
  <si>
    <t>責任者（宇都宮課長・水本課課・山内係長・大西係長・大山主任・小本主任
 ・垂水主任・小林主任・佐伯主任・栂村主任・水沼主任・坂本主任）
 メンター（山内係長・垂水主任・小林主任・川染主任）</t>
  </si>
  <si>
    <t>ヴィレッジハウス</t>
  </si>
  <si>
    <t>チン・タオ</t>
  </si>
  <si>
    <t>ブィ</t>
  </si>
  <si>
    <t>アユサ</t>
  </si>
  <si>
    <t>アリ
 ナウファル</t>
  </si>
  <si>
    <t>レイハン
 アルル</t>
  </si>
  <si>
    <t>エブィ</t>
  </si>
  <si>
    <t>マン</t>
  </si>
  <si>
    <t>ドゥー</t>
  </si>
  <si>
    <t>ゴク ハン</t>
  </si>
  <si>
    <t>デタオ</t>
  </si>
  <si>
    <t>ヨノ</t>
  </si>
  <si>
    <t>グエンタインチャン</t>
  </si>
  <si>
    <t>ハピバ</t>
  </si>
  <si>
    <t>グエンティアイン</t>
  </si>
  <si>
    <t>ジェシカ</t>
  </si>
  <si>
    <t>アナ</t>
  </si>
  <si>
    <t>ファルファン</t>
  </si>
  <si>
    <t>ロパ</t>
  </si>
  <si>
    <t>ヒダヤット</t>
  </si>
  <si>
    <t>ナナ</t>
  </si>
  <si>
    <t>ヨヴィト</t>
  </si>
  <si>
    <t>プジャ</t>
  </si>
  <si>
    <t>アデル</t>
  </si>
  <si>
    <t>計７名</t>
  </si>
  <si>
    <t>計４名</t>
  </si>
  <si>
    <t>計１４名</t>
  </si>
  <si>
    <t>計１０名</t>
  </si>
  <si>
    <t>牛渕</t>
  </si>
  <si>
    <t>中野</t>
  </si>
  <si>
    <t>コーポ津吉</t>
  </si>
  <si>
    <t>フーン ホアン</t>
  </si>
  <si>
    <t>ウフィク</t>
  </si>
  <si>
    <t>ニル</t>
  </si>
  <si>
    <t>ノヴィタ</t>
  </si>
  <si>
    <t>サニア</t>
  </si>
  <si>
    <t>ウィンドリ</t>
  </si>
  <si>
    <t>メルヴァ</t>
  </si>
  <si>
    <t>フィルダウス</t>
  </si>
  <si>
    <t>イナ</t>
  </si>
  <si>
    <t>サラ</t>
  </si>
  <si>
    <t>ミヤナ</t>
  </si>
  <si>
    <t>ニマ</t>
  </si>
  <si>
    <t>ユナ</t>
  </si>
  <si>
    <t>リリス</t>
  </si>
  <si>
    <t>チカ</t>
  </si>
  <si>
    <t>デフィ</t>
  </si>
  <si>
    <t>計２１名</t>
  </si>
  <si>
    <t>計６名</t>
  </si>
  <si>
    <t>1～5</t>
  </si>
  <si>
    <t>6～10</t>
  </si>
  <si>
    <t>11～15</t>
  </si>
  <si>
    <t>16～20</t>
  </si>
  <si>
    <t>21～25</t>
  </si>
  <si>
    <t>26～月末</t>
  </si>
  <si>
    <t>●9/2～育児休暇　復帰時期未定</t>
  </si>
  <si>
    <r>
      <rPr>
        <sz val="9"/>
        <color rgb="FF1F1F1F"/>
        <rFont val="Aptos Narrow"/>
        <family val="2"/>
        <scheme val="minor"/>
      </rPr>
      <t>コーポ麻生205</t>
    </r>
  </si>
  <si>
    <t>●9/7～一時帰国　9/28まで</t>
  </si>
  <si>
    <t>ビレッジハウス上野4-505</t>
  </si>
  <si>
    <t>　　●9/9退職</t>
  </si>
  <si>
    <t>9/30給料振込●</t>
  </si>
  <si>
    <t>●9/12退寮</t>
  </si>
  <si>
    <t>ビレッジハウス上野2-503</t>
  </si>
  <si>
    <t>※給料は通常通り　9/末振込</t>
  </si>
  <si>
    <t>●8/21～　N3合格　5,000円追加</t>
  </si>
  <si>
    <t>●8/21～　賃金改定　1,000円</t>
  </si>
  <si>
    <t>アトムスカイマンション305</t>
  </si>
  <si>
    <t>●8/21～　賃金改定　1,050円 特定・N4</t>
  </si>
  <si>
    <t>アトムスカイマンション304</t>
  </si>
  <si>
    <t>アトムスカイマンション30</t>
  </si>
  <si>
    <t>引越/退職</t>
  </si>
  <si>
    <t>9/末まで上野2-508●</t>
  </si>
  <si>
    <t>●10/1～上野2-506へ</t>
  </si>
  <si>
    <t>　　●10/4退職・最終出勤</t>
  </si>
  <si>
    <t>ビレッジハウス上野2-508</t>
  </si>
  <si>
    <t>　　　●10/4退寮</t>
  </si>
  <si>
    <t>引越/一時退職</t>
  </si>
  <si>
    <t>●10/1～上野2-504へ</t>
  </si>
  <si>
    <t>●12/20～2/21一時退職</t>
  </si>
  <si>
    <t>アトムスカイマンション404</t>
  </si>
  <si>
    <t>2025/04/20～45日希望</t>
  </si>
  <si>
    <t>2025/04/28～45日希望</t>
  </si>
  <si>
    <t>アトムスカイマンション401</t>
  </si>
  <si>
    <t>2025/05末6月初頃～1ヶ月希望</t>
  </si>
  <si>
    <t>2025/6月初頃～45日希望</t>
  </si>
  <si>
    <t>アトムスカイマンション402</t>
  </si>
  <si>
    <t>2025/06頃30～45日希望</t>
  </si>
  <si>
    <t>チャン　ティ　タイン　タム</t>
  </si>
  <si>
    <t>2025/07頃～45日希望</t>
  </si>
  <si>
    <t>ファム　ティ　フーン</t>
  </si>
  <si>
    <t>2025/08頃45日希望</t>
  </si>
  <si>
    <t>’</t>
  </si>
  <si>
    <t>チャン　アイン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</si>
</sst>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mm/dd"/>
    <numFmt numFmtId="177" formatCode="m/d"/>
    <numFmt numFmtId="178" formatCode="yyyy/mm"/>
    <numFmt numFmtId="179" formatCode="yyyy/m"/>
    <numFmt numFmtId="180" formatCode="yyyy&quot;/&quot;mm"/>
    <numFmt numFmtId="181" formatCode="yyyy/m&quot;月&quot;"/>
  </numFmts>
  <fonts count="136">
    <font>
      <sz val="11"/>
      <color rgb="FF000000"/>
      <name val="Aptos Narrow"/>
      <scheme val="minor"/>
    </font>
    <font>
      <sz val="11"/>
      <color theme="1"/>
      <name val="MS PGothic"/>
      <family val="3"/>
      <charset val="128"/>
    </font>
    <font>
      <sz val="11"/>
      <color theme="1"/>
      <name val="Arial"/>
    </font>
    <font>
      <u/>
      <sz val="11"/>
      <color theme="1"/>
      <name val="MS PGothic"/>
      <family val="3"/>
      <charset val="128"/>
    </font>
    <font>
      <sz val="11"/>
      <color rgb="FF000000"/>
      <name val="MS PGothic"/>
      <family val="3"/>
      <charset val="128"/>
    </font>
    <font>
      <sz val="16"/>
      <color theme="1"/>
      <name val="MS PGothic"/>
      <family val="3"/>
      <charset val="128"/>
    </font>
    <font>
      <sz val="10"/>
      <color rgb="FF4472C4"/>
      <name val="MS PGothic"/>
      <family val="3"/>
      <charset val="128"/>
    </font>
    <font>
      <sz val="8"/>
      <color theme="1"/>
      <name val="MS PGothic"/>
      <family val="3"/>
      <charset val="128"/>
    </font>
    <font>
      <sz val="11"/>
      <color theme="1"/>
      <name val="Aptos Narrow"/>
      <scheme val="minor"/>
    </font>
    <font>
      <sz val="9"/>
      <color theme="1"/>
      <name val="MS PGothic"/>
      <family val="3"/>
      <charset val="128"/>
    </font>
    <font>
      <sz val="10"/>
      <color theme="1"/>
      <name val="MS PGothic"/>
      <family val="3"/>
      <charset val="128"/>
    </font>
    <font>
      <sz val="11"/>
      <color rgb="FFFF0000"/>
      <name val="MS PGothic"/>
      <family val="3"/>
      <charset val="128"/>
    </font>
    <font>
      <sz val="11"/>
      <color rgb="FF4472C4"/>
      <name val="MS PGothic"/>
      <family val="3"/>
      <charset val="128"/>
    </font>
    <font>
      <sz val="11"/>
      <color theme="1"/>
      <name val="&quot;MS PGothic&quot;"/>
    </font>
    <font>
      <sz val="11"/>
      <color rgb="FF00B050"/>
      <name val="MS PGothic"/>
      <family val="3"/>
      <charset val="128"/>
    </font>
    <font>
      <sz val="10"/>
      <color rgb="FF000000"/>
      <name val="MS PGothic"/>
      <family val="3"/>
      <charset val="128"/>
    </font>
    <font>
      <sz val="9"/>
      <color rgb="FF00B050"/>
      <name val="MS PGothic"/>
      <family val="3"/>
      <charset val="128"/>
    </font>
    <font>
      <sz val="10"/>
      <color rgb="FFFF0000"/>
      <name val="MS PGothic"/>
      <family val="3"/>
      <charset val="128"/>
    </font>
    <font>
      <sz val="8"/>
      <color rgb="FFFF0000"/>
      <name val="MS PGothic"/>
      <family val="3"/>
      <charset val="128"/>
    </font>
    <font>
      <sz val="8"/>
      <color rgb="FF000000"/>
      <name val="MS PGothic"/>
      <family val="3"/>
      <charset val="128"/>
    </font>
    <font>
      <sz val="11"/>
      <color theme="1"/>
      <name val="Arial"/>
      <family val="2"/>
    </font>
    <font>
      <sz val="7"/>
      <color theme="1"/>
      <name val="MS PGothic"/>
      <family val="3"/>
      <charset val="128"/>
    </font>
    <font>
      <sz val="11"/>
      <color theme="9"/>
      <name val="MS PGothic"/>
      <family val="3"/>
      <charset val="128"/>
    </font>
    <font>
      <sz val="11"/>
      <color theme="1"/>
      <name val="Aptos Narrow"/>
      <family val="2"/>
      <scheme val="minor"/>
    </font>
    <font>
      <sz val="11"/>
      <color rgb="FFFF9900"/>
      <name val="MS PGothic"/>
      <family val="3"/>
      <charset val="128"/>
    </font>
    <font>
      <sz val="11"/>
      <color rgb="FF1F1F1F"/>
      <name val="&quot;Google Sans&quot;"/>
    </font>
    <font>
      <sz val="11"/>
      <color rgb="FF1F1F1F"/>
      <name val="MS PGothic"/>
      <family val="3"/>
      <charset val="128"/>
    </font>
    <font>
      <sz val="9"/>
      <color rgb="FF0000FF"/>
      <name val="MS PGothic"/>
      <family val="3"/>
      <charset val="128"/>
    </font>
    <font>
      <sz val="11"/>
      <color rgb="FFFF0000"/>
      <name val="&quot;MS PGothic&quot;"/>
    </font>
    <font>
      <sz val="9"/>
      <color rgb="FF0070C0"/>
      <name val="MS PGothic"/>
      <family val="3"/>
      <charset val="128"/>
    </font>
    <font>
      <sz val="11"/>
      <color rgb="FF1F1F1F"/>
      <name val="&quot;docs-Google Sans&quot;"/>
    </font>
    <font>
      <sz val="11"/>
      <color rgb="FF1F1F1F"/>
      <name val="Google Sans"/>
    </font>
    <font>
      <sz val="11"/>
      <color rgb="FF000000"/>
      <name val="Arial"/>
      <family val="2"/>
    </font>
    <font>
      <sz val="9"/>
      <color rgb="FF000000"/>
      <name val="MS PGothic"/>
      <family val="3"/>
      <charset val="128"/>
    </font>
    <font>
      <sz val="7"/>
      <color rgb="FFFF0000"/>
      <name val="MS PGothic"/>
      <family val="3"/>
      <charset val="128"/>
    </font>
    <font>
      <sz val="11"/>
      <color rgb="FF434343"/>
      <name val="MS PGothic"/>
      <family val="3"/>
      <charset val="128"/>
    </font>
    <font>
      <sz val="11"/>
      <color theme="0"/>
      <name val="MS PGothic"/>
      <family val="3"/>
      <charset val="128"/>
    </font>
    <font>
      <sz val="9"/>
      <color rgb="FFFF0000"/>
      <name val="MS PGothic"/>
      <family val="3"/>
      <charset val="128"/>
    </font>
    <font>
      <sz val="11"/>
      <color rgb="FF000000"/>
      <name val="&quot;MS PGothic&quot;"/>
    </font>
    <font>
      <sz val="11"/>
      <color theme="1"/>
      <name val="Aptos Narrow"/>
      <family val="2"/>
    </font>
    <font>
      <sz val="11"/>
      <color rgb="FF000000"/>
      <name val="Arial"/>
      <family val="2"/>
    </font>
    <font>
      <sz val="11"/>
      <color theme="1"/>
      <name val="MS PGothic"/>
      <family val="3"/>
      <charset val="128"/>
    </font>
    <font>
      <sz val="11"/>
      <color rgb="FF6AA84F"/>
      <name val="MS PGothic"/>
      <family val="3"/>
      <charset val="128"/>
    </font>
    <font>
      <sz val="11"/>
      <color rgb="FF4A86E8"/>
      <name val="MS PGothic"/>
      <family val="3"/>
      <charset val="128"/>
    </font>
    <font>
      <sz val="9"/>
      <color rgb="FF4A86E8"/>
      <name val="MS PGothic"/>
      <family val="3"/>
      <charset val="128"/>
    </font>
    <font>
      <u/>
      <sz val="11"/>
      <color rgb="FF467886"/>
      <name val="Arial"/>
      <family val="2"/>
    </font>
    <font>
      <sz val="11"/>
      <color rgb="FF0000FF"/>
      <name val="MS PGothic"/>
      <family val="3"/>
      <charset val="128"/>
    </font>
    <font>
      <sz val="11"/>
      <color rgb="FF980000"/>
      <name val="MS PGothic"/>
      <family val="3"/>
      <charset val="128"/>
    </font>
    <font>
      <sz val="10"/>
      <color theme="1"/>
      <name val="Aptos Narrow"/>
      <family val="2"/>
      <scheme val="minor"/>
    </font>
    <font>
      <u/>
      <sz val="11"/>
      <color rgb="FF0563C1"/>
      <name val="Aptos Narrow"/>
      <family val="2"/>
      <scheme val="minor"/>
    </font>
    <font>
      <sz val="11"/>
      <color rgb="FF000000"/>
      <name val="&quot;ＭＳ Ｐゴシック&quot;"/>
      <family val="3"/>
      <charset val="128"/>
    </font>
    <font>
      <sz val="11"/>
      <color theme="1"/>
      <name val="Calibri"/>
      <family val="2"/>
    </font>
    <font>
      <sz val="11"/>
      <color rgb="FF000000"/>
      <name val="&quot;Aptos Narrow&quot;"/>
    </font>
    <font>
      <sz val="11"/>
      <color rgb="FF000000"/>
      <name val="Docs-Calibri"/>
    </font>
    <font>
      <sz val="11"/>
      <color rgb="FF00B050"/>
      <name val="&quot;MS PGothic&quot;"/>
    </font>
    <font>
      <sz val="11"/>
      <color rgb="FF4EA72E"/>
      <name val="MS PGothic"/>
      <family val="3"/>
      <charset val="128"/>
    </font>
    <font>
      <sz val="9"/>
      <color rgb="FF4472C4"/>
      <name val="MS PGothic"/>
      <family val="3"/>
      <charset val="128"/>
    </font>
    <font>
      <sz val="10"/>
      <color theme="1"/>
      <name val="Arial"/>
      <family val="2"/>
    </font>
    <font>
      <sz val="11"/>
      <color theme="1"/>
      <name val="游ゴシック"/>
      <family val="3"/>
      <charset val="128"/>
    </font>
    <font>
      <b/>
      <sz val="11"/>
      <color theme="1"/>
      <name val="MS PGothic"/>
      <family val="3"/>
      <charset val="128"/>
    </font>
    <font>
      <u/>
      <sz val="10"/>
      <color rgb="FFFF0000"/>
      <name val="MS PGothic"/>
      <family val="3"/>
      <charset val="128"/>
    </font>
    <font>
      <sz val="10"/>
      <color rgb="FF000000"/>
      <name val="&quot;Google Sans Mono&quot;"/>
    </font>
    <font>
      <sz val="9"/>
      <color rgb="FFFF00FF"/>
      <name val="MS PGothic"/>
      <family val="3"/>
      <charset val="128"/>
    </font>
    <font>
      <sz val="15"/>
      <color theme="1"/>
      <name val="Aptos Narrow"/>
      <family val="2"/>
      <scheme val="minor"/>
    </font>
    <font>
      <sz val="15"/>
      <color rgb="FF000000"/>
      <name val="&quot;ＭＳ Ｐゴシック&quot;"/>
      <family val="3"/>
      <charset val="128"/>
    </font>
    <font>
      <u/>
      <sz val="15"/>
      <color rgb="FF000000"/>
      <name val="&quot;ＭＳ Ｐゴシック&quot;"/>
      <family val="3"/>
      <charset val="128"/>
    </font>
    <font>
      <sz val="11"/>
      <name val="Aptos Narrow"/>
      <family val="2"/>
    </font>
    <font>
      <sz val="15"/>
      <color rgb="FF000000"/>
      <name val="&quot;MS PGothic&quot;"/>
    </font>
    <font>
      <sz val="14"/>
      <color rgb="FF000000"/>
      <name val="&quot;ＭＳ Ｐゴシック&quot;"/>
      <family val="3"/>
      <charset val="128"/>
    </font>
    <font>
      <sz val="15"/>
      <color rgb="FFFF0000"/>
      <name val="&quot;ＭＳ Ｐゴシック&quot;"/>
      <family val="3"/>
      <charset val="128"/>
    </font>
    <font>
      <sz val="15"/>
      <color rgb="FF0070C0"/>
      <name val="&quot;ＭＳ Ｐゴシック&quot;"/>
      <family val="3"/>
      <charset val="128"/>
    </font>
    <font>
      <u/>
      <sz val="20"/>
      <color rgb="FFFF0000"/>
      <name val="&quot;ＭＳ Ｐゴシック&quot;"/>
      <family val="3"/>
      <charset val="128"/>
    </font>
    <font>
      <sz val="12"/>
      <color rgb="FF000000"/>
      <name val="&quot;ＭＳ Ｐゴシック&quot;"/>
      <family val="3"/>
      <charset val="128"/>
    </font>
    <font>
      <b/>
      <sz val="14"/>
      <color rgb="FF0070C0"/>
      <name val="&quot;ＭＳ Ｐゴシック&quot;"/>
      <family val="3"/>
      <charset val="128"/>
    </font>
    <font>
      <b/>
      <sz val="14"/>
      <color rgb="FFFF0000"/>
      <name val="&quot;ＭＳ Ｐゴシック&quot;"/>
      <family val="3"/>
      <charset val="128"/>
    </font>
    <font>
      <u/>
      <sz val="20"/>
      <color rgb="FF0070C0"/>
      <name val="&quot;ＭＳ Ｐゴシック&quot;"/>
      <family val="3"/>
      <charset val="128"/>
    </font>
    <font>
      <b/>
      <sz val="12"/>
      <color rgb="FF0070C0"/>
      <name val="&quot;ＭＳ Ｐゴシック&quot;"/>
      <family val="3"/>
      <charset val="128"/>
    </font>
    <font>
      <b/>
      <sz val="12"/>
      <color rgb="FFFF0000"/>
      <name val="&quot;ＭＳ Ｐゴシック&quot;"/>
      <family val="3"/>
      <charset val="128"/>
    </font>
    <font>
      <sz val="10"/>
      <color rgb="FFA02B93"/>
      <name val="MS PGothic"/>
      <family val="3"/>
      <charset val="128"/>
    </font>
    <font>
      <b/>
      <sz val="11"/>
      <color rgb="FFFF0000"/>
      <name val="MS PGothic"/>
      <family val="3"/>
      <charset val="128"/>
    </font>
    <font>
      <sz val="11"/>
      <color rgb="FFFF0000"/>
      <name val="Arial"/>
      <family val="2"/>
    </font>
    <font>
      <sz val="10"/>
      <color rgb="FFFF0000"/>
      <name val="Arial"/>
      <family val="2"/>
    </font>
    <font>
      <sz val="10"/>
      <color rgb="FF000000"/>
      <name val="Arial"/>
      <family val="2"/>
    </font>
    <font>
      <sz val="10"/>
      <color rgb="FF434343"/>
      <name val="Arial"/>
      <family val="2"/>
    </font>
    <font>
      <sz val="10"/>
      <color theme="0"/>
      <name val="Arial"/>
      <family val="2"/>
    </font>
    <font>
      <sz val="10"/>
      <color rgb="FF1F1F1F"/>
      <name val="Arial"/>
      <family val="2"/>
    </font>
    <font>
      <sz val="10"/>
      <color rgb="FF3C4043"/>
      <name val="Arial"/>
      <family val="2"/>
    </font>
    <font>
      <sz val="9"/>
      <color rgb="FF000000"/>
      <name val="&quot;Google Sans Mono&quot;"/>
    </font>
    <font>
      <sz val="11"/>
      <color rgb="FF1F1F1F"/>
      <name val="Arial"/>
      <family val="2"/>
    </font>
    <font>
      <sz val="9"/>
      <color theme="1"/>
      <name val="&quot;Google Sans Mono&quot;"/>
    </font>
    <font>
      <sz val="11"/>
      <color rgb="FFFF0000"/>
      <name val="Arial"/>
      <family val="2"/>
    </font>
    <font>
      <sz val="11"/>
      <color rgb="FF000000"/>
      <name val="Calibri"/>
      <family val="2"/>
    </font>
    <font>
      <sz val="11"/>
      <color rgb="FF000000"/>
      <name val="Aptos Narrow"/>
      <family val="2"/>
      <scheme val="minor"/>
    </font>
    <font>
      <sz val="11"/>
      <color theme="1"/>
      <name val="&quot;Google Sans Mono&quot;"/>
    </font>
    <font>
      <sz val="11"/>
      <color rgb="FF000000"/>
      <name val="&quot;Google Sans Mono&quot;"/>
    </font>
    <font>
      <sz val="11"/>
      <color rgb="FF434343"/>
      <name val="Aptos Narrow"/>
      <family val="2"/>
      <scheme val="minor"/>
    </font>
    <font>
      <sz val="11"/>
      <color rgb="FF434343"/>
      <name val="Arial"/>
      <family val="2"/>
    </font>
    <font>
      <sz val="11"/>
      <color rgb="FFFF0000"/>
      <name val="Aptos Narrow"/>
      <family val="2"/>
      <scheme val="minor"/>
    </font>
    <font>
      <sz val="23"/>
      <color theme="1"/>
      <name val="Arial"/>
      <family val="2"/>
    </font>
    <font>
      <sz val="36"/>
      <color theme="1"/>
      <name val="Arial"/>
      <family val="2"/>
    </font>
    <font>
      <sz val="11"/>
      <color rgb="FF000000"/>
      <name val="游ゴシック"/>
      <family val="3"/>
      <charset val="128"/>
    </font>
    <font>
      <b/>
      <sz val="11"/>
      <color theme="1"/>
      <name val="Arial"/>
      <family val="2"/>
    </font>
    <font>
      <sz val="11"/>
      <color rgb="FF000000"/>
      <name val="Roboto"/>
    </font>
    <font>
      <b/>
      <sz val="14"/>
      <color rgb="FF56585B"/>
      <name val="&quot;ＭＳ ゴシック&quot;"/>
      <family val="3"/>
      <charset val="128"/>
    </font>
    <font>
      <b/>
      <sz val="14"/>
      <color rgb="FF56585B"/>
      <name val="Calibri"/>
      <family val="2"/>
    </font>
    <font>
      <sz val="14"/>
      <color theme="1"/>
      <name val="Aptos Narrow"/>
      <family val="2"/>
      <scheme val="minor"/>
    </font>
    <font>
      <sz val="14"/>
      <color rgb="FF000000"/>
      <name val="Calibri"/>
      <family val="2"/>
    </font>
    <font>
      <sz val="14"/>
      <color rgb="FF000000"/>
      <name val="游ゴシック"/>
      <family val="3"/>
      <charset val="128"/>
    </font>
    <font>
      <sz val="14"/>
      <color theme="1"/>
      <name val="Arial"/>
      <family val="2"/>
    </font>
    <font>
      <sz val="7"/>
      <color rgb="FFFF0000"/>
      <name val="游ゴシック"/>
      <family val="3"/>
      <charset val="128"/>
    </font>
    <font>
      <sz val="6"/>
      <color rgb="FFFF0000"/>
      <name val="游ゴシック"/>
      <family val="3"/>
      <charset val="128"/>
    </font>
    <font>
      <sz val="11"/>
      <color rgb="FFFF0000"/>
      <name val="游ゴシック"/>
      <family val="3"/>
      <charset val="128"/>
    </font>
    <font>
      <b/>
      <sz val="16"/>
      <color rgb="FF000000"/>
      <name val="游ゴシック"/>
      <family val="3"/>
      <charset val="128"/>
    </font>
    <font>
      <b/>
      <sz val="11"/>
      <color rgb="FF000000"/>
      <name val="游ゴシック"/>
      <family val="3"/>
      <charset val="128"/>
    </font>
    <font>
      <sz val="16"/>
      <color rgb="FF000000"/>
      <name val="游ゴシック"/>
      <family val="3"/>
      <charset val="128"/>
    </font>
    <font>
      <sz val="12"/>
      <color rgb="FF000000"/>
      <name val="游ゴシック"/>
      <family val="3"/>
      <charset val="128"/>
    </font>
    <font>
      <sz val="12"/>
      <color rgb="FFFF0000"/>
      <name val="游ゴシック"/>
      <family val="3"/>
      <charset val="128"/>
    </font>
    <font>
      <sz val="11"/>
      <color rgb="FF1A1A1A"/>
      <name val="&quot;ヒラギノ角ゴ ProN W3&quot;"/>
      <family val="3"/>
      <charset val="128"/>
    </font>
    <font>
      <b/>
      <sz val="36"/>
      <color rgb="FF000000"/>
      <name val="游ゴシック"/>
      <family val="3"/>
      <charset val="128"/>
    </font>
    <font>
      <sz val="22"/>
      <color rgb="FF000000"/>
      <name val="游ゴシック"/>
      <family val="3"/>
      <charset val="128"/>
    </font>
    <font>
      <b/>
      <sz val="24"/>
      <color rgb="FF000000"/>
      <name val="游ゴシック"/>
      <family val="3"/>
      <charset val="128"/>
    </font>
    <font>
      <b/>
      <sz val="24"/>
      <color rgb="FFFF0000"/>
      <name val="游ゴシック"/>
      <family val="3"/>
      <charset val="128"/>
    </font>
    <font>
      <b/>
      <sz val="26"/>
      <color rgb="FF000000"/>
      <name val="游ゴシック"/>
      <family val="3"/>
      <charset val="128"/>
    </font>
    <font>
      <b/>
      <sz val="24"/>
      <color rgb="FF0070C0"/>
      <name val="游ゴシック"/>
      <family val="3"/>
      <charset val="128"/>
    </font>
    <font>
      <b/>
      <sz val="22"/>
      <color rgb="FFFF0000"/>
      <name val="游ゴシック"/>
      <family val="3"/>
      <charset val="128"/>
    </font>
    <font>
      <b/>
      <sz val="22"/>
      <color rgb="FF0070C0"/>
      <name val="游ゴシック"/>
      <family val="3"/>
      <charset val="128"/>
    </font>
    <font>
      <b/>
      <sz val="22"/>
      <color rgb="FF000000"/>
      <name val="游ゴシック"/>
      <family val="3"/>
      <charset val="128"/>
    </font>
    <font>
      <b/>
      <sz val="22"/>
      <color theme="1"/>
      <name val="游ゴシック"/>
      <family val="3"/>
      <charset val="128"/>
    </font>
    <font>
      <sz val="7"/>
      <color rgb="FF000000"/>
      <name val="MS PGothic"/>
      <family val="3"/>
      <charset val="128"/>
    </font>
    <font>
      <sz val="13"/>
      <color rgb="FF000000"/>
      <name val="MS PGothic"/>
      <family val="3"/>
      <charset val="128"/>
    </font>
    <font>
      <sz val="12"/>
      <color rgb="FF000000"/>
      <name val="MS PGothic"/>
      <family val="3"/>
      <charset val="128"/>
    </font>
    <font>
      <sz val="10"/>
      <color rgb="FF0000FF"/>
      <name val="Arial"/>
      <family val="2"/>
    </font>
    <font>
      <b/>
      <sz val="10"/>
      <color rgb="FFFF0000"/>
      <name val="Arial"/>
      <family val="2"/>
    </font>
    <font>
      <strike/>
      <sz val="11"/>
      <color rgb="FFFF0000"/>
      <name val="Arial"/>
      <family val="2"/>
    </font>
    <font>
      <sz val="9"/>
      <color rgb="FF1F1F1F"/>
      <name val="Aptos Narrow"/>
      <family val="2"/>
      <scheme val="minor"/>
    </font>
    <font>
      <sz val="6"/>
      <name val="Aptos Narrow"/>
      <family val="3"/>
      <charset val="128"/>
      <scheme val="minor"/>
    </font>
  </fonts>
  <fills count="37">
    <fill>
      <patternFill patternType="none"/>
    </fill>
    <fill>
      <patternFill patternType="gray125"/>
    </fill>
    <fill>
      <patternFill patternType="solid">
        <fgColor rgb="FFC9DAF8"/>
        <bgColor rgb="FFC9DAF8"/>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B7B7B7"/>
        <bgColor rgb="FFB7B7B7"/>
      </patternFill>
    </fill>
    <fill>
      <patternFill patternType="solid">
        <fgColor rgb="FFFF9900"/>
        <bgColor rgb="FFFF9900"/>
      </patternFill>
    </fill>
    <fill>
      <patternFill patternType="solid">
        <fgColor rgb="FF00FF00"/>
        <bgColor rgb="FF00FF00"/>
      </patternFill>
    </fill>
    <fill>
      <patternFill patternType="solid">
        <fgColor rgb="FF00FFFF"/>
        <bgColor rgb="FF00FFFF"/>
      </patternFill>
    </fill>
    <fill>
      <patternFill patternType="solid">
        <fgColor rgb="FFCCCCCC"/>
        <bgColor rgb="FFCCCCCC"/>
      </patternFill>
    </fill>
    <fill>
      <patternFill patternType="solid">
        <fgColor rgb="FFF9CB9C"/>
        <bgColor rgb="FFF9CB9C"/>
      </patternFill>
    </fill>
    <fill>
      <patternFill patternType="solid">
        <fgColor rgb="FFD5A6BD"/>
        <bgColor rgb="FFD5A6BD"/>
      </patternFill>
    </fill>
    <fill>
      <patternFill patternType="solid">
        <fgColor rgb="FFD8D8D8"/>
        <bgColor rgb="FFD8D8D8"/>
      </patternFill>
    </fill>
    <fill>
      <patternFill patternType="solid">
        <fgColor rgb="FF999999"/>
        <bgColor rgb="FF999999"/>
      </patternFill>
    </fill>
    <fill>
      <patternFill patternType="solid">
        <fgColor rgb="FFA4C2F4"/>
        <bgColor rgb="FFA4C2F4"/>
      </patternFill>
    </fill>
    <fill>
      <patternFill patternType="solid">
        <fgColor rgb="FFFFE599"/>
        <bgColor rgb="FFFFE599"/>
      </patternFill>
    </fill>
    <fill>
      <patternFill patternType="solid">
        <fgColor rgb="FFD9D9D9"/>
        <bgColor rgb="FFD9D9D9"/>
      </patternFill>
    </fill>
    <fill>
      <patternFill patternType="solid">
        <fgColor rgb="FFEAD1DC"/>
        <bgColor rgb="FFEAD1DC"/>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666666"/>
        <bgColor rgb="FF666666"/>
      </patternFill>
    </fill>
    <fill>
      <patternFill patternType="solid">
        <fgColor rgb="FFFCE5CD"/>
        <bgColor rgb="FFFCE5CD"/>
      </patternFill>
    </fill>
    <fill>
      <patternFill patternType="solid">
        <fgColor rgb="FFE9E8E5"/>
        <bgColor rgb="FFE9E8E5"/>
      </patternFill>
    </fill>
    <fill>
      <patternFill patternType="solid">
        <fgColor rgb="FFD9F2D0"/>
        <bgColor rgb="FFD9F2D0"/>
      </patternFill>
    </fill>
    <fill>
      <patternFill patternType="solid">
        <fgColor rgb="FFFAE2D5"/>
        <bgColor rgb="FFFAE2D5"/>
      </patternFill>
    </fill>
    <fill>
      <patternFill patternType="solid">
        <fgColor rgb="FFCAEDFB"/>
        <bgColor rgb="FFCAEDFB"/>
      </patternFill>
    </fill>
    <fill>
      <patternFill patternType="solid">
        <fgColor rgb="FFD9EAD3"/>
        <bgColor rgb="FFD9EAD3"/>
      </patternFill>
    </fill>
    <fill>
      <patternFill patternType="solid">
        <fgColor rgb="FFB3E5A1"/>
        <bgColor rgb="FFB3E5A1"/>
      </patternFill>
    </fill>
    <fill>
      <patternFill patternType="solid">
        <fgColor rgb="FFF6C6AC"/>
        <bgColor rgb="FFF6C6AC"/>
      </patternFill>
    </fill>
    <fill>
      <patternFill patternType="solid">
        <fgColor rgb="FF95DCF7"/>
        <bgColor rgb="FF95DCF7"/>
      </patternFill>
    </fill>
    <fill>
      <patternFill patternType="solid">
        <fgColor rgb="FF93C47D"/>
        <bgColor rgb="FF93C47D"/>
      </patternFill>
    </fill>
    <fill>
      <patternFill patternType="solid">
        <fgColor rgb="FFF8CBAD"/>
        <bgColor rgb="FFF8CBAD"/>
      </patternFill>
    </fill>
    <fill>
      <patternFill patternType="solid">
        <fgColor rgb="FFB6D7A8"/>
        <bgColor rgb="FFB6D7A8"/>
      </patternFill>
    </fill>
  </fills>
  <borders count="14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hair">
        <color rgb="FF000000"/>
      </bottom>
      <diagonal/>
    </border>
    <border>
      <left style="hair">
        <color rgb="FF000000"/>
      </left>
      <right style="hair">
        <color rgb="FF000000"/>
      </right>
      <top/>
      <bottom style="hair">
        <color rgb="FF000000"/>
      </bottom>
      <diagonal/>
    </border>
    <border>
      <left/>
      <right style="medium">
        <color rgb="FF000000"/>
      </right>
      <top/>
      <bottom/>
      <diagonal/>
    </border>
    <border>
      <left style="medium">
        <color rgb="FF000000"/>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medium">
        <color rgb="FF000000"/>
      </left>
      <right/>
      <top style="hair">
        <color rgb="FF000000"/>
      </top>
      <bottom/>
      <diagonal/>
    </border>
    <border>
      <left style="hair">
        <color rgb="FF000000"/>
      </left>
      <right style="hair">
        <color rgb="FF000000"/>
      </right>
      <top style="hair">
        <color rgb="FF000000"/>
      </top>
      <bottom/>
      <diagonal/>
    </border>
    <border>
      <left style="medium">
        <color rgb="FF000000"/>
      </left>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dotted">
        <color rgb="FF000000"/>
      </top>
      <bottom style="dotted">
        <color rgb="FF000000"/>
      </bottom>
      <diagonal/>
    </border>
    <border>
      <left style="hair">
        <color rgb="FF000000"/>
      </left>
      <right style="hair">
        <color rgb="FF000000"/>
      </right>
      <top style="dotted">
        <color rgb="FF000000"/>
      </top>
      <bottom style="dotted">
        <color rgb="FF000000"/>
      </bottom>
      <diagonal/>
    </border>
    <border>
      <left style="medium">
        <color rgb="FF000000"/>
      </left>
      <right/>
      <top/>
      <bottom/>
      <diagonal/>
    </border>
    <border>
      <left style="hair">
        <color rgb="FF000000"/>
      </left>
      <right style="hair">
        <color rgb="FF000000"/>
      </right>
      <top/>
      <bottom/>
      <diagonal/>
    </border>
    <border>
      <left style="medium">
        <color rgb="FF000000"/>
      </left>
      <right/>
      <top style="medium">
        <color rgb="FF000000"/>
      </top>
      <bottom style="dotted">
        <color rgb="FF000000"/>
      </bottom>
      <diagonal/>
    </border>
    <border>
      <left style="hair">
        <color rgb="FF000000"/>
      </left>
      <right style="hair">
        <color rgb="FF000000"/>
      </right>
      <top style="medium">
        <color rgb="FF000000"/>
      </top>
      <bottom style="dotted">
        <color rgb="FF000000"/>
      </bottom>
      <diagonal/>
    </border>
    <border>
      <left style="medium">
        <color rgb="FF000000"/>
      </left>
      <right/>
      <top/>
      <bottom style="medium">
        <color rgb="FF000000"/>
      </bottom>
      <diagonal/>
    </border>
    <border>
      <left style="hair">
        <color rgb="FF000000"/>
      </left>
      <right style="hair">
        <color rgb="FF000000"/>
      </right>
      <top/>
      <bottom style="medium">
        <color rgb="FF000000"/>
      </bottom>
      <diagonal/>
    </border>
    <border>
      <left style="dotted">
        <color rgb="FF000000"/>
      </left>
      <right/>
      <top/>
      <bottom style="medium">
        <color rgb="FF000000"/>
      </bottom>
      <diagonal/>
    </border>
    <border>
      <left style="medium">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right style="hair">
        <color rgb="FF000000"/>
      </right>
      <top style="medium">
        <color rgb="FF000000"/>
      </top>
      <bottom style="medium">
        <color rgb="FF000000"/>
      </bottom>
      <diagonal/>
    </border>
    <border>
      <left/>
      <right style="hair">
        <color rgb="FF000000"/>
      </right>
      <top style="medium">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diagonal/>
    </border>
    <border>
      <left/>
      <right style="hair">
        <color rgb="FF000000"/>
      </right>
      <top style="hair">
        <color rgb="FF000000"/>
      </top>
      <bottom style="medium">
        <color rgb="FF000000"/>
      </bottom>
      <diagonal/>
    </border>
    <border>
      <left/>
      <right style="hair">
        <color rgb="FF000000"/>
      </right>
      <top/>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right style="hair">
        <color rgb="FF000000"/>
      </right>
      <top/>
      <bottom style="hair">
        <color rgb="FF000000"/>
      </bottom>
      <diagonal/>
    </border>
    <border>
      <left style="medium">
        <color rgb="FF000000"/>
      </left>
      <right/>
      <top/>
      <bottom style="dotted">
        <color rgb="FF000000"/>
      </bottom>
      <diagonal/>
    </border>
    <border>
      <left/>
      <right style="hair">
        <color rgb="FF000000"/>
      </right>
      <top/>
      <bottom style="medium">
        <color rgb="FF000000"/>
      </bottom>
      <diagonal/>
    </border>
    <border>
      <left style="hair">
        <color rgb="FF000000"/>
      </left>
      <right/>
      <top/>
      <bottom/>
      <diagonal/>
    </border>
    <border>
      <left style="thick">
        <color rgb="FF000000"/>
      </left>
      <right/>
      <top style="thick">
        <color rgb="FF000000"/>
      </top>
      <bottom/>
      <diagonal/>
    </border>
    <border>
      <left/>
      <right style="thick">
        <color rgb="FF000000"/>
      </right>
      <top style="thick">
        <color rgb="FF000000"/>
      </top>
      <bottom/>
      <diagonal/>
    </border>
    <border>
      <left style="hair">
        <color rgb="FF000000"/>
      </left>
      <right style="hair">
        <color rgb="FF000000"/>
      </right>
      <top style="thick">
        <color rgb="FF000000"/>
      </top>
      <bottom/>
      <diagonal/>
    </border>
    <border>
      <left/>
      <right style="hair">
        <color rgb="FF000000"/>
      </right>
      <top style="thick">
        <color rgb="FF000000"/>
      </top>
      <bottom/>
      <diagonal/>
    </border>
    <border>
      <left style="thick">
        <color rgb="FF000000"/>
      </left>
      <right/>
      <top/>
      <bottom/>
      <diagonal/>
    </border>
    <border>
      <left/>
      <right style="thick">
        <color rgb="FF000000"/>
      </right>
      <top/>
      <bottom/>
      <diagonal/>
    </border>
    <border>
      <left style="hair">
        <color rgb="FF000000"/>
      </left>
      <right style="hair">
        <color rgb="FF000000"/>
      </right>
      <top style="thick">
        <color rgb="FF000000"/>
      </top>
      <bottom style="hair">
        <color rgb="FF000000"/>
      </bottom>
      <diagonal/>
    </border>
    <border>
      <left/>
      <right style="hair">
        <color rgb="FF000000"/>
      </right>
      <top style="thick">
        <color rgb="FF000000"/>
      </top>
      <bottom style="hair">
        <color rgb="FF000000"/>
      </bottom>
      <diagonal/>
    </border>
    <border>
      <left style="thick">
        <color rgb="FF000000"/>
      </left>
      <right style="hair">
        <color rgb="FF000000"/>
      </right>
      <top style="hair">
        <color rgb="FF000000"/>
      </top>
      <bottom style="hair">
        <color rgb="FF000000"/>
      </bottom>
      <diagonal/>
    </border>
    <border>
      <left style="thick">
        <color rgb="FF000000"/>
      </left>
      <right/>
      <top/>
      <bottom style="hair">
        <color rgb="FF000000"/>
      </bottom>
      <diagonal/>
    </border>
    <border>
      <left/>
      <right style="thick">
        <color rgb="FF000000"/>
      </right>
      <top/>
      <bottom style="hair">
        <color rgb="FF000000"/>
      </bottom>
      <diagonal/>
    </border>
    <border>
      <left style="thick">
        <color rgb="FF000000"/>
      </left>
      <right/>
      <top style="hair">
        <color rgb="FF000000"/>
      </top>
      <bottom style="hair">
        <color rgb="FF000000"/>
      </bottom>
      <diagonal/>
    </border>
    <border>
      <left/>
      <right style="thick">
        <color rgb="FF000000"/>
      </right>
      <top style="hair">
        <color rgb="FF000000"/>
      </top>
      <bottom style="hair">
        <color rgb="FF000000"/>
      </bottom>
      <diagonal/>
    </border>
    <border>
      <left style="thick">
        <color rgb="FF000000"/>
      </left>
      <right/>
      <top style="hair">
        <color rgb="FF000000"/>
      </top>
      <bottom/>
      <diagonal/>
    </border>
    <border>
      <left/>
      <right style="thick">
        <color rgb="FF000000"/>
      </right>
      <top style="hair">
        <color rgb="FF000000"/>
      </top>
      <bottom/>
      <diagonal/>
    </border>
    <border>
      <left/>
      <right/>
      <top style="thick">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hair">
        <color rgb="FF000000"/>
      </left>
      <right style="hair">
        <color rgb="FF000000"/>
      </right>
      <top style="hair">
        <color rgb="FF000000"/>
      </top>
      <bottom style="thick">
        <color rgb="FF000000"/>
      </bottom>
      <diagonal/>
    </border>
    <border>
      <left/>
      <right style="hair">
        <color rgb="FF000000"/>
      </right>
      <top style="hair">
        <color rgb="FF000000"/>
      </top>
      <bottom style="thick">
        <color rgb="FF000000"/>
      </bottom>
      <diagonal/>
    </border>
    <border>
      <left/>
      <right/>
      <top/>
      <bottom style="hair">
        <color rgb="FF000000"/>
      </bottom>
      <diagonal/>
    </border>
    <border>
      <left/>
      <right/>
      <top style="hair">
        <color rgb="FF000000"/>
      </top>
      <bottom style="hair">
        <color rgb="FF000000"/>
      </bottom>
      <diagonal/>
    </border>
    <border>
      <left style="thin">
        <color rgb="FF000000"/>
      </left>
      <right style="thick">
        <color rgb="FF000000"/>
      </right>
      <top style="hair">
        <color rgb="FF000000"/>
      </top>
      <bottom style="hair">
        <color rgb="FF000000"/>
      </bottom>
      <diagonal/>
    </border>
    <border>
      <left/>
      <right/>
      <top style="hair">
        <color rgb="FF000000"/>
      </top>
      <bottom style="thick">
        <color rgb="FF000000"/>
      </bottom>
      <diagonal/>
    </border>
    <border>
      <left style="thin">
        <color rgb="FF000000"/>
      </left>
      <right style="thick">
        <color rgb="FF000000"/>
      </right>
      <top style="hair">
        <color rgb="FF000000"/>
      </top>
      <bottom style="thick">
        <color rgb="FF000000"/>
      </bottom>
      <diagonal/>
    </border>
    <border>
      <left style="thick">
        <color rgb="FF000000"/>
      </left>
      <right style="thick">
        <color rgb="FF000000"/>
      </right>
      <top/>
      <bottom style="thick">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style="thick">
        <color rgb="FF000000"/>
      </right>
      <top style="hair">
        <color rgb="FF000000"/>
      </top>
      <bottom style="hair">
        <color rgb="FF000000"/>
      </bottom>
      <diagonal/>
    </border>
    <border>
      <left style="hair">
        <color rgb="FF000000"/>
      </left>
      <right style="thick">
        <color rgb="FF000000"/>
      </right>
      <top style="hair">
        <color rgb="FF000000"/>
      </top>
      <bottom style="thick">
        <color rgb="FF000000"/>
      </bottom>
      <diagonal/>
    </border>
    <border>
      <left style="thin">
        <color rgb="FF000000"/>
      </left>
      <right style="thick">
        <color rgb="FF000000"/>
      </right>
      <top style="hair">
        <color rgb="FF000000"/>
      </top>
      <bottom/>
      <diagonal/>
    </border>
    <border>
      <left style="thin">
        <color rgb="FF000000"/>
      </left>
      <right style="thick">
        <color rgb="FF000000"/>
      </right>
      <top/>
      <bottom style="hair">
        <color rgb="FF000000"/>
      </bottom>
      <diagonal/>
    </border>
    <border>
      <left style="thick">
        <color rgb="FF000000"/>
      </left>
      <right/>
      <top style="hair">
        <color rgb="FF000000"/>
      </top>
      <bottom style="thick">
        <color rgb="FF000000"/>
      </bottom>
      <diagonal/>
    </border>
    <border>
      <left style="thick">
        <color rgb="FF000000"/>
      </left>
      <right style="hair">
        <color rgb="FF000000"/>
      </right>
      <top style="thick">
        <color rgb="FF000000"/>
      </top>
      <bottom/>
      <diagonal/>
    </border>
    <border>
      <left style="hair">
        <color rgb="FF000000"/>
      </left>
      <right style="thick">
        <color rgb="FF000000"/>
      </right>
      <top style="thick">
        <color rgb="FF000000"/>
      </top>
      <bottom/>
      <diagonal/>
    </border>
    <border>
      <left style="thick">
        <color rgb="FF000000"/>
      </left>
      <right style="hair">
        <color rgb="FF000000"/>
      </right>
      <top/>
      <bottom style="hair">
        <color rgb="FF000000"/>
      </bottom>
      <diagonal/>
    </border>
    <border>
      <left style="hair">
        <color rgb="FF000000"/>
      </left>
      <right style="thick">
        <color rgb="FF000000"/>
      </right>
      <top/>
      <bottom style="hair">
        <color rgb="FF000000"/>
      </bottom>
      <diagonal/>
    </border>
    <border>
      <left style="thick">
        <color rgb="FF000000"/>
      </left>
      <right style="hair">
        <color rgb="FF000000"/>
      </right>
      <top style="hair">
        <color rgb="FF000000"/>
      </top>
      <bottom/>
      <diagonal/>
    </border>
    <border>
      <left style="hair">
        <color rgb="FF000000"/>
      </left>
      <right style="thick">
        <color rgb="FF000000"/>
      </right>
      <top style="hair">
        <color rgb="FF000000"/>
      </top>
      <bottom/>
      <diagonal/>
    </border>
    <border>
      <left style="thick">
        <color rgb="FF000000"/>
      </left>
      <right style="hair">
        <color rgb="FF000000"/>
      </right>
      <top/>
      <bottom/>
      <diagonal/>
    </border>
    <border>
      <left style="hair">
        <color rgb="FF000000"/>
      </left>
      <right style="thick">
        <color rgb="FF000000"/>
      </right>
      <top/>
      <bottom/>
      <diagonal/>
    </border>
    <border>
      <left style="thick">
        <color rgb="FF000000"/>
      </left>
      <right style="hair">
        <color rgb="FF000000"/>
      </right>
      <top/>
      <bottom style="thick">
        <color rgb="FF000000"/>
      </bottom>
      <diagonal/>
    </border>
    <border>
      <left style="hair">
        <color rgb="FF000000"/>
      </left>
      <right style="thick">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D5D3D1"/>
      </left>
      <right style="thin">
        <color rgb="FFD5D3D1"/>
      </right>
      <top style="thin">
        <color rgb="FFD5D3D1"/>
      </top>
      <bottom style="thin">
        <color rgb="FFD5D3D1"/>
      </bottom>
      <diagonal/>
    </border>
    <border>
      <left/>
      <right style="thin">
        <color rgb="FFD5D3D1"/>
      </right>
      <top style="thin">
        <color rgb="FFD5D3D1"/>
      </top>
      <bottom style="thin">
        <color rgb="FFD5D3D1"/>
      </bottom>
      <diagonal/>
    </border>
    <border>
      <left style="thin">
        <color rgb="FFD5D3D1"/>
      </left>
      <right style="thin">
        <color rgb="FFD5D3D1"/>
      </right>
      <top/>
      <bottom style="thin">
        <color rgb="FFD5D3D1"/>
      </bottom>
      <diagonal/>
    </border>
    <border>
      <left/>
      <right style="thin">
        <color rgb="FFD5D3D1"/>
      </right>
      <top/>
      <bottom style="thin">
        <color rgb="FFD5D3D1"/>
      </bottom>
      <diagonal/>
    </border>
    <border>
      <left/>
      <right style="thin">
        <color rgb="FF000000"/>
      </right>
      <top style="hair">
        <color rgb="FF000000"/>
      </top>
      <bottom style="thin">
        <color rgb="FF000000"/>
      </bottom>
      <diagonal/>
    </border>
    <border>
      <left/>
      <right style="thin">
        <color rgb="FF000000"/>
      </right>
      <top/>
      <bottom style="hair">
        <color rgb="FF000000"/>
      </bottom>
      <diagonal/>
    </border>
    <border>
      <left/>
      <right style="thin">
        <color rgb="FF000000"/>
      </right>
      <top style="hair">
        <color rgb="FF000000"/>
      </top>
      <bottom/>
      <diagonal/>
    </border>
    <border>
      <left style="medium">
        <color rgb="FF000000"/>
      </left>
      <right/>
      <top/>
      <bottom style="thick">
        <color rgb="FF000000"/>
      </bottom>
      <diagonal/>
    </border>
    <border>
      <left/>
      <right style="medium">
        <color rgb="FF000000"/>
      </right>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ck">
        <color rgb="FF000000"/>
      </top>
      <bottom style="thin">
        <color rgb="FF000000"/>
      </bottom>
      <diagonal/>
    </border>
    <border>
      <left style="thin">
        <color rgb="FF000000"/>
      </left>
      <right style="medium">
        <color rgb="FF000000"/>
      </right>
      <top style="thick">
        <color rgb="FF000000"/>
      </top>
      <bottom style="thin">
        <color rgb="FF000000"/>
      </bottom>
      <diagonal/>
    </border>
    <border>
      <left style="medium">
        <color rgb="FF000000"/>
      </left>
      <right style="thin">
        <color rgb="FF000000"/>
      </right>
      <top style="thin">
        <color rgb="FF000000"/>
      </top>
      <bottom style="thick">
        <color rgb="FF000000"/>
      </bottom>
      <diagonal/>
    </border>
    <border>
      <left style="thin">
        <color rgb="FF000000"/>
      </left>
      <right style="medium">
        <color rgb="FF000000"/>
      </right>
      <top style="thin">
        <color rgb="FF000000"/>
      </top>
      <bottom style="thick">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754">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vertical="center" shrinkToFit="1"/>
    </xf>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3" fontId="1" fillId="2" borderId="1" xfId="0" applyNumberFormat="1" applyFont="1" applyFill="1" applyBorder="1" applyAlignment="1">
      <alignment horizontal="center" vertical="center"/>
    </xf>
    <xf numFmtId="0" fontId="1" fillId="2" borderId="1" xfId="0" applyFont="1" applyFill="1" applyBorder="1" applyAlignment="1">
      <alignment horizontal="righ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6" fillId="3" borderId="1" xfId="0" applyFont="1" applyFill="1" applyBorder="1" applyAlignment="1">
      <alignment horizontal="center" vertical="center" shrinkToFit="1"/>
    </xf>
    <xf numFmtId="0" fontId="7" fillId="3" borderId="1" xfId="0" applyFont="1" applyFill="1" applyBorder="1" applyAlignment="1">
      <alignment horizontal="center" vertical="center" shrinkToFit="1"/>
    </xf>
    <xf numFmtId="49" fontId="1" fillId="3" borderId="1" xfId="0" applyNumberFormat="1" applyFont="1" applyFill="1" applyBorder="1" applyAlignment="1">
      <alignment horizontal="center" vertical="center"/>
    </xf>
    <xf numFmtId="0" fontId="8" fillId="0" borderId="1" xfId="0" applyFont="1" applyBorder="1" applyAlignment="1">
      <alignment horizontal="left" vertical="center"/>
    </xf>
    <xf numFmtId="0" fontId="9" fillId="3" borderId="1" xfId="0" applyFont="1" applyFill="1" applyBorder="1" applyAlignment="1">
      <alignment horizontal="left" vertical="center"/>
    </xf>
    <xf numFmtId="0" fontId="1" fillId="3" borderId="1" xfId="0" applyFont="1" applyFill="1" applyBorder="1" applyAlignment="1">
      <alignment horizontal="left" vertical="center" shrinkToFit="1"/>
    </xf>
    <xf numFmtId="0" fontId="10" fillId="3" borderId="1" xfId="0" applyFont="1" applyFill="1" applyBorder="1" applyAlignment="1">
      <alignment horizontal="left" vertical="center"/>
    </xf>
    <xf numFmtId="176" fontId="1" fillId="3" borderId="1" xfId="0" applyNumberFormat="1" applyFont="1" applyFill="1" applyBorder="1" applyAlignment="1">
      <alignment horizontal="center" vertical="center"/>
    </xf>
    <xf numFmtId="31" fontId="1"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1" fillId="3" borderId="1" xfId="0" applyFont="1" applyFill="1" applyBorder="1" applyAlignment="1">
      <alignment horizontal="left" vertical="center"/>
    </xf>
    <xf numFmtId="0" fontId="7" fillId="3" borderId="1" xfId="0" applyFont="1" applyFill="1" applyBorder="1" applyAlignment="1">
      <alignment vertical="center" shrinkToFit="1"/>
    </xf>
    <xf numFmtId="0" fontId="1" fillId="3" borderId="1" xfId="0" applyFont="1" applyFill="1" applyBorder="1" applyAlignment="1">
      <alignment horizontal="left" vertical="center" wrapText="1"/>
    </xf>
    <xf numFmtId="0" fontId="1" fillId="3" borderId="1" xfId="0" applyFont="1" applyFill="1" applyBorder="1" applyAlignment="1">
      <alignment horizontal="right" vertical="center"/>
    </xf>
    <xf numFmtId="176" fontId="1" fillId="3" borderId="1" xfId="0" applyNumberFormat="1" applyFont="1" applyFill="1" applyBorder="1" applyAlignment="1">
      <alignment horizontal="right" vertical="center" shrinkToFit="1"/>
    </xf>
    <xf numFmtId="0" fontId="7"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7" fillId="3" borderId="0" xfId="0" applyFont="1" applyFill="1" applyAlignment="1">
      <alignment vertical="center" shrinkToFit="1"/>
    </xf>
    <xf numFmtId="0" fontId="7" fillId="3" borderId="1" xfId="0" applyFont="1" applyFill="1" applyBorder="1" applyAlignment="1">
      <alignment vertical="center"/>
    </xf>
    <xf numFmtId="176" fontId="1" fillId="3" borderId="1" xfId="0" applyNumberFormat="1" applyFont="1" applyFill="1" applyBorder="1" applyAlignment="1">
      <alignment horizontal="right" vertical="center"/>
    </xf>
    <xf numFmtId="0" fontId="11" fillId="4" borderId="1" xfId="0" applyFont="1" applyFill="1" applyBorder="1" applyAlignment="1">
      <alignment horizontal="left" vertical="center" wrapText="1"/>
    </xf>
    <xf numFmtId="0" fontId="12" fillId="3" borderId="1" xfId="0" applyFont="1" applyFill="1" applyBorder="1" applyAlignment="1">
      <alignment horizontal="center" vertical="center" shrinkToFit="1"/>
    </xf>
    <xf numFmtId="0" fontId="1" fillId="3" borderId="1" xfId="0" applyFont="1" applyFill="1" applyBorder="1" applyAlignment="1">
      <alignment horizontal="center" vertical="center" shrinkToFit="1"/>
    </xf>
    <xf numFmtId="0" fontId="2" fillId="0" borderId="1" xfId="0" applyFont="1" applyBorder="1" applyAlignment="1">
      <alignment horizontal="left" vertical="center"/>
    </xf>
    <xf numFmtId="0" fontId="1" fillId="5" borderId="1" xfId="0" applyFont="1" applyFill="1" applyBorder="1" applyAlignment="1">
      <alignment horizontal="left" vertical="center"/>
    </xf>
    <xf numFmtId="176" fontId="13" fillId="5"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4" fillId="0" borderId="1" xfId="0" applyFont="1" applyBorder="1" applyAlignment="1">
      <alignment horizontal="right" vertical="center"/>
    </xf>
    <xf numFmtId="176" fontId="1" fillId="0" borderId="1" xfId="0" applyNumberFormat="1" applyFont="1" applyBorder="1" applyAlignment="1">
      <alignment horizontal="right" vertical="center" shrinkToFit="1"/>
    </xf>
    <xf numFmtId="0" fontId="1" fillId="0" borderId="1" xfId="0" quotePrefix="1" applyFont="1" applyBorder="1" applyAlignment="1">
      <alignment horizontal="center" vertical="center"/>
    </xf>
    <xf numFmtId="0" fontId="1" fillId="0" borderId="1" xfId="0" applyFont="1" applyBorder="1" applyAlignment="1">
      <alignment horizontal="right" vertical="center"/>
    </xf>
    <xf numFmtId="176" fontId="11" fillId="5" borderId="1" xfId="0" applyNumberFormat="1" applyFont="1" applyFill="1" applyBorder="1" applyAlignment="1">
      <alignment horizontal="right" vertical="center" shrinkToFit="1"/>
    </xf>
    <xf numFmtId="3" fontId="1" fillId="3" borderId="1" xfId="0" applyNumberFormat="1" applyFont="1" applyFill="1" applyBorder="1" applyAlignment="1">
      <alignment vertical="center" shrinkToFit="1"/>
    </xf>
    <xf numFmtId="0" fontId="11" fillId="0" borderId="1" xfId="0" applyFont="1" applyBorder="1" applyAlignment="1">
      <alignment horizontal="left" vertical="center"/>
    </xf>
    <xf numFmtId="14" fontId="1" fillId="3" borderId="1" xfId="0" applyNumberFormat="1" applyFont="1" applyFill="1" applyBorder="1" applyAlignment="1">
      <alignment horizontal="left" vertical="center" wrapText="1"/>
    </xf>
    <xf numFmtId="0" fontId="15" fillId="3" borderId="1" xfId="0" applyFont="1" applyFill="1" applyBorder="1" applyAlignment="1">
      <alignment horizontal="center" vertical="center" shrinkToFit="1"/>
    </xf>
    <xf numFmtId="0" fontId="1" fillId="4" borderId="1" xfId="0" applyFont="1" applyFill="1" applyBorder="1" applyAlignment="1">
      <alignment horizontal="left" vertical="center" wrapText="1"/>
    </xf>
    <xf numFmtId="0" fontId="7" fillId="3" borderId="0" xfId="0" applyFont="1" applyFill="1" applyAlignment="1">
      <alignment vertical="center"/>
    </xf>
    <xf numFmtId="0" fontId="16" fillId="3" borderId="1" xfId="0" applyFont="1" applyFill="1" applyBorder="1" applyAlignment="1">
      <alignment horizontal="center" vertical="center" wrapText="1"/>
    </xf>
    <xf numFmtId="0" fontId="1" fillId="0" borderId="0" xfId="0" applyFont="1" applyAlignment="1">
      <alignment horizontal="left" vertical="center" shrinkToFit="1"/>
    </xf>
    <xf numFmtId="0" fontId="17" fillId="3" borderId="1" xfId="0" applyFont="1" applyFill="1" applyBorder="1" applyAlignment="1">
      <alignment horizontal="center" vertical="center" shrinkToFit="1"/>
    </xf>
    <xf numFmtId="3" fontId="4" fillId="0" borderId="1" xfId="0" applyNumberFormat="1" applyFont="1" applyBorder="1" applyAlignment="1">
      <alignment horizontal="right" vertical="center"/>
    </xf>
    <xf numFmtId="0" fontId="15" fillId="4" borderId="1" xfId="0" applyFont="1" applyFill="1" applyBorder="1" applyAlignment="1">
      <alignment vertical="center" wrapText="1"/>
    </xf>
    <xf numFmtId="176"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9" fillId="3" borderId="1" xfId="0" applyFont="1" applyFill="1" applyBorder="1" applyAlignment="1">
      <alignment horizontal="left" vertical="center" wrapText="1"/>
    </xf>
    <xf numFmtId="0" fontId="1" fillId="4" borderId="1" xfId="0" applyFont="1" applyFill="1" applyBorder="1" applyAlignment="1">
      <alignment horizontal="center" vertical="center"/>
    </xf>
    <xf numFmtId="0" fontId="10" fillId="3" borderId="1" xfId="0" applyFont="1" applyFill="1" applyBorder="1" applyAlignment="1">
      <alignment horizontal="center" vertical="center"/>
    </xf>
    <xf numFmtId="176" fontId="1" fillId="4" borderId="1" xfId="0" applyNumberFormat="1" applyFont="1" applyFill="1" applyBorder="1" applyAlignment="1">
      <alignment horizontal="right" vertical="center"/>
    </xf>
    <xf numFmtId="176" fontId="1" fillId="6" borderId="1" xfId="0" applyNumberFormat="1" applyFont="1" applyFill="1" applyBorder="1" applyAlignment="1">
      <alignment horizontal="right" vertical="center" wrapText="1"/>
    </xf>
    <xf numFmtId="0" fontId="17" fillId="4" borderId="1" xfId="0" applyFont="1" applyFill="1" applyBorder="1" applyAlignment="1">
      <alignment vertical="center" wrapText="1"/>
    </xf>
    <xf numFmtId="0" fontId="15" fillId="4" borderId="1" xfId="0" applyFont="1" applyFill="1" applyBorder="1" applyAlignment="1">
      <alignment horizontal="center" vertical="center" wrapText="1"/>
    </xf>
    <xf numFmtId="0" fontId="17" fillId="3" borderId="1" xfId="0" applyFont="1" applyFill="1" applyBorder="1" applyAlignment="1">
      <alignment vertical="center" wrapText="1"/>
    </xf>
    <xf numFmtId="0" fontId="9" fillId="3" borderId="1" xfId="0" applyFont="1" applyFill="1" applyBorder="1" applyAlignment="1">
      <alignment vertical="center" shrinkToFit="1"/>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15" fillId="4" borderId="0" xfId="0" applyFont="1" applyFill="1" applyAlignment="1">
      <alignment vertical="center" wrapText="1"/>
    </xf>
    <xf numFmtId="0" fontId="20" fillId="0" borderId="1" xfId="0" applyFont="1" applyBorder="1" applyAlignment="1">
      <alignment horizontal="left" vertical="center"/>
    </xf>
    <xf numFmtId="0" fontId="4" fillId="3" borderId="1" xfId="0" applyFont="1" applyFill="1" applyBorder="1" applyAlignment="1">
      <alignment horizontal="left" vertical="center" wrapText="1"/>
    </xf>
    <xf numFmtId="0" fontId="21" fillId="3" borderId="0" xfId="0" applyFont="1" applyFill="1" applyAlignment="1">
      <alignment vertical="center" shrinkToFit="1"/>
    </xf>
    <xf numFmtId="0" fontId="11" fillId="3" borderId="1" xfId="0" applyFont="1" applyFill="1" applyBorder="1" applyAlignment="1">
      <alignment horizontal="center" vertical="center" shrinkToFit="1"/>
    </xf>
    <xf numFmtId="0" fontId="22" fillId="3" borderId="1" xfId="0" applyFont="1" applyFill="1" applyBorder="1" applyAlignment="1">
      <alignment horizontal="center" vertical="center"/>
    </xf>
    <xf numFmtId="176" fontId="11" fillId="0" borderId="1" xfId="0" applyNumberFormat="1" applyFont="1" applyBorder="1" applyAlignment="1">
      <alignment horizontal="right" vertical="center" shrinkToFit="1"/>
    </xf>
    <xf numFmtId="0" fontId="1" fillId="4" borderId="1" xfId="0" applyFont="1" applyFill="1" applyBorder="1" applyAlignment="1">
      <alignment vertical="center"/>
    </xf>
    <xf numFmtId="0" fontId="1" fillId="0" borderId="1" xfId="0" applyFont="1" applyBorder="1" applyAlignment="1">
      <alignment horizontal="left" vertical="center"/>
    </xf>
    <xf numFmtId="176" fontId="1" fillId="0" borderId="1" xfId="0" applyNumberFormat="1" applyFont="1" applyBorder="1" applyAlignment="1">
      <alignment horizontal="center" vertical="center"/>
    </xf>
    <xf numFmtId="176" fontId="1" fillId="0" borderId="1" xfId="0" applyNumberFormat="1" applyFont="1" applyBorder="1" applyAlignment="1">
      <alignment horizontal="right" vertical="center"/>
    </xf>
    <xf numFmtId="176" fontId="1" fillId="4" borderId="1" xfId="0" applyNumberFormat="1" applyFont="1" applyFill="1" applyBorder="1" applyAlignment="1">
      <alignment horizontal="center" vertical="center"/>
    </xf>
    <xf numFmtId="176" fontId="11" fillId="3" borderId="1" xfId="0" applyNumberFormat="1" applyFont="1" applyFill="1" applyBorder="1" applyAlignment="1">
      <alignment horizontal="right" vertical="center" shrinkToFit="1"/>
    </xf>
    <xf numFmtId="0" fontId="11" fillId="4" borderId="1" xfId="0" applyFont="1" applyFill="1" applyBorder="1" applyAlignment="1">
      <alignment vertical="center" shrinkToFit="1"/>
    </xf>
    <xf numFmtId="0" fontId="11"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 fillId="6" borderId="1" xfId="0" applyFont="1" applyFill="1" applyBorder="1" applyAlignment="1">
      <alignment horizontal="left" vertical="center" wrapText="1"/>
    </xf>
    <xf numFmtId="176" fontId="4" fillId="0" borderId="1" xfId="0" applyNumberFormat="1" applyFont="1" applyBorder="1" applyAlignment="1">
      <alignment horizontal="right" vertical="center" wrapText="1"/>
    </xf>
    <xf numFmtId="176" fontId="1" fillId="5" borderId="1" xfId="0" applyNumberFormat="1" applyFont="1" applyFill="1" applyBorder="1" applyAlignment="1">
      <alignment horizontal="center" vertical="center"/>
    </xf>
    <xf numFmtId="0" fontId="4" fillId="5" borderId="1" xfId="0" applyFont="1" applyFill="1" applyBorder="1" applyAlignment="1">
      <alignment horizontal="center" vertical="center" wrapText="1"/>
    </xf>
    <xf numFmtId="14" fontId="1" fillId="0" borderId="1" xfId="0" applyNumberFormat="1" applyFont="1" applyBorder="1" applyAlignment="1">
      <alignment horizontal="center" vertical="center"/>
    </xf>
    <xf numFmtId="14" fontId="1" fillId="0" borderId="1" xfId="0" applyNumberFormat="1" applyFont="1" applyBorder="1" applyAlignment="1">
      <alignment horizontal="right" vertical="center"/>
    </xf>
    <xf numFmtId="14" fontId="1" fillId="3" borderId="1" xfId="0" applyNumberFormat="1" applyFont="1" applyFill="1" applyBorder="1" applyAlignment="1">
      <alignment horizontal="right" vertical="center"/>
    </xf>
    <xf numFmtId="0" fontId="1" fillId="3" borderId="1" xfId="0" quotePrefix="1" applyFont="1" applyFill="1" applyBorder="1" applyAlignment="1">
      <alignment horizontal="center" vertical="center"/>
    </xf>
    <xf numFmtId="0" fontId="11" fillId="7" borderId="1" xfId="0" applyFont="1" applyFill="1" applyBorder="1" applyAlignment="1">
      <alignment horizontal="left" vertical="center" wrapText="1"/>
    </xf>
    <xf numFmtId="0" fontId="9" fillId="3" borderId="0" xfId="0" applyFont="1" applyFill="1" applyAlignment="1">
      <alignment vertical="center" shrinkToFit="1"/>
    </xf>
    <xf numFmtId="0" fontId="23" fillId="0" borderId="1" xfId="0" applyFont="1" applyBorder="1" applyAlignment="1">
      <alignment horizontal="left" vertical="center"/>
    </xf>
    <xf numFmtId="0" fontId="1" fillId="4" borderId="1" xfId="0" applyFont="1" applyFill="1" applyBorder="1" applyAlignment="1">
      <alignment horizontal="right" vertical="center"/>
    </xf>
    <xf numFmtId="0" fontId="1" fillId="4" borderId="1" xfId="0" applyFont="1" applyFill="1" applyBorder="1" applyAlignment="1">
      <alignment vertical="center" shrinkToFit="1"/>
    </xf>
    <xf numFmtId="0" fontId="24" fillId="3" borderId="1" xfId="0" applyFont="1" applyFill="1" applyBorder="1" applyAlignment="1">
      <alignment horizontal="center" vertical="center" shrinkToFit="1"/>
    </xf>
    <xf numFmtId="0" fontId="11" fillId="4" borderId="0" xfId="0" applyFont="1" applyFill="1" applyAlignment="1">
      <alignment vertical="center" shrinkToFit="1"/>
    </xf>
    <xf numFmtId="49" fontId="1" fillId="0" borderId="1" xfId="0" applyNumberFormat="1" applyFont="1" applyBorder="1" applyAlignment="1">
      <alignment horizontal="center" vertical="center"/>
    </xf>
    <xf numFmtId="0" fontId="25" fillId="5" borderId="1" xfId="0" applyFont="1" applyFill="1" applyBorder="1" applyAlignment="1">
      <alignment horizontal="left" vertical="center"/>
    </xf>
    <xf numFmtId="0" fontId="22" fillId="0" borderId="1" xfId="0" applyFont="1" applyBorder="1" applyAlignment="1">
      <alignment horizontal="center" vertical="center"/>
    </xf>
    <xf numFmtId="14" fontId="4" fillId="3" borderId="1" xfId="0" applyNumberFormat="1" applyFont="1" applyFill="1" applyBorder="1" applyAlignment="1">
      <alignment horizontal="left" vertical="center" wrapText="1"/>
    </xf>
    <xf numFmtId="0" fontId="4" fillId="0" borderId="1" xfId="0" applyFont="1" applyBorder="1" applyAlignment="1">
      <alignment horizontal="left" vertical="center" wrapText="1"/>
    </xf>
    <xf numFmtId="0" fontId="1" fillId="3" borderId="1" xfId="0" applyFont="1" applyFill="1" applyBorder="1" applyAlignment="1">
      <alignment vertical="center" wrapText="1"/>
    </xf>
    <xf numFmtId="0" fontId="11" fillId="0" borderId="0" xfId="0" applyFont="1" applyAlignment="1">
      <alignment horizontal="left" vertical="center" shrinkToFit="1"/>
    </xf>
    <xf numFmtId="0" fontId="9" fillId="0" borderId="1" xfId="0" applyFont="1" applyBorder="1" applyAlignment="1">
      <alignment horizontal="left" vertical="center"/>
    </xf>
    <xf numFmtId="0" fontId="1" fillId="3" borderId="1" xfId="0" applyFont="1" applyFill="1" applyBorder="1" applyAlignment="1">
      <alignment vertical="center" shrinkToFit="1"/>
    </xf>
    <xf numFmtId="0" fontId="21" fillId="3" borderId="1" xfId="0" applyFont="1" applyFill="1" applyBorder="1" applyAlignment="1">
      <alignment vertical="center" shrinkToFit="1"/>
    </xf>
    <xf numFmtId="0" fontId="21" fillId="3" borderId="1" xfId="0" applyFont="1" applyFill="1" applyBorder="1" applyAlignment="1">
      <alignment horizontal="center" vertical="center" wrapText="1"/>
    </xf>
    <xf numFmtId="0" fontId="21" fillId="3" borderId="1" xfId="0" applyFont="1" applyFill="1" applyBorder="1" applyAlignment="1">
      <alignment vertical="center" wrapText="1"/>
    </xf>
    <xf numFmtId="0" fontId="11" fillId="3" borderId="1" xfId="0" applyFont="1" applyFill="1" applyBorder="1" applyAlignment="1">
      <alignment horizontal="left" vertical="center" wrapText="1"/>
    </xf>
    <xf numFmtId="0" fontId="26" fillId="0" borderId="1" xfId="0" applyFont="1" applyBorder="1" applyAlignment="1">
      <alignment vertical="center"/>
    </xf>
    <xf numFmtId="0" fontId="27" fillId="3" borderId="1" xfId="0" applyFont="1" applyFill="1" applyBorder="1" applyAlignment="1">
      <alignment horizontal="center" vertical="center"/>
    </xf>
    <xf numFmtId="176" fontId="17" fillId="4" borderId="1" xfId="0" applyNumberFormat="1" applyFont="1" applyFill="1" applyBorder="1" applyAlignment="1">
      <alignment horizontal="right" vertical="center" wrapText="1"/>
    </xf>
    <xf numFmtId="0" fontId="10" fillId="8" borderId="1" xfId="0" applyFont="1" applyFill="1" applyBorder="1" applyAlignment="1">
      <alignment horizontal="left" vertical="center" wrapText="1"/>
    </xf>
    <xf numFmtId="176" fontId="11" fillId="4" borderId="1" xfId="0" applyNumberFormat="1" applyFont="1" applyFill="1" applyBorder="1" applyAlignment="1">
      <alignment horizontal="center" vertical="center"/>
    </xf>
    <xf numFmtId="14" fontId="1" fillId="3" borderId="1" xfId="0" applyNumberFormat="1" applyFont="1" applyFill="1" applyBorder="1" applyAlignment="1">
      <alignment horizontal="right" vertical="center" wrapText="1"/>
    </xf>
    <xf numFmtId="0" fontId="17" fillId="4" borderId="1" xfId="0" applyFont="1" applyFill="1" applyBorder="1" applyAlignment="1">
      <alignment horizontal="center" vertical="center" wrapText="1"/>
    </xf>
    <xf numFmtId="0" fontId="17" fillId="4"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1" fillId="3" borderId="0" xfId="0" applyFont="1" applyFill="1" applyAlignment="1">
      <alignment vertical="center" shrinkToFit="1"/>
    </xf>
    <xf numFmtId="0" fontId="17" fillId="4" borderId="0" xfId="0" applyFont="1" applyFill="1" applyAlignment="1">
      <alignment horizontal="left" vertical="center" wrapText="1"/>
    </xf>
    <xf numFmtId="0" fontId="12" fillId="0" borderId="1"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1" xfId="0" applyFont="1" applyBorder="1" applyAlignment="1">
      <alignment horizontal="left" vertical="center" shrinkToFit="1"/>
    </xf>
    <xf numFmtId="31" fontId="1" fillId="0" borderId="1" xfId="0" applyNumberFormat="1" applyFont="1" applyBorder="1" applyAlignment="1">
      <alignment horizontal="center" vertical="center"/>
    </xf>
    <xf numFmtId="3" fontId="4" fillId="0" borderId="1" xfId="0" applyNumberFormat="1" applyFont="1" applyBorder="1" applyAlignment="1">
      <alignment horizontal="right" vertical="center" wrapText="1"/>
    </xf>
    <xf numFmtId="176" fontId="1" fillId="0" borderId="1" xfId="0" applyNumberFormat="1" applyFont="1" applyBorder="1" applyAlignment="1">
      <alignment horizontal="right" vertical="center" wrapText="1"/>
    </xf>
    <xf numFmtId="0" fontId="1" fillId="0" borderId="1" xfId="0" applyFont="1" applyBorder="1" applyAlignment="1">
      <alignment horizontal="center" vertical="center" wrapText="1"/>
    </xf>
    <xf numFmtId="0" fontId="11" fillId="0" borderId="1" xfId="0" applyFont="1" applyBorder="1" applyAlignment="1">
      <alignment vertical="center" shrinkToFi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4" fillId="0" borderId="1" xfId="0" applyFont="1" applyBorder="1" applyAlignment="1">
      <alignment horizontal="center" vertical="center" wrapText="1"/>
    </xf>
    <xf numFmtId="0" fontId="10" fillId="0" borderId="1" xfId="0" applyFont="1" applyBorder="1" applyAlignment="1">
      <alignment vertical="center" wrapText="1"/>
    </xf>
    <xf numFmtId="0" fontId="1" fillId="0" borderId="0" xfId="0" applyFont="1" applyAlignment="1">
      <alignment vertical="center" shrinkToFit="1"/>
    </xf>
    <xf numFmtId="0" fontId="11" fillId="0" borderId="0" xfId="0" applyFont="1" applyAlignment="1">
      <alignment horizontal="left" vertical="center" wrapText="1"/>
    </xf>
    <xf numFmtId="0" fontId="11" fillId="0" borderId="1" xfId="0" applyFont="1" applyBorder="1" applyAlignment="1">
      <alignment horizontal="center" vertical="center" shrinkToFit="1"/>
    </xf>
    <xf numFmtId="0" fontId="14" fillId="0" borderId="1" xfId="0" applyFont="1" applyBorder="1" applyAlignment="1">
      <alignment horizontal="center" vertical="center" wrapText="1"/>
    </xf>
    <xf numFmtId="0" fontId="11" fillId="0" borderId="1" xfId="0" applyFont="1" applyBorder="1" applyAlignment="1">
      <alignment vertical="center" wrapText="1"/>
    </xf>
    <xf numFmtId="0" fontId="4" fillId="0" borderId="1" xfId="0" applyFont="1" applyBorder="1" applyAlignment="1">
      <alignment vertical="center" wrapText="1"/>
    </xf>
    <xf numFmtId="0" fontId="29" fillId="3" borderId="1" xfId="0" applyFont="1" applyFill="1" applyBorder="1" applyAlignment="1">
      <alignment horizontal="center" vertical="center"/>
    </xf>
    <xf numFmtId="0" fontId="21" fillId="3" borderId="1" xfId="0" applyFont="1" applyFill="1" applyBorder="1" applyAlignment="1">
      <alignment vertical="center"/>
    </xf>
    <xf numFmtId="0" fontId="16" fillId="3" borderId="1" xfId="0" applyFont="1" applyFill="1" applyBorder="1" applyAlignment="1">
      <alignment horizontal="center" vertical="center"/>
    </xf>
    <xf numFmtId="0" fontId="1" fillId="3" borderId="0" xfId="0" applyFont="1" applyFill="1" applyAlignment="1">
      <alignment vertical="center" wrapText="1"/>
    </xf>
    <xf numFmtId="0" fontId="1" fillId="9" borderId="1" xfId="0" applyFont="1" applyFill="1" applyBorder="1" applyAlignment="1">
      <alignment horizontal="center" vertical="center"/>
    </xf>
    <xf numFmtId="49" fontId="1" fillId="3" borderId="1" xfId="0" applyNumberFormat="1" applyFont="1" applyFill="1" applyBorder="1" applyAlignment="1">
      <alignment horizontal="center" vertical="center" wrapText="1"/>
    </xf>
    <xf numFmtId="0" fontId="30" fillId="5" borderId="1" xfId="0" applyFont="1" applyFill="1" applyBorder="1" applyAlignment="1">
      <alignment horizontal="left" vertical="center"/>
    </xf>
    <xf numFmtId="0" fontId="14" fillId="4" borderId="1" xfId="0" applyFont="1" applyFill="1" applyBorder="1" applyAlignment="1">
      <alignment horizontal="center" vertical="center"/>
    </xf>
    <xf numFmtId="3" fontId="4" fillId="3" borderId="1" xfId="0" applyNumberFormat="1" applyFont="1" applyFill="1" applyBorder="1" applyAlignment="1">
      <alignment horizontal="right" vertical="center"/>
    </xf>
    <xf numFmtId="176" fontId="4" fillId="0" borderId="1" xfId="0" applyNumberFormat="1" applyFont="1" applyBorder="1" applyAlignment="1">
      <alignment horizontal="right" vertical="center" shrinkToFit="1"/>
    </xf>
    <xf numFmtId="0" fontId="1" fillId="0" borderId="1" xfId="0" applyFont="1" applyBorder="1" applyAlignment="1">
      <alignment horizontal="right" vertical="center" wrapText="1"/>
    </xf>
    <xf numFmtId="0" fontId="4" fillId="5" borderId="1" xfId="0" applyFont="1" applyFill="1" applyBorder="1" applyAlignment="1">
      <alignment horizontal="right" vertical="center"/>
    </xf>
    <xf numFmtId="0" fontId="4" fillId="4" borderId="1" xfId="0" applyFont="1" applyFill="1" applyBorder="1" applyAlignment="1">
      <alignment horizontal="right" vertical="center"/>
    </xf>
    <xf numFmtId="0" fontId="23" fillId="0" borderId="1" xfId="0" applyFont="1" applyBorder="1" applyAlignment="1">
      <alignment vertical="center"/>
    </xf>
    <xf numFmtId="0" fontId="4" fillId="4" borderId="1" xfId="0" applyFont="1" applyFill="1" applyBorder="1" applyAlignment="1">
      <alignment horizontal="center" vertical="center" wrapText="1"/>
    </xf>
    <xf numFmtId="0" fontId="11" fillId="3" borderId="1" xfId="0" applyFont="1" applyFill="1" applyBorder="1" applyAlignment="1">
      <alignment vertical="center" shrinkToFit="1"/>
    </xf>
    <xf numFmtId="0" fontId="21" fillId="3" borderId="0" xfId="0" applyFont="1" applyFill="1" applyAlignment="1">
      <alignment vertical="center" wrapText="1"/>
    </xf>
    <xf numFmtId="0" fontId="15" fillId="3" borderId="0" xfId="0" applyFont="1" applyFill="1" applyAlignment="1">
      <alignment vertical="center" wrapText="1"/>
    </xf>
    <xf numFmtId="0" fontId="31" fillId="5" borderId="1" xfId="0" applyFont="1" applyFill="1" applyBorder="1" applyAlignment="1">
      <alignment horizontal="left" vertical="center"/>
    </xf>
    <xf numFmtId="0" fontId="1" fillId="4" borderId="1" xfId="0" applyFont="1" applyFill="1" applyBorder="1" applyAlignment="1">
      <alignment horizontal="center" vertical="center" shrinkToFit="1"/>
    </xf>
    <xf numFmtId="49" fontId="1" fillId="5" borderId="1" xfId="0" quotePrefix="1" applyNumberFormat="1" applyFont="1" applyFill="1" applyBorder="1" applyAlignment="1">
      <alignment horizontal="center" vertical="center"/>
    </xf>
    <xf numFmtId="0" fontId="1" fillId="5" borderId="1" xfId="0" applyFont="1" applyFill="1" applyBorder="1" applyAlignment="1">
      <alignment horizontal="left" vertical="center" shrinkToFit="1"/>
    </xf>
    <xf numFmtId="0" fontId="4" fillId="5" borderId="1" xfId="0" applyFont="1" applyFill="1" applyBorder="1" applyAlignment="1">
      <alignment horizontal="right" vertical="center" wrapText="1"/>
    </xf>
    <xf numFmtId="0" fontId="1" fillId="5" borderId="1" xfId="0" applyFont="1" applyFill="1" applyBorder="1" applyAlignment="1">
      <alignment horizontal="center" vertical="center" wrapText="1"/>
    </xf>
    <xf numFmtId="14" fontId="1" fillId="5" borderId="1" xfId="0" applyNumberFormat="1" applyFont="1" applyFill="1" applyBorder="1" applyAlignment="1">
      <alignment horizontal="right" vertical="center"/>
    </xf>
    <xf numFmtId="176" fontId="1" fillId="5" borderId="1" xfId="0" applyNumberFormat="1" applyFont="1" applyFill="1" applyBorder="1" applyAlignment="1">
      <alignment horizontal="right" vertical="center"/>
    </xf>
    <xf numFmtId="0" fontId="15"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2" fillId="0" borderId="1" xfId="0" applyFont="1" applyBorder="1" applyAlignment="1">
      <alignment horizontal="left" vertical="center"/>
    </xf>
    <xf numFmtId="0" fontId="4" fillId="3" borderId="1" xfId="0" applyFont="1" applyFill="1" applyBorder="1" applyAlignment="1">
      <alignment horizontal="left" vertical="center"/>
    </xf>
    <xf numFmtId="0" fontId="9" fillId="4" borderId="1" xfId="0" applyFont="1" applyFill="1" applyBorder="1" applyAlignment="1">
      <alignment horizontal="center" vertical="center"/>
    </xf>
    <xf numFmtId="176" fontId="1" fillId="3" borderId="1" xfId="0" applyNumberFormat="1" applyFont="1" applyFill="1" applyBorder="1" applyAlignment="1">
      <alignment horizontal="right" vertical="center" wrapText="1"/>
    </xf>
    <xf numFmtId="0" fontId="4" fillId="4" borderId="1" xfId="0" applyFont="1" applyFill="1" applyBorder="1" applyAlignment="1">
      <alignment vertical="center" wrapText="1"/>
    </xf>
    <xf numFmtId="0" fontId="4" fillId="0" borderId="0" xfId="0" applyFont="1" applyAlignment="1">
      <alignment horizontal="left" vertical="center" shrinkToFit="1"/>
    </xf>
    <xf numFmtId="0" fontId="15" fillId="3" borderId="1" xfId="0" applyFont="1" applyFill="1" applyBorder="1" applyAlignment="1">
      <alignment vertical="center" wrapText="1"/>
    </xf>
    <xf numFmtId="0" fontId="7" fillId="8" borderId="1" xfId="0" applyFont="1" applyFill="1" applyBorder="1" applyAlignment="1">
      <alignment horizontal="left" vertical="center" wrapText="1"/>
    </xf>
    <xf numFmtId="176" fontId="8" fillId="0" borderId="1" xfId="0" applyNumberFormat="1" applyFont="1" applyBorder="1" applyAlignment="1">
      <alignment horizontal="right" vertical="center"/>
    </xf>
    <xf numFmtId="0" fontId="11"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15" fillId="3" borderId="0" xfId="0" applyFont="1" applyFill="1" applyAlignment="1">
      <alignment vertical="center" shrinkToFit="1"/>
    </xf>
    <xf numFmtId="0" fontId="15" fillId="3" borderId="1" xfId="0" applyFont="1" applyFill="1" applyBorder="1" applyAlignment="1">
      <alignment vertical="center" shrinkToFit="1"/>
    </xf>
    <xf numFmtId="0" fontId="1" fillId="8" borderId="1" xfId="0" applyFont="1" applyFill="1" applyBorder="1" applyAlignment="1">
      <alignment horizontal="left" vertical="center" wrapText="1"/>
    </xf>
    <xf numFmtId="0" fontId="33" fillId="4" borderId="1" xfId="0" applyFont="1" applyFill="1" applyBorder="1" applyAlignment="1">
      <alignment vertical="center" wrapText="1"/>
    </xf>
    <xf numFmtId="0" fontId="7" fillId="4" borderId="1" xfId="0" applyFont="1" applyFill="1" applyBorder="1" applyAlignment="1">
      <alignment vertical="center" wrapText="1"/>
    </xf>
    <xf numFmtId="176" fontId="1" fillId="3" borderId="1" xfId="0" applyNumberFormat="1" applyFont="1" applyFill="1" applyBorder="1" applyAlignment="1">
      <alignment horizontal="center" vertical="center" wrapText="1"/>
    </xf>
    <xf numFmtId="31" fontId="1" fillId="3" borderId="1" xfId="0" applyNumberFormat="1" applyFont="1" applyFill="1" applyBorder="1" applyAlignment="1">
      <alignment horizontal="center" vertical="center" wrapText="1"/>
    </xf>
    <xf numFmtId="0" fontId="29"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5" fillId="0" borderId="1" xfId="0" applyFont="1" applyBorder="1" applyAlignment="1">
      <alignment vertical="center" wrapText="1"/>
    </xf>
    <xf numFmtId="0" fontId="11" fillId="3" borderId="0" xfId="0" applyFont="1" applyFill="1" applyAlignment="1">
      <alignment horizontal="left" vertical="center" shrinkToFit="1"/>
    </xf>
    <xf numFmtId="0" fontId="34" fillId="4" borderId="1" xfId="0" applyFont="1" applyFill="1" applyBorder="1" applyAlignment="1">
      <alignment horizontal="left" vertical="center" wrapText="1"/>
    </xf>
    <xf numFmtId="176" fontId="4" fillId="3" borderId="1" xfId="0" applyNumberFormat="1" applyFont="1" applyFill="1" applyBorder="1" applyAlignment="1">
      <alignment horizontal="right" vertical="center" shrinkToFit="1"/>
    </xf>
    <xf numFmtId="0" fontId="21" fillId="3" borderId="0" xfId="0" applyFont="1" applyFill="1" applyAlignment="1">
      <alignment vertical="center"/>
    </xf>
    <xf numFmtId="49" fontId="4" fillId="0" borderId="1" xfId="0" applyNumberFormat="1" applyFont="1" applyBorder="1" applyAlignment="1">
      <alignment horizontal="center" vertical="center"/>
    </xf>
    <xf numFmtId="0" fontId="1" fillId="6" borderId="1" xfId="0" applyFont="1" applyFill="1" applyBorder="1" applyAlignment="1">
      <alignment horizontal="center" vertical="center"/>
    </xf>
    <xf numFmtId="0" fontId="14" fillId="5" borderId="1" xfId="0" applyFont="1" applyFill="1" applyBorder="1" applyAlignment="1">
      <alignment horizontal="center" vertical="center" wrapText="1"/>
    </xf>
    <xf numFmtId="3" fontId="4" fillId="3" borderId="1" xfId="0" applyNumberFormat="1" applyFont="1" applyFill="1" applyBorder="1" applyAlignment="1">
      <alignment horizontal="right" vertical="center" wrapText="1"/>
    </xf>
    <xf numFmtId="176" fontId="1" fillId="5" borderId="1" xfId="0" applyNumberFormat="1" applyFont="1" applyFill="1" applyBorder="1" applyAlignment="1">
      <alignment horizontal="center" vertical="center" wrapText="1"/>
    </xf>
    <xf numFmtId="0" fontId="1" fillId="6" borderId="1" xfId="0" applyFont="1" applyFill="1" applyBorder="1" applyAlignment="1">
      <alignment horizontal="right" vertical="center"/>
    </xf>
    <xf numFmtId="14" fontId="4" fillId="3" borderId="1" xfId="0" applyNumberFormat="1" applyFont="1" applyFill="1" applyBorder="1" applyAlignment="1">
      <alignment horizontal="center" vertical="center"/>
    </xf>
    <xf numFmtId="176" fontId="35" fillId="3" borderId="1" xfId="0" applyNumberFormat="1" applyFont="1" applyFill="1" applyBorder="1" applyAlignment="1">
      <alignment horizontal="right" vertical="center" shrinkToFit="1"/>
    </xf>
    <xf numFmtId="0" fontId="1" fillId="3" borderId="0" xfId="0" applyFont="1" applyFill="1" applyAlignment="1">
      <alignment horizontal="left" vertical="center" shrinkToFit="1"/>
    </xf>
    <xf numFmtId="0" fontId="35" fillId="3" borderId="1" xfId="0" applyFont="1" applyFill="1" applyBorder="1" applyAlignment="1">
      <alignment horizontal="center" vertical="center" wrapText="1"/>
    </xf>
    <xf numFmtId="0" fontId="4" fillId="3" borderId="1" xfId="0" applyFont="1" applyFill="1" applyBorder="1" applyAlignment="1">
      <alignment vertical="center" shrinkToFit="1"/>
    </xf>
    <xf numFmtId="0" fontId="1" fillId="3" borderId="0" xfId="0" applyFont="1" applyFill="1" applyAlignment="1">
      <alignment horizontal="left" vertical="center" wrapText="1"/>
    </xf>
    <xf numFmtId="0" fontId="7" fillId="4" borderId="1" xfId="0" applyFont="1" applyFill="1" applyBorder="1" applyAlignment="1">
      <alignment vertical="center" shrinkToFit="1"/>
    </xf>
    <xf numFmtId="176" fontId="4" fillId="0" borderId="1" xfId="0" applyNumberFormat="1" applyFont="1" applyBorder="1" applyAlignment="1">
      <alignment horizontal="center" vertical="center" wrapText="1"/>
    </xf>
    <xf numFmtId="0" fontId="9" fillId="4" borderId="1" xfId="0" applyFont="1" applyFill="1" applyBorder="1" applyAlignment="1">
      <alignment vertical="center" wrapText="1"/>
    </xf>
    <xf numFmtId="0" fontId="9" fillId="3" borderId="1" xfId="0" applyFont="1" applyFill="1" applyBorder="1" applyAlignment="1">
      <alignment horizontal="left" vertical="center" wrapText="1"/>
    </xf>
    <xf numFmtId="0" fontId="10" fillId="4" borderId="1" xfId="0" applyFont="1" applyFill="1" applyBorder="1" applyAlignment="1">
      <alignment horizontal="center" vertical="center"/>
    </xf>
    <xf numFmtId="176" fontId="1" fillId="6" borderId="1" xfId="0" applyNumberFormat="1" applyFont="1" applyFill="1" applyBorder="1" applyAlignment="1">
      <alignment horizontal="right" vertical="center" shrinkToFit="1"/>
    </xf>
    <xf numFmtId="0" fontId="7" fillId="4" borderId="1" xfId="0" applyFont="1" applyFill="1" applyBorder="1" applyAlignment="1">
      <alignment horizontal="center" vertical="center" wrapText="1"/>
    </xf>
    <xf numFmtId="0" fontId="34" fillId="4" borderId="1" xfId="0" applyFont="1" applyFill="1" applyBorder="1" applyAlignment="1">
      <alignment horizontal="left" vertical="center" shrinkToFit="1"/>
    </xf>
    <xf numFmtId="0" fontId="9" fillId="4" borderId="1" xfId="0" applyFont="1" applyFill="1" applyBorder="1" applyAlignment="1">
      <alignment horizontal="center" vertical="center" shrinkToFit="1"/>
    </xf>
    <xf numFmtId="0" fontId="9" fillId="3" borderId="1" xfId="0" applyFont="1" applyFill="1" applyBorder="1" applyAlignment="1">
      <alignment horizontal="left" vertical="center" shrinkToFit="1"/>
    </xf>
    <xf numFmtId="176" fontId="36" fillId="3" borderId="1" xfId="0" applyNumberFormat="1" applyFont="1" applyFill="1" applyBorder="1" applyAlignment="1">
      <alignment horizontal="right" vertical="center"/>
    </xf>
    <xf numFmtId="0" fontId="18" fillId="4" borderId="1" xfId="0" applyFont="1" applyFill="1" applyBorder="1" applyAlignment="1">
      <alignment horizontal="left" vertical="center" shrinkToFit="1"/>
    </xf>
    <xf numFmtId="0" fontId="34" fillId="4" borderId="1" xfId="0" applyFont="1" applyFill="1" applyBorder="1" applyAlignment="1">
      <alignment horizontal="center" vertical="center" wrapText="1"/>
    </xf>
    <xf numFmtId="56" fontId="8" fillId="0" borderId="1" xfId="0" applyNumberFormat="1" applyFont="1" applyBorder="1" applyAlignment="1">
      <alignment horizontal="left" vertical="center"/>
    </xf>
    <xf numFmtId="56" fontId="1" fillId="3" borderId="1" xfId="0" applyNumberFormat="1" applyFont="1" applyFill="1" applyBorder="1" applyAlignment="1">
      <alignment vertical="center" shrinkToFit="1"/>
    </xf>
    <xf numFmtId="56" fontId="1" fillId="3" borderId="1" xfId="0" applyNumberFormat="1" applyFont="1" applyFill="1" applyBorder="1" applyAlignment="1">
      <alignment horizontal="center" vertical="center" wrapText="1"/>
    </xf>
    <xf numFmtId="56" fontId="1" fillId="3" borderId="1" xfId="0" applyNumberFormat="1" applyFont="1" applyFill="1" applyBorder="1" applyAlignment="1">
      <alignment vertical="center" wrapText="1"/>
    </xf>
    <xf numFmtId="0" fontId="15" fillId="0" borderId="0" xfId="0" applyFont="1" applyAlignment="1">
      <alignment vertical="center" shrinkToFit="1"/>
    </xf>
    <xf numFmtId="0" fontId="1" fillId="4" borderId="1" xfId="0" applyFont="1" applyFill="1" applyBorder="1" applyAlignment="1">
      <alignment vertical="center" wrapText="1"/>
    </xf>
    <xf numFmtId="0" fontId="11" fillId="4" borderId="1" xfId="0" applyFont="1" applyFill="1" applyBorder="1" applyAlignment="1">
      <alignment horizontal="center" vertical="center"/>
    </xf>
    <xf numFmtId="0" fontId="7" fillId="0" borderId="0" xfId="0" applyFont="1" applyAlignment="1">
      <alignment vertical="center" shrinkToFit="1"/>
    </xf>
    <xf numFmtId="0" fontId="9" fillId="0" borderId="1" xfId="0" applyFont="1" applyBorder="1" applyAlignment="1">
      <alignment horizontal="left" vertical="center" shrinkToFit="1"/>
    </xf>
    <xf numFmtId="49" fontId="11" fillId="4" borderId="1" xfId="0" applyNumberFormat="1" applyFont="1" applyFill="1" applyBorder="1" applyAlignment="1">
      <alignment horizontal="center" vertical="center" wrapText="1"/>
    </xf>
    <xf numFmtId="176" fontId="4" fillId="3" borderId="1" xfId="0" applyNumberFormat="1" applyFont="1" applyFill="1" applyBorder="1" applyAlignment="1">
      <alignment horizontal="center" vertical="center" wrapText="1"/>
    </xf>
    <xf numFmtId="0" fontId="15" fillId="4" borderId="1" xfId="0" applyFont="1" applyFill="1" applyBorder="1" applyAlignment="1">
      <alignment vertical="center" shrinkToFit="1"/>
    </xf>
    <xf numFmtId="0" fontId="4" fillId="3" borderId="0" xfId="0" applyFont="1" applyFill="1" applyAlignment="1">
      <alignment horizontal="left" vertical="center" shrinkToFit="1"/>
    </xf>
    <xf numFmtId="0" fontId="1" fillId="0" borderId="0" xfId="0" applyFont="1" applyAlignment="1">
      <alignment vertical="center" wrapText="1"/>
    </xf>
    <xf numFmtId="14" fontId="1" fillId="4" borderId="1" xfId="0" applyNumberFormat="1" applyFont="1" applyFill="1" applyBorder="1" applyAlignment="1">
      <alignment horizontal="right" vertical="center"/>
    </xf>
    <xf numFmtId="0" fontId="5" fillId="9" borderId="1" xfId="0" applyFont="1" applyFill="1" applyBorder="1" applyAlignment="1">
      <alignment horizontal="center" vertical="center"/>
    </xf>
    <xf numFmtId="0" fontId="33" fillId="4" borderId="1" xfId="0" applyFont="1" applyFill="1" applyBorder="1" applyAlignment="1">
      <alignment vertical="center" shrinkToFit="1"/>
    </xf>
    <xf numFmtId="0" fontId="37" fillId="4" borderId="1" xfId="0" applyFont="1" applyFill="1" applyBorder="1" applyAlignment="1">
      <alignment horizontal="center" vertical="center"/>
    </xf>
    <xf numFmtId="0" fontId="17" fillId="4" borderId="1" xfId="0" applyFont="1" applyFill="1" applyBorder="1" applyAlignment="1">
      <alignment vertical="center" shrinkToFit="1"/>
    </xf>
    <xf numFmtId="0" fontId="33"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176" fontId="37" fillId="0" borderId="1" xfId="0" applyNumberFormat="1" applyFont="1" applyBorder="1" applyAlignment="1">
      <alignment vertical="center" shrinkToFit="1"/>
    </xf>
    <xf numFmtId="0" fontId="9" fillId="4" borderId="1" xfId="0" applyFont="1" applyFill="1" applyBorder="1" applyAlignment="1">
      <alignment horizontal="left" vertical="center" wrapText="1"/>
    </xf>
    <xf numFmtId="176" fontId="4" fillId="6" borderId="1" xfId="0" applyNumberFormat="1" applyFont="1" applyFill="1" applyBorder="1" applyAlignment="1">
      <alignment horizontal="right" vertical="center" shrinkToFit="1"/>
    </xf>
    <xf numFmtId="0" fontId="4" fillId="0" borderId="0" xfId="0" applyFont="1" applyAlignment="1">
      <alignment horizontal="left" vertical="center" wrapText="1"/>
    </xf>
    <xf numFmtId="0" fontId="2" fillId="0" borderId="1" xfId="0" applyFont="1" applyBorder="1" applyAlignment="1">
      <alignment horizontal="center" vertical="center"/>
    </xf>
    <xf numFmtId="3" fontId="1" fillId="0" borderId="1" xfId="0" applyNumberFormat="1" applyFont="1" applyBorder="1" applyAlignment="1">
      <alignment horizontal="right" vertical="center"/>
    </xf>
    <xf numFmtId="0" fontId="11" fillId="3" borderId="1" xfId="0" applyFont="1" applyFill="1" applyBorder="1" applyAlignment="1">
      <alignment horizontal="center" vertical="center" wrapText="1"/>
    </xf>
    <xf numFmtId="31" fontId="1" fillId="0" borderId="1"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49" fontId="10" fillId="4" borderId="1" xfId="0" applyNumberFormat="1" applyFont="1" applyFill="1" applyBorder="1" applyAlignment="1">
      <alignment vertical="center"/>
    </xf>
    <xf numFmtId="49" fontId="10" fillId="8" borderId="1" xfId="0" applyNumberFormat="1" applyFont="1" applyFill="1" applyBorder="1" applyAlignment="1">
      <alignment horizontal="left" vertical="center"/>
    </xf>
    <xf numFmtId="14" fontId="1" fillId="6" borderId="1" xfId="0" applyNumberFormat="1" applyFont="1" applyFill="1" applyBorder="1" applyAlignment="1">
      <alignment horizontal="right" vertical="center"/>
    </xf>
    <xf numFmtId="0" fontId="38" fillId="0" borderId="1" xfId="0" applyFont="1" applyBorder="1" applyAlignment="1">
      <alignment horizontal="center" vertical="center"/>
    </xf>
    <xf numFmtId="176" fontId="1" fillId="3" borderId="1" xfId="0" applyNumberFormat="1" applyFont="1" applyFill="1" applyBorder="1" applyAlignment="1">
      <alignment horizontal="center" vertical="center" shrinkToFit="1"/>
    </xf>
    <xf numFmtId="49" fontId="1" fillId="3" borderId="1" xfId="0" applyNumberFormat="1" applyFont="1" applyFill="1" applyBorder="1" applyAlignment="1">
      <alignment horizontal="center" vertical="center" shrinkToFit="1"/>
    </xf>
    <xf numFmtId="176" fontId="4" fillId="4" borderId="1" xfId="0" applyNumberFormat="1" applyFont="1" applyFill="1" applyBorder="1" applyAlignment="1">
      <alignment horizontal="center" vertical="center"/>
    </xf>
    <xf numFmtId="176" fontId="4" fillId="0" borderId="1" xfId="0" applyNumberFormat="1" applyFont="1" applyBorder="1" applyAlignment="1">
      <alignment horizontal="right" vertical="center"/>
    </xf>
    <xf numFmtId="0" fontId="18" fillId="3" borderId="1" xfId="0" applyFont="1" applyFill="1" applyBorder="1" applyAlignment="1">
      <alignment horizontal="left" vertical="center"/>
    </xf>
    <xf numFmtId="176" fontId="4" fillId="4" borderId="1" xfId="0" applyNumberFormat="1" applyFont="1" applyFill="1" applyBorder="1" applyAlignment="1">
      <alignment horizontal="right" vertical="center" shrinkToFit="1"/>
    </xf>
    <xf numFmtId="0" fontId="34" fillId="4" borderId="0" xfId="0" applyFont="1" applyFill="1" applyAlignment="1">
      <alignment horizontal="left" vertical="center" shrinkToFit="1"/>
    </xf>
    <xf numFmtId="0" fontId="37" fillId="3" borderId="1" xfId="0" applyFont="1" applyFill="1" applyBorder="1" applyAlignment="1">
      <alignment horizontal="left" vertical="center"/>
    </xf>
    <xf numFmtId="0" fontId="1" fillId="5" borderId="1" xfId="0" applyFont="1" applyFill="1" applyBorder="1" applyAlignment="1">
      <alignment horizontal="left" vertical="center" wrapText="1"/>
    </xf>
    <xf numFmtId="0" fontId="11" fillId="0" borderId="0" xfId="0" applyFont="1" applyAlignment="1">
      <alignment vertical="center" wrapText="1"/>
    </xf>
    <xf numFmtId="176" fontId="11" fillId="0" borderId="1" xfId="0" applyNumberFormat="1" applyFont="1" applyBorder="1" applyAlignment="1">
      <alignment horizontal="center" vertical="center"/>
    </xf>
    <xf numFmtId="0" fontId="1" fillId="0" borderId="0" xfId="0" applyFont="1" applyAlignment="1">
      <alignment horizontal="left" vertical="center" wrapText="1"/>
    </xf>
    <xf numFmtId="0" fontId="38" fillId="3" borderId="1" xfId="0" applyFont="1" applyFill="1" applyBorder="1" applyAlignment="1">
      <alignment horizontal="left" vertical="center" wrapText="1"/>
    </xf>
    <xf numFmtId="0" fontId="7" fillId="4" borderId="0" xfId="0" applyFont="1" applyFill="1" applyAlignment="1">
      <alignment vertical="center" shrinkToFit="1"/>
    </xf>
    <xf numFmtId="176" fontId="4" fillId="4" borderId="1" xfId="0" applyNumberFormat="1" applyFont="1" applyFill="1" applyBorder="1" applyAlignment="1">
      <alignment horizontal="right" vertical="center"/>
    </xf>
    <xf numFmtId="0" fontId="39" fillId="5" borderId="1" xfId="0" applyFont="1" applyFill="1" applyBorder="1" applyAlignment="1">
      <alignment vertical="center"/>
    </xf>
    <xf numFmtId="0" fontId="28" fillId="0" borderId="0" xfId="0" applyFont="1" applyAlignment="1">
      <alignment horizontal="left" vertical="center"/>
    </xf>
    <xf numFmtId="49" fontId="1" fillId="0" borderId="1" xfId="0" applyNumberFormat="1" applyFont="1" applyBorder="1" applyAlignment="1">
      <alignment horizontal="left" vertical="center"/>
    </xf>
    <xf numFmtId="49" fontId="1" fillId="0" borderId="1" xfId="0" applyNumberFormat="1" applyFont="1" applyBorder="1" applyAlignment="1">
      <alignment horizontal="center" vertical="center" wrapText="1"/>
    </xf>
    <xf numFmtId="0" fontId="14" fillId="5" borderId="1" xfId="0" applyFont="1" applyFill="1" applyBorder="1" applyAlignment="1">
      <alignment horizontal="center" vertical="center"/>
    </xf>
    <xf numFmtId="176" fontId="4" fillId="5" borderId="1" xfId="0" applyNumberFormat="1" applyFont="1" applyFill="1" applyBorder="1" applyAlignment="1">
      <alignment horizontal="center" vertical="center"/>
    </xf>
    <xf numFmtId="0" fontId="4"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3" borderId="0" xfId="0" applyFont="1" applyFill="1" applyAlignment="1">
      <alignment horizontal="left" vertical="center" wrapText="1"/>
    </xf>
    <xf numFmtId="0" fontId="4" fillId="3" borderId="1" xfId="0" applyFont="1" applyFill="1" applyBorder="1" applyAlignment="1">
      <alignment horizontal="right" vertical="center"/>
    </xf>
    <xf numFmtId="49" fontId="4" fillId="3" borderId="1" xfId="0" applyNumberFormat="1" applyFont="1" applyFill="1" applyBorder="1" applyAlignment="1">
      <alignment horizontal="center" vertical="center"/>
    </xf>
    <xf numFmtId="176" fontId="4" fillId="3" borderId="1" xfId="0" applyNumberFormat="1" applyFont="1" applyFill="1" applyBorder="1" applyAlignment="1">
      <alignment horizontal="right" vertical="center"/>
    </xf>
    <xf numFmtId="0" fontId="11" fillId="0" borderId="0" xfId="0" applyFont="1" applyAlignment="1">
      <alignment vertical="center" shrinkToFit="1"/>
    </xf>
    <xf numFmtId="176" fontId="4" fillId="4" borderId="1" xfId="0" applyNumberFormat="1" applyFont="1" applyFill="1" applyBorder="1" applyAlignment="1">
      <alignment horizontal="center" vertical="center" wrapText="1"/>
    </xf>
    <xf numFmtId="0" fontId="11" fillId="4" borderId="0" xfId="0" applyFont="1" applyFill="1" applyAlignment="1">
      <alignment horizontal="left" vertical="center" shrinkToFit="1"/>
    </xf>
    <xf numFmtId="0" fontId="11" fillId="4" borderId="1" xfId="0" applyFont="1" applyFill="1" applyBorder="1" applyAlignment="1">
      <alignment horizontal="right" vertical="center"/>
    </xf>
    <xf numFmtId="0" fontId="2" fillId="0" borderId="1" xfId="0" applyFont="1" applyBorder="1" applyAlignment="1">
      <alignment horizontal="right" vertical="center" wrapText="1"/>
    </xf>
    <xf numFmtId="176" fontId="1" fillId="6" borderId="1" xfId="0" applyNumberFormat="1" applyFont="1" applyFill="1" applyBorder="1" applyAlignment="1">
      <alignment horizontal="center" vertical="center" wrapText="1"/>
    </xf>
    <xf numFmtId="0" fontId="1" fillId="0" borderId="1" xfId="0" applyFont="1" applyBorder="1" applyAlignment="1">
      <alignment vertical="center" wrapText="1"/>
    </xf>
    <xf numFmtId="176" fontId="11" fillId="3"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wrapText="1"/>
    </xf>
    <xf numFmtId="0" fontId="40" fillId="5" borderId="1" xfId="0" applyFont="1" applyFill="1" applyBorder="1" applyAlignment="1">
      <alignment horizontal="left" vertical="center"/>
    </xf>
    <xf numFmtId="56" fontId="1" fillId="3" borderId="0" xfId="0" applyNumberFormat="1" applyFont="1" applyFill="1" applyAlignment="1">
      <alignment vertical="center" shrinkToFit="1"/>
    </xf>
    <xf numFmtId="0" fontId="4" fillId="6" borderId="1" xfId="0" applyFont="1" applyFill="1" applyBorder="1" applyAlignment="1">
      <alignment horizontal="right" vertical="center"/>
    </xf>
    <xf numFmtId="14" fontId="4" fillId="3" borderId="1" xfId="0" applyNumberFormat="1" applyFont="1" applyFill="1" applyBorder="1" applyAlignment="1">
      <alignment horizontal="center" vertical="center" wrapText="1"/>
    </xf>
    <xf numFmtId="0" fontId="4" fillId="4" borderId="0" xfId="0" applyFont="1" applyFill="1" applyAlignment="1">
      <alignment horizontal="left" vertical="center" shrinkToFit="1"/>
    </xf>
    <xf numFmtId="176" fontId="9" fillId="0" borderId="1" xfId="0" applyNumberFormat="1" applyFont="1" applyBorder="1" applyAlignment="1">
      <alignment horizontal="right" vertical="center" wrapText="1"/>
    </xf>
    <xf numFmtId="0" fontId="38" fillId="3" borderId="1" xfId="0" applyFont="1" applyFill="1" applyBorder="1" applyAlignment="1">
      <alignment horizontal="center" vertical="center"/>
    </xf>
    <xf numFmtId="49" fontId="1" fillId="3" borderId="1" xfId="0" applyNumberFormat="1" applyFont="1" applyFill="1" applyBorder="1" applyAlignment="1">
      <alignment horizontal="left" vertical="center"/>
    </xf>
    <xf numFmtId="177" fontId="1" fillId="3" borderId="1" xfId="0" applyNumberFormat="1" applyFont="1" applyFill="1" applyBorder="1" applyAlignment="1">
      <alignment horizontal="center" vertical="center"/>
    </xf>
    <xf numFmtId="0" fontId="41" fillId="3" borderId="1" xfId="0" applyFont="1" applyFill="1" applyBorder="1" applyAlignment="1">
      <alignment horizontal="center" vertical="center"/>
    </xf>
    <xf numFmtId="0" fontId="10" fillId="3"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 fillId="3" borderId="1" xfId="0" applyFont="1" applyFill="1" applyBorder="1" applyAlignment="1">
      <alignment horizontal="right" vertical="center" wrapText="1"/>
    </xf>
    <xf numFmtId="0" fontId="20" fillId="0" borderId="1" xfId="0" applyFont="1" applyBorder="1" applyAlignment="1">
      <alignment vertical="center"/>
    </xf>
    <xf numFmtId="176" fontId="11" fillId="4" borderId="1" xfId="0" applyNumberFormat="1" applyFont="1" applyFill="1" applyBorder="1" applyAlignment="1">
      <alignment horizontal="right" vertical="center" wrapText="1"/>
    </xf>
    <xf numFmtId="0" fontId="1" fillId="10" borderId="1" xfId="0" applyFont="1" applyFill="1" applyBorder="1" applyAlignment="1">
      <alignment horizontal="left" vertical="center" wrapText="1"/>
    </xf>
    <xf numFmtId="0" fontId="11" fillId="5" borderId="1" xfId="0" applyFont="1" applyFill="1" applyBorder="1" applyAlignment="1">
      <alignment vertical="center" wrapText="1"/>
    </xf>
    <xf numFmtId="0" fontId="15" fillId="4" borderId="0" xfId="0" applyFont="1" applyFill="1" applyAlignment="1">
      <alignment vertical="center" shrinkToFit="1"/>
    </xf>
    <xf numFmtId="0" fontId="38" fillId="5" borderId="1" xfId="0" applyFont="1" applyFill="1" applyBorder="1" applyAlignment="1">
      <alignment horizontal="left" vertical="center"/>
    </xf>
    <xf numFmtId="0" fontId="4" fillId="10" borderId="1" xfId="0" applyFont="1" applyFill="1" applyBorder="1" applyAlignment="1">
      <alignment horizontal="left" vertical="center" wrapText="1"/>
    </xf>
    <xf numFmtId="0" fontId="4" fillId="4" borderId="0" xfId="0" applyFont="1" applyFill="1" applyAlignment="1">
      <alignment vertical="center" shrinkToFit="1"/>
    </xf>
    <xf numFmtId="0" fontId="20" fillId="3" borderId="1" xfId="0" applyFont="1" applyFill="1" applyBorder="1" applyAlignment="1">
      <alignment horizontal="center" vertical="center"/>
    </xf>
    <xf numFmtId="176" fontId="20" fillId="3" borderId="1" xfId="0" applyNumberFormat="1" applyFont="1" applyFill="1" applyBorder="1" applyAlignment="1">
      <alignment horizontal="center" vertical="center"/>
    </xf>
    <xf numFmtId="0" fontId="20" fillId="3" borderId="1" xfId="0" applyFont="1" applyFill="1" applyBorder="1" applyAlignment="1">
      <alignment vertical="center"/>
    </xf>
    <xf numFmtId="0" fontId="8" fillId="0" borderId="1" xfId="0" applyFont="1" applyBorder="1" applyAlignment="1">
      <alignment vertical="center"/>
    </xf>
    <xf numFmtId="176" fontId="4" fillId="5" borderId="1" xfId="0" applyNumberFormat="1" applyFont="1" applyFill="1" applyBorder="1" applyAlignment="1">
      <alignment horizontal="center" vertical="center" wrapText="1"/>
    </xf>
    <xf numFmtId="0" fontId="15" fillId="5" borderId="1" xfId="0" applyFont="1" applyFill="1" applyBorder="1" applyAlignment="1">
      <alignment horizontal="left" vertical="center" wrapText="1"/>
    </xf>
    <xf numFmtId="0" fontId="1" fillId="11" borderId="1" xfId="0" applyFont="1" applyFill="1" applyBorder="1" applyAlignment="1">
      <alignment horizontal="left" vertical="center"/>
    </xf>
    <xf numFmtId="176" fontId="9" fillId="0" borderId="1" xfId="0" applyNumberFormat="1" applyFont="1" applyBorder="1" applyAlignment="1">
      <alignment horizontal="right" vertical="center" shrinkToFit="1"/>
    </xf>
    <xf numFmtId="3" fontId="1" fillId="3" borderId="1" xfId="0" applyNumberFormat="1" applyFont="1" applyFill="1" applyBorder="1" applyAlignment="1">
      <alignment horizontal="right" vertical="center"/>
    </xf>
    <xf numFmtId="176" fontId="11" fillId="4" borderId="1" xfId="0" applyNumberFormat="1" applyFont="1" applyFill="1" applyBorder="1" applyAlignment="1">
      <alignment horizontal="right" vertical="center" shrinkToFit="1"/>
    </xf>
    <xf numFmtId="0" fontId="1" fillId="10" borderId="1" xfId="0" applyFont="1" applyFill="1" applyBorder="1" applyAlignment="1">
      <alignment horizontal="center" vertical="center" wrapText="1"/>
    </xf>
    <xf numFmtId="0" fontId="37" fillId="0" borderId="1" xfId="0" applyFont="1" applyBorder="1" applyAlignment="1">
      <alignment vertical="center" shrinkToFit="1"/>
    </xf>
    <xf numFmtId="14" fontId="1" fillId="0" borderId="1" xfId="0" applyNumberFormat="1" applyFont="1" applyBorder="1" applyAlignment="1">
      <alignment horizontal="center" vertical="center" wrapText="1"/>
    </xf>
    <xf numFmtId="176" fontId="4" fillId="0" borderId="1" xfId="0" applyNumberFormat="1" applyFont="1" applyBorder="1" applyAlignment="1">
      <alignment horizontal="center" vertical="center"/>
    </xf>
    <xf numFmtId="0" fontId="11" fillId="6" borderId="1" xfId="0" applyFont="1" applyFill="1" applyBorder="1" applyAlignment="1">
      <alignment horizontal="center" vertical="center" wrapText="1"/>
    </xf>
    <xf numFmtId="0" fontId="1" fillId="12" borderId="1" xfId="0" applyFont="1" applyFill="1" applyBorder="1" applyAlignment="1">
      <alignment horizontal="left" vertical="center"/>
    </xf>
    <xf numFmtId="49" fontId="4" fillId="4" borderId="1" xfId="0" applyNumberFormat="1" applyFont="1" applyFill="1" applyBorder="1" applyAlignment="1">
      <alignment horizontal="center" vertical="center"/>
    </xf>
    <xf numFmtId="176" fontId="1" fillId="6" borderId="1" xfId="0" applyNumberFormat="1" applyFont="1" applyFill="1" applyBorder="1" applyAlignment="1">
      <alignment horizontal="right" vertical="center"/>
    </xf>
    <xf numFmtId="14" fontId="4" fillId="0" borderId="1" xfId="0" applyNumberFormat="1" applyFont="1" applyBorder="1" applyAlignment="1">
      <alignment horizontal="left" vertical="center" wrapText="1"/>
    </xf>
    <xf numFmtId="0" fontId="1" fillId="11" borderId="1" xfId="0" applyFont="1" applyFill="1" applyBorder="1" applyAlignment="1">
      <alignment horizontal="left" vertical="center" wrapText="1"/>
    </xf>
    <xf numFmtId="3" fontId="4" fillId="4" borderId="1" xfId="0" applyNumberFormat="1" applyFont="1" applyFill="1" applyBorder="1" applyAlignment="1">
      <alignment horizontal="right" vertical="center" wrapText="1"/>
    </xf>
    <xf numFmtId="14" fontId="1" fillId="4" borderId="1" xfId="0" applyNumberFormat="1" applyFont="1" applyFill="1" applyBorder="1" applyAlignment="1">
      <alignment horizontal="left" vertical="center" wrapText="1"/>
    </xf>
    <xf numFmtId="0" fontId="42" fillId="3" borderId="1" xfId="0" applyFont="1" applyFill="1" applyBorder="1" applyAlignment="1">
      <alignment horizontal="center" vertical="center"/>
    </xf>
    <xf numFmtId="3" fontId="4" fillId="4" borderId="1" xfId="0" applyNumberFormat="1" applyFont="1" applyFill="1" applyBorder="1" applyAlignment="1">
      <alignment horizontal="right" vertical="center"/>
    </xf>
    <xf numFmtId="0" fontId="4" fillId="13" borderId="1" xfId="0" applyFont="1" applyFill="1" applyBorder="1" applyAlignment="1">
      <alignment horizontal="center" vertical="center" wrapText="1"/>
    </xf>
    <xf numFmtId="176" fontId="4" fillId="3" borderId="1" xfId="0" applyNumberFormat="1" applyFont="1" applyFill="1" applyBorder="1" applyAlignment="1">
      <alignment horizontal="left" vertical="center" wrapText="1"/>
    </xf>
    <xf numFmtId="49" fontId="4" fillId="5" borderId="1" xfId="0" applyNumberFormat="1" applyFont="1" applyFill="1" applyBorder="1" applyAlignment="1">
      <alignment horizontal="center" vertical="center"/>
    </xf>
    <xf numFmtId="0" fontId="43" fillId="3" borderId="1" xfId="0" applyFont="1" applyFill="1" applyBorder="1" applyAlignment="1">
      <alignment horizontal="center" vertical="center"/>
    </xf>
    <xf numFmtId="0" fontId="28" fillId="5" borderId="1" xfId="0" applyFont="1" applyFill="1" applyBorder="1" applyAlignment="1">
      <alignment horizontal="center" vertical="center" wrapText="1"/>
    </xf>
    <xf numFmtId="0" fontId="4" fillId="0" borderId="0" xfId="0" applyFont="1" applyAlignment="1">
      <alignment horizontal="left" vertical="center"/>
    </xf>
    <xf numFmtId="0" fontId="5" fillId="0" borderId="1" xfId="0" applyFont="1" applyBorder="1" applyAlignment="1">
      <alignment horizontal="center" vertical="center"/>
    </xf>
    <xf numFmtId="0" fontId="10" fillId="0" borderId="1" xfId="0" applyFont="1" applyBorder="1" applyAlignment="1">
      <alignment horizontal="left" vertical="center"/>
    </xf>
    <xf numFmtId="0" fontId="44" fillId="3" borderId="1" xfId="0" applyFont="1" applyFill="1" applyBorder="1" applyAlignment="1">
      <alignment horizontal="center" vertical="center"/>
    </xf>
    <xf numFmtId="176" fontId="37" fillId="0" borderId="1" xfId="0" applyNumberFormat="1" applyFont="1" applyBorder="1" applyAlignment="1">
      <alignment horizontal="right" vertical="center" shrinkToFit="1"/>
    </xf>
    <xf numFmtId="0" fontId="1" fillId="9" borderId="1" xfId="0" applyFont="1" applyFill="1" applyBorder="1" applyAlignment="1">
      <alignment horizontal="left" vertical="center" wrapText="1"/>
    </xf>
    <xf numFmtId="14" fontId="1" fillId="0" borderId="1" xfId="0" applyNumberFormat="1" applyFont="1" applyBorder="1" applyAlignment="1">
      <alignment horizontal="right" vertical="center" shrinkToFit="1"/>
    </xf>
    <xf numFmtId="0" fontId="38" fillId="0" borderId="0" xfId="0" applyFont="1" applyAlignment="1">
      <alignment horizontal="left" vertical="center"/>
    </xf>
    <xf numFmtId="0" fontId="1" fillId="7" borderId="1" xfId="0" applyFont="1" applyFill="1" applyBorder="1" applyAlignment="1">
      <alignment horizontal="center" vertical="center"/>
    </xf>
    <xf numFmtId="0" fontId="11" fillId="7" borderId="1" xfId="0" applyFont="1" applyFill="1" applyBorder="1" applyAlignment="1">
      <alignment horizontal="center" vertical="center" shrinkToFit="1"/>
    </xf>
    <xf numFmtId="0" fontId="1" fillId="7" borderId="1" xfId="0" applyFont="1" applyFill="1" applyBorder="1" applyAlignment="1">
      <alignment horizontal="center" vertical="center" shrinkToFit="1"/>
    </xf>
    <xf numFmtId="49" fontId="1" fillId="7" borderId="1" xfId="0" applyNumberFormat="1" applyFont="1" applyFill="1" applyBorder="1" applyAlignment="1">
      <alignment horizontal="center" vertical="center"/>
    </xf>
    <xf numFmtId="0" fontId="23" fillId="7" borderId="1" xfId="0" applyFont="1" applyFill="1" applyBorder="1" applyAlignment="1">
      <alignment horizontal="left" vertical="center"/>
    </xf>
    <xf numFmtId="0" fontId="1" fillId="7" borderId="1" xfId="0" applyFont="1" applyFill="1" applyBorder="1" applyAlignment="1">
      <alignment horizontal="left" vertical="center"/>
    </xf>
    <xf numFmtId="0" fontId="1" fillId="7" borderId="1" xfId="0" applyFont="1" applyFill="1" applyBorder="1" applyAlignment="1">
      <alignment horizontal="left" vertical="center" shrinkToFit="1"/>
    </xf>
    <xf numFmtId="176" fontId="1" fillId="7" borderId="1" xfId="0" applyNumberFormat="1" applyFont="1" applyFill="1" applyBorder="1" applyAlignment="1">
      <alignment horizontal="center" vertical="center"/>
    </xf>
    <xf numFmtId="176" fontId="4" fillId="7" borderId="1" xfId="0" applyNumberFormat="1" applyFont="1" applyFill="1" applyBorder="1" applyAlignment="1">
      <alignment horizontal="right" vertical="center" shrinkToFit="1"/>
    </xf>
    <xf numFmtId="176" fontId="4" fillId="7" borderId="1"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0" fontId="1" fillId="7" borderId="1" xfId="0" applyFont="1" applyFill="1" applyBorder="1" applyAlignment="1">
      <alignment horizontal="left" vertical="center" wrapText="1"/>
    </xf>
    <xf numFmtId="0" fontId="11" fillId="7" borderId="1" xfId="0" applyFont="1" applyFill="1" applyBorder="1" applyAlignment="1">
      <alignment vertical="center" shrinkToFit="1"/>
    </xf>
    <xf numFmtId="49" fontId="1" fillId="5" borderId="1" xfId="0" applyNumberFormat="1" applyFont="1" applyFill="1" applyBorder="1" applyAlignment="1">
      <alignment horizontal="center" vertical="center"/>
    </xf>
    <xf numFmtId="0" fontId="4" fillId="0" borderId="1" xfId="0" applyFont="1" applyBorder="1" applyAlignment="1">
      <alignment horizontal="left" vertical="top"/>
    </xf>
    <xf numFmtId="0" fontId="33" fillId="0" borderId="1" xfId="0" applyFont="1" applyBorder="1" applyAlignment="1">
      <alignment vertical="center" shrinkToFit="1"/>
    </xf>
    <xf numFmtId="0" fontId="1" fillId="5" borderId="1" xfId="0" applyFont="1" applyFill="1" applyBorder="1" applyAlignment="1">
      <alignment horizontal="right" vertical="center" wrapText="1"/>
    </xf>
    <xf numFmtId="176" fontId="1" fillId="4" borderId="1" xfId="0" applyNumberFormat="1" applyFont="1" applyFill="1" applyBorder="1" applyAlignment="1">
      <alignment horizontal="right" vertical="center" wrapText="1"/>
    </xf>
    <xf numFmtId="0" fontId="17" fillId="3" borderId="1" xfId="0" applyFont="1" applyFill="1" applyBorder="1" applyAlignment="1">
      <alignment vertical="center" shrinkToFit="1"/>
    </xf>
    <xf numFmtId="0" fontId="45" fillId="0" borderId="1" xfId="0" applyFont="1" applyBorder="1" applyAlignment="1">
      <alignment horizontal="left" vertical="center"/>
    </xf>
    <xf numFmtId="0" fontId="46" fillId="3" borderId="1" xfId="0" applyFont="1" applyFill="1" applyBorder="1" applyAlignment="1">
      <alignment horizontal="center" vertical="center"/>
    </xf>
    <xf numFmtId="49" fontId="11" fillId="0" borderId="1" xfId="0" applyNumberFormat="1" applyFont="1" applyBorder="1" applyAlignment="1">
      <alignment horizontal="center" vertical="center"/>
    </xf>
    <xf numFmtId="0" fontId="11" fillId="5" borderId="1" xfId="0" applyFont="1" applyFill="1" applyBorder="1" applyAlignment="1">
      <alignment vertical="center" shrinkToFit="1"/>
    </xf>
    <xf numFmtId="0" fontId="15" fillId="0" borderId="1" xfId="0" applyFont="1" applyBorder="1" applyAlignment="1">
      <alignment horizontal="left" vertical="center" wrapText="1"/>
    </xf>
    <xf numFmtId="176" fontId="1" fillId="0" borderId="1" xfId="0" applyNumberFormat="1" applyFont="1" applyBorder="1" applyAlignment="1">
      <alignment horizontal="center" vertical="center" shrinkToFit="1"/>
    </xf>
    <xf numFmtId="0" fontId="43" fillId="3" borderId="1" xfId="0" applyFont="1" applyFill="1" applyBorder="1" applyAlignment="1">
      <alignment horizontal="center" vertical="center" shrinkToFit="1"/>
    </xf>
    <xf numFmtId="176" fontId="4" fillId="4" borderId="1" xfId="0" applyNumberFormat="1" applyFont="1" applyFill="1" applyBorder="1" applyAlignment="1">
      <alignment horizontal="center" vertical="center" shrinkToFit="1"/>
    </xf>
    <xf numFmtId="0" fontId="4" fillId="4" borderId="1" xfId="0" applyFont="1" applyFill="1" applyBorder="1" applyAlignment="1">
      <alignment horizontal="center" vertical="center" shrinkToFit="1"/>
    </xf>
    <xf numFmtId="0" fontId="1" fillId="0" borderId="1" xfId="0" applyFont="1" applyBorder="1" applyAlignment="1">
      <alignment vertical="center" shrinkToFit="1"/>
    </xf>
    <xf numFmtId="0" fontId="1" fillId="4" borderId="1" xfId="0" applyFont="1" applyFill="1" applyBorder="1" applyAlignment="1">
      <alignment horizontal="left" vertical="center" shrinkToFit="1"/>
    </xf>
    <xf numFmtId="3" fontId="11" fillId="4" borderId="1" xfId="0" applyNumberFormat="1" applyFont="1" applyFill="1" applyBorder="1" applyAlignment="1">
      <alignment vertical="center" shrinkToFit="1"/>
    </xf>
    <xf numFmtId="0" fontId="1" fillId="9" borderId="1" xfId="0" applyFont="1" applyFill="1" applyBorder="1" applyAlignment="1">
      <alignment vertical="center"/>
    </xf>
    <xf numFmtId="176" fontId="38" fillId="0" borderId="1" xfId="0" applyNumberFormat="1" applyFont="1" applyBorder="1" applyAlignment="1">
      <alignment horizontal="right" vertical="center"/>
    </xf>
    <xf numFmtId="0" fontId="4" fillId="3" borderId="1" xfId="0" applyFont="1" applyFill="1" applyBorder="1" applyAlignment="1">
      <alignment horizontal="center" vertical="center" shrinkToFit="1"/>
    </xf>
    <xf numFmtId="49" fontId="1" fillId="4" borderId="1" xfId="0" applyNumberFormat="1" applyFont="1" applyFill="1" applyBorder="1" applyAlignment="1">
      <alignment vertical="center"/>
    </xf>
    <xf numFmtId="0" fontId="11" fillId="4" borderId="1" xfId="0" applyFont="1" applyFill="1" applyBorder="1" applyAlignment="1">
      <alignment vertical="center"/>
    </xf>
    <xf numFmtId="0" fontId="1" fillId="5" borderId="1" xfId="0" applyFont="1" applyFill="1" applyBorder="1" applyAlignment="1">
      <alignment horizontal="center" vertical="center"/>
    </xf>
    <xf numFmtId="176" fontId="11" fillId="0" borderId="1" xfId="0" applyNumberFormat="1" applyFont="1" applyBorder="1" applyAlignment="1">
      <alignment horizontal="right" vertical="center" wrapText="1"/>
    </xf>
    <xf numFmtId="0" fontId="47" fillId="0" borderId="1" xfId="0" applyFont="1" applyBorder="1" applyAlignment="1">
      <alignment vertical="center" wrapText="1"/>
    </xf>
    <xf numFmtId="14" fontId="4" fillId="4" borderId="1" xfId="0" applyNumberFormat="1" applyFont="1" applyFill="1" applyBorder="1" applyAlignment="1">
      <alignment horizontal="center" vertical="center" wrapText="1"/>
    </xf>
    <xf numFmtId="0" fontId="7" fillId="0" borderId="1" xfId="0" applyFont="1" applyBorder="1" applyAlignment="1">
      <alignment horizontal="center" vertical="center" shrinkToFit="1"/>
    </xf>
    <xf numFmtId="0" fontId="48" fillId="0" borderId="1" xfId="0" applyFont="1" applyBorder="1" applyAlignment="1">
      <alignment horizontal="left" vertical="center"/>
    </xf>
    <xf numFmtId="0" fontId="15" fillId="0" borderId="1" xfId="0" applyFont="1" applyBorder="1" applyAlignment="1">
      <alignment vertical="center" shrinkToFit="1"/>
    </xf>
    <xf numFmtId="0" fontId="1" fillId="4" borderId="1" xfId="0" applyFont="1" applyFill="1" applyBorder="1" applyAlignment="1">
      <alignment horizontal="left" vertical="center"/>
    </xf>
    <xf numFmtId="0" fontId="15" fillId="0" borderId="1" xfId="0" applyFont="1" applyBorder="1" applyAlignment="1">
      <alignment horizontal="center" vertical="center" wrapText="1"/>
    </xf>
    <xf numFmtId="49" fontId="1" fillId="4" borderId="1" xfId="0" applyNumberFormat="1" applyFont="1" applyFill="1" applyBorder="1" applyAlignment="1">
      <alignment horizontal="center" vertical="center"/>
    </xf>
    <xf numFmtId="176" fontId="38" fillId="0" borderId="1" xfId="0" applyNumberFormat="1" applyFont="1" applyBorder="1" applyAlignment="1">
      <alignment horizontal="center" vertical="center"/>
    </xf>
    <xf numFmtId="0" fontId="49" fillId="0" borderId="1" xfId="0" applyFont="1" applyBorder="1" applyAlignment="1">
      <alignment horizontal="left" vertical="center"/>
    </xf>
    <xf numFmtId="0" fontId="10" fillId="0" borderId="1" xfId="0" applyFont="1" applyBorder="1" applyAlignment="1">
      <alignment horizontal="left" vertical="center" shrinkToFit="1"/>
    </xf>
    <xf numFmtId="0" fontId="50" fillId="0" borderId="1" xfId="0" applyFont="1" applyBorder="1" applyAlignment="1">
      <alignment horizontal="center" vertical="center"/>
    </xf>
    <xf numFmtId="0" fontId="51" fillId="0" borderId="1" xfId="0" applyFont="1" applyBorder="1" applyAlignment="1">
      <alignment vertical="center"/>
    </xf>
    <xf numFmtId="176" fontId="51" fillId="0" borderId="1" xfId="0" applyNumberFormat="1" applyFont="1" applyBorder="1" applyAlignment="1">
      <alignment horizontal="center" vertical="center"/>
    </xf>
    <xf numFmtId="176" fontId="51" fillId="0" borderId="1" xfId="0" applyNumberFormat="1" applyFont="1" applyBorder="1" applyAlignment="1">
      <alignment vertical="center"/>
    </xf>
    <xf numFmtId="176" fontId="51" fillId="0" borderId="1" xfId="0" applyNumberFormat="1" applyFont="1" applyBorder="1" applyAlignment="1">
      <alignment horizontal="right" vertical="center"/>
    </xf>
    <xf numFmtId="0" fontId="1" fillId="5" borderId="1" xfId="0" applyFont="1" applyFill="1" applyBorder="1" applyAlignment="1">
      <alignment vertical="center"/>
    </xf>
    <xf numFmtId="0" fontId="52" fillId="0" borderId="1" xfId="0" applyFont="1" applyBorder="1" applyAlignment="1">
      <alignment horizontal="center" vertical="center"/>
    </xf>
    <xf numFmtId="0" fontId="1" fillId="13" borderId="1" xfId="0" applyFont="1" applyFill="1" applyBorder="1" applyAlignment="1">
      <alignment horizontal="center" vertical="center" wrapText="1"/>
    </xf>
    <xf numFmtId="176" fontId="11" fillId="0" borderId="1" xfId="0" applyNumberFormat="1" applyFont="1" applyBorder="1" applyAlignment="1">
      <alignment horizontal="right" vertical="center"/>
    </xf>
    <xf numFmtId="0" fontId="51" fillId="0" borderId="1" xfId="0" applyFont="1" applyBorder="1" applyAlignment="1">
      <alignment horizontal="left" vertical="center"/>
    </xf>
    <xf numFmtId="0" fontId="9" fillId="8"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176" fontId="51" fillId="4" borderId="1" xfId="0" applyNumberFormat="1" applyFont="1" applyFill="1" applyBorder="1" applyAlignment="1">
      <alignment vertical="center"/>
    </xf>
    <xf numFmtId="0" fontId="4" fillId="5" borderId="1" xfId="0" applyFont="1" applyFill="1" applyBorder="1" applyAlignment="1">
      <alignment horizontal="left" vertical="center"/>
    </xf>
    <xf numFmtId="0" fontId="4" fillId="3" borderId="1" xfId="0" applyFont="1" applyFill="1" applyBorder="1" applyAlignment="1">
      <alignment horizontal="center" vertical="center"/>
    </xf>
    <xf numFmtId="0" fontId="4" fillId="0" borderId="1" xfId="0" applyFont="1" applyBorder="1" applyAlignment="1">
      <alignment horizontal="left" vertical="center"/>
    </xf>
    <xf numFmtId="178" fontId="1" fillId="3" borderId="1" xfId="0" applyNumberFormat="1" applyFont="1" applyFill="1" applyBorder="1" applyAlignment="1">
      <alignment horizontal="center" vertical="center"/>
    </xf>
    <xf numFmtId="176" fontId="4" fillId="0" borderId="1" xfId="0" applyNumberFormat="1" applyFont="1" applyBorder="1" applyAlignment="1">
      <alignment vertical="center" shrinkToFit="1"/>
    </xf>
    <xf numFmtId="0" fontId="4" fillId="3" borderId="1" xfId="0" applyFont="1" applyFill="1" applyBorder="1" applyAlignment="1">
      <alignment vertical="center" wrapText="1"/>
    </xf>
    <xf numFmtId="31" fontId="38" fillId="5" borderId="1" xfId="0" applyNumberFormat="1" applyFont="1" applyFill="1" applyBorder="1" applyAlignment="1">
      <alignment horizontal="center" vertical="center"/>
    </xf>
    <xf numFmtId="0" fontId="53" fillId="5" borderId="1" xfId="0" applyFont="1" applyFill="1" applyBorder="1" applyAlignment="1">
      <alignment horizontal="left" vertical="center"/>
    </xf>
    <xf numFmtId="0" fontId="38" fillId="5" borderId="1" xfId="0" applyFont="1" applyFill="1" applyBorder="1" applyAlignment="1">
      <alignment horizontal="center" vertical="center"/>
    </xf>
    <xf numFmtId="176" fontId="38" fillId="5" borderId="1" xfId="0" applyNumberFormat="1" applyFont="1" applyFill="1" applyBorder="1" applyAlignment="1">
      <alignment horizontal="center" vertical="center"/>
    </xf>
    <xf numFmtId="31" fontId="13" fillId="5" borderId="1" xfId="0" applyNumberFormat="1" applyFont="1" applyFill="1" applyBorder="1" applyAlignment="1">
      <alignment horizontal="center" vertical="center"/>
    </xf>
    <xf numFmtId="178" fontId="38" fillId="5" borderId="1" xfId="0" applyNumberFormat="1" applyFont="1" applyFill="1" applyBorder="1" applyAlignment="1">
      <alignment horizontal="center" vertical="center"/>
    </xf>
    <xf numFmtId="0" fontId="54" fillId="5" borderId="1" xfId="0" applyFont="1" applyFill="1" applyBorder="1" applyAlignment="1">
      <alignment horizontal="center" vertical="center"/>
    </xf>
    <xf numFmtId="49" fontId="38" fillId="14" borderId="1" xfId="0" applyNumberFormat="1" applyFont="1" applyFill="1" applyBorder="1" applyAlignment="1">
      <alignment horizontal="left" vertical="center" wrapText="1"/>
    </xf>
    <xf numFmtId="3" fontId="38" fillId="5" borderId="1" xfId="0" applyNumberFormat="1" applyFont="1" applyFill="1" applyBorder="1" applyAlignment="1">
      <alignment horizontal="center" vertical="center"/>
    </xf>
    <xf numFmtId="176" fontId="38" fillId="3" borderId="1" xfId="0" applyNumberFormat="1" applyFont="1" applyFill="1" applyBorder="1" applyAlignment="1">
      <alignment horizontal="center" vertical="center"/>
    </xf>
    <xf numFmtId="0" fontId="38" fillId="3" borderId="1" xfId="0" applyFont="1" applyFill="1" applyBorder="1" applyAlignment="1">
      <alignment horizontal="center" vertical="center" wrapText="1"/>
    </xf>
    <xf numFmtId="0" fontId="38" fillId="5" borderId="1" xfId="0" applyFont="1" applyFill="1" applyBorder="1" applyAlignment="1">
      <alignment horizontal="center" vertical="center" wrapText="1"/>
    </xf>
    <xf numFmtId="49" fontId="38" fillId="5" borderId="1" xfId="0" applyNumberFormat="1" applyFont="1" applyFill="1" applyBorder="1" applyAlignment="1">
      <alignment horizontal="center" vertical="center"/>
    </xf>
    <xf numFmtId="49" fontId="38" fillId="0" borderId="1" xfId="0" applyNumberFormat="1" applyFont="1" applyBorder="1" applyAlignment="1">
      <alignment horizontal="left" vertical="center"/>
    </xf>
    <xf numFmtId="14" fontId="38" fillId="5" borderId="1" xfId="0" applyNumberFormat="1" applyFont="1" applyFill="1" applyBorder="1" applyAlignment="1">
      <alignment horizontal="center" vertical="center"/>
    </xf>
    <xf numFmtId="14" fontId="38" fillId="5" borderId="1" xfId="0" applyNumberFormat="1" applyFont="1" applyFill="1" applyBorder="1" applyAlignment="1">
      <alignment horizontal="right" vertical="center"/>
    </xf>
    <xf numFmtId="0" fontId="28" fillId="5" borderId="1" xfId="0" applyFont="1" applyFill="1" applyBorder="1" applyAlignment="1">
      <alignment horizontal="right" vertical="center"/>
    </xf>
    <xf numFmtId="176" fontId="28" fillId="5" borderId="1" xfId="0" applyNumberFormat="1" applyFont="1" applyFill="1" applyBorder="1" applyAlignment="1">
      <alignment horizontal="right" vertical="center" wrapText="1"/>
    </xf>
    <xf numFmtId="0" fontId="28" fillId="5" borderId="1" xfId="0" applyFont="1" applyFill="1" applyBorder="1" applyAlignment="1">
      <alignment horizontal="left" vertical="center"/>
    </xf>
    <xf numFmtId="178" fontId="1"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7" fillId="3" borderId="1" xfId="0" applyFont="1" applyFill="1" applyBorder="1" applyAlignment="1">
      <alignment horizontal="center" vertical="center" wrapText="1"/>
    </xf>
    <xf numFmtId="31" fontId="4" fillId="3" borderId="1" xfId="0" applyNumberFormat="1" applyFont="1" applyFill="1" applyBorder="1" applyAlignment="1">
      <alignment horizontal="center" vertical="center"/>
    </xf>
    <xf numFmtId="0" fontId="33" fillId="4" borderId="0" xfId="0" applyFont="1" applyFill="1" applyAlignment="1">
      <alignment vertical="center" shrinkToFit="1"/>
    </xf>
    <xf numFmtId="0" fontId="4"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26" fillId="5" borderId="1" xfId="0" applyFont="1" applyFill="1" applyBorder="1" applyAlignment="1">
      <alignment vertical="center"/>
    </xf>
    <xf numFmtId="14" fontId="11" fillId="4" borderId="1" xfId="0" applyNumberFormat="1" applyFont="1" applyFill="1" applyBorder="1" applyAlignment="1">
      <alignment horizontal="right" vertical="center" shrinkToFit="1"/>
    </xf>
    <xf numFmtId="14" fontId="4" fillId="3" borderId="1" xfId="0" applyNumberFormat="1" applyFont="1" applyFill="1" applyBorder="1" applyAlignment="1">
      <alignment horizontal="right" vertical="center" shrinkToFit="1"/>
    </xf>
    <xf numFmtId="0" fontId="37" fillId="3" borderId="1" xfId="0" applyFont="1" applyFill="1" applyBorder="1" applyAlignment="1">
      <alignment vertical="center" shrinkToFit="1"/>
    </xf>
    <xf numFmtId="49" fontId="1" fillId="6" borderId="1" xfId="0" applyNumberFormat="1" applyFont="1" applyFill="1" applyBorder="1" applyAlignment="1">
      <alignment horizontal="center" vertical="center"/>
    </xf>
    <xf numFmtId="0" fontId="1" fillId="0" borderId="0" xfId="0" applyFont="1" applyAlignment="1">
      <alignment horizontal="left" vertical="center"/>
    </xf>
    <xf numFmtId="14" fontId="1" fillId="4" borderId="1" xfId="0" applyNumberFormat="1" applyFont="1" applyFill="1" applyBorder="1" applyAlignment="1">
      <alignment horizontal="center" vertical="center"/>
    </xf>
    <xf numFmtId="179" fontId="1" fillId="0" borderId="1" xfId="0" applyNumberFormat="1" applyFont="1" applyBorder="1" applyAlignment="1">
      <alignment horizontal="center" vertical="center"/>
    </xf>
    <xf numFmtId="176" fontId="1" fillId="0" borderId="1" xfId="0" applyNumberFormat="1" applyFont="1" applyBorder="1" applyAlignment="1">
      <alignment vertical="center" shrinkToFit="1"/>
    </xf>
    <xf numFmtId="3" fontId="1" fillId="5" borderId="1" xfId="0" applyNumberFormat="1" applyFont="1" applyFill="1" applyBorder="1" applyAlignment="1">
      <alignment horizontal="right" vertical="center"/>
    </xf>
    <xf numFmtId="0" fontId="46" fillId="5" borderId="1" xfId="0" applyFont="1" applyFill="1" applyBorder="1" applyAlignment="1">
      <alignment horizontal="center" vertical="center"/>
    </xf>
    <xf numFmtId="176" fontId="1" fillId="6" borderId="1" xfId="0" applyNumberFormat="1" applyFont="1" applyFill="1" applyBorder="1" applyAlignment="1">
      <alignment vertical="center" shrinkToFit="1"/>
    </xf>
    <xf numFmtId="0" fontId="1" fillId="0" borderId="0" xfId="0" applyFont="1" applyAlignment="1">
      <alignment vertical="center"/>
    </xf>
    <xf numFmtId="0" fontId="55" fillId="3" borderId="1" xfId="0" applyFont="1" applyFill="1" applyBorder="1" applyAlignment="1">
      <alignment horizontal="left" vertical="center"/>
    </xf>
    <xf numFmtId="3" fontId="1" fillId="5" borderId="1" xfId="0" applyNumberFormat="1" applyFont="1" applyFill="1" applyBorder="1" applyAlignment="1">
      <alignment vertical="center"/>
    </xf>
    <xf numFmtId="0" fontId="10" fillId="4" borderId="1" xfId="0" applyFont="1" applyFill="1" applyBorder="1" applyAlignment="1">
      <alignment vertical="center" wrapText="1"/>
    </xf>
    <xf numFmtId="0" fontId="37" fillId="0" borderId="0" xfId="0" applyFont="1" applyAlignment="1">
      <alignment vertical="center" shrinkToFit="1"/>
    </xf>
    <xf numFmtId="0" fontId="56" fillId="3" borderId="1" xfId="0" applyFont="1" applyFill="1" applyBorder="1" applyAlignment="1">
      <alignment horizontal="center" vertical="center" shrinkToFit="1"/>
    </xf>
    <xf numFmtId="0" fontId="10" fillId="3" borderId="1" xfId="0" applyFont="1" applyFill="1" applyBorder="1" applyAlignment="1">
      <alignment horizontal="left" vertical="center" shrinkToFit="1"/>
    </xf>
    <xf numFmtId="14" fontId="15" fillId="0" borderId="1" xfId="0" applyNumberFormat="1" applyFont="1" applyBorder="1" applyAlignment="1">
      <alignment vertical="center" shrinkToFit="1"/>
    </xf>
    <xf numFmtId="0" fontId="18" fillId="3" borderId="1" xfId="0" applyFont="1" applyFill="1" applyBorder="1" applyAlignment="1">
      <alignment vertical="center" shrinkToFit="1"/>
    </xf>
    <xf numFmtId="0" fontId="18" fillId="3" borderId="1" xfId="0" applyFont="1" applyFill="1" applyBorder="1" applyAlignment="1">
      <alignment horizontal="center" vertical="center" wrapText="1"/>
    </xf>
    <xf numFmtId="0" fontId="18" fillId="3" borderId="1" xfId="0" applyFont="1" applyFill="1" applyBorder="1" applyAlignment="1">
      <alignment vertical="center" wrapText="1"/>
    </xf>
    <xf numFmtId="0" fontId="41" fillId="0" borderId="1" xfId="0" applyFont="1" applyBorder="1" applyAlignment="1">
      <alignment vertical="center"/>
    </xf>
    <xf numFmtId="31" fontId="10" fillId="3" borderId="1" xfId="0" applyNumberFormat="1" applyFont="1" applyFill="1" applyBorder="1" applyAlignment="1">
      <alignment horizontal="center" vertical="center"/>
    </xf>
    <xf numFmtId="0" fontId="41" fillId="0" borderId="0" xfId="0" applyFont="1" applyAlignment="1">
      <alignment vertical="center"/>
    </xf>
    <xf numFmtId="0" fontId="1" fillId="15" borderId="1" xfId="0" applyFont="1" applyFill="1" applyBorder="1" applyAlignment="1">
      <alignment horizontal="center" vertical="center"/>
    </xf>
    <xf numFmtId="0" fontId="12" fillId="15" borderId="1" xfId="0" applyFont="1" applyFill="1" applyBorder="1" applyAlignment="1">
      <alignment horizontal="center" vertical="center" shrinkToFit="1"/>
    </xf>
    <xf numFmtId="0" fontId="1" fillId="15" borderId="1" xfId="0" applyFont="1" applyFill="1" applyBorder="1" applyAlignment="1">
      <alignment horizontal="center" vertical="center" shrinkToFit="1"/>
    </xf>
    <xf numFmtId="49" fontId="57" fillId="15" borderId="1" xfId="0" applyNumberFormat="1" applyFont="1" applyFill="1" applyBorder="1" applyAlignment="1">
      <alignment horizontal="center" vertical="center"/>
    </xf>
    <xf numFmtId="49" fontId="1" fillId="15" borderId="1" xfId="0" applyNumberFormat="1" applyFont="1" applyFill="1" applyBorder="1" applyAlignment="1">
      <alignment horizontal="center" vertical="center"/>
    </xf>
    <xf numFmtId="0" fontId="1" fillId="15" borderId="1" xfId="0" applyFont="1" applyFill="1" applyBorder="1" applyAlignment="1">
      <alignment horizontal="left" vertical="center"/>
    </xf>
    <xf numFmtId="0" fontId="58" fillId="15" borderId="1" xfId="0" applyFont="1" applyFill="1" applyBorder="1" applyAlignment="1">
      <alignment horizontal="left" vertical="center"/>
    </xf>
    <xf numFmtId="176" fontId="1" fillId="15" borderId="1" xfId="0" applyNumberFormat="1" applyFont="1" applyFill="1" applyBorder="1" applyAlignment="1">
      <alignment horizontal="center" vertical="center"/>
    </xf>
    <xf numFmtId="178" fontId="1" fillId="15" borderId="1" xfId="0" applyNumberFormat="1" applyFont="1" applyFill="1" applyBorder="1" applyAlignment="1">
      <alignment horizontal="center" vertical="center"/>
    </xf>
    <xf numFmtId="0" fontId="55" fillId="15" borderId="1" xfId="0" applyFont="1" applyFill="1" applyBorder="1" applyAlignment="1">
      <alignment horizontal="left" vertical="center"/>
    </xf>
    <xf numFmtId="0" fontId="1" fillId="15" borderId="1" xfId="0" applyFont="1" applyFill="1" applyBorder="1" applyAlignment="1">
      <alignment horizontal="left" vertical="center" wrapText="1"/>
    </xf>
    <xf numFmtId="3" fontId="1" fillId="15" borderId="1" xfId="0" applyNumberFormat="1" applyFont="1" applyFill="1" applyBorder="1" applyAlignment="1">
      <alignment horizontal="right" vertical="center"/>
    </xf>
    <xf numFmtId="176" fontId="1" fillId="15" borderId="1" xfId="0" applyNumberFormat="1" applyFont="1" applyFill="1" applyBorder="1" applyAlignment="1">
      <alignment horizontal="right" vertical="center"/>
    </xf>
    <xf numFmtId="176" fontId="1" fillId="15" borderId="1" xfId="0" applyNumberFormat="1" applyFont="1" applyFill="1" applyBorder="1" applyAlignment="1">
      <alignment horizontal="center" vertical="center" wrapText="1"/>
    </xf>
    <xf numFmtId="177" fontId="1" fillId="15" borderId="1" xfId="0" applyNumberFormat="1" applyFont="1" applyFill="1" applyBorder="1" applyAlignment="1">
      <alignment horizontal="center" vertical="center"/>
    </xf>
    <xf numFmtId="14" fontId="11" fillId="15" borderId="1" xfId="0" applyNumberFormat="1" applyFont="1" applyFill="1" applyBorder="1" applyAlignment="1">
      <alignment horizontal="right" vertical="center" shrinkToFit="1"/>
    </xf>
    <xf numFmtId="0" fontId="11" fillId="15" borderId="1" xfId="0" applyFont="1" applyFill="1" applyBorder="1" applyAlignment="1">
      <alignment vertical="center" shrinkToFit="1"/>
    </xf>
    <xf numFmtId="0" fontId="4" fillId="15" borderId="1" xfId="0" applyFont="1" applyFill="1" applyBorder="1" applyAlignment="1">
      <alignment horizontal="center" vertical="center" wrapText="1"/>
    </xf>
    <xf numFmtId="0" fontId="17" fillId="15" borderId="1" xfId="0" applyFont="1" applyFill="1" applyBorder="1" applyAlignment="1">
      <alignment vertical="center" shrinkToFit="1"/>
    </xf>
    <xf numFmtId="0" fontId="1" fillId="15" borderId="0" xfId="0" applyFont="1" applyFill="1" applyAlignment="1">
      <alignment horizontal="left" vertical="center" wrapText="1"/>
    </xf>
    <xf numFmtId="180" fontId="20" fillId="0" borderId="1" xfId="0" applyNumberFormat="1" applyFont="1" applyBorder="1" applyAlignment="1">
      <alignment horizontal="center" vertical="center"/>
    </xf>
    <xf numFmtId="0" fontId="22" fillId="0" borderId="1" xfId="0" applyFont="1" applyBorder="1" applyAlignment="1">
      <alignment horizontal="left" vertical="center"/>
    </xf>
    <xf numFmtId="0" fontId="1" fillId="3" borderId="1" xfId="0" applyFont="1" applyFill="1" applyBorder="1" applyAlignment="1">
      <alignment vertical="center"/>
    </xf>
    <xf numFmtId="176" fontId="20" fillId="0" borderId="1" xfId="0" applyNumberFormat="1" applyFont="1" applyBorder="1" applyAlignment="1">
      <alignment horizontal="center" vertical="center"/>
    </xf>
    <xf numFmtId="0" fontId="11" fillId="0" borderId="1" xfId="0" applyFont="1" applyBorder="1" applyAlignment="1">
      <alignment horizontal="right" vertical="center" shrinkToFit="1"/>
    </xf>
    <xf numFmtId="176" fontId="41" fillId="3" borderId="1" xfId="0" applyNumberFormat="1" applyFont="1" applyFill="1" applyBorder="1" applyAlignment="1">
      <alignment horizontal="center" vertical="center"/>
    </xf>
    <xf numFmtId="0" fontId="37" fillId="4" borderId="1" xfId="0" applyFont="1" applyFill="1" applyBorder="1" applyAlignment="1">
      <alignment vertical="center" shrinkToFit="1"/>
    </xf>
    <xf numFmtId="0" fontId="23" fillId="0" borderId="0" xfId="0" applyFont="1" applyAlignment="1">
      <alignment horizontal="left" vertical="center" wrapText="1"/>
    </xf>
    <xf numFmtId="0" fontId="40" fillId="0" borderId="1" xfId="0" applyFont="1" applyBorder="1" applyAlignment="1">
      <alignment horizontal="left" vertical="center"/>
    </xf>
    <xf numFmtId="0" fontId="23" fillId="3" borderId="1" xfId="0" applyFont="1" applyFill="1" applyBorder="1" applyAlignment="1">
      <alignment vertical="center"/>
    </xf>
    <xf numFmtId="176" fontId="4" fillId="3" borderId="1" xfId="0" applyNumberFormat="1" applyFont="1" applyFill="1" applyBorder="1" applyAlignment="1">
      <alignment horizontal="right" vertical="center" wrapText="1"/>
    </xf>
    <xf numFmtId="0" fontId="40" fillId="0" borderId="1" xfId="0" applyFont="1" applyBorder="1" applyAlignment="1">
      <alignment horizontal="center" vertical="center"/>
    </xf>
    <xf numFmtId="176" fontId="1" fillId="0" borderId="1" xfId="0" applyNumberFormat="1" applyFont="1" applyBorder="1" applyAlignment="1">
      <alignment horizontal="left" vertical="center" wrapText="1"/>
    </xf>
    <xf numFmtId="0" fontId="23" fillId="3" borderId="0" xfId="0" applyFont="1" applyFill="1" applyAlignment="1">
      <alignment horizontal="left" vertical="center" wrapText="1"/>
    </xf>
    <xf numFmtId="0" fontId="8" fillId="3" borderId="1" xfId="0" applyFont="1" applyFill="1" applyBorder="1" applyAlignment="1">
      <alignment vertical="center"/>
    </xf>
    <xf numFmtId="176" fontId="1" fillId="3" borderId="1" xfId="0" applyNumberFormat="1" applyFont="1" applyFill="1" applyBorder="1" applyAlignment="1">
      <alignment vertical="center" wrapText="1"/>
    </xf>
    <xf numFmtId="176" fontId="10" fillId="0" borderId="1" xfId="0" applyNumberFormat="1" applyFont="1" applyBorder="1" applyAlignment="1">
      <alignment horizontal="center" vertical="center"/>
    </xf>
    <xf numFmtId="176" fontId="4" fillId="3" borderId="1" xfId="0" applyNumberFormat="1" applyFont="1" applyFill="1" applyBorder="1" applyAlignment="1">
      <alignment vertical="center" shrinkToFit="1"/>
    </xf>
    <xf numFmtId="0" fontId="59" fillId="0" borderId="1" xfId="0" applyFont="1" applyBorder="1" applyAlignment="1">
      <alignment horizontal="left" vertical="center" wrapText="1"/>
    </xf>
    <xf numFmtId="0" fontId="33" fillId="3" borderId="1" xfId="0" applyFont="1" applyFill="1" applyBorder="1" applyAlignment="1">
      <alignment horizontal="center" vertical="center" shrinkToFit="1"/>
    </xf>
    <xf numFmtId="14" fontId="2" fillId="3" borderId="1" xfId="0" applyNumberFormat="1" applyFont="1" applyFill="1" applyBorder="1" applyAlignment="1">
      <alignment horizontal="center" vertical="center" wrapText="1"/>
    </xf>
    <xf numFmtId="176" fontId="10" fillId="3" borderId="1" xfId="0" applyNumberFormat="1" applyFont="1" applyFill="1" applyBorder="1" applyAlignment="1">
      <alignment horizontal="center" vertical="center"/>
    </xf>
    <xf numFmtId="0" fontId="22" fillId="3" borderId="1" xfId="0" applyFont="1" applyFill="1" applyBorder="1" applyAlignment="1">
      <alignment horizontal="left" vertical="center"/>
    </xf>
    <xf numFmtId="14" fontId="1" fillId="3" borderId="1" xfId="0" applyNumberFormat="1" applyFont="1" applyFill="1" applyBorder="1" applyAlignment="1">
      <alignment horizontal="center" vertical="center"/>
    </xf>
    <xf numFmtId="0" fontId="60" fillId="3" borderId="1" xfId="0" applyFont="1" applyFill="1" applyBorder="1" applyAlignment="1">
      <alignment vertical="center" shrinkToFit="1"/>
    </xf>
    <xf numFmtId="176" fontId="15" fillId="3" borderId="1" xfId="0" applyNumberFormat="1" applyFont="1" applyFill="1" applyBorder="1" applyAlignment="1">
      <alignment horizontal="center" vertical="center"/>
    </xf>
    <xf numFmtId="0" fontId="18" fillId="4" borderId="1" xfId="0" applyFont="1" applyFill="1" applyBorder="1" applyAlignment="1">
      <alignment horizontal="center" vertical="center"/>
    </xf>
    <xf numFmtId="176" fontId="41" fillId="3" borderId="1" xfId="0" applyNumberFormat="1" applyFont="1" applyFill="1" applyBorder="1" applyAlignment="1">
      <alignment vertical="center"/>
    </xf>
    <xf numFmtId="0" fontId="41" fillId="3" borderId="1" xfId="0" applyFont="1" applyFill="1" applyBorder="1" applyAlignment="1">
      <alignment vertical="center"/>
    </xf>
    <xf numFmtId="14" fontId="15" fillId="3" borderId="1" xfId="0" applyNumberFormat="1" applyFont="1" applyFill="1" applyBorder="1" applyAlignment="1">
      <alignment horizontal="center" vertical="center"/>
    </xf>
    <xf numFmtId="0" fontId="10" fillId="3" borderId="1" xfId="0" applyFont="1" applyFill="1" applyBorder="1" applyAlignment="1">
      <alignment vertical="center"/>
    </xf>
    <xf numFmtId="0" fontId="20" fillId="0" borderId="1" xfId="0" applyFont="1" applyBorder="1"/>
    <xf numFmtId="0" fontId="18" fillId="6" borderId="1" xfId="0" applyFont="1" applyFill="1" applyBorder="1" applyAlignment="1">
      <alignment horizontal="center" vertical="center"/>
    </xf>
    <xf numFmtId="176" fontId="11" fillId="3" borderId="1" xfId="0" applyNumberFormat="1" applyFont="1" applyFill="1" applyBorder="1" applyAlignment="1">
      <alignment vertical="center" shrinkToFit="1"/>
    </xf>
    <xf numFmtId="14" fontId="1" fillId="5" borderId="1" xfId="0" applyNumberFormat="1" applyFont="1" applyFill="1" applyBorder="1" applyAlignment="1">
      <alignment horizontal="center" vertical="center"/>
    </xf>
    <xf numFmtId="14" fontId="33" fillId="3" borderId="1" xfId="0" applyNumberFormat="1" applyFont="1" applyFill="1" applyBorder="1" applyAlignment="1">
      <alignment horizontal="center" vertical="center" shrinkToFit="1"/>
    </xf>
    <xf numFmtId="0" fontId="10" fillId="0" borderId="1" xfId="0" applyFont="1" applyBorder="1" applyAlignment="1">
      <alignment horizontal="center" vertical="center"/>
    </xf>
    <xf numFmtId="0" fontId="17" fillId="5" borderId="1" xfId="0" applyFont="1" applyFill="1" applyBorder="1" applyAlignment="1">
      <alignment vertical="center" shrinkToFit="1"/>
    </xf>
    <xf numFmtId="0" fontId="8" fillId="0" borderId="1" xfId="0" applyFont="1" applyBorder="1"/>
    <xf numFmtId="0" fontId="12" fillId="5" borderId="1" xfId="0" applyFont="1" applyFill="1" applyBorder="1" applyAlignment="1">
      <alignment horizontal="center" vertical="center"/>
    </xf>
    <xf numFmtId="0" fontId="39" fillId="0" borderId="1" xfId="0" applyFont="1" applyBorder="1" applyAlignment="1">
      <alignment vertical="center"/>
    </xf>
    <xf numFmtId="3" fontId="1" fillId="5" borderId="1" xfId="0" applyNumberFormat="1" applyFont="1" applyFill="1" applyBorder="1" applyAlignment="1">
      <alignment horizontal="right" vertical="center" wrapText="1"/>
    </xf>
    <xf numFmtId="0" fontId="39" fillId="0" borderId="1" xfId="0" applyFont="1" applyBorder="1" applyAlignment="1">
      <alignment horizontal="center" vertical="center"/>
    </xf>
    <xf numFmtId="0" fontId="39" fillId="0" borderId="1" xfId="0" quotePrefix="1" applyFont="1" applyBorder="1" applyAlignment="1">
      <alignment vertical="center"/>
    </xf>
    <xf numFmtId="176" fontId="39" fillId="5" borderId="1" xfId="0" applyNumberFormat="1" applyFont="1" applyFill="1" applyBorder="1" applyAlignment="1">
      <alignment vertical="center"/>
    </xf>
    <xf numFmtId="14" fontId="2" fillId="5" borderId="1" xfId="0" applyNumberFormat="1" applyFont="1" applyFill="1" applyBorder="1" applyAlignment="1">
      <alignment vertical="center"/>
    </xf>
    <xf numFmtId="0" fontId="2" fillId="5" borderId="1" xfId="0" applyFont="1" applyFill="1" applyBorder="1" applyAlignment="1">
      <alignment vertical="center"/>
    </xf>
    <xf numFmtId="0" fontId="39" fillId="0" borderId="0" xfId="0" applyFont="1"/>
    <xf numFmtId="0" fontId="8" fillId="0" borderId="1" xfId="0" applyFont="1" applyBorder="1" applyAlignment="1">
      <alignment horizontal="left"/>
    </xf>
    <xf numFmtId="0" fontId="46" fillId="0" borderId="1" xfId="0" applyFont="1" applyBorder="1" applyAlignment="1">
      <alignment horizontal="center" vertical="center"/>
    </xf>
    <xf numFmtId="3" fontId="4" fillId="5" borderId="1" xfId="0" applyNumberFormat="1" applyFont="1" applyFill="1" applyBorder="1" applyAlignment="1">
      <alignment horizontal="right" vertical="center"/>
    </xf>
    <xf numFmtId="176" fontId="9" fillId="5" borderId="1" xfId="0" applyNumberFormat="1" applyFont="1" applyFill="1" applyBorder="1" applyAlignment="1">
      <alignment horizontal="right" vertical="center" shrinkToFit="1"/>
    </xf>
    <xf numFmtId="176" fontId="9" fillId="5" borderId="1" xfId="0" applyNumberFormat="1" applyFont="1" applyFill="1" applyBorder="1" applyAlignment="1">
      <alignment horizontal="left" vertical="center" wrapText="1"/>
    </xf>
    <xf numFmtId="0" fontId="4" fillId="0" borderId="0" xfId="0" applyFont="1" applyAlignment="1">
      <alignment horizontal="left" vertical="top"/>
    </xf>
    <xf numFmtId="0" fontId="12" fillId="5" borderId="1" xfId="0" applyFont="1" applyFill="1" applyBorder="1" applyAlignment="1">
      <alignment horizontal="center" vertical="center" shrinkToFit="1"/>
    </xf>
    <xf numFmtId="0" fontId="1" fillId="5" borderId="1" xfId="0" applyFont="1" applyFill="1" applyBorder="1" applyAlignment="1">
      <alignment horizontal="center" vertical="center" shrinkToFit="1"/>
    </xf>
    <xf numFmtId="0" fontId="23" fillId="5" borderId="1" xfId="0" applyFont="1" applyFill="1" applyBorder="1" applyAlignment="1">
      <alignment horizontal="left"/>
    </xf>
    <xf numFmtId="14" fontId="4" fillId="5" borderId="1" xfId="0" applyNumberFormat="1" applyFont="1" applyFill="1" applyBorder="1" applyAlignment="1">
      <alignment horizontal="center" vertical="center"/>
    </xf>
    <xf numFmtId="3" fontId="4" fillId="5" borderId="1" xfId="0" applyNumberFormat="1" applyFont="1" applyFill="1" applyBorder="1" applyAlignment="1">
      <alignment horizontal="right" vertical="center" wrapText="1"/>
    </xf>
    <xf numFmtId="14" fontId="1" fillId="5" borderId="1" xfId="0" applyNumberFormat="1" applyFont="1" applyFill="1" applyBorder="1" applyAlignment="1">
      <alignment horizontal="center" vertical="center" wrapText="1"/>
    </xf>
    <xf numFmtId="0" fontId="1" fillId="5" borderId="1" xfId="0" applyFont="1" applyFill="1" applyBorder="1" applyAlignment="1">
      <alignment horizontal="right" vertical="center"/>
    </xf>
    <xf numFmtId="176" fontId="4" fillId="5" borderId="1" xfId="0" applyNumberFormat="1" applyFont="1" applyFill="1" applyBorder="1" applyAlignment="1">
      <alignment horizontal="right" vertical="center"/>
    </xf>
    <xf numFmtId="0" fontId="1" fillId="5" borderId="1" xfId="0" quotePrefix="1" applyFont="1" applyFill="1" applyBorder="1" applyAlignment="1">
      <alignment horizontal="center" vertical="center"/>
    </xf>
    <xf numFmtId="176" fontId="1" fillId="5" borderId="1" xfId="0" applyNumberFormat="1" applyFont="1" applyFill="1" applyBorder="1" applyAlignment="1">
      <alignment horizontal="right" vertical="center" wrapText="1"/>
    </xf>
    <xf numFmtId="14" fontId="4" fillId="5" borderId="1" xfId="0" applyNumberFormat="1"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0" borderId="1" xfId="0" applyFont="1" applyBorder="1" applyAlignment="1">
      <alignment horizontal="left" vertical="top" shrinkToFit="1"/>
    </xf>
    <xf numFmtId="0" fontId="4" fillId="0" borderId="0" xfId="0" applyFont="1" applyAlignment="1">
      <alignment horizontal="left" vertical="top" shrinkToFit="1"/>
    </xf>
    <xf numFmtId="0" fontId="23" fillId="0" borderId="1" xfId="0" applyFont="1" applyBorder="1" applyAlignment="1">
      <alignment horizontal="left"/>
    </xf>
    <xf numFmtId="14" fontId="4" fillId="0" borderId="1" xfId="0" applyNumberFormat="1" applyFont="1" applyBorder="1" applyAlignment="1">
      <alignment horizontal="center" vertical="center"/>
    </xf>
    <xf numFmtId="0" fontId="1" fillId="4" borderId="1" xfId="0" quotePrefix="1" applyFont="1" applyFill="1" applyBorder="1" applyAlignment="1">
      <alignment horizontal="center" vertical="center"/>
    </xf>
    <xf numFmtId="14" fontId="4" fillId="0" borderId="1" xfId="0" applyNumberFormat="1" applyFont="1" applyBorder="1" applyAlignment="1">
      <alignment horizontal="center" vertical="center" wrapText="1"/>
    </xf>
    <xf numFmtId="0" fontId="4" fillId="4" borderId="1" xfId="0" applyFont="1" applyFill="1" applyBorder="1" applyAlignment="1">
      <alignment horizontal="left" vertical="top" wrapText="1"/>
    </xf>
    <xf numFmtId="176" fontId="15" fillId="0" borderId="1" xfId="0" applyNumberFormat="1" applyFont="1" applyBorder="1" applyAlignment="1">
      <alignment horizontal="center" vertical="center"/>
    </xf>
    <xf numFmtId="176" fontId="1" fillId="0" borderId="1" xfId="0" applyNumberFormat="1" applyFont="1" applyBorder="1" applyAlignment="1">
      <alignment horizontal="center" vertical="center" wrapText="1"/>
    </xf>
    <xf numFmtId="14" fontId="17"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wrapText="1"/>
    </xf>
    <xf numFmtId="0" fontId="11" fillId="4" borderId="1" xfId="0" applyFont="1" applyFill="1" applyBorder="1" applyAlignment="1">
      <alignment horizontal="left" vertical="top" wrapText="1"/>
    </xf>
    <xf numFmtId="0" fontId="37" fillId="4" borderId="1" xfId="0" applyFont="1" applyFill="1" applyBorder="1" applyAlignment="1">
      <alignment horizontal="left" vertical="top" wrapText="1"/>
    </xf>
    <xf numFmtId="176" fontId="17" fillId="4" borderId="1" xfId="0" applyNumberFormat="1" applyFont="1" applyFill="1" applyBorder="1" applyAlignment="1">
      <alignment horizontal="center" vertical="center"/>
    </xf>
    <xf numFmtId="178" fontId="1" fillId="4" borderId="1" xfId="0" applyNumberFormat="1" applyFont="1" applyFill="1" applyBorder="1" applyAlignment="1">
      <alignment horizontal="center" vertical="center"/>
    </xf>
    <xf numFmtId="3" fontId="4" fillId="6" borderId="1" xfId="0" applyNumberFormat="1" applyFont="1" applyFill="1" applyBorder="1" applyAlignment="1">
      <alignment horizontal="right" vertical="center"/>
    </xf>
    <xf numFmtId="176" fontId="11" fillId="4" borderId="1" xfId="0" applyNumberFormat="1" applyFont="1" applyFill="1" applyBorder="1" applyAlignment="1">
      <alignment vertical="center" shrinkToFit="1"/>
    </xf>
    <xf numFmtId="0" fontId="10" fillId="0" borderId="1" xfId="0" applyFont="1" applyBorder="1" applyAlignment="1">
      <alignment horizontal="center" vertical="center" wrapText="1"/>
    </xf>
    <xf numFmtId="49" fontId="1" fillId="8"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49" fontId="1" fillId="0" borderId="0" xfId="0" applyNumberFormat="1" applyFont="1" applyAlignment="1">
      <alignment vertical="center"/>
    </xf>
    <xf numFmtId="0" fontId="23" fillId="0" borderId="0" xfId="0" applyFont="1" applyAlignment="1">
      <alignment horizontal="left" vertical="center"/>
    </xf>
    <xf numFmtId="176" fontId="1" fillId="0" borderId="0" xfId="0" applyNumberFormat="1" applyFont="1" applyAlignment="1">
      <alignment vertical="center"/>
    </xf>
    <xf numFmtId="3" fontId="1" fillId="0" borderId="0" xfId="0" applyNumberFormat="1" applyFont="1" applyAlignment="1">
      <alignment vertical="center"/>
    </xf>
    <xf numFmtId="176" fontId="1" fillId="0" borderId="0" xfId="0" applyNumberFormat="1" applyFont="1" applyAlignment="1">
      <alignment horizontal="right" vertical="center"/>
    </xf>
    <xf numFmtId="0" fontId="1" fillId="4" borderId="0" xfId="0" applyFont="1" applyFill="1" applyAlignment="1">
      <alignment vertical="center"/>
    </xf>
    <xf numFmtId="0" fontId="1" fillId="0" borderId="0" xfId="0" applyFont="1" applyAlignment="1">
      <alignment horizontal="center" vertical="center"/>
    </xf>
    <xf numFmtId="0" fontId="1" fillId="0" borderId="0" xfId="0" applyFont="1" applyAlignment="1">
      <alignment horizontal="right" vertical="center"/>
    </xf>
    <xf numFmtId="0" fontId="4" fillId="0" borderId="0" xfId="0" applyFont="1" applyAlignment="1">
      <alignment horizontal="center" vertical="center" wrapText="1"/>
    </xf>
    <xf numFmtId="0" fontId="20" fillId="0" borderId="0" xfId="0" applyFont="1"/>
    <xf numFmtId="0" fontId="8" fillId="0" borderId="0" xfId="0" applyFont="1"/>
    <xf numFmtId="14" fontId="8" fillId="0" borderId="0" xfId="0" applyNumberFormat="1" applyFont="1"/>
    <xf numFmtId="21" fontId="8" fillId="0" borderId="0" xfId="0" applyNumberFormat="1" applyFont="1"/>
    <xf numFmtId="0" fontId="20" fillId="0" borderId="0" xfId="0" quotePrefix="1" applyFont="1"/>
    <xf numFmtId="0" fontId="8" fillId="0" borderId="0" xfId="0" quotePrefix="1" applyFont="1"/>
    <xf numFmtId="176" fontId="8" fillId="0" borderId="0" xfId="0" applyNumberFormat="1" applyFont="1"/>
    <xf numFmtId="0" fontId="8" fillId="16" borderId="0" xfId="0" applyFont="1" applyFill="1"/>
    <xf numFmtId="0" fontId="8" fillId="16" borderId="0" xfId="0" applyFont="1" applyFill="1" applyAlignment="1">
      <alignment horizontal="center"/>
    </xf>
    <xf numFmtId="0" fontId="8" fillId="17" borderId="0" xfId="0" applyFont="1" applyFill="1"/>
    <xf numFmtId="0" fontId="8" fillId="0" borderId="0" xfId="0" applyFont="1" applyAlignment="1">
      <alignment horizontal="left"/>
    </xf>
    <xf numFmtId="0" fontId="8" fillId="18" borderId="0" xfId="0" applyFont="1" applyFill="1" applyAlignment="1">
      <alignment horizontal="left"/>
    </xf>
    <xf numFmtId="0" fontId="8" fillId="18" borderId="0" xfId="0" applyFont="1" applyFill="1"/>
    <xf numFmtId="0" fontId="8" fillId="11" borderId="0" xfId="0" applyFont="1" applyFill="1" applyAlignment="1">
      <alignment horizontal="left"/>
    </xf>
    <xf numFmtId="0" fontId="8" fillId="11" borderId="0" xfId="0" applyFont="1" applyFill="1"/>
    <xf numFmtId="0" fontId="25" fillId="16" borderId="0" xfId="0" applyFont="1" applyFill="1"/>
    <xf numFmtId="0" fontId="8" fillId="9" borderId="0" xfId="0" applyFont="1" applyFill="1"/>
    <xf numFmtId="0" fontId="25" fillId="5" borderId="0" xfId="0" applyFont="1" applyFill="1"/>
    <xf numFmtId="0" fontId="61" fillId="5" borderId="0" xfId="0" applyFont="1" applyFill="1"/>
    <xf numFmtId="0" fontId="1" fillId="2" borderId="1" xfId="0" applyFont="1" applyFill="1" applyBorder="1"/>
    <xf numFmtId="0" fontId="7" fillId="2" borderId="1" xfId="0" applyFont="1" applyFill="1" applyBorder="1" applyAlignment="1">
      <alignment horizontal="center" vertical="center"/>
    </xf>
    <xf numFmtId="0" fontId="41" fillId="0" borderId="0" xfId="0" applyFont="1" applyAlignment="1">
      <alignment horizontal="left" vertical="center"/>
    </xf>
    <xf numFmtId="176" fontId="41" fillId="0" borderId="0" xfId="0" applyNumberFormat="1" applyFont="1" applyAlignment="1">
      <alignment vertical="center"/>
    </xf>
    <xf numFmtId="0" fontId="41" fillId="0" borderId="0" xfId="0" applyFont="1" applyAlignment="1">
      <alignment horizontal="center" vertical="center"/>
    </xf>
    <xf numFmtId="0" fontId="8" fillId="8" borderId="1" xfId="0" applyFont="1" applyFill="1" applyBorder="1" applyAlignment="1">
      <alignment horizontal="left"/>
    </xf>
    <xf numFmtId="0" fontId="10" fillId="4" borderId="1" xfId="0" applyFont="1" applyFill="1" applyBorder="1" applyAlignment="1">
      <alignment horizontal="left" vertical="center"/>
    </xf>
    <xf numFmtId="3" fontId="11" fillId="4" borderId="1" xfId="0" applyNumberFormat="1" applyFont="1" applyFill="1" applyBorder="1" applyAlignment="1">
      <alignment horizontal="right" vertical="center"/>
    </xf>
    <xf numFmtId="176" fontId="37" fillId="4" borderId="1" xfId="0" applyNumberFormat="1" applyFont="1" applyFill="1" applyBorder="1" applyAlignment="1">
      <alignment horizontal="right" vertical="center" shrinkToFit="1"/>
    </xf>
    <xf numFmtId="0" fontId="11" fillId="3" borderId="1" xfId="0" applyFont="1" applyFill="1" applyBorder="1" applyAlignment="1">
      <alignment horizontal="left" vertical="top" wrapText="1"/>
    </xf>
    <xf numFmtId="0" fontId="37" fillId="5" borderId="1" xfId="0" applyFont="1" applyFill="1" applyBorder="1" applyAlignment="1">
      <alignment horizontal="left" vertical="center"/>
    </xf>
    <xf numFmtId="0" fontId="10" fillId="5" borderId="1" xfId="0" applyFont="1" applyFill="1" applyBorder="1" applyAlignment="1">
      <alignment horizontal="left" vertical="center" shrinkToFit="1"/>
    </xf>
    <xf numFmtId="0" fontId="15" fillId="5" borderId="1" xfId="0" applyFont="1" applyFill="1" applyBorder="1" applyAlignment="1">
      <alignment horizontal="center" vertical="center"/>
    </xf>
    <xf numFmtId="178" fontId="1" fillId="5" borderId="1" xfId="0" applyNumberFormat="1" applyFont="1" applyFill="1" applyBorder="1" applyAlignment="1">
      <alignment horizontal="center" vertical="center"/>
    </xf>
    <xf numFmtId="0" fontId="22" fillId="5" borderId="1" xfId="0" applyFont="1" applyFill="1" applyBorder="1" applyAlignment="1">
      <alignment horizontal="left" vertical="center"/>
    </xf>
    <xf numFmtId="176" fontId="4" fillId="5" borderId="1" xfId="0" applyNumberFormat="1" applyFont="1" applyFill="1" applyBorder="1" applyAlignment="1">
      <alignment vertical="center" shrinkToFit="1"/>
    </xf>
    <xf numFmtId="0" fontId="37" fillId="5" borderId="1" xfId="0" applyFont="1" applyFill="1" applyBorder="1" applyAlignment="1">
      <alignment vertical="center" shrinkToFit="1"/>
    </xf>
    <xf numFmtId="0" fontId="41" fillId="5" borderId="0" xfId="0" applyFont="1" applyFill="1" applyAlignment="1">
      <alignment vertical="center"/>
    </xf>
    <xf numFmtId="0" fontId="11" fillId="5" borderId="1" xfId="0" applyFont="1" applyFill="1" applyBorder="1" applyAlignment="1">
      <alignment horizontal="center" vertical="center" shrinkToFit="1"/>
    </xf>
    <xf numFmtId="0" fontId="17" fillId="5" borderId="1" xfId="0" applyFont="1" applyFill="1" applyBorder="1" applyAlignment="1">
      <alignment horizontal="center" vertical="center"/>
    </xf>
    <xf numFmtId="176" fontId="11" fillId="5" borderId="1" xfId="0" applyNumberFormat="1" applyFont="1" applyFill="1" applyBorder="1" applyAlignment="1">
      <alignment vertical="center" shrinkToFit="1"/>
    </xf>
    <xf numFmtId="0" fontId="17" fillId="4" borderId="1" xfId="0" applyFont="1" applyFill="1" applyBorder="1" applyAlignment="1">
      <alignment horizontal="center" vertical="center"/>
    </xf>
    <xf numFmtId="0" fontId="11" fillId="4" borderId="0" xfId="0" applyFont="1" applyFill="1" applyAlignment="1">
      <alignment horizontal="left" vertical="top" wrapText="1"/>
    </xf>
    <xf numFmtId="0" fontId="12" fillId="4" borderId="1" xfId="0" applyFont="1" applyFill="1" applyBorder="1" applyAlignment="1">
      <alignment horizontal="center" vertical="center" shrinkToFit="1"/>
    </xf>
    <xf numFmtId="0" fontId="23" fillId="8" borderId="1" xfId="0" applyFont="1" applyFill="1" applyBorder="1" applyAlignment="1">
      <alignment horizontal="left"/>
    </xf>
    <xf numFmtId="0" fontId="12" fillId="0" borderId="0" xfId="0" applyFont="1" applyAlignment="1">
      <alignment horizontal="center" vertical="center" shrinkToFit="1"/>
    </xf>
    <xf numFmtId="0" fontId="1" fillId="0" borderId="0" xfId="0" applyFont="1" applyAlignment="1">
      <alignment horizontal="center" vertical="center" shrinkToFit="1"/>
    </xf>
    <xf numFmtId="49" fontId="1" fillId="0" borderId="0" xfId="0" applyNumberFormat="1" applyFont="1" applyAlignment="1">
      <alignment horizontal="center" vertical="center"/>
    </xf>
    <xf numFmtId="176" fontId="1" fillId="0" borderId="0" xfId="0" applyNumberFormat="1" applyFont="1" applyAlignment="1">
      <alignment horizontal="center" vertical="center"/>
    </xf>
    <xf numFmtId="0" fontId="17" fillId="0" borderId="0" xfId="0" applyFont="1" applyAlignment="1">
      <alignment horizontal="center" vertical="center"/>
    </xf>
    <xf numFmtId="178" fontId="1" fillId="0" borderId="0" xfId="0" applyNumberFormat="1" applyFont="1" applyAlignment="1">
      <alignment horizontal="center" vertical="center"/>
    </xf>
    <xf numFmtId="0" fontId="22" fillId="0" borderId="0" xfId="0" applyFont="1" applyAlignment="1">
      <alignment horizontal="left" vertical="center"/>
    </xf>
    <xf numFmtId="3" fontId="4" fillId="0" borderId="0" xfId="0" applyNumberFormat="1" applyFont="1" applyAlignment="1">
      <alignment horizontal="right" vertical="center"/>
    </xf>
    <xf numFmtId="176" fontId="4" fillId="0" borderId="0" xfId="0" applyNumberFormat="1" applyFont="1" applyAlignment="1">
      <alignment vertical="center" shrinkToFit="1"/>
    </xf>
    <xf numFmtId="176" fontId="11" fillId="0" borderId="0" xfId="0" applyNumberFormat="1" applyFont="1" applyAlignment="1">
      <alignment horizontal="right" vertical="center" shrinkToFit="1"/>
    </xf>
    <xf numFmtId="0" fontId="62" fillId="0" borderId="1" xfId="0" applyFont="1" applyBorder="1" applyAlignment="1">
      <alignment horizontal="left" vertical="center"/>
    </xf>
    <xf numFmtId="0" fontId="55" fillId="0" borderId="1" xfId="0" applyFont="1" applyBorder="1" applyAlignment="1">
      <alignment horizontal="left" vertical="center"/>
    </xf>
    <xf numFmtId="181" fontId="17" fillId="3" borderId="1" xfId="0" applyNumberFormat="1" applyFont="1" applyFill="1" applyBorder="1" applyAlignment="1">
      <alignment horizontal="center" vertical="center"/>
    </xf>
    <xf numFmtId="0" fontId="1" fillId="8" borderId="1" xfId="0" applyFont="1" applyFill="1" applyBorder="1" applyAlignment="1">
      <alignment horizontal="left" vertical="center"/>
    </xf>
    <xf numFmtId="0" fontId="10" fillId="4" borderId="1" xfId="0" applyFont="1" applyFill="1" applyBorder="1" applyAlignment="1">
      <alignment horizontal="left" vertical="center" shrinkToFit="1"/>
    </xf>
    <xf numFmtId="0" fontId="41" fillId="0" borderId="0" xfId="0" applyFont="1"/>
    <xf numFmtId="0" fontId="41" fillId="0" borderId="0" xfId="0" applyFont="1" applyAlignment="1">
      <alignment horizontal="left"/>
    </xf>
    <xf numFmtId="176" fontId="41" fillId="0" borderId="0" xfId="0" applyNumberFormat="1" applyFont="1"/>
    <xf numFmtId="0" fontId="1" fillId="0" borderId="0" xfId="0" applyFont="1"/>
    <xf numFmtId="0" fontId="41" fillId="0" borderId="0" xfId="0" applyFont="1" applyAlignment="1">
      <alignment horizontal="center"/>
    </xf>
    <xf numFmtId="0" fontId="41" fillId="0" borderId="1" xfId="0" applyFont="1" applyBorder="1"/>
    <xf numFmtId="0" fontId="41" fillId="0" borderId="1" xfId="0" applyFont="1" applyBorder="1" applyAlignment="1">
      <alignment horizontal="center" vertical="center"/>
    </xf>
    <xf numFmtId="0" fontId="41" fillId="0" borderId="1" xfId="0" applyFont="1" applyBorder="1" applyAlignment="1">
      <alignment horizontal="left" vertical="center"/>
    </xf>
    <xf numFmtId="14" fontId="41" fillId="0" borderId="1" xfId="0" applyNumberFormat="1" applyFont="1" applyBorder="1" applyAlignment="1">
      <alignment horizontal="center" vertical="center"/>
    </xf>
    <xf numFmtId="0" fontId="33" fillId="0" borderId="0" xfId="0" applyFont="1" applyAlignment="1">
      <alignment horizontal="left" vertical="center"/>
    </xf>
    <xf numFmtId="0" fontId="10" fillId="0" borderId="0" xfId="0" applyFont="1" applyAlignment="1">
      <alignment horizontal="left" vertical="center" shrinkToFit="1"/>
    </xf>
    <xf numFmtId="0" fontId="15" fillId="0" borderId="0" xfId="0" applyFont="1" applyAlignment="1">
      <alignment horizontal="center" vertical="center"/>
    </xf>
    <xf numFmtId="0" fontId="4" fillId="0" borderId="0" xfId="0" applyFont="1" applyAlignment="1">
      <alignment horizontal="right" vertical="center"/>
    </xf>
    <xf numFmtId="0" fontId="33" fillId="0" borderId="1" xfId="0" applyFont="1" applyBorder="1" applyAlignment="1">
      <alignment horizontal="left" vertical="center"/>
    </xf>
    <xf numFmtId="0" fontId="15" fillId="0" borderId="1" xfId="0" applyFont="1" applyBorder="1" applyAlignment="1">
      <alignment horizontal="center" vertical="center"/>
    </xf>
    <xf numFmtId="0" fontId="1" fillId="0" borderId="1" xfId="0" applyFont="1" applyBorder="1" applyAlignment="1">
      <alignment horizontal="left"/>
    </xf>
    <xf numFmtId="0" fontId="33" fillId="15" borderId="1" xfId="0" applyFont="1" applyFill="1" applyBorder="1" applyAlignment="1">
      <alignment horizontal="left" vertical="center"/>
    </xf>
    <xf numFmtId="0" fontId="10" fillId="15" borderId="1" xfId="0" applyFont="1" applyFill="1" applyBorder="1" applyAlignment="1">
      <alignment horizontal="left" vertical="center" shrinkToFit="1"/>
    </xf>
    <xf numFmtId="0" fontId="15" fillId="15" borderId="1" xfId="0" applyFont="1" applyFill="1" applyBorder="1" applyAlignment="1">
      <alignment horizontal="center" vertical="center"/>
    </xf>
    <xf numFmtId="0" fontId="22" fillId="15" borderId="1" xfId="0" applyFont="1" applyFill="1" applyBorder="1" applyAlignment="1">
      <alignment horizontal="left" vertical="center"/>
    </xf>
    <xf numFmtId="0" fontId="4" fillId="15" borderId="1" xfId="0" applyFont="1" applyFill="1" applyBorder="1" applyAlignment="1">
      <alignment horizontal="right" vertical="center"/>
    </xf>
    <xf numFmtId="176" fontId="4" fillId="15" borderId="1" xfId="0" applyNumberFormat="1" applyFont="1" applyFill="1" applyBorder="1" applyAlignment="1">
      <alignment vertical="center" shrinkToFit="1"/>
    </xf>
    <xf numFmtId="0" fontId="1" fillId="15" borderId="1" xfId="0" applyFont="1" applyFill="1" applyBorder="1" applyAlignment="1">
      <alignment horizontal="center" vertical="center" wrapText="1"/>
    </xf>
    <xf numFmtId="0" fontId="1" fillId="15" borderId="1" xfId="0" applyFont="1" applyFill="1" applyBorder="1" applyAlignment="1">
      <alignment vertical="center"/>
    </xf>
    <xf numFmtId="176" fontId="11" fillId="15" borderId="1" xfId="0" applyNumberFormat="1" applyFont="1" applyFill="1" applyBorder="1" applyAlignment="1">
      <alignment horizontal="right" vertical="center" shrinkToFit="1"/>
    </xf>
    <xf numFmtId="0" fontId="37" fillId="15" borderId="1" xfId="0" applyFont="1" applyFill="1" applyBorder="1" applyAlignment="1">
      <alignment vertical="center" shrinkToFit="1"/>
    </xf>
    <xf numFmtId="0" fontId="41" fillId="4" borderId="0" xfId="0" applyFont="1" applyFill="1" applyAlignment="1">
      <alignment vertical="center"/>
    </xf>
    <xf numFmtId="0" fontId="1" fillId="15" borderId="1" xfId="0" applyFont="1" applyFill="1" applyBorder="1" applyAlignment="1">
      <alignment horizontal="left" vertical="center" shrinkToFit="1"/>
    </xf>
    <xf numFmtId="0" fontId="17" fillId="15" borderId="1" xfId="0" applyFont="1" applyFill="1" applyBorder="1" applyAlignment="1">
      <alignment horizontal="center" vertical="center"/>
    </xf>
    <xf numFmtId="3" fontId="4" fillId="15" borderId="1" xfId="0" applyNumberFormat="1" applyFont="1" applyFill="1" applyBorder="1" applyAlignment="1">
      <alignment horizontal="right" vertical="center"/>
    </xf>
    <xf numFmtId="0" fontId="63" fillId="0" borderId="0" xfId="0" applyFont="1"/>
    <xf numFmtId="0" fontId="64" fillId="0" borderId="0" xfId="0" applyFont="1"/>
    <xf numFmtId="0" fontId="64" fillId="0" borderId="5" xfId="0" applyFont="1" applyBorder="1" applyAlignment="1">
      <alignment horizontal="center"/>
    </xf>
    <xf numFmtId="0" fontId="64" fillId="15" borderId="6" xfId="0" applyFont="1" applyFill="1" applyBorder="1"/>
    <xf numFmtId="49" fontId="67" fillId="15" borderId="1" xfId="0" applyNumberFormat="1" applyFont="1" applyFill="1" applyBorder="1" applyAlignment="1">
      <alignment horizontal="center"/>
    </xf>
    <xf numFmtId="0" fontId="64" fillId="0" borderId="8" xfId="0" applyFont="1" applyBorder="1"/>
    <xf numFmtId="0" fontId="64" fillId="0" borderId="9" xfId="0" applyFont="1" applyBorder="1"/>
    <xf numFmtId="0" fontId="64" fillId="4" borderId="10" xfId="0" applyFont="1" applyFill="1" applyBorder="1"/>
    <xf numFmtId="49" fontId="67" fillId="4" borderId="1" xfId="0" applyNumberFormat="1" applyFont="1" applyFill="1" applyBorder="1" applyAlignment="1">
      <alignment horizontal="center"/>
    </xf>
    <xf numFmtId="0" fontId="64" fillId="0" borderId="11" xfId="0" applyFont="1" applyBorder="1"/>
    <xf numFmtId="49" fontId="67" fillId="5" borderId="1" xfId="0" applyNumberFormat="1" applyFont="1" applyFill="1" applyBorder="1" applyAlignment="1">
      <alignment horizontal="center"/>
    </xf>
    <xf numFmtId="0" fontId="64" fillId="0" borderId="12" xfId="0" applyFont="1" applyBorder="1"/>
    <xf numFmtId="0" fontId="64" fillId="4" borderId="6" xfId="0" applyFont="1" applyFill="1" applyBorder="1"/>
    <xf numFmtId="49" fontId="68" fillId="4" borderId="6" xfId="0" applyNumberFormat="1" applyFont="1" applyFill="1" applyBorder="1" applyAlignment="1">
      <alignment horizontal="center"/>
    </xf>
    <xf numFmtId="0" fontId="64" fillId="0" borderId="13" xfId="0" applyFont="1" applyBorder="1"/>
    <xf numFmtId="0" fontId="64" fillId="0" borderId="10" xfId="0" applyFont="1" applyBorder="1"/>
    <xf numFmtId="49" fontId="67" fillId="0" borderId="1" xfId="0" applyNumberFormat="1" applyFont="1" applyBorder="1" applyAlignment="1">
      <alignment horizontal="center"/>
    </xf>
    <xf numFmtId="31" fontId="64" fillId="0" borderId="0" xfId="0" applyNumberFormat="1" applyFont="1"/>
    <xf numFmtId="0" fontId="64" fillId="0" borderId="6" xfId="0" applyFont="1" applyBorder="1" applyAlignment="1">
      <alignment horizontal="center"/>
    </xf>
    <xf numFmtId="49" fontId="67" fillId="7" borderId="1" xfId="0" applyNumberFormat="1" applyFont="1" applyFill="1" applyBorder="1" applyAlignment="1">
      <alignment horizontal="center"/>
    </xf>
    <xf numFmtId="0" fontId="69" fillId="7" borderId="10" xfId="0" applyFont="1" applyFill="1" applyBorder="1" applyAlignment="1">
      <alignment horizontal="center"/>
    </xf>
    <xf numFmtId="0" fontId="69" fillId="0" borderId="10" xfId="0" applyFont="1" applyBorder="1" applyAlignment="1">
      <alignment horizontal="center"/>
    </xf>
    <xf numFmtId="0" fontId="70" fillId="0" borderId="10" xfId="0" applyFont="1" applyBorder="1" applyAlignment="1">
      <alignment horizontal="center"/>
    </xf>
    <xf numFmtId="0" fontId="69" fillId="0" borderId="0" xfId="0" applyFont="1" applyAlignment="1">
      <alignment horizontal="center"/>
    </xf>
    <xf numFmtId="0" fontId="68" fillId="0" borderId="0" xfId="0" applyFont="1"/>
    <xf numFmtId="0" fontId="68" fillId="0" borderId="1" xfId="0" applyFont="1" applyBorder="1" applyAlignment="1">
      <alignment horizontal="center"/>
    </xf>
    <xf numFmtId="0" fontId="73" fillId="0" borderId="1" xfId="0" applyFont="1" applyBorder="1" applyAlignment="1">
      <alignment horizontal="center"/>
    </xf>
    <xf numFmtId="0" fontId="74" fillId="0" borderId="1" xfId="0" applyFont="1" applyBorder="1" applyAlignment="1">
      <alignment horizontal="center"/>
    </xf>
    <xf numFmtId="0" fontId="68" fillId="0" borderId="3" xfId="0" applyFont="1" applyBorder="1"/>
    <xf numFmtId="0" fontId="68" fillId="0" borderId="0" xfId="0" applyFont="1" applyAlignment="1">
      <alignment horizontal="center"/>
    </xf>
    <xf numFmtId="178" fontId="1" fillId="2" borderId="1" xfId="0" applyNumberFormat="1" applyFont="1" applyFill="1" applyBorder="1" applyAlignment="1">
      <alignment horizontal="center" vertical="center"/>
    </xf>
    <xf numFmtId="0" fontId="78" fillId="3" borderId="1" xfId="0" applyFont="1" applyFill="1" applyBorder="1" applyAlignment="1">
      <alignment horizontal="center" vertical="center" shrinkToFit="1"/>
    </xf>
    <xf numFmtId="0" fontId="18" fillId="4" borderId="1" xfId="0" applyFont="1" applyFill="1" applyBorder="1" applyAlignment="1">
      <alignment vertical="center" shrinkToFit="1"/>
    </xf>
    <xf numFmtId="0" fontId="11" fillId="3" borderId="1" xfId="0" applyFont="1" applyFill="1" applyBorder="1" applyAlignment="1">
      <alignment horizontal="right" vertical="center" shrinkToFit="1"/>
    </xf>
    <xf numFmtId="0" fontId="1" fillId="6" borderId="1" xfId="0" applyFont="1" applyFill="1" applyBorder="1" applyAlignment="1">
      <alignment horizontal="left" vertical="center"/>
    </xf>
    <xf numFmtId="0" fontId="11" fillId="7" borderId="0" xfId="0" applyFont="1" applyFill="1" applyAlignment="1">
      <alignment horizontal="left" vertical="center" wrapText="1"/>
    </xf>
    <xf numFmtId="0" fontId="11" fillId="4" borderId="0" xfId="0" applyFont="1" applyFill="1" applyAlignment="1">
      <alignment horizontal="left" vertical="center" wrapText="1"/>
    </xf>
    <xf numFmtId="0" fontId="38" fillId="7" borderId="1" xfId="0" applyFont="1" applyFill="1" applyBorder="1" applyAlignment="1">
      <alignment horizontal="center" vertical="center"/>
    </xf>
    <xf numFmtId="0" fontId="12" fillId="7" borderId="1" xfId="0" applyFont="1" applyFill="1" applyBorder="1" applyAlignment="1">
      <alignment horizontal="center" vertical="center" shrinkToFit="1"/>
    </xf>
    <xf numFmtId="49" fontId="1"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xf>
    <xf numFmtId="0" fontId="1" fillId="7" borderId="1" xfId="0" applyFont="1" applyFill="1" applyBorder="1" applyAlignment="1">
      <alignment horizontal="right" vertical="center"/>
    </xf>
    <xf numFmtId="176" fontId="1" fillId="7" borderId="1" xfId="0" applyNumberFormat="1" applyFont="1" applyFill="1" applyBorder="1" applyAlignment="1">
      <alignment horizontal="right" vertical="center" shrinkToFit="1"/>
    </xf>
    <xf numFmtId="176" fontId="1" fillId="7" borderId="1" xfId="0" applyNumberFormat="1" applyFont="1" applyFill="1" applyBorder="1" applyAlignment="1">
      <alignment horizontal="right" vertical="center"/>
    </xf>
    <xf numFmtId="0" fontId="1" fillId="7" borderId="1" xfId="0" quotePrefix="1" applyFont="1" applyFill="1" applyBorder="1" applyAlignment="1">
      <alignment horizontal="center" vertical="center"/>
    </xf>
    <xf numFmtId="0" fontId="1" fillId="7" borderId="1" xfId="0" applyFont="1" applyFill="1" applyBorder="1" applyAlignment="1">
      <alignment vertical="center" shrinkToFit="1"/>
    </xf>
    <xf numFmtId="176" fontId="1" fillId="7" borderId="1" xfId="0" applyNumberFormat="1" applyFont="1" applyFill="1" applyBorder="1" applyAlignment="1">
      <alignment horizontal="center" vertical="center" wrapText="1"/>
    </xf>
    <xf numFmtId="0" fontId="15" fillId="7" borderId="0" xfId="0" applyFont="1" applyFill="1" applyAlignment="1">
      <alignment vertical="center" shrinkToFit="1"/>
    </xf>
    <xf numFmtId="0" fontId="31" fillId="5" borderId="1" xfId="0" applyFont="1" applyFill="1" applyBorder="1" applyAlignment="1">
      <alignment horizontal="left"/>
    </xf>
    <xf numFmtId="176" fontId="1" fillId="10" borderId="1" xfId="0" applyNumberFormat="1" applyFont="1" applyFill="1" applyBorder="1" applyAlignment="1">
      <alignment horizontal="center" vertical="center"/>
    </xf>
    <xf numFmtId="0" fontId="1" fillId="4" borderId="0" xfId="0" applyFont="1" applyFill="1" applyAlignment="1">
      <alignment horizontal="left" vertical="center" wrapText="1"/>
    </xf>
    <xf numFmtId="176" fontId="4" fillId="3" borderId="1" xfId="0" applyNumberFormat="1" applyFont="1" applyFill="1" applyBorder="1" applyAlignment="1">
      <alignment horizontal="center" vertical="center" shrinkToFit="1"/>
    </xf>
    <xf numFmtId="0" fontId="5" fillId="7" borderId="1" xfId="0" applyFont="1" applyFill="1" applyBorder="1" applyAlignment="1">
      <alignment horizontal="center" vertical="center"/>
    </xf>
    <xf numFmtId="0" fontId="56" fillId="7" borderId="1" xfId="0" applyFont="1" applyFill="1" applyBorder="1" applyAlignment="1">
      <alignment horizontal="center" vertical="center" shrinkToFit="1"/>
    </xf>
    <xf numFmtId="49" fontId="1" fillId="7" borderId="1" xfId="0" applyNumberFormat="1" applyFont="1" applyFill="1" applyBorder="1" applyAlignment="1">
      <alignment horizontal="left" vertical="center"/>
    </xf>
    <xf numFmtId="0" fontId="10" fillId="7" borderId="1" xfId="0" applyFont="1" applyFill="1" applyBorder="1" applyAlignment="1">
      <alignment horizontal="left" vertical="center" shrinkToFit="1"/>
    </xf>
    <xf numFmtId="0" fontId="10" fillId="7" borderId="1" xfId="0" applyFont="1" applyFill="1" applyBorder="1" applyAlignment="1">
      <alignment horizontal="left" vertical="center"/>
    </xf>
    <xf numFmtId="0" fontId="4" fillId="7" borderId="1" xfId="0" applyFont="1" applyFill="1" applyBorder="1" applyAlignment="1">
      <alignment horizontal="center" vertical="center"/>
    </xf>
    <xf numFmtId="176" fontId="13" fillId="7" borderId="1" xfId="0" applyNumberFormat="1" applyFont="1" applyFill="1" applyBorder="1" applyAlignment="1">
      <alignment horizontal="center" vertical="center"/>
    </xf>
    <xf numFmtId="178" fontId="1" fillId="7" borderId="1" xfId="0" applyNumberFormat="1" applyFont="1" applyFill="1" applyBorder="1" applyAlignment="1">
      <alignment horizontal="center" vertical="center"/>
    </xf>
    <xf numFmtId="0" fontId="54" fillId="7" borderId="1" xfId="0" applyFont="1" applyFill="1" applyBorder="1" applyAlignment="1">
      <alignment horizontal="center" vertical="center"/>
    </xf>
    <xf numFmtId="3" fontId="1" fillId="7" borderId="1" xfId="0" applyNumberFormat="1" applyFont="1" applyFill="1" applyBorder="1" applyAlignment="1">
      <alignment horizontal="right" vertical="center"/>
    </xf>
    <xf numFmtId="14" fontId="15" fillId="7" borderId="1" xfId="0" applyNumberFormat="1" applyFont="1" applyFill="1" applyBorder="1" applyAlignment="1">
      <alignment vertical="center" shrinkToFit="1"/>
    </xf>
    <xf numFmtId="176" fontId="11" fillId="7" borderId="1" xfId="0" applyNumberFormat="1" applyFont="1" applyFill="1" applyBorder="1" applyAlignment="1">
      <alignment horizontal="right" vertical="center" shrinkToFit="1"/>
    </xf>
    <xf numFmtId="0" fontId="18" fillId="7" borderId="1" xfId="0" applyFont="1" applyFill="1" applyBorder="1" applyAlignment="1">
      <alignment vertical="center" shrinkToFit="1"/>
    </xf>
    <xf numFmtId="0" fontId="18" fillId="7" borderId="1" xfId="0" applyFont="1" applyFill="1" applyBorder="1" applyAlignment="1">
      <alignment horizontal="center" vertical="center" wrapText="1"/>
    </xf>
    <xf numFmtId="0" fontId="18" fillId="7" borderId="1" xfId="0" applyFont="1" applyFill="1" applyBorder="1" applyAlignment="1">
      <alignment vertical="center" wrapText="1"/>
    </xf>
    <xf numFmtId="0" fontId="17" fillId="7" borderId="1" xfId="0" applyFont="1" applyFill="1" applyBorder="1" applyAlignment="1">
      <alignment vertical="center" wrapText="1"/>
    </xf>
    <xf numFmtId="0" fontId="10" fillId="7" borderId="1" xfId="0" applyFont="1" applyFill="1" applyBorder="1" applyAlignment="1">
      <alignment vertical="center" wrapText="1"/>
    </xf>
    <xf numFmtId="0" fontId="10" fillId="7" borderId="0" xfId="0" applyFont="1" applyFill="1" applyAlignment="1">
      <alignment vertical="center" wrapText="1"/>
    </xf>
    <xf numFmtId="0" fontId="1" fillId="7" borderId="0" xfId="0" applyFont="1" applyFill="1" applyAlignment="1">
      <alignment vertical="center" shrinkToFit="1"/>
    </xf>
    <xf numFmtId="0" fontId="2" fillId="0" borderId="0" xfId="0" applyFont="1" applyAlignment="1">
      <alignment horizontal="left" vertical="center"/>
    </xf>
    <xf numFmtId="0" fontId="1" fillId="6" borderId="1" xfId="0" applyFont="1" applyFill="1" applyBorder="1" applyAlignment="1">
      <alignment horizontal="right" vertical="center" shrinkToFit="1"/>
    </xf>
    <xf numFmtId="0" fontId="38" fillId="5" borderId="1" xfId="0" applyFont="1" applyFill="1" applyBorder="1" applyAlignment="1">
      <alignment horizontal="center"/>
    </xf>
    <xf numFmtId="176" fontId="1" fillId="5" borderId="1" xfId="0" applyNumberFormat="1" applyFont="1" applyFill="1" applyBorder="1" applyAlignment="1">
      <alignment horizontal="right" vertical="center" shrinkToFit="1"/>
    </xf>
    <xf numFmtId="0" fontId="1" fillId="5" borderId="1" xfId="0" applyFont="1" applyFill="1" applyBorder="1" applyAlignment="1">
      <alignment vertical="center" shrinkToFit="1"/>
    </xf>
    <xf numFmtId="0" fontId="1" fillId="5" borderId="1" xfId="0" applyFont="1" applyFill="1" applyBorder="1" applyAlignment="1">
      <alignment horizontal="left" vertical="top" wrapText="1"/>
    </xf>
    <xf numFmtId="0" fontId="4" fillId="5" borderId="0" xfId="0" applyFont="1" applyFill="1" applyAlignment="1">
      <alignment horizontal="left" vertical="top" shrinkToFit="1"/>
    </xf>
    <xf numFmtId="0" fontId="23" fillId="5" borderId="1" xfId="0" applyFont="1" applyFill="1" applyBorder="1" applyAlignment="1">
      <alignment horizontal="left" vertical="center"/>
    </xf>
    <xf numFmtId="0" fontId="1" fillId="5" borderId="0" xfId="0" applyFont="1" applyFill="1" applyAlignment="1">
      <alignment vertical="center" wrapText="1"/>
    </xf>
    <xf numFmtId="49" fontId="1" fillId="5" borderId="0" xfId="0" applyNumberFormat="1" applyFont="1" applyFill="1" applyAlignment="1">
      <alignment horizontal="center" vertical="center"/>
    </xf>
    <xf numFmtId="31" fontId="1" fillId="5" borderId="1" xfId="0" applyNumberFormat="1" applyFont="1" applyFill="1" applyBorder="1" applyAlignment="1">
      <alignment horizontal="center" vertical="center"/>
    </xf>
    <xf numFmtId="176" fontId="4" fillId="5" borderId="1" xfId="0" applyNumberFormat="1" applyFont="1" applyFill="1" applyBorder="1" applyAlignment="1">
      <alignment horizontal="right" vertical="center" wrapText="1"/>
    </xf>
    <xf numFmtId="0" fontId="4" fillId="5" borderId="1" xfId="0" applyFont="1" applyFill="1" applyBorder="1" applyAlignment="1">
      <alignment vertical="center" shrinkToFit="1"/>
    </xf>
    <xf numFmtId="0" fontId="11"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1" fillId="5" borderId="0" xfId="0" applyFont="1" applyFill="1" applyAlignment="1">
      <alignment horizontal="left" vertical="center" wrapText="1"/>
    </xf>
    <xf numFmtId="0" fontId="23" fillId="0" borderId="1" xfId="0" applyFont="1" applyBorder="1"/>
    <xf numFmtId="0" fontId="79" fillId="0" borderId="1" xfId="0" applyFont="1" applyBorder="1" applyAlignment="1">
      <alignment horizontal="left" vertical="center" shrinkToFit="1"/>
    </xf>
    <xf numFmtId="0" fontId="4" fillId="0" borderId="0" xfId="0" applyFont="1" applyAlignment="1">
      <alignment vertical="center" wrapText="1"/>
    </xf>
    <xf numFmtId="0" fontId="17" fillId="6" borderId="1" xfId="0" applyFont="1" applyFill="1" applyBorder="1" applyAlignment="1">
      <alignment horizontal="left" vertical="center" wrapText="1"/>
    </xf>
    <xf numFmtId="176" fontId="38" fillId="4" borderId="1" xfId="0" applyNumberFormat="1" applyFont="1" applyFill="1" applyBorder="1" applyAlignment="1">
      <alignment horizontal="center" vertical="center"/>
    </xf>
    <xf numFmtId="0" fontId="4" fillId="6" borderId="1" xfId="0" applyFont="1" applyFill="1" applyBorder="1" applyAlignment="1">
      <alignment horizontal="left" vertical="center" wrapText="1"/>
    </xf>
    <xf numFmtId="0" fontId="4" fillId="4" borderId="0" xfId="0" applyFont="1" applyFill="1" applyAlignment="1">
      <alignment horizontal="left" vertical="center" wrapText="1"/>
    </xf>
    <xf numFmtId="0" fontId="7" fillId="3" borderId="0" xfId="0" applyFont="1" applyFill="1" applyAlignment="1">
      <alignment vertical="center" wrapText="1"/>
    </xf>
    <xf numFmtId="0" fontId="8" fillId="0" borderId="0" xfId="0" applyFont="1" applyAlignment="1">
      <alignment vertical="center"/>
    </xf>
    <xf numFmtId="0" fontId="80" fillId="0" borderId="1" xfId="0" applyFont="1" applyBorder="1" applyAlignment="1">
      <alignment horizontal="left" vertical="center" wrapText="1"/>
    </xf>
    <xf numFmtId="0" fontId="38" fillId="3" borderId="0" xfId="0" applyFont="1" applyFill="1" applyAlignment="1">
      <alignment horizontal="left" vertical="center" wrapText="1"/>
    </xf>
    <xf numFmtId="0" fontId="4" fillId="3" borderId="0" xfId="0" applyFont="1" applyFill="1" applyAlignment="1">
      <alignment horizontal="left" vertical="center" wrapText="1"/>
    </xf>
    <xf numFmtId="0" fontId="38" fillId="4" borderId="1" xfId="0" applyFont="1" applyFill="1" applyBorder="1" applyAlignment="1">
      <alignment horizontal="left" vertical="center"/>
    </xf>
    <xf numFmtId="0" fontId="11" fillId="5" borderId="0" xfId="0" applyFont="1" applyFill="1" applyAlignment="1">
      <alignment horizontal="left" vertical="center" wrapText="1"/>
    </xf>
    <xf numFmtId="49" fontId="1" fillId="5" borderId="1" xfId="0" applyNumberFormat="1" applyFont="1" applyFill="1" applyBorder="1" applyAlignment="1">
      <alignment horizontal="left" vertical="center"/>
    </xf>
    <xf numFmtId="0" fontId="11" fillId="5" borderId="0" xfId="0" applyFont="1" applyFill="1" applyAlignment="1">
      <alignment horizontal="left" vertical="center" shrinkToFit="1"/>
    </xf>
    <xf numFmtId="0" fontId="59" fillId="5" borderId="1" xfId="0" applyFont="1" applyFill="1" applyBorder="1" applyAlignment="1">
      <alignment vertical="center" shrinkToFit="1"/>
    </xf>
    <xf numFmtId="0" fontId="8" fillId="0" borderId="0" xfId="0" applyFont="1" applyAlignment="1">
      <alignment horizontal="center"/>
    </xf>
    <xf numFmtId="0" fontId="23" fillId="3" borderId="1" xfId="0" applyFont="1" applyFill="1" applyBorder="1" applyAlignment="1">
      <alignment horizontal="left"/>
    </xf>
    <xf numFmtId="0" fontId="1" fillId="0" borderId="1" xfId="0" applyFont="1" applyBorder="1" applyAlignment="1">
      <alignment horizontal="left" vertical="top" wrapText="1"/>
    </xf>
    <xf numFmtId="0" fontId="11" fillId="0" borderId="0" xfId="0" applyFont="1" applyAlignment="1">
      <alignment horizontal="left" vertical="top" shrinkToFit="1"/>
    </xf>
    <xf numFmtId="0" fontId="32" fillId="3" borderId="1" xfId="0" applyFont="1" applyFill="1" applyBorder="1" applyAlignment="1">
      <alignment horizontal="left"/>
    </xf>
    <xf numFmtId="0" fontId="57" fillId="7" borderId="0" xfId="0" applyFont="1" applyFill="1" applyAlignment="1">
      <alignment horizontal="left" vertical="top"/>
    </xf>
    <xf numFmtId="49" fontId="57" fillId="7" borderId="0" xfId="0" applyNumberFormat="1" applyFont="1" applyFill="1" applyAlignment="1">
      <alignment horizontal="center" vertical="top"/>
    </xf>
    <xf numFmtId="0" fontId="57" fillId="0" borderId="0" xfId="0" applyFont="1" applyAlignment="1">
      <alignment horizontal="left" vertical="top"/>
    </xf>
    <xf numFmtId="49" fontId="57" fillId="3" borderId="0" xfId="0" applyNumberFormat="1" applyFont="1" applyFill="1" applyAlignment="1">
      <alignment horizontal="center" vertical="top" wrapText="1"/>
    </xf>
    <xf numFmtId="0" fontId="57" fillId="9" borderId="0" xfId="0" applyFont="1" applyFill="1" applyAlignment="1">
      <alignment horizontal="left" vertical="top" shrinkToFit="1"/>
    </xf>
    <xf numFmtId="0" fontId="57" fillId="0" borderId="0" xfId="0" applyFont="1" applyAlignment="1">
      <alignment horizontal="left" vertical="top" shrinkToFit="1"/>
    </xf>
    <xf numFmtId="0" fontId="57" fillId="12" borderId="0" xfId="0" applyFont="1" applyFill="1" applyAlignment="1">
      <alignment horizontal="left" vertical="top"/>
    </xf>
    <xf numFmtId="49" fontId="57" fillId="0" borderId="0" xfId="0" applyNumberFormat="1" applyFont="1" applyAlignment="1">
      <alignment horizontal="center" vertical="top"/>
    </xf>
    <xf numFmtId="49" fontId="57" fillId="0" borderId="0" xfId="0" applyNumberFormat="1" applyFont="1" applyAlignment="1">
      <alignment horizontal="center" vertical="top" shrinkToFit="1"/>
    </xf>
    <xf numFmtId="0" fontId="57" fillId="3" borderId="0" xfId="0" applyFont="1" applyFill="1" applyAlignment="1">
      <alignment horizontal="left" vertical="top"/>
    </xf>
    <xf numFmtId="49" fontId="57" fillId="3" borderId="0" xfId="0" applyNumberFormat="1" applyFont="1" applyFill="1" applyAlignment="1">
      <alignment horizontal="center" vertical="top"/>
    </xf>
    <xf numFmtId="0" fontId="57" fillId="10" borderId="0" xfId="0" applyFont="1" applyFill="1" applyAlignment="1">
      <alignment horizontal="left" vertical="top"/>
    </xf>
    <xf numFmtId="49" fontId="57" fillId="0" borderId="0" xfId="0" applyNumberFormat="1" applyFont="1" applyAlignment="1">
      <alignment horizontal="center" vertical="top" wrapText="1"/>
    </xf>
    <xf numFmtId="0" fontId="57" fillId="0" borderId="0" xfId="0" applyFont="1" applyAlignment="1">
      <alignment horizontal="left" vertical="top" wrapText="1"/>
    </xf>
    <xf numFmtId="0" fontId="57" fillId="4" borderId="0" xfId="0" applyFont="1" applyFill="1" applyAlignment="1">
      <alignment horizontal="left" vertical="top"/>
    </xf>
    <xf numFmtId="0" fontId="57" fillId="2" borderId="0" xfId="0" applyFont="1" applyFill="1" applyAlignment="1">
      <alignment horizontal="left" vertical="top"/>
    </xf>
    <xf numFmtId="0" fontId="57" fillId="19" borderId="0" xfId="0" applyFont="1" applyFill="1" applyAlignment="1">
      <alignment horizontal="left" vertical="top"/>
    </xf>
    <xf numFmtId="0" fontId="57" fillId="3" borderId="0" xfId="0" applyFont="1" applyFill="1" applyAlignment="1">
      <alignment horizontal="left" vertical="top" wrapText="1"/>
    </xf>
    <xf numFmtId="49" fontId="57" fillId="7" borderId="0" xfId="0" applyNumberFormat="1" applyFont="1" applyFill="1" applyAlignment="1">
      <alignment horizontal="center" vertical="top" shrinkToFit="1"/>
    </xf>
    <xf numFmtId="0" fontId="57" fillId="7" borderId="0" xfId="0" applyFont="1" applyFill="1" applyAlignment="1">
      <alignment horizontal="left" vertical="top" shrinkToFit="1"/>
    </xf>
    <xf numFmtId="0" fontId="57" fillId="3" borderId="0" xfId="0" applyFont="1" applyFill="1" applyAlignment="1">
      <alignment vertical="center" wrapText="1"/>
    </xf>
    <xf numFmtId="0" fontId="57" fillId="0" borderId="0" xfId="0" applyFont="1"/>
    <xf numFmtId="49" fontId="57" fillId="0" borderId="0" xfId="0" applyNumberFormat="1" applyFont="1" applyAlignment="1">
      <alignment horizontal="center"/>
    </xf>
    <xf numFmtId="0" fontId="57" fillId="20" borderId="0" xfId="0" applyFont="1" applyFill="1" applyAlignment="1">
      <alignment horizontal="left" vertical="top"/>
    </xf>
    <xf numFmtId="49" fontId="57" fillId="5" borderId="0" xfId="0" applyNumberFormat="1" applyFont="1" applyFill="1" applyAlignment="1">
      <alignment horizontal="center" vertical="top"/>
    </xf>
    <xf numFmtId="0" fontId="57" fillId="0" borderId="0" xfId="0" applyFont="1" applyAlignment="1">
      <alignment horizontal="right" vertical="top"/>
    </xf>
    <xf numFmtId="0" fontId="57" fillId="5" borderId="0" xfId="0" applyFont="1" applyFill="1" applyAlignment="1">
      <alignment horizontal="left" vertical="top"/>
    </xf>
    <xf numFmtId="49" fontId="57" fillId="5" borderId="0" xfId="0" applyNumberFormat="1" applyFont="1" applyFill="1" applyAlignment="1">
      <alignment horizontal="center" vertical="top" wrapText="1"/>
    </xf>
    <xf numFmtId="177" fontId="57" fillId="0" borderId="0" xfId="0" applyNumberFormat="1" applyFont="1" applyAlignment="1">
      <alignment horizontal="left" vertical="top"/>
    </xf>
    <xf numFmtId="0" fontId="57" fillId="3" borderId="0" xfId="0" applyFont="1" applyFill="1" applyAlignment="1">
      <alignment horizontal="left" vertical="center"/>
    </xf>
    <xf numFmtId="49" fontId="57" fillId="3" borderId="0" xfId="0" applyNumberFormat="1" applyFont="1" applyFill="1" applyAlignment="1">
      <alignment horizontal="center" vertical="center"/>
    </xf>
    <xf numFmtId="0" fontId="57" fillId="0" borderId="0" xfId="0" applyFont="1" applyAlignment="1">
      <alignment horizontal="left" vertical="center"/>
    </xf>
    <xf numFmtId="0" fontId="57" fillId="3" borderId="0" xfId="0" applyFont="1" applyFill="1" applyAlignment="1">
      <alignment horizontal="left" vertical="center" wrapText="1"/>
    </xf>
    <xf numFmtId="0" fontId="81" fillId="0" borderId="0" xfId="0" applyFont="1" applyAlignment="1">
      <alignment horizontal="left" vertical="top"/>
    </xf>
    <xf numFmtId="0" fontId="82" fillId="5" borderId="0" xfId="0" applyFont="1" applyFill="1" applyAlignment="1">
      <alignment horizontal="left"/>
    </xf>
    <xf numFmtId="0" fontId="82" fillId="0" borderId="0" xfId="0" applyFont="1" applyAlignment="1">
      <alignment horizontal="left" vertical="center"/>
    </xf>
    <xf numFmtId="49" fontId="57" fillId="0" borderId="0" xfId="0" applyNumberFormat="1" applyFont="1" applyAlignment="1">
      <alignment horizontal="center" vertical="center"/>
    </xf>
    <xf numFmtId="0" fontId="57" fillId="5" borderId="0" xfId="0" applyFont="1" applyFill="1"/>
    <xf numFmtId="49" fontId="57" fillId="5" borderId="0" xfId="0" applyNumberFormat="1" applyFont="1" applyFill="1" applyAlignment="1">
      <alignment horizontal="center"/>
    </xf>
    <xf numFmtId="0" fontId="57" fillId="5" borderId="0" xfId="0" applyFont="1" applyFill="1" applyAlignment="1">
      <alignment wrapText="1"/>
    </xf>
    <xf numFmtId="49" fontId="57" fillId="0" borderId="0" xfId="0" applyNumberFormat="1" applyFont="1" applyAlignment="1">
      <alignment horizontal="center" wrapText="1"/>
    </xf>
    <xf numFmtId="0" fontId="57" fillId="0" borderId="0" xfId="0" applyFont="1" applyAlignment="1">
      <alignment horizontal="left" vertical="center" shrinkToFit="1"/>
    </xf>
    <xf numFmtId="0" fontId="81" fillId="4" borderId="0" xfId="0" applyFont="1" applyFill="1" applyAlignment="1">
      <alignment horizontal="left" vertical="top"/>
    </xf>
    <xf numFmtId="49" fontId="57" fillId="5" borderId="0" xfId="0" applyNumberFormat="1" applyFont="1" applyFill="1" applyAlignment="1">
      <alignment horizontal="center" wrapText="1"/>
    </xf>
    <xf numFmtId="49" fontId="57" fillId="3" borderId="0" xfId="0" applyNumberFormat="1" applyFont="1" applyFill="1" applyAlignment="1">
      <alignment horizontal="center" vertical="center" wrapText="1"/>
    </xf>
    <xf numFmtId="0" fontId="83" fillId="0" borderId="0" xfId="0" applyFont="1" applyAlignment="1">
      <alignment horizontal="left" vertical="top"/>
    </xf>
    <xf numFmtId="49" fontId="57" fillId="4" borderId="0" xfId="0" applyNumberFormat="1" applyFont="1" applyFill="1" applyAlignment="1">
      <alignment horizontal="center"/>
    </xf>
    <xf numFmtId="0" fontId="81" fillId="0" borderId="0" xfId="0" applyFont="1" applyAlignment="1">
      <alignment horizontal="center" vertical="top"/>
    </xf>
    <xf numFmtId="0" fontId="57" fillId="5" borderId="0" xfId="0" applyFont="1" applyFill="1" applyAlignment="1">
      <alignment horizontal="left" vertical="top" wrapText="1"/>
    </xf>
    <xf numFmtId="0" fontId="82" fillId="5" borderId="0" xfId="0" applyFont="1" applyFill="1" applyAlignment="1">
      <alignment horizontal="left" vertical="center"/>
    </xf>
    <xf numFmtId="0" fontId="81" fillId="3" borderId="0" xfId="0" applyFont="1" applyFill="1" applyAlignment="1">
      <alignment horizontal="left" vertical="center" wrapText="1"/>
    </xf>
    <xf numFmtId="0" fontId="57" fillId="10" borderId="0" xfId="0" applyFont="1" applyFill="1" applyAlignment="1">
      <alignment vertical="top"/>
    </xf>
    <xf numFmtId="0" fontId="57" fillId="0" borderId="0" xfId="0" applyFont="1" applyAlignment="1">
      <alignment vertical="top"/>
    </xf>
    <xf numFmtId="0" fontId="57" fillId="5" borderId="0" xfId="0" applyFont="1" applyFill="1" applyAlignment="1">
      <alignment vertical="top"/>
    </xf>
    <xf numFmtId="0" fontId="81" fillId="0" borderId="0" xfId="0" applyFont="1" applyAlignment="1">
      <alignment vertical="top"/>
    </xf>
    <xf numFmtId="0" fontId="82" fillId="0" borderId="0" xfId="0" applyFont="1" applyAlignment="1">
      <alignment horizontal="left" vertical="top"/>
    </xf>
    <xf numFmtId="49" fontId="57" fillId="4" borderId="0" xfId="0" applyNumberFormat="1" applyFont="1" applyFill="1" applyAlignment="1">
      <alignment horizontal="center" vertical="top"/>
    </xf>
    <xf numFmtId="0" fontId="81" fillId="5" borderId="0" xfId="0" applyFont="1" applyFill="1" applyAlignment="1">
      <alignment horizontal="left" vertical="top"/>
    </xf>
    <xf numFmtId="0" fontId="57" fillId="5" borderId="0" xfId="0" applyFont="1" applyFill="1" applyAlignment="1">
      <alignment horizontal="left" vertical="top" shrinkToFit="1"/>
    </xf>
    <xf numFmtId="0" fontId="81" fillId="0" borderId="0" xfId="0" applyFont="1"/>
    <xf numFmtId="0" fontId="57" fillId="3" borderId="0" xfId="0" applyFont="1" applyFill="1" applyAlignment="1">
      <alignment horizontal="left"/>
    </xf>
    <xf numFmtId="0" fontId="82" fillId="3" borderId="0" xfId="0" applyFont="1" applyFill="1" applyAlignment="1">
      <alignment horizontal="left" vertical="center"/>
    </xf>
    <xf numFmtId="0" fontId="84" fillId="5" borderId="0" xfId="0" applyFont="1" applyFill="1" applyAlignment="1">
      <alignment horizontal="left" vertical="top"/>
    </xf>
    <xf numFmtId="49" fontId="82" fillId="5" borderId="0" xfId="0" applyNumberFormat="1" applyFont="1" applyFill="1" applyAlignment="1">
      <alignment horizontal="center" vertical="top" shrinkToFit="1"/>
    </xf>
    <xf numFmtId="0" fontId="82" fillId="5" borderId="0" xfId="0" applyFont="1" applyFill="1" applyAlignment="1">
      <alignment horizontal="left" vertical="top"/>
    </xf>
    <xf numFmtId="0" fontId="82" fillId="3" borderId="0" xfId="0" applyFont="1" applyFill="1" applyAlignment="1">
      <alignment horizontal="left" vertical="top"/>
    </xf>
    <xf numFmtId="49" fontId="84" fillId="5" borderId="0" xfId="0" applyNumberFormat="1" applyFont="1" applyFill="1" applyAlignment="1">
      <alignment horizontal="center" vertical="top" shrinkToFit="1"/>
    </xf>
    <xf numFmtId="0" fontId="84" fillId="5" borderId="0" xfId="0" applyFont="1" applyFill="1" applyAlignment="1">
      <alignment horizontal="left" vertical="top" shrinkToFit="1"/>
    </xf>
    <xf numFmtId="0" fontId="57" fillId="9" borderId="0" xfId="0" applyFont="1" applyFill="1" applyAlignment="1">
      <alignment vertical="top"/>
    </xf>
    <xf numFmtId="0" fontId="57" fillId="5" borderId="0" xfId="0" applyFont="1" applyFill="1" applyAlignment="1">
      <alignment vertical="top" wrapText="1"/>
    </xf>
    <xf numFmtId="0" fontId="57" fillId="3" borderId="0" xfId="0" applyFont="1" applyFill="1" applyAlignment="1">
      <alignment horizontal="left" vertical="top" shrinkToFit="1"/>
    </xf>
    <xf numFmtId="49" fontId="57" fillId="3" borderId="0" xfId="0" applyNumberFormat="1" applyFont="1" applyFill="1" applyAlignment="1">
      <alignment horizontal="center"/>
    </xf>
    <xf numFmtId="0" fontId="57" fillId="0" borderId="0" xfId="0" applyFont="1" applyAlignment="1">
      <alignment horizontal="left" vertical="center" wrapText="1"/>
    </xf>
    <xf numFmtId="49" fontId="57" fillId="4" borderId="0" xfId="0" applyNumberFormat="1" applyFont="1" applyFill="1" applyAlignment="1">
      <alignment horizontal="center" vertical="center"/>
    </xf>
    <xf numFmtId="0" fontId="57" fillId="3" borderId="0" xfId="0" applyFont="1" applyFill="1"/>
    <xf numFmtId="0" fontId="85" fillId="0" borderId="0" xfId="0" applyFont="1"/>
    <xf numFmtId="0" fontId="57" fillId="3" borderId="0" xfId="0" applyFont="1" applyFill="1" applyAlignment="1">
      <alignment horizontal="left" vertical="center" shrinkToFit="1"/>
    </xf>
    <xf numFmtId="49" fontId="57" fillId="3" borderId="0" xfId="0" applyNumberFormat="1" applyFont="1" applyFill="1" applyAlignment="1">
      <alignment horizontal="center" vertical="top" shrinkToFit="1"/>
    </xf>
    <xf numFmtId="0" fontId="81" fillId="3" borderId="0" xfId="0" applyFont="1" applyFill="1" applyAlignment="1">
      <alignment horizontal="left" vertical="top"/>
    </xf>
    <xf numFmtId="0" fontId="81" fillId="5" borderId="0" xfId="0" applyFont="1" applyFill="1" applyAlignment="1">
      <alignment vertical="top"/>
    </xf>
    <xf numFmtId="0" fontId="57" fillId="3" borderId="0" xfId="0" applyFont="1" applyFill="1" applyAlignment="1">
      <alignment vertical="top"/>
    </xf>
    <xf numFmtId="55" fontId="57" fillId="7" borderId="0" xfId="0" applyNumberFormat="1" applyFont="1" applyFill="1" applyAlignment="1">
      <alignment horizontal="left" vertical="top"/>
    </xf>
    <xf numFmtId="0" fontId="57" fillId="3" borderId="0" xfId="0" applyFont="1" applyFill="1" applyAlignment="1">
      <alignment vertical="center"/>
    </xf>
    <xf numFmtId="0" fontId="57" fillId="5" borderId="0" xfId="0" applyFont="1" applyFill="1" applyAlignment="1">
      <alignment horizontal="left" vertical="center"/>
    </xf>
    <xf numFmtId="49" fontId="57" fillId="5" borderId="0" xfId="0" applyNumberFormat="1" applyFont="1" applyFill="1" applyAlignment="1">
      <alignment horizontal="center" vertical="top" shrinkToFit="1"/>
    </xf>
    <xf numFmtId="55" fontId="57" fillId="3" borderId="0" xfId="0" applyNumberFormat="1" applyFont="1" applyFill="1" applyAlignment="1">
      <alignment horizontal="left" vertical="top"/>
    </xf>
    <xf numFmtId="55" fontId="57" fillId="0" borderId="0" xfId="0" applyNumberFormat="1" applyFont="1" applyAlignment="1">
      <alignment horizontal="left" vertical="top"/>
    </xf>
    <xf numFmtId="55" fontId="57" fillId="5" borderId="0" xfId="0" applyNumberFormat="1" applyFont="1" applyFill="1" applyAlignment="1">
      <alignment horizontal="left" vertical="top"/>
    </xf>
    <xf numFmtId="49" fontId="57" fillId="5" borderId="0" xfId="0" quotePrefix="1" applyNumberFormat="1" applyFont="1" applyFill="1" applyAlignment="1">
      <alignment horizontal="center" vertical="top" shrinkToFit="1"/>
    </xf>
    <xf numFmtId="49" fontId="57" fillId="5" borderId="0" xfId="0" quotePrefix="1" applyNumberFormat="1" applyFont="1" applyFill="1" applyAlignment="1">
      <alignment horizontal="center" vertical="top"/>
    </xf>
    <xf numFmtId="49" fontId="57" fillId="5" borderId="0" xfId="0" quotePrefix="1" applyNumberFormat="1" applyFont="1" applyFill="1" applyAlignment="1">
      <alignment horizontal="center"/>
    </xf>
    <xf numFmtId="0" fontId="81" fillId="20" borderId="0" xfId="0" applyFont="1" applyFill="1" applyAlignment="1">
      <alignment horizontal="left" vertical="top"/>
    </xf>
    <xf numFmtId="49" fontId="1" fillId="3" borderId="0" xfId="0" applyNumberFormat="1" applyFont="1" applyFill="1" applyAlignment="1">
      <alignment horizontal="center" vertical="center" wrapText="1"/>
    </xf>
    <xf numFmtId="0" fontId="1" fillId="5" borderId="0" xfId="0" applyFont="1" applyFill="1" applyAlignment="1">
      <alignment horizontal="left" vertical="center"/>
    </xf>
    <xf numFmtId="0" fontId="1" fillId="3" borderId="0" xfId="0" applyFont="1" applyFill="1" applyAlignment="1">
      <alignment horizontal="left" vertical="center"/>
    </xf>
    <xf numFmtId="0" fontId="20" fillId="0" borderId="0" xfId="0" applyFont="1" applyAlignment="1">
      <alignment vertical="top"/>
    </xf>
    <xf numFmtId="0" fontId="10" fillId="0" borderId="0" xfId="0" applyFont="1" applyAlignment="1">
      <alignment horizontal="left" vertical="center"/>
    </xf>
    <xf numFmtId="49" fontId="57" fillId="4" borderId="0" xfId="0" applyNumberFormat="1" applyFont="1" applyFill="1" applyAlignment="1">
      <alignment horizontal="center" vertical="top" shrinkToFit="1"/>
    </xf>
    <xf numFmtId="0" fontId="20" fillId="4" borderId="0" xfId="0" applyFont="1" applyFill="1" applyAlignment="1">
      <alignment vertical="top"/>
    </xf>
    <xf numFmtId="49" fontId="86" fillId="5" borderId="0" xfId="0" applyNumberFormat="1" applyFont="1" applyFill="1" applyAlignment="1">
      <alignment horizontal="center"/>
    </xf>
    <xf numFmtId="0" fontId="86" fillId="5" borderId="0" xfId="0" applyFont="1" applyFill="1"/>
    <xf numFmtId="49" fontId="57" fillId="0" borderId="0" xfId="0" applyNumberFormat="1" applyFont="1" applyAlignment="1">
      <alignment horizontal="center" vertical="center" shrinkToFit="1"/>
    </xf>
    <xf numFmtId="0" fontId="57" fillId="4" borderId="0" xfId="0" applyFont="1" applyFill="1" applyAlignment="1">
      <alignment horizontal="left" vertical="center" shrinkToFit="1"/>
    </xf>
    <xf numFmtId="0" fontId="82" fillId="4" borderId="0" xfId="0" applyFont="1" applyFill="1" applyAlignment="1">
      <alignment horizontal="left" vertical="top"/>
    </xf>
    <xf numFmtId="0" fontId="81" fillId="4" borderId="0" xfId="0" applyFont="1" applyFill="1" applyAlignment="1">
      <alignment horizontal="left" vertical="top" wrapText="1"/>
    </xf>
    <xf numFmtId="49" fontId="1" fillId="0" borderId="0" xfId="0" applyNumberFormat="1" applyFont="1" applyAlignment="1">
      <alignment horizontal="center" vertical="center" shrinkToFit="1"/>
    </xf>
    <xf numFmtId="0" fontId="1" fillId="4" borderId="0" xfId="0" applyFont="1" applyFill="1" applyAlignment="1">
      <alignment horizontal="left" vertical="center" shrinkToFit="1"/>
    </xf>
    <xf numFmtId="0" fontId="8" fillId="21" borderId="0" xfId="0" applyFont="1" applyFill="1"/>
    <xf numFmtId="31" fontId="8" fillId="0" borderId="0" xfId="0" applyNumberFormat="1" applyFont="1"/>
    <xf numFmtId="3" fontId="8" fillId="0" borderId="0" xfId="0" applyNumberFormat="1" applyFont="1"/>
    <xf numFmtId="14" fontId="20" fillId="0" borderId="0" xfId="0" applyNumberFormat="1" applyFont="1"/>
    <xf numFmtId="0" fontId="58" fillId="0" borderId="0" xfId="0" applyFont="1"/>
    <xf numFmtId="0" fontId="87" fillId="16" borderId="0" xfId="0" applyFont="1" applyFill="1"/>
    <xf numFmtId="0" fontId="32" fillId="5" borderId="0" xfId="0" applyFont="1" applyFill="1"/>
    <xf numFmtId="0" fontId="2" fillId="5" borderId="0" xfId="0" applyFont="1" applyFill="1"/>
    <xf numFmtId="0" fontId="2" fillId="0" borderId="0" xfId="0" applyFont="1"/>
    <xf numFmtId="0" fontId="88" fillId="5" borderId="0" xfId="0" applyFont="1" applyFill="1"/>
    <xf numFmtId="0" fontId="2" fillId="7" borderId="16" xfId="0" applyFont="1" applyFill="1" applyBorder="1"/>
    <xf numFmtId="0" fontId="2" fillId="7" borderId="17" xfId="0" applyFont="1" applyFill="1" applyBorder="1"/>
    <xf numFmtId="0" fontId="2" fillId="7" borderId="18" xfId="0" applyFont="1" applyFill="1" applyBorder="1"/>
    <xf numFmtId="0" fontId="2" fillId="7" borderId="19" xfId="0" applyFont="1" applyFill="1" applyBorder="1"/>
    <xf numFmtId="0" fontId="2" fillId="0" borderId="0" xfId="0" applyFont="1" applyAlignment="1">
      <alignment horizontal="right"/>
    </xf>
    <xf numFmtId="0" fontId="32" fillId="5" borderId="20" xfId="0" applyFont="1" applyFill="1" applyBorder="1"/>
    <xf numFmtId="0" fontId="2" fillId="0" borderId="21" xfId="0" applyFont="1" applyBorder="1"/>
    <xf numFmtId="0" fontId="80" fillId="4" borderId="21" xfId="0" applyFont="1" applyFill="1" applyBorder="1"/>
    <xf numFmtId="176" fontId="2" fillId="0" borderId="21" xfId="0" applyNumberFormat="1" applyFont="1" applyBorder="1"/>
    <xf numFmtId="0" fontId="80" fillId="0" borderId="0" xfId="0" applyFont="1"/>
    <xf numFmtId="0" fontId="32" fillId="22" borderId="23" xfId="0" applyFont="1" applyFill="1" applyBorder="1"/>
    <xf numFmtId="0" fontId="2" fillId="22" borderId="24" xfId="0" applyFont="1" applyFill="1" applyBorder="1"/>
    <xf numFmtId="176" fontId="2" fillId="22" borderId="24" xfId="0" applyNumberFormat="1" applyFont="1" applyFill="1" applyBorder="1"/>
    <xf numFmtId="0" fontId="32" fillId="5" borderId="23" xfId="0" applyFont="1" applyFill="1" applyBorder="1"/>
    <xf numFmtId="0" fontId="2" fillId="0" borderId="24" xfId="0" applyFont="1" applyBorder="1"/>
    <xf numFmtId="0" fontId="80" fillId="4" borderId="24" xfId="0" applyFont="1" applyFill="1" applyBorder="1"/>
    <xf numFmtId="176" fontId="2" fillId="0" borderId="24" xfId="0" applyNumberFormat="1" applyFont="1" applyBorder="1"/>
    <xf numFmtId="3" fontId="2" fillId="0" borderId="24" xfId="0" applyNumberFormat="1" applyFont="1" applyBorder="1"/>
    <xf numFmtId="0" fontId="32" fillId="5" borderId="25" xfId="0" applyFont="1" applyFill="1" applyBorder="1"/>
    <xf numFmtId="0" fontId="2" fillId="0" borderId="26" xfId="0" applyFont="1" applyBorder="1"/>
    <xf numFmtId="0" fontId="2" fillId="4" borderId="26" xfId="0" applyFont="1" applyFill="1" applyBorder="1"/>
    <xf numFmtId="176" fontId="2" fillId="0" borderId="26" xfId="0" applyNumberFormat="1" applyFont="1" applyBorder="1"/>
    <xf numFmtId="3" fontId="2" fillId="0" borderId="26" xfId="0" applyNumberFormat="1" applyFont="1" applyBorder="1"/>
    <xf numFmtId="0" fontId="88" fillId="5" borderId="27" xfId="0" applyFont="1" applyFill="1" applyBorder="1"/>
    <xf numFmtId="0" fontId="2" fillId="0" borderId="28" xfId="0" applyFont="1" applyBorder="1"/>
    <xf numFmtId="176" fontId="2" fillId="0" borderId="28" xfId="0" applyNumberFormat="1" applyFont="1" applyBorder="1"/>
    <xf numFmtId="3" fontId="2" fillId="0" borderId="28" xfId="0" applyNumberFormat="1" applyFont="1" applyBorder="1"/>
    <xf numFmtId="0" fontId="2" fillId="0" borderId="29" xfId="0" applyFont="1" applyBorder="1"/>
    <xf numFmtId="0" fontId="32" fillId="5" borderId="31" xfId="0" applyFont="1" applyFill="1" applyBorder="1"/>
    <xf numFmtId="0" fontId="2" fillId="0" borderId="32" xfId="0" applyFont="1" applyBorder="1"/>
    <xf numFmtId="176" fontId="2" fillId="0" borderId="32" xfId="0" applyNumberFormat="1" applyFont="1" applyBorder="1"/>
    <xf numFmtId="0" fontId="2" fillId="3" borderId="32" xfId="0" applyFont="1" applyFill="1" applyBorder="1"/>
    <xf numFmtId="3" fontId="2" fillId="0" borderId="32" xfId="0" applyNumberFormat="1" applyFont="1" applyBorder="1"/>
    <xf numFmtId="0" fontId="2" fillId="0" borderId="33" xfId="0" applyFont="1" applyBorder="1"/>
    <xf numFmtId="0" fontId="2" fillId="5" borderId="24" xfId="0" applyFont="1" applyFill="1" applyBorder="1"/>
    <xf numFmtId="0" fontId="32" fillId="5" borderId="24" xfId="0" applyFont="1" applyFill="1" applyBorder="1"/>
    <xf numFmtId="176" fontId="2" fillId="5" borderId="24" xfId="0" applyNumberFormat="1" applyFont="1" applyFill="1" applyBorder="1"/>
    <xf numFmtId="3" fontId="2" fillId="5" borderId="24" xfId="0" applyNumberFormat="1" applyFont="1" applyFill="1" applyBorder="1"/>
    <xf numFmtId="0" fontId="2" fillId="4" borderId="24" xfId="0" applyFont="1" applyFill="1" applyBorder="1"/>
    <xf numFmtId="176" fontId="2" fillId="4" borderId="24" xfId="0" applyNumberFormat="1" applyFont="1" applyFill="1" applyBorder="1"/>
    <xf numFmtId="0" fontId="32" fillId="0" borderId="25" xfId="0" applyFont="1" applyBorder="1"/>
    <xf numFmtId="49" fontId="2" fillId="0" borderId="35" xfId="0" applyNumberFormat="1" applyFont="1" applyBorder="1" applyAlignment="1">
      <alignment horizontal="left" vertical="center"/>
    </xf>
    <xf numFmtId="0" fontId="2" fillId="0" borderId="36" xfId="0" applyFont="1" applyBorder="1"/>
    <xf numFmtId="176" fontId="2" fillId="0" borderId="36" xfId="0" applyNumberFormat="1" applyFont="1" applyBorder="1"/>
    <xf numFmtId="3" fontId="2" fillId="0" borderId="36" xfId="0" applyNumberFormat="1" applyFont="1" applyBorder="1"/>
    <xf numFmtId="49" fontId="2" fillId="0" borderId="37" xfId="0" applyNumberFormat="1" applyFont="1" applyBorder="1" applyAlignment="1">
      <alignment horizontal="left" vertical="center"/>
    </xf>
    <xf numFmtId="0" fontId="2" fillId="0" borderId="38" xfId="0" applyFont="1" applyBorder="1"/>
    <xf numFmtId="176" fontId="2" fillId="0" borderId="38" xfId="0" applyNumberFormat="1" applyFont="1" applyBorder="1"/>
    <xf numFmtId="3" fontId="2" fillId="0" borderId="38" xfId="0" applyNumberFormat="1" applyFont="1" applyBorder="1"/>
    <xf numFmtId="49" fontId="2" fillId="0" borderId="27" xfId="0" applyNumberFormat="1" applyFont="1" applyBorder="1" applyAlignment="1">
      <alignment horizontal="left" vertical="center"/>
    </xf>
    <xf numFmtId="0" fontId="32" fillId="4" borderId="0" xfId="0" applyFont="1" applyFill="1"/>
    <xf numFmtId="49" fontId="2" fillId="15" borderId="23" xfId="0" applyNumberFormat="1" applyFont="1" applyFill="1" applyBorder="1" applyAlignment="1">
      <alignment horizontal="left" vertical="center"/>
    </xf>
    <xf numFmtId="0" fontId="2" fillId="15" borderId="24" xfId="0" applyFont="1" applyFill="1" applyBorder="1"/>
    <xf numFmtId="176" fontId="2" fillId="15" borderId="24" xfId="0" applyNumberFormat="1" applyFont="1" applyFill="1" applyBorder="1"/>
    <xf numFmtId="49" fontId="2" fillId="0" borderId="23" xfId="0" applyNumberFormat="1" applyFont="1" applyBorder="1" applyAlignment="1">
      <alignment horizontal="left" vertical="center"/>
    </xf>
    <xf numFmtId="0" fontId="32" fillId="0" borderId="0" xfId="0" applyFont="1"/>
    <xf numFmtId="3" fontId="2" fillId="3" borderId="24" xfId="0" applyNumberFormat="1" applyFont="1" applyFill="1" applyBorder="1"/>
    <xf numFmtId="49" fontId="2" fillId="15" borderId="31" xfId="0" applyNumberFormat="1" applyFont="1" applyFill="1" applyBorder="1" applyAlignment="1">
      <alignment horizontal="left" vertical="center"/>
    </xf>
    <xf numFmtId="0" fontId="2" fillId="15" borderId="32" xfId="0" applyFont="1" applyFill="1" applyBorder="1"/>
    <xf numFmtId="176" fontId="2" fillId="15" borderId="32" xfId="0" applyNumberFormat="1" applyFont="1" applyFill="1" applyBorder="1"/>
    <xf numFmtId="0" fontId="80" fillId="3" borderId="0" xfId="0" applyFont="1" applyFill="1"/>
    <xf numFmtId="0" fontId="2" fillId="3" borderId="0" xfId="0" applyFont="1" applyFill="1"/>
    <xf numFmtId="49" fontId="2" fillId="3" borderId="20" xfId="0" applyNumberFormat="1" applyFont="1" applyFill="1" applyBorder="1" applyAlignment="1">
      <alignment horizontal="left" vertical="center"/>
    </xf>
    <xf numFmtId="3" fontId="2" fillId="0" borderId="21" xfId="0" applyNumberFormat="1" applyFont="1" applyBorder="1"/>
    <xf numFmtId="49" fontId="2" fillId="3" borderId="25" xfId="0" applyNumberFormat="1" applyFont="1" applyFill="1" applyBorder="1" applyAlignment="1">
      <alignment horizontal="left" vertical="center"/>
    </xf>
    <xf numFmtId="3" fontId="2" fillId="5" borderId="28" xfId="0" applyNumberFormat="1" applyFont="1" applyFill="1" applyBorder="1"/>
    <xf numFmtId="0" fontId="2" fillId="15" borderId="31" xfId="0" applyFont="1" applyFill="1" applyBorder="1"/>
    <xf numFmtId="0" fontId="88" fillId="5" borderId="39" xfId="0" applyFont="1" applyFill="1" applyBorder="1"/>
    <xf numFmtId="0" fontId="2" fillId="0" borderId="40" xfId="0" applyFont="1" applyBorder="1"/>
    <xf numFmtId="0" fontId="32" fillId="0" borderId="40" xfId="0" applyFont="1" applyBorder="1"/>
    <xf numFmtId="176" fontId="2" fillId="0" borderId="40" xfId="0" applyNumberFormat="1" applyFont="1" applyBorder="1"/>
    <xf numFmtId="3" fontId="2" fillId="4" borderId="40" xfId="0" applyNumberFormat="1" applyFont="1" applyFill="1" applyBorder="1"/>
    <xf numFmtId="0" fontId="32" fillId="5" borderId="41" xfId="0" applyFont="1" applyFill="1" applyBorder="1"/>
    <xf numFmtId="0" fontId="2" fillId="0" borderId="42" xfId="0" applyFont="1" applyBorder="1"/>
    <xf numFmtId="0" fontId="32" fillId="5" borderId="42" xfId="0" applyFont="1" applyFill="1" applyBorder="1"/>
    <xf numFmtId="176" fontId="2" fillId="0" borderId="42" xfId="0" applyNumberFormat="1" applyFont="1" applyBorder="1"/>
    <xf numFmtId="3" fontId="2" fillId="4" borderId="42" xfId="0" applyNumberFormat="1" applyFont="1" applyFill="1" applyBorder="1"/>
    <xf numFmtId="3" fontId="2" fillId="3" borderId="21" xfId="0" applyNumberFormat="1" applyFont="1" applyFill="1" applyBorder="1"/>
    <xf numFmtId="0" fontId="2" fillId="0" borderId="23" xfId="0" applyFont="1" applyBorder="1" applyAlignment="1">
      <alignment horizontal="left"/>
    </xf>
    <xf numFmtId="0" fontId="2" fillId="15" borderId="31" xfId="0" applyFont="1" applyFill="1" applyBorder="1" applyAlignment="1">
      <alignment horizontal="left"/>
    </xf>
    <xf numFmtId="0" fontId="2" fillId="15" borderId="33" xfId="0" applyFont="1" applyFill="1" applyBorder="1"/>
    <xf numFmtId="0" fontId="80" fillId="15" borderId="33" xfId="0" applyFont="1" applyFill="1" applyBorder="1"/>
    <xf numFmtId="176" fontId="2" fillId="15" borderId="33" xfId="0" applyNumberFormat="1" applyFont="1" applyFill="1" applyBorder="1"/>
    <xf numFmtId="176" fontId="2" fillId="0" borderId="0" xfId="0" applyNumberFormat="1" applyFont="1"/>
    <xf numFmtId="3" fontId="2" fillId="3" borderId="0" xfId="0" applyNumberFormat="1" applyFont="1" applyFill="1"/>
    <xf numFmtId="0" fontId="2" fillId="0" borderId="27" xfId="0" applyFont="1" applyBorder="1"/>
    <xf numFmtId="0" fontId="2" fillId="4" borderId="28" xfId="0" applyFont="1" applyFill="1" applyBorder="1"/>
    <xf numFmtId="0" fontId="2" fillId="0" borderId="23" xfId="0" applyFont="1" applyBorder="1"/>
    <xf numFmtId="0" fontId="2" fillId="0" borderId="31" xfId="0" applyFont="1" applyBorder="1"/>
    <xf numFmtId="0" fontId="2" fillId="4" borderId="32" xfId="0" applyFont="1" applyFill="1" applyBorder="1"/>
    <xf numFmtId="49" fontId="2" fillId="3" borderId="27" xfId="0" applyNumberFormat="1" applyFont="1" applyFill="1" applyBorder="1" applyAlignment="1">
      <alignment horizontal="left" vertical="center"/>
    </xf>
    <xf numFmtId="0" fontId="2" fillId="5" borderId="28" xfId="0" applyFont="1" applyFill="1" applyBorder="1"/>
    <xf numFmtId="49" fontId="2" fillId="22" borderId="23" xfId="0" applyNumberFormat="1" applyFont="1" applyFill="1" applyBorder="1" applyAlignment="1">
      <alignment horizontal="left" vertical="center"/>
    </xf>
    <xf numFmtId="0" fontId="32" fillId="22" borderId="24" xfId="0" applyFont="1" applyFill="1" applyBorder="1"/>
    <xf numFmtId="0" fontId="2" fillId="0" borderId="31" xfId="0" applyFont="1" applyBorder="1" applyAlignment="1">
      <alignment horizontal="left"/>
    </xf>
    <xf numFmtId="176" fontId="2" fillId="0" borderId="33" xfId="0" applyNumberFormat="1" applyFont="1" applyBorder="1"/>
    <xf numFmtId="176" fontId="2" fillId="0" borderId="43" xfId="0" applyNumberFormat="1" applyFont="1" applyBorder="1"/>
    <xf numFmtId="0" fontId="2" fillId="5" borderId="33" xfId="0" applyFont="1" applyFill="1" applyBorder="1"/>
    <xf numFmtId="3" fontId="2" fillId="0" borderId="33" xfId="0" applyNumberFormat="1" applyFont="1" applyBorder="1"/>
    <xf numFmtId="14" fontId="2" fillId="0" borderId="21" xfId="0" applyNumberFormat="1" applyFont="1" applyBorder="1"/>
    <xf numFmtId="49" fontId="2" fillId="3" borderId="23" xfId="0" applyNumberFormat="1" applyFont="1" applyFill="1" applyBorder="1" applyAlignment="1">
      <alignment horizontal="left" vertical="center"/>
    </xf>
    <xf numFmtId="14" fontId="2" fillId="0" borderId="24" xfId="0" applyNumberFormat="1" applyFont="1" applyBorder="1"/>
    <xf numFmtId="0" fontId="32" fillId="5" borderId="32" xfId="0" applyFont="1" applyFill="1" applyBorder="1"/>
    <xf numFmtId="3" fontId="2" fillId="3" borderId="28" xfId="0" applyNumberFormat="1" applyFont="1" applyFill="1" applyBorder="1"/>
    <xf numFmtId="0" fontId="32" fillId="5" borderId="37" xfId="0" applyFont="1" applyFill="1" applyBorder="1"/>
    <xf numFmtId="0" fontId="32" fillId="3" borderId="31" xfId="0" applyFont="1" applyFill="1" applyBorder="1"/>
    <xf numFmtId="0" fontId="32" fillId="3" borderId="32" xfId="0" applyFont="1" applyFill="1" applyBorder="1"/>
    <xf numFmtId="176" fontId="2" fillId="3" borderId="32" xfId="0" applyNumberFormat="1" applyFont="1" applyFill="1" applyBorder="1"/>
    <xf numFmtId="0" fontId="1" fillId="22" borderId="1" xfId="0" applyFont="1" applyFill="1" applyBorder="1" applyAlignment="1">
      <alignment horizontal="left" vertical="center"/>
    </xf>
    <xf numFmtId="0" fontId="2" fillId="22" borderId="44" xfId="0" applyFont="1" applyFill="1" applyBorder="1"/>
    <xf numFmtId="0" fontId="2" fillId="22" borderId="28" xfId="0" applyFont="1" applyFill="1" applyBorder="1"/>
    <xf numFmtId="14" fontId="2" fillId="22" borderId="28" xfId="0" applyNumberFormat="1" applyFont="1" applyFill="1" applyBorder="1"/>
    <xf numFmtId="176" fontId="2" fillId="22" borderId="28" xfId="0" applyNumberFormat="1" applyFont="1" applyFill="1" applyBorder="1"/>
    <xf numFmtId="3" fontId="2" fillId="22" borderId="45" xfId="0" applyNumberFormat="1" applyFont="1" applyFill="1" applyBorder="1"/>
    <xf numFmtId="0" fontId="2" fillId="22" borderId="16" xfId="0" applyFont="1" applyFill="1" applyBorder="1"/>
    <xf numFmtId="0" fontId="2" fillId="22" borderId="47" xfId="0" applyFont="1" applyFill="1" applyBorder="1"/>
    <xf numFmtId="0" fontId="2" fillId="22" borderId="32" xfId="0" applyFont="1" applyFill="1" applyBorder="1"/>
    <xf numFmtId="176" fontId="2" fillId="22" borderId="32" xfId="0" applyNumberFormat="1" applyFont="1" applyFill="1" applyBorder="1"/>
    <xf numFmtId="3" fontId="2" fillId="22" borderId="48" xfId="0" applyNumberFormat="1" applyFont="1" applyFill="1" applyBorder="1"/>
    <xf numFmtId="31" fontId="2" fillId="0" borderId="0" xfId="0" applyNumberFormat="1" applyFont="1"/>
    <xf numFmtId="0" fontId="2" fillId="0" borderId="1" xfId="0" applyFont="1" applyBorder="1"/>
    <xf numFmtId="0" fontId="23" fillId="0" borderId="0" xfId="0" applyFont="1"/>
    <xf numFmtId="0" fontId="89" fillId="5" borderId="0" xfId="0" applyFont="1" applyFill="1"/>
    <xf numFmtId="0" fontId="8" fillId="7" borderId="16" xfId="0" applyFont="1" applyFill="1" applyBorder="1"/>
    <xf numFmtId="0" fontId="89" fillId="7" borderId="17" xfId="0" applyFont="1" applyFill="1" applyBorder="1"/>
    <xf numFmtId="0" fontId="8" fillId="7" borderId="17" xfId="0" applyFont="1" applyFill="1" applyBorder="1"/>
    <xf numFmtId="0" fontId="8" fillId="7" borderId="50" xfId="0" applyFont="1" applyFill="1" applyBorder="1"/>
    <xf numFmtId="0" fontId="8" fillId="7" borderId="19" xfId="0" applyFont="1" applyFill="1" applyBorder="1"/>
    <xf numFmtId="0" fontId="20" fillId="0" borderId="0" xfId="0" applyFont="1" applyAlignment="1">
      <alignment horizontal="center"/>
    </xf>
    <xf numFmtId="0" fontId="20" fillId="0" borderId="27" xfId="0" applyFont="1" applyBorder="1"/>
    <xf numFmtId="0" fontId="8" fillId="0" borderId="28" xfId="0" applyFont="1" applyBorder="1"/>
    <xf numFmtId="0" fontId="90" fillId="4" borderId="28" xfId="0" applyFont="1" applyFill="1" applyBorder="1"/>
    <xf numFmtId="176" fontId="8" fillId="0" borderId="28" xfId="0" applyNumberFormat="1" applyFont="1" applyBorder="1"/>
    <xf numFmtId="31" fontId="8" fillId="0" borderId="28" xfId="0" applyNumberFormat="1" applyFont="1" applyBorder="1"/>
    <xf numFmtId="3" fontId="8" fillId="0" borderId="51" xfId="0" applyNumberFormat="1" applyFont="1" applyBorder="1" applyAlignment="1">
      <alignment horizontal="right" vertical="center"/>
    </xf>
    <xf numFmtId="0" fontId="8" fillId="0" borderId="28" xfId="0" applyFont="1" applyBorder="1" applyAlignment="1">
      <alignment horizontal="center" vertical="center"/>
    </xf>
    <xf numFmtId="0" fontId="90" fillId="0" borderId="0" xfId="0" applyFont="1"/>
    <xf numFmtId="0" fontId="20" fillId="0" borderId="23" xfId="0" applyFont="1" applyBorder="1"/>
    <xf numFmtId="0" fontId="8" fillId="0" borderId="24" xfId="0" applyFont="1" applyBorder="1"/>
    <xf numFmtId="176" fontId="8" fillId="0" borderId="24" xfId="0" applyNumberFormat="1" applyFont="1" applyBorder="1"/>
    <xf numFmtId="31" fontId="8" fillId="0" borderId="24" xfId="0" applyNumberFormat="1" applyFont="1" applyBorder="1"/>
    <xf numFmtId="3" fontId="8" fillId="3" borderId="52" xfId="0" applyNumberFormat="1" applyFont="1" applyFill="1" applyBorder="1" applyAlignment="1">
      <alignment horizontal="right" vertical="center"/>
    </xf>
    <xf numFmtId="0" fontId="8" fillId="0" borderId="24" xfId="0" applyFont="1" applyBorder="1" applyAlignment="1">
      <alignment horizontal="center" vertical="center"/>
    </xf>
    <xf numFmtId="0" fontId="20" fillId="0" borderId="25" xfId="0" applyFont="1" applyBorder="1"/>
    <xf numFmtId="0" fontId="8" fillId="0" borderId="26" xfId="0" applyFont="1" applyBorder="1"/>
    <xf numFmtId="0" fontId="40" fillId="8" borderId="26" xfId="0" applyFont="1" applyFill="1" applyBorder="1"/>
    <xf numFmtId="0" fontId="8" fillId="3" borderId="53" xfId="0" applyFont="1" applyFill="1" applyBorder="1" applyAlignment="1">
      <alignment horizontal="right" vertical="center"/>
    </xf>
    <xf numFmtId="0" fontId="8" fillId="0" borderId="26" xfId="0" applyFont="1" applyBorder="1" applyAlignment="1">
      <alignment horizontal="center" vertical="center"/>
    </xf>
    <xf numFmtId="0" fontId="8" fillId="15" borderId="25" xfId="0" applyFont="1" applyFill="1" applyBorder="1"/>
    <xf numFmtId="0" fontId="8" fillId="15" borderId="26" xfId="0" applyFont="1" applyFill="1" applyBorder="1"/>
    <xf numFmtId="0" fontId="8" fillId="15" borderId="53" xfId="0" applyFont="1" applyFill="1" applyBorder="1" applyAlignment="1">
      <alignment horizontal="right" vertical="center"/>
    </xf>
    <xf numFmtId="0" fontId="20" fillId="15" borderId="26" xfId="0" applyFont="1" applyFill="1" applyBorder="1"/>
    <xf numFmtId="0" fontId="8" fillId="15" borderId="31" xfId="0" applyFont="1" applyFill="1" applyBorder="1"/>
    <xf numFmtId="0" fontId="8" fillId="15" borderId="32" xfId="0" applyFont="1" applyFill="1" applyBorder="1"/>
    <xf numFmtId="0" fontId="8" fillId="15" borderId="54" xfId="0" applyFont="1" applyFill="1" applyBorder="1" applyAlignment="1">
      <alignment horizontal="right" vertical="center"/>
    </xf>
    <xf numFmtId="0" fontId="8" fillId="0" borderId="32" xfId="0" applyFont="1" applyBorder="1" applyAlignment="1">
      <alignment horizontal="center" vertical="center"/>
    </xf>
    <xf numFmtId="0" fontId="87" fillId="0" borderId="28" xfId="0" applyFont="1" applyBorder="1"/>
    <xf numFmtId="3" fontId="91" fillId="0" borderId="51" xfId="0" applyNumberFormat="1" applyFont="1" applyBorder="1" applyAlignment="1">
      <alignment horizontal="right" vertical="center"/>
    </xf>
    <xf numFmtId="0" fontId="91" fillId="0" borderId="28" xfId="0" applyFont="1" applyBorder="1" applyAlignment="1">
      <alignment horizontal="center" vertical="center"/>
    </xf>
    <xf numFmtId="0" fontId="40" fillId="0" borderId="0" xfId="0" applyFont="1"/>
    <xf numFmtId="3" fontId="91" fillId="0" borderId="52" xfId="0" applyNumberFormat="1" applyFont="1" applyBorder="1" applyAlignment="1">
      <alignment horizontal="right" vertical="center"/>
    </xf>
    <xf numFmtId="0" fontId="91" fillId="0" borderId="24" xfId="0" applyFont="1" applyBorder="1" applyAlignment="1">
      <alignment horizontal="center" vertical="center"/>
    </xf>
    <xf numFmtId="0" fontId="8" fillId="0" borderId="38" xfId="0" applyFont="1" applyBorder="1"/>
    <xf numFmtId="176" fontId="8" fillId="0" borderId="26" xfId="0" applyNumberFormat="1" applyFont="1" applyBorder="1"/>
    <xf numFmtId="31" fontId="8" fillId="0" borderId="26" xfId="0" applyNumberFormat="1" applyFont="1" applyBorder="1"/>
    <xf numFmtId="3" fontId="91" fillId="0" borderId="53" xfId="0" applyNumberFormat="1" applyFont="1" applyBorder="1" applyAlignment="1">
      <alignment horizontal="right" vertical="center"/>
    </xf>
    <xf numFmtId="0" fontId="91" fillId="0" borderId="26" xfId="0" applyFont="1" applyBorder="1" applyAlignment="1">
      <alignment horizontal="center" vertical="center"/>
    </xf>
    <xf numFmtId="0" fontId="8" fillId="15" borderId="37" xfId="0" applyFont="1" applyFill="1" applyBorder="1"/>
    <xf numFmtId="0" fontId="8" fillId="15" borderId="0" xfId="0" applyFont="1" applyFill="1"/>
    <xf numFmtId="0" fontId="8" fillId="15" borderId="38" xfId="0" applyFont="1" applyFill="1" applyBorder="1"/>
    <xf numFmtId="0" fontId="91" fillId="15" borderId="55" xfId="0" applyFont="1" applyFill="1" applyBorder="1" applyAlignment="1">
      <alignment horizontal="right" vertical="center"/>
    </xf>
    <xf numFmtId="0" fontId="91" fillId="0" borderId="38" xfId="0" applyFont="1" applyBorder="1" applyAlignment="1">
      <alignment horizontal="center" vertical="center"/>
    </xf>
    <xf numFmtId="0" fontId="20" fillId="15" borderId="37" xfId="0" applyFont="1" applyFill="1" applyBorder="1"/>
    <xf numFmtId="0" fontId="20" fillId="0" borderId="44" xfId="0" applyFont="1" applyBorder="1"/>
    <xf numFmtId="0" fontId="20" fillId="0" borderId="28" xfId="0" applyFont="1" applyBorder="1"/>
    <xf numFmtId="0" fontId="40" fillId="0" borderId="28" xfId="0" applyFont="1" applyBorder="1"/>
    <xf numFmtId="3" fontId="91" fillId="0" borderId="28" xfId="0" applyNumberFormat="1" applyFont="1" applyBorder="1" applyAlignment="1">
      <alignment horizontal="right" vertical="center"/>
    </xf>
    <xf numFmtId="0" fontId="20" fillId="0" borderId="56" xfId="0" applyFont="1" applyBorder="1"/>
    <xf numFmtId="0" fontId="20" fillId="0" borderId="24" xfId="0" applyFont="1" applyBorder="1"/>
    <xf numFmtId="0" fontId="92" fillId="0" borderId="24" xfId="0" applyFont="1" applyBorder="1"/>
    <xf numFmtId="3" fontId="91" fillId="0" borderId="24" xfId="0" applyNumberFormat="1" applyFont="1" applyBorder="1" applyAlignment="1">
      <alignment horizontal="right" vertical="center"/>
    </xf>
    <xf numFmtId="0" fontId="8" fillId="15" borderId="56" xfId="0" applyFont="1" applyFill="1" applyBorder="1"/>
    <xf numFmtId="0" fontId="8" fillId="15" borderId="24" xfId="0" applyFont="1" applyFill="1" applyBorder="1"/>
    <xf numFmtId="0" fontId="8" fillId="15" borderId="24" xfId="0" applyFont="1" applyFill="1" applyBorder="1" applyAlignment="1">
      <alignment horizontal="right"/>
    </xf>
    <xf numFmtId="0" fontId="8" fillId="15" borderId="47" xfId="0" applyFont="1" applyFill="1" applyBorder="1"/>
    <xf numFmtId="0" fontId="20" fillId="15" borderId="32" xfId="0" applyFont="1" applyFill="1" applyBorder="1"/>
    <xf numFmtId="0" fontId="8" fillId="0" borderId="32" xfId="0" applyFont="1" applyBorder="1"/>
    <xf numFmtId="0" fontId="93" fillId="5" borderId="0" xfId="0" applyFont="1" applyFill="1"/>
    <xf numFmtId="176" fontId="23" fillId="0" borderId="0" xfId="0" applyNumberFormat="1" applyFont="1"/>
    <xf numFmtId="0" fontId="2" fillId="16" borderId="0" xfId="0" applyFont="1" applyFill="1"/>
    <xf numFmtId="0" fontId="80" fillId="2" borderId="0" xfId="0" applyFont="1" applyFill="1"/>
    <xf numFmtId="0" fontId="2" fillId="23" borderId="0" xfId="0" applyFont="1" applyFill="1"/>
    <xf numFmtId="0" fontId="23" fillId="7" borderId="16" xfId="0" applyFont="1" applyFill="1" applyBorder="1"/>
    <xf numFmtId="0" fontId="93" fillId="7" borderId="17" xfId="0" applyFont="1" applyFill="1" applyBorder="1"/>
    <xf numFmtId="0" fontId="23" fillId="7" borderId="17" xfId="0" applyFont="1" applyFill="1" applyBorder="1"/>
    <xf numFmtId="176" fontId="23" fillId="7" borderId="17" xfId="0" applyNumberFormat="1" applyFont="1" applyFill="1" applyBorder="1"/>
    <xf numFmtId="0" fontId="23" fillId="7" borderId="50" xfId="0" applyFont="1" applyFill="1" applyBorder="1"/>
    <xf numFmtId="0" fontId="23" fillId="7" borderId="19" xfId="0" applyFont="1" applyFill="1" applyBorder="1"/>
    <xf numFmtId="0" fontId="2" fillId="0" borderId="0" xfId="0" applyFont="1" applyAlignment="1">
      <alignment horizontal="center"/>
    </xf>
    <xf numFmtId="0" fontId="23" fillId="0" borderId="27" xfId="0" applyFont="1" applyBorder="1"/>
    <xf numFmtId="0" fontId="23" fillId="0" borderId="28" xfId="0" applyFont="1" applyBorder="1"/>
    <xf numFmtId="176" fontId="23" fillId="0" borderId="28" xfId="0" applyNumberFormat="1" applyFont="1" applyBorder="1"/>
    <xf numFmtId="3" fontId="23" fillId="0" borderId="51" xfId="0" applyNumberFormat="1" applyFont="1" applyBorder="1" applyAlignment="1">
      <alignment horizontal="center" vertical="center"/>
    </xf>
    <xf numFmtId="0" fontId="23" fillId="0" borderId="28" xfId="0" applyFont="1" applyBorder="1" applyAlignment="1">
      <alignment horizontal="center" vertical="center"/>
    </xf>
    <xf numFmtId="177" fontId="2" fillId="0" borderId="0" xfId="0" applyNumberFormat="1" applyFont="1"/>
    <xf numFmtId="0" fontId="23" fillId="0" borderId="23" xfId="0" applyFont="1" applyBorder="1"/>
    <xf numFmtId="0" fontId="23" fillId="0" borderId="24" xfId="0" applyFont="1" applyBorder="1"/>
    <xf numFmtId="176" fontId="23" fillId="0" borderId="24" xfId="0" applyNumberFormat="1" applyFont="1" applyBorder="1"/>
    <xf numFmtId="3" fontId="23" fillId="0" borderId="52" xfId="0" applyNumberFormat="1" applyFont="1" applyBorder="1" applyAlignment="1">
      <alignment horizontal="center" vertical="center"/>
    </xf>
    <xf numFmtId="0" fontId="23" fillId="0" borderId="24" xfId="0" applyFont="1" applyBorder="1" applyAlignment="1">
      <alignment horizontal="center" vertical="center"/>
    </xf>
    <xf numFmtId="0" fontId="23" fillId="0" borderId="31" xfId="0" applyFont="1" applyBorder="1"/>
    <xf numFmtId="0" fontId="23" fillId="0" borderId="32" xfId="0" applyFont="1" applyBorder="1"/>
    <xf numFmtId="0" fontId="23" fillId="0" borderId="21" xfId="0" applyFont="1" applyBorder="1"/>
    <xf numFmtId="176" fontId="23" fillId="0" borderId="32" xfId="0" applyNumberFormat="1" applyFont="1" applyBorder="1"/>
    <xf numFmtId="3" fontId="23" fillId="0" borderId="54" xfId="0" applyNumberFormat="1" applyFont="1" applyBorder="1" applyAlignment="1">
      <alignment horizontal="center" vertical="center"/>
    </xf>
    <xf numFmtId="0" fontId="23" fillId="0" borderId="32" xfId="0" applyFont="1" applyBorder="1" applyAlignment="1">
      <alignment horizontal="center" vertical="center"/>
    </xf>
    <xf numFmtId="0" fontId="0" fillId="0" borderId="28" xfId="0" applyBorder="1"/>
    <xf numFmtId="176" fontId="0" fillId="0" borderId="28" xfId="0" applyNumberFormat="1" applyBorder="1"/>
    <xf numFmtId="14" fontId="2" fillId="0" borderId="0" xfId="0" applyNumberFormat="1" applyFont="1"/>
    <xf numFmtId="0" fontId="32" fillId="0" borderId="24" xfId="0" applyFont="1" applyBorder="1"/>
    <xf numFmtId="0" fontId="0" fillId="0" borderId="24" xfId="0" applyBorder="1"/>
    <xf numFmtId="176" fontId="0" fillId="0" borderId="24" xfId="0" applyNumberFormat="1" applyBorder="1"/>
    <xf numFmtId="0" fontId="32" fillId="0" borderId="32" xfId="0" applyFont="1" applyBorder="1"/>
    <xf numFmtId="0" fontId="0" fillId="0" borderId="32" xfId="0" applyBorder="1"/>
    <xf numFmtId="176" fontId="0" fillId="0" borderId="32" xfId="0" applyNumberFormat="1" applyBorder="1"/>
    <xf numFmtId="0" fontId="94" fillId="5" borderId="28" xfId="0" applyFont="1" applyFill="1" applyBorder="1"/>
    <xf numFmtId="3" fontId="91" fillId="0" borderId="51" xfId="0" applyNumberFormat="1" applyFont="1" applyBorder="1" applyAlignment="1">
      <alignment horizontal="center" vertical="center"/>
    </xf>
    <xf numFmtId="3" fontId="91" fillId="0" borderId="52" xfId="0" applyNumberFormat="1" applyFont="1" applyBorder="1" applyAlignment="1">
      <alignment horizontal="center" vertical="center"/>
    </xf>
    <xf numFmtId="3" fontId="91" fillId="0" borderId="54" xfId="0" applyNumberFormat="1" applyFont="1" applyBorder="1" applyAlignment="1">
      <alignment horizontal="center" vertical="center"/>
    </xf>
    <xf numFmtId="0" fontId="91" fillId="0" borderId="32" xfId="0" applyFont="1" applyBorder="1" applyAlignment="1">
      <alignment horizontal="center" vertical="center"/>
    </xf>
    <xf numFmtId="0" fontId="2" fillId="0" borderId="37" xfId="0" applyFont="1" applyBorder="1"/>
    <xf numFmtId="0" fontId="32" fillId="0" borderId="38" xfId="0" applyFont="1" applyBorder="1"/>
    <xf numFmtId="176" fontId="0" fillId="0" borderId="38" xfId="0" applyNumberFormat="1" applyBorder="1"/>
    <xf numFmtId="0" fontId="0" fillId="0" borderId="38" xfId="0" applyBorder="1"/>
    <xf numFmtId="3" fontId="91" fillId="0" borderId="58" xfId="0" applyNumberFormat="1" applyFont="1" applyBorder="1" applyAlignment="1">
      <alignment horizontal="center" vertical="center"/>
    </xf>
    <xf numFmtId="3" fontId="91" fillId="0" borderId="53" xfId="0" applyNumberFormat="1" applyFont="1" applyBorder="1" applyAlignment="1">
      <alignment horizontal="center" vertical="center"/>
    </xf>
    <xf numFmtId="0" fontId="32" fillId="0" borderId="42" xfId="0" applyFont="1" applyBorder="1"/>
    <xf numFmtId="3" fontId="91" fillId="0" borderId="55" xfId="0" applyNumberFormat="1" applyFont="1" applyBorder="1" applyAlignment="1">
      <alignment horizontal="center" vertical="center"/>
    </xf>
    <xf numFmtId="0" fontId="2" fillId="15" borderId="37" xfId="0" applyFont="1" applyFill="1" applyBorder="1"/>
    <xf numFmtId="0" fontId="23" fillId="15" borderId="26" xfId="0" applyFont="1" applyFill="1" applyBorder="1"/>
    <xf numFmtId="176" fontId="23" fillId="15" borderId="26" xfId="0" applyNumberFormat="1" applyFont="1" applyFill="1" applyBorder="1"/>
    <xf numFmtId="0" fontId="91" fillId="15" borderId="53" xfId="0" applyFont="1" applyFill="1" applyBorder="1" applyAlignment="1">
      <alignment horizontal="center" vertical="center"/>
    </xf>
    <xf numFmtId="0" fontId="2" fillId="0" borderId="39" xfId="0" applyFont="1" applyBorder="1"/>
    <xf numFmtId="0" fontId="23" fillId="5" borderId="28" xfId="0" applyFont="1" applyFill="1" applyBorder="1"/>
    <xf numFmtId="0" fontId="32" fillId="5" borderId="28" xfId="0" applyFont="1" applyFill="1" applyBorder="1"/>
    <xf numFmtId="176" fontId="23" fillId="5" borderId="28" xfId="0" applyNumberFormat="1" applyFont="1" applyFill="1" applyBorder="1"/>
    <xf numFmtId="3" fontId="91" fillId="5" borderId="51" xfId="0" applyNumberFormat="1" applyFont="1" applyFill="1" applyBorder="1" applyAlignment="1">
      <alignment horizontal="center" vertical="center"/>
    </xf>
    <xf numFmtId="0" fontId="2" fillId="0" borderId="59" xfId="0" applyFont="1" applyBorder="1"/>
    <xf numFmtId="3" fontId="91" fillId="5" borderId="52" xfId="0" applyNumberFormat="1" applyFont="1" applyFill="1" applyBorder="1" applyAlignment="1">
      <alignment horizontal="center" vertical="center"/>
    </xf>
    <xf numFmtId="0" fontId="2" fillId="15" borderId="41" xfId="0" applyFont="1" applyFill="1" applyBorder="1"/>
    <xf numFmtId="0" fontId="23" fillId="15" borderId="32" xfId="0" applyFont="1" applyFill="1" applyBorder="1"/>
    <xf numFmtId="0" fontId="80" fillId="15" borderId="32" xfId="0" applyFont="1" applyFill="1" applyBorder="1"/>
    <xf numFmtId="176" fontId="23" fillId="15" borderId="32" xfId="0" applyNumberFormat="1" applyFont="1" applyFill="1" applyBorder="1"/>
    <xf numFmtId="0" fontId="91" fillId="15" borderId="54" xfId="0" applyFont="1" applyFill="1" applyBorder="1" applyAlignment="1">
      <alignment horizontal="center" vertical="center"/>
    </xf>
    <xf numFmtId="0" fontId="23" fillId="0" borderId="20" xfId="0" applyFont="1" applyBorder="1"/>
    <xf numFmtId="176" fontId="23" fillId="0" borderId="21" xfId="0" applyNumberFormat="1" applyFont="1" applyBorder="1"/>
    <xf numFmtId="0" fontId="91" fillId="0" borderId="58" xfId="0" applyFont="1" applyBorder="1" applyAlignment="1">
      <alignment horizontal="center" vertical="center"/>
    </xf>
    <xf numFmtId="0" fontId="91" fillId="0" borderId="21" xfId="0" applyFont="1" applyBorder="1" applyAlignment="1">
      <alignment horizontal="center" vertical="center"/>
    </xf>
    <xf numFmtId="0" fontId="0" fillId="0" borderId="21" xfId="0" applyBorder="1"/>
    <xf numFmtId="0" fontId="23" fillId="0" borderId="25" xfId="0" applyFont="1" applyBorder="1"/>
    <xf numFmtId="0" fontId="23" fillId="22" borderId="32" xfId="0" applyFont="1" applyFill="1" applyBorder="1"/>
    <xf numFmtId="176" fontId="23" fillId="22" borderId="32" xfId="0" applyNumberFormat="1" applyFont="1" applyFill="1" applyBorder="1"/>
    <xf numFmtId="0" fontId="91" fillId="22" borderId="53" xfId="0" applyFont="1" applyFill="1" applyBorder="1" applyAlignment="1">
      <alignment horizontal="center" vertical="center"/>
    </xf>
    <xf numFmtId="0" fontId="23" fillId="0" borderId="26" xfId="0" applyFont="1" applyBorder="1"/>
    <xf numFmtId="176" fontId="23" fillId="0" borderId="26" xfId="0" applyNumberFormat="1" applyFont="1" applyBorder="1"/>
    <xf numFmtId="0" fontId="23" fillId="5" borderId="26" xfId="0" applyFont="1" applyFill="1" applyBorder="1"/>
    <xf numFmtId="0" fontId="23" fillId="15" borderId="31" xfId="0" applyFont="1" applyFill="1" applyBorder="1"/>
    <xf numFmtId="0" fontId="91" fillId="4" borderId="32" xfId="0" applyFont="1" applyFill="1" applyBorder="1" applyAlignment="1">
      <alignment horizontal="center" vertical="center"/>
    </xf>
    <xf numFmtId="0" fontId="2" fillId="0" borderId="20" xfId="0" applyFont="1" applyBorder="1"/>
    <xf numFmtId="0" fontId="95" fillId="0" borderId="21" xfId="0" applyFont="1" applyBorder="1"/>
    <xf numFmtId="0" fontId="96" fillId="0" borderId="21" xfId="0" applyFont="1" applyBorder="1"/>
    <xf numFmtId="176" fontId="95" fillId="0" borderId="21" xfId="0" applyNumberFormat="1" applyFont="1" applyBorder="1"/>
    <xf numFmtId="0" fontId="91" fillId="4" borderId="21" xfId="0" applyFont="1" applyFill="1" applyBorder="1" applyAlignment="1">
      <alignment horizontal="center" vertical="center"/>
    </xf>
    <xf numFmtId="0" fontId="2" fillId="0" borderId="25" xfId="0" applyFont="1" applyBorder="1"/>
    <xf numFmtId="0" fontId="95" fillId="0" borderId="24" xfId="0" applyFont="1" applyBorder="1"/>
    <xf numFmtId="176" fontId="95" fillId="0" borderId="24" xfId="0" applyNumberFormat="1" applyFont="1" applyBorder="1"/>
    <xf numFmtId="0" fontId="91" fillId="0" borderId="24" xfId="0" applyFont="1" applyBorder="1"/>
    <xf numFmtId="0" fontId="91" fillId="4" borderId="26" xfId="0" applyFont="1" applyFill="1" applyBorder="1" applyAlignment="1">
      <alignment horizontal="center" vertical="center"/>
    </xf>
    <xf numFmtId="0" fontId="23" fillId="15" borderId="38" xfId="0" applyFont="1" applyFill="1" applyBorder="1"/>
    <xf numFmtId="0" fontId="80" fillId="15" borderId="38" xfId="0" applyFont="1" applyFill="1" applyBorder="1"/>
    <xf numFmtId="176" fontId="23" fillId="15" borderId="38" xfId="0" applyNumberFormat="1" applyFont="1" applyFill="1" applyBorder="1"/>
    <xf numFmtId="176" fontId="2" fillId="15" borderId="38" xfId="0" applyNumberFormat="1" applyFont="1" applyFill="1" applyBorder="1"/>
    <xf numFmtId="0" fontId="2" fillId="15" borderId="38" xfId="0" applyFont="1" applyFill="1" applyBorder="1"/>
    <xf numFmtId="3" fontId="91" fillId="15" borderId="58" xfId="0" applyNumberFormat="1" applyFont="1" applyFill="1" applyBorder="1" applyAlignment="1">
      <alignment horizontal="center" vertical="center"/>
    </xf>
    <xf numFmtId="176" fontId="23" fillId="0" borderId="38" xfId="0" applyNumberFormat="1" applyFont="1" applyBorder="1"/>
    <xf numFmtId="0" fontId="23" fillId="0" borderId="38" xfId="0" applyFont="1" applyBorder="1"/>
    <xf numFmtId="0" fontId="96" fillId="3" borderId="38" xfId="0" applyFont="1" applyFill="1" applyBorder="1"/>
    <xf numFmtId="0" fontId="23" fillId="0" borderId="42" xfId="0" applyFont="1" applyBorder="1"/>
    <xf numFmtId="176" fontId="23" fillId="0" borderId="42" xfId="0" applyNumberFormat="1" applyFont="1" applyBorder="1"/>
    <xf numFmtId="3" fontId="91" fillId="0" borderId="60" xfId="0" applyNumberFormat="1" applyFont="1" applyBorder="1" applyAlignment="1">
      <alignment horizontal="center" vertical="center"/>
    </xf>
    <xf numFmtId="0" fontId="91" fillId="0" borderId="42" xfId="0" applyFont="1" applyBorder="1" applyAlignment="1">
      <alignment horizontal="center" vertical="center"/>
    </xf>
    <xf numFmtId="0" fontId="0" fillId="5" borderId="21" xfId="0" applyFill="1" applyBorder="1"/>
    <xf numFmtId="0" fontId="23" fillId="3" borderId="21" xfId="0" applyFont="1" applyFill="1" applyBorder="1"/>
    <xf numFmtId="0" fontId="97" fillId="4" borderId="24" xfId="0" applyFont="1" applyFill="1" applyBorder="1"/>
    <xf numFmtId="0" fontId="32" fillId="5" borderId="26" xfId="0" applyFont="1" applyFill="1" applyBorder="1"/>
    <xf numFmtId="0" fontId="23" fillId="5" borderId="31" xfId="0" applyFont="1" applyFill="1" applyBorder="1"/>
    <xf numFmtId="0" fontId="0" fillId="5" borderId="28" xfId="0" applyFill="1" applyBorder="1"/>
    <xf numFmtId="0" fontId="23" fillId="4" borderId="0" xfId="0" applyFont="1" applyFill="1"/>
    <xf numFmtId="0" fontId="80" fillId="0" borderId="24" xfId="0" applyFont="1" applyBorder="1"/>
    <xf numFmtId="0" fontId="94" fillId="0" borderId="28" xfId="0" applyFont="1" applyBorder="1"/>
    <xf numFmtId="3" fontId="91" fillId="15" borderId="54" xfId="0" applyNumberFormat="1" applyFont="1" applyFill="1" applyBorder="1" applyAlignment="1">
      <alignment horizontal="center" vertical="center"/>
    </xf>
    <xf numFmtId="0" fontId="23" fillId="24" borderId="20" xfId="0" applyFont="1" applyFill="1" applyBorder="1"/>
    <xf numFmtId="0" fontId="23" fillId="24" borderId="21" xfId="0" applyFont="1" applyFill="1" applyBorder="1"/>
    <xf numFmtId="0" fontId="80" fillId="24" borderId="21" xfId="0" applyFont="1" applyFill="1" applyBorder="1"/>
    <xf numFmtId="176" fontId="23" fillId="24" borderId="21" xfId="0" applyNumberFormat="1" applyFont="1" applyFill="1" applyBorder="1"/>
    <xf numFmtId="0" fontId="91" fillId="24" borderId="58" xfId="0" applyFont="1" applyFill="1" applyBorder="1" applyAlignment="1">
      <alignment horizontal="center" vertical="center"/>
    </xf>
    <xf numFmtId="0" fontId="91" fillId="24" borderId="21" xfId="0" applyFont="1" applyFill="1" applyBorder="1" applyAlignment="1">
      <alignment horizontal="center" vertical="center"/>
    </xf>
    <xf numFmtId="0" fontId="2" fillId="4" borderId="0" xfId="0" applyFont="1" applyFill="1"/>
    <xf numFmtId="0" fontId="23" fillId="24" borderId="23" xfId="0" applyFont="1" applyFill="1" applyBorder="1"/>
    <xf numFmtId="0" fontId="23" fillId="24" borderId="24" xfId="0" applyFont="1" applyFill="1" applyBorder="1"/>
    <xf numFmtId="0" fontId="80" fillId="24" borderId="24" xfId="0" applyFont="1" applyFill="1" applyBorder="1"/>
    <xf numFmtId="176" fontId="23" fillId="24" borderId="24" xfId="0" applyNumberFormat="1" applyFont="1" applyFill="1" applyBorder="1"/>
    <xf numFmtId="0" fontId="91" fillId="24" borderId="52" xfId="0" applyFont="1" applyFill="1" applyBorder="1" applyAlignment="1">
      <alignment horizontal="center" vertical="center"/>
    </xf>
    <xf numFmtId="0" fontId="91" fillId="24" borderId="24" xfId="0" applyFont="1" applyFill="1" applyBorder="1" applyAlignment="1">
      <alignment horizontal="center" vertical="center"/>
    </xf>
    <xf numFmtId="0" fontId="23" fillId="24" borderId="31" xfId="0" applyFont="1" applyFill="1" applyBorder="1"/>
    <xf numFmtId="0" fontId="23" fillId="24" borderId="32" xfId="0" applyFont="1" applyFill="1" applyBorder="1"/>
    <xf numFmtId="0" fontId="80" fillId="24" borderId="32" xfId="0" applyFont="1" applyFill="1" applyBorder="1"/>
    <xf numFmtId="176" fontId="23" fillId="24" borderId="32" xfId="0" applyNumberFormat="1" applyFont="1" applyFill="1" applyBorder="1"/>
    <xf numFmtId="0" fontId="91" fillId="24" borderId="54" xfId="0" applyFont="1" applyFill="1" applyBorder="1" applyAlignment="1">
      <alignment horizontal="center" vertical="center"/>
    </xf>
    <xf numFmtId="0" fontId="91" fillId="24" borderId="32" xfId="0" applyFont="1" applyFill="1" applyBorder="1" applyAlignment="1">
      <alignment horizontal="center" vertical="center"/>
    </xf>
    <xf numFmtId="0" fontId="2" fillId="22" borderId="0" xfId="0" applyFont="1" applyFill="1"/>
    <xf numFmtId="0" fontId="23" fillId="22" borderId="0" xfId="0" applyFont="1" applyFill="1"/>
    <xf numFmtId="14" fontId="23" fillId="22" borderId="0" xfId="0" applyNumberFormat="1" applyFont="1" applyFill="1"/>
    <xf numFmtId="176" fontId="2" fillId="22" borderId="0" xfId="0" applyNumberFormat="1" applyFont="1" applyFill="1"/>
    <xf numFmtId="0" fontId="23" fillId="22" borderId="0" xfId="0" applyFont="1" applyFill="1" applyAlignment="1">
      <alignment horizontal="center"/>
    </xf>
    <xf numFmtId="14" fontId="25" fillId="5" borderId="0" xfId="0" applyNumberFormat="1" applyFont="1" applyFill="1"/>
    <xf numFmtId="176" fontId="23" fillId="22" borderId="0" xfId="0" applyNumberFormat="1" applyFont="1" applyFill="1"/>
    <xf numFmtId="3" fontId="80" fillId="22" borderId="0" xfId="0" applyNumberFormat="1" applyFont="1" applyFill="1"/>
    <xf numFmtId="0" fontId="23" fillId="22" borderId="55" xfId="0" applyFont="1" applyFill="1" applyBorder="1"/>
    <xf numFmtId="176" fontId="23" fillId="22" borderId="38" xfId="0" applyNumberFormat="1" applyFont="1" applyFill="1" applyBorder="1"/>
    <xf numFmtId="0" fontId="23" fillId="22" borderId="38" xfId="0" applyFont="1" applyFill="1" applyBorder="1"/>
    <xf numFmtId="0" fontId="23" fillId="22" borderId="61" xfId="0" applyFont="1" applyFill="1" applyBorder="1"/>
    <xf numFmtId="176" fontId="2" fillId="3" borderId="0" xfId="0" applyNumberFormat="1" applyFont="1" applyFill="1"/>
    <xf numFmtId="14" fontId="2" fillId="3" borderId="0" xfId="0" applyNumberFormat="1" applyFont="1" applyFill="1"/>
    <xf numFmtId="0" fontId="23" fillId="3" borderId="0" xfId="0" applyFont="1" applyFill="1"/>
    <xf numFmtId="0" fontId="2" fillId="15" borderId="0" xfId="0" applyFont="1" applyFill="1"/>
    <xf numFmtId="176" fontId="2" fillId="15" borderId="0" xfId="0" applyNumberFormat="1" applyFont="1" applyFill="1"/>
    <xf numFmtId="14" fontId="2" fillId="15" borderId="0" xfId="0" applyNumberFormat="1" applyFont="1" applyFill="1"/>
    <xf numFmtId="0" fontId="23" fillId="15" borderId="0" xfId="0" applyFont="1" applyFill="1"/>
    <xf numFmtId="176" fontId="23" fillId="15" borderId="0" xfId="0" applyNumberFormat="1" applyFont="1" applyFill="1"/>
    <xf numFmtId="0" fontId="2" fillId="0" borderId="62" xfId="0" applyFont="1" applyBorder="1"/>
    <xf numFmtId="0" fontId="2" fillId="0" borderId="63" xfId="0" applyFont="1" applyBorder="1"/>
    <xf numFmtId="0" fontId="2" fillId="7" borderId="62" xfId="0" applyFont="1" applyFill="1" applyBorder="1"/>
    <xf numFmtId="0" fontId="2" fillId="7" borderId="64" xfId="0" applyFont="1" applyFill="1" applyBorder="1"/>
    <xf numFmtId="0" fontId="2" fillId="7" borderId="65" xfId="0" applyFont="1" applyFill="1" applyBorder="1"/>
    <xf numFmtId="0" fontId="2" fillId="7" borderId="63" xfId="0" applyFont="1" applyFill="1" applyBorder="1"/>
    <xf numFmtId="0" fontId="20" fillId="3" borderId="0" xfId="0" applyFont="1" applyFill="1" applyAlignment="1">
      <alignment horizontal="center"/>
    </xf>
    <xf numFmtId="0" fontId="2" fillId="0" borderId="66" xfId="0" applyFont="1" applyBorder="1"/>
    <xf numFmtId="0" fontId="2" fillId="0" borderId="67" xfId="0" applyFont="1" applyBorder="1"/>
    <xf numFmtId="0" fontId="2" fillId="4" borderId="68" xfId="0" applyFont="1" applyFill="1" applyBorder="1"/>
    <xf numFmtId="0" fontId="2" fillId="4" borderId="69" xfId="0" applyFont="1" applyFill="1" applyBorder="1" applyAlignment="1">
      <alignment horizontal="right" vertical="center"/>
    </xf>
    <xf numFmtId="0" fontId="2" fillId="0" borderId="68" xfId="0" applyFont="1" applyBorder="1" applyAlignment="1">
      <alignment horizontal="center" vertical="center"/>
    </xf>
    <xf numFmtId="3" fontId="20" fillId="0" borderId="0" xfId="0" applyNumberFormat="1" applyFont="1"/>
    <xf numFmtId="3" fontId="20" fillId="3" borderId="0" xfId="0" applyNumberFormat="1" applyFont="1" applyFill="1"/>
    <xf numFmtId="0" fontId="2" fillId="0" borderId="70" xfId="0" applyFont="1" applyBorder="1"/>
    <xf numFmtId="0" fontId="2" fillId="3" borderId="24" xfId="0" applyFont="1" applyFill="1" applyBorder="1"/>
    <xf numFmtId="0" fontId="80" fillId="3" borderId="24" xfId="0" applyFont="1" applyFill="1" applyBorder="1"/>
    <xf numFmtId="0" fontId="2" fillId="3" borderId="52" xfId="0" applyFont="1" applyFill="1" applyBorder="1" applyAlignment="1">
      <alignment horizontal="right" vertical="center"/>
    </xf>
    <xf numFmtId="0" fontId="2" fillId="0" borderId="24" xfId="0" applyFont="1" applyBorder="1" applyAlignment="1">
      <alignment horizontal="center" vertical="center"/>
    </xf>
    <xf numFmtId="0" fontId="2" fillId="0" borderId="73" xfId="0" applyFont="1" applyBorder="1" applyAlignment="1">
      <alignment horizontal="center" vertical="center"/>
    </xf>
    <xf numFmtId="0" fontId="2" fillId="0" borderId="52" xfId="0" applyFont="1" applyBorder="1" applyAlignment="1">
      <alignment horizontal="right" vertical="center"/>
    </xf>
    <xf numFmtId="49" fontId="2" fillId="0" borderId="74" xfId="0" applyNumberFormat="1" applyFont="1" applyBorder="1" applyAlignment="1">
      <alignment horizontal="center" vertical="center"/>
    </xf>
    <xf numFmtId="0" fontId="2" fillId="6" borderId="0" xfId="0" applyFont="1" applyFill="1"/>
    <xf numFmtId="0" fontId="8" fillId="0" borderId="66" xfId="0" applyFont="1" applyBorder="1"/>
    <xf numFmtId="0" fontId="2" fillId="0" borderId="77" xfId="0" applyFont="1" applyBorder="1"/>
    <xf numFmtId="0" fontId="8" fillId="0" borderId="78" xfId="0" applyFont="1" applyBorder="1"/>
    <xf numFmtId="0" fontId="8" fillId="0" borderId="67" xfId="0" applyFont="1" applyBorder="1"/>
    <xf numFmtId="0" fontId="32" fillId="0" borderId="52" xfId="0" applyFont="1" applyBorder="1" applyAlignment="1">
      <alignment horizontal="right" vertical="center"/>
    </xf>
    <xf numFmtId="0" fontId="32" fillId="0" borderId="24" xfId="0" applyFont="1" applyBorder="1" applyAlignment="1">
      <alignment horizontal="center" vertical="center"/>
    </xf>
    <xf numFmtId="0" fontId="8" fillId="0" borderId="79" xfId="0" applyFont="1" applyBorder="1"/>
    <xf numFmtId="0" fontId="8" fillId="0" borderId="77" xfId="0" applyFont="1" applyBorder="1"/>
    <xf numFmtId="0" fontId="2" fillId="0" borderId="82" xfId="0" applyFont="1" applyBorder="1"/>
    <xf numFmtId="0" fontId="8" fillId="0" borderId="80" xfId="0" applyFont="1" applyBorder="1"/>
    <xf numFmtId="0" fontId="2" fillId="0" borderId="83" xfId="0" applyFont="1" applyBorder="1"/>
    <xf numFmtId="0" fontId="32" fillId="0" borderId="84" xfId="0" applyFont="1" applyBorder="1" applyAlignment="1">
      <alignment horizontal="right" vertical="center"/>
    </xf>
    <xf numFmtId="0" fontId="32" fillId="0" borderId="83" xfId="0" applyFont="1" applyBorder="1" applyAlignment="1">
      <alignment horizontal="center" vertical="center"/>
    </xf>
    <xf numFmtId="0" fontId="2" fillId="0" borderId="85" xfId="0" applyFont="1" applyBorder="1"/>
    <xf numFmtId="0" fontId="2" fillId="0" borderId="85" xfId="0" applyFont="1" applyBorder="1" applyAlignment="1">
      <alignment horizontal="right"/>
    </xf>
    <xf numFmtId="49" fontId="2" fillId="0" borderId="72" xfId="0" applyNumberFormat="1" applyFont="1" applyBorder="1" applyAlignment="1">
      <alignment horizontal="center" vertical="center"/>
    </xf>
    <xf numFmtId="0" fontId="2" fillId="0" borderId="86" xfId="0" applyFont="1" applyBorder="1"/>
    <xf numFmtId="0" fontId="80" fillId="0" borderId="86" xfId="0" applyFont="1" applyBorder="1"/>
    <xf numFmtId="49" fontId="32" fillId="5" borderId="87" xfId="0" applyNumberFormat="1" applyFont="1" applyFill="1" applyBorder="1" applyAlignment="1">
      <alignment horizontal="center"/>
    </xf>
    <xf numFmtId="0" fontId="32" fillId="5" borderId="87" xfId="0" applyFont="1" applyFill="1" applyBorder="1" applyAlignment="1">
      <alignment horizontal="center"/>
    </xf>
    <xf numFmtId="0" fontId="2" fillId="0" borderId="88" xfId="0" applyFont="1" applyBorder="1"/>
    <xf numFmtId="0" fontId="80" fillId="0" borderId="88" xfId="0" applyFont="1" applyBorder="1"/>
    <xf numFmtId="0" fontId="32" fillId="5" borderId="89" xfId="0" applyFont="1" applyFill="1" applyBorder="1" applyAlignment="1">
      <alignment horizontal="center"/>
    </xf>
    <xf numFmtId="0" fontId="8" fillId="0" borderId="90" xfId="0" applyFont="1" applyBorder="1"/>
    <xf numFmtId="0" fontId="2" fillId="0" borderId="80" xfId="0" applyFont="1" applyBorder="1"/>
    <xf numFmtId="0" fontId="2" fillId="0" borderId="81" xfId="0" applyFont="1" applyBorder="1"/>
    <xf numFmtId="0" fontId="8" fillId="0" borderId="62" xfId="0" applyFont="1" applyBorder="1"/>
    <xf numFmtId="0" fontId="8" fillId="0" borderId="63" xfId="0" applyFont="1" applyBorder="1"/>
    <xf numFmtId="0" fontId="8" fillId="0" borderId="82" xfId="0" applyFont="1" applyBorder="1"/>
    <xf numFmtId="0" fontId="2" fillId="0" borderId="0" xfId="0" applyFont="1" applyAlignment="1">
      <alignment vertical="top"/>
    </xf>
    <xf numFmtId="0" fontId="2" fillId="0" borderId="68" xfId="0" applyFont="1" applyBorder="1"/>
    <xf numFmtId="0" fontId="2" fillId="0" borderId="69" xfId="0" applyFont="1" applyBorder="1" applyAlignment="1">
      <alignment horizontal="right" vertical="center"/>
    </xf>
    <xf numFmtId="0" fontId="80" fillId="4" borderId="0" xfId="0" applyFont="1" applyFill="1"/>
    <xf numFmtId="0" fontId="8" fillId="4" borderId="0" xfId="0" applyFont="1" applyFill="1"/>
    <xf numFmtId="0" fontId="32" fillId="4" borderId="24" xfId="0" applyFont="1" applyFill="1" applyBorder="1"/>
    <xf numFmtId="0" fontId="8" fillId="0" borderId="91" xfId="0" applyFont="1" applyBorder="1"/>
    <xf numFmtId="0" fontId="8" fillId="0" borderId="92" xfId="0" applyFont="1" applyBorder="1"/>
    <xf numFmtId="0" fontId="8" fillId="0" borderId="30" xfId="0" applyFont="1" applyBorder="1"/>
    <xf numFmtId="0" fontId="8" fillId="0" borderId="37" xfId="0" applyFont="1" applyBorder="1"/>
    <xf numFmtId="0" fontId="8" fillId="0" borderId="93" xfId="0" applyFont="1" applyBorder="1"/>
    <xf numFmtId="0" fontId="8" fillId="0" borderId="22" xfId="0" applyFont="1" applyBorder="1"/>
    <xf numFmtId="0" fontId="20" fillId="0" borderId="37" xfId="0" applyFont="1" applyBorder="1"/>
    <xf numFmtId="0" fontId="20" fillId="0" borderId="93" xfId="0" applyFont="1" applyBorder="1"/>
    <xf numFmtId="0" fontId="90" fillId="0" borderId="22" xfId="0" applyFont="1" applyBorder="1"/>
    <xf numFmtId="0" fontId="2" fillId="0" borderId="93" xfId="0" applyFont="1" applyBorder="1"/>
    <xf numFmtId="0" fontId="2" fillId="0" borderId="22" xfId="0" applyFont="1" applyBorder="1"/>
    <xf numFmtId="0" fontId="2" fillId="0" borderId="41" xfId="0" applyFont="1" applyBorder="1"/>
    <xf numFmtId="0" fontId="2" fillId="0" borderId="94" xfId="0" applyFont="1" applyBorder="1"/>
    <xf numFmtId="0" fontId="2" fillId="0" borderId="34" xfId="0" applyFont="1" applyBorder="1"/>
    <xf numFmtId="0" fontId="8" fillId="0" borderId="41" xfId="0" applyFont="1" applyBorder="1"/>
    <xf numFmtId="0" fontId="2" fillId="0" borderId="91" xfId="0" applyFont="1" applyBorder="1"/>
    <xf numFmtId="0" fontId="2" fillId="0" borderId="30" xfId="0" applyFont="1" applyBorder="1"/>
    <xf numFmtId="0" fontId="8" fillId="0" borderId="34" xfId="0" applyFont="1" applyBorder="1"/>
    <xf numFmtId="49" fontId="32" fillId="5" borderId="95" xfId="0" applyNumberFormat="1" applyFont="1" applyFill="1" applyBorder="1" applyAlignment="1">
      <alignment horizontal="center"/>
    </xf>
    <xf numFmtId="0" fontId="32" fillId="5" borderId="95" xfId="0" applyFont="1" applyFill="1" applyBorder="1" applyAlignment="1">
      <alignment horizontal="center"/>
    </xf>
    <xf numFmtId="0" fontId="32" fillId="5" borderId="96" xfId="0" applyFont="1" applyFill="1" applyBorder="1" applyAlignment="1">
      <alignment horizontal="center"/>
    </xf>
    <xf numFmtId="0" fontId="59" fillId="3" borderId="1" xfId="0" applyFont="1" applyFill="1" applyBorder="1" applyAlignment="1">
      <alignment horizontal="left" vertical="center" wrapText="1"/>
    </xf>
    <xf numFmtId="0" fontId="80" fillId="0" borderId="22" xfId="0" applyFont="1" applyBorder="1"/>
    <xf numFmtId="0" fontId="2" fillId="5" borderId="52" xfId="0" applyFont="1" applyFill="1" applyBorder="1" applyAlignment="1">
      <alignment horizontal="right" vertical="center"/>
    </xf>
    <xf numFmtId="0" fontId="80" fillId="0" borderId="66" xfId="0" applyFont="1" applyBorder="1"/>
    <xf numFmtId="0" fontId="2" fillId="4" borderId="52" xfId="0" applyFont="1" applyFill="1" applyBorder="1" applyAlignment="1">
      <alignment horizontal="right" vertical="center"/>
    </xf>
    <xf numFmtId="0" fontId="20" fillId="0" borderId="66" xfId="0" applyFont="1" applyBorder="1"/>
    <xf numFmtId="0" fontId="32" fillId="4" borderId="52" xfId="0" applyFont="1" applyFill="1" applyBorder="1" applyAlignment="1">
      <alignment horizontal="right" vertical="center"/>
    </xf>
    <xf numFmtId="0" fontId="20" fillId="0" borderId="79" xfId="0" applyFont="1" applyBorder="1"/>
    <xf numFmtId="0" fontId="8" fillId="0" borderId="81" xfId="0" applyFont="1" applyBorder="1"/>
    <xf numFmtId="0" fontId="32" fillId="5" borderId="52" xfId="0" applyFont="1" applyFill="1" applyBorder="1" applyAlignment="1">
      <alignment horizontal="right" vertical="center"/>
    </xf>
    <xf numFmtId="0" fontId="80" fillId="4" borderId="85" xfId="0" applyFont="1" applyFill="1" applyBorder="1"/>
    <xf numFmtId="0" fontId="2" fillId="7" borderId="85" xfId="0" applyFont="1" applyFill="1" applyBorder="1"/>
    <xf numFmtId="49" fontId="32" fillId="7" borderId="72" xfId="0" applyNumberFormat="1" applyFont="1" applyFill="1" applyBorder="1" applyAlignment="1">
      <alignment horizontal="center"/>
    </xf>
    <xf numFmtId="0" fontId="80" fillId="5" borderId="86" xfId="0" applyFont="1" applyFill="1" applyBorder="1"/>
    <xf numFmtId="176" fontId="2" fillId="0" borderId="86" xfId="0" applyNumberFormat="1" applyFont="1" applyBorder="1"/>
    <xf numFmtId="3" fontId="2" fillId="0" borderId="86" xfId="0" applyNumberFormat="1" applyFont="1" applyBorder="1"/>
    <xf numFmtId="0" fontId="2" fillId="7" borderId="86" xfId="0" applyFont="1" applyFill="1" applyBorder="1"/>
    <xf numFmtId="0" fontId="80" fillId="7" borderId="86" xfId="0" applyFont="1" applyFill="1" applyBorder="1"/>
    <xf numFmtId="31" fontId="2" fillId="0" borderId="86" xfId="0" applyNumberFormat="1" applyFont="1" applyBorder="1"/>
    <xf numFmtId="0" fontId="2" fillId="0" borderId="99" xfId="0" applyFont="1" applyBorder="1" applyAlignment="1">
      <alignment horizontal="center" vertical="center"/>
    </xf>
    <xf numFmtId="176" fontId="2" fillId="0" borderId="88" xfId="0" applyNumberFormat="1" applyFont="1" applyBorder="1"/>
    <xf numFmtId="31" fontId="2" fillId="0" borderId="88" xfId="0" applyNumberFormat="1" applyFont="1" applyBorder="1"/>
    <xf numFmtId="3" fontId="2" fillId="0" borderId="88" xfId="0" applyNumberFormat="1" applyFont="1" applyBorder="1"/>
    <xf numFmtId="0" fontId="2" fillId="15" borderId="66" xfId="0" applyFont="1" applyFill="1" applyBorder="1"/>
    <xf numFmtId="0" fontId="20" fillId="0" borderId="67" xfId="0" applyFont="1" applyBorder="1"/>
    <xf numFmtId="0" fontId="2" fillId="0" borderId="78" xfId="0" applyFont="1" applyBorder="1"/>
    <xf numFmtId="0" fontId="2" fillId="0" borderId="79" xfId="0" applyFont="1" applyBorder="1"/>
    <xf numFmtId="0" fontId="2" fillId="6" borderId="66" xfId="0" applyFont="1" applyFill="1" applyBorder="1"/>
    <xf numFmtId="0" fontId="2" fillId="7" borderId="66" xfId="0" applyFont="1" applyFill="1" applyBorder="1"/>
    <xf numFmtId="0" fontId="90" fillId="0" borderId="66" xfId="0" applyFont="1" applyBorder="1"/>
    <xf numFmtId="176" fontId="2" fillId="0" borderId="68" xfId="0" applyNumberFormat="1" applyFont="1" applyBorder="1"/>
    <xf numFmtId="31" fontId="2" fillId="0" borderId="68" xfId="0" applyNumberFormat="1" applyFont="1" applyBorder="1"/>
    <xf numFmtId="3" fontId="2" fillId="0" borderId="68" xfId="0" applyNumberFormat="1" applyFont="1" applyBorder="1" applyAlignment="1">
      <alignment horizontal="right" vertical="center"/>
    </xf>
    <xf numFmtId="0" fontId="2" fillId="15" borderId="24" xfId="0" applyFont="1" applyFill="1" applyBorder="1" applyAlignment="1">
      <alignment horizontal="right" vertical="center"/>
    </xf>
    <xf numFmtId="0" fontId="2" fillId="0" borderId="24" xfId="0" applyFont="1" applyBorder="1" applyAlignment="1">
      <alignment horizontal="right" vertical="center"/>
    </xf>
    <xf numFmtId="0" fontId="80" fillId="6" borderId="66" xfId="0" applyFont="1" applyFill="1" applyBorder="1"/>
    <xf numFmtId="0" fontId="2" fillId="0" borderId="90" xfId="0" applyFont="1" applyBorder="1"/>
    <xf numFmtId="31" fontId="2" fillId="0" borderId="24" xfId="0" applyNumberFormat="1" applyFont="1" applyBorder="1"/>
    <xf numFmtId="3" fontId="2" fillId="0" borderId="24" xfId="0" applyNumberFormat="1" applyFont="1" applyBorder="1" applyAlignment="1">
      <alignment horizontal="right" vertical="center"/>
    </xf>
    <xf numFmtId="0" fontId="32" fillId="0" borderId="24" xfId="0" applyFont="1" applyBorder="1" applyAlignment="1">
      <alignment horizontal="right" vertical="center"/>
    </xf>
    <xf numFmtId="0" fontId="32" fillId="15" borderId="24" xfId="0" applyFont="1" applyFill="1" applyBorder="1" applyAlignment="1">
      <alignment horizontal="right" vertical="center"/>
    </xf>
    <xf numFmtId="3" fontId="32" fillId="0" borderId="24" xfId="0" applyNumberFormat="1" applyFont="1" applyBorder="1" applyAlignment="1">
      <alignment horizontal="right" vertical="center"/>
    </xf>
    <xf numFmtId="0" fontId="2" fillId="15" borderId="24" xfId="0" applyFont="1" applyFill="1" applyBorder="1" applyAlignment="1">
      <alignment horizontal="right"/>
    </xf>
    <xf numFmtId="0" fontId="96" fillId="0" borderId="24" xfId="0" applyFont="1" applyBorder="1"/>
    <xf numFmtId="0" fontId="2" fillId="15" borderId="83" xfId="0" applyFont="1" applyFill="1" applyBorder="1"/>
    <xf numFmtId="176" fontId="2" fillId="15" borderId="83" xfId="0" applyNumberFormat="1" applyFont="1" applyFill="1" applyBorder="1"/>
    <xf numFmtId="0" fontId="100" fillId="0" borderId="1" xfId="0" applyFont="1" applyBorder="1" applyAlignment="1">
      <alignment horizontal="center"/>
    </xf>
    <xf numFmtId="0" fontId="100" fillId="0" borderId="0" xfId="0" applyFont="1"/>
    <xf numFmtId="0" fontId="20" fillId="25" borderId="0" xfId="0" applyFont="1" applyFill="1"/>
    <xf numFmtId="0" fontId="1" fillId="25" borderId="1" xfId="0" applyFont="1" applyFill="1" applyBorder="1" applyAlignment="1">
      <alignment horizontal="left" vertical="center" wrapText="1"/>
    </xf>
    <xf numFmtId="0" fontId="9" fillId="4" borderId="1" xfId="0" applyFont="1" applyFill="1" applyBorder="1" applyAlignment="1">
      <alignment horizontal="left" vertical="center"/>
    </xf>
    <xf numFmtId="0" fontId="20" fillId="4" borderId="0" xfId="0" applyFont="1" applyFill="1"/>
    <xf numFmtId="0" fontId="20" fillId="8" borderId="0" xfId="0" applyFont="1" applyFill="1"/>
    <xf numFmtId="0" fontId="9" fillId="8" borderId="1" xfId="0" applyFont="1" applyFill="1" applyBorder="1" applyAlignment="1">
      <alignment horizontal="left" vertical="center"/>
    </xf>
    <xf numFmtId="0" fontId="1" fillId="8" borderId="1" xfId="0" applyFont="1" applyFill="1" applyBorder="1" applyAlignment="1">
      <alignment horizontal="left" vertical="center" shrinkToFit="1"/>
    </xf>
    <xf numFmtId="0" fontId="8" fillId="8" borderId="0" xfId="0" applyFont="1" applyFill="1"/>
    <xf numFmtId="0" fontId="1" fillId="8" borderId="1" xfId="0" applyFont="1" applyFill="1" applyBorder="1" applyAlignment="1">
      <alignment horizontal="right" vertical="center"/>
    </xf>
    <xf numFmtId="0" fontId="9" fillId="7" borderId="1" xfId="0" applyFont="1" applyFill="1" applyBorder="1"/>
    <xf numFmtId="0" fontId="1" fillId="7" borderId="1" xfId="0" applyFont="1" applyFill="1" applyBorder="1"/>
    <xf numFmtId="0" fontId="9" fillId="6" borderId="1" xfId="0" applyFont="1" applyFill="1" applyBorder="1" applyAlignment="1">
      <alignment horizontal="left" vertical="center" wrapText="1"/>
    </xf>
    <xf numFmtId="0" fontId="20" fillId="6" borderId="0" xfId="0" applyFont="1" applyFill="1"/>
    <xf numFmtId="0" fontId="8" fillId="0" borderId="110" xfId="0" applyFont="1" applyBorder="1"/>
    <xf numFmtId="0" fontId="8" fillId="0" borderId="111" xfId="0" applyFont="1" applyBorder="1"/>
    <xf numFmtId="0" fontId="101" fillId="0" borderId="111" xfId="0" applyFont="1" applyBorder="1"/>
    <xf numFmtId="0" fontId="20" fillId="0" borderId="112" xfId="0" applyFont="1" applyBorder="1"/>
    <xf numFmtId="0" fontId="8" fillId="0" borderId="113" xfId="0" applyFont="1" applyBorder="1" applyAlignment="1">
      <alignment horizontal="right"/>
    </xf>
    <xf numFmtId="0" fontId="20" fillId="0" borderId="1" xfId="0" applyFont="1" applyBorder="1" applyAlignment="1">
      <alignment horizontal="right"/>
    </xf>
    <xf numFmtId="0" fontId="20" fillId="0" borderId="114" xfId="0" applyFont="1" applyBorder="1" applyAlignment="1">
      <alignment horizontal="center"/>
    </xf>
    <xf numFmtId="0" fontId="20" fillId="8" borderId="113" xfId="0" applyFont="1" applyFill="1" applyBorder="1" applyAlignment="1">
      <alignment horizontal="right"/>
    </xf>
    <xf numFmtId="0" fontId="20" fillId="8" borderId="1" xfId="0" applyFont="1" applyFill="1" applyBorder="1" applyAlignment="1">
      <alignment horizontal="right"/>
    </xf>
    <xf numFmtId="0" fontId="20" fillId="8" borderId="1" xfId="0" applyFont="1" applyFill="1" applyBorder="1"/>
    <xf numFmtId="0" fontId="8" fillId="8" borderId="1" xfId="0" applyFont="1" applyFill="1" applyBorder="1"/>
    <xf numFmtId="0" fontId="20" fillId="8" borderId="114" xfId="0" applyFont="1" applyFill="1" applyBorder="1" applyAlignment="1">
      <alignment horizontal="center"/>
    </xf>
    <xf numFmtId="0" fontId="20" fillId="0" borderId="113" xfId="0" applyFont="1" applyBorder="1" applyAlignment="1">
      <alignment horizontal="right"/>
    </xf>
    <xf numFmtId="0" fontId="20" fillId="8" borderId="115" xfId="0" applyFont="1" applyFill="1" applyBorder="1" applyAlignment="1">
      <alignment horizontal="right"/>
    </xf>
    <xf numFmtId="0" fontId="20" fillId="8" borderId="116" xfId="0" applyFont="1" applyFill="1" applyBorder="1" applyAlignment="1">
      <alignment horizontal="right"/>
    </xf>
    <xf numFmtId="0" fontId="20" fillId="8" borderId="116" xfId="0" applyFont="1" applyFill="1" applyBorder="1"/>
    <xf numFmtId="0" fontId="8" fillId="8" borderId="116" xfId="0" applyFont="1" applyFill="1" applyBorder="1"/>
    <xf numFmtId="0" fontId="20" fillId="8" borderId="117" xfId="0" applyFont="1" applyFill="1" applyBorder="1" applyAlignment="1">
      <alignment horizontal="center"/>
    </xf>
    <xf numFmtId="0" fontId="20" fillId="0" borderId="1" xfId="0" applyFont="1" applyBorder="1" applyAlignment="1">
      <alignment horizontal="center"/>
    </xf>
    <xf numFmtId="0" fontId="9" fillId="7" borderId="0" xfId="0" applyFont="1" applyFill="1" applyAlignment="1">
      <alignment horizontal="left" vertical="center"/>
    </xf>
    <xf numFmtId="0" fontId="1" fillId="7" borderId="0" xfId="0" applyFont="1" applyFill="1" applyAlignment="1">
      <alignment horizontal="left" vertical="center" shrinkToFit="1"/>
    </xf>
    <xf numFmtId="0" fontId="19" fillId="7" borderId="0" xfId="0" applyFont="1" applyFill="1" applyAlignment="1">
      <alignment horizontal="left" vertical="center" wrapText="1"/>
    </xf>
    <xf numFmtId="0" fontId="1" fillId="7" borderId="0" xfId="0" applyFont="1" applyFill="1" applyAlignment="1">
      <alignment horizontal="right" vertical="center"/>
    </xf>
    <xf numFmtId="0" fontId="20" fillId="7" borderId="0" xfId="0" applyFont="1" applyFill="1"/>
    <xf numFmtId="0" fontId="1" fillId="7" borderId="0" xfId="0" applyFont="1" applyFill="1" applyAlignment="1">
      <alignment horizontal="left" vertical="center" wrapText="1"/>
    </xf>
    <xf numFmtId="0" fontId="8" fillId="7" borderId="0" xfId="0" applyFont="1" applyFill="1"/>
    <xf numFmtId="0" fontId="1" fillId="7" borderId="0" xfId="0" applyFont="1" applyFill="1" applyAlignment="1">
      <alignment horizontal="left" vertical="center"/>
    </xf>
    <xf numFmtId="0" fontId="2" fillId="7" borderId="0" xfId="0" applyFont="1" applyFill="1" applyAlignment="1">
      <alignment horizontal="left" vertical="center"/>
    </xf>
    <xf numFmtId="0" fontId="20" fillId="15" borderId="0" xfId="0" applyFont="1" applyFill="1"/>
    <xf numFmtId="0" fontId="38" fillId="15" borderId="0" xfId="0" applyFont="1" applyFill="1" applyAlignment="1">
      <alignment horizontal="left" wrapText="1"/>
    </xf>
    <xf numFmtId="0" fontId="102" fillId="5" borderId="0" xfId="0" applyFont="1" applyFill="1" applyAlignment="1">
      <alignment wrapText="1"/>
    </xf>
    <xf numFmtId="0" fontId="103" fillId="26" borderId="118" xfId="0" applyFont="1" applyFill="1" applyBorder="1" applyAlignment="1">
      <alignment horizontal="center"/>
    </xf>
    <xf numFmtId="0" fontId="104" fillId="26" borderId="119" xfId="0" applyFont="1" applyFill="1" applyBorder="1" applyAlignment="1">
      <alignment horizontal="center"/>
    </xf>
    <xf numFmtId="0" fontId="103" fillId="26" borderId="119" xfId="0" applyFont="1" applyFill="1" applyBorder="1" applyAlignment="1">
      <alignment horizontal="center"/>
    </xf>
    <xf numFmtId="0" fontId="105" fillId="0" borderId="0" xfId="0" applyFont="1"/>
    <xf numFmtId="0" fontId="106" fillId="5" borderId="120" xfId="0" applyFont="1" applyFill="1" applyBorder="1" applyAlignment="1">
      <alignment horizontal="center"/>
    </xf>
    <xf numFmtId="14" fontId="106" fillId="5" borderId="121" xfId="0" applyNumberFormat="1" applyFont="1" applyFill="1" applyBorder="1" applyAlignment="1">
      <alignment horizontal="center"/>
    </xf>
    <xf numFmtId="0" fontId="106" fillId="5" borderId="121" xfId="0" applyFont="1" applyFill="1" applyBorder="1" applyAlignment="1">
      <alignment horizontal="center"/>
    </xf>
    <xf numFmtId="0" fontId="107" fillId="4" borderId="0" xfId="0" applyFont="1" applyFill="1" applyAlignment="1">
      <alignment horizontal="center"/>
    </xf>
    <xf numFmtId="0" fontId="108" fillId="0" borderId="0" xfId="0" applyFont="1"/>
    <xf numFmtId="176" fontId="106" fillId="5" borderId="121" xfId="0" applyNumberFormat="1" applyFont="1" applyFill="1" applyBorder="1" applyAlignment="1">
      <alignment horizontal="center"/>
    </xf>
    <xf numFmtId="0" fontId="107" fillId="0" borderId="0" xfId="0" applyFont="1" applyAlignment="1">
      <alignment horizontal="center"/>
    </xf>
    <xf numFmtId="0" fontId="58" fillId="0" borderId="1" xfId="0" applyFont="1" applyBorder="1" applyAlignment="1">
      <alignment vertical="center"/>
    </xf>
    <xf numFmtId="0" fontId="58" fillId="0" borderId="1" xfId="0" applyFont="1" applyBorder="1" applyAlignment="1">
      <alignment horizontal="center" vertical="center"/>
    </xf>
    <xf numFmtId="0" fontId="58" fillId="27" borderId="1" xfId="0" applyFont="1" applyFill="1" applyBorder="1" applyAlignment="1">
      <alignment horizontal="center" vertical="center"/>
    </xf>
    <xf numFmtId="0" fontId="58" fillId="31" borderId="1" xfId="0" applyFont="1" applyFill="1" applyBorder="1" applyAlignment="1">
      <alignment horizontal="center" vertical="center"/>
    </xf>
    <xf numFmtId="0" fontId="58" fillId="28" borderId="1" xfId="0" applyFont="1" applyFill="1" applyBorder="1" applyAlignment="1">
      <alignment horizontal="center" vertical="center"/>
    </xf>
    <xf numFmtId="0" fontId="58" fillId="32" borderId="1" xfId="0" applyFont="1" applyFill="1" applyBorder="1" applyAlignment="1">
      <alignment horizontal="center" vertical="center"/>
    </xf>
    <xf numFmtId="0" fontId="58" fillId="29" borderId="1" xfId="0" applyFont="1" applyFill="1" applyBorder="1" applyAlignment="1">
      <alignment horizontal="center" vertical="center"/>
    </xf>
    <xf numFmtId="0" fontId="58" fillId="33" borderId="1" xfId="0" applyFont="1" applyFill="1" applyBorder="1" applyAlignment="1">
      <alignment horizontal="center" vertical="center"/>
    </xf>
    <xf numFmtId="0" fontId="58" fillId="0" borderId="0" xfId="0" applyFont="1" applyAlignment="1">
      <alignment horizontal="center" vertical="center"/>
    </xf>
    <xf numFmtId="0" fontId="58" fillId="34" borderId="1" xfId="0" applyFont="1" applyFill="1" applyBorder="1" applyAlignment="1">
      <alignment horizontal="center" vertical="center"/>
    </xf>
    <xf numFmtId="0" fontId="109" fillId="30" borderId="1" xfId="0" applyFont="1" applyFill="1" applyBorder="1" applyAlignment="1">
      <alignment horizontal="center" vertical="center"/>
    </xf>
    <xf numFmtId="0" fontId="110" fillId="30" borderId="1" xfId="0" applyFont="1" applyFill="1" applyBorder="1" applyAlignment="1">
      <alignment horizontal="center" vertical="center"/>
    </xf>
    <xf numFmtId="0" fontId="58" fillId="12" borderId="1" xfId="0" applyFont="1" applyFill="1" applyBorder="1" applyAlignment="1">
      <alignment horizontal="center" vertical="center"/>
    </xf>
    <xf numFmtId="0" fontId="109" fillId="25" borderId="1" xfId="0" applyFont="1" applyFill="1" applyBorder="1" applyAlignment="1">
      <alignment horizontal="center" vertical="center"/>
    </xf>
    <xf numFmtId="0" fontId="109" fillId="20" borderId="1" xfId="0" applyFont="1" applyFill="1" applyBorder="1" applyAlignment="1">
      <alignment horizontal="center" vertical="center"/>
    </xf>
    <xf numFmtId="0" fontId="110" fillId="20" borderId="1" xfId="0" applyFont="1" applyFill="1" applyBorder="1" applyAlignment="1">
      <alignment horizontal="center" vertical="center"/>
    </xf>
    <xf numFmtId="49" fontId="58" fillId="0" borderId="1" xfId="0" applyNumberFormat="1" applyFont="1" applyBorder="1" applyAlignment="1">
      <alignment horizontal="right" vertical="center"/>
    </xf>
    <xf numFmtId="0" fontId="58" fillId="27" borderId="1" xfId="0" applyFont="1" applyFill="1" applyBorder="1" applyAlignment="1">
      <alignment vertical="center"/>
    </xf>
    <xf numFmtId="0" fontId="58" fillId="31" borderId="1" xfId="0" applyFont="1" applyFill="1" applyBorder="1" applyAlignment="1">
      <alignment vertical="center"/>
    </xf>
    <xf numFmtId="0" fontId="58" fillId="28" borderId="1" xfId="0" applyFont="1" applyFill="1" applyBorder="1" applyAlignment="1">
      <alignment vertical="center"/>
    </xf>
    <xf numFmtId="0" fontId="58" fillId="32" borderId="1" xfId="0" applyFont="1" applyFill="1" applyBorder="1" applyAlignment="1">
      <alignment vertical="center"/>
    </xf>
    <xf numFmtId="0" fontId="58" fillId="29" borderId="1" xfId="0" applyFont="1" applyFill="1" applyBorder="1" applyAlignment="1">
      <alignment vertical="center"/>
    </xf>
    <xf numFmtId="0" fontId="58" fillId="33" borderId="1" xfId="0" applyFont="1" applyFill="1" applyBorder="1" applyAlignment="1">
      <alignment vertical="center"/>
    </xf>
    <xf numFmtId="0" fontId="58" fillId="34" borderId="1" xfId="0" applyFont="1" applyFill="1" applyBorder="1" applyAlignment="1">
      <alignment vertical="center"/>
    </xf>
    <xf numFmtId="0" fontId="111" fillId="30" borderId="1" xfId="0" applyFont="1" applyFill="1" applyBorder="1" applyAlignment="1">
      <alignment vertical="center"/>
    </xf>
    <xf numFmtId="0" fontId="58" fillId="12" borderId="1" xfId="0" applyFont="1" applyFill="1" applyBorder="1" applyAlignment="1">
      <alignment vertical="center"/>
    </xf>
    <xf numFmtId="0" fontId="111" fillId="25" borderId="1" xfId="0" applyFont="1" applyFill="1" applyBorder="1" applyAlignment="1">
      <alignment vertical="center"/>
    </xf>
    <xf numFmtId="0" fontId="111" fillId="20" borderId="1" xfId="0" applyFont="1" applyFill="1" applyBorder="1" applyAlignment="1">
      <alignment vertical="center"/>
    </xf>
    <xf numFmtId="49" fontId="58" fillId="0" borderId="1" xfId="0" applyNumberFormat="1" applyFont="1" applyBorder="1" applyAlignment="1">
      <alignment vertical="center"/>
    </xf>
    <xf numFmtId="0" fontId="58" fillId="0" borderId="0" xfId="0" applyFont="1" applyAlignment="1">
      <alignment vertical="center"/>
    </xf>
    <xf numFmtId="0" fontId="111" fillId="25" borderId="1" xfId="0" applyFont="1" applyFill="1" applyBorder="1" applyAlignment="1">
      <alignment horizontal="right" vertical="center"/>
    </xf>
    <xf numFmtId="0" fontId="8" fillId="6" borderId="0" xfId="0" applyFont="1" applyFill="1"/>
    <xf numFmtId="49" fontId="58" fillId="4" borderId="1" xfId="0" applyNumberFormat="1" applyFont="1" applyFill="1" applyBorder="1" applyAlignment="1">
      <alignment horizontal="center" vertical="center"/>
    </xf>
    <xf numFmtId="0" fontId="8" fillId="4" borderId="1" xfId="0" applyFont="1" applyFill="1" applyBorder="1"/>
    <xf numFmtId="0" fontId="8" fillId="0" borderId="3" xfId="0" applyFont="1" applyBorder="1"/>
    <xf numFmtId="49" fontId="58" fillId="0" borderId="0" xfId="0" applyNumberFormat="1" applyFont="1" applyAlignment="1">
      <alignment vertical="center"/>
    </xf>
    <xf numFmtId="0" fontId="92" fillId="0" borderId="0" xfId="0" applyFont="1"/>
    <xf numFmtId="0" fontId="8" fillId="0" borderId="0" xfId="0" applyFont="1" applyAlignment="1">
      <alignment wrapText="1"/>
    </xf>
    <xf numFmtId="0" fontId="50" fillId="0" borderId="1" xfId="0" applyFont="1" applyBorder="1" applyAlignment="1">
      <alignment horizontal="center"/>
    </xf>
    <xf numFmtId="0" fontId="100" fillId="0" borderId="1" xfId="0" applyFont="1" applyBorder="1"/>
    <xf numFmtId="178" fontId="32" fillId="0" borderId="1" xfId="0" applyNumberFormat="1" applyFont="1" applyBorder="1" applyAlignment="1">
      <alignment horizontal="right"/>
    </xf>
    <xf numFmtId="0" fontId="32" fillId="0" borderId="8" xfId="0" applyFont="1" applyBorder="1" applyAlignment="1">
      <alignment horizontal="right"/>
    </xf>
    <xf numFmtId="179" fontId="32" fillId="0" borderId="1" xfId="0" applyNumberFormat="1" applyFont="1" applyBorder="1" applyAlignment="1">
      <alignment horizontal="right"/>
    </xf>
    <xf numFmtId="0" fontId="32" fillId="0" borderId="0" xfId="0" applyFont="1" applyAlignment="1">
      <alignment horizontal="right"/>
    </xf>
    <xf numFmtId="0" fontId="52" fillId="0" borderId="0" xfId="0" applyFont="1" applyAlignment="1">
      <alignment horizontal="right"/>
    </xf>
    <xf numFmtId="49" fontId="2" fillId="0" borderId="1" xfId="0" applyNumberFormat="1" applyFont="1" applyBorder="1" applyAlignment="1">
      <alignment horizontal="right"/>
    </xf>
    <xf numFmtId="0" fontId="52" fillId="0" borderId="8" xfId="0" applyFont="1" applyBorder="1" applyAlignment="1">
      <alignment horizontal="right"/>
    </xf>
    <xf numFmtId="0" fontId="100" fillId="0" borderId="5" xfId="0" applyFont="1" applyBorder="1"/>
    <xf numFmtId="0" fontId="100" fillId="0" borderId="11" xfId="0" applyFont="1" applyBorder="1"/>
    <xf numFmtId="0" fontId="100" fillId="0" borderId="10" xfId="0" applyFont="1" applyBorder="1" applyAlignment="1">
      <alignment horizontal="center"/>
    </xf>
    <xf numFmtId="0" fontId="111" fillId="7" borderId="9" xfId="0" applyFont="1" applyFill="1" applyBorder="1" applyAlignment="1">
      <alignment horizontal="center"/>
    </xf>
    <xf numFmtId="0" fontId="100" fillId="7" borderId="9" xfId="0" applyFont="1" applyFill="1" applyBorder="1" applyAlignment="1">
      <alignment horizontal="center"/>
    </xf>
    <xf numFmtId="0" fontId="100" fillId="7" borderId="122" xfId="0" applyFont="1" applyFill="1" applyBorder="1" applyAlignment="1">
      <alignment horizontal="center"/>
    </xf>
    <xf numFmtId="0" fontId="100" fillId="0" borderId="9" xfId="0" applyFont="1" applyBorder="1" applyAlignment="1">
      <alignment horizontal="center"/>
    </xf>
    <xf numFmtId="0" fontId="100" fillId="10" borderId="9" xfId="0" applyFont="1" applyFill="1" applyBorder="1" applyAlignment="1">
      <alignment horizontal="center"/>
    </xf>
    <xf numFmtId="0" fontId="58" fillId="10" borderId="9" xfId="0" applyFont="1" applyFill="1" applyBorder="1" applyAlignment="1">
      <alignment horizontal="center"/>
    </xf>
    <xf numFmtId="0" fontId="58" fillId="0" borderId="9" xfId="0" applyFont="1" applyBorder="1" applyAlignment="1">
      <alignment horizontal="center"/>
    </xf>
    <xf numFmtId="0" fontId="100" fillId="0" borderId="0" xfId="0" applyFont="1" applyAlignment="1">
      <alignment horizontal="center"/>
    </xf>
    <xf numFmtId="0" fontId="100" fillId="0" borderId="122" xfId="0" applyFont="1" applyBorder="1" applyAlignment="1">
      <alignment horizontal="center"/>
    </xf>
    <xf numFmtId="0" fontId="111" fillId="10" borderId="122" xfId="0" applyFont="1" applyFill="1" applyBorder="1" applyAlignment="1">
      <alignment horizontal="center"/>
    </xf>
    <xf numFmtId="0" fontId="100" fillId="10" borderId="122" xfId="0" applyFont="1" applyFill="1" applyBorder="1" applyAlignment="1">
      <alignment horizontal="center"/>
    </xf>
    <xf numFmtId="0" fontId="100" fillId="0" borderId="123" xfId="0" applyFont="1" applyBorder="1" applyAlignment="1">
      <alignment horizontal="center"/>
    </xf>
    <xf numFmtId="0" fontId="111" fillId="7" borderId="123" xfId="0" applyFont="1" applyFill="1" applyBorder="1" applyAlignment="1">
      <alignment horizontal="center"/>
    </xf>
    <xf numFmtId="0" fontId="111" fillId="7" borderId="124" xfId="0" applyFont="1" applyFill="1" applyBorder="1" applyAlignment="1">
      <alignment horizontal="center"/>
    </xf>
    <xf numFmtId="0" fontId="111" fillId="7" borderId="122" xfId="0" applyFont="1" applyFill="1" applyBorder="1" applyAlignment="1">
      <alignment horizontal="center"/>
    </xf>
    <xf numFmtId="0" fontId="111" fillId="0" borderId="9" xfId="0" applyFont="1" applyBorder="1" applyAlignment="1">
      <alignment horizontal="center"/>
    </xf>
    <xf numFmtId="0" fontId="111" fillId="0" borderId="122" xfId="0" applyFont="1" applyBorder="1" applyAlignment="1">
      <alignment horizontal="center"/>
    </xf>
    <xf numFmtId="0" fontId="100" fillId="0" borderId="9" xfId="0" applyFont="1" applyBorder="1" applyAlignment="1">
      <alignment horizontal="left"/>
    </xf>
    <xf numFmtId="176" fontId="20" fillId="0" borderId="0" xfId="0" applyNumberFormat="1" applyFont="1"/>
    <xf numFmtId="176" fontId="20" fillId="4" borderId="0" xfId="0" applyNumberFormat="1" applyFont="1" applyFill="1"/>
    <xf numFmtId="14" fontId="20" fillId="3" borderId="0" xfId="0" applyNumberFormat="1" applyFont="1" applyFill="1"/>
    <xf numFmtId="0" fontId="20" fillId="0" borderId="13" xfId="0" applyFont="1" applyBorder="1"/>
    <xf numFmtId="0" fontId="8" fillId="0" borderId="11" xfId="0" applyFont="1" applyBorder="1"/>
    <xf numFmtId="0" fontId="20" fillId="0" borderId="2" xfId="0" applyFont="1" applyBorder="1" applyAlignment="1">
      <alignment horizontal="center"/>
    </xf>
    <xf numFmtId="0" fontId="20" fillId="0" borderId="5" xfId="0" applyFont="1" applyBorder="1" applyAlignment="1">
      <alignment horizontal="center"/>
    </xf>
    <xf numFmtId="0" fontId="20" fillId="2" borderId="0" xfId="0" applyFont="1" applyFill="1" applyAlignment="1">
      <alignment horizontal="center"/>
    </xf>
    <xf numFmtId="0" fontId="20" fillId="0" borderId="0" xfId="0" applyFont="1" applyAlignment="1">
      <alignment horizontal="right"/>
    </xf>
    <xf numFmtId="0" fontId="20" fillId="0" borderId="11" xfId="0" applyFont="1" applyBorder="1"/>
    <xf numFmtId="0" fontId="8" fillId="0" borderId="10" xfId="0" applyFont="1" applyBorder="1"/>
    <xf numFmtId="0" fontId="20" fillId="0" borderId="4" xfId="0" applyFont="1" applyBorder="1" applyAlignment="1">
      <alignment horizontal="center"/>
    </xf>
    <xf numFmtId="0" fontId="8" fillId="0" borderId="0" xfId="0" applyFont="1" applyAlignment="1">
      <alignment horizontal="right"/>
    </xf>
    <xf numFmtId="0" fontId="90" fillId="0" borderId="0" xfId="0" applyFont="1" applyAlignment="1">
      <alignment horizontal="right"/>
    </xf>
    <xf numFmtId="0" fontId="90" fillId="0" borderId="0" xfId="0" applyFont="1" applyAlignment="1">
      <alignment horizontal="center"/>
    </xf>
    <xf numFmtId="31" fontId="20" fillId="0" borderId="0" xfId="0" applyNumberFormat="1" applyFont="1"/>
    <xf numFmtId="0" fontId="100" fillId="0" borderId="0" xfId="0" applyFont="1" applyAlignment="1">
      <alignment horizontal="left"/>
    </xf>
    <xf numFmtId="0" fontId="119" fillId="0" borderId="0" xfId="0" applyFont="1" applyAlignment="1">
      <alignment horizontal="center"/>
    </xf>
    <xf numFmtId="0" fontId="122" fillId="0" borderId="0" xfId="0" applyFont="1"/>
    <xf numFmtId="0" fontId="122" fillId="0" borderId="9" xfId="0" applyFont="1" applyBorder="1"/>
    <xf numFmtId="0" fontId="123" fillId="0" borderId="0" xfId="0" applyFont="1"/>
    <xf numFmtId="0" fontId="121" fillId="0" borderId="0" xfId="0" applyFont="1" applyAlignment="1">
      <alignment horizontal="center"/>
    </xf>
    <xf numFmtId="0" fontId="123" fillId="0" borderId="0" xfId="0" applyFont="1" applyAlignment="1">
      <alignment horizontal="center"/>
    </xf>
    <xf numFmtId="0" fontId="113" fillId="0" borderId="0" xfId="0" applyFont="1"/>
    <xf numFmtId="0" fontId="113" fillId="0" borderId="9" xfId="0" applyFont="1" applyBorder="1"/>
    <xf numFmtId="0" fontId="125" fillId="0" borderId="9" xfId="0" applyFont="1" applyBorder="1" applyAlignment="1">
      <alignment horizontal="center"/>
    </xf>
    <xf numFmtId="0" fontId="126" fillId="0" borderId="9" xfId="0" applyFont="1" applyBorder="1" applyAlignment="1">
      <alignment horizontal="center"/>
    </xf>
    <xf numFmtId="0" fontId="122" fillId="0" borderId="8" xfId="0" applyFont="1" applyBorder="1"/>
    <xf numFmtId="0" fontId="120" fillId="0" borderId="0" xfId="0" applyFont="1"/>
    <xf numFmtId="0" fontId="121" fillId="0" borderId="8" xfId="0" applyFont="1" applyBorder="1"/>
    <xf numFmtId="0" fontId="125" fillId="0" borderId="0" xfId="0" applyFont="1"/>
    <xf numFmtId="0" fontId="126" fillId="0" borderId="0" xfId="0" applyFont="1"/>
    <xf numFmtId="0" fontId="20" fillId="0" borderId="82" xfId="0" applyFont="1" applyBorder="1" applyAlignment="1">
      <alignment horizontal="center"/>
    </xf>
    <xf numFmtId="0" fontId="20" fillId="0" borderId="80" xfId="0" applyFont="1" applyBorder="1" applyAlignment="1">
      <alignment horizontal="center"/>
    </xf>
    <xf numFmtId="0" fontId="20" fillId="0" borderId="81" xfId="0" applyFont="1" applyBorder="1" applyAlignment="1">
      <alignment horizontal="center"/>
    </xf>
    <xf numFmtId="0" fontId="20" fillId="0" borderId="125" xfId="0" applyFont="1" applyBorder="1" applyAlignment="1">
      <alignment horizontal="center"/>
    </xf>
    <xf numFmtId="0" fontId="20" fillId="0" borderId="126" xfId="0" applyFont="1" applyBorder="1" applyAlignment="1">
      <alignment horizontal="center"/>
    </xf>
    <xf numFmtId="0" fontId="2" fillId="9" borderId="127" xfId="0" applyFont="1" applyFill="1" applyBorder="1" applyAlignment="1">
      <alignment horizontal="center" vertical="center" shrinkToFit="1"/>
    </xf>
    <xf numFmtId="0" fontId="1" fillId="3" borderId="128" xfId="0" applyFont="1" applyFill="1" applyBorder="1" applyAlignment="1">
      <alignment horizontal="center" vertical="center"/>
    </xf>
    <xf numFmtId="0" fontId="20" fillId="23" borderId="0" xfId="0" applyFont="1" applyFill="1"/>
    <xf numFmtId="0" fontId="8" fillId="23" borderId="0" xfId="0" applyFont="1" applyFill="1"/>
    <xf numFmtId="0" fontId="8" fillId="23" borderId="62" xfId="0" applyFont="1" applyFill="1" applyBorder="1"/>
    <xf numFmtId="0" fontId="8" fillId="23" borderId="77" xfId="0" applyFont="1" applyFill="1" applyBorder="1"/>
    <xf numFmtId="0" fontId="8" fillId="23" borderId="63" xfId="0" applyFont="1" applyFill="1" applyBorder="1"/>
    <xf numFmtId="0" fontId="8" fillId="23" borderId="37" xfId="0" applyFont="1" applyFill="1" applyBorder="1"/>
    <xf numFmtId="0" fontId="8" fillId="23" borderId="22" xfId="0" applyFont="1" applyFill="1" applyBorder="1"/>
    <xf numFmtId="49" fontId="20" fillId="0" borderId="113" xfId="0" applyNumberFormat="1" applyFont="1" applyBorder="1" applyAlignment="1">
      <alignment horizontal="left"/>
    </xf>
    <xf numFmtId="0" fontId="1" fillId="3" borderId="114" xfId="0" applyFont="1" applyFill="1" applyBorder="1" applyAlignment="1">
      <alignment horizontal="center" vertical="center"/>
    </xf>
    <xf numFmtId="0" fontId="20" fillId="0" borderId="115" xfId="0" applyFont="1" applyBorder="1"/>
    <xf numFmtId="0" fontId="8" fillId="12" borderId="117" xfId="0" applyFont="1" applyFill="1" applyBorder="1"/>
    <xf numFmtId="0" fontId="8" fillId="0" borderId="125" xfId="0" applyFont="1" applyBorder="1"/>
    <xf numFmtId="0" fontId="8" fillId="0" borderId="126" xfId="0" applyFont="1" applyBorder="1"/>
    <xf numFmtId="49" fontId="2" fillId="0" borderId="127" xfId="0" applyNumberFormat="1" applyFont="1" applyBorder="1" applyAlignment="1">
      <alignment horizontal="center" vertical="center" shrinkToFit="1"/>
    </xf>
    <xf numFmtId="0" fontId="20" fillId="20" borderId="0" xfId="0" applyFont="1" applyFill="1"/>
    <xf numFmtId="0" fontId="8" fillId="20" borderId="0" xfId="0" applyFont="1" applyFill="1"/>
    <xf numFmtId="0" fontId="8" fillId="20" borderId="62" xfId="0" applyFont="1" applyFill="1" applyBorder="1"/>
    <xf numFmtId="0" fontId="8" fillId="20" borderId="77" xfId="0" applyFont="1" applyFill="1" applyBorder="1"/>
    <xf numFmtId="0" fontId="8" fillId="20" borderId="63" xfId="0" applyFont="1" applyFill="1" applyBorder="1"/>
    <xf numFmtId="0" fontId="8" fillId="20" borderId="37" xfId="0" applyFont="1" applyFill="1" applyBorder="1"/>
    <xf numFmtId="0" fontId="8" fillId="20" borderId="22" xfId="0" applyFont="1" applyFill="1" applyBorder="1"/>
    <xf numFmtId="0" fontId="20" fillId="0" borderId="117" xfId="0" applyFont="1" applyBorder="1"/>
    <xf numFmtId="0" fontId="2" fillId="0" borderId="127" xfId="0" applyFont="1" applyBorder="1" applyAlignment="1">
      <alignment horizontal="center" vertical="center" shrinkToFit="1"/>
    </xf>
    <xf numFmtId="0" fontId="20" fillId="11" borderId="0" xfId="0" applyFont="1" applyFill="1"/>
    <xf numFmtId="0" fontId="20" fillId="11" borderId="63" xfId="0" applyFont="1" applyFill="1" applyBorder="1" applyAlignment="1">
      <alignment horizontal="right"/>
    </xf>
    <xf numFmtId="0" fontId="20" fillId="0" borderId="63" xfId="0" applyFont="1" applyBorder="1" applyAlignment="1">
      <alignment horizontal="right"/>
    </xf>
    <xf numFmtId="0" fontId="20" fillId="0" borderId="80" xfId="0" applyFont="1" applyBorder="1"/>
    <xf numFmtId="0" fontId="20" fillId="30" borderId="0" xfId="0" applyFont="1" applyFill="1"/>
    <xf numFmtId="0" fontId="8" fillId="30" borderId="0" xfId="0" applyFont="1" applyFill="1"/>
    <xf numFmtId="0" fontId="8" fillId="30" borderId="62" xfId="0" applyFont="1" applyFill="1" applyBorder="1"/>
    <xf numFmtId="0" fontId="8" fillId="30" borderId="77" xfId="0" applyFont="1" applyFill="1" applyBorder="1"/>
    <xf numFmtId="0" fontId="8" fillId="30" borderId="63" xfId="0" applyFont="1" applyFill="1" applyBorder="1"/>
    <xf numFmtId="0" fontId="20" fillId="30" borderId="63" xfId="0" applyFont="1" applyFill="1" applyBorder="1" applyAlignment="1">
      <alignment horizontal="right"/>
    </xf>
    <xf numFmtId="0" fontId="8" fillId="30" borderId="37" xfId="0" applyFont="1" applyFill="1" applyBorder="1"/>
    <xf numFmtId="0" fontId="8" fillId="30" borderId="22" xfId="0" applyFont="1" applyFill="1" applyBorder="1"/>
    <xf numFmtId="0" fontId="8" fillId="30" borderId="66" xfId="0" applyFont="1" applyFill="1" applyBorder="1"/>
    <xf numFmtId="0" fontId="8" fillId="30" borderId="67" xfId="0" applyFont="1" applyFill="1" applyBorder="1"/>
    <xf numFmtId="0" fontId="20" fillId="20" borderId="0" xfId="0" applyFont="1" applyFill="1" applyAlignment="1">
      <alignment horizontal="right"/>
    </xf>
    <xf numFmtId="0" fontId="20" fillId="19" borderId="62" xfId="0" applyFont="1" applyFill="1" applyBorder="1"/>
    <xf numFmtId="0" fontId="8" fillId="19" borderId="77" xfId="0" applyFont="1" applyFill="1" applyBorder="1"/>
    <xf numFmtId="0" fontId="20" fillId="11" borderId="77" xfId="0" applyFont="1" applyFill="1" applyBorder="1"/>
    <xf numFmtId="0" fontId="8" fillId="11" borderId="77" xfId="0" applyFont="1" applyFill="1" applyBorder="1"/>
    <xf numFmtId="0" fontId="1" fillId="3" borderId="128" xfId="0" quotePrefix="1" applyFont="1" applyFill="1" applyBorder="1" applyAlignment="1">
      <alignment horizontal="center" vertical="center"/>
    </xf>
    <xf numFmtId="0" fontId="20" fillId="0" borderId="129" xfId="0" applyFont="1" applyBorder="1"/>
    <xf numFmtId="0" fontId="20" fillId="0" borderId="130" xfId="0" applyFont="1" applyBorder="1"/>
    <xf numFmtId="0" fontId="2" fillId="0" borderId="131" xfId="0" applyFont="1" applyBorder="1" applyAlignment="1">
      <alignment horizontal="center" vertical="center" shrinkToFit="1"/>
    </xf>
    <xf numFmtId="0" fontId="1" fillId="3" borderId="132" xfId="0" applyFont="1" applyFill="1" applyBorder="1" applyAlignment="1">
      <alignment horizontal="center" vertical="center"/>
    </xf>
    <xf numFmtId="0" fontId="8" fillId="6" borderId="37" xfId="0" applyFont="1" applyFill="1" applyBorder="1"/>
    <xf numFmtId="0" fontId="8" fillId="6" borderId="22" xfId="0" applyFont="1" applyFill="1" applyBorder="1"/>
    <xf numFmtId="49" fontId="1" fillId="0" borderId="133" xfId="0" applyNumberFormat="1" applyFont="1" applyBorder="1" applyAlignment="1">
      <alignment horizontal="center"/>
    </xf>
    <xf numFmtId="0" fontId="1" fillId="3" borderId="134" xfId="0" applyFont="1" applyFill="1" applyBorder="1" applyAlignment="1">
      <alignment horizontal="center" vertical="center"/>
    </xf>
    <xf numFmtId="0" fontId="1" fillId="0" borderId="133" xfId="0" applyFont="1" applyBorder="1"/>
    <xf numFmtId="0" fontId="1" fillId="5" borderId="134" xfId="0" applyFont="1" applyFill="1" applyBorder="1"/>
    <xf numFmtId="0" fontId="2" fillId="0" borderId="135" xfId="0" applyFont="1" applyBorder="1" applyAlignment="1">
      <alignment horizontal="center" vertical="center" shrinkToFit="1"/>
    </xf>
    <xf numFmtId="0" fontId="1" fillId="3" borderId="136" xfId="0" applyFont="1" applyFill="1" applyBorder="1" applyAlignment="1">
      <alignment horizontal="center" vertical="center"/>
    </xf>
    <xf numFmtId="0" fontId="20" fillId="0" borderId="126" xfId="0" applyFont="1" applyBorder="1"/>
    <xf numFmtId="0" fontId="1" fillId="3" borderId="136" xfId="0" quotePrefix="1" applyFont="1" applyFill="1" applyBorder="1" applyAlignment="1">
      <alignment horizontal="center" vertical="center"/>
    </xf>
    <xf numFmtId="49" fontId="20" fillId="0" borderId="133" xfId="0" applyNumberFormat="1" applyFont="1" applyBorder="1" applyAlignment="1">
      <alignment horizontal="left"/>
    </xf>
    <xf numFmtId="0" fontId="20" fillId="0" borderId="137" xfId="0" applyFont="1" applyBorder="1"/>
    <xf numFmtId="0" fontId="20" fillId="0" borderId="138" xfId="0" applyFont="1" applyBorder="1"/>
    <xf numFmtId="0" fontId="20" fillId="0" borderId="139" xfId="0" applyFont="1" applyBorder="1"/>
    <xf numFmtId="0" fontId="20" fillId="0" borderId="140" xfId="0" applyFont="1" applyBorder="1"/>
    <xf numFmtId="0" fontId="8" fillId="0" borderId="33" xfId="0" applyFont="1" applyBorder="1"/>
    <xf numFmtId="0" fontId="65" fillId="0" borderId="0" xfId="0" applyFont="1" applyAlignment="1">
      <alignment horizontal="center"/>
    </xf>
    <xf numFmtId="0" fontId="0" fillId="0" borderId="0" xfId="0"/>
    <xf numFmtId="0" fontId="64" fillId="0" borderId="0" xfId="0" applyFont="1"/>
    <xf numFmtId="31" fontId="64" fillId="0" borderId="0" xfId="0" applyNumberFormat="1" applyFont="1" applyAlignment="1">
      <alignment horizontal="center"/>
    </xf>
    <xf numFmtId="0" fontId="64" fillId="0" borderId="2" xfId="0" applyFont="1" applyBorder="1" applyAlignment="1">
      <alignment horizontal="center"/>
    </xf>
    <xf numFmtId="0" fontId="66" fillId="0" borderId="3" xfId="0" applyFont="1" applyBorder="1"/>
    <xf numFmtId="0" fontId="66" fillId="0" borderId="4" xfId="0" applyFont="1" applyBorder="1"/>
    <xf numFmtId="0" fontId="64" fillId="0" borderId="3" xfId="0" applyFont="1" applyBorder="1" applyAlignment="1">
      <alignment horizontal="center"/>
    </xf>
    <xf numFmtId="0" fontId="64" fillId="0" borderId="7" xfId="0" applyFont="1" applyBorder="1" applyAlignment="1">
      <alignment horizontal="center"/>
    </xf>
    <xf numFmtId="0" fontId="66" fillId="0" borderId="6" xfId="0" applyFont="1" applyBorder="1"/>
    <xf numFmtId="0" fontId="64" fillId="4" borderId="7" xfId="0" applyFont="1" applyFill="1" applyBorder="1" applyAlignment="1">
      <alignment horizontal="center"/>
    </xf>
    <xf numFmtId="0" fontId="64" fillId="15" borderId="7" xfId="0" applyFont="1" applyFill="1" applyBorder="1" applyAlignment="1">
      <alignment horizontal="center"/>
    </xf>
    <xf numFmtId="0" fontId="66" fillId="0" borderId="7" xfId="0" applyFont="1" applyBorder="1"/>
    <xf numFmtId="31" fontId="64" fillId="0" borderId="14" xfId="0" applyNumberFormat="1" applyFont="1" applyBorder="1" applyAlignment="1">
      <alignment horizontal="center"/>
    </xf>
    <xf numFmtId="0" fontId="66" fillId="0" borderId="14" xfId="0" applyFont="1" applyBorder="1"/>
    <xf numFmtId="0" fontId="66" fillId="0" borderId="10" xfId="0" applyFont="1" applyBorder="1"/>
    <xf numFmtId="31" fontId="64" fillId="7" borderId="7" xfId="0" applyNumberFormat="1" applyFont="1" applyFill="1" applyBorder="1" applyAlignment="1">
      <alignment horizontal="center"/>
    </xf>
    <xf numFmtId="0" fontId="64" fillId="7" borderId="7" xfId="0" applyFont="1" applyFill="1" applyBorder="1" applyAlignment="1">
      <alignment horizontal="center"/>
    </xf>
    <xf numFmtId="31" fontId="64" fillId="0" borderId="7" xfId="0" applyNumberFormat="1" applyFont="1" applyBorder="1" applyAlignment="1">
      <alignment horizontal="center"/>
    </xf>
    <xf numFmtId="0" fontId="69" fillId="0" borderId="15" xfId="0" applyFont="1" applyBorder="1" applyAlignment="1">
      <alignment horizontal="center"/>
    </xf>
    <xf numFmtId="0" fontId="68" fillId="0" borderId="15" xfId="0" applyFont="1" applyBorder="1" applyAlignment="1">
      <alignment horizontal="center"/>
    </xf>
    <xf numFmtId="0" fontId="68" fillId="0" borderId="2" xfId="0" applyFont="1" applyBorder="1" applyAlignment="1">
      <alignment horizontal="center"/>
    </xf>
    <xf numFmtId="0" fontId="73" fillId="0" borderId="15" xfId="0" applyFont="1" applyBorder="1" applyAlignment="1">
      <alignment horizontal="center"/>
    </xf>
    <xf numFmtId="0" fontId="76" fillId="0" borderId="15" xfId="0" applyFont="1" applyBorder="1" applyAlignment="1">
      <alignment horizontal="center"/>
    </xf>
    <xf numFmtId="0" fontId="77" fillId="0" borderId="15" xfId="0" applyFont="1" applyBorder="1" applyAlignment="1">
      <alignment horizontal="center"/>
    </xf>
    <xf numFmtId="0" fontId="74" fillId="0" borderId="15" xfId="0" applyFont="1" applyBorder="1" applyAlignment="1">
      <alignment horizontal="center"/>
    </xf>
    <xf numFmtId="0" fontId="75" fillId="0" borderId="0" xfId="0" applyFont="1" applyAlignment="1">
      <alignment horizontal="center"/>
    </xf>
    <xf numFmtId="0" fontId="72" fillId="0" borderId="0" xfId="0" applyFont="1"/>
    <xf numFmtId="0" fontId="74" fillId="0" borderId="14" xfId="0" applyFont="1" applyBorder="1" applyAlignment="1">
      <alignment horizontal="center"/>
    </xf>
    <xf numFmtId="0" fontId="73" fillId="0" borderId="14" xfId="0" applyFont="1" applyBorder="1" applyAlignment="1">
      <alignment horizontal="center"/>
    </xf>
    <xf numFmtId="0" fontId="64" fillId="0" borderId="14" xfId="0" applyFont="1" applyBorder="1"/>
    <xf numFmtId="0" fontId="64" fillId="0" borderId="15" xfId="0" applyFont="1" applyBorder="1" applyAlignment="1">
      <alignment horizontal="center"/>
    </xf>
    <xf numFmtId="0" fontId="69" fillId="7" borderId="13" xfId="0" applyFont="1" applyFill="1" applyBorder="1" applyAlignment="1">
      <alignment horizontal="center"/>
    </xf>
    <xf numFmtId="0" fontId="64" fillId="7" borderId="2" xfId="0" applyFont="1" applyFill="1" applyBorder="1" applyAlignment="1">
      <alignment horizontal="center"/>
    </xf>
    <xf numFmtId="0" fontId="64" fillId="0" borderId="13" xfId="0" applyFont="1" applyBorder="1" applyAlignment="1">
      <alignment horizontal="center"/>
    </xf>
    <xf numFmtId="0" fontId="69" fillId="0" borderId="13" xfId="0" applyFont="1" applyBorder="1" applyAlignment="1">
      <alignment horizontal="center"/>
    </xf>
    <xf numFmtId="0" fontId="69" fillId="0" borderId="2" xfId="0" applyFont="1" applyBorder="1" applyAlignment="1">
      <alignment horizontal="center"/>
    </xf>
    <xf numFmtId="0" fontId="70" fillId="0" borderId="15" xfId="0" applyFont="1" applyBorder="1" applyAlignment="1">
      <alignment horizontal="center"/>
    </xf>
    <xf numFmtId="0" fontId="64" fillId="0" borderId="0" xfId="0" applyFont="1" applyAlignment="1">
      <alignment horizontal="center"/>
    </xf>
    <xf numFmtId="0" fontId="70" fillId="0" borderId="13" xfId="0" applyFont="1" applyBorder="1" applyAlignment="1">
      <alignment horizontal="center"/>
    </xf>
    <xf numFmtId="0" fontId="71" fillId="0" borderId="0" xfId="0" applyFont="1" applyAlignment="1">
      <alignment horizontal="center"/>
    </xf>
    <xf numFmtId="0" fontId="72" fillId="0" borderId="7" xfId="0" applyFont="1" applyBorder="1" applyAlignment="1">
      <alignment horizontal="center"/>
    </xf>
    <xf numFmtId="31" fontId="68" fillId="0" borderId="15" xfId="0" applyNumberFormat="1" applyFont="1" applyBorder="1" applyAlignment="1">
      <alignment horizontal="center"/>
    </xf>
    <xf numFmtId="31" fontId="68" fillId="0" borderId="0" xfId="0" applyNumberFormat="1" applyFont="1" applyAlignment="1">
      <alignment horizontal="center"/>
    </xf>
    <xf numFmtId="0" fontId="68" fillId="0" borderId="7" xfId="0" applyFont="1" applyBorder="1" applyAlignment="1">
      <alignment horizontal="center"/>
    </xf>
    <xf numFmtId="0" fontId="68" fillId="0" borderId="0" xfId="0" applyFont="1"/>
    <xf numFmtId="0" fontId="2" fillId="0" borderId="22" xfId="0" applyFont="1" applyBorder="1" applyAlignment="1">
      <alignment horizontal="center" vertical="center"/>
    </xf>
    <xf numFmtId="0" fontId="66" fillId="0" borderId="22" xfId="0" applyFont="1" applyBorder="1"/>
    <xf numFmtId="0" fontId="66" fillId="0" borderId="34" xfId="0" applyFont="1" applyBorder="1"/>
    <xf numFmtId="0" fontId="2" fillId="0" borderId="30" xfId="0" applyFont="1" applyBorder="1" applyAlignment="1">
      <alignment horizontal="center" vertical="center"/>
    </xf>
    <xf numFmtId="0" fontId="57" fillId="22" borderId="46" xfId="0" applyFont="1" applyFill="1" applyBorder="1" applyAlignment="1">
      <alignment vertical="center"/>
    </xf>
    <xf numFmtId="0" fontId="66" fillId="0" borderId="49" xfId="0" applyFont="1" applyBorder="1"/>
    <xf numFmtId="49" fontId="8" fillId="0" borderId="30" xfId="0" applyNumberFormat="1" applyFont="1" applyBorder="1" applyAlignment="1">
      <alignment horizontal="center" vertical="center"/>
    </xf>
    <xf numFmtId="49" fontId="8" fillId="0" borderId="46" xfId="0" applyNumberFormat="1" applyFont="1" applyBorder="1" applyAlignment="1">
      <alignment horizontal="center" vertical="center"/>
    </xf>
    <xf numFmtId="0" fontId="66" fillId="0" borderId="57" xfId="0" applyFont="1" applyBorder="1"/>
    <xf numFmtId="0" fontId="2" fillId="16" borderId="30" xfId="0" applyFont="1" applyFill="1" applyBorder="1" applyAlignment="1">
      <alignment horizontal="center" vertical="center"/>
    </xf>
    <xf numFmtId="0" fontId="2" fillId="23" borderId="30" xfId="0" applyFont="1" applyFill="1" applyBorder="1" applyAlignment="1">
      <alignment horizontal="center" vertical="center"/>
    </xf>
    <xf numFmtId="0" fontId="91" fillId="23" borderId="30" xfId="0" applyFont="1" applyFill="1" applyBorder="1" applyAlignment="1">
      <alignment horizontal="center" vertical="center"/>
    </xf>
    <xf numFmtId="0" fontId="91" fillId="16" borderId="30" xfId="0" applyFont="1" applyFill="1" applyBorder="1" applyAlignment="1">
      <alignment horizontal="center" vertical="center"/>
    </xf>
    <xf numFmtId="0" fontId="91" fillId="16" borderId="22" xfId="0" applyFont="1" applyFill="1" applyBorder="1" applyAlignment="1">
      <alignment horizontal="center" vertical="center"/>
    </xf>
    <xf numFmtId="0" fontId="91" fillId="23" borderId="22" xfId="0" applyFont="1" applyFill="1" applyBorder="1" applyAlignment="1">
      <alignment horizontal="center" vertical="center"/>
    </xf>
    <xf numFmtId="0" fontId="91" fillId="0" borderId="30" xfId="0" applyFont="1" applyBorder="1" applyAlignment="1">
      <alignment horizontal="center" vertical="center"/>
    </xf>
    <xf numFmtId="0" fontId="91" fillId="24" borderId="22" xfId="0" applyFont="1" applyFill="1" applyBorder="1" applyAlignment="1">
      <alignment horizontal="center" vertical="center"/>
    </xf>
    <xf numFmtId="0" fontId="2" fillId="22" borderId="0" xfId="0" applyFont="1" applyFill="1" applyAlignment="1">
      <alignment horizontal="center" vertical="center"/>
    </xf>
    <xf numFmtId="49" fontId="2" fillId="0" borderId="76" xfId="0" applyNumberFormat="1" applyFont="1" applyBorder="1" applyAlignment="1">
      <alignment horizontal="center" vertical="center"/>
    </xf>
    <xf numFmtId="0" fontId="66" fillId="0" borderId="67" xfId="0" applyFont="1" applyBorder="1"/>
    <xf numFmtId="0" fontId="66" fillId="0" borderId="72" xfId="0" applyFont="1" applyBorder="1"/>
    <xf numFmtId="0" fontId="98" fillId="0" borderId="0" xfId="0" applyFont="1" applyAlignment="1">
      <alignment horizontal="center"/>
    </xf>
    <xf numFmtId="0" fontId="66" fillId="0" borderId="80" xfId="0" applyFont="1" applyBorder="1"/>
    <xf numFmtId="0" fontId="66" fillId="0" borderId="81" xfId="0" applyFont="1" applyBorder="1"/>
    <xf numFmtId="0" fontId="98" fillId="0" borderId="66" xfId="0" applyFont="1" applyBorder="1" applyAlignment="1">
      <alignment horizontal="center"/>
    </xf>
    <xf numFmtId="0" fontId="66" fillId="0" borderId="82" xfId="0" applyFont="1" applyBorder="1"/>
    <xf numFmtId="0" fontId="2" fillId="0" borderId="62" xfId="0" applyFont="1" applyBorder="1" applyAlignment="1">
      <alignment horizontal="center" vertical="center"/>
    </xf>
    <xf numFmtId="0" fontId="66" fillId="0" borderId="71" xfId="0" applyFont="1" applyBorder="1"/>
    <xf numFmtId="49" fontId="2" fillId="0" borderId="63" xfId="0" applyNumberFormat="1" applyFont="1" applyBorder="1" applyAlignment="1">
      <alignment horizontal="center" vertical="center"/>
    </xf>
    <xf numFmtId="0" fontId="2" fillId="0" borderId="75" xfId="0" applyFont="1" applyBorder="1" applyAlignment="1">
      <alignment horizontal="center" vertical="center"/>
    </xf>
    <xf numFmtId="0" fontId="66" fillId="0" borderId="66" xfId="0" applyFont="1" applyBorder="1"/>
    <xf numFmtId="0" fontId="2" fillId="0" borderId="66" xfId="0" applyFont="1" applyBorder="1" applyAlignment="1">
      <alignment horizontal="center" vertical="center"/>
    </xf>
    <xf numFmtId="0" fontId="99" fillId="9" borderId="0" xfId="0" applyFont="1" applyFill="1" applyAlignment="1">
      <alignment horizontal="center" vertical="center"/>
    </xf>
    <xf numFmtId="49" fontId="32" fillId="5" borderId="97" xfId="0" applyNumberFormat="1" applyFont="1" applyFill="1" applyBorder="1" applyAlignment="1">
      <alignment horizontal="center"/>
    </xf>
    <xf numFmtId="0" fontId="66" fillId="0" borderId="98" xfId="0" applyFont="1" applyBorder="1"/>
    <xf numFmtId="49" fontId="2" fillId="0" borderId="105" xfId="0" applyNumberFormat="1" applyFont="1" applyBorder="1" applyAlignment="1">
      <alignment horizontal="center" vertical="center"/>
    </xf>
    <xf numFmtId="0" fontId="66" fillId="0" borderId="103" xfId="0" applyFont="1" applyBorder="1"/>
    <xf numFmtId="0" fontId="66" fillId="0" borderId="107" xfId="0" applyFont="1" applyBorder="1"/>
    <xf numFmtId="49" fontId="2" fillId="0" borderId="101" xfId="0" applyNumberFormat="1" applyFont="1" applyBorder="1" applyAlignment="1">
      <alignment horizontal="center" vertical="center"/>
    </xf>
    <xf numFmtId="49" fontId="32" fillId="5" borderId="105" xfId="0" applyNumberFormat="1" applyFont="1" applyFill="1" applyBorder="1" applyAlignment="1">
      <alignment horizontal="center" vertical="center"/>
    </xf>
    <xf numFmtId="0" fontId="66" fillId="0" borderId="109" xfId="0" applyFont="1" applyBorder="1"/>
    <xf numFmtId="0" fontId="2" fillId="0" borderId="100" xfId="0" applyFont="1" applyBorder="1" applyAlignment="1">
      <alignment horizontal="center" vertical="center"/>
    </xf>
    <xf numFmtId="0" fontId="66" fillId="0" borderId="102" xfId="0" applyFont="1" applyBorder="1"/>
    <xf numFmtId="0" fontId="2" fillId="0" borderId="104" xfId="0" applyFont="1" applyBorder="1" applyAlignment="1">
      <alignment horizontal="center" vertical="center"/>
    </xf>
    <xf numFmtId="0" fontId="66" fillId="0" borderId="106" xfId="0" applyFont="1" applyBorder="1"/>
    <xf numFmtId="0" fontId="66" fillId="0" borderId="108" xfId="0" applyFont="1" applyBorder="1"/>
    <xf numFmtId="0" fontId="58" fillId="27" borderId="15" xfId="0" applyFont="1" applyFill="1" applyBorder="1" applyAlignment="1">
      <alignment horizontal="center" vertical="center"/>
    </xf>
    <xf numFmtId="0" fontId="58" fillId="28" borderId="15" xfId="0" applyFont="1" applyFill="1" applyBorder="1" applyAlignment="1">
      <alignment horizontal="center" vertical="center"/>
    </xf>
    <xf numFmtId="0" fontId="58" fillId="29" borderId="15" xfId="0" applyFont="1" applyFill="1" applyBorder="1" applyAlignment="1">
      <alignment horizontal="center" vertical="center"/>
    </xf>
    <xf numFmtId="0" fontId="58" fillId="30" borderId="15" xfId="0" applyFont="1" applyFill="1" applyBorder="1" applyAlignment="1">
      <alignment horizontal="center" vertical="center"/>
    </xf>
    <xf numFmtId="0" fontId="58" fillId="20" borderId="15" xfId="0" applyFont="1" applyFill="1" applyBorder="1" applyAlignment="1">
      <alignment horizontal="center" vertical="center"/>
    </xf>
    <xf numFmtId="0" fontId="20" fillId="0" borderId="0" xfId="0" applyFont="1" applyAlignment="1">
      <alignment horizontal="center"/>
    </xf>
    <xf numFmtId="0" fontId="100" fillId="0" borderId="5" xfId="0" applyFont="1" applyBorder="1" applyAlignment="1">
      <alignment horizontal="center"/>
    </xf>
    <xf numFmtId="0" fontId="66" fillId="0" borderId="11" xfId="0" applyFont="1" applyBorder="1"/>
    <xf numFmtId="0" fontId="115" fillId="0" borderId="12" xfId="0" applyFont="1" applyBorder="1" applyAlignment="1">
      <alignment horizontal="center"/>
    </xf>
    <xf numFmtId="0" fontId="114" fillId="0" borderId="12" xfId="0" applyFont="1" applyBorder="1" applyAlignment="1">
      <alignment horizontal="center"/>
    </xf>
    <xf numFmtId="0" fontId="66" fillId="0" borderId="12" xfId="0" applyFont="1" applyBorder="1"/>
    <xf numFmtId="0" fontId="115" fillId="35" borderId="12" xfId="0" applyFont="1" applyFill="1" applyBorder="1" applyAlignment="1">
      <alignment horizontal="center"/>
    </xf>
    <xf numFmtId="0" fontId="111" fillId="0" borderId="12" xfId="0" applyFont="1" applyBorder="1" applyAlignment="1">
      <alignment horizontal="center"/>
    </xf>
    <xf numFmtId="0" fontId="100" fillId="0" borderId="3" xfId="0" applyFont="1" applyBorder="1"/>
    <xf numFmtId="0" fontId="58" fillId="0" borderId="0" xfId="0" applyFont="1"/>
    <xf numFmtId="0" fontId="100" fillId="0" borderId="0" xfId="0" applyFont="1"/>
    <xf numFmtId="0" fontId="112" fillId="0" borderId="0" xfId="0" applyFont="1"/>
    <xf numFmtId="0" fontId="113" fillId="0" borderId="7" xfId="0" applyFont="1" applyBorder="1" applyAlignment="1">
      <alignment horizontal="center"/>
    </xf>
    <xf numFmtId="0" fontId="111" fillId="7" borderId="12" xfId="0" applyFont="1" applyFill="1" applyBorder="1" applyAlignment="1">
      <alignment horizontal="center"/>
    </xf>
    <xf numFmtId="0" fontId="115" fillId="7" borderId="12" xfId="0" applyFont="1" applyFill="1" applyBorder="1" applyAlignment="1">
      <alignment horizontal="center"/>
    </xf>
    <xf numFmtId="0" fontId="116" fillId="7" borderId="12" xfId="0" applyFont="1" applyFill="1" applyBorder="1" applyAlignment="1">
      <alignment horizontal="center"/>
    </xf>
    <xf numFmtId="0" fontId="100" fillId="0" borderId="12" xfId="0" applyFont="1" applyBorder="1" applyAlignment="1">
      <alignment horizontal="center"/>
    </xf>
    <xf numFmtId="0" fontId="116" fillId="0" borderId="12" xfId="0" applyFont="1" applyBorder="1" applyAlignment="1">
      <alignment horizontal="center"/>
    </xf>
    <xf numFmtId="0" fontId="20" fillId="25" borderId="0" xfId="0" applyFont="1" applyFill="1" applyAlignment="1">
      <alignment horizontal="center"/>
    </xf>
    <xf numFmtId="0" fontId="20" fillId="0" borderId="0" xfId="0" applyFont="1"/>
    <xf numFmtId="0" fontId="117" fillId="5" borderId="0" xfId="0" applyFont="1" applyFill="1"/>
    <xf numFmtId="0" fontId="20" fillId="36" borderId="0" xfId="0" applyFont="1" applyFill="1" applyAlignment="1">
      <alignment horizontal="center"/>
    </xf>
    <xf numFmtId="0" fontId="20" fillId="4" borderId="0" xfId="0" applyFont="1" applyFill="1" applyAlignment="1">
      <alignment horizontal="left" vertical="center"/>
    </xf>
    <xf numFmtId="0" fontId="20" fillId="13" borderId="0" xfId="0" applyFont="1" applyFill="1" applyAlignment="1">
      <alignment horizontal="center"/>
    </xf>
    <xf numFmtId="0" fontId="126" fillId="0" borderId="2" xfId="0" applyFont="1" applyBorder="1" applyAlignment="1">
      <alignment horizontal="center"/>
    </xf>
    <xf numFmtId="0" fontId="120" fillId="0" borderId="3" xfId="0" applyFont="1" applyBorder="1" applyAlignment="1">
      <alignment horizontal="center"/>
    </xf>
    <xf numFmtId="0" fontId="126" fillId="0" borderId="15" xfId="0" applyFont="1" applyBorder="1" applyAlignment="1">
      <alignment horizontal="center"/>
    </xf>
    <xf numFmtId="0" fontId="119" fillId="0" borderId="0" xfId="0" applyFont="1" applyAlignment="1">
      <alignment horizontal="center"/>
    </xf>
    <xf numFmtId="0" fontId="118" fillId="0" borderId="2" xfId="0" applyFont="1" applyBorder="1" applyAlignment="1">
      <alignment horizontal="center"/>
    </xf>
    <xf numFmtId="0" fontId="66" fillId="0" borderId="8" xfId="0" applyFont="1" applyBorder="1"/>
    <xf numFmtId="0" fontId="66" fillId="0" borderId="9" xfId="0" applyFont="1" applyBorder="1"/>
    <xf numFmtId="0" fontId="66" fillId="0" borderId="13" xfId="0" applyFont="1" applyBorder="1"/>
    <xf numFmtId="14" fontId="119" fillId="0" borderId="3" xfId="0" applyNumberFormat="1" applyFont="1" applyBorder="1" applyAlignment="1">
      <alignment horizontal="center"/>
    </xf>
    <xf numFmtId="0" fontId="120" fillId="0" borderId="2" xfId="0" applyFont="1" applyBorder="1" applyAlignment="1">
      <alignment horizontal="center"/>
    </xf>
    <xf numFmtId="0" fontId="121" fillId="0" borderId="2" xfId="0" applyFont="1" applyBorder="1" applyAlignment="1">
      <alignment horizontal="center"/>
    </xf>
    <xf numFmtId="0" fontId="122" fillId="0" borderId="2" xfId="0" applyFont="1" applyBorder="1" applyAlignment="1">
      <alignment horizontal="center"/>
    </xf>
    <xf numFmtId="0" fontId="122" fillId="0" borderId="15" xfId="0" applyFont="1" applyBorder="1" applyAlignment="1">
      <alignment horizontal="center"/>
    </xf>
    <xf numFmtId="0" fontId="120" fillId="0" borderId="14" xfId="0" applyFont="1" applyBorder="1" applyAlignment="1">
      <alignment horizontal="center"/>
    </xf>
    <xf numFmtId="0" fontId="123" fillId="0" borderId="2" xfId="0" applyFont="1" applyBorder="1" applyAlignment="1">
      <alignment horizontal="center"/>
    </xf>
    <xf numFmtId="0" fontId="120" fillId="0" borderId="0" xfId="0" applyFont="1" applyAlignment="1">
      <alignment horizontal="center"/>
    </xf>
    <xf numFmtId="0" fontId="124" fillId="0" borderId="15" xfId="0" applyFont="1" applyBorder="1" applyAlignment="1">
      <alignment horizontal="center"/>
    </xf>
    <xf numFmtId="0" fontId="126" fillId="0" borderId="7" xfId="0" applyFont="1" applyBorder="1" applyAlignment="1">
      <alignment horizontal="center"/>
    </xf>
    <xf numFmtId="0" fontId="127" fillId="0" borderId="15" xfId="0" applyFont="1" applyBorder="1" applyAlignment="1">
      <alignment horizontal="center"/>
    </xf>
    <xf numFmtId="0" fontId="125" fillId="0" borderId="7" xfId="0" applyFont="1" applyBorder="1" applyAlignment="1">
      <alignment horizontal="center"/>
    </xf>
    <xf numFmtId="0" fontId="125" fillId="0" borderId="15" xfId="0" applyFont="1" applyBorder="1" applyAlignment="1">
      <alignment horizontal="center"/>
    </xf>
    <xf numFmtId="0" fontId="122" fillId="0" borderId="7" xfId="0" applyFont="1" applyBorder="1" applyAlignment="1">
      <alignment horizontal="center"/>
    </xf>
    <xf numFmtId="0" fontId="126" fillId="0" borderId="3" xfId="0" applyFont="1" applyBorder="1" applyAlignment="1">
      <alignment horizontal="center"/>
    </xf>
    <xf numFmtId="0" fontId="124" fillId="0" borderId="7" xfId="0" applyFont="1" applyBorder="1" applyAlignment="1">
      <alignment horizontal="center"/>
    </xf>
    <xf numFmtId="0" fontId="124" fillId="0" borderId="2" xfId="0" applyFont="1" applyBorder="1" applyAlignment="1">
      <alignment horizontal="center"/>
    </xf>
    <xf numFmtId="178" fontId="20" fillId="0" borderId="91" xfId="0" applyNumberFormat="1" applyFont="1" applyBorder="1" applyAlignment="1">
      <alignment horizontal="center"/>
    </xf>
    <xf numFmtId="0" fontId="66" fillId="0" borderId="29" xfId="0" applyFont="1" applyBorder="1"/>
    <xf numFmtId="0" fontId="66" fillId="0" borderId="30" xfId="0" applyFont="1" applyBorder="1"/>
    <xf numFmtId="178" fontId="20" fillId="0" borderId="62" xfId="0" applyNumberFormat="1" applyFont="1" applyBorder="1" applyAlignment="1">
      <alignment horizontal="center"/>
    </xf>
    <xf numFmtId="0" fontId="66" fillId="0" borderId="77" xfId="0" applyFont="1" applyBorder="1"/>
    <xf numFmtId="0" fontId="66" fillId="0" borderId="63" xfId="0" applyFont="1" applyBorder="1"/>
    <xf numFmtId="178" fontId="20" fillId="0" borderId="77" xfId="0" applyNumberFormat="1" applyFont="1" applyBorder="1" applyAlignment="1">
      <alignment horizontal="center"/>
    </xf>
  </cellXfs>
  <cellStyles count="1">
    <cellStyle name="標準" xfId="0" builtinId="0"/>
  </cellStyles>
  <dxfs count="76">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28575</xdr:colOff>
      <xdr:row>0</xdr:row>
      <xdr:rowOff>0</xdr:rowOff>
    </xdr:from>
    <xdr:ext cx="3429000" cy="3695700"/>
    <xdr:pic>
      <xdr:nvPicPr>
        <xdr:cNvPr id="2" name="image1.png" title="画像">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21</xdr:col>
      <xdr:colOff>200025</xdr:colOff>
      <xdr:row>18</xdr:row>
      <xdr:rowOff>85725</xdr:rowOff>
    </xdr:from>
    <xdr:ext cx="2181225" cy="1466850"/>
    <xdr:sp macro="" textlink="">
      <xdr:nvSpPr>
        <xdr:cNvPr id="3" name="Shape 3">
          <a:extLst>
            <a:ext uri="{FF2B5EF4-FFF2-40B4-BE49-F238E27FC236}">
              <a16:creationId xmlns:a16="http://schemas.microsoft.com/office/drawing/2014/main" id="{00000000-0008-0000-1000-000003000000}"/>
            </a:ext>
          </a:extLst>
        </xdr:cNvPr>
        <xdr:cNvSpPr/>
      </xdr:nvSpPr>
      <xdr:spPr>
        <a:xfrm>
          <a:off x="3843125" y="1751000"/>
          <a:ext cx="3461400" cy="2320800"/>
        </a:xfrm>
        <a:prstGeom prst="rect">
          <a:avLst/>
        </a:prstGeom>
        <a:solidFill>
          <a:srgbClr val="00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3000"/>
            <a:t>4</a:t>
          </a:r>
          <a:endParaRPr sz="30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ApCPMDEH-5UElVN3J65K8_MTK6bl1JE/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https://drive.google.com/file/d/1DApCPMDEH-5UElVN3J65K8_MTK6bl1JE/view?usp=sharing" TargetMode="External"/><Relationship Id="rId1" Type="http://schemas.openxmlformats.org/officeDocument/2006/relationships/hyperlink" Target="https://drive.google.com/file/d/1DApCPMDEH-5UElVN3J65K8_MTK6bl1JE/view?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C1048"/>
  <sheetViews>
    <sheetView showGridLines="0" tabSelected="1" zoomScale="78" workbookViewId="0">
      <pane xSplit="11" ySplit="1" topLeftCell="AD2" activePane="bottomRight" state="frozen"/>
      <selection pane="topRight" activeCell="L1" sqref="L1"/>
      <selection pane="bottomLeft" activeCell="A2" sqref="A2"/>
      <selection pane="bottomRight" activeCell="G2" sqref="G2"/>
    </sheetView>
  </sheetViews>
  <sheetFormatPr defaultColWidth="12.6328125" defaultRowHeight="15" customHeight="1"/>
  <cols>
    <col min="1" max="1" width="14.90625" customWidth="1"/>
    <col min="2" max="2" width="5.453125" customWidth="1"/>
    <col min="3" max="3" width="9.453125" customWidth="1"/>
    <col min="4" max="4" width="13" customWidth="1"/>
    <col min="5" max="5" width="12.453125" customWidth="1"/>
    <col min="6" max="6" width="20.453125" customWidth="1"/>
    <col min="7" max="7" width="42.7265625" customWidth="1"/>
    <col min="8" max="8" width="26.6328125" customWidth="1"/>
    <col min="9" max="9" width="16.26953125" customWidth="1"/>
    <col min="10" max="10" width="7.453125" customWidth="1"/>
    <col min="11" max="11" width="13.36328125" customWidth="1"/>
    <col min="12" max="12" width="6.453125" customWidth="1"/>
    <col min="13" max="13" width="8" customWidth="1"/>
    <col min="14" max="14" width="15.453125" customWidth="1"/>
    <col min="15" max="15" width="14.6328125" customWidth="1"/>
    <col min="16" max="16" width="11.453125" customWidth="1"/>
    <col min="17" max="17" width="13.90625" customWidth="1"/>
    <col min="18" max="18" width="46.90625" customWidth="1"/>
    <col min="19" max="19" width="16" customWidth="1"/>
    <col min="20" max="20" width="11.453125" customWidth="1"/>
    <col min="21" max="21" width="18.36328125" customWidth="1"/>
    <col min="22" max="22" width="12.453125" customWidth="1"/>
    <col min="23" max="23" width="14.6328125" customWidth="1"/>
    <col min="24" max="24" width="16.453125" customWidth="1"/>
    <col min="25" max="25" width="16.26953125" customWidth="1"/>
    <col min="26" max="26" width="19.453125" customWidth="1"/>
    <col min="27" max="27" width="15.36328125" customWidth="1"/>
    <col min="28" max="28" width="13.453125" customWidth="1"/>
    <col min="29" max="29" width="17.36328125" customWidth="1"/>
    <col min="30" max="30" width="13.453125" customWidth="1"/>
    <col min="31" max="31" width="16" customWidth="1"/>
    <col min="32" max="32" width="13.90625" customWidth="1"/>
    <col min="33" max="33" width="11" customWidth="1"/>
    <col min="34" max="34" width="14.7265625" customWidth="1"/>
    <col min="35" max="35" width="16.90625" customWidth="1"/>
    <col min="36" max="36" width="15.26953125" customWidth="1"/>
    <col min="37" max="37" width="14.90625" customWidth="1"/>
    <col min="38" max="38" width="11.453125" customWidth="1"/>
    <col min="39" max="39" width="13.6328125" customWidth="1"/>
    <col min="40" max="40" width="20.90625" customWidth="1"/>
    <col min="41" max="41" width="9.26953125" customWidth="1"/>
    <col min="42" max="54" width="40.6328125" customWidth="1"/>
    <col min="55" max="55" width="40.6328125" hidden="1" customWidth="1"/>
  </cols>
  <sheetData>
    <row r="1" spans="1:55" ht="50.25" customHeight="1">
      <c r="A1" s="1" t="s">
        <v>0</v>
      </c>
      <c r="B1" s="1" t="s">
        <v>1</v>
      </c>
      <c r="C1" s="2" t="s">
        <v>2</v>
      </c>
      <c r="D1" s="2" t="s">
        <v>3</v>
      </c>
      <c r="E1" s="3" t="s">
        <v>4</v>
      </c>
      <c r="F1" s="4" t="s">
        <v>5</v>
      </c>
      <c r="G1" s="5" t="s">
        <v>6</v>
      </c>
      <c r="H1" s="6" t="s">
        <v>7</v>
      </c>
      <c r="I1" s="7" t="s">
        <v>8</v>
      </c>
      <c r="J1" s="7" t="s">
        <v>9</v>
      </c>
      <c r="K1" s="8" t="s">
        <v>10</v>
      </c>
      <c r="L1" s="7" t="s">
        <v>11</v>
      </c>
      <c r="M1" s="7" t="s">
        <v>12</v>
      </c>
      <c r="N1" s="7" t="s">
        <v>13</v>
      </c>
      <c r="O1" s="8" t="s">
        <v>14</v>
      </c>
      <c r="P1" s="3" t="s">
        <v>15</v>
      </c>
      <c r="Q1" s="9" t="s">
        <v>16</v>
      </c>
      <c r="R1" s="10" t="s">
        <v>17</v>
      </c>
      <c r="S1" s="3" t="s">
        <v>18</v>
      </c>
      <c r="T1" s="11" t="s">
        <v>19</v>
      </c>
      <c r="U1" s="12" t="s">
        <v>20</v>
      </c>
      <c r="V1" s="8" t="s">
        <v>21</v>
      </c>
      <c r="W1" s="13" t="s">
        <v>22</v>
      </c>
      <c r="X1" s="13" t="s">
        <v>23</v>
      </c>
      <c r="Y1" s="14" t="s">
        <v>24</v>
      </c>
      <c r="Z1" s="15" t="s">
        <v>25</v>
      </c>
      <c r="AA1" s="13" t="s">
        <v>26</v>
      </c>
      <c r="AB1" s="13" t="s">
        <v>27</v>
      </c>
      <c r="AC1" s="13" t="s">
        <v>28</v>
      </c>
      <c r="AD1" s="13" t="s">
        <v>29</v>
      </c>
      <c r="AE1" s="13" t="s">
        <v>30</v>
      </c>
      <c r="AF1" s="13" t="s">
        <v>31</v>
      </c>
      <c r="AG1" s="13" t="s">
        <v>32</v>
      </c>
      <c r="AH1" s="13" t="s">
        <v>33</v>
      </c>
      <c r="AI1" s="12" t="s">
        <v>34</v>
      </c>
      <c r="AJ1" s="13" t="s">
        <v>35</v>
      </c>
      <c r="AK1" s="16" t="s">
        <v>36</v>
      </c>
      <c r="AL1" s="17" t="s">
        <v>37</v>
      </c>
      <c r="AM1" s="17" t="s">
        <v>38</v>
      </c>
      <c r="AN1" s="18" t="s">
        <v>39</v>
      </c>
      <c r="AO1" s="13" t="s">
        <v>40</v>
      </c>
      <c r="AP1" s="13" t="s">
        <v>41</v>
      </c>
      <c r="AQ1" s="13" t="s">
        <v>42</v>
      </c>
      <c r="AR1" s="13" t="s">
        <v>43</v>
      </c>
      <c r="AS1" s="13" t="s">
        <v>44</v>
      </c>
      <c r="AT1" s="13" t="s">
        <v>45</v>
      </c>
      <c r="AU1" s="13" t="s">
        <v>46</v>
      </c>
      <c r="AV1" s="19" t="s">
        <v>47</v>
      </c>
      <c r="AW1" s="19" t="s">
        <v>48</v>
      </c>
      <c r="AX1" s="19" t="s">
        <v>49</v>
      </c>
      <c r="AY1" s="19" t="s">
        <v>50</v>
      </c>
      <c r="AZ1" s="19" t="s">
        <v>51</v>
      </c>
      <c r="BA1" s="19" t="s">
        <v>52</v>
      </c>
      <c r="BB1" s="19" t="s">
        <v>53</v>
      </c>
      <c r="BC1" s="20"/>
    </row>
    <row r="2" spans="1:55" ht="50.25" customHeight="1">
      <c r="A2" s="21"/>
      <c r="B2" s="22">
        <v>1</v>
      </c>
      <c r="C2" s="23" t="s">
        <v>54</v>
      </c>
      <c r="D2" s="24" t="s">
        <v>55</v>
      </c>
      <c r="E2" s="25" t="s">
        <v>56</v>
      </c>
      <c r="F2" s="26"/>
      <c r="G2" s="27" t="s">
        <v>57</v>
      </c>
      <c r="H2" s="28" t="s">
        <v>58</v>
      </c>
      <c r="I2" s="29" t="s">
        <v>59</v>
      </c>
      <c r="J2" s="22" t="s">
        <v>60</v>
      </c>
      <c r="K2" s="30">
        <v>31861</v>
      </c>
      <c r="L2" s="22">
        <f t="shared" ref="L2:L21" ca="1" si="0">DATEDIF(K2,TODAY(),"Y")</f>
        <v>39</v>
      </c>
      <c r="M2" s="22"/>
      <c r="N2" s="22" t="s">
        <v>61</v>
      </c>
      <c r="O2" s="31">
        <v>43040</v>
      </c>
      <c r="P2" s="25" t="s">
        <v>62</v>
      </c>
      <c r="Q2" s="32" t="s">
        <v>63</v>
      </c>
      <c r="R2" s="33" t="s">
        <v>64</v>
      </c>
      <c r="S2" s="30"/>
      <c r="T2" s="30"/>
      <c r="U2" s="34"/>
      <c r="V2" s="30">
        <v>44893</v>
      </c>
      <c r="W2" s="9" t="s">
        <v>65</v>
      </c>
      <c r="X2" s="9" t="s">
        <v>66</v>
      </c>
      <c r="Y2" s="9"/>
      <c r="Z2" s="35"/>
      <c r="AA2" s="22"/>
      <c r="AB2" s="36"/>
      <c r="AC2" s="36"/>
      <c r="AD2" s="36"/>
      <c r="AE2" s="36"/>
      <c r="AF2" s="36"/>
      <c r="AG2" s="22"/>
      <c r="AH2" s="22" t="s">
        <v>67</v>
      </c>
      <c r="AI2" s="37">
        <v>44831</v>
      </c>
      <c r="AJ2" s="34"/>
      <c r="AK2" s="21"/>
      <c r="AL2" s="38"/>
      <c r="AM2" s="39"/>
      <c r="AN2" s="39"/>
      <c r="AO2" s="39"/>
      <c r="AP2" s="39"/>
      <c r="AQ2" s="35"/>
      <c r="AR2" s="35"/>
      <c r="AS2" s="35"/>
      <c r="AT2" s="35"/>
      <c r="AU2" s="35"/>
      <c r="AV2" s="35"/>
      <c r="AW2" s="35"/>
      <c r="AX2" s="35"/>
      <c r="AY2" s="35"/>
      <c r="AZ2" s="35"/>
      <c r="BA2" s="35"/>
      <c r="BB2" s="35"/>
      <c r="BC2" s="40"/>
    </row>
    <row r="3" spans="1:55" ht="50.25" customHeight="1">
      <c r="A3" s="21"/>
      <c r="B3" s="22">
        <v>2</v>
      </c>
      <c r="C3" s="23" t="s">
        <v>54</v>
      </c>
      <c r="D3" s="24" t="s">
        <v>55</v>
      </c>
      <c r="E3" s="25" t="s">
        <v>68</v>
      </c>
      <c r="F3" s="26"/>
      <c r="G3" s="27" t="s">
        <v>69</v>
      </c>
      <c r="H3" s="28" t="s">
        <v>70</v>
      </c>
      <c r="I3" s="29" t="s">
        <v>71</v>
      </c>
      <c r="J3" s="22" t="s">
        <v>60</v>
      </c>
      <c r="K3" s="30">
        <v>32774</v>
      </c>
      <c r="L3" s="22">
        <f t="shared" ca="1" si="0"/>
        <v>36</v>
      </c>
      <c r="M3" s="22"/>
      <c r="N3" s="22" t="s">
        <v>61</v>
      </c>
      <c r="O3" s="31">
        <v>43040</v>
      </c>
      <c r="P3" s="25" t="s">
        <v>62</v>
      </c>
      <c r="Q3" s="32" t="s">
        <v>63</v>
      </c>
      <c r="R3" s="33" t="s">
        <v>64</v>
      </c>
      <c r="S3" s="30"/>
      <c r="T3" s="30"/>
      <c r="U3" s="41"/>
      <c r="V3" s="30">
        <v>44893</v>
      </c>
      <c r="W3" s="9" t="s">
        <v>72</v>
      </c>
      <c r="X3" s="9" t="s">
        <v>73</v>
      </c>
      <c r="Y3" s="9"/>
      <c r="Z3" s="35"/>
      <c r="AA3" s="22"/>
      <c r="AB3" s="36"/>
      <c r="AC3" s="36"/>
      <c r="AD3" s="36"/>
      <c r="AE3" s="36"/>
      <c r="AF3" s="36"/>
      <c r="AG3" s="22"/>
      <c r="AH3" s="22" t="s">
        <v>67</v>
      </c>
      <c r="AI3" s="42">
        <v>44879</v>
      </c>
      <c r="AJ3" s="41"/>
      <c r="AK3" s="21"/>
      <c r="AL3" s="38"/>
      <c r="AM3" s="39"/>
      <c r="AN3" s="39"/>
      <c r="AO3" s="39"/>
      <c r="AP3" s="39"/>
      <c r="AQ3" s="43"/>
      <c r="AR3" s="43"/>
      <c r="AS3" s="43"/>
      <c r="AT3" s="43"/>
      <c r="AU3" s="43"/>
      <c r="AV3" s="43"/>
      <c r="AW3" s="43"/>
      <c r="AX3" s="43"/>
      <c r="AY3" s="43"/>
      <c r="AZ3" s="43"/>
      <c r="BA3" s="43"/>
      <c r="BB3" s="43"/>
      <c r="BC3" s="40"/>
    </row>
    <row r="4" spans="1:55" ht="63" customHeight="1">
      <c r="A4" s="22" t="e">
        <f ca="1">_xludf.IMAGE("F96",1)</f>
        <v>#NAME?</v>
      </c>
      <c r="B4" s="22">
        <v>3</v>
      </c>
      <c r="C4" s="44" t="s">
        <v>54</v>
      </c>
      <c r="D4" s="45" t="s">
        <v>55</v>
      </c>
      <c r="E4" s="25" t="s">
        <v>74</v>
      </c>
      <c r="F4" s="46" t="s">
        <v>75</v>
      </c>
      <c r="G4" s="47" t="s">
        <v>76</v>
      </c>
      <c r="H4" s="28" t="s">
        <v>77</v>
      </c>
      <c r="I4" s="33" t="s">
        <v>78</v>
      </c>
      <c r="J4" s="22" t="s">
        <v>60</v>
      </c>
      <c r="K4" s="30">
        <v>31664</v>
      </c>
      <c r="L4" s="22">
        <f t="shared" ca="1" si="0"/>
        <v>39</v>
      </c>
      <c r="M4" s="22" t="s">
        <v>79</v>
      </c>
      <c r="N4" s="22" t="s">
        <v>61</v>
      </c>
      <c r="O4" s="48">
        <v>43040</v>
      </c>
      <c r="P4" s="25" t="s">
        <v>80</v>
      </c>
      <c r="Q4" s="49" t="s">
        <v>81</v>
      </c>
      <c r="R4" s="33" t="s">
        <v>64</v>
      </c>
      <c r="S4" s="22" t="s">
        <v>82</v>
      </c>
      <c r="T4" s="50">
        <v>20000</v>
      </c>
      <c r="U4" s="51">
        <v>45887</v>
      </c>
      <c r="V4" s="30">
        <v>46327</v>
      </c>
      <c r="W4" s="9" t="s">
        <v>83</v>
      </c>
      <c r="X4" s="9" t="s">
        <v>84</v>
      </c>
      <c r="Y4" s="9"/>
      <c r="Z4" s="15" t="s">
        <v>85</v>
      </c>
      <c r="AA4" s="52" t="s">
        <v>86</v>
      </c>
      <c r="AB4" s="53"/>
      <c r="AC4" s="53"/>
      <c r="AD4" s="36"/>
      <c r="AE4" s="42">
        <v>45711</v>
      </c>
      <c r="AF4" s="42">
        <v>45732</v>
      </c>
      <c r="AG4" s="22"/>
      <c r="AH4" s="22" t="s">
        <v>67</v>
      </c>
      <c r="AI4" s="54">
        <v>46066</v>
      </c>
      <c r="AJ4" s="55" t="s">
        <v>87</v>
      </c>
      <c r="AK4" s="56" t="s">
        <v>88</v>
      </c>
      <c r="AL4" s="9" t="s">
        <v>89</v>
      </c>
      <c r="AM4" s="57">
        <v>44866</v>
      </c>
      <c r="AN4" s="15" t="s">
        <v>90</v>
      </c>
      <c r="AO4" s="58" t="s">
        <v>91</v>
      </c>
      <c r="AP4" s="59" t="s">
        <v>92</v>
      </c>
      <c r="AQ4" s="59"/>
      <c r="AR4" s="59"/>
      <c r="AS4" s="59"/>
      <c r="AT4" s="59"/>
      <c r="AU4" s="59"/>
      <c r="AV4" s="59"/>
      <c r="AW4" s="59"/>
      <c r="AX4" s="59"/>
      <c r="AY4" s="59"/>
      <c r="AZ4" s="59"/>
      <c r="BA4" s="59"/>
      <c r="BB4" s="59"/>
      <c r="BC4" s="60"/>
    </row>
    <row r="5" spans="1:55" ht="50.25" customHeight="1">
      <c r="A5" s="21"/>
      <c r="B5" s="22">
        <v>4</v>
      </c>
      <c r="C5" s="23" t="s">
        <v>54</v>
      </c>
      <c r="D5" s="24" t="s">
        <v>55</v>
      </c>
      <c r="E5" s="25" t="s">
        <v>93</v>
      </c>
      <c r="F5" s="26"/>
      <c r="G5" s="27" t="s">
        <v>94</v>
      </c>
      <c r="H5" s="28" t="s">
        <v>95</v>
      </c>
      <c r="I5" s="29" t="s">
        <v>96</v>
      </c>
      <c r="J5" s="22" t="s">
        <v>60</v>
      </c>
      <c r="K5" s="30">
        <v>35781</v>
      </c>
      <c r="L5" s="22">
        <f t="shared" ca="1" si="0"/>
        <v>28</v>
      </c>
      <c r="M5" s="22"/>
      <c r="N5" s="22" t="s">
        <v>61</v>
      </c>
      <c r="O5" s="31">
        <v>43040</v>
      </c>
      <c r="P5" s="25" t="s">
        <v>97</v>
      </c>
      <c r="Q5" s="61" t="s">
        <v>81</v>
      </c>
      <c r="R5" s="33" t="s">
        <v>64</v>
      </c>
      <c r="S5" s="30"/>
      <c r="T5" s="30"/>
      <c r="U5" s="34"/>
      <c r="V5" s="30">
        <v>45231</v>
      </c>
      <c r="W5" s="9" t="s">
        <v>98</v>
      </c>
      <c r="X5" s="9" t="s">
        <v>99</v>
      </c>
      <c r="Y5" s="9"/>
      <c r="Z5" s="35"/>
      <c r="AA5" s="22"/>
      <c r="AB5" s="36"/>
      <c r="AC5" s="36"/>
      <c r="AD5" s="36"/>
      <c r="AE5" s="36"/>
      <c r="AF5" s="36"/>
      <c r="AG5" s="22"/>
      <c r="AH5" s="22" t="s">
        <v>67</v>
      </c>
      <c r="AI5" s="37">
        <v>45127</v>
      </c>
      <c r="AJ5" s="34"/>
      <c r="AK5" s="21"/>
      <c r="AL5" s="38"/>
      <c r="AM5" s="39"/>
      <c r="AN5" s="39"/>
      <c r="AO5" s="39"/>
      <c r="AP5" s="39"/>
      <c r="AQ5" s="43"/>
      <c r="AR5" s="43"/>
      <c r="AS5" s="43"/>
      <c r="AT5" s="43"/>
      <c r="AU5" s="43"/>
      <c r="AV5" s="43"/>
      <c r="AW5" s="43"/>
      <c r="AX5" s="43"/>
      <c r="AY5" s="43"/>
      <c r="AZ5" s="43"/>
      <c r="BA5" s="43"/>
      <c r="BB5" s="43"/>
      <c r="BC5" s="62"/>
    </row>
    <row r="6" spans="1:55" ht="50.25" customHeight="1">
      <c r="A6" s="21"/>
      <c r="B6" s="22">
        <v>5</v>
      </c>
      <c r="C6" s="63" t="s">
        <v>100</v>
      </c>
      <c r="D6" s="24" t="s">
        <v>55</v>
      </c>
      <c r="E6" s="25" t="s">
        <v>101</v>
      </c>
      <c r="F6" s="26"/>
      <c r="G6" s="27" t="s">
        <v>102</v>
      </c>
      <c r="H6" s="28" t="s">
        <v>103</v>
      </c>
      <c r="I6" s="29" t="s">
        <v>104</v>
      </c>
      <c r="J6" s="22" t="s">
        <v>60</v>
      </c>
      <c r="K6" s="30">
        <v>34817</v>
      </c>
      <c r="L6" s="22">
        <f t="shared" ca="1" si="0"/>
        <v>30</v>
      </c>
      <c r="M6" s="22"/>
      <c r="N6" s="22" t="s">
        <v>61</v>
      </c>
      <c r="O6" s="31">
        <v>43162</v>
      </c>
      <c r="P6" s="25" t="s">
        <v>105</v>
      </c>
      <c r="Q6" s="61" t="s">
        <v>81</v>
      </c>
      <c r="R6" s="33" t="s">
        <v>106</v>
      </c>
      <c r="S6" s="25" t="s">
        <v>82</v>
      </c>
      <c r="T6" s="64">
        <v>20000</v>
      </c>
      <c r="U6" s="65"/>
      <c r="V6" s="66">
        <v>45483</v>
      </c>
      <c r="W6" s="67" t="s">
        <v>107</v>
      </c>
      <c r="X6" s="38" t="s">
        <v>108</v>
      </c>
      <c r="Y6" s="68"/>
      <c r="Z6" s="69" t="s">
        <v>109</v>
      </c>
      <c r="AA6" s="70" t="s">
        <v>110</v>
      </c>
      <c r="AB6" s="71" t="s">
        <v>111</v>
      </c>
      <c r="AC6" s="72"/>
      <c r="AD6" s="42"/>
      <c r="AE6" s="42">
        <v>44958</v>
      </c>
      <c r="AF6" s="42">
        <v>45000</v>
      </c>
      <c r="AG6" s="22"/>
      <c r="AH6" s="22" t="s">
        <v>67</v>
      </c>
      <c r="AI6" s="73">
        <v>45402</v>
      </c>
      <c r="AJ6" s="74" t="s">
        <v>112</v>
      </c>
      <c r="AK6" s="21"/>
      <c r="AL6" s="75"/>
      <c r="AM6" s="65"/>
      <c r="AN6" s="65"/>
      <c r="AO6" s="65"/>
      <c r="AP6" s="65" t="s">
        <v>113</v>
      </c>
      <c r="AQ6" s="76"/>
      <c r="AR6" s="76"/>
      <c r="AS6" s="76"/>
      <c r="AT6" s="76"/>
      <c r="AU6" s="76"/>
      <c r="AV6" s="76"/>
      <c r="AW6" s="76"/>
      <c r="AX6" s="76"/>
      <c r="AY6" s="76"/>
      <c r="AZ6" s="76"/>
      <c r="BA6" s="76"/>
      <c r="BB6" s="76"/>
      <c r="BC6" s="40"/>
    </row>
    <row r="7" spans="1:55" ht="50.25" customHeight="1">
      <c r="A7" s="21"/>
      <c r="B7" s="22">
        <v>6</v>
      </c>
      <c r="C7" s="63" t="s">
        <v>100</v>
      </c>
      <c r="D7" s="24" t="s">
        <v>55</v>
      </c>
      <c r="E7" s="25" t="s">
        <v>114</v>
      </c>
      <c r="F7" s="26"/>
      <c r="G7" s="27" t="s">
        <v>115</v>
      </c>
      <c r="H7" s="28" t="s">
        <v>116</v>
      </c>
      <c r="I7" s="29" t="s">
        <v>117</v>
      </c>
      <c r="J7" s="22" t="s">
        <v>60</v>
      </c>
      <c r="K7" s="30">
        <v>32727</v>
      </c>
      <c r="L7" s="22">
        <f t="shared" ca="1" si="0"/>
        <v>36</v>
      </c>
      <c r="M7" s="22"/>
      <c r="N7" s="22" t="s">
        <v>61</v>
      </c>
      <c r="O7" s="31">
        <v>43435</v>
      </c>
      <c r="P7" s="25" t="s">
        <v>118</v>
      </c>
      <c r="Q7" s="32" t="s">
        <v>63</v>
      </c>
      <c r="R7" s="33" t="s">
        <v>119</v>
      </c>
      <c r="S7" s="30"/>
      <c r="T7" s="30"/>
      <c r="U7" s="77"/>
      <c r="V7" s="30">
        <v>45273</v>
      </c>
      <c r="W7" s="9" t="s">
        <v>120</v>
      </c>
      <c r="X7" s="9" t="s">
        <v>121</v>
      </c>
      <c r="Y7" s="9"/>
      <c r="Z7" s="35"/>
      <c r="AA7" s="22"/>
      <c r="AB7" s="36"/>
      <c r="AC7" s="36"/>
      <c r="AD7" s="36"/>
      <c r="AE7" s="36"/>
      <c r="AF7" s="36"/>
      <c r="AG7" s="22"/>
      <c r="AH7" s="22" t="s">
        <v>67</v>
      </c>
      <c r="AI7" s="37">
        <v>45198</v>
      </c>
      <c r="AJ7" s="77"/>
      <c r="AK7" s="21"/>
      <c r="AL7" s="78"/>
      <c r="AM7" s="79"/>
      <c r="AN7" s="79"/>
      <c r="AO7" s="79"/>
      <c r="AP7" s="79"/>
      <c r="AQ7" s="43"/>
      <c r="AR7" s="43"/>
      <c r="AS7" s="43"/>
      <c r="AT7" s="43"/>
      <c r="AU7" s="43"/>
      <c r="AV7" s="43"/>
      <c r="AW7" s="43"/>
      <c r="AX7" s="43"/>
      <c r="AY7" s="43"/>
      <c r="AZ7" s="43"/>
      <c r="BA7" s="43"/>
      <c r="BB7" s="43"/>
      <c r="BC7" s="80"/>
    </row>
    <row r="8" spans="1:55" ht="47.25" customHeight="1">
      <c r="A8" s="21"/>
      <c r="B8" s="22">
        <v>7</v>
      </c>
      <c r="C8" s="63" t="s">
        <v>100</v>
      </c>
      <c r="D8" s="24" t="s">
        <v>55</v>
      </c>
      <c r="E8" s="25" t="s">
        <v>122</v>
      </c>
      <c r="F8" s="81" t="e">
        <f ca="1">_xludf.IMAGE(F9)</f>
        <v>#NAME?</v>
      </c>
      <c r="G8" s="27" t="s">
        <v>123</v>
      </c>
      <c r="H8" s="28" t="s">
        <v>124</v>
      </c>
      <c r="I8" s="29" t="s">
        <v>125</v>
      </c>
      <c r="J8" s="22" t="s">
        <v>60</v>
      </c>
      <c r="K8" s="30">
        <v>35832</v>
      </c>
      <c r="L8" s="22">
        <f t="shared" ca="1" si="0"/>
        <v>28</v>
      </c>
      <c r="M8" s="22"/>
      <c r="N8" s="22" t="s">
        <v>61</v>
      </c>
      <c r="O8" s="31">
        <v>43435</v>
      </c>
      <c r="P8" s="25" t="s">
        <v>118</v>
      </c>
      <c r="Q8" s="32" t="s">
        <v>63</v>
      </c>
      <c r="R8" s="33" t="s">
        <v>126</v>
      </c>
      <c r="S8" s="30"/>
      <c r="T8" s="30"/>
      <c r="U8" s="77"/>
      <c r="V8" s="30">
        <v>45273</v>
      </c>
      <c r="W8" s="9" t="s">
        <v>127</v>
      </c>
      <c r="X8" s="9" t="s">
        <v>128</v>
      </c>
      <c r="Y8" s="9"/>
      <c r="Z8" s="35"/>
      <c r="AA8" s="22"/>
      <c r="AB8" s="36"/>
      <c r="AC8" s="36"/>
      <c r="AD8" s="36"/>
      <c r="AE8" s="36"/>
      <c r="AF8" s="36"/>
      <c r="AG8" s="22"/>
      <c r="AH8" s="22" t="s">
        <v>67</v>
      </c>
      <c r="AI8" s="37">
        <v>45259</v>
      </c>
      <c r="AJ8" s="77"/>
      <c r="AK8" s="21"/>
      <c r="AL8" s="78"/>
      <c r="AM8" s="79"/>
      <c r="AN8" s="79"/>
      <c r="AO8" s="79"/>
      <c r="AP8" s="79"/>
      <c r="AQ8" s="82"/>
      <c r="AR8" s="82"/>
      <c r="AS8" s="82"/>
      <c r="AT8" s="82"/>
      <c r="AU8" s="82"/>
      <c r="AV8" s="82"/>
      <c r="AW8" s="82"/>
      <c r="AX8" s="82"/>
      <c r="AY8" s="82"/>
      <c r="AZ8" s="82"/>
      <c r="BA8" s="82"/>
      <c r="BB8" s="82"/>
      <c r="BC8" s="83"/>
    </row>
    <row r="9" spans="1:55" ht="50.25" customHeight="1">
      <c r="A9" s="22"/>
      <c r="B9" s="22">
        <v>8</v>
      </c>
      <c r="C9" s="84" t="s">
        <v>100</v>
      </c>
      <c r="D9" s="45" t="s">
        <v>55</v>
      </c>
      <c r="E9" s="25" t="s">
        <v>129</v>
      </c>
      <c r="F9" s="46" t="s">
        <v>130</v>
      </c>
      <c r="G9" s="33" t="s">
        <v>131</v>
      </c>
      <c r="H9" s="28" t="s">
        <v>132</v>
      </c>
      <c r="I9" s="33" t="s">
        <v>133</v>
      </c>
      <c r="J9" s="22" t="s">
        <v>60</v>
      </c>
      <c r="K9" s="30">
        <v>33800</v>
      </c>
      <c r="L9" s="22">
        <f t="shared" ca="1" si="0"/>
        <v>33</v>
      </c>
      <c r="M9" s="22" t="s">
        <v>134</v>
      </c>
      <c r="N9" s="22" t="s">
        <v>61</v>
      </c>
      <c r="O9" s="31">
        <v>43435</v>
      </c>
      <c r="P9" s="25" t="s">
        <v>135</v>
      </c>
      <c r="Q9" s="85" t="s">
        <v>81</v>
      </c>
      <c r="R9" s="33" t="s">
        <v>136</v>
      </c>
      <c r="S9" s="25" t="s">
        <v>137</v>
      </c>
      <c r="T9" s="64">
        <v>10000</v>
      </c>
      <c r="U9" s="86">
        <v>45383</v>
      </c>
      <c r="V9" s="66">
        <v>45912</v>
      </c>
      <c r="W9" s="67" t="s">
        <v>138</v>
      </c>
      <c r="X9" s="9" t="s">
        <v>139</v>
      </c>
      <c r="Y9" s="87"/>
      <c r="Z9" s="88" t="s">
        <v>140</v>
      </c>
      <c r="AA9" s="89"/>
      <c r="AB9" s="53" t="s">
        <v>141</v>
      </c>
      <c r="AC9" s="90"/>
      <c r="AD9" s="42">
        <v>45311</v>
      </c>
      <c r="AE9" s="42">
        <v>45311</v>
      </c>
      <c r="AF9" s="42">
        <v>45342</v>
      </c>
      <c r="AG9" s="91">
        <v>45343</v>
      </c>
      <c r="AH9" s="22" t="s">
        <v>67</v>
      </c>
      <c r="AI9" s="92">
        <v>45646</v>
      </c>
      <c r="AJ9" s="93" t="s">
        <v>142</v>
      </c>
      <c r="AK9" s="22"/>
      <c r="AL9" s="94"/>
      <c r="AM9" s="95"/>
      <c r="AN9" s="95"/>
      <c r="AO9" s="95"/>
      <c r="AP9" s="95" t="s">
        <v>143</v>
      </c>
      <c r="AQ9" s="96"/>
      <c r="AR9" s="96"/>
      <c r="AS9" s="96"/>
      <c r="AT9" s="96"/>
      <c r="AU9" s="96"/>
      <c r="AV9" s="96"/>
      <c r="AW9" s="96"/>
      <c r="AX9" s="96"/>
      <c r="AY9" s="96"/>
      <c r="AZ9" s="96"/>
      <c r="BA9" s="96"/>
      <c r="BB9" s="96"/>
      <c r="BC9" s="83"/>
    </row>
    <row r="10" spans="1:55" ht="50.25" customHeight="1">
      <c r="A10" s="22"/>
      <c r="B10" s="22">
        <v>9</v>
      </c>
      <c r="C10" s="84" t="s">
        <v>100</v>
      </c>
      <c r="D10" s="45" t="s">
        <v>55</v>
      </c>
      <c r="E10" s="25" t="s">
        <v>144</v>
      </c>
      <c r="F10" s="46" t="s">
        <v>145</v>
      </c>
      <c r="G10" s="47" t="s">
        <v>146</v>
      </c>
      <c r="H10" s="28" t="s">
        <v>147</v>
      </c>
      <c r="I10" s="33" t="s">
        <v>148</v>
      </c>
      <c r="J10" s="22" t="s">
        <v>60</v>
      </c>
      <c r="K10" s="30">
        <v>36245</v>
      </c>
      <c r="L10" s="22">
        <f t="shared" ca="1" si="0"/>
        <v>27</v>
      </c>
      <c r="M10" s="22" t="s">
        <v>149</v>
      </c>
      <c r="N10" s="22" t="s">
        <v>61</v>
      </c>
      <c r="O10" s="31">
        <v>43435</v>
      </c>
      <c r="P10" s="25" t="s">
        <v>135</v>
      </c>
      <c r="Q10" s="85" t="s">
        <v>81</v>
      </c>
      <c r="R10" s="33" t="s">
        <v>150</v>
      </c>
      <c r="S10" s="25" t="s">
        <v>149</v>
      </c>
      <c r="T10" s="64">
        <v>20000</v>
      </c>
      <c r="U10" s="97">
        <v>45870</v>
      </c>
      <c r="V10" s="98">
        <v>46294</v>
      </c>
      <c r="W10" s="99" t="s">
        <v>151</v>
      </c>
      <c r="X10" s="9" t="s">
        <v>152</v>
      </c>
      <c r="Y10" s="14"/>
      <c r="Z10" s="15" t="s">
        <v>153</v>
      </c>
      <c r="AA10" s="100"/>
      <c r="AB10" s="53" t="s">
        <v>141</v>
      </c>
      <c r="AC10" s="101"/>
      <c r="AD10" s="102"/>
      <c r="AE10" s="102">
        <v>45271</v>
      </c>
      <c r="AF10" s="42">
        <v>45311</v>
      </c>
      <c r="AG10" s="22"/>
      <c r="AH10" s="103" t="s">
        <v>154</v>
      </c>
      <c r="AI10" s="37"/>
      <c r="AJ10" s="93"/>
      <c r="AK10" s="17"/>
      <c r="AL10" s="67" t="s">
        <v>89</v>
      </c>
      <c r="AM10" s="96" t="s">
        <v>155</v>
      </c>
      <c r="AN10" s="15" t="s">
        <v>156</v>
      </c>
      <c r="AO10" s="67" t="s">
        <v>157</v>
      </c>
      <c r="AP10" s="43" t="s">
        <v>158</v>
      </c>
      <c r="AQ10" s="104"/>
      <c r="AR10" s="104"/>
      <c r="AS10" s="104"/>
      <c r="AT10" s="104"/>
      <c r="AU10" s="104"/>
      <c r="AV10" s="104"/>
      <c r="AW10" s="104"/>
      <c r="AX10" s="43"/>
      <c r="AY10" s="43"/>
      <c r="AZ10" s="43"/>
      <c r="BA10" s="43"/>
      <c r="BB10" s="43"/>
      <c r="BC10" s="105"/>
    </row>
    <row r="11" spans="1:55" ht="50.25" customHeight="1">
      <c r="A11" s="22"/>
      <c r="B11" s="22">
        <v>10</v>
      </c>
      <c r="C11" s="84" t="s">
        <v>100</v>
      </c>
      <c r="D11" s="45" t="s">
        <v>55</v>
      </c>
      <c r="E11" s="25" t="s">
        <v>159</v>
      </c>
      <c r="F11" s="106" t="s">
        <v>160</v>
      </c>
      <c r="G11" s="47" t="s">
        <v>161</v>
      </c>
      <c r="H11" s="28" t="s">
        <v>162</v>
      </c>
      <c r="I11" s="33" t="s">
        <v>163</v>
      </c>
      <c r="J11" s="22" t="s">
        <v>60</v>
      </c>
      <c r="K11" s="30">
        <v>31701</v>
      </c>
      <c r="L11" s="22">
        <f t="shared" ca="1" si="0"/>
        <v>39</v>
      </c>
      <c r="M11" s="22" t="s">
        <v>79</v>
      </c>
      <c r="N11" s="22" t="s">
        <v>61</v>
      </c>
      <c r="O11" s="31">
        <v>43435</v>
      </c>
      <c r="P11" s="25" t="s">
        <v>135</v>
      </c>
      <c r="Q11" s="85" t="s">
        <v>81</v>
      </c>
      <c r="R11" s="33" t="s">
        <v>164</v>
      </c>
      <c r="S11" s="25" t="s">
        <v>165</v>
      </c>
      <c r="T11" s="64">
        <v>20000</v>
      </c>
      <c r="U11" s="97">
        <v>45870</v>
      </c>
      <c r="V11" s="98">
        <v>46294</v>
      </c>
      <c r="W11" s="99" t="s">
        <v>166</v>
      </c>
      <c r="X11" s="9" t="s">
        <v>167</v>
      </c>
      <c r="Y11" s="14"/>
      <c r="Z11" s="15" t="s">
        <v>168</v>
      </c>
      <c r="AA11" s="89"/>
      <c r="AB11" s="90"/>
      <c r="AC11" s="90"/>
      <c r="AD11" s="42">
        <v>45317</v>
      </c>
      <c r="AE11" s="107" t="s">
        <v>169</v>
      </c>
      <c r="AF11" s="107" t="s">
        <v>170</v>
      </c>
      <c r="AG11" s="91">
        <v>45350</v>
      </c>
      <c r="AH11" s="103" t="s">
        <v>154</v>
      </c>
      <c r="AI11" s="37"/>
      <c r="AJ11" s="108"/>
      <c r="AK11" s="17"/>
      <c r="AL11" s="9" t="s">
        <v>89</v>
      </c>
      <c r="AM11" s="57">
        <v>43403</v>
      </c>
      <c r="AN11" s="15" t="s">
        <v>171</v>
      </c>
      <c r="AO11" s="35" t="s">
        <v>172</v>
      </c>
      <c r="AP11" s="59" t="s">
        <v>173</v>
      </c>
      <c r="AQ11" s="35"/>
      <c r="AR11" s="35"/>
      <c r="AS11" s="35"/>
      <c r="AT11" s="35" t="s">
        <v>174</v>
      </c>
      <c r="AU11" s="35"/>
      <c r="AV11" s="35"/>
      <c r="AW11" s="35"/>
      <c r="AX11" s="82"/>
      <c r="AY11" s="82"/>
      <c r="AZ11" s="82"/>
      <c r="BA11" s="82"/>
      <c r="BB11" s="82"/>
      <c r="BC11" s="105"/>
    </row>
    <row r="12" spans="1:55" ht="50.25" customHeight="1">
      <c r="A12" s="21"/>
      <c r="B12" s="22">
        <v>11</v>
      </c>
      <c r="C12" s="109" t="s">
        <v>175</v>
      </c>
      <c r="D12" s="24" t="s">
        <v>55</v>
      </c>
      <c r="E12" s="25" t="s">
        <v>176</v>
      </c>
      <c r="F12" s="26"/>
      <c r="G12" s="27" t="s">
        <v>177</v>
      </c>
      <c r="H12" s="28" t="s">
        <v>178</v>
      </c>
      <c r="I12" s="29" t="s">
        <v>179</v>
      </c>
      <c r="J12" s="22" t="s">
        <v>60</v>
      </c>
      <c r="K12" s="30">
        <v>33673</v>
      </c>
      <c r="L12" s="22">
        <f t="shared" ca="1" si="0"/>
        <v>34</v>
      </c>
      <c r="M12" s="22"/>
      <c r="N12" s="22" t="s">
        <v>61</v>
      </c>
      <c r="O12" s="31">
        <v>43627</v>
      </c>
      <c r="P12" s="25" t="s">
        <v>180</v>
      </c>
      <c r="Q12" s="32" t="s">
        <v>63</v>
      </c>
      <c r="R12" s="33" t="s">
        <v>164</v>
      </c>
      <c r="S12" s="30"/>
      <c r="T12" s="30"/>
      <c r="U12" s="77"/>
      <c r="V12" s="30">
        <v>45116</v>
      </c>
      <c r="W12" s="9" t="s">
        <v>181</v>
      </c>
      <c r="X12" s="9" t="s">
        <v>182</v>
      </c>
      <c r="Y12" s="9"/>
      <c r="Z12" s="35" t="s">
        <v>183</v>
      </c>
      <c r="AA12" s="22" t="s">
        <v>184</v>
      </c>
      <c r="AB12" s="36"/>
      <c r="AC12" s="36"/>
      <c r="AD12" s="36"/>
      <c r="AE12" s="36"/>
      <c r="AF12" s="36"/>
      <c r="AG12" s="22"/>
      <c r="AH12" s="22" t="s">
        <v>67</v>
      </c>
      <c r="AI12" s="37">
        <v>45066</v>
      </c>
      <c r="AJ12" s="77"/>
      <c r="AK12" s="21"/>
      <c r="AL12" s="78"/>
      <c r="AM12" s="79"/>
      <c r="AN12" s="79"/>
      <c r="AO12" s="79"/>
      <c r="AP12" s="79" t="s">
        <v>185</v>
      </c>
      <c r="AQ12" s="82"/>
      <c r="AR12" s="82"/>
      <c r="AS12" s="82"/>
      <c r="AT12" s="82"/>
      <c r="AU12" s="82"/>
      <c r="AV12" s="82"/>
      <c r="AW12" s="82"/>
      <c r="AX12" s="82"/>
      <c r="AY12" s="82"/>
      <c r="AZ12" s="82"/>
      <c r="BA12" s="82"/>
      <c r="BB12" s="82"/>
      <c r="BC12" s="110"/>
    </row>
    <row r="13" spans="1:55" ht="50.25" customHeight="1">
      <c r="A13" s="22"/>
      <c r="B13" s="22">
        <v>12</v>
      </c>
      <c r="C13" s="84" t="s">
        <v>100</v>
      </c>
      <c r="D13" s="45" t="s">
        <v>55</v>
      </c>
      <c r="E13" s="111" t="s">
        <v>186</v>
      </c>
      <c r="F13" s="112" t="s">
        <v>187</v>
      </c>
      <c r="G13" s="47" t="s">
        <v>188</v>
      </c>
      <c r="H13" s="28" t="s">
        <v>189</v>
      </c>
      <c r="I13" s="33" t="s">
        <v>190</v>
      </c>
      <c r="J13" s="22" t="s">
        <v>60</v>
      </c>
      <c r="K13" s="30">
        <v>34922</v>
      </c>
      <c r="L13" s="22">
        <f t="shared" ca="1" si="0"/>
        <v>30</v>
      </c>
      <c r="M13" s="22"/>
      <c r="N13" s="22" t="s">
        <v>61</v>
      </c>
      <c r="O13" s="31">
        <v>43627</v>
      </c>
      <c r="P13" s="25" t="s">
        <v>135</v>
      </c>
      <c r="Q13" s="113" t="s">
        <v>81</v>
      </c>
      <c r="R13" s="33" t="s">
        <v>164</v>
      </c>
      <c r="S13" s="25" t="s">
        <v>191</v>
      </c>
      <c r="T13" s="64">
        <v>20000</v>
      </c>
      <c r="U13" s="97">
        <v>45870</v>
      </c>
      <c r="V13" s="98">
        <v>46294</v>
      </c>
      <c r="W13" s="99" t="s">
        <v>192</v>
      </c>
      <c r="X13" s="9" t="s">
        <v>193</v>
      </c>
      <c r="Y13" s="14"/>
      <c r="Z13" s="15" t="s">
        <v>194</v>
      </c>
      <c r="AA13" s="17"/>
      <c r="AB13" s="53"/>
      <c r="AC13" s="53"/>
      <c r="AD13" s="36"/>
      <c r="AE13" s="42">
        <v>44760</v>
      </c>
      <c r="AF13" s="42">
        <v>44803</v>
      </c>
      <c r="AG13" s="22"/>
      <c r="AH13" s="22"/>
      <c r="AI13" s="37"/>
      <c r="AJ13" s="93"/>
      <c r="AK13" s="17"/>
      <c r="AL13" s="67" t="s">
        <v>89</v>
      </c>
      <c r="AM13" s="114">
        <v>43594</v>
      </c>
      <c r="AN13" s="115" t="s">
        <v>171</v>
      </c>
      <c r="AO13" s="67" t="s">
        <v>157</v>
      </c>
      <c r="AP13" s="43" t="s">
        <v>195</v>
      </c>
      <c r="AQ13" s="116"/>
      <c r="AR13" s="116"/>
      <c r="AS13" s="116"/>
      <c r="AT13" s="116"/>
      <c r="AU13" s="116"/>
      <c r="AV13" s="116"/>
      <c r="AW13" s="116"/>
      <c r="AX13" s="82"/>
      <c r="AY13" s="82"/>
      <c r="AZ13" s="82"/>
      <c r="BA13" s="82"/>
      <c r="BB13" s="82"/>
      <c r="BC13" s="117"/>
    </row>
    <row r="14" spans="1:55" ht="50.25" customHeight="1">
      <c r="A14" s="21"/>
      <c r="B14" s="22">
        <v>13</v>
      </c>
      <c r="C14" s="109" t="s">
        <v>175</v>
      </c>
      <c r="D14" s="24" t="s">
        <v>55</v>
      </c>
      <c r="E14" s="25"/>
      <c r="F14" s="26"/>
      <c r="G14" s="118" t="s">
        <v>196</v>
      </c>
      <c r="H14" s="28" t="s">
        <v>197</v>
      </c>
      <c r="I14" s="29" t="s">
        <v>198</v>
      </c>
      <c r="J14" s="22" t="s">
        <v>60</v>
      </c>
      <c r="K14" s="30">
        <v>32356</v>
      </c>
      <c r="L14" s="22">
        <f t="shared" ca="1" si="0"/>
        <v>37</v>
      </c>
      <c r="M14" s="22"/>
      <c r="N14" s="22" t="s">
        <v>61</v>
      </c>
      <c r="O14" s="31">
        <v>43627</v>
      </c>
      <c r="P14" s="25"/>
      <c r="Q14" s="32" t="s">
        <v>199</v>
      </c>
      <c r="R14" s="33" t="s">
        <v>200</v>
      </c>
      <c r="S14" s="30"/>
      <c r="T14" s="30"/>
      <c r="U14" s="119"/>
      <c r="V14" s="30">
        <v>44327</v>
      </c>
      <c r="W14" s="9" t="s">
        <v>201</v>
      </c>
      <c r="X14" s="9" t="s">
        <v>202</v>
      </c>
      <c r="Y14" s="9"/>
      <c r="Z14" s="35"/>
      <c r="AA14" s="22"/>
      <c r="AB14" s="36"/>
      <c r="AC14" s="36"/>
      <c r="AD14" s="36"/>
      <c r="AE14" s="36"/>
      <c r="AF14" s="36"/>
      <c r="AG14" s="22"/>
      <c r="AH14" s="22" t="s">
        <v>67</v>
      </c>
      <c r="AI14" s="37">
        <v>44679</v>
      </c>
      <c r="AJ14" s="119"/>
      <c r="AK14" s="21"/>
      <c r="AL14" s="9"/>
      <c r="AM14" s="116"/>
      <c r="AN14" s="116"/>
      <c r="AO14" s="116"/>
      <c r="AP14" s="116"/>
      <c r="AQ14" s="35"/>
      <c r="AR14" s="35"/>
      <c r="AS14" s="35"/>
      <c r="AT14" s="35"/>
      <c r="AU14" s="35"/>
      <c r="AV14" s="35"/>
      <c r="AW14" s="35"/>
      <c r="AX14" s="35"/>
      <c r="AY14" s="35"/>
      <c r="AZ14" s="35"/>
      <c r="BA14" s="35"/>
      <c r="BB14" s="35"/>
      <c r="BC14" s="62"/>
    </row>
    <row r="15" spans="1:55" ht="50.25" customHeight="1">
      <c r="A15" s="21"/>
      <c r="B15" s="22">
        <v>14</v>
      </c>
      <c r="C15" s="63" t="s">
        <v>100</v>
      </c>
      <c r="D15" s="24" t="s">
        <v>55</v>
      </c>
      <c r="E15" s="25" t="s">
        <v>203</v>
      </c>
      <c r="F15" s="26"/>
      <c r="G15" s="27" t="s">
        <v>196</v>
      </c>
      <c r="H15" s="28" t="s">
        <v>197</v>
      </c>
      <c r="I15" s="29" t="s">
        <v>204</v>
      </c>
      <c r="J15" s="22" t="s">
        <v>60</v>
      </c>
      <c r="K15" s="30">
        <v>36187</v>
      </c>
      <c r="L15" s="22">
        <f t="shared" ca="1" si="0"/>
        <v>27</v>
      </c>
      <c r="M15" s="22"/>
      <c r="N15" s="22" t="s">
        <v>61</v>
      </c>
      <c r="O15" s="31">
        <v>43879</v>
      </c>
      <c r="P15" s="25" t="s">
        <v>205</v>
      </c>
      <c r="Q15" s="32" t="s">
        <v>199</v>
      </c>
      <c r="R15" s="33" t="s">
        <v>150</v>
      </c>
      <c r="S15" s="30"/>
      <c r="T15" s="30"/>
      <c r="U15" s="120"/>
      <c r="V15" s="30">
        <v>44984</v>
      </c>
      <c r="W15" s="9" t="s">
        <v>206</v>
      </c>
      <c r="X15" s="9" t="s">
        <v>207</v>
      </c>
      <c r="Y15" s="9"/>
      <c r="Z15" s="35"/>
      <c r="AA15" s="22"/>
      <c r="AB15" s="36"/>
      <c r="AC15" s="36"/>
      <c r="AD15" s="36"/>
      <c r="AE15" s="36"/>
      <c r="AF15" s="36"/>
      <c r="AG15" s="22"/>
      <c r="AH15" s="22" t="s">
        <v>67</v>
      </c>
      <c r="AI15" s="37">
        <v>44941</v>
      </c>
      <c r="AJ15" s="120"/>
      <c r="AK15" s="21"/>
      <c r="AL15" s="121"/>
      <c r="AM15" s="122"/>
      <c r="AN15" s="122"/>
      <c r="AO15" s="122"/>
      <c r="AP15" s="122"/>
      <c r="AQ15" s="123"/>
      <c r="AR15" s="123"/>
      <c r="AS15" s="123"/>
      <c r="AT15" s="123"/>
      <c r="AU15" s="123"/>
      <c r="AV15" s="123"/>
      <c r="AW15" s="123"/>
      <c r="AX15" s="123"/>
      <c r="AY15" s="123"/>
      <c r="AZ15" s="123"/>
      <c r="BA15" s="123"/>
      <c r="BB15" s="123"/>
      <c r="BC15" s="105"/>
    </row>
    <row r="16" spans="1:55" ht="50.25" customHeight="1">
      <c r="A16" s="21"/>
      <c r="B16" s="22">
        <v>15</v>
      </c>
      <c r="C16" s="23" t="s">
        <v>54</v>
      </c>
      <c r="D16" s="24" t="s">
        <v>55</v>
      </c>
      <c r="E16" s="25" t="s">
        <v>208</v>
      </c>
      <c r="F16" s="26"/>
      <c r="G16" s="27" t="s">
        <v>209</v>
      </c>
      <c r="H16" s="28" t="s">
        <v>210</v>
      </c>
      <c r="I16" s="29" t="s">
        <v>211</v>
      </c>
      <c r="J16" s="22" t="s">
        <v>60</v>
      </c>
      <c r="K16" s="30">
        <v>34452</v>
      </c>
      <c r="L16" s="22">
        <f t="shared" ca="1" si="0"/>
        <v>31</v>
      </c>
      <c r="M16" s="22"/>
      <c r="N16" s="22" t="s">
        <v>61</v>
      </c>
      <c r="O16" s="31">
        <v>43729</v>
      </c>
      <c r="P16" s="25" t="s">
        <v>212</v>
      </c>
      <c r="Q16" s="32" t="s">
        <v>199</v>
      </c>
      <c r="R16" s="124" t="s">
        <v>213</v>
      </c>
      <c r="S16" s="30"/>
      <c r="T16" s="30"/>
      <c r="U16" s="119"/>
      <c r="V16" s="30">
        <v>44794</v>
      </c>
      <c r="W16" s="9" t="s">
        <v>214</v>
      </c>
      <c r="X16" s="9" t="s">
        <v>215</v>
      </c>
      <c r="Y16" s="9"/>
      <c r="Z16" s="35"/>
      <c r="AA16" s="22"/>
      <c r="AB16" s="36"/>
      <c r="AC16" s="36"/>
      <c r="AD16" s="36"/>
      <c r="AE16" s="36"/>
      <c r="AF16" s="36"/>
      <c r="AG16" s="22"/>
      <c r="AH16" s="22" t="s">
        <v>67</v>
      </c>
      <c r="AI16" s="37">
        <v>44793</v>
      </c>
      <c r="AJ16" s="119"/>
      <c r="AK16" s="21"/>
      <c r="AL16" s="9"/>
      <c r="AM16" s="116"/>
      <c r="AN16" s="116"/>
      <c r="AO16" s="116"/>
      <c r="AP16" s="116"/>
      <c r="AQ16" s="123"/>
      <c r="AR16" s="123"/>
      <c r="AS16" s="123"/>
      <c r="AT16" s="123"/>
      <c r="AU16" s="123"/>
      <c r="AV16" s="123"/>
      <c r="AW16" s="123"/>
      <c r="AX16" s="123"/>
      <c r="AY16" s="123"/>
      <c r="AZ16" s="123"/>
      <c r="BA16" s="123"/>
      <c r="BB16" s="123"/>
      <c r="BC16" s="117"/>
    </row>
    <row r="17" spans="1:55" ht="48" customHeight="1">
      <c r="A17" s="21"/>
      <c r="B17" s="22">
        <v>16</v>
      </c>
      <c r="C17" s="23" t="s">
        <v>54</v>
      </c>
      <c r="D17" s="24" t="s">
        <v>55</v>
      </c>
      <c r="E17" s="25" t="s">
        <v>216</v>
      </c>
      <c r="F17" s="26"/>
      <c r="G17" s="27" t="s">
        <v>217</v>
      </c>
      <c r="H17" s="28" t="s">
        <v>218</v>
      </c>
      <c r="I17" s="29" t="s">
        <v>219</v>
      </c>
      <c r="J17" s="22" t="s">
        <v>60</v>
      </c>
      <c r="K17" s="30">
        <v>36585</v>
      </c>
      <c r="L17" s="22">
        <f t="shared" ca="1" si="0"/>
        <v>26</v>
      </c>
      <c r="M17" s="22"/>
      <c r="N17" s="22" t="s">
        <v>61</v>
      </c>
      <c r="O17" s="31">
        <v>43729</v>
      </c>
      <c r="P17" s="25" t="s">
        <v>220</v>
      </c>
      <c r="Q17" s="125" t="s">
        <v>63</v>
      </c>
      <c r="R17" s="124" t="s">
        <v>213</v>
      </c>
      <c r="S17" s="25"/>
      <c r="T17" s="50">
        <v>20000</v>
      </c>
      <c r="U17" s="126">
        <v>44690</v>
      </c>
      <c r="V17" s="30">
        <v>45587</v>
      </c>
      <c r="W17" s="9" t="s">
        <v>221</v>
      </c>
      <c r="X17" s="9" t="s">
        <v>222</v>
      </c>
      <c r="Y17" s="14"/>
      <c r="Z17" s="127" t="s">
        <v>223</v>
      </c>
      <c r="AA17" s="128">
        <v>45394</v>
      </c>
      <c r="AB17" s="53"/>
      <c r="AC17" s="53" t="s">
        <v>224</v>
      </c>
      <c r="AD17" s="36"/>
      <c r="AE17" s="42">
        <v>44958</v>
      </c>
      <c r="AF17" s="42">
        <v>45000</v>
      </c>
      <c r="AG17" s="22"/>
      <c r="AH17" s="22" t="s">
        <v>67</v>
      </c>
      <c r="AI17" s="129">
        <v>45568</v>
      </c>
      <c r="AJ17" s="116" t="s">
        <v>225</v>
      </c>
      <c r="AK17" s="21"/>
      <c r="AL17" s="130"/>
      <c r="AM17" s="131"/>
      <c r="AN17" s="131"/>
      <c r="AO17" s="131"/>
      <c r="AP17" s="131" t="s">
        <v>226</v>
      </c>
      <c r="AQ17" s="132"/>
      <c r="AR17" s="132"/>
      <c r="AS17" s="132"/>
      <c r="AT17" s="132"/>
      <c r="AU17" s="132"/>
      <c r="AV17" s="132"/>
      <c r="AW17" s="132"/>
      <c r="AX17" s="132"/>
      <c r="AY17" s="132"/>
      <c r="AZ17" s="132"/>
      <c r="BA17" s="132"/>
      <c r="BB17" s="132"/>
      <c r="BC17" s="133"/>
    </row>
    <row r="18" spans="1:55" ht="50.25" customHeight="1">
      <c r="A18" s="21"/>
      <c r="B18" s="22">
        <v>17</v>
      </c>
      <c r="C18" s="23" t="s">
        <v>54</v>
      </c>
      <c r="D18" s="24" t="s">
        <v>55</v>
      </c>
      <c r="E18" s="25" t="s">
        <v>227</v>
      </c>
      <c r="F18" s="26"/>
      <c r="G18" s="27" t="s">
        <v>228</v>
      </c>
      <c r="H18" s="28" t="s">
        <v>229</v>
      </c>
      <c r="I18" s="29" t="s">
        <v>230</v>
      </c>
      <c r="J18" s="22" t="s">
        <v>60</v>
      </c>
      <c r="K18" s="30">
        <v>31954</v>
      </c>
      <c r="L18" s="22">
        <f t="shared" ca="1" si="0"/>
        <v>38</v>
      </c>
      <c r="M18" s="22"/>
      <c r="N18" s="22" t="s">
        <v>61</v>
      </c>
      <c r="O18" s="31">
        <v>43729</v>
      </c>
      <c r="P18" s="25" t="s">
        <v>212</v>
      </c>
      <c r="Q18" s="32" t="s">
        <v>199</v>
      </c>
      <c r="R18" s="124" t="s">
        <v>213</v>
      </c>
      <c r="S18" s="30"/>
      <c r="T18" s="30"/>
      <c r="U18" s="119"/>
      <c r="V18" s="30">
        <v>44794</v>
      </c>
      <c r="W18" s="9" t="s">
        <v>231</v>
      </c>
      <c r="X18" s="9" t="s">
        <v>232</v>
      </c>
      <c r="Y18" s="9"/>
      <c r="Z18" s="35"/>
      <c r="AA18" s="22"/>
      <c r="AB18" s="36"/>
      <c r="AC18" s="36"/>
      <c r="AD18" s="36"/>
      <c r="AE18" s="36"/>
      <c r="AF18" s="36"/>
      <c r="AG18" s="22"/>
      <c r="AH18" s="22" t="s">
        <v>67</v>
      </c>
      <c r="AI18" s="37">
        <v>44793</v>
      </c>
      <c r="AJ18" s="119"/>
      <c r="AK18" s="21"/>
      <c r="AL18" s="9"/>
      <c r="AM18" s="116"/>
      <c r="AN18" s="116"/>
      <c r="AO18" s="116"/>
      <c r="AP18" s="116"/>
      <c r="AQ18" s="15"/>
      <c r="AR18" s="15"/>
      <c r="AS18" s="15"/>
      <c r="AT18" s="15"/>
      <c r="AU18" s="15"/>
      <c r="AV18" s="15"/>
      <c r="AW18" s="15"/>
      <c r="AX18" s="15"/>
      <c r="AY18" s="15"/>
      <c r="AZ18" s="15"/>
      <c r="BA18" s="15"/>
      <c r="BB18" s="15"/>
      <c r="BC18" s="133"/>
    </row>
    <row r="19" spans="1:55" ht="50.25" customHeight="1">
      <c r="A19" s="21"/>
      <c r="B19" s="22">
        <v>18</v>
      </c>
      <c r="C19" s="63" t="s">
        <v>100</v>
      </c>
      <c r="D19" s="24" t="s">
        <v>55</v>
      </c>
      <c r="E19" s="25" t="s">
        <v>233</v>
      </c>
      <c r="F19" s="26"/>
      <c r="G19" s="27" t="s">
        <v>228</v>
      </c>
      <c r="H19" s="28" t="s">
        <v>229</v>
      </c>
      <c r="I19" s="29" t="s">
        <v>230</v>
      </c>
      <c r="J19" s="22" t="s">
        <v>60</v>
      </c>
      <c r="K19" s="30">
        <v>33508</v>
      </c>
      <c r="L19" s="22">
        <f t="shared" ca="1" si="0"/>
        <v>34</v>
      </c>
      <c r="M19" s="22"/>
      <c r="N19" s="22" t="s">
        <v>61</v>
      </c>
      <c r="O19" s="31">
        <v>43879</v>
      </c>
      <c r="P19" s="25" t="s">
        <v>205</v>
      </c>
      <c r="Q19" s="61" t="s">
        <v>81</v>
      </c>
      <c r="R19" s="33" t="s">
        <v>150</v>
      </c>
      <c r="S19" s="30"/>
      <c r="T19" s="30"/>
      <c r="U19" s="77"/>
      <c r="V19" s="30">
        <v>45332</v>
      </c>
      <c r="W19" s="9" t="s">
        <v>234</v>
      </c>
      <c r="X19" s="9" t="s">
        <v>235</v>
      </c>
      <c r="Y19" s="9"/>
      <c r="Z19" s="35"/>
      <c r="AA19" s="22"/>
      <c r="AB19" s="36"/>
      <c r="AC19" s="36"/>
      <c r="AD19" s="36"/>
      <c r="AE19" s="36"/>
      <c r="AF19" s="36"/>
      <c r="AG19" s="22"/>
      <c r="AH19" s="22" t="s">
        <v>67</v>
      </c>
      <c r="AI19" s="37">
        <v>45066</v>
      </c>
      <c r="AJ19" s="77"/>
      <c r="AK19" s="21"/>
      <c r="AL19" s="78"/>
      <c r="AM19" s="79"/>
      <c r="AN19" s="79"/>
      <c r="AO19" s="79"/>
      <c r="AP19" s="79"/>
      <c r="AQ19" s="15"/>
      <c r="AR19" s="15"/>
      <c r="AS19" s="15"/>
      <c r="AT19" s="15"/>
      <c r="AU19" s="15"/>
      <c r="AV19" s="15"/>
      <c r="AW19" s="15"/>
      <c r="AX19" s="15"/>
      <c r="AY19" s="15"/>
      <c r="AZ19" s="15"/>
      <c r="BA19" s="15"/>
      <c r="BB19" s="15"/>
      <c r="BC19" s="134"/>
    </row>
    <row r="20" spans="1:55" ht="50.25" customHeight="1">
      <c r="A20" s="17"/>
      <c r="B20" s="17">
        <v>19</v>
      </c>
      <c r="C20" s="135" t="s">
        <v>54</v>
      </c>
      <c r="D20" s="136" t="s">
        <v>55</v>
      </c>
      <c r="E20" s="111" t="s">
        <v>236</v>
      </c>
      <c r="F20" s="106" t="s">
        <v>237</v>
      </c>
      <c r="G20" s="88" t="s">
        <v>238</v>
      </c>
      <c r="H20" s="137" t="s">
        <v>239</v>
      </c>
      <c r="I20" s="88" t="s">
        <v>104</v>
      </c>
      <c r="J20" s="17" t="s">
        <v>60</v>
      </c>
      <c r="K20" s="89">
        <v>33243</v>
      </c>
      <c r="L20" s="17">
        <f t="shared" ca="1" si="0"/>
        <v>35</v>
      </c>
      <c r="M20" s="17" t="s">
        <v>149</v>
      </c>
      <c r="N20" s="17" t="s">
        <v>61</v>
      </c>
      <c r="O20" s="138">
        <v>43729</v>
      </c>
      <c r="P20" s="111" t="s">
        <v>240</v>
      </c>
      <c r="Q20" s="113" t="s">
        <v>81</v>
      </c>
      <c r="R20" s="15" t="s">
        <v>241</v>
      </c>
      <c r="S20" s="111" t="s">
        <v>149</v>
      </c>
      <c r="T20" s="139">
        <v>0</v>
      </c>
      <c r="U20" s="140">
        <v>45912</v>
      </c>
      <c r="V20" s="89">
        <v>46360</v>
      </c>
      <c r="W20" s="141" t="s">
        <v>242</v>
      </c>
      <c r="X20" s="141" t="s">
        <v>243</v>
      </c>
      <c r="Y20" s="141"/>
      <c r="Z20" s="15" t="s">
        <v>244</v>
      </c>
      <c r="AA20" s="17" t="s">
        <v>245</v>
      </c>
      <c r="AB20" s="53"/>
      <c r="AC20" s="53"/>
      <c r="AD20" s="53"/>
      <c r="AE20" s="90">
        <v>45707</v>
      </c>
      <c r="AF20" s="90">
        <v>45707</v>
      </c>
      <c r="AG20" s="17"/>
      <c r="AH20" s="17" t="s">
        <v>246</v>
      </c>
      <c r="AI20" s="140"/>
      <c r="AJ20" s="142" t="s">
        <v>247</v>
      </c>
      <c r="AK20" s="17"/>
      <c r="AL20" s="143" t="s">
        <v>248</v>
      </c>
      <c r="AM20" s="144"/>
      <c r="AN20" s="145" t="s">
        <v>249</v>
      </c>
      <c r="AO20" s="144"/>
      <c r="AP20" s="144" t="s">
        <v>250</v>
      </c>
      <c r="AQ20" s="115" t="s">
        <v>251</v>
      </c>
      <c r="AR20" s="115"/>
      <c r="AS20" s="115"/>
      <c r="AT20" s="115"/>
      <c r="AU20" s="115"/>
      <c r="AV20" s="115"/>
      <c r="AW20" s="115"/>
      <c r="AX20" s="146"/>
      <c r="AY20" s="146"/>
      <c r="AZ20" s="146"/>
      <c r="BA20" s="146"/>
      <c r="BB20" s="146"/>
      <c r="BC20" s="147"/>
    </row>
    <row r="21" spans="1:55" ht="50.25" customHeight="1">
      <c r="A21" s="21"/>
      <c r="B21" s="22">
        <v>20</v>
      </c>
      <c r="C21" s="23" t="s">
        <v>54</v>
      </c>
      <c r="D21" s="24" t="s">
        <v>55</v>
      </c>
      <c r="E21" s="25" t="s">
        <v>252</v>
      </c>
      <c r="F21" s="26"/>
      <c r="G21" s="27" t="s">
        <v>253</v>
      </c>
      <c r="H21" s="28" t="s">
        <v>254</v>
      </c>
      <c r="I21" s="29" t="s">
        <v>255</v>
      </c>
      <c r="J21" s="22" t="s">
        <v>60</v>
      </c>
      <c r="K21" s="30">
        <v>36177</v>
      </c>
      <c r="L21" s="22">
        <f t="shared" ca="1" si="0"/>
        <v>27</v>
      </c>
      <c r="M21" s="22"/>
      <c r="N21" s="22" t="s">
        <v>61</v>
      </c>
      <c r="O21" s="31">
        <v>43762</v>
      </c>
      <c r="P21" s="25" t="s">
        <v>256</v>
      </c>
      <c r="Q21" s="32" t="s">
        <v>63</v>
      </c>
      <c r="R21" s="124" t="s">
        <v>213</v>
      </c>
      <c r="S21" s="30"/>
      <c r="T21" s="30"/>
      <c r="U21" s="119"/>
      <c r="V21" s="30">
        <v>45221</v>
      </c>
      <c r="W21" s="9" t="s">
        <v>257</v>
      </c>
      <c r="X21" s="9" t="s">
        <v>258</v>
      </c>
      <c r="Y21" s="9"/>
      <c r="Z21" s="35"/>
      <c r="AA21" s="22"/>
      <c r="AB21" s="36"/>
      <c r="AC21" s="36"/>
      <c r="AD21" s="36"/>
      <c r="AE21" s="36"/>
      <c r="AF21" s="36"/>
      <c r="AG21" s="22"/>
      <c r="AH21" s="22" t="s">
        <v>67</v>
      </c>
      <c r="AI21" s="37">
        <v>45158</v>
      </c>
      <c r="AJ21" s="119"/>
      <c r="AK21" s="21"/>
      <c r="AL21" s="9"/>
      <c r="AM21" s="116"/>
      <c r="AN21" s="116"/>
      <c r="AO21" s="116"/>
      <c r="AP21" s="116"/>
      <c r="AQ21" s="35"/>
      <c r="AR21" s="35"/>
      <c r="AS21" s="35"/>
      <c r="AT21" s="35"/>
      <c r="AU21" s="35"/>
      <c r="AV21" s="35"/>
      <c r="AW21" s="35"/>
      <c r="AX21" s="35"/>
      <c r="AY21" s="35"/>
      <c r="AZ21" s="35"/>
      <c r="BA21" s="35"/>
      <c r="BB21" s="35"/>
      <c r="BC21" s="148"/>
    </row>
    <row r="22" spans="1:55" ht="50.25" customHeight="1">
      <c r="A22" s="17"/>
      <c r="B22" s="17">
        <v>20</v>
      </c>
      <c r="C22" s="149"/>
      <c r="D22" s="136" t="s">
        <v>55</v>
      </c>
      <c r="E22" s="111"/>
      <c r="F22" s="106"/>
      <c r="G22" s="88" t="s">
        <v>259</v>
      </c>
      <c r="H22" s="137" t="s">
        <v>260</v>
      </c>
      <c r="I22" s="88"/>
      <c r="J22" s="17" t="s">
        <v>261</v>
      </c>
      <c r="K22" s="89">
        <v>45961</v>
      </c>
      <c r="L22" s="17">
        <v>0</v>
      </c>
      <c r="M22" s="17"/>
      <c r="N22" s="17"/>
      <c r="O22" s="138"/>
      <c r="P22" s="111"/>
      <c r="Q22" s="150" t="s">
        <v>262</v>
      </c>
      <c r="R22" s="15" t="s">
        <v>241</v>
      </c>
      <c r="S22" s="111" t="s">
        <v>263</v>
      </c>
      <c r="T22" s="64"/>
      <c r="U22" s="140"/>
      <c r="V22" s="89">
        <v>46373</v>
      </c>
      <c r="W22" s="141" t="s">
        <v>264</v>
      </c>
      <c r="X22" s="141"/>
      <c r="Y22" s="141"/>
      <c r="Z22" s="15"/>
      <c r="AA22" s="17"/>
      <c r="AB22" s="53"/>
      <c r="AC22" s="53"/>
      <c r="AD22" s="53"/>
      <c r="AE22" s="90"/>
      <c r="AF22" s="101"/>
      <c r="AG22" s="89"/>
      <c r="AH22" s="17"/>
      <c r="AI22" s="51"/>
      <c r="AJ22" s="151"/>
      <c r="AK22" s="17"/>
      <c r="AL22" s="145" t="s">
        <v>265</v>
      </c>
      <c r="AM22" s="145" t="s">
        <v>265</v>
      </c>
      <c r="AN22" s="145" t="s">
        <v>265</v>
      </c>
      <c r="AO22" s="144"/>
      <c r="AP22" s="144" t="s">
        <v>266</v>
      </c>
      <c r="AQ22" s="152"/>
      <c r="AR22" s="152"/>
      <c r="AS22" s="152"/>
      <c r="AT22" s="152"/>
      <c r="AU22" s="152"/>
      <c r="AV22" s="152"/>
      <c r="AW22" s="152"/>
      <c r="AX22" s="142"/>
      <c r="AY22" s="142"/>
      <c r="AZ22" s="142"/>
      <c r="BA22" s="142"/>
      <c r="BB22" s="142"/>
      <c r="BC22" s="147"/>
    </row>
    <row r="23" spans="1:55" ht="50.25" customHeight="1">
      <c r="A23" s="21"/>
      <c r="B23" s="22">
        <v>21</v>
      </c>
      <c r="C23" s="23" t="s">
        <v>54</v>
      </c>
      <c r="D23" s="24" t="s">
        <v>55</v>
      </c>
      <c r="E23" s="25" t="s">
        <v>267</v>
      </c>
      <c r="F23" s="26"/>
      <c r="G23" s="27" t="s">
        <v>268</v>
      </c>
      <c r="H23" s="28" t="s">
        <v>269</v>
      </c>
      <c r="I23" s="29" t="s">
        <v>270</v>
      </c>
      <c r="J23" s="22" t="s">
        <v>261</v>
      </c>
      <c r="K23" s="30">
        <v>34732</v>
      </c>
      <c r="L23" s="22">
        <f t="shared" ref="L23:L243" ca="1" si="1">DATEDIF(K23,TODAY(),"Y")</f>
        <v>31</v>
      </c>
      <c r="M23" s="22"/>
      <c r="N23" s="22" t="s">
        <v>61</v>
      </c>
      <c r="O23" s="31">
        <v>44616</v>
      </c>
      <c r="P23" s="25" t="s">
        <v>271</v>
      </c>
      <c r="Q23" s="153" t="s">
        <v>262</v>
      </c>
      <c r="R23" s="33" t="s">
        <v>272</v>
      </c>
      <c r="S23" s="30"/>
      <c r="T23" s="30"/>
      <c r="U23" s="154"/>
      <c r="V23" s="30">
        <v>44964</v>
      </c>
      <c r="W23" s="9" t="s">
        <v>273</v>
      </c>
      <c r="X23" s="22" t="s">
        <v>274</v>
      </c>
      <c r="Y23" s="22"/>
      <c r="Z23" s="33"/>
      <c r="AA23" s="22"/>
      <c r="AB23" s="36"/>
      <c r="AC23" s="36"/>
      <c r="AD23" s="36"/>
      <c r="AE23" s="36"/>
      <c r="AF23" s="36"/>
      <c r="AG23" s="22"/>
      <c r="AH23" s="22" t="s">
        <v>67</v>
      </c>
      <c r="AI23" s="42">
        <v>44956</v>
      </c>
      <c r="AJ23" s="154"/>
      <c r="AK23" s="21"/>
      <c r="AL23" s="121"/>
      <c r="AM23" s="122"/>
      <c r="AN23" s="122"/>
      <c r="AO23" s="122"/>
      <c r="AP23" s="122"/>
      <c r="AQ23" s="82"/>
      <c r="AR23" s="82"/>
      <c r="AS23" s="82"/>
      <c r="AT23" s="82"/>
      <c r="AU23" s="82"/>
      <c r="AV23" s="82"/>
      <c r="AW23" s="82"/>
      <c r="AX23" s="82"/>
      <c r="AY23" s="82"/>
      <c r="AZ23" s="82"/>
      <c r="BA23" s="82"/>
      <c r="BB23" s="82"/>
      <c r="BC23" s="83"/>
    </row>
    <row r="24" spans="1:55" ht="50.25" customHeight="1">
      <c r="A24" s="21"/>
      <c r="B24" s="22">
        <v>22</v>
      </c>
      <c r="C24" s="23" t="s">
        <v>54</v>
      </c>
      <c r="D24" s="24" t="s">
        <v>55</v>
      </c>
      <c r="E24" s="25" t="s">
        <v>275</v>
      </c>
      <c r="F24" s="26"/>
      <c r="G24" s="27" t="s">
        <v>276</v>
      </c>
      <c r="H24" s="28" t="s">
        <v>277</v>
      </c>
      <c r="I24" s="29" t="s">
        <v>278</v>
      </c>
      <c r="J24" s="22" t="s">
        <v>60</v>
      </c>
      <c r="K24" s="30">
        <v>34241</v>
      </c>
      <c r="L24" s="22">
        <f t="shared" ca="1" si="1"/>
        <v>32</v>
      </c>
      <c r="M24" s="22"/>
      <c r="N24" s="22" t="s">
        <v>61</v>
      </c>
      <c r="O24" s="31">
        <v>42655</v>
      </c>
      <c r="P24" s="25" t="s">
        <v>256</v>
      </c>
      <c r="Q24" s="155" t="s">
        <v>81</v>
      </c>
      <c r="R24" s="33" t="s">
        <v>64</v>
      </c>
      <c r="S24" s="30"/>
      <c r="T24" s="30"/>
      <c r="U24" s="34"/>
      <c r="V24" s="30">
        <v>45207</v>
      </c>
      <c r="W24" s="9" t="s">
        <v>279</v>
      </c>
      <c r="X24" s="9" t="s">
        <v>280</v>
      </c>
      <c r="Y24" s="9"/>
      <c r="Z24" s="35"/>
      <c r="AA24" s="22"/>
      <c r="AB24" s="36"/>
      <c r="AC24" s="36"/>
      <c r="AD24" s="36"/>
      <c r="AE24" s="36"/>
      <c r="AF24" s="36"/>
      <c r="AG24" s="22"/>
      <c r="AH24" s="22" t="s">
        <v>67</v>
      </c>
      <c r="AI24" s="37">
        <v>45005</v>
      </c>
      <c r="AJ24" s="34"/>
      <c r="AK24" s="21"/>
      <c r="AL24" s="38"/>
      <c r="AM24" s="39"/>
      <c r="AN24" s="39"/>
      <c r="AO24" s="39"/>
      <c r="AP24" s="39"/>
      <c r="AQ24" s="35"/>
      <c r="AR24" s="35"/>
      <c r="AS24" s="35"/>
      <c r="AT24" s="35"/>
      <c r="AU24" s="35"/>
      <c r="AV24" s="35"/>
      <c r="AW24" s="35"/>
      <c r="AX24" s="35"/>
      <c r="AY24" s="35"/>
      <c r="AZ24" s="35"/>
      <c r="BA24" s="35"/>
      <c r="BB24" s="35"/>
      <c r="BC24" s="105"/>
    </row>
    <row r="25" spans="1:55" ht="50.25" customHeight="1">
      <c r="A25" s="21"/>
      <c r="B25" s="22">
        <v>23</v>
      </c>
      <c r="C25" s="44" t="s">
        <v>54</v>
      </c>
      <c r="D25" s="24" t="s">
        <v>55</v>
      </c>
      <c r="E25" s="25"/>
      <c r="F25" s="26"/>
      <c r="G25" s="27" t="s">
        <v>281</v>
      </c>
      <c r="H25" s="28" t="s">
        <v>282</v>
      </c>
      <c r="I25" s="29" t="s">
        <v>283</v>
      </c>
      <c r="J25" s="22" t="s">
        <v>60</v>
      </c>
      <c r="K25" s="30">
        <v>33824</v>
      </c>
      <c r="L25" s="22">
        <f t="shared" ca="1" si="1"/>
        <v>33</v>
      </c>
      <c r="M25" s="22"/>
      <c r="N25" s="22" t="s">
        <v>284</v>
      </c>
      <c r="O25" s="31">
        <v>44013</v>
      </c>
      <c r="P25" s="25" t="s">
        <v>271</v>
      </c>
      <c r="Q25" s="153" t="s">
        <v>262</v>
      </c>
      <c r="R25" s="33" t="s">
        <v>285</v>
      </c>
      <c r="S25" s="30"/>
      <c r="T25" s="30"/>
      <c r="U25" s="119"/>
      <c r="V25" s="30">
        <v>44735</v>
      </c>
      <c r="W25" s="9" t="s">
        <v>286</v>
      </c>
      <c r="X25" s="9" t="s">
        <v>287</v>
      </c>
      <c r="Y25" s="9"/>
      <c r="Z25" s="35"/>
      <c r="AA25" s="22"/>
      <c r="AB25" s="36"/>
      <c r="AC25" s="36"/>
      <c r="AD25" s="36"/>
      <c r="AE25" s="36"/>
      <c r="AF25" s="36"/>
      <c r="AG25" s="22"/>
      <c r="AH25" s="22" t="s">
        <v>67</v>
      </c>
      <c r="AI25" s="37">
        <v>44712</v>
      </c>
      <c r="AJ25" s="119"/>
      <c r="AK25" s="21"/>
      <c r="AL25" s="9"/>
      <c r="AM25" s="116"/>
      <c r="AN25" s="116"/>
      <c r="AO25" s="116"/>
      <c r="AP25" s="116"/>
      <c r="AQ25" s="35"/>
      <c r="AR25" s="35"/>
      <c r="AS25" s="35"/>
      <c r="AT25" s="35"/>
      <c r="AU25" s="35"/>
      <c r="AV25" s="35"/>
      <c r="AW25" s="35"/>
      <c r="AX25" s="35"/>
      <c r="AY25" s="35"/>
      <c r="AZ25" s="35"/>
      <c r="BA25" s="35"/>
      <c r="BB25" s="35"/>
      <c r="BC25" s="83"/>
    </row>
    <row r="26" spans="1:55" ht="50.25" customHeight="1">
      <c r="A26" s="21"/>
      <c r="B26" s="22">
        <v>24</v>
      </c>
      <c r="C26" s="23" t="s">
        <v>54</v>
      </c>
      <c r="D26" s="24" t="s">
        <v>55</v>
      </c>
      <c r="E26" s="25" t="s">
        <v>288</v>
      </c>
      <c r="F26" s="26"/>
      <c r="G26" s="27" t="s">
        <v>289</v>
      </c>
      <c r="H26" s="28" t="s">
        <v>290</v>
      </c>
      <c r="I26" s="29" t="s">
        <v>291</v>
      </c>
      <c r="J26" s="22" t="s">
        <v>60</v>
      </c>
      <c r="K26" s="30">
        <v>32890</v>
      </c>
      <c r="L26" s="22">
        <f t="shared" ca="1" si="1"/>
        <v>36</v>
      </c>
      <c r="M26" s="22"/>
      <c r="N26" s="22" t="s">
        <v>284</v>
      </c>
      <c r="O26" s="31">
        <v>44013</v>
      </c>
      <c r="P26" s="25"/>
      <c r="Q26" s="153" t="s">
        <v>262</v>
      </c>
      <c r="R26" s="33" t="s">
        <v>285</v>
      </c>
      <c r="S26" s="30"/>
      <c r="T26" s="30"/>
      <c r="U26" s="41"/>
      <c r="V26" s="30">
        <v>44857</v>
      </c>
      <c r="W26" s="9" t="s">
        <v>292</v>
      </c>
      <c r="X26" s="9" t="s">
        <v>293</v>
      </c>
      <c r="Y26" s="9"/>
      <c r="Z26" s="35"/>
      <c r="AA26" s="22"/>
      <c r="AB26" s="36"/>
      <c r="AC26" s="36"/>
      <c r="AD26" s="36"/>
      <c r="AE26" s="36"/>
      <c r="AF26" s="36"/>
      <c r="AG26" s="22"/>
      <c r="AH26" s="22" t="s">
        <v>67</v>
      </c>
      <c r="AI26" s="42">
        <v>44854</v>
      </c>
      <c r="AJ26" s="41"/>
      <c r="AK26" s="21"/>
      <c r="AL26" s="38"/>
      <c r="AM26" s="39"/>
      <c r="AN26" s="39"/>
      <c r="AO26" s="39"/>
      <c r="AP26" s="39"/>
      <c r="AQ26" s="82"/>
      <c r="AR26" s="82"/>
      <c r="AS26" s="82"/>
      <c r="AT26" s="82"/>
      <c r="AU26" s="82"/>
      <c r="AV26" s="82"/>
      <c r="AW26" s="82"/>
      <c r="AX26" s="82"/>
      <c r="AY26" s="82"/>
      <c r="AZ26" s="82"/>
      <c r="BA26" s="82"/>
      <c r="BB26" s="82"/>
      <c r="BC26" s="156"/>
    </row>
    <row r="27" spans="1:55" ht="50.25" customHeight="1">
      <c r="A27" s="21"/>
      <c r="B27" s="22">
        <v>25</v>
      </c>
      <c r="C27" s="23" t="s">
        <v>54</v>
      </c>
      <c r="D27" s="24" t="s">
        <v>55</v>
      </c>
      <c r="E27" s="25" t="s">
        <v>294</v>
      </c>
      <c r="F27" s="26"/>
      <c r="G27" s="27" t="s">
        <v>295</v>
      </c>
      <c r="H27" s="28" t="s">
        <v>296</v>
      </c>
      <c r="I27" s="29" t="s">
        <v>297</v>
      </c>
      <c r="J27" s="22" t="s">
        <v>60</v>
      </c>
      <c r="K27" s="30">
        <v>32353</v>
      </c>
      <c r="L27" s="22">
        <f t="shared" ca="1" si="1"/>
        <v>37</v>
      </c>
      <c r="M27" s="22"/>
      <c r="N27" s="22" t="s">
        <v>284</v>
      </c>
      <c r="O27" s="31">
        <v>44013</v>
      </c>
      <c r="P27" s="25" t="s">
        <v>271</v>
      </c>
      <c r="Q27" s="153" t="s">
        <v>262</v>
      </c>
      <c r="R27" s="33" t="s">
        <v>285</v>
      </c>
      <c r="S27" s="30"/>
      <c r="T27" s="30"/>
      <c r="U27" s="41"/>
      <c r="V27" s="30">
        <v>44857</v>
      </c>
      <c r="W27" s="9" t="s">
        <v>298</v>
      </c>
      <c r="X27" s="9" t="s">
        <v>299</v>
      </c>
      <c r="Y27" s="9"/>
      <c r="Z27" s="35" t="s">
        <v>300</v>
      </c>
      <c r="AA27" s="22"/>
      <c r="AB27" s="36"/>
      <c r="AC27" s="36"/>
      <c r="AD27" s="36"/>
      <c r="AE27" s="36"/>
      <c r="AF27" s="36"/>
      <c r="AG27" s="22"/>
      <c r="AH27" s="22" t="s">
        <v>67</v>
      </c>
      <c r="AI27" s="42">
        <v>44854</v>
      </c>
      <c r="AJ27" s="41"/>
      <c r="AK27" s="21"/>
      <c r="AL27" s="38"/>
      <c r="AM27" s="39"/>
      <c r="AN27" s="39"/>
      <c r="AO27" s="39"/>
      <c r="AP27" s="39"/>
      <c r="AQ27" s="82"/>
      <c r="AR27" s="82"/>
      <c r="AS27" s="82"/>
      <c r="AT27" s="82"/>
      <c r="AU27" s="82"/>
      <c r="AV27" s="82"/>
      <c r="AW27" s="82"/>
      <c r="AX27" s="82"/>
      <c r="AY27" s="82"/>
      <c r="AZ27" s="82"/>
      <c r="BA27" s="82"/>
      <c r="BB27" s="82"/>
      <c r="BC27" s="83"/>
    </row>
    <row r="28" spans="1:55" ht="50.25" customHeight="1">
      <c r="A28" s="157"/>
      <c r="B28" s="22">
        <v>26</v>
      </c>
      <c r="C28" s="44" t="s">
        <v>54</v>
      </c>
      <c r="D28" s="45" t="s">
        <v>55</v>
      </c>
      <c r="E28" s="158" t="s">
        <v>301</v>
      </c>
      <c r="F28" s="159" t="s">
        <v>302</v>
      </c>
      <c r="G28" s="47" t="s">
        <v>303</v>
      </c>
      <c r="H28" s="28" t="s">
        <v>296</v>
      </c>
      <c r="I28" s="33" t="s">
        <v>297</v>
      </c>
      <c r="J28" s="22" t="s">
        <v>60</v>
      </c>
      <c r="K28" s="30">
        <v>32353</v>
      </c>
      <c r="L28" s="22">
        <f t="shared" ca="1" si="1"/>
        <v>37</v>
      </c>
      <c r="M28" s="22" t="s">
        <v>79</v>
      </c>
      <c r="N28" s="22" t="s">
        <v>61</v>
      </c>
      <c r="O28" s="31">
        <v>45111</v>
      </c>
      <c r="P28" s="25" t="s">
        <v>304</v>
      </c>
      <c r="Q28" s="160" t="s">
        <v>81</v>
      </c>
      <c r="R28" s="33" t="s">
        <v>64</v>
      </c>
      <c r="S28" s="25" t="s">
        <v>82</v>
      </c>
      <c r="T28" s="161">
        <v>20000</v>
      </c>
      <c r="U28" s="162">
        <v>45734</v>
      </c>
      <c r="V28" s="66">
        <v>46206</v>
      </c>
      <c r="W28" s="67" t="s">
        <v>305</v>
      </c>
      <c r="X28" s="9"/>
      <c r="Y28" s="59"/>
      <c r="Z28" s="15" t="s">
        <v>306</v>
      </c>
      <c r="AA28" s="17"/>
      <c r="AB28" s="53"/>
      <c r="AC28" s="163" t="s">
        <v>307</v>
      </c>
      <c r="AD28" s="42">
        <v>46101</v>
      </c>
      <c r="AE28" s="164" t="s">
        <v>308</v>
      </c>
      <c r="AF28" s="165" t="s">
        <v>309</v>
      </c>
      <c r="AG28" s="22"/>
      <c r="AH28" s="22" t="s">
        <v>310</v>
      </c>
      <c r="AI28" s="37"/>
      <c r="AJ28" s="166"/>
      <c r="AK28" s="17"/>
      <c r="AL28" s="167" t="s">
        <v>89</v>
      </c>
      <c r="AM28" s="114">
        <v>45110</v>
      </c>
      <c r="AN28" s="115" t="s">
        <v>311</v>
      </c>
      <c r="AO28" s="123"/>
      <c r="AP28" s="43" t="s">
        <v>312</v>
      </c>
      <c r="AQ28" s="43"/>
      <c r="AR28" s="43"/>
      <c r="AS28" s="43"/>
      <c r="AT28" s="43"/>
      <c r="AU28" s="43"/>
      <c r="AV28" s="43"/>
      <c r="AW28" s="43" t="s">
        <v>313</v>
      </c>
      <c r="AX28" s="168"/>
      <c r="AY28" s="168"/>
      <c r="AZ28" s="168"/>
      <c r="BA28" s="168"/>
      <c r="BB28" s="168"/>
      <c r="BC28" s="169"/>
    </row>
    <row r="29" spans="1:55" ht="50.25" customHeight="1">
      <c r="A29" s="21"/>
      <c r="B29" s="22">
        <v>27</v>
      </c>
      <c r="C29" s="23" t="s">
        <v>54</v>
      </c>
      <c r="D29" s="24" t="s">
        <v>55</v>
      </c>
      <c r="E29" s="25" t="s">
        <v>314</v>
      </c>
      <c r="F29" s="26"/>
      <c r="G29" s="27" t="s">
        <v>315</v>
      </c>
      <c r="H29" s="28" t="s">
        <v>316</v>
      </c>
      <c r="I29" s="29" t="s">
        <v>317</v>
      </c>
      <c r="J29" s="22" t="s">
        <v>60</v>
      </c>
      <c r="K29" s="30">
        <v>30163</v>
      </c>
      <c r="L29" s="22">
        <f t="shared" ca="1" si="1"/>
        <v>43</v>
      </c>
      <c r="M29" s="22"/>
      <c r="N29" s="22" t="s">
        <v>284</v>
      </c>
      <c r="O29" s="31">
        <v>44013</v>
      </c>
      <c r="P29" s="25" t="s">
        <v>271</v>
      </c>
      <c r="Q29" s="153" t="s">
        <v>262</v>
      </c>
      <c r="R29" s="124" t="s">
        <v>213</v>
      </c>
      <c r="S29" s="30"/>
      <c r="T29" s="30"/>
      <c r="U29" s="41"/>
      <c r="V29" s="30">
        <v>44857</v>
      </c>
      <c r="W29" s="9" t="s">
        <v>318</v>
      </c>
      <c r="X29" s="9" t="s">
        <v>319</v>
      </c>
      <c r="Y29" s="9"/>
      <c r="Z29" s="35"/>
      <c r="AA29" s="22"/>
      <c r="AB29" s="36"/>
      <c r="AC29" s="36"/>
      <c r="AD29" s="36"/>
      <c r="AE29" s="36"/>
      <c r="AF29" s="36"/>
      <c r="AG29" s="22"/>
      <c r="AH29" s="22" t="s">
        <v>67</v>
      </c>
      <c r="AI29" s="42">
        <v>44854</v>
      </c>
      <c r="AJ29" s="41"/>
      <c r="AK29" s="21"/>
      <c r="AL29" s="38"/>
      <c r="AM29" s="39"/>
      <c r="AN29" s="39"/>
      <c r="AO29" s="39"/>
      <c r="AP29" s="39"/>
      <c r="AQ29" s="35"/>
      <c r="AR29" s="35"/>
      <c r="AS29" s="35"/>
      <c r="AT29" s="35"/>
      <c r="AU29" s="35"/>
      <c r="AV29" s="35"/>
      <c r="AW29" s="35"/>
      <c r="AX29" s="35"/>
      <c r="AY29" s="35"/>
      <c r="AZ29" s="35"/>
      <c r="BA29" s="35"/>
      <c r="BB29" s="35"/>
      <c r="BC29" s="170"/>
    </row>
    <row r="30" spans="1:55" ht="50.25" customHeight="1">
      <c r="A30" s="22"/>
      <c r="B30" s="22">
        <v>28</v>
      </c>
      <c r="C30" s="84" t="s">
        <v>100</v>
      </c>
      <c r="D30" s="45" t="s">
        <v>55</v>
      </c>
      <c r="E30" s="25" t="s">
        <v>320</v>
      </c>
      <c r="F30" s="171" t="s">
        <v>321</v>
      </c>
      <c r="G30" s="33" t="s">
        <v>322</v>
      </c>
      <c r="H30" s="28" t="s">
        <v>323</v>
      </c>
      <c r="I30" s="33" t="s">
        <v>324</v>
      </c>
      <c r="J30" s="22" t="s">
        <v>261</v>
      </c>
      <c r="K30" s="30">
        <v>34747</v>
      </c>
      <c r="L30" s="22">
        <f t="shared" ca="1" si="1"/>
        <v>31</v>
      </c>
      <c r="M30" s="22"/>
      <c r="N30" s="22" t="s">
        <v>61</v>
      </c>
      <c r="O30" s="31">
        <v>44119</v>
      </c>
      <c r="P30" s="25" t="s">
        <v>325</v>
      </c>
      <c r="Q30" s="49" t="s">
        <v>81</v>
      </c>
      <c r="R30" s="28" t="s">
        <v>119</v>
      </c>
      <c r="S30" s="25" t="s">
        <v>82</v>
      </c>
      <c r="T30" s="64">
        <v>20000</v>
      </c>
      <c r="U30" s="86">
        <v>45484</v>
      </c>
      <c r="V30" s="30">
        <v>45912</v>
      </c>
      <c r="W30" s="9" t="s">
        <v>326</v>
      </c>
      <c r="X30" s="9" t="s">
        <v>327</v>
      </c>
      <c r="Y30" s="172"/>
      <c r="Z30" s="137" t="s">
        <v>328</v>
      </c>
      <c r="AA30" s="89"/>
      <c r="AB30" s="90"/>
      <c r="AC30" s="90"/>
      <c r="AD30" s="42">
        <v>45306</v>
      </c>
      <c r="AE30" s="42">
        <v>45306</v>
      </c>
      <c r="AF30" s="90">
        <v>45341</v>
      </c>
      <c r="AG30" s="30">
        <v>45343</v>
      </c>
      <c r="AH30" s="22" t="s">
        <v>67</v>
      </c>
      <c r="AI30" s="92">
        <v>45904</v>
      </c>
      <c r="AJ30" s="119" t="s">
        <v>329</v>
      </c>
      <c r="AK30" s="17"/>
      <c r="AL30" s="67" t="s">
        <v>265</v>
      </c>
      <c r="AM30" s="123"/>
      <c r="AN30" s="67" t="s">
        <v>265</v>
      </c>
      <c r="AO30" s="67" t="s">
        <v>265</v>
      </c>
      <c r="AP30" s="43" t="s">
        <v>330</v>
      </c>
      <c r="AQ30" s="35"/>
      <c r="AR30" s="35"/>
      <c r="AS30" s="35"/>
      <c r="AT30" s="35"/>
      <c r="AU30" s="35"/>
      <c r="AV30" s="35"/>
      <c r="AW30" s="35"/>
      <c r="AX30" s="35"/>
      <c r="AY30" s="35"/>
      <c r="AZ30" s="35"/>
      <c r="BA30" s="35"/>
      <c r="BB30" s="35"/>
      <c r="BC30" s="133"/>
    </row>
    <row r="31" spans="1:55" ht="50.25" customHeight="1">
      <c r="A31" s="22"/>
      <c r="B31" s="22">
        <v>29</v>
      </c>
      <c r="C31" s="84" t="s">
        <v>100</v>
      </c>
      <c r="D31" s="45" t="s">
        <v>55</v>
      </c>
      <c r="E31" s="173" t="s">
        <v>331</v>
      </c>
      <c r="F31" s="171" t="s">
        <v>332</v>
      </c>
      <c r="G31" s="47" t="s">
        <v>333</v>
      </c>
      <c r="H31" s="174" t="s">
        <v>334</v>
      </c>
      <c r="I31" s="33" t="s">
        <v>335</v>
      </c>
      <c r="J31" s="22" t="s">
        <v>261</v>
      </c>
      <c r="K31" s="30">
        <v>32955</v>
      </c>
      <c r="L31" s="22">
        <f t="shared" ca="1" si="1"/>
        <v>36</v>
      </c>
      <c r="M31" s="22"/>
      <c r="N31" s="22" t="s">
        <v>61</v>
      </c>
      <c r="O31" s="31">
        <v>44119</v>
      </c>
      <c r="P31" s="25" t="s">
        <v>325</v>
      </c>
      <c r="Q31" s="49" t="s">
        <v>81</v>
      </c>
      <c r="R31" s="33" t="s">
        <v>336</v>
      </c>
      <c r="S31" s="25" t="s">
        <v>137</v>
      </c>
      <c r="T31" s="64">
        <v>20000</v>
      </c>
      <c r="U31" s="175" t="s">
        <v>337</v>
      </c>
      <c r="V31" s="98">
        <v>46294</v>
      </c>
      <c r="W31" s="176" t="s">
        <v>338</v>
      </c>
      <c r="X31" s="9" t="s">
        <v>339</v>
      </c>
      <c r="Y31" s="172"/>
      <c r="Z31" s="137" t="s">
        <v>340</v>
      </c>
      <c r="AA31" s="14" t="s">
        <v>341</v>
      </c>
      <c r="AB31" s="53"/>
      <c r="AC31" s="53"/>
      <c r="AD31" s="177">
        <v>46015</v>
      </c>
      <c r="AE31" s="177">
        <v>46016</v>
      </c>
      <c r="AF31" s="178">
        <v>46055</v>
      </c>
      <c r="AG31" s="98">
        <v>46056</v>
      </c>
      <c r="AH31" s="103" t="s">
        <v>154</v>
      </c>
      <c r="AI31" s="37"/>
      <c r="AJ31" s="152" t="s">
        <v>342</v>
      </c>
      <c r="AK31" s="17"/>
      <c r="AL31" s="67" t="s">
        <v>265</v>
      </c>
      <c r="AM31" s="123"/>
      <c r="AN31" s="67" t="s">
        <v>249</v>
      </c>
      <c r="AO31" s="179" t="s">
        <v>343</v>
      </c>
      <c r="AP31" s="43" t="s">
        <v>344</v>
      </c>
      <c r="AQ31" s="35" t="s">
        <v>345</v>
      </c>
      <c r="AR31" s="35"/>
      <c r="AS31" s="35"/>
      <c r="AT31" s="35"/>
      <c r="AU31" s="35"/>
      <c r="AV31" s="35"/>
      <c r="AW31" s="35"/>
      <c r="AX31" s="180"/>
      <c r="AY31" s="180"/>
      <c r="AZ31" s="180"/>
      <c r="BA31" s="180"/>
      <c r="BB31" s="180"/>
      <c r="BC31" s="60"/>
    </row>
    <row r="32" spans="1:55" ht="50.25" customHeight="1">
      <c r="A32" s="22"/>
      <c r="B32" s="22">
        <v>30</v>
      </c>
      <c r="C32" s="84" t="s">
        <v>100</v>
      </c>
      <c r="D32" s="45" t="s">
        <v>55</v>
      </c>
      <c r="E32" s="25" t="s">
        <v>346</v>
      </c>
      <c r="F32" s="181" t="s">
        <v>347</v>
      </c>
      <c r="G32" s="47" t="s">
        <v>348</v>
      </c>
      <c r="H32" s="174" t="s">
        <v>349</v>
      </c>
      <c r="I32" s="33" t="s">
        <v>350</v>
      </c>
      <c r="J32" s="22" t="s">
        <v>261</v>
      </c>
      <c r="K32" s="30">
        <v>37255</v>
      </c>
      <c r="L32" s="22">
        <f t="shared" ca="1" si="1"/>
        <v>24</v>
      </c>
      <c r="M32" s="22" t="s">
        <v>149</v>
      </c>
      <c r="N32" s="22" t="s">
        <v>61</v>
      </c>
      <c r="O32" s="31">
        <v>44119</v>
      </c>
      <c r="P32" s="25" t="s">
        <v>325</v>
      </c>
      <c r="Q32" s="160" t="s">
        <v>81</v>
      </c>
      <c r="R32" s="182" t="s">
        <v>351</v>
      </c>
      <c r="S32" s="25" t="s">
        <v>149</v>
      </c>
      <c r="T32" s="64">
        <v>21500</v>
      </c>
      <c r="U32" s="162">
        <v>46082</v>
      </c>
      <c r="V32" s="98">
        <v>46294</v>
      </c>
      <c r="W32" s="176" t="s">
        <v>352</v>
      </c>
      <c r="X32" s="9" t="s">
        <v>353</v>
      </c>
      <c r="Y32" s="172"/>
      <c r="Z32" s="137" t="s">
        <v>354</v>
      </c>
      <c r="AA32" s="89"/>
      <c r="AB32" s="53" t="s">
        <v>355</v>
      </c>
      <c r="AC32" s="90"/>
      <c r="AD32" s="42">
        <v>45306</v>
      </c>
      <c r="AE32" s="42">
        <v>45306</v>
      </c>
      <c r="AF32" s="42">
        <v>45352</v>
      </c>
      <c r="AG32" s="91">
        <v>45355</v>
      </c>
      <c r="AH32" s="103" t="s">
        <v>154</v>
      </c>
      <c r="AI32" s="37"/>
      <c r="AJ32" s="93"/>
      <c r="AK32" s="17"/>
      <c r="AL32" s="167" t="s">
        <v>89</v>
      </c>
      <c r="AM32" s="114">
        <v>45181</v>
      </c>
      <c r="AN32" s="115" t="s">
        <v>356</v>
      </c>
      <c r="AO32" s="179" t="s">
        <v>157</v>
      </c>
      <c r="AP32" s="180" t="s">
        <v>357</v>
      </c>
      <c r="AQ32" s="43"/>
      <c r="AR32" s="43"/>
      <c r="AS32" s="43"/>
      <c r="AT32" s="43" t="s">
        <v>358</v>
      </c>
      <c r="AU32" s="43"/>
      <c r="AV32" s="43"/>
      <c r="AW32" s="43" t="s">
        <v>359</v>
      </c>
      <c r="AX32" s="35"/>
      <c r="AY32" s="35"/>
      <c r="AZ32" s="35"/>
      <c r="BA32" s="35"/>
      <c r="BB32" s="35"/>
      <c r="BC32" s="60"/>
    </row>
    <row r="33" spans="1:55" ht="50.25" customHeight="1">
      <c r="A33" s="21"/>
      <c r="B33" s="22">
        <v>31</v>
      </c>
      <c r="C33" s="63" t="s">
        <v>100</v>
      </c>
      <c r="D33" s="24" t="s">
        <v>55</v>
      </c>
      <c r="E33" s="25" t="s">
        <v>360</v>
      </c>
      <c r="F33" s="26"/>
      <c r="G33" s="27" t="s">
        <v>361</v>
      </c>
      <c r="H33" s="28" t="s">
        <v>362</v>
      </c>
      <c r="I33" s="29" t="s">
        <v>363</v>
      </c>
      <c r="J33" s="22" t="s">
        <v>60</v>
      </c>
      <c r="K33" s="30">
        <v>36097</v>
      </c>
      <c r="L33" s="22">
        <f t="shared" ca="1" si="1"/>
        <v>27</v>
      </c>
      <c r="M33" s="22"/>
      <c r="N33" s="22" t="s">
        <v>61</v>
      </c>
      <c r="O33" s="31">
        <v>43879</v>
      </c>
      <c r="P33" s="25" t="s">
        <v>205</v>
      </c>
      <c r="Q33" s="183" t="s">
        <v>199</v>
      </c>
      <c r="R33" s="33" t="s">
        <v>150</v>
      </c>
      <c r="S33" s="30"/>
      <c r="T33" s="30"/>
      <c r="U33" s="120"/>
      <c r="V33" s="30">
        <v>44953</v>
      </c>
      <c r="W33" s="9" t="s">
        <v>364</v>
      </c>
      <c r="X33" s="9" t="s">
        <v>365</v>
      </c>
      <c r="Y33" s="9"/>
      <c r="Z33" s="35"/>
      <c r="AA33" s="22"/>
      <c r="AB33" s="36"/>
      <c r="AC33" s="36"/>
      <c r="AD33" s="36"/>
      <c r="AE33" s="36"/>
      <c r="AF33" s="36"/>
      <c r="AG33" s="22"/>
      <c r="AH33" s="22" t="s">
        <v>67</v>
      </c>
      <c r="AI33" s="37">
        <v>44941</v>
      </c>
      <c r="AJ33" s="120"/>
      <c r="AK33" s="21"/>
      <c r="AL33" s="121"/>
      <c r="AM33" s="122"/>
      <c r="AN33" s="122"/>
      <c r="AO33" s="122"/>
      <c r="AP33" s="122"/>
      <c r="AQ33" s="95"/>
      <c r="AR33" s="95"/>
      <c r="AS33" s="95"/>
      <c r="AT33" s="95"/>
      <c r="AU33" s="95"/>
      <c r="AV33" s="95"/>
      <c r="AW33" s="95"/>
      <c r="AX33" s="95"/>
      <c r="AY33" s="95"/>
      <c r="AZ33" s="95"/>
      <c r="BA33" s="95"/>
      <c r="BB33" s="95"/>
      <c r="BC33" s="60"/>
    </row>
    <row r="34" spans="1:55" ht="50.25" customHeight="1">
      <c r="A34" s="21"/>
      <c r="B34" s="22">
        <v>32</v>
      </c>
      <c r="C34" s="63" t="s">
        <v>100</v>
      </c>
      <c r="D34" s="24" t="s">
        <v>55</v>
      </c>
      <c r="E34" s="25" t="s">
        <v>366</v>
      </c>
      <c r="F34" s="26"/>
      <c r="G34" s="27" t="s">
        <v>367</v>
      </c>
      <c r="H34" s="28" t="s">
        <v>368</v>
      </c>
      <c r="I34" s="29" t="s">
        <v>369</v>
      </c>
      <c r="J34" s="22" t="s">
        <v>60</v>
      </c>
      <c r="K34" s="30">
        <v>34487</v>
      </c>
      <c r="L34" s="22">
        <f t="shared" ca="1" si="1"/>
        <v>31</v>
      </c>
      <c r="M34" s="22"/>
      <c r="N34" s="22" t="s">
        <v>61</v>
      </c>
      <c r="O34" s="31">
        <v>43879</v>
      </c>
      <c r="P34" s="25" t="s">
        <v>205</v>
      </c>
      <c r="Q34" s="32" t="s">
        <v>199</v>
      </c>
      <c r="R34" s="33" t="s">
        <v>136</v>
      </c>
      <c r="S34" s="30"/>
      <c r="T34" s="30"/>
      <c r="U34" s="116"/>
      <c r="V34" s="30">
        <v>44953</v>
      </c>
      <c r="W34" s="9" t="s">
        <v>370</v>
      </c>
      <c r="X34" s="9" t="s">
        <v>371</v>
      </c>
      <c r="Y34" s="9"/>
      <c r="Z34" s="35"/>
      <c r="AA34" s="22"/>
      <c r="AB34" s="36"/>
      <c r="AC34" s="36"/>
      <c r="AD34" s="36"/>
      <c r="AE34" s="36"/>
      <c r="AF34" s="36"/>
      <c r="AG34" s="22"/>
      <c r="AH34" s="22" t="s">
        <v>67</v>
      </c>
      <c r="AI34" s="184">
        <v>44915</v>
      </c>
      <c r="AJ34" s="116"/>
      <c r="AK34" s="21"/>
      <c r="AL34" s="9"/>
      <c r="AM34" s="116"/>
      <c r="AN34" s="116"/>
      <c r="AO34" s="116"/>
      <c r="AP34" s="116" t="s">
        <v>372</v>
      </c>
      <c r="AQ34" s="180"/>
      <c r="AR34" s="180"/>
      <c r="AS34" s="180"/>
      <c r="AT34" s="180"/>
      <c r="AU34" s="180"/>
      <c r="AV34" s="180"/>
      <c r="AW34" s="180"/>
      <c r="AX34" s="180"/>
      <c r="AY34" s="180"/>
      <c r="AZ34" s="180"/>
      <c r="BA34" s="180"/>
      <c r="BB34" s="180"/>
      <c r="BC34" s="117"/>
    </row>
    <row r="35" spans="1:55" ht="50.25" customHeight="1">
      <c r="A35" s="21"/>
      <c r="B35" s="22">
        <v>33</v>
      </c>
      <c r="C35" s="63" t="s">
        <v>100</v>
      </c>
      <c r="D35" s="24" t="s">
        <v>55</v>
      </c>
      <c r="E35" s="25" t="s">
        <v>373</v>
      </c>
      <c r="F35" s="26"/>
      <c r="G35" s="27" t="s">
        <v>374</v>
      </c>
      <c r="H35" s="28" t="s">
        <v>375</v>
      </c>
      <c r="I35" s="29" t="s">
        <v>376</v>
      </c>
      <c r="J35" s="22" t="s">
        <v>60</v>
      </c>
      <c r="K35" s="30">
        <v>33354</v>
      </c>
      <c r="L35" s="22">
        <f t="shared" ca="1" si="1"/>
        <v>34</v>
      </c>
      <c r="M35" s="22"/>
      <c r="N35" s="22" t="s">
        <v>61</v>
      </c>
      <c r="O35" s="31">
        <v>43879</v>
      </c>
      <c r="P35" s="25" t="s">
        <v>205</v>
      </c>
      <c r="Q35" s="32" t="s">
        <v>199</v>
      </c>
      <c r="R35" s="33" t="s">
        <v>136</v>
      </c>
      <c r="S35" s="30"/>
      <c r="T35" s="30"/>
      <c r="U35" s="120"/>
      <c r="V35" s="30">
        <v>44953</v>
      </c>
      <c r="W35" s="9" t="s">
        <v>377</v>
      </c>
      <c r="X35" s="9" t="s">
        <v>378</v>
      </c>
      <c r="Y35" s="9"/>
      <c r="Z35" s="35"/>
      <c r="AA35" s="22"/>
      <c r="AB35" s="36"/>
      <c r="AC35" s="36"/>
      <c r="AD35" s="36"/>
      <c r="AE35" s="36"/>
      <c r="AF35" s="36"/>
      <c r="AG35" s="22"/>
      <c r="AH35" s="22" t="s">
        <v>67</v>
      </c>
      <c r="AI35" s="37">
        <v>44941</v>
      </c>
      <c r="AJ35" s="120"/>
      <c r="AK35" s="21"/>
      <c r="AL35" s="121"/>
      <c r="AM35" s="122"/>
      <c r="AN35" s="122"/>
      <c r="AO35" s="122"/>
      <c r="AP35" s="122"/>
      <c r="AQ35" s="185"/>
      <c r="AR35" s="185"/>
      <c r="AS35" s="185"/>
      <c r="AT35" s="185"/>
      <c r="AU35" s="185"/>
      <c r="AV35" s="185"/>
      <c r="AW35" s="185"/>
      <c r="AX35" s="185"/>
      <c r="AY35" s="185"/>
      <c r="AZ35" s="185"/>
      <c r="BA35" s="185"/>
      <c r="BB35" s="185"/>
      <c r="BC35" s="148"/>
    </row>
    <row r="36" spans="1:55" ht="50.25" customHeight="1">
      <c r="A36" s="21"/>
      <c r="B36" s="22">
        <v>34</v>
      </c>
      <c r="C36" s="63" t="s">
        <v>100</v>
      </c>
      <c r="D36" s="24" t="s">
        <v>55</v>
      </c>
      <c r="E36" s="25" t="s">
        <v>379</v>
      </c>
      <c r="F36" s="26"/>
      <c r="G36" s="27" t="s">
        <v>380</v>
      </c>
      <c r="H36" s="28" t="s">
        <v>381</v>
      </c>
      <c r="I36" s="29" t="s">
        <v>382</v>
      </c>
      <c r="J36" s="22" t="s">
        <v>60</v>
      </c>
      <c r="K36" s="30">
        <v>35901</v>
      </c>
      <c r="L36" s="22">
        <f t="shared" ca="1" si="1"/>
        <v>28</v>
      </c>
      <c r="M36" s="22"/>
      <c r="N36" s="22" t="s">
        <v>61</v>
      </c>
      <c r="O36" s="31">
        <v>43879</v>
      </c>
      <c r="P36" s="25" t="s">
        <v>205</v>
      </c>
      <c r="Q36" s="32" t="s">
        <v>199</v>
      </c>
      <c r="R36" s="33" t="s">
        <v>150</v>
      </c>
      <c r="S36" s="30"/>
      <c r="T36" s="30"/>
      <c r="U36" s="122"/>
      <c r="V36" s="30">
        <v>44953</v>
      </c>
      <c r="W36" s="9" t="s">
        <v>383</v>
      </c>
      <c r="X36" s="9" t="s">
        <v>384</v>
      </c>
      <c r="Y36" s="9"/>
      <c r="Z36" s="35"/>
      <c r="AA36" s="22"/>
      <c r="AB36" s="36"/>
      <c r="AC36" s="36"/>
      <c r="AD36" s="36"/>
      <c r="AE36" s="36"/>
      <c r="AF36" s="36"/>
      <c r="AG36" s="22"/>
      <c r="AH36" s="22" t="s">
        <v>67</v>
      </c>
      <c r="AI36" s="184">
        <v>44941</v>
      </c>
      <c r="AJ36" s="122"/>
      <c r="AK36" s="21"/>
      <c r="AL36" s="121"/>
      <c r="AM36" s="122"/>
      <c r="AN36" s="122"/>
      <c r="AO36" s="122"/>
      <c r="AP36" s="122"/>
      <c r="AQ36" s="116"/>
      <c r="AR36" s="116"/>
      <c r="AS36" s="116"/>
      <c r="AT36" s="116"/>
      <c r="AU36" s="116"/>
      <c r="AV36" s="116"/>
      <c r="AW36" s="116"/>
      <c r="AX36" s="116"/>
      <c r="AY36" s="116"/>
      <c r="AZ36" s="116"/>
      <c r="BA36" s="116"/>
      <c r="BB36" s="116"/>
      <c r="BC36" s="186"/>
    </row>
    <row r="37" spans="1:55" ht="50.25" customHeight="1">
      <c r="A37" s="21"/>
      <c r="B37" s="22">
        <v>35</v>
      </c>
      <c r="C37" s="23" t="s">
        <v>54</v>
      </c>
      <c r="D37" s="24" t="s">
        <v>55</v>
      </c>
      <c r="E37" s="25" t="s">
        <v>385</v>
      </c>
      <c r="F37" s="26"/>
      <c r="G37" s="27" t="s">
        <v>386</v>
      </c>
      <c r="H37" s="28" t="s">
        <v>387</v>
      </c>
      <c r="I37" s="29" t="s">
        <v>388</v>
      </c>
      <c r="J37" s="22" t="s">
        <v>60</v>
      </c>
      <c r="K37" s="30">
        <v>36662</v>
      </c>
      <c r="L37" s="22">
        <f t="shared" ca="1" si="1"/>
        <v>25</v>
      </c>
      <c r="M37" s="22"/>
      <c r="N37" s="22" t="s">
        <v>61</v>
      </c>
      <c r="O37" s="31">
        <v>43879</v>
      </c>
      <c r="P37" s="25" t="s">
        <v>389</v>
      </c>
      <c r="Q37" s="155" t="s">
        <v>81</v>
      </c>
      <c r="R37" s="124" t="s">
        <v>213</v>
      </c>
      <c r="S37" s="25"/>
      <c r="T37" s="36">
        <v>20000</v>
      </c>
      <c r="U37" s="187"/>
      <c r="V37" s="30">
        <v>45716</v>
      </c>
      <c r="W37" s="9" t="s">
        <v>390</v>
      </c>
      <c r="X37" s="9" t="s">
        <v>391</v>
      </c>
      <c r="Y37" s="14"/>
      <c r="Z37" s="188" t="s">
        <v>392</v>
      </c>
      <c r="AA37" s="17"/>
      <c r="AB37" s="53"/>
      <c r="AC37" s="53"/>
      <c r="AD37" s="36"/>
      <c r="AE37" s="42">
        <v>45324</v>
      </c>
      <c r="AF37" s="42">
        <v>45346</v>
      </c>
      <c r="AG37" s="22"/>
      <c r="AH37" s="22" t="s">
        <v>67</v>
      </c>
      <c r="AI37" s="189">
        <v>45513</v>
      </c>
      <c r="AJ37" s="190"/>
      <c r="AK37" s="21"/>
      <c r="AL37" s="179"/>
      <c r="AM37" s="187"/>
      <c r="AN37" s="187"/>
      <c r="AO37" s="187"/>
      <c r="AP37" s="187" t="s">
        <v>393</v>
      </c>
      <c r="AQ37" s="190"/>
      <c r="AR37" s="190"/>
      <c r="AS37" s="190"/>
      <c r="AT37" s="190"/>
      <c r="AU37" s="190"/>
      <c r="AV37" s="190"/>
      <c r="AW37" s="190"/>
      <c r="AX37" s="190"/>
      <c r="AY37" s="190"/>
      <c r="AZ37" s="190"/>
      <c r="BA37" s="190"/>
      <c r="BB37" s="190"/>
      <c r="BC37" s="148"/>
    </row>
    <row r="38" spans="1:55" ht="50.25" customHeight="1">
      <c r="A38" s="22"/>
      <c r="B38" s="22">
        <v>36</v>
      </c>
      <c r="C38" s="84" t="s">
        <v>100</v>
      </c>
      <c r="D38" s="45" t="s">
        <v>55</v>
      </c>
      <c r="E38" s="25" t="s">
        <v>394</v>
      </c>
      <c r="F38" s="106" t="s">
        <v>395</v>
      </c>
      <c r="G38" s="47" t="s">
        <v>396</v>
      </c>
      <c r="H38" s="174" t="s">
        <v>397</v>
      </c>
      <c r="I38" s="33" t="s">
        <v>398</v>
      </c>
      <c r="J38" s="22" t="s">
        <v>261</v>
      </c>
      <c r="K38" s="30">
        <v>33529</v>
      </c>
      <c r="L38" s="22">
        <f t="shared" ca="1" si="1"/>
        <v>34</v>
      </c>
      <c r="M38" s="22" t="s">
        <v>79</v>
      </c>
      <c r="N38" s="22" t="s">
        <v>61</v>
      </c>
      <c r="O38" s="31">
        <v>44221</v>
      </c>
      <c r="P38" s="111" t="s">
        <v>399</v>
      </c>
      <c r="Q38" s="191" t="s">
        <v>81</v>
      </c>
      <c r="R38" s="33" t="s">
        <v>336</v>
      </c>
      <c r="S38" s="25" t="s">
        <v>400</v>
      </c>
      <c r="T38" s="64">
        <v>20000</v>
      </c>
      <c r="U38" s="140">
        <v>45912</v>
      </c>
      <c r="V38" s="30">
        <v>46377</v>
      </c>
      <c r="W38" s="9" t="s">
        <v>401</v>
      </c>
      <c r="X38" s="9" t="s">
        <v>402</v>
      </c>
      <c r="Y38" s="14"/>
      <c r="Z38" s="15" t="s">
        <v>403</v>
      </c>
      <c r="AA38" s="17"/>
      <c r="AB38" s="53"/>
      <c r="AC38" s="53"/>
      <c r="AD38" s="36"/>
      <c r="AE38" s="42">
        <v>45677</v>
      </c>
      <c r="AF38" s="102">
        <v>45721</v>
      </c>
      <c r="AG38" s="30">
        <v>45723</v>
      </c>
      <c r="AH38" s="103" t="s">
        <v>154</v>
      </c>
      <c r="AI38" s="37"/>
      <c r="AJ38" s="190" t="s">
        <v>404</v>
      </c>
      <c r="AK38" s="17"/>
      <c r="AL38" s="67" t="s">
        <v>265</v>
      </c>
      <c r="AM38" s="123"/>
      <c r="AN38" s="67" t="s">
        <v>405</v>
      </c>
      <c r="AO38" s="123"/>
      <c r="AP38" s="123"/>
      <c r="AQ38" s="185" t="s">
        <v>406</v>
      </c>
      <c r="AR38" s="185" t="s">
        <v>407</v>
      </c>
      <c r="AS38" s="185"/>
      <c r="AT38" s="185"/>
      <c r="AU38" s="185"/>
      <c r="AV38" s="185"/>
      <c r="AW38" s="185"/>
      <c r="AX38" s="35"/>
      <c r="AY38" s="35"/>
      <c r="AZ38" s="35"/>
      <c r="BA38" s="35"/>
      <c r="BB38" s="35"/>
      <c r="BC38" s="83"/>
    </row>
    <row r="39" spans="1:55" ht="50.25" customHeight="1">
      <c r="A39" s="21"/>
      <c r="B39" s="22">
        <v>37</v>
      </c>
      <c r="C39" s="63" t="s">
        <v>100</v>
      </c>
      <c r="D39" s="24" t="s">
        <v>55</v>
      </c>
      <c r="E39" s="25" t="s">
        <v>408</v>
      </c>
      <c r="F39" s="26"/>
      <c r="G39" s="27" t="s">
        <v>409</v>
      </c>
      <c r="H39" s="28" t="s">
        <v>410</v>
      </c>
      <c r="I39" s="29" t="s">
        <v>291</v>
      </c>
      <c r="J39" s="22" t="s">
        <v>60</v>
      </c>
      <c r="K39" s="30">
        <v>36747</v>
      </c>
      <c r="L39" s="22">
        <f t="shared" ca="1" si="1"/>
        <v>25</v>
      </c>
      <c r="M39" s="22"/>
      <c r="N39" s="22" t="s">
        <v>61</v>
      </c>
      <c r="O39" s="31">
        <v>44221</v>
      </c>
      <c r="P39" s="111" t="s">
        <v>399</v>
      </c>
      <c r="Q39" s="32" t="s">
        <v>199</v>
      </c>
      <c r="R39" s="33" t="s">
        <v>136</v>
      </c>
      <c r="S39" s="30"/>
      <c r="T39" s="30"/>
      <c r="U39" s="120"/>
      <c r="V39" s="30">
        <v>45281</v>
      </c>
      <c r="W39" s="9" t="s">
        <v>411</v>
      </c>
      <c r="X39" s="9" t="s">
        <v>412</v>
      </c>
      <c r="Y39" s="9"/>
      <c r="Z39" s="35"/>
      <c r="AA39" s="22"/>
      <c r="AB39" s="36"/>
      <c r="AC39" s="36"/>
      <c r="AD39" s="36"/>
      <c r="AE39" s="36"/>
      <c r="AF39" s="36"/>
      <c r="AG39" s="22"/>
      <c r="AH39" s="22" t="s">
        <v>67</v>
      </c>
      <c r="AI39" s="37">
        <v>45275</v>
      </c>
      <c r="AJ39" s="120"/>
      <c r="AK39" s="21"/>
      <c r="AL39" s="121"/>
      <c r="AM39" s="122"/>
      <c r="AN39" s="122"/>
      <c r="AO39" s="122"/>
      <c r="AP39" s="122"/>
      <c r="AQ39" s="131"/>
      <c r="AR39" s="131"/>
      <c r="AS39" s="131"/>
      <c r="AT39" s="131"/>
      <c r="AU39" s="131"/>
      <c r="AV39" s="131"/>
      <c r="AW39" s="131"/>
      <c r="AX39" s="131"/>
      <c r="AY39" s="131"/>
      <c r="AZ39" s="131"/>
      <c r="BA39" s="131"/>
      <c r="BB39" s="131"/>
      <c r="BC39" s="192"/>
    </row>
    <row r="40" spans="1:55" ht="50.25" customHeight="1">
      <c r="A40" s="21"/>
      <c r="B40" s="22">
        <v>38</v>
      </c>
      <c r="C40" s="23" t="s">
        <v>54</v>
      </c>
      <c r="D40" s="24" t="s">
        <v>55</v>
      </c>
      <c r="E40" s="25" t="s">
        <v>413</v>
      </c>
      <c r="F40" s="26"/>
      <c r="G40" s="27" t="s">
        <v>414</v>
      </c>
      <c r="H40" s="28" t="s">
        <v>415</v>
      </c>
      <c r="I40" s="29" t="s">
        <v>416</v>
      </c>
      <c r="J40" s="22" t="s">
        <v>60</v>
      </c>
      <c r="K40" s="30">
        <v>36713</v>
      </c>
      <c r="L40" s="22">
        <f t="shared" ca="1" si="1"/>
        <v>25</v>
      </c>
      <c r="M40" s="22"/>
      <c r="N40" s="22" t="s">
        <v>61</v>
      </c>
      <c r="O40" s="31">
        <v>44221</v>
      </c>
      <c r="P40" s="111" t="s">
        <v>399</v>
      </c>
      <c r="Q40" s="61" t="s">
        <v>81</v>
      </c>
      <c r="R40" s="33" t="s">
        <v>285</v>
      </c>
      <c r="S40" s="25"/>
      <c r="T40" s="36">
        <v>20000</v>
      </c>
      <c r="U40" s="193"/>
      <c r="V40" s="30">
        <v>45647</v>
      </c>
      <c r="W40" s="9" t="s">
        <v>417</v>
      </c>
      <c r="X40" s="9" t="s">
        <v>418</v>
      </c>
      <c r="Y40" s="14"/>
      <c r="Z40" s="194" t="s">
        <v>419</v>
      </c>
      <c r="AA40" s="17" t="s">
        <v>420</v>
      </c>
      <c r="AB40" s="90"/>
      <c r="AC40" s="90"/>
      <c r="AD40" s="42">
        <v>45324</v>
      </c>
      <c r="AE40" s="42">
        <v>45324</v>
      </c>
      <c r="AF40" s="42">
        <v>45371</v>
      </c>
      <c r="AG40" s="91">
        <v>45372</v>
      </c>
      <c r="AH40" s="22" t="s">
        <v>67</v>
      </c>
      <c r="AI40" s="189">
        <v>45513</v>
      </c>
      <c r="AJ40" s="193"/>
      <c r="AK40" s="21"/>
      <c r="AL40" s="179"/>
      <c r="AM40" s="187"/>
      <c r="AN40" s="187"/>
      <c r="AO40" s="187"/>
      <c r="AP40" s="187" t="s">
        <v>421</v>
      </c>
      <c r="AQ40" s="116"/>
      <c r="AR40" s="116"/>
      <c r="AS40" s="116"/>
      <c r="AT40" s="116"/>
      <c r="AU40" s="116"/>
      <c r="AV40" s="116"/>
      <c r="AW40" s="116"/>
      <c r="AX40" s="116"/>
      <c r="AY40" s="116"/>
      <c r="AZ40" s="116"/>
      <c r="BA40" s="116"/>
      <c r="BB40" s="116"/>
      <c r="BC40" s="83"/>
    </row>
    <row r="41" spans="1:55" ht="50.25" customHeight="1">
      <c r="A41" s="21"/>
      <c r="B41" s="22">
        <v>39</v>
      </c>
      <c r="C41" s="23" t="s">
        <v>54</v>
      </c>
      <c r="D41" s="24" t="s">
        <v>55</v>
      </c>
      <c r="E41" s="25" t="s">
        <v>422</v>
      </c>
      <c r="F41" s="26"/>
      <c r="G41" s="27" t="s">
        <v>423</v>
      </c>
      <c r="H41" s="28" t="s">
        <v>424</v>
      </c>
      <c r="I41" s="29" t="s">
        <v>425</v>
      </c>
      <c r="J41" s="22" t="s">
        <v>60</v>
      </c>
      <c r="K41" s="30">
        <v>36056</v>
      </c>
      <c r="L41" s="22">
        <f t="shared" ca="1" si="1"/>
        <v>27</v>
      </c>
      <c r="M41" s="22"/>
      <c r="N41" s="22" t="s">
        <v>61</v>
      </c>
      <c r="O41" s="31">
        <v>44221</v>
      </c>
      <c r="P41" s="25" t="s">
        <v>426</v>
      </c>
      <c r="Q41" s="32" t="s">
        <v>199</v>
      </c>
      <c r="R41" s="33" t="s">
        <v>285</v>
      </c>
      <c r="S41" s="30"/>
      <c r="T41" s="30"/>
      <c r="U41" s="120"/>
      <c r="V41" s="30">
        <v>45281</v>
      </c>
      <c r="W41" s="9" t="s">
        <v>427</v>
      </c>
      <c r="X41" s="9" t="s">
        <v>428</v>
      </c>
      <c r="Y41" s="9"/>
      <c r="Z41" s="35"/>
      <c r="AA41" s="22"/>
      <c r="AB41" s="36"/>
      <c r="AC41" s="36"/>
      <c r="AD41" s="36"/>
      <c r="AE41" s="36"/>
      <c r="AF41" s="36"/>
      <c r="AG41" s="22"/>
      <c r="AH41" s="22" t="s">
        <v>67</v>
      </c>
      <c r="AI41" s="37">
        <v>45275</v>
      </c>
      <c r="AJ41" s="120"/>
      <c r="AK41" s="21"/>
      <c r="AL41" s="121"/>
      <c r="AM41" s="122"/>
      <c r="AN41" s="122"/>
      <c r="AO41" s="122"/>
      <c r="AP41" s="122"/>
      <c r="AQ41" s="195"/>
      <c r="AR41" s="195"/>
      <c r="AS41" s="195"/>
      <c r="AT41" s="195"/>
      <c r="AU41" s="195"/>
      <c r="AV41" s="195"/>
      <c r="AW41" s="195"/>
      <c r="AX41" s="195"/>
      <c r="AY41" s="195"/>
      <c r="AZ41" s="195"/>
      <c r="BA41" s="195"/>
      <c r="BB41" s="195"/>
      <c r="BC41" s="105"/>
    </row>
    <row r="42" spans="1:55" ht="50.25" customHeight="1">
      <c r="A42" s="21"/>
      <c r="B42" s="22">
        <v>40</v>
      </c>
      <c r="C42" s="63" t="s">
        <v>100</v>
      </c>
      <c r="D42" s="24" t="s">
        <v>55</v>
      </c>
      <c r="E42" s="25" t="s">
        <v>429</v>
      </c>
      <c r="F42" s="26"/>
      <c r="G42" s="27" t="s">
        <v>430</v>
      </c>
      <c r="H42" s="28" t="s">
        <v>431</v>
      </c>
      <c r="I42" s="29" t="s">
        <v>432</v>
      </c>
      <c r="J42" s="22" t="s">
        <v>60</v>
      </c>
      <c r="K42" s="30">
        <v>33200</v>
      </c>
      <c r="L42" s="22">
        <f t="shared" ca="1" si="1"/>
        <v>35</v>
      </c>
      <c r="M42" s="22"/>
      <c r="N42" s="22" t="s">
        <v>61</v>
      </c>
      <c r="O42" s="31">
        <v>43162</v>
      </c>
      <c r="P42" s="25" t="s">
        <v>426</v>
      </c>
      <c r="Q42" s="32" t="s">
        <v>63</v>
      </c>
      <c r="R42" s="33" t="s">
        <v>106</v>
      </c>
      <c r="S42" s="30"/>
      <c r="T42" s="30"/>
      <c r="U42" s="120"/>
      <c r="V42" s="30">
        <v>45017</v>
      </c>
      <c r="W42" s="9" t="s">
        <v>433</v>
      </c>
      <c r="X42" s="9" t="s">
        <v>434</v>
      </c>
      <c r="Y42" s="9"/>
      <c r="Z42" s="35"/>
      <c r="AA42" s="22"/>
      <c r="AB42" s="36"/>
      <c r="AC42" s="36"/>
      <c r="AD42" s="36"/>
      <c r="AE42" s="36"/>
      <c r="AF42" s="36"/>
      <c r="AG42" s="22"/>
      <c r="AH42" s="22" t="s">
        <v>67</v>
      </c>
      <c r="AI42" s="37">
        <v>45003</v>
      </c>
      <c r="AJ42" s="120"/>
      <c r="AK42" s="21"/>
      <c r="AL42" s="121"/>
      <c r="AM42" s="122"/>
      <c r="AN42" s="122"/>
      <c r="AO42" s="122"/>
      <c r="AP42" s="122"/>
      <c r="AQ42" s="196"/>
      <c r="AR42" s="196"/>
      <c r="AS42" s="196"/>
      <c r="AT42" s="196"/>
      <c r="AU42" s="196"/>
      <c r="AV42" s="196"/>
      <c r="AW42" s="196"/>
      <c r="AX42" s="196"/>
      <c r="AY42" s="196"/>
      <c r="AZ42" s="196"/>
      <c r="BA42" s="196"/>
      <c r="BB42" s="196"/>
      <c r="BC42" s="133"/>
    </row>
    <row r="43" spans="1:55" ht="50.25" customHeight="1">
      <c r="A43" s="21"/>
      <c r="B43" s="22">
        <v>41</v>
      </c>
      <c r="C43" s="63" t="s">
        <v>100</v>
      </c>
      <c r="D43" s="24" t="s">
        <v>55</v>
      </c>
      <c r="E43" s="25" t="s">
        <v>435</v>
      </c>
      <c r="F43" s="26"/>
      <c r="G43" s="27" t="s">
        <v>436</v>
      </c>
      <c r="H43" s="28" t="s">
        <v>437</v>
      </c>
      <c r="I43" s="29" t="s">
        <v>438</v>
      </c>
      <c r="J43" s="22" t="s">
        <v>60</v>
      </c>
      <c r="K43" s="30">
        <v>36016</v>
      </c>
      <c r="L43" s="22">
        <f t="shared" ca="1" si="1"/>
        <v>27</v>
      </c>
      <c r="M43" s="22"/>
      <c r="N43" s="22" t="s">
        <v>61</v>
      </c>
      <c r="O43" s="31">
        <v>43162</v>
      </c>
      <c r="P43" s="25" t="s">
        <v>426</v>
      </c>
      <c r="Q43" s="32" t="s">
        <v>63</v>
      </c>
      <c r="R43" s="33" t="s">
        <v>106</v>
      </c>
      <c r="S43" s="30"/>
      <c r="T43" s="30"/>
      <c r="U43" s="120"/>
      <c r="V43" s="30">
        <v>45017</v>
      </c>
      <c r="W43" s="9" t="s">
        <v>439</v>
      </c>
      <c r="X43" s="9" t="s">
        <v>440</v>
      </c>
      <c r="Y43" s="9"/>
      <c r="Z43" s="35"/>
      <c r="AA43" s="22"/>
      <c r="AB43" s="36"/>
      <c r="AC43" s="36"/>
      <c r="AD43" s="36"/>
      <c r="AE43" s="36"/>
      <c r="AF43" s="36"/>
      <c r="AG43" s="22"/>
      <c r="AH43" s="22" t="s">
        <v>67</v>
      </c>
      <c r="AI43" s="37">
        <v>45003</v>
      </c>
      <c r="AJ43" s="120"/>
      <c r="AK43" s="21"/>
      <c r="AL43" s="121"/>
      <c r="AM43" s="122"/>
      <c r="AN43" s="122"/>
      <c r="AO43" s="122"/>
      <c r="AP43" s="122"/>
      <c r="AQ43" s="187"/>
      <c r="AR43" s="187"/>
      <c r="AS43" s="187"/>
      <c r="AT43" s="187"/>
      <c r="AU43" s="187"/>
      <c r="AV43" s="187"/>
      <c r="AW43" s="187"/>
      <c r="AX43" s="187"/>
      <c r="AY43" s="187"/>
      <c r="AZ43" s="187"/>
      <c r="BA43" s="187"/>
      <c r="BB43" s="187"/>
      <c r="BC43" s="133"/>
    </row>
    <row r="44" spans="1:55" ht="50.25" customHeight="1">
      <c r="A44" s="21"/>
      <c r="B44" s="22">
        <v>42</v>
      </c>
      <c r="C44" s="23" t="s">
        <v>54</v>
      </c>
      <c r="D44" s="24" t="s">
        <v>55</v>
      </c>
      <c r="E44" s="25" t="s">
        <v>441</v>
      </c>
      <c r="F44" s="26"/>
      <c r="G44" s="27" t="s">
        <v>442</v>
      </c>
      <c r="H44" s="28" t="s">
        <v>443</v>
      </c>
      <c r="I44" s="29"/>
      <c r="J44" s="9" t="s">
        <v>60</v>
      </c>
      <c r="K44" s="197">
        <v>35597</v>
      </c>
      <c r="L44" s="22">
        <f t="shared" ca="1" si="1"/>
        <v>28</v>
      </c>
      <c r="M44" s="22"/>
      <c r="N44" s="71" t="s">
        <v>444</v>
      </c>
      <c r="O44" s="198">
        <v>44523</v>
      </c>
      <c r="P44" s="25" t="s">
        <v>271</v>
      </c>
      <c r="Q44" s="199" t="s">
        <v>262</v>
      </c>
      <c r="R44" s="35" t="s">
        <v>445</v>
      </c>
      <c r="S44" s="197"/>
      <c r="T44" s="197"/>
      <c r="U44" s="77"/>
      <c r="V44" s="197">
        <v>44884</v>
      </c>
      <c r="W44" s="200" t="s">
        <v>446</v>
      </c>
      <c r="X44" s="9" t="s">
        <v>447</v>
      </c>
      <c r="Y44" s="9"/>
      <c r="Z44" s="35"/>
      <c r="AA44" s="22"/>
      <c r="AB44" s="36"/>
      <c r="AC44" s="36"/>
      <c r="AD44" s="36"/>
      <c r="AE44" s="36"/>
      <c r="AF44" s="36"/>
      <c r="AG44" s="22"/>
      <c r="AH44" s="22" t="s">
        <v>67</v>
      </c>
      <c r="AI44" s="37">
        <v>44863</v>
      </c>
      <c r="AJ44" s="77"/>
      <c r="AK44" s="21"/>
      <c r="AL44" s="78"/>
      <c r="AM44" s="79"/>
      <c r="AN44" s="79"/>
      <c r="AO44" s="79"/>
      <c r="AP44" s="79" t="s">
        <v>448</v>
      </c>
      <c r="AQ44" s="187"/>
      <c r="AR44" s="187"/>
      <c r="AS44" s="187"/>
      <c r="AT44" s="187"/>
      <c r="AU44" s="187"/>
      <c r="AV44" s="187"/>
      <c r="AW44" s="187"/>
      <c r="AX44" s="187"/>
      <c r="AY44" s="187"/>
      <c r="AZ44" s="187"/>
      <c r="BA44" s="187"/>
      <c r="BB44" s="187"/>
      <c r="BC44" s="192"/>
    </row>
    <row r="45" spans="1:55" ht="50.25" customHeight="1">
      <c r="A45" s="21"/>
      <c r="B45" s="22">
        <v>43</v>
      </c>
      <c r="C45" s="44" t="s">
        <v>54</v>
      </c>
      <c r="D45" s="24" t="s">
        <v>55</v>
      </c>
      <c r="E45" s="25"/>
      <c r="F45" s="26"/>
      <c r="G45" s="118" t="s">
        <v>449</v>
      </c>
      <c r="H45" s="28" t="s">
        <v>450</v>
      </c>
      <c r="I45" s="29"/>
      <c r="J45" s="9" t="s">
        <v>60</v>
      </c>
      <c r="K45" s="197">
        <v>32935</v>
      </c>
      <c r="L45" s="22">
        <f t="shared" ca="1" si="1"/>
        <v>36</v>
      </c>
      <c r="M45" s="22"/>
      <c r="N45" s="71" t="s">
        <v>444</v>
      </c>
      <c r="O45" s="198">
        <v>44523</v>
      </c>
      <c r="P45" s="25" t="s">
        <v>451</v>
      </c>
      <c r="Q45" s="61" t="s">
        <v>81</v>
      </c>
      <c r="R45" s="35" t="s">
        <v>445</v>
      </c>
      <c r="S45" s="197"/>
      <c r="T45" s="197"/>
      <c r="U45" s="119"/>
      <c r="V45" s="197">
        <v>44884</v>
      </c>
      <c r="W45" s="9" t="s">
        <v>452</v>
      </c>
      <c r="X45" s="9" t="s">
        <v>453</v>
      </c>
      <c r="Y45" s="9"/>
      <c r="Z45" s="35"/>
      <c r="AA45" s="22"/>
      <c r="AB45" s="36"/>
      <c r="AC45" s="36"/>
      <c r="AD45" s="36"/>
      <c r="AE45" s="36"/>
      <c r="AF45" s="36"/>
      <c r="AG45" s="22"/>
      <c r="AH45" s="22" t="s">
        <v>67</v>
      </c>
      <c r="AI45" s="37">
        <v>44701</v>
      </c>
      <c r="AJ45" s="119"/>
      <c r="AK45" s="21"/>
      <c r="AL45" s="9"/>
      <c r="AM45" s="116"/>
      <c r="AN45" s="116"/>
      <c r="AO45" s="116"/>
      <c r="AP45" s="116"/>
      <c r="AQ45" s="201"/>
      <c r="AR45" s="201"/>
      <c r="AS45" s="201"/>
      <c r="AT45" s="201"/>
      <c r="AU45" s="201"/>
      <c r="AV45" s="201"/>
      <c r="AW45" s="201"/>
      <c r="AX45" s="201"/>
      <c r="AY45" s="201"/>
      <c r="AZ45" s="201"/>
      <c r="BA45" s="201"/>
      <c r="BB45" s="201"/>
      <c r="BC45" s="133"/>
    </row>
    <row r="46" spans="1:55" ht="50.25" customHeight="1">
      <c r="A46" s="21"/>
      <c r="B46" s="22">
        <v>44</v>
      </c>
      <c r="C46" s="44" t="s">
        <v>54</v>
      </c>
      <c r="D46" s="24" t="s">
        <v>55</v>
      </c>
      <c r="E46" s="25"/>
      <c r="F46" s="26"/>
      <c r="G46" s="27" t="s">
        <v>454</v>
      </c>
      <c r="H46" s="28" t="s">
        <v>455</v>
      </c>
      <c r="I46" s="29"/>
      <c r="J46" s="9" t="s">
        <v>60</v>
      </c>
      <c r="K46" s="197">
        <v>35731</v>
      </c>
      <c r="L46" s="22">
        <f t="shared" ca="1" si="1"/>
        <v>28</v>
      </c>
      <c r="M46" s="22"/>
      <c r="N46" s="71" t="s">
        <v>444</v>
      </c>
      <c r="O46" s="198">
        <v>44546</v>
      </c>
      <c r="P46" s="25" t="s">
        <v>456</v>
      </c>
      <c r="Q46" s="61" t="s">
        <v>81</v>
      </c>
      <c r="R46" s="35" t="s">
        <v>457</v>
      </c>
      <c r="S46" s="197"/>
      <c r="T46" s="197"/>
      <c r="U46" s="119"/>
      <c r="V46" s="197">
        <v>44910</v>
      </c>
      <c r="W46" s="9" t="s">
        <v>458</v>
      </c>
      <c r="X46" s="9" t="s">
        <v>459</v>
      </c>
      <c r="Y46" s="9"/>
      <c r="Z46" s="35"/>
      <c r="AA46" s="22"/>
      <c r="AB46" s="36"/>
      <c r="AC46" s="36"/>
      <c r="AD46" s="36"/>
      <c r="AE46" s="36"/>
      <c r="AF46" s="36"/>
      <c r="AG46" s="22"/>
      <c r="AH46" s="22" t="s">
        <v>67</v>
      </c>
      <c r="AI46" s="37">
        <v>44701</v>
      </c>
      <c r="AJ46" s="119"/>
      <c r="AK46" s="21"/>
      <c r="AL46" s="9"/>
      <c r="AM46" s="116"/>
      <c r="AN46" s="116"/>
      <c r="AO46" s="116"/>
      <c r="AP46" s="116"/>
      <c r="AQ46" s="201"/>
      <c r="AR46" s="201"/>
      <c r="AS46" s="201"/>
      <c r="AT46" s="201"/>
      <c r="AU46" s="201"/>
      <c r="AV46" s="201"/>
      <c r="AW46" s="201"/>
      <c r="AX46" s="201"/>
      <c r="AY46" s="201"/>
      <c r="AZ46" s="201"/>
      <c r="BA46" s="201"/>
      <c r="BB46" s="201"/>
      <c r="BC46" s="202"/>
    </row>
    <row r="47" spans="1:55" ht="50.25" customHeight="1">
      <c r="A47" s="21"/>
      <c r="B47" s="22">
        <v>45</v>
      </c>
      <c r="C47" s="44" t="s">
        <v>54</v>
      </c>
      <c r="D47" s="24" t="s">
        <v>55</v>
      </c>
      <c r="E47" s="25"/>
      <c r="F47" s="26"/>
      <c r="G47" s="27" t="s">
        <v>460</v>
      </c>
      <c r="H47" s="28" t="s">
        <v>461</v>
      </c>
      <c r="I47" s="29"/>
      <c r="J47" s="9" t="s">
        <v>60</v>
      </c>
      <c r="K47" s="197">
        <v>36437</v>
      </c>
      <c r="L47" s="22">
        <f t="shared" ca="1" si="1"/>
        <v>26</v>
      </c>
      <c r="M47" s="22"/>
      <c r="N47" s="71" t="s">
        <v>444</v>
      </c>
      <c r="O47" s="198">
        <v>44599</v>
      </c>
      <c r="P47" s="25" t="s">
        <v>80</v>
      </c>
      <c r="Q47" s="61" t="s">
        <v>81</v>
      </c>
      <c r="R47" s="35" t="s">
        <v>457</v>
      </c>
      <c r="S47" s="197"/>
      <c r="T47" s="197"/>
      <c r="U47" s="119"/>
      <c r="V47" s="197">
        <v>44595</v>
      </c>
      <c r="W47" s="9" t="s">
        <v>462</v>
      </c>
      <c r="X47" s="9" t="s">
        <v>463</v>
      </c>
      <c r="Y47" s="9"/>
      <c r="Z47" s="35"/>
      <c r="AA47" s="22"/>
      <c r="AB47" s="36"/>
      <c r="AC47" s="36"/>
      <c r="AD47" s="36"/>
      <c r="AE47" s="36"/>
      <c r="AF47" s="36"/>
      <c r="AG47" s="22"/>
      <c r="AH47" s="22" t="s">
        <v>67</v>
      </c>
      <c r="AI47" s="37">
        <v>44701</v>
      </c>
      <c r="AJ47" s="119"/>
      <c r="AK47" s="21"/>
      <c r="AL47" s="9"/>
      <c r="AM47" s="116"/>
      <c r="AN47" s="116"/>
      <c r="AO47" s="116"/>
      <c r="AP47" s="116"/>
      <c r="AQ47" s="65"/>
      <c r="AR47" s="65"/>
      <c r="AS47" s="65"/>
      <c r="AT47" s="65"/>
      <c r="AU47" s="65"/>
      <c r="AV47" s="65"/>
      <c r="AW47" s="65"/>
      <c r="AX47" s="65"/>
      <c r="AY47" s="65"/>
      <c r="AZ47" s="65"/>
      <c r="BA47" s="65"/>
      <c r="BB47" s="65"/>
      <c r="BC47" s="147"/>
    </row>
    <row r="48" spans="1:55" ht="50.25" customHeight="1">
      <c r="A48" s="21"/>
      <c r="B48" s="22">
        <v>46</v>
      </c>
      <c r="C48" s="44" t="s">
        <v>54</v>
      </c>
      <c r="D48" s="24" t="s">
        <v>55</v>
      </c>
      <c r="E48" s="25"/>
      <c r="F48" s="26"/>
      <c r="G48" s="27" t="s">
        <v>464</v>
      </c>
      <c r="H48" s="28" t="s">
        <v>465</v>
      </c>
      <c r="I48" s="29"/>
      <c r="J48" s="9" t="s">
        <v>261</v>
      </c>
      <c r="K48" s="197">
        <v>35463</v>
      </c>
      <c r="L48" s="22">
        <f t="shared" ca="1" si="1"/>
        <v>29</v>
      </c>
      <c r="M48" s="22"/>
      <c r="N48" s="71" t="s">
        <v>444</v>
      </c>
      <c r="O48" s="198">
        <v>44531</v>
      </c>
      <c r="P48" s="25" t="s">
        <v>271</v>
      </c>
      <c r="Q48" s="199" t="s">
        <v>262</v>
      </c>
      <c r="R48" s="35" t="s">
        <v>457</v>
      </c>
      <c r="S48" s="197"/>
      <c r="T48" s="197"/>
      <c r="U48" s="119"/>
      <c r="V48" s="197">
        <v>44707</v>
      </c>
      <c r="W48" s="9" t="s">
        <v>466</v>
      </c>
      <c r="X48" s="9" t="s">
        <v>467</v>
      </c>
      <c r="Y48" s="9"/>
      <c r="Z48" s="35"/>
      <c r="AA48" s="22"/>
      <c r="AB48" s="36"/>
      <c r="AC48" s="36"/>
      <c r="AD48" s="36"/>
      <c r="AE48" s="36"/>
      <c r="AF48" s="36"/>
      <c r="AG48" s="22"/>
      <c r="AH48" s="22" t="s">
        <v>67</v>
      </c>
      <c r="AI48" s="37">
        <v>44701</v>
      </c>
      <c r="AJ48" s="119"/>
      <c r="AK48" s="21"/>
      <c r="AL48" s="9"/>
      <c r="AM48" s="116"/>
      <c r="AN48" s="116"/>
      <c r="AO48" s="116"/>
      <c r="AP48" s="116"/>
      <c r="AQ48" s="203"/>
      <c r="AR48" s="203"/>
      <c r="AS48" s="203"/>
      <c r="AT48" s="203"/>
      <c r="AU48" s="203"/>
      <c r="AV48" s="203"/>
      <c r="AW48" s="203"/>
      <c r="AX48" s="203"/>
      <c r="AY48" s="203"/>
      <c r="AZ48" s="203"/>
      <c r="BA48" s="203"/>
      <c r="BB48" s="203"/>
      <c r="BC48" s="186"/>
    </row>
    <row r="49" spans="1:55" ht="50.25" customHeight="1">
      <c r="A49" s="21"/>
      <c r="B49" s="22">
        <v>47</v>
      </c>
      <c r="C49" s="23" t="s">
        <v>54</v>
      </c>
      <c r="D49" s="24" t="s">
        <v>55</v>
      </c>
      <c r="E49" s="25" t="s">
        <v>468</v>
      </c>
      <c r="F49" s="26"/>
      <c r="G49" s="27" t="s">
        <v>469</v>
      </c>
      <c r="H49" s="28" t="s">
        <v>470</v>
      </c>
      <c r="I49" s="29"/>
      <c r="J49" s="9" t="s">
        <v>261</v>
      </c>
      <c r="K49" s="197">
        <v>36369</v>
      </c>
      <c r="L49" s="22">
        <f t="shared" ca="1" si="1"/>
        <v>26</v>
      </c>
      <c r="M49" s="22"/>
      <c r="N49" s="71" t="s">
        <v>471</v>
      </c>
      <c r="O49" s="198">
        <v>44539</v>
      </c>
      <c r="P49" s="25" t="s">
        <v>456</v>
      </c>
      <c r="Q49" s="61" t="s">
        <v>81</v>
      </c>
      <c r="R49" s="35" t="s">
        <v>472</v>
      </c>
      <c r="S49" s="197"/>
      <c r="T49" s="197"/>
      <c r="U49" s="193"/>
      <c r="V49" s="197">
        <v>45679</v>
      </c>
      <c r="W49" s="200" t="s">
        <v>473</v>
      </c>
      <c r="X49" s="9" t="s">
        <v>474</v>
      </c>
      <c r="Y49" s="9"/>
      <c r="Z49" s="35"/>
      <c r="AA49" s="22"/>
      <c r="AB49" s="36"/>
      <c r="AC49" s="36"/>
      <c r="AD49" s="36"/>
      <c r="AE49" s="36"/>
      <c r="AF49" s="36"/>
      <c r="AG49" s="22"/>
      <c r="AH49" s="22" t="s">
        <v>67</v>
      </c>
      <c r="AI49" s="204">
        <v>45330</v>
      </c>
      <c r="AJ49" s="193"/>
      <c r="AK49" s="21"/>
      <c r="AL49" s="179"/>
      <c r="AM49" s="187"/>
      <c r="AN49" s="187"/>
      <c r="AO49" s="187"/>
      <c r="AP49" s="187" t="s">
        <v>475</v>
      </c>
      <c r="AQ49" s="65"/>
      <c r="AR49" s="65"/>
      <c r="AS49" s="65"/>
      <c r="AT49" s="65"/>
      <c r="AU49" s="65"/>
      <c r="AV49" s="65"/>
      <c r="AW49" s="65"/>
      <c r="AX49" s="65"/>
      <c r="AY49" s="65"/>
      <c r="AZ49" s="65"/>
      <c r="BA49" s="65"/>
      <c r="BB49" s="65"/>
      <c r="BC49" s="133"/>
    </row>
    <row r="50" spans="1:55" ht="50.25" customHeight="1">
      <c r="A50" s="21"/>
      <c r="B50" s="22">
        <v>48</v>
      </c>
      <c r="C50" s="23" t="s">
        <v>54</v>
      </c>
      <c r="D50" s="24" t="s">
        <v>55</v>
      </c>
      <c r="E50" s="25" t="s">
        <v>476</v>
      </c>
      <c r="F50" s="26"/>
      <c r="G50" s="27" t="s">
        <v>477</v>
      </c>
      <c r="H50" s="28" t="s">
        <v>478</v>
      </c>
      <c r="I50" s="29"/>
      <c r="J50" s="9" t="s">
        <v>261</v>
      </c>
      <c r="K50" s="197">
        <v>34108</v>
      </c>
      <c r="L50" s="22">
        <f t="shared" ca="1" si="1"/>
        <v>32</v>
      </c>
      <c r="M50" s="22"/>
      <c r="N50" s="71" t="s">
        <v>444</v>
      </c>
      <c r="O50" s="198">
        <v>44566</v>
      </c>
      <c r="P50" s="25" t="s">
        <v>479</v>
      </c>
      <c r="Q50" s="61" t="s">
        <v>81</v>
      </c>
      <c r="R50" s="35" t="s">
        <v>472</v>
      </c>
      <c r="S50" s="197"/>
      <c r="T50" s="197"/>
      <c r="U50" s="119"/>
      <c r="V50" s="197">
        <v>44930</v>
      </c>
      <c r="W50" s="9" t="s">
        <v>480</v>
      </c>
      <c r="X50" s="9" t="s">
        <v>481</v>
      </c>
      <c r="Y50" s="9"/>
      <c r="Z50" s="35"/>
      <c r="AA50" s="22"/>
      <c r="AB50" s="36"/>
      <c r="AC50" s="36"/>
      <c r="AD50" s="36"/>
      <c r="AE50" s="36"/>
      <c r="AF50" s="36"/>
      <c r="AG50" s="22"/>
      <c r="AH50" s="22" t="s">
        <v>67</v>
      </c>
      <c r="AI50" s="37">
        <v>44803</v>
      </c>
      <c r="AJ50" s="119"/>
      <c r="AK50" s="21"/>
      <c r="AL50" s="9"/>
      <c r="AM50" s="116"/>
      <c r="AN50" s="116"/>
      <c r="AO50" s="116"/>
      <c r="AP50" s="116"/>
      <c r="AQ50" s="65"/>
      <c r="AR50" s="65"/>
      <c r="AS50" s="65"/>
      <c r="AT50" s="65"/>
      <c r="AU50" s="65"/>
      <c r="AV50" s="65"/>
      <c r="AW50" s="65"/>
      <c r="AX50" s="65"/>
      <c r="AY50" s="65"/>
      <c r="AZ50" s="65"/>
      <c r="BA50" s="65"/>
      <c r="BB50" s="65"/>
      <c r="BC50" s="205"/>
    </row>
    <row r="51" spans="1:55" ht="50.25" customHeight="1">
      <c r="A51" s="21"/>
      <c r="B51" s="22">
        <v>49</v>
      </c>
      <c r="C51" s="44" t="s">
        <v>54</v>
      </c>
      <c r="D51" s="24" t="s">
        <v>55</v>
      </c>
      <c r="E51" s="25"/>
      <c r="F51" s="26"/>
      <c r="G51" s="27" t="s">
        <v>482</v>
      </c>
      <c r="H51" s="28" t="s">
        <v>483</v>
      </c>
      <c r="I51" s="29"/>
      <c r="J51" s="9" t="s">
        <v>261</v>
      </c>
      <c r="K51" s="197">
        <v>31776</v>
      </c>
      <c r="L51" s="22">
        <f t="shared" ca="1" si="1"/>
        <v>39</v>
      </c>
      <c r="M51" s="22"/>
      <c r="N51" s="71" t="s">
        <v>444</v>
      </c>
      <c r="O51" s="198">
        <v>44643</v>
      </c>
      <c r="P51" s="25" t="s">
        <v>479</v>
      </c>
      <c r="Q51" s="199" t="s">
        <v>262</v>
      </c>
      <c r="R51" s="35" t="s">
        <v>472</v>
      </c>
      <c r="S51" s="197"/>
      <c r="T51" s="197"/>
      <c r="U51" s="119"/>
      <c r="V51" s="197">
        <v>44826</v>
      </c>
      <c r="W51" s="200" t="s">
        <v>484</v>
      </c>
      <c r="X51" s="200" t="s">
        <v>485</v>
      </c>
      <c r="Y51" s="200"/>
      <c r="Z51" s="57"/>
      <c r="AA51" s="22"/>
      <c r="AB51" s="36"/>
      <c r="AC51" s="36"/>
      <c r="AD51" s="36"/>
      <c r="AE51" s="36"/>
      <c r="AF51" s="36"/>
      <c r="AG51" s="22"/>
      <c r="AH51" s="22" t="s">
        <v>67</v>
      </c>
      <c r="AI51" s="37">
        <v>44680</v>
      </c>
      <c r="AJ51" s="119"/>
      <c r="AK51" s="21"/>
      <c r="AL51" s="9"/>
      <c r="AM51" s="116"/>
      <c r="AN51" s="116"/>
      <c r="AO51" s="116"/>
      <c r="AP51" s="116"/>
      <c r="AQ51" s="65"/>
      <c r="AR51" s="65"/>
      <c r="AS51" s="65"/>
      <c r="AT51" s="65"/>
      <c r="AU51" s="65"/>
      <c r="AV51" s="65"/>
      <c r="AW51" s="65"/>
      <c r="AX51" s="65"/>
      <c r="AY51" s="65"/>
      <c r="AZ51" s="65"/>
      <c r="BA51" s="65"/>
      <c r="BB51" s="65"/>
      <c r="BC51" s="133"/>
    </row>
    <row r="52" spans="1:55" ht="50.25" customHeight="1">
      <c r="A52" s="22"/>
      <c r="B52" s="22">
        <v>50</v>
      </c>
      <c r="C52" s="44" t="s">
        <v>54</v>
      </c>
      <c r="D52" s="45" t="s">
        <v>55</v>
      </c>
      <c r="E52" s="206" t="s">
        <v>486</v>
      </c>
      <c r="F52" s="106" t="s">
        <v>487</v>
      </c>
      <c r="G52" s="47" t="s">
        <v>488</v>
      </c>
      <c r="H52" s="28" t="s">
        <v>489</v>
      </c>
      <c r="I52" s="33" t="s">
        <v>211</v>
      </c>
      <c r="J52" s="9" t="s">
        <v>60</v>
      </c>
      <c r="K52" s="197">
        <v>35807</v>
      </c>
      <c r="L52" s="22">
        <f t="shared" ca="1" si="1"/>
        <v>28</v>
      </c>
      <c r="M52" s="22" t="s">
        <v>149</v>
      </c>
      <c r="N52" s="207" t="s">
        <v>471</v>
      </c>
      <c r="O52" s="198">
        <v>44566</v>
      </c>
      <c r="P52" s="25" t="s">
        <v>479</v>
      </c>
      <c r="Q52" s="208" t="s">
        <v>490</v>
      </c>
      <c r="R52" s="35" t="s">
        <v>491</v>
      </c>
      <c r="S52" s="158" t="s">
        <v>82</v>
      </c>
      <c r="T52" s="209">
        <v>20000</v>
      </c>
      <c r="U52" s="204">
        <v>45962</v>
      </c>
      <c r="V52" s="210">
        <v>47102</v>
      </c>
      <c r="W52" s="9" t="s">
        <v>492</v>
      </c>
      <c r="X52" s="9" t="s">
        <v>493</v>
      </c>
      <c r="Y52" s="14"/>
      <c r="Z52" s="15"/>
      <c r="AA52" s="207"/>
      <c r="AB52" s="211"/>
      <c r="AC52" s="53"/>
      <c r="AD52" s="42">
        <v>45756</v>
      </c>
      <c r="AE52" s="42">
        <v>45756</v>
      </c>
      <c r="AF52" s="102">
        <v>45794</v>
      </c>
      <c r="AG52" s="212">
        <v>45796</v>
      </c>
      <c r="AH52" s="103" t="s">
        <v>154</v>
      </c>
      <c r="AI52" s="213"/>
      <c r="AJ52" s="168"/>
      <c r="AK52" s="17"/>
      <c r="AL52" s="67" t="s">
        <v>265</v>
      </c>
      <c r="AM52" s="123"/>
      <c r="AN52" s="123"/>
      <c r="AO52" s="58" t="s">
        <v>91</v>
      </c>
      <c r="AP52" s="43" t="s">
        <v>494</v>
      </c>
      <c r="AQ52" s="187" t="s">
        <v>495</v>
      </c>
      <c r="AR52" s="187" t="s">
        <v>496</v>
      </c>
      <c r="AS52" s="187"/>
      <c r="AT52" s="187"/>
      <c r="AU52" s="187"/>
      <c r="AV52" s="187"/>
      <c r="AW52" s="187"/>
      <c r="AX52" s="35"/>
      <c r="AY52" s="35"/>
      <c r="AZ52" s="35"/>
      <c r="BA52" s="35" t="s">
        <v>497</v>
      </c>
      <c r="BB52" s="35"/>
      <c r="BC52" s="214"/>
    </row>
    <row r="53" spans="1:55" ht="50.25" customHeight="1">
      <c r="A53" s="22"/>
      <c r="B53" s="22">
        <v>51</v>
      </c>
      <c r="C53" s="44" t="s">
        <v>54</v>
      </c>
      <c r="D53" s="45" t="s">
        <v>55</v>
      </c>
      <c r="E53" s="111" t="s">
        <v>498</v>
      </c>
      <c r="F53" s="106" t="s">
        <v>499</v>
      </c>
      <c r="G53" s="47" t="s">
        <v>500</v>
      </c>
      <c r="H53" s="28" t="s">
        <v>501</v>
      </c>
      <c r="I53" s="33" t="s">
        <v>502</v>
      </c>
      <c r="J53" s="9" t="s">
        <v>261</v>
      </c>
      <c r="K53" s="197">
        <v>35127</v>
      </c>
      <c r="L53" s="22">
        <f t="shared" ca="1" si="1"/>
        <v>30</v>
      </c>
      <c r="M53" s="22" t="s">
        <v>149</v>
      </c>
      <c r="N53" s="207" t="s">
        <v>471</v>
      </c>
      <c r="O53" s="198">
        <v>44566</v>
      </c>
      <c r="P53" s="25" t="s">
        <v>479</v>
      </c>
      <c r="Q53" s="208" t="s">
        <v>490</v>
      </c>
      <c r="R53" s="35" t="s">
        <v>491</v>
      </c>
      <c r="S53" s="158" t="s">
        <v>82</v>
      </c>
      <c r="T53" s="209">
        <v>20000</v>
      </c>
      <c r="U53" s="204">
        <v>45962</v>
      </c>
      <c r="V53" s="210">
        <v>47102</v>
      </c>
      <c r="W53" s="215" t="s">
        <v>503</v>
      </c>
      <c r="X53" s="9" t="s">
        <v>504</v>
      </c>
      <c r="Y53" s="14"/>
      <c r="Z53" s="15" t="s">
        <v>505</v>
      </c>
      <c r="AA53" s="17"/>
      <c r="AB53" s="211"/>
      <c r="AC53" s="53"/>
      <c r="AD53" s="42">
        <v>45756</v>
      </c>
      <c r="AE53" s="42">
        <v>45756</v>
      </c>
      <c r="AF53" s="102">
        <v>45794</v>
      </c>
      <c r="AG53" s="212">
        <v>45796</v>
      </c>
      <c r="AH53" s="103" t="s">
        <v>154</v>
      </c>
      <c r="AI53" s="213"/>
      <c r="AJ53" s="216"/>
      <c r="AK53" s="17"/>
      <c r="AL53" s="67" t="s">
        <v>265</v>
      </c>
      <c r="AM53" s="82"/>
      <c r="AN53" s="82"/>
      <c r="AO53" s="58" t="s">
        <v>91</v>
      </c>
      <c r="AP53" s="180" t="s">
        <v>506</v>
      </c>
      <c r="AQ53" s="116" t="s">
        <v>507</v>
      </c>
      <c r="AR53" s="116" t="s">
        <v>508</v>
      </c>
      <c r="AS53" s="116"/>
      <c r="AT53" s="116"/>
      <c r="AU53" s="116"/>
      <c r="AV53" s="116"/>
      <c r="AW53" s="116"/>
      <c r="AX53" s="35"/>
      <c r="AY53" s="35"/>
      <c r="AZ53" s="35"/>
      <c r="BA53" s="35"/>
      <c r="BB53" s="35"/>
      <c r="BC53" s="217"/>
    </row>
    <row r="54" spans="1:55" ht="50.25" customHeight="1">
      <c r="A54" s="21"/>
      <c r="B54" s="22">
        <v>52</v>
      </c>
      <c r="C54" s="23" t="s">
        <v>54</v>
      </c>
      <c r="D54" s="24" t="s">
        <v>55</v>
      </c>
      <c r="E54" s="25" t="s">
        <v>509</v>
      </c>
      <c r="F54" s="26"/>
      <c r="G54" s="27" t="s">
        <v>510</v>
      </c>
      <c r="H54" s="28" t="s">
        <v>511</v>
      </c>
      <c r="I54" s="29" t="s">
        <v>512</v>
      </c>
      <c r="J54" s="9" t="s">
        <v>60</v>
      </c>
      <c r="K54" s="197">
        <v>34797</v>
      </c>
      <c r="L54" s="22">
        <f t="shared" ca="1" si="1"/>
        <v>31</v>
      </c>
      <c r="M54" s="22"/>
      <c r="N54" s="71" t="s">
        <v>471</v>
      </c>
      <c r="O54" s="198">
        <v>44692</v>
      </c>
      <c r="P54" s="25" t="s">
        <v>513</v>
      </c>
      <c r="Q54" s="61" t="s">
        <v>81</v>
      </c>
      <c r="R54" s="35" t="s">
        <v>445</v>
      </c>
      <c r="S54" s="158" t="s">
        <v>82</v>
      </c>
      <c r="T54" s="209">
        <v>15000</v>
      </c>
      <c r="U54" s="218"/>
      <c r="V54" s="219">
        <v>45856</v>
      </c>
      <c r="W54" s="145" t="s">
        <v>514</v>
      </c>
      <c r="X54" s="9"/>
      <c r="Y54" s="220"/>
      <c r="Z54" s="221" t="s">
        <v>515</v>
      </c>
      <c r="AA54" s="222" t="s">
        <v>516</v>
      </c>
      <c r="AB54" s="53"/>
      <c r="AC54" s="53"/>
      <c r="AD54" s="36"/>
      <c r="AE54" s="36"/>
      <c r="AF54" s="36"/>
      <c r="AG54" s="22"/>
      <c r="AH54" s="22" t="s">
        <v>67</v>
      </c>
      <c r="AI54" s="223">
        <v>45524</v>
      </c>
      <c r="AJ54" s="108"/>
      <c r="AK54" s="21"/>
      <c r="AL54" s="224"/>
      <c r="AM54" s="196"/>
      <c r="AN54" s="196"/>
      <c r="AO54" s="196"/>
      <c r="AP54" s="196" t="s">
        <v>517</v>
      </c>
      <c r="AQ54" s="116"/>
      <c r="AR54" s="116"/>
      <c r="AS54" s="116"/>
      <c r="AT54" s="116"/>
      <c r="AU54" s="116"/>
      <c r="AV54" s="116"/>
      <c r="AW54" s="116"/>
      <c r="AX54" s="116"/>
      <c r="AY54" s="116"/>
      <c r="AZ54" s="116"/>
      <c r="BA54" s="116"/>
      <c r="BB54" s="116"/>
      <c r="BC54" s="214"/>
    </row>
    <row r="55" spans="1:55" ht="50.25" customHeight="1">
      <c r="A55" s="21"/>
      <c r="B55" s="22">
        <v>53</v>
      </c>
      <c r="C55" s="23" t="s">
        <v>54</v>
      </c>
      <c r="D55" s="24" t="s">
        <v>55</v>
      </c>
      <c r="E55" s="25" t="s">
        <v>518</v>
      </c>
      <c r="F55" s="26"/>
      <c r="G55" s="27" t="s">
        <v>519</v>
      </c>
      <c r="H55" s="28" t="s">
        <v>520</v>
      </c>
      <c r="I55" s="29" t="s">
        <v>521</v>
      </c>
      <c r="J55" s="9" t="s">
        <v>261</v>
      </c>
      <c r="K55" s="197">
        <v>36038</v>
      </c>
      <c r="L55" s="22">
        <f t="shared" ca="1" si="1"/>
        <v>27</v>
      </c>
      <c r="M55" s="22"/>
      <c r="N55" s="71" t="s">
        <v>471</v>
      </c>
      <c r="O55" s="198">
        <v>44782</v>
      </c>
      <c r="P55" s="25" t="s">
        <v>522</v>
      </c>
      <c r="Q55" s="61" t="s">
        <v>81</v>
      </c>
      <c r="R55" s="35" t="s">
        <v>472</v>
      </c>
      <c r="S55" s="158" t="s">
        <v>82</v>
      </c>
      <c r="T55" s="209">
        <v>15000</v>
      </c>
      <c r="U55" s="225"/>
      <c r="V55" s="197">
        <v>45522</v>
      </c>
      <c r="W55" s="9" t="s">
        <v>523</v>
      </c>
      <c r="X55" s="9" t="s">
        <v>524</v>
      </c>
      <c r="Y55" s="226"/>
      <c r="Z55" s="227" t="s">
        <v>525</v>
      </c>
      <c r="AA55" s="222" t="s">
        <v>526</v>
      </c>
      <c r="AB55" s="107"/>
      <c r="AC55" s="107"/>
      <c r="AD55" s="228"/>
      <c r="AE55" s="228"/>
      <c r="AF55" s="228"/>
      <c r="AG55" s="22"/>
      <c r="AH55" s="22" t="s">
        <v>67</v>
      </c>
      <c r="AI55" s="37">
        <v>45409</v>
      </c>
      <c r="AJ55" s="229"/>
      <c r="AK55" s="21"/>
      <c r="AL55" s="230"/>
      <c r="AM55" s="203"/>
      <c r="AN55" s="203"/>
      <c r="AO55" s="203"/>
      <c r="AP55" s="203" t="s">
        <v>527</v>
      </c>
      <c r="AQ55" s="116"/>
      <c r="AR55" s="116"/>
      <c r="AS55" s="116"/>
      <c r="AT55" s="116"/>
      <c r="AU55" s="116"/>
      <c r="AV55" s="116"/>
      <c r="AW55" s="116"/>
      <c r="AX55" s="116"/>
      <c r="AY55" s="116"/>
      <c r="AZ55" s="116"/>
      <c r="BA55" s="116"/>
      <c r="BB55" s="116"/>
      <c r="BC55" s="133"/>
    </row>
    <row r="56" spans="1:55" ht="50.25" customHeight="1">
      <c r="A56" s="21"/>
      <c r="B56" s="22">
        <v>54</v>
      </c>
      <c r="C56" s="23" t="s">
        <v>54</v>
      </c>
      <c r="D56" s="24" t="s">
        <v>55</v>
      </c>
      <c r="E56" s="25" t="s">
        <v>528</v>
      </c>
      <c r="F56" s="231"/>
      <c r="G56" s="27" t="s">
        <v>529</v>
      </c>
      <c r="H56" s="28" t="s">
        <v>530</v>
      </c>
      <c r="I56" s="29"/>
      <c r="J56" s="9" t="s">
        <v>261</v>
      </c>
      <c r="K56" s="197">
        <v>32835</v>
      </c>
      <c r="L56" s="22">
        <f t="shared" ca="1" si="1"/>
        <v>36</v>
      </c>
      <c r="M56" s="22"/>
      <c r="N56" s="71" t="s">
        <v>444</v>
      </c>
      <c r="O56" s="198">
        <v>44855</v>
      </c>
      <c r="P56" s="25" t="s">
        <v>531</v>
      </c>
      <c r="Q56" s="199" t="s">
        <v>262</v>
      </c>
      <c r="R56" s="35" t="s">
        <v>472</v>
      </c>
      <c r="S56" s="197"/>
      <c r="T56" s="197"/>
      <c r="U56" s="232"/>
      <c r="V56" s="197">
        <v>45217</v>
      </c>
      <c r="W56" s="9" t="s">
        <v>532</v>
      </c>
      <c r="X56" s="9"/>
      <c r="Y56" s="79"/>
      <c r="Z56" s="221" t="s">
        <v>533</v>
      </c>
      <c r="AA56" s="22"/>
      <c r="AB56" s="36"/>
      <c r="AC56" s="36"/>
      <c r="AD56" s="36"/>
      <c r="AE56" s="36"/>
      <c r="AF56" s="36"/>
      <c r="AG56" s="22"/>
      <c r="AH56" s="22" t="s">
        <v>67</v>
      </c>
      <c r="AI56" s="37">
        <v>45066</v>
      </c>
      <c r="AJ56" s="232"/>
      <c r="AK56" s="21"/>
      <c r="AL56" s="233"/>
      <c r="AM56" s="234"/>
      <c r="AN56" s="234"/>
      <c r="AO56" s="234"/>
      <c r="AP56" s="234"/>
      <c r="AQ56" s="122"/>
      <c r="AR56" s="122"/>
      <c r="AS56" s="122"/>
      <c r="AT56" s="122"/>
      <c r="AU56" s="122"/>
      <c r="AV56" s="122"/>
      <c r="AW56" s="122"/>
      <c r="AX56" s="122"/>
      <c r="AY56" s="122"/>
      <c r="AZ56" s="122"/>
      <c r="BA56" s="122"/>
      <c r="BB56" s="122"/>
      <c r="BC56" s="235"/>
    </row>
    <row r="57" spans="1:55" ht="50.25" customHeight="1">
      <c r="A57" s="22"/>
      <c r="B57" s="22">
        <v>55</v>
      </c>
      <c r="C57" s="44" t="s">
        <v>54</v>
      </c>
      <c r="D57" s="45" t="s">
        <v>55</v>
      </c>
      <c r="E57" s="25" t="s">
        <v>534</v>
      </c>
      <c r="F57" s="106"/>
      <c r="G57" s="33" t="s">
        <v>535</v>
      </c>
      <c r="H57" s="28" t="s">
        <v>536</v>
      </c>
      <c r="I57" s="33"/>
      <c r="J57" s="9" t="s">
        <v>261</v>
      </c>
      <c r="K57" s="197">
        <v>36224</v>
      </c>
      <c r="L57" s="22">
        <f t="shared" ca="1" si="1"/>
        <v>27</v>
      </c>
      <c r="M57" s="22" t="s">
        <v>149</v>
      </c>
      <c r="N57" s="22" t="s">
        <v>471</v>
      </c>
      <c r="O57" s="198">
        <v>44890</v>
      </c>
      <c r="P57" s="25" t="s">
        <v>97</v>
      </c>
      <c r="Q57" s="191" t="s">
        <v>81</v>
      </c>
      <c r="R57" s="15" t="s">
        <v>472</v>
      </c>
      <c r="S57" s="158" t="s">
        <v>82</v>
      </c>
      <c r="T57" s="209">
        <v>15000</v>
      </c>
      <c r="U57" s="162">
        <v>45616</v>
      </c>
      <c r="V57" s="197">
        <v>45654</v>
      </c>
      <c r="W57" s="9" t="s">
        <v>537</v>
      </c>
      <c r="X57" s="9" t="s">
        <v>538</v>
      </c>
      <c r="Y57" s="236"/>
      <c r="Z57" s="15" t="s">
        <v>539</v>
      </c>
      <c r="AA57" s="237" t="s">
        <v>540</v>
      </c>
      <c r="AB57" s="53"/>
      <c r="AC57" s="53"/>
      <c r="AD57" s="36"/>
      <c r="AE57" s="36" t="s">
        <v>541</v>
      </c>
      <c r="AF57" s="36" t="s">
        <v>542</v>
      </c>
      <c r="AG57" s="22"/>
      <c r="AH57" s="22" t="s">
        <v>67</v>
      </c>
      <c r="AI57" s="92">
        <v>45646</v>
      </c>
      <c r="AJ57" s="216"/>
      <c r="AK57" s="22"/>
      <c r="AL57" s="167"/>
      <c r="AM57" s="180"/>
      <c r="AN57" s="180"/>
      <c r="AO57" s="180"/>
      <c r="AP57" s="180" t="s">
        <v>543</v>
      </c>
      <c r="AQ57" s="122"/>
      <c r="AR57" s="122"/>
      <c r="AS57" s="122"/>
      <c r="AT57" s="122"/>
      <c r="AU57" s="122"/>
      <c r="AV57" s="122"/>
      <c r="AW57" s="122"/>
      <c r="AX57" s="122"/>
      <c r="AY57" s="122"/>
      <c r="AZ57" s="122"/>
      <c r="BA57" s="122"/>
      <c r="BB57" s="122"/>
      <c r="BC57" s="238"/>
    </row>
    <row r="58" spans="1:55" ht="50.25" customHeight="1">
      <c r="A58" s="21"/>
      <c r="B58" s="22">
        <v>56</v>
      </c>
      <c r="C58" s="23" t="s">
        <v>54</v>
      </c>
      <c r="D58" s="24" t="s">
        <v>55</v>
      </c>
      <c r="E58" s="25" t="s">
        <v>544</v>
      </c>
      <c r="F58" s="26"/>
      <c r="G58" s="137" t="s">
        <v>545</v>
      </c>
      <c r="H58" s="137" t="s">
        <v>546</v>
      </c>
      <c r="I58" s="29"/>
      <c r="J58" s="9" t="s">
        <v>60</v>
      </c>
      <c r="K58" s="197">
        <v>30635</v>
      </c>
      <c r="L58" s="22">
        <f t="shared" ca="1" si="1"/>
        <v>42</v>
      </c>
      <c r="M58" s="22"/>
      <c r="N58" s="71" t="s">
        <v>547</v>
      </c>
      <c r="O58" s="198">
        <v>44939</v>
      </c>
      <c r="P58" s="25" t="s">
        <v>548</v>
      </c>
      <c r="Q58" s="61" t="s">
        <v>81</v>
      </c>
      <c r="R58" s="35" t="s">
        <v>445</v>
      </c>
      <c r="S58" s="197"/>
      <c r="T58" s="197"/>
      <c r="U58" s="119"/>
      <c r="V58" s="197">
        <v>45302</v>
      </c>
      <c r="W58" s="9" t="s">
        <v>549</v>
      </c>
      <c r="X58" s="9"/>
      <c r="Y58" s="221"/>
      <c r="Z58" s="221">
        <v>2201</v>
      </c>
      <c r="AA58" s="22"/>
      <c r="AB58" s="36"/>
      <c r="AC58" s="36"/>
      <c r="AD58" s="36"/>
      <c r="AE58" s="36"/>
      <c r="AF58" s="36"/>
      <c r="AG58" s="22"/>
      <c r="AH58" s="22" t="s">
        <v>67</v>
      </c>
      <c r="AI58" s="37">
        <v>45241</v>
      </c>
      <c r="AJ58" s="119"/>
      <c r="AK58" s="21"/>
      <c r="AL58" s="9"/>
      <c r="AM58" s="116"/>
      <c r="AN58" s="116"/>
      <c r="AO58" s="116"/>
      <c r="AP58" s="116"/>
      <c r="AQ58" s="79"/>
      <c r="AR58" s="79"/>
      <c r="AS58" s="79"/>
      <c r="AT58" s="79"/>
      <c r="AU58" s="79"/>
      <c r="AV58" s="79"/>
      <c r="AW58" s="79"/>
      <c r="AX58" s="79"/>
      <c r="AY58" s="79"/>
      <c r="AZ58" s="79"/>
      <c r="BA58" s="79"/>
      <c r="BB58" s="79"/>
      <c r="BC58" s="186"/>
    </row>
    <row r="59" spans="1:55" ht="50.25" customHeight="1">
      <c r="A59" s="21"/>
      <c r="B59" s="22">
        <v>57</v>
      </c>
      <c r="C59" s="23" t="s">
        <v>54</v>
      </c>
      <c r="D59" s="24" t="s">
        <v>55</v>
      </c>
      <c r="E59" s="25" t="s">
        <v>550</v>
      </c>
      <c r="F59" s="26"/>
      <c r="G59" s="239" t="s">
        <v>551</v>
      </c>
      <c r="H59" s="137" t="s">
        <v>552</v>
      </c>
      <c r="I59" s="29"/>
      <c r="J59" s="9" t="s">
        <v>60</v>
      </c>
      <c r="K59" s="197">
        <v>35423</v>
      </c>
      <c r="L59" s="22">
        <f t="shared" ca="1" si="1"/>
        <v>29</v>
      </c>
      <c r="M59" s="22"/>
      <c r="N59" s="71" t="s">
        <v>471</v>
      </c>
      <c r="O59" s="198">
        <v>44939</v>
      </c>
      <c r="P59" s="25" t="s">
        <v>548</v>
      </c>
      <c r="Q59" s="61" t="s">
        <v>81</v>
      </c>
      <c r="R59" s="35" t="s">
        <v>553</v>
      </c>
      <c r="S59" s="240"/>
      <c r="T59" s="241"/>
      <c r="U59" s="242"/>
      <c r="V59" s="241">
        <v>45694</v>
      </c>
      <c r="W59" s="9" t="s">
        <v>554</v>
      </c>
      <c r="X59" s="9"/>
      <c r="Y59" s="221"/>
      <c r="Z59" s="221" t="s">
        <v>555</v>
      </c>
      <c r="AA59" s="22"/>
      <c r="AB59" s="22" t="s">
        <v>556</v>
      </c>
      <c r="AC59" s="36"/>
      <c r="AD59" s="36"/>
      <c r="AE59" s="36"/>
      <c r="AF59" s="36"/>
      <c r="AG59" s="22"/>
      <c r="AH59" s="22" t="s">
        <v>67</v>
      </c>
      <c r="AI59" s="204">
        <v>45369</v>
      </c>
      <c r="AJ59" s="242"/>
      <c r="AK59" s="21"/>
      <c r="AL59" s="75"/>
      <c r="AM59" s="65"/>
      <c r="AN59" s="65"/>
      <c r="AO59" s="65"/>
      <c r="AP59" s="65" t="s">
        <v>557</v>
      </c>
      <c r="AQ59" s="116"/>
      <c r="AR59" s="116"/>
      <c r="AS59" s="116"/>
      <c r="AT59" s="116"/>
      <c r="AU59" s="116"/>
      <c r="AV59" s="116"/>
      <c r="AW59" s="116"/>
      <c r="AX59" s="116"/>
      <c r="AY59" s="116"/>
      <c r="AZ59" s="116"/>
      <c r="BA59" s="116"/>
      <c r="BB59" s="116"/>
      <c r="BC59" s="243"/>
    </row>
    <row r="60" spans="1:55" ht="50.25" customHeight="1">
      <c r="A60" s="21"/>
      <c r="B60" s="22">
        <v>58</v>
      </c>
      <c r="C60" s="23" t="s">
        <v>54</v>
      </c>
      <c r="D60" s="24" t="s">
        <v>55</v>
      </c>
      <c r="E60" s="25" t="s">
        <v>558</v>
      </c>
      <c r="F60" s="26"/>
      <c r="G60" s="137" t="s">
        <v>559</v>
      </c>
      <c r="H60" s="137" t="s">
        <v>560</v>
      </c>
      <c r="I60" s="29"/>
      <c r="J60" s="9" t="s">
        <v>60</v>
      </c>
      <c r="K60" s="197">
        <v>35124</v>
      </c>
      <c r="L60" s="22">
        <f t="shared" ca="1" si="1"/>
        <v>30</v>
      </c>
      <c r="M60" s="22"/>
      <c r="N60" s="71" t="s">
        <v>471</v>
      </c>
      <c r="O60" s="198">
        <v>44939</v>
      </c>
      <c r="P60" s="25" t="s">
        <v>548</v>
      </c>
      <c r="Q60" s="61" t="s">
        <v>81</v>
      </c>
      <c r="R60" s="35" t="s">
        <v>553</v>
      </c>
      <c r="S60" s="197"/>
      <c r="T60" s="197"/>
      <c r="U60" s="119"/>
      <c r="V60" s="197">
        <v>45302</v>
      </c>
      <c r="W60" s="9" t="s">
        <v>561</v>
      </c>
      <c r="X60" s="9"/>
      <c r="Y60" s="221"/>
      <c r="Z60" s="221">
        <v>2203</v>
      </c>
      <c r="AA60" s="22"/>
      <c r="AB60" s="36"/>
      <c r="AC60" s="36"/>
      <c r="AD60" s="36"/>
      <c r="AE60" s="36"/>
      <c r="AF60" s="36"/>
      <c r="AG60" s="22"/>
      <c r="AH60" s="22" t="s">
        <v>67</v>
      </c>
      <c r="AI60" s="37">
        <v>45296</v>
      </c>
      <c r="AJ60" s="119"/>
      <c r="AK60" s="21"/>
      <c r="AL60" s="9"/>
      <c r="AM60" s="116"/>
      <c r="AN60" s="116"/>
      <c r="AO60" s="116"/>
      <c r="AP60" s="116"/>
      <c r="AQ60" s="116"/>
      <c r="AR60" s="116"/>
      <c r="AS60" s="116"/>
      <c r="AT60" s="116"/>
      <c r="AU60" s="116"/>
      <c r="AV60" s="116"/>
      <c r="AW60" s="116"/>
      <c r="AX60" s="116"/>
      <c r="AY60" s="116"/>
      <c r="AZ60" s="116"/>
      <c r="BA60" s="116"/>
      <c r="BB60" s="116"/>
      <c r="BC60" s="244"/>
    </row>
    <row r="61" spans="1:55" ht="50.25" customHeight="1">
      <c r="A61" s="21"/>
      <c r="B61" s="22">
        <v>59</v>
      </c>
      <c r="C61" s="23" t="s">
        <v>54</v>
      </c>
      <c r="D61" s="24" t="s">
        <v>55</v>
      </c>
      <c r="E61" s="25" t="s">
        <v>562</v>
      </c>
      <c r="F61" s="26"/>
      <c r="G61" s="137" t="s">
        <v>563</v>
      </c>
      <c r="H61" s="137" t="s">
        <v>564</v>
      </c>
      <c r="I61" s="29"/>
      <c r="J61" s="9" t="s">
        <v>261</v>
      </c>
      <c r="K61" s="197">
        <v>36162</v>
      </c>
      <c r="L61" s="22">
        <f t="shared" ca="1" si="1"/>
        <v>27</v>
      </c>
      <c r="M61" s="22"/>
      <c r="N61" s="71" t="s">
        <v>471</v>
      </c>
      <c r="O61" s="198">
        <v>44949</v>
      </c>
      <c r="P61" s="25" t="s">
        <v>548</v>
      </c>
      <c r="Q61" s="61" t="s">
        <v>81</v>
      </c>
      <c r="R61" s="35" t="s">
        <v>457</v>
      </c>
      <c r="S61" s="197"/>
      <c r="T61" s="197"/>
      <c r="U61" s="119"/>
      <c r="V61" s="197">
        <v>45311</v>
      </c>
      <c r="W61" s="9" t="s">
        <v>565</v>
      </c>
      <c r="X61" s="45" t="s">
        <v>566</v>
      </c>
      <c r="Y61" s="79"/>
      <c r="Z61" s="221" t="s">
        <v>567</v>
      </c>
      <c r="AA61" s="22"/>
      <c r="AB61" s="36"/>
      <c r="AC61" s="36"/>
      <c r="AD61" s="36"/>
      <c r="AE61" s="36"/>
      <c r="AF61" s="36"/>
      <c r="AG61" s="22"/>
      <c r="AH61" s="22" t="s">
        <v>67</v>
      </c>
      <c r="AI61" s="37">
        <v>45307</v>
      </c>
      <c r="AJ61" s="119"/>
      <c r="AK61" s="21"/>
      <c r="AL61" s="9"/>
      <c r="AM61" s="116"/>
      <c r="AN61" s="116"/>
      <c r="AO61" s="116"/>
      <c r="AP61" s="116"/>
      <c r="AQ61" s="79"/>
      <c r="AR61" s="79"/>
      <c r="AS61" s="79"/>
      <c r="AT61" s="79"/>
      <c r="AU61" s="79"/>
      <c r="AV61" s="79"/>
      <c r="AW61" s="79"/>
      <c r="AX61" s="79"/>
      <c r="AY61" s="79"/>
      <c r="AZ61" s="79"/>
      <c r="BA61" s="79"/>
      <c r="BB61" s="79"/>
      <c r="BC61" s="214"/>
    </row>
    <row r="62" spans="1:55" ht="50.25" customHeight="1">
      <c r="A62" s="22"/>
      <c r="B62" s="22">
        <v>60</v>
      </c>
      <c r="C62" s="44" t="s">
        <v>54</v>
      </c>
      <c r="D62" s="45" t="s">
        <v>55</v>
      </c>
      <c r="E62" s="25" t="s">
        <v>568</v>
      </c>
      <c r="F62" s="106"/>
      <c r="G62" s="137" t="s">
        <v>569</v>
      </c>
      <c r="H62" s="137" t="s">
        <v>570</v>
      </c>
      <c r="I62" s="33"/>
      <c r="J62" s="9" t="s">
        <v>60</v>
      </c>
      <c r="K62" s="197">
        <v>35570</v>
      </c>
      <c r="L62" s="22">
        <f t="shared" ca="1" si="1"/>
        <v>28</v>
      </c>
      <c r="M62" s="22"/>
      <c r="N62" s="22" t="s">
        <v>471</v>
      </c>
      <c r="O62" s="198">
        <v>44998</v>
      </c>
      <c r="P62" s="25" t="s">
        <v>389</v>
      </c>
      <c r="Q62" s="191" t="s">
        <v>81</v>
      </c>
      <c r="R62" s="35" t="s">
        <v>445</v>
      </c>
      <c r="S62" s="158" t="s">
        <v>82</v>
      </c>
      <c r="T62" s="209">
        <v>15000</v>
      </c>
      <c r="U62" s="162">
        <v>44860</v>
      </c>
      <c r="V62" s="241">
        <v>45818</v>
      </c>
      <c r="W62" s="67" t="s">
        <v>571</v>
      </c>
      <c r="X62" s="9"/>
      <c r="Y62" s="236"/>
      <c r="Z62" s="35" t="s">
        <v>572</v>
      </c>
      <c r="AA62" s="237" t="s">
        <v>573</v>
      </c>
      <c r="AB62" s="53" t="s">
        <v>574</v>
      </c>
      <c r="AC62" s="53"/>
      <c r="AD62" s="36"/>
      <c r="AE62" s="245"/>
      <c r="AF62" s="72"/>
      <c r="AG62" s="22"/>
      <c r="AH62" s="22" t="s">
        <v>67</v>
      </c>
      <c r="AI62" s="92">
        <v>45616</v>
      </c>
      <c r="AJ62" s="93" t="s">
        <v>575</v>
      </c>
      <c r="AK62" s="22"/>
      <c r="AL62" s="167"/>
      <c r="AM62" s="185"/>
      <c r="AN62" s="185"/>
      <c r="AO62" s="185"/>
      <c r="AP62" s="185" t="s">
        <v>576</v>
      </c>
      <c r="AQ62" s="116"/>
      <c r="AR62" s="116"/>
      <c r="AS62" s="116"/>
      <c r="AT62" s="116"/>
      <c r="AU62" s="116"/>
      <c r="AV62" s="116"/>
      <c r="AW62" s="116"/>
      <c r="AX62" s="116"/>
      <c r="AY62" s="116"/>
      <c r="AZ62" s="116"/>
      <c r="BA62" s="116"/>
      <c r="BB62" s="116"/>
      <c r="BC62" s="214"/>
    </row>
    <row r="63" spans="1:55" ht="42" customHeight="1">
      <c r="A63" s="246"/>
      <c r="B63" s="22">
        <v>61</v>
      </c>
      <c r="C63" s="23" t="s">
        <v>54</v>
      </c>
      <c r="D63" s="24" t="s">
        <v>55</v>
      </c>
      <c r="E63" s="25" t="s">
        <v>577</v>
      </c>
      <c r="F63" s="26"/>
      <c r="G63" s="239" t="s">
        <v>578</v>
      </c>
      <c r="H63" s="137" t="s">
        <v>579</v>
      </c>
      <c r="I63" s="29" t="s">
        <v>179</v>
      </c>
      <c r="J63" s="9" t="s">
        <v>261</v>
      </c>
      <c r="K63" s="197">
        <v>35692</v>
      </c>
      <c r="L63" s="22">
        <f t="shared" ca="1" si="1"/>
        <v>28</v>
      </c>
      <c r="M63" s="22"/>
      <c r="N63" s="71" t="s">
        <v>471</v>
      </c>
      <c r="O63" s="198">
        <v>45057</v>
      </c>
      <c r="P63" s="25" t="s">
        <v>580</v>
      </c>
      <c r="Q63" s="61" t="s">
        <v>81</v>
      </c>
      <c r="R63" s="35" t="s">
        <v>457</v>
      </c>
      <c r="S63" s="158" t="s">
        <v>82</v>
      </c>
      <c r="T63" s="209">
        <v>15000</v>
      </c>
      <c r="U63" s="247"/>
      <c r="V63" s="197">
        <v>45576</v>
      </c>
      <c r="W63" s="67" t="s">
        <v>581</v>
      </c>
      <c r="X63" s="9"/>
      <c r="Y63" s="220"/>
      <c r="Z63" s="221" t="s">
        <v>582</v>
      </c>
      <c r="AA63" s="248" t="s">
        <v>583</v>
      </c>
      <c r="AB63" s="53"/>
      <c r="AC63" s="53"/>
      <c r="AD63" s="36"/>
      <c r="AE63" s="36"/>
      <c r="AF63" s="36"/>
      <c r="AG63" s="22"/>
      <c r="AH63" s="22" t="s">
        <v>67</v>
      </c>
      <c r="AI63" s="204">
        <v>45544</v>
      </c>
      <c r="AJ63" s="249"/>
      <c r="AK63" s="246"/>
      <c r="AL63" s="250"/>
      <c r="AM63" s="195"/>
      <c r="AN63" s="195"/>
      <c r="AO63" s="195"/>
      <c r="AP63" s="195" t="s">
        <v>584</v>
      </c>
      <c r="AQ63" s="116"/>
      <c r="AR63" s="116"/>
      <c r="AS63" s="116"/>
      <c r="AT63" s="116"/>
      <c r="AU63" s="116"/>
      <c r="AV63" s="116"/>
      <c r="AW63" s="116"/>
      <c r="AX63" s="116"/>
      <c r="AY63" s="116"/>
      <c r="AZ63" s="116"/>
      <c r="BA63" s="116"/>
      <c r="BB63" s="116"/>
      <c r="BC63" s="147"/>
    </row>
    <row r="64" spans="1:55" ht="50.25" customHeight="1">
      <c r="A64" s="251"/>
      <c r="B64" s="22">
        <v>62</v>
      </c>
      <c r="C64" s="23" t="s">
        <v>54</v>
      </c>
      <c r="D64" s="24" t="s">
        <v>55</v>
      </c>
      <c r="E64" s="25" t="s">
        <v>585</v>
      </c>
      <c r="F64" s="26"/>
      <c r="G64" s="239" t="s">
        <v>586</v>
      </c>
      <c r="H64" s="137" t="s">
        <v>587</v>
      </c>
      <c r="I64" s="29"/>
      <c r="J64" s="9" t="s">
        <v>60</v>
      </c>
      <c r="K64" s="197">
        <v>35545</v>
      </c>
      <c r="L64" s="22">
        <f t="shared" ca="1" si="1"/>
        <v>28</v>
      </c>
      <c r="M64" s="22" t="s">
        <v>149</v>
      </c>
      <c r="N64" s="71" t="s">
        <v>471</v>
      </c>
      <c r="O64" s="198">
        <v>45212</v>
      </c>
      <c r="P64" s="25" t="s">
        <v>588</v>
      </c>
      <c r="Q64" s="61" t="s">
        <v>81</v>
      </c>
      <c r="R64" s="35" t="s">
        <v>272</v>
      </c>
      <c r="S64" s="158" t="s">
        <v>82</v>
      </c>
      <c r="T64" s="209">
        <v>15000</v>
      </c>
      <c r="U64" s="252">
        <v>45166</v>
      </c>
      <c r="V64" s="197">
        <v>45602</v>
      </c>
      <c r="W64" s="9" t="s">
        <v>589</v>
      </c>
      <c r="X64" s="9"/>
      <c r="Y64" s="253"/>
      <c r="Z64" s="221" t="s">
        <v>590</v>
      </c>
      <c r="AA64" s="100">
        <v>45584</v>
      </c>
      <c r="AB64" s="53"/>
      <c r="AC64" s="53"/>
      <c r="AD64" s="36"/>
      <c r="AE64" s="42">
        <v>45314</v>
      </c>
      <c r="AF64" s="42">
        <v>45348</v>
      </c>
      <c r="AG64" s="22"/>
      <c r="AH64" s="22" t="s">
        <v>67</v>
      </c>
      <c r="AI64" s="254">
        <v>45569</v>
      </c>
      <c r="AJ64" s="216" t="s">
        <v>591</v>
      </c>
      <c r="AK64" s="251"/>
      <c r="AL64" s="167"/>
      <c r="AM64" s="185"/>
      <c r="AN64" s="185"/>
      <c r="AO64" s="185"/>
      <c r="AP64" s="185" t="s">
        <v>592</v>
      </c>
      <c r="AQ64" s="39"/>
      <c r="AR64" s="39"/>
      <c r="AS64" s="39"/>
      <c r="AT64" s="39"/>
      <c r="AU64" s="39"/>
      <c r="AV64" s="39"/>
      <c r="AW64" s="39"/>
      <c r="AX64" s="39"/>
      <c r="AY64" s="39"/>
      <c r="AZ64" s="39"/>
      <c r="BA64" s="39"/>
      <c r="BB64" s="39"/>
      <c r="BC64" s="255"/>
    </row>
    <row r="65" spans="1:55" ht="50.25" customHeight="1">
      <c r="A65" s="157"/>
      <c r="B65" s="22">
        <v>63</v>
      </c>
      <c r="C65" s="44" t="s">
        <v>54</v>
      </c>
      <c r="D65" s="45" t="s">
        <v>55</v>
      </c>
      <c r="E65" s="25" t="s">
        <v>593</v>
      </c>
      <c r="F65" s="106"/>
      <c r="G65" s="137" t="s">
        <v>594</v>
      </c>
      <c r="H65" s="137" t="s">
        <v>595</v>
      </c>
      <c r="I65" s="33"/>
      <c r="J65" s="9" t="s">
        <v>261</v>
      </c>
      <c r="K65" s="197">
        <v>34305</v>
      </c>
      <c r="L65" s="22">
        <f t="shared" ca="1" si="1"/>
        <v>32</v>
      </c>
      <c r="M65" s="22"/>
      <c r="N65" s="22" t="s">
        <v>471</v>
      </c>
      <c r="O65" s="198">
        <v>45238</v>
      </c>
      <c r="P65" s="25" t="s">
        <v>596</v>
      </c>
      <c r="Q65" s="191" t="s">
        <v>81</v>
      </c>
      <c r="R65" s="35" t="s">
        <v>472</v>
      </c>
      <c r="S65" s="256" t="s">
        <v>82</v>
      </c>
      <c r="T65" s="257">
        <v>15000</v>
      </c>
      <c r="U65" s="86">
        <v>45087</v>
      </c>
      <c r="V65" s="197">
        <v>46002</v>
      </c>
      <c r="W65" s="9" t="s">
        <v>597</v>
      </c>
      <c r="X65" s="9"/>
      <c r="Y65" s="59"/>
      <c r="Z65" s="15" t="s">
        <v>598</v>
      </c>
      <c r="AA65" s="89">
        <v>45770</v>
      </c>
      <c r="AB65" s="17" t="s">
        <v>599</v>
      </c>
      <c r="AC65" s="53"/>
      <c r="AD65" s="36"/>
      <c r="AE65" s="36"/>
      <c r="AF65" s="36"/>
      <c r="AG65" s="22"/>
      <c r="AH65" s="22" t="s">
        <v>67</v>
      </c>
      <c r="AI65" s="92">
        <v>45765</v>
      </c>
      <c r="AJ65" s="168" t="s">
        <v>600</v>
      </c>
      <c r="AK65" s="17"/>
      <c r="AL65" s="258"/>
      <c r="AM65" s="123"/>
      <c r="AN65" s="123"/>
      <c r="AO65" s="123"/>
      <c r="AP65" s="123" t="s">
        <v>601</v>
      </c>
      <c r="AQ65" s="79"/>
      <c r="AR65" s="79"/>
      <c r="AS65" s="79"/>
      <c r="AT65" s="79"/>
      <c r="AU65" s="79"/>
      <c r="AV65" s="79"/>
      <c r="AW65" s="79"/>
      <c r="AX65" s="79"/>
      <c r="AY65" s="79"/>
      <c r="AZ65" s="79"/>
      <c r="BA65" s="79"/>
      <c r="BB65" s="79"/>
      <c r="BC65" s="243"/>
    </row>
    <row r="66" spans="1:55" ht="50.25" customHeight="1">
      <c r="A66" s="246"/>
      <c r="B66" s="22">
        <v>64</v>
      </c>
      <c r="C66" s="23" t="s">
        <v>54</v>
      </c>
      <c r="D66" s="24" t="s">
        <v>55</v>
      </c>
      <c r="E66" s="111" t="s">
        <v>602</v>
      </c>
      <c r="F66" s="26"/>
      <c r="G66" s="27" t="s">
        <v>603</v>
      </c>
      <c r="H66" s="28" t="s">
        <v>604</v>
      </c>
      <c r="I66" s="137"/>
      <c r="J66" s="136" t="s">
        <v>261</v>
      </c>
      <c r="K66" s="89">
        <v>33470</v>
      </c>
      <c r="L66" s="22">
        <f t="shared" ca="1" si="1"/>
        <v>34</v>
      </c>
      <c r="M66" s="22"/>
      <c r="N66" s="71" t="s">
        <v>471</v>
      </c>
      <c r="O66" s="259">
        <v>45343</v>
      </c>
      <c r="P66" s="260" t="s">
        <v>605</v>
      </c>
      <c r="Q66" s="155" t="s">
        <v>81</v>
      </c>
      <c r="R66" s="35" t="s">
        <v>457</v>
      </c>
      <c r="S66" s="158" t="s">
        <v>82</v>
      </c>
      <c r="T66" s="209">
        <v>15000</v>
      </c>
      <c r="U66" s="65"/>
      <c r="V66" s="89">
        <v>45708</v>
      </c>
      <c r="W66" s="17" t="s">
        <v>606</v>
      </c>
      <c r="X66" s="16"/>
      <c r="Y66" s="261"/>
      <c r="Z66" s="262" t="s">
        <v>607</v>
      </c>
      <c r="AA66" s="17" t="s">
        <v>608</v>
      </c>
      <c r="AB66" s="101"/>
      <c r="AC66" s="101"/>
      <c r="AD66" s="102"/>
      <c r="AE66" s="263">
        <v>45469</v>
      </c>
      <c r="AF66" s="72">
        <v>45509</v>
      </c>
      <c r="AG66" s="22"/>
      <c r="AH66" s="22" t="s">
        <v>67</v>
      </c>
      <c r="AI66" s="97">
        <v>45469</v>
      </c>
      <c r="AJ66" s="187"/>
      <c r="AK66" s="246"/>
      <c r="AL66" s="75"/>
      <c r="AM66" s="65"/>
      <c r="AN66" s="65"/>
      <c r="AO66" s="65"/>
      <c r="AP66" s="65" t="s">
        <v>609</v>
      </c>
      <c r="AQ66" s="79"/>
      <c r="AR66" s="79"/>
      <c r="AS66" s="79"/>
      <c r="AT66" s="79"/>
      <c r="AU66" s="79"/>
      <c r="AV66" s="79"/>
      <c r="AW66" s="79"/>
      <c r="AX66" s="79"/>
      <c r="AY66" s="79"/>
      <c r="AZ66" s="79"/>
      <c r="BA66" s="79"/>
      <c r="BB66" s="79"/>
      <c r="BC66" s="117"/>
    </row>
    <row r="67" spans="1:55" ht="50.25" customHeight="1">
      <c r="A67" s="264" t="s">
        <v>610</v>
      </c>
      <c r="B67" s="22">
        <v>65</v>
      </c>
      <c r="C67" s="44" t="s">
        <v>54</v>
      </c>
      <c r="D67" s="45" t="s">
        <v>611</v>
      </c>
      <c r="E67" s="158" t="s">
        <v>612</v>
      </c>
      <c r="F67" s="106" t="s">
        <v>613</v>
      </c>
      <c r="G67" s="137" t="s">
        <v>614</v>
      </c>
      <c r="H67" s="137" t="s">
        <v>615</v>
      </c>
      <c r="I67" s="33" t="s">
        <v>616</v>
      </c>
      <c r="J67" s="22" t="s">
        <v>261</v>
      </c>
      <c r="K67" s="30">
        <v>35333</v>
      </c>
      <c r="L67" s="22">
        <f t="shared" ca="1" si="1"/>
        <v>29</v>
      </c>
      <c r="M67" s="22" t="s">
        <v>79</v>
      </c>
      <c r="N67" s="22" t="s">
        <v>617</v>
      </c>
      <c r="O67" s="265">
        <v>45027</v>
      </c>
      <c r="P67" s="266" t="s">
        <v>618</v>
      </c>
      <c r="Q67" s="49" t="s">
        <v>81</v>
      </c>
      <c r="R67" s="33" t="s">
        <v>619</v>
      </c>
      <c r="S67" s="158" t="s">
        <v>82</v>
      </c>
      <c r="T67" s="209">
        <v>15000</v>
      </c>
      <c r="U67" s="162">
        <v>46082</v>
      </c>
      <c r="V67" s="267">
        <v>46172</v>
      </c>
      <c r="W67" s="167" t="s">
        <v>620</v>
      </c>
      <c r="X67" s="9"/>
      <c r="Y67" s="59"/>
      <c r="Z67" s="15" t="s">
        <v>621</v>
      </c>
      <c r="AA67" s="17"/>
      <c r="AB67" s="53"/>
      <c r="AC67" s="53"/>
      <c r="AD67" s="53"/>
      <c r="AE67" s="268">
        <v>45506</v>
      </c>
      <c r="AF67" s="90">
        <v>45525</v>
      </c>
      <c r="AG67" s="22"/>
      <c r="AH67" s="103" t="s">
        <v>154</v>
      </c>
      <c r="AI67" s="37"/>
      <c r="AJ67" s="93"/>
      <c r="AK67" s="264" t="s">
        <v>622</v>
      </c>
      <c r="AL67" s="67" t="s">
        <v>89</v>
      </c>
      <c r="AM67" s="241">
        <v>45024</v>
      </c>
      <c r="AN67" s="82" t="s">
        <v>623</v>
      </c>
      <c r="AO67" s="123"/>
      <c r="AP67" s="43" t="s">
        <v>624</v>
      </c>
      <c r="AQ67" s="234"/>
      <c r="AR67" s="234"/>
      <c r="AS67" s="234"/>
      <c r="AT67" s="234"/>
      <c r="AU67" s="234"/>
      <c r="AV67" s="234"/>
      <c r="AW67" s="234"/>
      <c r="AX67" s="82"/>
      <c r="AY67" s="82"/>
      <c r="AZ67" s="82"/>
      <c r="BA67" s="82"/>
      <c r="BB67" s="82"/>
      <c r="BC67" s="62"/>
    </row>
    <row r="68" spans="1:55" ht="50.25" customHeight="1">
      <c r="A68" s="21"/>
      <c r="B68" s="22">
        <v>66</v>
      </c>
      <c r="C68" s="23" t="s">
        <v>54</v>
      </c>
      <c r="D68" s="24" t="s">
        <v>611</v>
      </c>
      <c r="E68" s="158" t="s">
        <v>625</v>
      </c>
      <c r="F68" s="26"/>
      <c r="G68" s="27" t="s">
        <v>626</v>
      </c>
      <c r="H68" s="28" t="s">
        <v>627</v>
      </c>
      <c r="I68" s="269" t="s">
        <v>628</v>
      </c>
      <c r="J68" s="22" t="s">
        <v>60</v>
      </c>
      <c r="K68" s="30">
        <v>35554</v>
      </c>
      <c r="L68" s="22">
        <f t="shared" ca="1" si="1"/>
        <v>28</v>
      </c>
      <c r="M68" s="22"/>
      <c r="N68" s="22" t="s">
        <v>617</v>
      </c>
      <c r="O68" s="30">
        <v>44669</v>
      </c>
      <c r="P68" s="25" t="s">
        <v>629</v>
      </c>
      <c r="Q68" s="155" t="s">
        <v>81</v>
      </c>
      <c r="R68" s="33" t="s">
        <v>630</v>
      </c>
      <c r="S68" s="30"/>
      <c r="T68" s="30"/>
      <c r="U68" s="119"/>
      <c r="V68" s="30">
        <v>45026</v>
      </c>
      <c r="W68" s="9" t="s">
        <v>631</v>
      </c>
      <c r="X68" s="9"/>
      <c r="Y68" s="9"/>
      <c r="Z68" s="35"/>
      <c r="AA68" s="22"/>
      <c r="AB68" s="36"/>
      <c r="AC68" s="36"/>
      <c r="AD68" s="36"/>
      <c r="AE68" s="36"/>
      <c r="AF68" s="36"/>
      <c r="AG68" s="22"/>
      <c r="AH68" s="22" t="s">
        <v>67</v>
      </c>
      <c r="AI68" s="37">
        <v>45023</v>
      </c>
      <c r="AJ68" s="119"/>
      <c r="AK68" s="21"/>
      <c r="AL68" s="9"/>
      <c r="AM68" s="116"/>
      <c r="AN68" s="116"/>
      <c r="AO68" s="116"/>
      <c r="AP68" s="116"/>
      <c r="AQ68" s="116"/>
      <c r="AR68" s="116"/>
      <c r="AS68" s="116"/>
      <c r="AT68" s="116"/>
      <c r="AU68" s="116"/>
      <c r="AV68" s="116"/>
      <c r="AW68" s="116"/>
      <c r="AX68" s="116"/>
      <c r="AY68" s="116"/>
      <c r="AZ68" s="116"/>
      <c r="BA68" s="116"/>
      <c r="BB68" s="116"/>
      <c r="BC68" s="148"/>
    </row>
    <row r="69" spans="1:55" ht="50.25" customHeight="1">
      <c r="A69" s="21"/>
      <c r="B69" s="22">
        <v>67</v>
      </c>
      <c r="C69" s="23" t="s">
        <v>54</v>
      </c>
      <c r="D69" s="24" t="s">
        <v>611</v>
      </c>
      <c r="E69" s="158" t="s">
        <v>632</v>
      </c>
      <c r="F69" s="26"/>
      <c r="G69" s="27" t="s">
        <v>633</v>
      </c>
      <c r="H69" s="28" t="s">
        <v>634</v>
      </c>
      <c r="I69" s="29"/>
      <c r="J69" s="22" t="s">
        <v>60</v>
      </c>
      <c r="K69" s="30">
        <v>35381</v>
      </c>
      <c r="L69" s="22">
        <f t="shared" ca="1" si="1"/>
        <v>29</v>
      </c>
      <c r="M69" s="22"/>
      <c r="N69" s="22" t="s">
        <v>617</v>
      </c>
      <c r="O69" s="30">
        <v>44669</v>
      </c>
      <c r="P69" s="25" t="s">
        <v>629</v>
      </c>
      <c r="Q69" s="155" t="s">
        <v>81</v>
      </c>
      <c r="R69" s="33" t="s">
        <v>635</v>
      </c>
      <c r="S69" s="30"/>
      <c r="T69" s="30"/>
      <c r="U69" s="242"/>
      <c r="V69" s="30">
        <v>45408</v>
      </c>
      <c r="W69" s="9" t="s">
        <v>636</v>
      </c>
      <c r="X69" s="9"/>
      <c r="Y69" s="9"/>
      <c r="Z69" s="35"/>
      <c r="AA69" s="22"/>
      <c r="AB69" s="36"/>
      <c r="AC69" s="36"/>
      <c r="AD69" s="36"/>
      <c r="AE69" s="36"/>
      <c r="AF69" s="36"/>
      <c r="AG69" s="22"/>
      <c r="AH69" s="22" t="s">
        <v>67</v>
      </c>
      <c r="AI69" s="270">
        <v>45342</v>
      </c>
      <c r="AJ69" s="242"/>
      <c r="AK69" s="21"/>
      <c r="AL69" s="75"/>
      <c r="AM69" s="65"/>
      <c r="AN69" s="65"/>
      <c r="AO69" s="65"/>
      <c r="AP69" s="65" t="s">
        <v>637</v>
      </c>
      <c r="AQ69" s="39"/>
      <c r="AR69" s="39"/>
      <c r="AS69" s="39"/>
      <c r="AT69" s="39"/>
      <c r="AU69" s="39"/>
      <c r="AV69" s="39"/>
      <c r="AW69" s="39"/>
      <c r="AX69" s="39"/>
      <c r="AY69" s="39"/>
      <c r="AZ69" s="39"/>
      <c r="BA69" s="39"/>
      <c r="BB69" s="39"/>
      <c r="BC69" s="271"/>
    </row>
    <row r="70" spans="1:55" ht="50.25" customHeight="1">
      <c r="A70" s="21"/>
      <c r="B70" s="22">
        <v>68</v>
      </c>
      <c r="C70" s="23" t="s">
        <v>54</v>
      </c>
      <c r="D70" s="24" t="s">
        <v>611</v>
      </c>
      <c r="E70" s="158" t="s">
        <v>638</v>
      </c>
      <c r="F70" s="26"/>
      <c r="G70" s="27" t="s">
        <v>639</v>
      </c>
      <c r="H70" s="28" t="s">
        <v>640</v>
      </c>
      <c r="I70" s="272" t="s">
        <v>641</v>
      </c>
      <c r="J70" s="22" t="s">
        <v>60</v>
      </c>
      <c r="K70" s="30">
        <v>34177</v>
      </c>
      <c r="L70" s="22">
        <f t="shared" ca="1" si="1"/>
        <v>32</v>
      </c>
      <c r="M70" s="22"/>
      <c r="N70" s="22" t="s">
        <v>617</v>
      </c>
      <c r="O70" s="30">
        <v>44669</v>
      </c>
      <c r="P70" s="25" t="s">
        <v>629</v>
      </c>
      <c r="Q70" s="155" t="s">
        <v>81</v>
      </c>
      <c r="R70" s="33" t="s">
        <v>630</v>
      </c>
      <c r="S70" s="30"/>
      <c r="T70" s="30"/>
      <c r="U70" s="34"/>
      <c r="V70" s="30">
        <v>45026</v>
      </c>
      <c r="W70" s="9" t="s">
        <v>642</v>
      </c>
      <c r="X70" s="22"/>
      <c r="Y70" s="22"/>
      <c r="Z70" s="33"/>
      <c r="AA70" s="22"/>
      <c r="AB70" s="36"/>
      <c r="AC70" s="36"/>
      <c r="AD70" s="36"/>
      <c r="AE70" s="36"/>
      <c r="AF70" s="36"/>
      <c r="AG70" s="22"/>
      <c r="AH70" s="22" t="s">
        <v>67</v>
      </c>
      <c r="AI70" s="37">
        <v>45005</v>
      </c>
      <c r="AJ70" s="34"/>
      <c r="AK70" s="21"/>
      <c r="AL70" s="38"/>
      <c r="AM70" s="39"/>
      <c r="AN70" s="39"/>
      <c r="AO70" s="39"/>
      <c r="AP70" s="39"/>
      <c r="AQ70" s="39"/>
      <c r="AR70" s="39"/>
      <c r="AS70" s="39"/>
      <c r="AT70" s="39"/>
      <c r="AU70" s="39"/>
      <c r="AV70" s="39"/>
      <c r="AW70" s="39"/>
      <c r="AX70" s="39"/>
      <c r="AY70" s="39"/>
      <c r="AZ70" s="39"/>
      <c r="BA70" s="39"/>
      <c r="BB70" s="39"/>
      <c r="BC70" s="214"/>
    </row>
    <row r="71" spans="1:55" ht="50.25" customHeight="1">
      <c r="A71" s="264" t="s">
        <v>643</v>
      </c>
      <c r="B71" s="22">
        <v>69</v>
      </c>
      <c r="C71" s="44" t="s">
        <v>54</v>
      </c>
      <c r="D71" s="45" t="s">
        <v>611</v>
      </c>
      <c r="E71" s="158" t="s">
        <v>644</v>
      </c>
      <c r="F71" s="106" t="s">
        <v>645</v>
      </c>
      <c r="G71" s="137" t="s">
        <v>646</v>
      </c>
      <c r="H71" s="137" t="s">
        <v>647</v>
      </c>
      <c r="I71" s="33"/>
      <c r="J71" s="22" t="s">
        <v>261</v>
      </c>
      <c r="K71" s="30">
        <v>36053</v>
      </c>
      <c r="L71" s="22">
        <f t="shared" ca="1" si="1"/>
        <v>27</v>
      </c>
      <c r="M71" s="22" t="s">
        <v>134</v>
      </c>
      <c r="N71" s="22" t="s">
        <v>617</v>
      </c>
      <c r="O71" s="265">
        <v>45027</v>
      </c>
      <c r="P71" s="266" t="s">
        <v>618</v>
      </c>
      <c r="Q71" s="49" t="s">
        <v>81</v>
      </c>
      <c r="R71" s="47" t="s">
        <v>619</v>
      </c>
      <c r="S71" s="158" t="s">
        <v>82</v>
      </c>
      <c r="T71" s="209">
        <v>15000</v>
      </c>
      <c r="U71" s="162">
        <v>46082</v>
      </c>
      <c r="V71" s="267">
        <v>46172</v>
      </c>
      <c r="W71" s="167" t="s">
        <v>648</v>
      </c>
      <c r="X71" s="9"/>
      <c r="Y71" s="59"/>
      <c r="Z71" s="15" t="s">
        <v>649</v>
      </c>
      <c r="AA71" s="17"/>
      <c r="AB71" s="53"/>
      <c r="AC71" s="53"/>
      <c r="AD71" s="36"/>
      <c r="AE71" s="36"/>
      <c r="AF71" s="36"/>
      <c r="AG71" s="22"/>
      <c r="AH71" s="22"/>
      <c r="AI71" s="37"/>
      <c r="AJ71" s="119"/>
      <c r="AK71" s="264" t="s">
        <v>650</v>
      </c>
      <c r="AL71" s="9" t="s">
        <v>265</v>
      </c>
      <c r="AM71" s="197">
        <v>45024</v>
      </c>
      <c r="AN71" s="9" t="s">
        <v>265</v>
      </c>
      <c r="AO71" s="35"/>
      <c r="AP71" s="273" t="s">
        <v>651</v>
      </c>
      <c r="AQ71" s="122" t="s">
        <v>652</v>
      </c>
      <c r="AR71" s="122"/>
      <c r="AS71" s="122"/>
      <c r="AT71" s="122"/>
      <c r="AU71" s="122"/>
      <c r="AV71" s="122"/>
      <c r="AW71" s="122"/>
      <c r="AX71" s="35"/>
      <c r="AY71" s="35"/>
      <c r="AZ71" s="35"/>
      <c r="BA71" s="35"/>
      <c r="BB71" s="35"/>
      <c r="BC71" s="274"/>
    </row>
    <row r="72" spans="1:55" ht="50.25" customHeight="1">
      <c r="A72" s="264" t="s">
        <v>643</v>
      </c>
      <c r="B72" s="22">
        <v>70</v>
      </c>
      <c r="C72" s="44" t="s">
        <v>54</v>
      </c>
      <c r="D72" s="45" t="s">
        <v>611</v>
      </c>
      <c r="E72" s="158" t="s">
        <v>653</v>
      </c>
      <c r="F72" s="106" t="s">
        <v>654</v>
      </c>
      <c r="G72" s="137" t="s">
        <v>655</v>
      </c>
      <c r="H72" s="137" t="s">
        <v>656</v>
      </c>
      <c r="I72" s="33" t="s">
        <v>657</v>
      </c>
      <c r="J72" s="22" t="s">
        <v>261</v>
      </c>
      <c r="K72" s="30">
        <v>37958</v>
      </c>
      <c r="L72" s="22">
        <f t="shared" ca="1" si="1"/>
        <v>22</v>
      </c>
      <c r="M72" s="22" t="s">
        <v>134</v>
      </c>
      <c r="N72" s="22" t="s">
        <v>617</v>
      </c>
      <c r="O72" s="265">
        <v>45027</v>
      </c>
      <c r="P72" s="266" t="s">
        <v>618</v>
      </c>
      <c r="Q72" s="49" t="s">
        <v>81</v>
      </c>
      <c r="R72" s="33" t="s">
        <v>658</v>
      </c>
      <c r="S72" s="158" t="s">
        <v>82</v>
      </c>
      <c r="T72" s="209">
        <v>15000</v>
      </c>
      <c r="U72" s="162">
        <v>46082</v>
      </c>
      <c r="V72" s="267">
        <v>46172</v>
      </c>
      <c r="W72" s="167" t="s">
        <v>659</v>
      </c>
      <c r="X72" s="9" t="s">
        <v>660</v>
      </c>
      <c r="Y72" s="59"/>
      <c r="Z72" s="15" t="s">
        <v>661</v>
      </c>
      <c r="AA72" s="89">
        <v>46085</v>
      </c>
      <c r="AB72" s="53"/>
      <c r="AC72" s="53"/>
      <c r="AD72" s="36"/>
      <c r="AE72" s="36"/>
      <c r="AF72" s="36"/>
      <c r="AG72" s="22"/>
      <c r="AH72" s="22"/>
      <c r="AI72" s="37"/>
      <c r="AJ72" s="119"/>
      <c r="AK72" s="264" t="s">
        <v>650</v>
      </c>
      <c r="AL72" s="9" t="s">
        <v>89</v>
      </c>
      <c r="AM72" s="197">
        <v>45024</v>
      </c>
      <c r="AN72" s="82" t="s">
        <v>623</v>
      </c>
      <c r="AO72" s="35"/>
      <c r="AP72" s="35" t="s">
        <v>662</v>
      </c>
      <c r="AQ72" s="122"/>
      <c r="AR72" s="122"/>
      <c r="AS72" s="122"/>
      <c r="AT72" s="122"/>
      <c r="AU72" s="122" t="s">
        <v>663</v>
      </c>
      <c r="AV72" s="122"/>
      <c r="AW72" s="122"/>
      <c r="AX72" s="43"/>
      <c r="AY72" s="43"/>
      <c r="AZ72" s="43"/>
      <c r="BA72" s="43"/>
      <c r="BB72" s="43"/>
      <c r="BC72" s="62"/>
    </row>
    <row r="73" spans="1:55" ht="50.25" customHeight="1">
      <c r="A73" s="264" t="s">
        <v>664</v>
      </c>
      <c r="B73" s="22">
        <v>71</v>
      </c>
      <c r="C73" s="44" t="s">
        <v>54</v>
      </c>
      <c r="D73" s="45" t="s">
        <v>611</v>
      </c>
      <c r="E73" s="158" t="s">
        <v>665</v>
      </c>
      <c r="F73" s="106" t="s">
        <v>666</v>
      </c>
      <c r="G73" s="137" t="s">
        <v>667</v>
      </c>
      <c r="H73" s="137" t="s">
        <v>668</v>
      </c>
      <c r="I73" s="33"/>
      <c r="J73" s="22" t="s">
        <v>261</v>
      </c>
      <c r="K73" s="30">
        <v>37928</v>
      </c>
      <c r="L73" s="22">
        <f t="shared" ca="1" si="1"/>
        <v>22</v>
      </c>
      <c r="M73" s="22" t="s">
        <v>134</v>
      </c>
      <c r="N73" s="22" t="s">
        <v>617</v>
      </c>
      <c r="O73" s="265">
        <v>45027</v>
      </c>
      <c r="P73" s="266" t="s">
        <v>618</v>
      </c>
      <c r="Q73" s="49" t="s">
        <v>81</v>
      </c>
      <c r="R73" s="33" t="s">
        <v>553</v>
      </c>
      <c r="S73" s="158" t="s">
        <v>82</v>
      </c>
      <c r="T73" s="209">
        <v>15000</v>
      </c>
      <c r="U73" s="162">
        <v>46082</v>
      </c>
      <c r="V73" s="267">
        <v>46172</v>
      </c>
      <c r="W73" s="167" t="s">
        <v>669</v>
      </c>
      <c r="X73" s="9"/>
      <c r="Y73" s="59"/>
      <c r="Z73" s="15" t="s">
        <v>670</v>
      </c>
      <c r="AA73" s="275">
        <v>45715</v>
      </c>
      <c r="AB73" s="53"/>
      <c r="AC73" s="53"/>
      <c r="AD73" s="36"/>
      <c r="AE73" s="245">
        <v>46091</v>
      </c>
      <c r="AF73" s="245">
        <v>46164</v>
      </c>
      <c r="AG73" s="22"/>
      <c r="AH73" s="22"/>
      <c r="AI73" s="37"/>
      <c r="AJ73" s="93"/>
      <c r="AK73" s="264" t="s">
        <v>671</v>
      </c>
      <c r="AL73" s="67" t="s">
        <v>265</v>
      </c>
      <c r="AM73" s="241">
        <v>45024</v>
      </c>
      <c r="AN73" s="67" t="s">
        <v>265</v>
      </c>
      <c r="AO73" s="123"/>
      <c r="AP73" s="43" t="s">
        <v>672</v>
      </c>
      <c r="AQ73" s="122"/>
      <c r="AR73" s="122"/>
      <c r="AS73" s="122"/>
      <c r="AT73" s="122"/>
      <c r="AU73" s="122"/>
      <c r="AV73" s="122"/>
      <c r="AW73" s="122"/>
      <c r="AX73" s="123"/>
      <c r="AY73" s="123"/>
      <c r="AZ73" s="123"/>
      <c r="BA73" s="123"/>
      <c r="BB73" s="123"/>
      <c r="BC73" s="243"/>
    </row>
    <row r="74" spans="1:55" ht="50.25" customHeight="1">
      <c r="A74" s="264" t="s">
        <v>673</v>
      </c>
      <c r="B74" s="22">
        <v>72</v>
      </c>
      <c r="C74" s="44" t="s">
        <v>54</v>
      </c>
      <c r="D74" s="45" t="s">
        <v>611</v>
      </c>
      <c r="E74" s="158" t="s">
        <v>674</v>
      </c>
      <c r="F74" s="106" t="s">
        <v>675</v>
      </c>
      <c r="G74" s="137" t="s">
        <v>676</v>
      </c>
      <c r="H74" s="137" t="s">
        <v>677</v>
      </c>
      <c r="I74" s="33"/>
      <c r="J74" s="22" t="s">
        <v>261</v>
      </c>
      <c r="K74" s="30">
        <v>37994</v>
      </c>
      <c r="L74" s="22">
        <f t="shared" ca="1" si="1"/>
        <v>22</v>
      </c>
      <c r="M74" s="70" t="s">
        <v>134</v>
      </c>
      <c r="N74" s="22" t="s">
        <v>617</v>
      </c>
      <c r="O74" s="265">
        <v>45027</v>
      </c>
      <c r="P74" s="266" t="s">
        <v>618</v>
      </c>
      <c r="Q74" s="49" t="s">
        <v>81</v>
      </c>
      <c r="R74" s="33" t="s">
        <v>658</v>
      </c>
      <c r="S74" s="158" t="s">
        <v>82</v>
      </c>
      <c r="T74" s="209">
        <v>15000</v>
      </c>
      <c r="U74" s="162">
        <v>46082</v>
      </c>
      <c r="V74" s="267">
        <v>46172</v>
      </c>
      <c r="W74" s="167" t="s">
        <v>678</v>
      </c>
      <c r="X74" s="9"/>
      <c r="Y74" s="59"/>
      <c r="Z74" s="15" t="s">
        <v>679</v>
      </c>
      <c r="AA74" s="17"/>
      <c r="AB74" s="53"/>
      <c r="AC74" s="53"/>
      <c r="AD74" s="36"/>
      <c r="AE74" s="42">
        <v>46221</v>
      </c>
      <c r="AF74" s="42">
        <v>46269</v>
      </c>
      <c r="AG74" s="22"/>
      <c r="AH74" s="22" t="s">
        <v>680</v>
      </c>
      <c r="AI74" s="37"/>
      <c r="AJ74" s="119"/>
      <c r="AK74" s="264" t="s">
        <v>681</v>
      </c>
      <c r="AL74" s="9" t="s">
        <v>89</v>
      </c>
      <c r="AM74" s="197">
        <v>45024</v>
      </c>
      <c r="AN74" s="82" t="s">
        <v>623</v>
      </c>
      <c r="AO74" s="35"/>
      <c r="AP74" s="35" t="s">
        <v>682</v>
      </c>
      <c r="AQ74" s="122"/>
      <c r="AR74" s="122"/>
      <c r="AS74" s="122"/>
      <c r="AT74" s="122"/>
      <c r="AU74" s="122"/>
      <c r="AV74" s="122"/>
      <c r="AW74" s="122"/>
      <c r="AX74" s="82"/>
      <c r="AY74" s="82"/>
      <c r="AZ74" s="82"/>
      <c r="BA74" s="82"/>
      <c r="BB74" s="82"/>
      <c r="BC74" s="276"/>
    </row>
    <row r="75" spans="1:55" ht="50.25" customHeight="1">
      <c r="A75" s="264" t="s">
        <v>643</v>
      </c>
      <c r="B75" s="22">
        <v>73</v>
      </c>
      <c r="C75" s="44" t="s">
        <v>54</v>
      </c>
      <c r="D75" s="45" t="s">
        <v>611</v>
      </c>
      <c r="E75" s="158" t="s">
        <v>683</v>
      </c>
      <c r="F75" s="106" t="s">
        <v>684</v>
      </c>
      <c r="G75" s="137" t="s">
        <v>685</v>
      </c>
      <c r="H75" s="137" t="s">
        <v>686</v>
      </c>
      <c r="I75" s="33" t="s">
        <v>687</v>
      </c>
      <c r="J75" s="22" t="s">
        <v>261</v>
      </c>
      <c r="K75" s="30">
        <v>38053</v>
      </c>
      <c r="L75" s="22">
        <f t="shared" ca="1" si="1"/>
        <v>22</v>
      </c>
      <c r="M75" s="22"/>
      <c r="N75" s="22" t="s">
        <v>617</v>
      </c>
      <c r="O75" s="265">
        <v>45027</v>
      </c>
      <c r="P75" s="266" t="s">
        <v>618</v>
      </c>
      <c r="Q75" s="49" t="s">
        <v>81</v>
      </c>
      <c r="R75" s="33" t="s">
        <v>688</v>
      </c>
      <c r="S75" s="158" t="s">
        <v>82</v>
      </c>
      <c r="T75" s="209">
        <v>15000</v>
      </c>
      <c r="U75" s="162">
        <v>46082</v>
      </c>
      <c r="V75" s="267">
        <v>46172</v>
      </c>
      <c r="W75" s="167" t="s">
        <v>689</v>
      </c>
      <c r="X75" s="9"/>
      <c r="Y75" s="59"/>
      <c r="Z75" s="15" t="s">
        <v>690</v>
      </c>
      <c r="AA75" s="17"/>
      <c r="AB75" s="53"/>
      <c r="AC75" s="53"/>
      <c r="AD75" s="36"/>
      <c r="AE75" s="36"/>
      <c r="AF75" s="36"/>
      <c r="AG75" s="22"/>
      <c r="AH75" s="22"/>
      <c r="AI75" s="37"/>
      <c r="AJ75" s="119"/>
      <c r="AK75" s="264" t="s">
        <v>650</v>
      </c>
      <c r="AL75" s="9" t="s">
        <v>89</v>
      </c>
      <c r="AM75" s="197">
        <v>45024</v>
      </c>
      <c r="AN75" s="82" t="s">
        <v>623</v>
      </c>
      <c r="AO75" s="35"/>
      <c r="AP75" s="35" t="s">
        <v>691</v>
      </c>
      <c r="AQ75" s="122"/>
      <c r="AR75" s="122"/>
      <c r="AS75" s="122"/>
      <c r="AT75" s="122"/>
      <c r="AU75" s="122"/>
      <c r="AV75" s="122"/>
      <c r="AW75" s="122"/>
      <c r="AX75" s="277"/>
      <c r="AY75" s="277"/>
      <c r="AZ75" s="277"/>
      <c r="BA75" s="277"/>
      <c r="BB75" s="277"/>
      <c r="BC75" s="156"/>
    </row>
    <row r="76" spans="1:55" ht="50.25" customHeight="1">
      <c r="A76" s="21"/>
      <c r="B76" s="22">
        <v>74</v>
      </c>
      <c r="C76" s="23" t="s">
        <v>54</v>
      </c>
      <c r="D76" s="24" t="s">
        <v>611</v>
      </c>
      <c r="E76" s="158" t="s">
        <v>692</v>
      </c>
      <c r="F76" s="26"/>
      <c r="G76" s="27" t="s">
        <v>693</v>
      </c>
      <c r="H76" s="28" t="s">
        <v>694</v>
      </c>
      <c r="I76" s="29"/>
      <c r="J76" s="22" t="s">
        <v>60</v>
      </c>
      <c r="K76" s="30">
        <v>35359</v>
      </c>
      <c r="L76" s="22">
        <f t="shared" ca="1" si="1"/>
        <v>29</v>
      </c>
      <c r="M76" s="22"/>
      <c r="N76" s="22" t="s">
        <v>617</v>
      </c>
      <c r="O76" s="30">
        <v>44669</v>
      </c>
      <c r="P76" s="25" t="s">
        <v>629</v>
      </c>
      <c r="Q76" s="155" t="s">
        <v>81</v>
      </c>
      <c r="R76" s="33" t="s">
        <v>695</v>
      </c>
      <c r="S76" s="30"/>
      <c r="T76" s="30"/>
      <c r="U76" s="119"/>
      <c r="V76" s="30">
        <v>45408</v>
      </c>
      <c r="W76" s="9" t="s">
        <v>696</v>
      </c>
      <c r="X76" s="9"/>
      <c r="Y76" s="9"/>
      <c r="Z76" s="35"/>
      <c r="AA76" s="22"/>
      <c r="AB76" s="36"/>
      <c r="AC76" s="36"/>
      <c r="AD76" s="36"/>
      <c r="AE76" s="36"/>
      <c r="AF76" s="36"/>
      <c r="AG76" s="22"/>
      <c r="AH76" s="22" t="s">
        <v>67</v>
      </c>
      <c r="AI76" s="37">
        <v>45189</v>
      </c>
      <c r="AJ76" s="119"/>
      <c r="AK76" s="21"/>
      <c r="AL76" s="9"/>
      <c r="AM76" s="116"/>
      <c r="AN76" s="116"/>
      <c r="AO76" s="116"/>
      <c r="AP76" s="116"/>
      <c r="AQ76" s="122"/>
      <c r="AR76" s="122"/>
      <c r="AS76" s="122"/>
      <c r="AT76" s="122"/>
      <c r="AU76" s="122"/>
      <c r="AV76" s="122"/>
      <c r="AW76" s="122"/>
      <c r="AX76" s="122"/>
      <c r="AY76" s="122"/>
      <c r="AZ76" s="122"/>
      <c r="BA76" s="122"/>
      <c r="BB76" s="122"/>
      <c r="BC76" s="278"/>
    </row>
    <row r="77" spans="1:55" ht="50.25" customHeight="1">
      <c r="A77" s="264" t="s">
        <v>643</v>
      </c>
      <c r="B77" s="22">
        <v>75</v>
      </c>
      <c r="C77" s="44" t="s">
        <v>54</v>
      </c>
      <c r="D77" s="45" t="s">
        <v>611</v>
      </c>
      <c r="E77" s="158" t="s">
        <v>697</v>
      </c>
      <c r="F77" s="106" t="s">
        <v>698</v>
      </c>
      <c r="G77" s="137" t="s">
        <v>699</v>
      </c>
      <c r="H77" s="137" t="s">
        <v>700</v>
      </c>
      <c r="I77" s="33" t="s">
        <v>701</v>
      </c>
      <c r="J77" s="22" t="s">
        <v>261</v>
      </c>
      <c r="K77" s="30">
        <v>37989</v>
      </c>
      <c r="L77" s="22">
        <f t="shared" ca="1" si="1"/>
        <v>22</v>
      </c>
      <c r="M77" s="22"/>
      <c r="N77" s="22" t="s">
        <v>617</v>
      </c>
      <c r="O77" s="265">
        <v>45027</v>
      </c>
      <c r="P77" s="266" t="s">
        <v>618</v>
      </c>
      <c r="Q77" s="49" t="s">
        <v>81</v>
      </c>
      <c r="R77" s="33" t="s">
        <v>688</v>
      </c>
      <c r="S77" s="158" t="s">
        <v>82</v>
      </c>
      <c r="T77" s="209">
        <v>15000</v>
      </c>
      <c r="U77" s="162">
        <v>46082</v>
      </c>
      <c r="V77" s="267">
        <v>46172</v>
      </c>
      <c r="W77" s="167" t="s">
        <v>702</v>
      </c>
      <c r="X77" s="9"/>
      <c r="Y77" s="59"/>
      <c r="Z77" s="15" t="s">
        <v>703</v>
      </c>
      <c r="AA77" s="17"/>
      <c r="AB77" s="53"/>
      <c r="AC77" s="53"/>
      <c r="AD77" s="36"/>
      <c r="AE77" s="36"/>
      <c r="AF77" s="36"/>
      <c r="AG77" s="22"/>
      <c r="AH77" s="22"/>
      <c r="AI77" s="37"/>
      <c r="AJ77" s="119"/>
      <c r="AK77" s="264" t="s">
        <v>650</v>
      </c>
      <c r="AL77" s="67" t="s">
        <v>89</v>
      </c>
      <c r="AM77" s="241">
        <v>45024</v>
      </c>
      <c r="AN77" s="82" t="s">
        <v>623</v>
      </c>
      <c r="AO77" s="58" t="s">
        <v>91</v>
      </c>
      <c r="AP77" s="43" t="s">
        <v>704</v>
      </c>
      <c r="AQ77" s="122"/>
      <c r="AR77" s="122"/>
      <c r="AS77" s="122"/>
      <c r="AT77" s="122"/>
      <c r="AU77" s="122"/>
      <c r="AV77" s="122"/>
      <c r="AW77" s="122"/>
      <c r="AX77" s="82"/>
      <c r="AY77" s="82"/>
      <c r="AZ77" s="82"/>
      <c r="BA77" s="82"/>
      <c r="BB77" s="82"/>
      <c r="BC77" s="148"/>
    </row>
    <row r="78" spans="1:55" ht="50.25" customHeight="1">
      <c r="A78" s="264" t="s">
        <v>664</v>
      </c>
      <c r="B78" s="22">
        <v>76</v>
      </c>
      <c r="C78" s="44" t="s">
        <v>54</v>
      </c>
      <c r="D78" s="45" t="s">
        <v>611</v>
      </c>
      <c r="E78" s="158" t="s">
        <v>705</v>
      </c>
      <c r="F78" s="106" t="s">
        <v>706</v>
      </c>
      <c r="G78" s="137" t="s">
        <v>707</v>
      </c>
      <c r="H78" s="137" t="s">
        <v>708</v>
      </c>
      <c r="I78" s="33"/>
      <c r="J78" s="22" t="s">
        <v>261</v>
      </c>
      <c r="K78" s="30">
        <v>37719</v>
      </c>
      <c r="L78" s="22">
        <f t="shared" ca="1" si="1"/>
        <v>23</v>
      </c>
      <c r="M78" s="22"/>
      <c r="N78" s="22" t="s">
        <v>617</v>
      </c>
      <c r="O78" s="265">
        <v>45027</v>
      </c>
      <c r="P78" s="266" t="s">
        <v>618</v>
      </c>
      <c r="Q78" s="49" t="s">
        <v>81</v>
      </c>
      <c r="R78" s="33" t="s">
        <v>688</v>
      </c>
      <c r="S78" s="158" t="s">
        <v>82</v>
      </c>
      <c r="T78" s="209">
        <v>15000</v>
      </c>
      <c r="U78" s="86">
        <v>44940</v>
      </c>
      <c r="V78" s="66">
        <v>45756</v>
      </c>
      <c r="W78" s="67" t="s">
        <v>709</v>
      </c>
      <c r="X78" s="9"/>
      <c r="Y78" s="59"/>
      <c r="Z78" s="15" t="s">
        <v>710</v>
      </c>
      <c r="AA78" s="17"/>
      <c r="AB78" s="53"/>
      <c r="AC78" s="53"/>
      <c r="AD78" s="37">
        <v>45653</v>
      </c>
      <c r="AE78" s="36"/>
      <c r="AF78" s="36"/>
      <c r="AG78" s="30">
        <v>45726</v>
      </c>
      <c r="AH78" s="22" t="s">
        <v>67</v>
      </c>
      <c r="AI78" s="37">
        <v>45775</v>
      </c>
      <c r="AJ78" s="119" t="s">
        <v>711</v>
      </c>
      <c r="AK78" s="264" t="s">
        <v>671</v>
      </c>
      <c r="AL78" s="9"/>
      <c r="AM78" s="116"/>
      <c r="AN78" s="116"/>
      <c r="AO78" s="116"/>
      <c r="AP78" s="116" t="s">
        <v>712</v>
      </c>
      <c r="AQ78" s="116"/>
      <c r="AR78" s="116"/>
      <c r="AS78" s="116"/>
      <c r="AT78" s="116"/>
      <c r="AU78" s="116"/>
      <c r="AV78" s="116"/>
      <c r="AW78" s="116"/>
      <c r="AX78" s="116"/>
      <c r="AY78" s="116"/>
      <c r="AZ78" s="116"/>
      <c r="BA78" s="116"/>
      <c r="BB78" s="116"/>
      <c r="BC78" s="148"/>
    </row>
    <row r="79" spans="1:55" ht="50.25" customHeight="1">
      <c r="A79" s="264" t="s">
        <v>664</v>
      </c>
      <c r="B79" s="22">
        <v>77</v>
      </c>
      <c r="C79" s="44" t="s">
        <v>54</v>
      </c>
      <c r="D79" s="45" t="s">
        <v>611</v>
      </c>
      <c r="E79" s="158" t="s">
        <v>713</v>
      </c>
      <c r="F79" s="106" t="s">
        <v>714</v>
      </c>
      <c r="G79" s="137" t="s">
        <v>715</v>
      </c>
      <c r="H79" s="137" t="s">
        <v>716</v>
      </c>
      <c r="I79" s="33"/>
      <c r="J79" s="22" t="s">
        <v>60</v>
      </c>
      <c r="K79" s="30">
        <v>35772</v>
      </c>
      <c r="L79" s="22">
        <f t="shared" ca="1" si="1"/>
        <v>28</v>
      </c>
      <c r="M79" s="22"/>
      <c r="N79" s="22" t="s">
        <v>617</v>
      </c>
      <c r="O79" s="265">
        <v>45027</v>
      </c>
      <c r="P79" s="266" t="s">
        <v>618</v>
      </c>
      <c r="Q79" s="49" t="s">
        <v>81</v>
      </c>
      <c r="R79" s="33" t="s">
        <v>717</v>
      </c>
      <c r="S79" s="158" t="s">
        <v>82</v>
      </c>
      <c r="T79" s="209">
        <v>15000</v>
      </c>
      <c r="U79" s="162">
        <v>46082</v>
      </c>
      <c r="V79" s="267">
        <v>46172</v>
      </c>
      <c r="W79" s="167" t="s">
        <v>718</v>
      </c>
      <c r="X79" s="9"/>
      <c r="Y79" s="14"/>
      <c r="Z79" s="15" t="s">
        <v>719</v>
      </c>
      <c r="AA79" s="17"/>
      <c r="AB79" s="53"/>
      <c r="AC79" s="53"/>
      <c r="AD79" s="36"/>
      <c r="AE79" s="279">
        <v>45542</v>
      </c>
      <c r="AF79" s="279">
        <v>45563</v>
      </c>
      <c r="AG79" s="22"/>
      <c r="AH79" s="103" t="s">
        <v>154</v>
      </c>
      <c r="AI79" s="37"/>
      <c r="AJ79" s="119"/>
      <c r="AK79" s="264" t="s">
        <v>671</v>
      </c>
      <c r="AL79" s="67" t="s">
        <v>265</v>
      </c>
      <c r="AM79" s="241">
        <v>45024</v>
      </c>
      <c r="AN79" s="67" t="s">
        <v>265</v>
      </c>
      <c r="AO79" s="123"/>
      <c r="AP79" s="43" t="s">
        <v>720</v>
      </c>
      <c r="AQ79" s="39"/>
      <c r="AR79" s="39"/>
      <c r="AS79" s="39"/>
      <c r="AT79" s="39"/>
      <c r="AU79" s="39"/>
      <c r="AV79" s="39"/>
      <c r="AW79" s="39"/>
      <c r="AX79" s="280"/>
      <c r="AY79" s="280"/>
      <c r="AZ79" s="280"/>
      <c r="BA79" s="280"/>
      <c r="BB79" s="280"/>
      <c r="BC79" s="281"/>
    </row>
    <row r="80" spans="1:55" ht="51" customHeight="1">
      <c r="A80" s="264" t="s">
        <v>643</v>
      </c>
      <c r="B80" s="22">
        <v>78</v>
      </c>
      <c r="C80" s="44" t="s">
        <v>54</v>
      </c>
      <c r="D80" s="45" t="s">
        <v>611</v>
      </c>
      <c r="E80" s="158" t="s">
        <v>721</v>
      </c>
      <c r="F80" s="282" t="s">
        <v>722</v>
      </c>
      <c r="G80" s="33" t="s">
        <v>723</v>
      </c>
      <c r="H80" s="28" t="s">
        <v>724</v>
      </c>
      <c r="I80" s="33" t="s">
        <v>725</v>
      </c>
      <c r="J80" s="22" t="s">
        <v>60</v>
      </c>
      <c r="K80" s="30">
        <v>36257</v>
      </c>
      <c r="L80" s="22">
        <f t="shared" ca="1" si="1"/>
        <v>27</v>
      </c>
      <c r="M80" s="22"/>
      <c r="N80" s="22" t="s">
        <v>617</v>
      </c>
      <c r="O80" s="30">
        <v>44669</v>
      </c>
      <c r="P80" s="25" t="s">
        <v>629</v>
      </c>
      <c r="Q80" s="49" t="s">
        <v>81</v>
      </c>
      <c r="R80" s="33" t="s">
        <v>717</v>
      </c>
      <c r="S80" s="158" t="s">
        <v>82</v>
      </c>
      <c r="T80" s="209">
        <v>15000</v>
      </c>
      <c r="U80" s="162">
        <v>46106</v>
      </c>
      <c r="V80" s="91">
        <v>46184</v>
      </c>
      <c r="W80" s="167" t="s">
        <v>726</v>
      </c>
      <c r="X80" s="9"/>
      <c r="Y80" s="14"/>
      <c r="Z80" s="15" t="s">
        <v>719</v>
      </c>
      <c r="AA80" s="17"/>
      <c r="AB80" s="53"/>
      <c r="AC80" s="53"/>
      <c r="AD80" s="36"/>
      <c r="AE80" s="42">
        <v>45853</v>
      </c>
      <c r="AF80" s="42">
        <v>45890</v>
      </c>
      <c r="AG80" s="22"/>
      <c r="AH80" s="103" t="s">
        <v>154</v>
      </c>
      <c r="AI80" s="37"/>
      <c r="AJ80" s="119"/>
      <c r="AK80" s="264" t="s">
        <v>650</v>
      </c>
      <c r="AL80" s="9" t="s">
        <v>89</v>
      </c>
      <c r="AM80" s="197">
        <v>44661</v>
      </c>
      <c r="AN80" s="9" t="s">
        <v>727</v>
      </c>
      <c r="AO80" s="35"/>
      <c r="AP80" s="35" t="s">
        <v>728</v>
      </c>
      <c r="AQ80" s="79"/>
      <c r="AR80" s="79"/>
      <c r="AS80" s="79"/>
      <c r="AT80" s="79"/>
      <c r="AU80" s="79"/>
      <c r="AV80" s="79"/>
      <c r="AW80" s="79"/>
      <c r="AX80" s="35"/>
      <c r="AY80" s="35"/>
      <c r="AZ80" s="35"/>
      <c r="BA80" s="35"/>
      <c r="BB80" s="35"/>
      <c r="BC80" s="148"/>
    </row>
    <row r="81" spans="1:55" ht="50.25" customHeight="1">
      <c r="A81" s="264" t="s">
        <v>643</v>
      </c>
      <c r="B81" s="22">
        <v>79</v>
      </c>
      <c r="C81" s="44" t="s">
        <v>54</v>
      </c>
      <c r="D81" s="45" t="s">
        <v>611</v>
      </c>
      <c r="E81" s="283" t="s">
        <v>729</v>
      </c>
      <c r="F81" s="282" t="s">
        <v>730</v>
      </c>
      <c r="G81" s="33" t="s">
        <v>731</v>
      </c>
      <c r="H81" s="28" t="s">
        <v>732</v>
      </c>
      <c r="I81" s="33" t="s">
        <v>733</v>
      </c>
      <c r="J81" s="22" t="s">
        <v>60</v>
      </c>
      <c r="K81" s="30">
        <v>36638</v>
      </c>
      <c r="L81" s="22">
        <f t="shared" ca="1" si="1"/>
        <v>25</v>
      </c>
      <c r="M81" s="22" t="s">
        <v>79</v>
      </c>
      <c r="N81" s="207" t="s">
        <v>617</v>
      </c>
      <c r="O81" s="30">
        <v>44669</v>
      </c>
      <c r="P81" s="25" t="s">
        <v>629</v>
      </c>
      <c r="Q81" s="284" t="s">
        <v>490</v>
      </c>
      <c r="R81" s="33" t="s">
        <v>734</v>
      </c>
      <c r="S81" s="158" t="s">
        <v>82</v>
      </c>
      <c r="T81" s="209">
        <v>15000</v>
      </c>
      <c r="U81" s="140">
        <v>45962</v>
      </c>
      <c r="V81" s="285">
        <v>47102</v>
      </c>
      <c r="W81" s="67" t="s">
        <v>735</v>
      </c>
      <c r="X81" s="9" t="s">
        <v>660</v>
      </c>
      <c r="Y81" s="14"/>
      <c r="Z81" s="15" t="s">
        <v>736</v>
      </c>
      <c r="AA81" s="17"/>
      <c r="AB81" s="53" t="s">
        <v>737</v>
      </c>
      <c r="AC81" s="53"/>
      <c r="AD81" s="36"/>
      <c r="AE81" s="102">
        <v>45623</v>
      </c>
      <c r="AF81" s="42">
        <v>45660</v>
      </c>
      <c r="AG81" s="22"/>
      <c r="AH81" s="103" t="s">
        <v>154</v>
      </c>
      <c r="AI81" s="37"/>
      <c r="AJ81" s="119"/>
      <c r="AK81" s="264" t="s">
        <v>650</v>
      </c>
      <c r="AL81" s="286" t="s">
        <v>265</v>
      </c>
      <c r="AM81" s="287" t="s">
        <v>738</v>
      </c>
      <c r="AN81" s="67" t="s">
        <v>739</v>
      </c>
      <c r="AO81" s="35"/>
      <c r="AP81" s="59" t="s">
        <v>740</v>
      </c>
      <c r="AQ81" s="39" t="s">
        <v>741</v>
      </c>
      <c r="AR81" s="39" t="s">
        <v>742</v>
      </c>
      <c r="AS81" s="39"/>
      <c r="AT81" s="39"/>
      <c r="AU81" s="39"/>
      <c r="AV81" s="39"/>
      <c r="AW81" s="39"/>
      <c r="AX81" s="234"/>
      <c r="AY81" s="234"/>
      <c r="AZ81" s="234"/>
      <c r="BA81" s="234"/>
      <c r="BB81" s="234"/>
      <c r="BC81" s="288"/>
    </row>
    <row r="82" spans="1:55" ht="50.25" customHeight="1">
      <c r="A82" s="264" t="s">
        <v>664</v>
      </c>
      <c r="B82" s="22">
        <v>80</v>
      </c>
      <c r="C82" s="44" t="s">
        <v>54</v>
      </c>
      <c r="D82" s="45" t="s">
        <v>611</v>
      </c>
      <c r="E82" s="158" t="s">
        <v>743</v>
      </c>
      <c r="F82" s="282" t="s">
        <v>744</v>
      </c>
      <c r="G82" s="33" t="s">
        <v>745</v>
      </c>
      <c r="H82" s="28" t="s">
        <v>746</v>
      </c>
      <c r="I82" s="33"/>
      <c r="J82" s="22" t="s">
        <v>60</v>
      </c>
      <c r="K82" s="30">
        <v>36870</v>
      </c>
      <c r="L82" s="22">
        <f t="shared" ca="1" si="1"/>
        <v>25</v>
      </c>
      <c r="M82" s="22"/>
      <c r="N82" s="22" t="s">
        <v>617</v>
      </c>
      <c r="O82" s="30">
        <v>44669</v>
      </c>
      <c r="P82" s="25" t="s">
        <v>629</v>
      </c>
      <c r="Q82" s="49" t="s">
        <v>81</v>
      </c>
      <c r="R82" s="33" t="s">
        <v>747</v>
      </c>
      <c r="S82" s="25" t="s">
        <v>82</v>
      </c>
      <c r="T82" s="289">
        <v>15000</v>
      </c>
      <c r="U82" s="162">
        <v>46106</v>
      </c>
      <c r="V82" s="91">
        <v>46184</v>
      </c>
      <c r="W82" s="167" t="s">
        <v>748</v>
      </c>
      <c r="X82" s="9"/>
      <c r="Y82" s="14"/>
      <c r="Z82" s="15" t="s">
        <v>749</v>
      </c>
      <c r="AA82" s="17"/>
      <c r="AB82" s="53"/>
      <c r="AC82" s="53"/>
      <c r="AD82" s="36"/>
      <c r="AE82" s="36"/>
      <c r="AF82" s="36"/>
      <c r="AG82" s="22"/>
      <c r="AH82" s="22"/>
      <c r="AI82" s="37"/>
      <c r="AJ82" s="119"/>
      <c r="AK82" s="264" t="s">
        <v>671</v>
      </c>
      <c r="AL82" s="286" t="s">
        <v>89</v>
      </c>
      <c r="AM82" s="287"/>
      <c r="AN82" s="67" t="s">
        <v>750</v>
      </c>
      <c r="AO82" s="35"/>
      <c r="AP82" s="35" t="s">
        <v>751</v>
      </c>
      <c r="AQ82" s="39"/>
      <c r="AR82" s="39"/>
      <c r="AS82" s="39"/>
      <c r="AT82" s="39" t="s">
        <v>752</v>
      </c>
      <c r="AU82" s="39"/>
      <c r="AV82" s="39"/>
      <c r="AW82" s="39"/>
      <c r="AX82" s="122"/>
      <c r="AY82" s="122"/>
      <c r="AZ82" s="122"/>
      <c r="BA82" s="122"/>
      <c r="BB82" s="122"/>
      <c r="BC82" s="62"/>
    </row>
    <row r="83" spans="1:55" ht="50.25" customHeight="1">
      <c r="A83" s="22"/>
      <c r="B83" s="22">
        <v>81</v>
      </c>
      <c r="C83" s="44" t="s">
        <v>54</v>
      </c>
      <c r="D83" s="45" t="s">
        <v>611</v>
      </c>
      <c r="E83" s="158" t="s">
        <v>753</v>
      </c>
      <c r="F83" s="106"/>
      <c r="G83" s="33" t="s">
        <v>754</v>
      </c>
      <c r="H83" s="28" t="s">
        <v>755</v>
      </c>
      <c r="I83" s="33" t="s">
        <v>756</v>
      </c>
      <c r="J83" s="22" t="s">
        <v>60</v>
      </c>
      <c r="K83" s="30">
        <v>35718</v>
      </c>
      <c r="L83" s="22">
        <f t="shared" ca="1" si="1"/>
        <v>28</v>
      </c>
      <c r="M83" s="22"/>
      <c r="N83" s="22" t="s">
        <v>617</v>
      </c>
      <c r="O83" s="30">
        <v>44669</v>
      </c>
      <c r="P83" s="25" t="s">
        <v>629</v>
      </c>
      <c r="Q83" s="49" t="s">
        <v>81</v>
      </c>
      <c r="R83" s="33" t="s">
        <v>630</v>
      </c>
      <c r="S83" s="290" t="s">
        <v>757</v>
      </c>
      <c r="T83" s="289">
        <v>10000</v>
      </c>
      <c r="U83" s="140">
        <v>44788</v>
      </c>
      <c r="V83" s="66">
        <v>45785</v>
      </c>
      <c r="W83" s="67" t="s">
        <v>758</v>
      </c>
      <c r="X83" s="9"/>
      <c r="Y83" s="14"/>
      <c r="Z83" s="15" t="s">
        <v>719</v>
      </c>
      <c r="AA83" s="17"/>
      <c r="AB83" s="53"/>
      <c r="AC83" s="53"/>
      <c r="AD83" s="36"/>
      <c r="AE83" s="291">
        <v>45383</v>
      </c>
      <c r="AF83" s="291">
        <v>45414</v>
      </c>
      <c r="AG83" s="22"/>
      <c r="AH83" s="22" t="s">
        <v>67</v>
      </c>
      <c r="AI83" s="37">
        <v>45677</v>
      </c>
      <c r="AJ83" s="93" t="s">
        <v>759</v>
      </c>
      <c r="AK83" s="22"/>
      <c r="AL83" s="67"/>
      <c r="AM83" s="82"/>
      <c r="AN83" s="82"/>
      <c r="AO83" s="82"/>
      <c r="AP83" s="82" t="s">
        <v>760</v>
      </c>
      <c r="AQ83" s="39"/>
      <c r="AR83" s="39"/>
      <c r="AS83" s="39"/>
      <c r="AT83" s="39"/>
      <c r="AU83" s="39"/>
      <c r="AV83" s="39"/>
      <c r="AW83" s="39"/>
      <c r="AX83" s="39"/>
      <c r="AY83" s="39"/>
      <c r="AZ83" s="39"/>
      <c r="BA83" s="39"/>
      <c r="BB83" s="39"/>
      <c r="BC83" s="62"/>
    </row>
    <row r="84" spans="1:55" ht="50.25" customHeight="1">
      <c r="A84" s="22"/>
      <c r="B84" s="22">
        <v>82</v>
      </c>
      <c r="C84" s="44" t="s">
        <v>54</v>
      </c>
      <c r="D84" s="45" t="s">
        <v>611</v>
      </c>
      <c r="E84" s="158" t="s">
        <v>761</v>
      </c>
      <c r="F84" s="106"/>
      <c r="G84" s="33" t="s">
        <v>762</v>
      </c>
      <c r="H84" s="28" t="s">
        <v>763</v>
      </c>
      <c r="I84" s="33"/>
      <c r="J84" s="22" t="s">
        <v>60</v>
      </c>
      <c r="K84" s="30">
        <v>36056</v>
      </c>
      <c r="L84" s="22">
        <f t="shared" ca="1" si="1"/>
        <v>27</v>
      </c>
      <c r="M84" s="22"/>
      <c r="N84" s="22" t="s">
        <v>617</v>
      </c>
      <c r="O84" s="30">
        <v>44669</v>
      </c>
      <c r="P84" s="25" t="s">
        <v>629</v>
      </c>
      <c r="Q84" s="49" t="s">
        <v>81</v>
      </c>
      <c r="R84" s="33" t="s">
        <v>630</v>
      </c>
      <c r="S84" s="290" t="s">
        <v>764</v>
      </c>
      <c r="T84" s="289">
        <v>10000</v>
      </c>
      <c r="U84" s="140">
        <v>44788</v>
      </c>
      <c r="V84" s="66">
        <v>45785</v>
      </c>
      <c r="W84" s="67" t="s">
        <v>765</v>
      </c>
      <c r="X84" s="9"/>
      <c r="Y84" s="14"/>
      <c r="Z84" s="15" t="s">
        <v>766</v>
      </c>
      <c r="AA84" s="89">
        <v>45997</v>
      </c>
      <c r="AB84" s="53"/>
      <c r="AC84" s="53"/>
      <c r="AD84" s="36"/>
      <c r="AE84" s="291">
        <v>45383</v>
      </c>
      <c r="AF84" s="291">
        <v>45414</v>
      </c>
      <c r="AG84" s="22"/>
      <c r="AH84" s="22" t="s">
        <v>67</v>
      </c>
      <c r="AI84" s="37">
        <v>45736</v>
      </c>
      <c r="AJ84" s="216" t="s">
        <v>600</v>
      </c>
      <c r="AK84" s="22"/>
      <c r="AL84" s="67"/>
      <c r="AM84" s="82"/>
      <c r="AN84" s="82"/>
      <c r="AO84" s="82"/>
      <c r="AP84" s="82" t="s">
        <v>767</v>
      </c>
      <c r="AQ84" s="39"/>
      <c r="AR84" s="39"/>
      <c r="AS84" s="39"/>
      <c r="AT84" s="39"/>
      <c r="AU84" s="39"/>
      <c r="AV84" s="39"/>
      <c r="AW84" s="39"/>
      <c r="AX84" s="39"/>
      <c r="AY84" s="39"/>
      <c r="AZ84" s="39"/>
      <c r="BA84" s="39"/>
      <c r="BB84" s="39"/>
      <c r="BC84" s="62"/>
    </row>
    <row r="85" spans="1:55" ht="50.25" customHeight="1">
      <c r="A85" s="22"/>
      <c r="B85" s="22">
        <v>83</v>
      </c>
      <c r="C85" s="44" t="s">
        <v>54</v>
      </c>
      <c r="D85" s="45" t="s">
        <v>611</v>
      </c>
      <c r="E85" s="158" t="s">
        <v>768</v>
      </c>
      <c r="F85" s="106"/>
      <c r="G85" s="33" t="s">
        <v>769</v>
      </c>
      <c r="H85" s="28" t="s">
        <v>770</v>
      </c>
      <c r="I85" s="33"/>
      <c r="J85" s="22" t="s">
        <v>60</v>
      </c>
      <c r="K85" s="30">
        <v>35762</v>
      </c>
      <c r="L85" s="22">
        <f t="shared" ca="1" si="1"/>
        <v>28</v>
      </c>
      <c r="M85" s="22"/>
      <c r="N85" s="22" t="s">
        <v>617</v>
      </c>
      <c r="O85" s="30">
        <v>44669</v>
      </c>
      <c r="P85" s="25" t="s">
        <v>629</v>
      </c>
      <c r="Q85" s="49" t="s">
        <v>81</v>
      </c>
      <c r="R85" s="33" t="s">
        <v>630</v>
      </c>
      <c r="S85" s="290" t="s">
        <v>771</v>
      </c>
      <c r="T85" s="289">
        <v>10000</v>
      </c>
      <c r="U85" s="140">
        <v>44788</v>
      </c>
      <c r="V85" s="66">
        <v>45785</v>
      </c>
      <c r="W85" s="67" t="s">
        <v>772</v>
      </c>
      <c r="X85" s="9"/>
      <c r="Y85" s="14"/>
      <c r="Z85" s="15" t="s">
        <v>773</v>
      </c>
      <c r="AA85" s="17"/>
      <c r="AB85" s="53"/>
      <c r="AC85" s="53"/>
      <c r="AD85" s="36"/>
      <c r="AE85" s="291">
        <v>45383</v>
      </c>
      <c r="AF85" s="291">
        <v>45414</v>
      </c>
      <c r="AG85" s="22"/>
      <c r="AH85" s="22" t="s">
        <v>67</v>
      </c>
      <c r="AI85" s="37">
        <v>45677</v>
      </c>
      <c r="AJ85" s="93" t="s">
        <v>759</v>
      </c>
      <c r="AK85" s="22"/>
      <c r="AL85" s="67"/>
      <c r="AM85" s="82"/>
      <c r="AN85" s="82"/>
      <c r="AO85" s="82"/>
      <c r="AP85" s="82" t="s">
        <v>774</v>
      </c>
      <c r="AQ85" s="116"/>
      <c r="AR85" s="116"/>
      <c r="AS85" s="116"/>
      <c r="AT85" s="116"/>
      <c r="AU85" s="116"/>
      <c r="AV85" s="116"/>
      <c r="AW85" s="116"/>
      <c r="AX85" s="116"/>
      <c r="AY85" s="116"/>
      <c r="AZ85" s="116"/>
      <c r="BA85" s="116"/>
      <c r="BB85" s="116"/>
      <c r="BC85" s="292"/>
    </row>
    <row r="86" spans="1:55" ht="50.25" customHeight="1">
      <c r="A86" s="22"/>
      <c r="B86" s="22">
        <v>84</v>
      </c>
      <c r="C86" s="44" t="s">
        <v>54</v>
      </c>
      <c r="D86" s="45" t="s">
        <v>611</v>
      </c>
      <c r="E86" s="158" t="s">
        <v>775</v>
      </c>
      <c r="F86" s="106"/>
      <c r="G86" s="33" t="s">
        <v>776</v>
      </c>
      <c r="H86" s="28" t="s">
        <v>777</v>
      </c>
      <c r="I86" s="33" t="s">
        <v>778</v>
      </c>
      <c r="J86" s="22" t="s">
        <v>60</v>
      </c>
      <c r="K86" s="30">
        <v>35762</v>
      </c>
      <c r="L86" s="22">
        <f t="shared" ca="1" si="1"/>
        <v>28</v>
      </c>
      <c r="M86" s="22" t="s">
        <v>149</v>
      </c>
      <c r="N86" s="22" t="s">
        <v>617</v>
      </c>
      <c r="O86" s="30">
        <v>44669</v>
      </c>
      <c r="P86" s="25" t="s">
        <v>629</v>
      </c>
      <c r="Q86" s="49" t="s">
        <v>81</v>
      </c>
      <c r="R86" s="88" t="s">
        <v>553</v>
      </c>
      <c r="S86" s="158" t="s">
        <v>149</v>
      </c>
      <c r="T86" s="209">
        <v>20000</v>
      </c>
      <c r="U86" s="140">
        <v>44788</v>
      </c>
      <c r="V86" s="66">
        <v>45808</v>
      </c>
      <c r="W86" s="67" t="s">
        <v>779</v>
      </c>
      <c r="X86" s="9" t="s">
        <v>660</v>
      </c>
      <c r="Y86" s="14"/>
      <c r="Z86" s="15" t="s">
        <v>719</v>
      </c>
      <c r="AA86" s="17"/>
      <c r="AB86" s="53"/>
      <c r="AC86" s="53"/>
      <c r="AD86" s="36"/>
      <c r="AE86" s="291">
        <v>45459</v>
      </c>
      <c r="AF86" s="268">
        <v>45504</v>
      </c>
      <c r="AG86" s="22"/>
      <c r="AH86" s="22" t="s">
        <v>67</v>
      </c>
      <c r="AI86" s="184">
        <v>45677</v>
      </c>
      <c r="AJ86" s="93" t="s">
        <v>780</v>
      </c>
      <c r="AK86" s="22"/>
      <c r="AL86" s="293"/>
      <c r="AM86" s="293">
        <v>44661</v>
      </c>
      <c r="AN86" s="43"/>
      <c r="AO86" s="43"/>
      <c r="AP86" s="43" t="s">
        <v>781</v>
      </c>
      <c r="AQ86" s="116"/>
      <c r="AR86" s="116"/>
      <c r="AS86" s="116"/>
      <c r="AT86" s="116"/>
      <c r="AU86" s="116"/>
      <c r="AV86" s="116"/>
      <c r="AW86" s="116"/>
      <c r="AX86" s="116"/>
      <c r="AY86" s="116"/>
      <c r="AZ86" s="116"/>
      <c r="BA86" s="116"/>
      <c r="BB86" s="116"/>
      <c r="BC86" s="294"/>
    </row>
    <row r="87" spans="1:55" ht="50.25" customHeight="1">
      <c r="A87" s="264" t="s">
        <v>643</v>
      </c>
      <c r="B87" s="22">
        <v>85</v>
      </c>
      <c r="C87" s="44" t="s">
        <v>54</v>
      </c>
      <c r="D87" s="45" t="s">
        <v>611</v>
      </c>
      <c r="E87" s="158" t="s">
        <v>782</v>
      </c>
      <c r="F87" s="282" t="s">
        <v>783</v>
      </c>
      <c r="G87" s="33" t="s">
        <v>784</v>
      </c>
      <c r="H87" s="28" t="s">
        <v>785</v>
      </c>
      <c r="I87" s="33" t="s">
        <v>786</v>
      </c>
      <c r="J87" s="22" t="s">
        <v>60</v>
      </c>
      <c r="K87" s="30">
        <v>36874</v>
      </c>
      <c r="L87" s="22">
        <f t="shared" ca="1" si="1"/>
        <v>25</v>
      </c>
      <c r="M87" s="70" t="s">
        <v>134</v>
      </c>
      <c r="N87" s="22" t="s">
        <v>617</v>
      </c>
      <c r="O87" s="30">
        <v>44669</v>
      </c>
      <c r="P87" s="25" t="s">
        <v>629</v>
      </c>
      <c r="Q87" s="49" t="s">
        <v>81</v>
      </c>
      <c r="R87" s="33" t="s">
        <v>635</v>
      </c>
      <c r="S87" s="158" t="s">
        <v>82</v>
      </c>
      <c r="T87" s="209">
        <v>15000</v>
      </c>
      <c r="U87" s="162">
        <v>46093</v>
      </c>
      <c r="V87" s="91">
        <v>46184</v>
      </c>
      <c r="W87" s="167" t="s">
        <v>787</v>
      </c>
      <c r="X87" s="9"/>
      <c r="Y87" s="14"/>
      <c r="Z87" s="15" t="s">
        <v>719</v>
      </c>
      <c r="AA87" s="17"/>
      <c r="AB87" s="53"/>
      <c r="AC87" s="53"/>
      <c r="AD87" s="36"/>
      <c r="AE87" s="107" t="s">
        <v>788</v>
      </c>
      <c r="AF87" s="295" t="s">
        <v>789</v>
      </c>
      <c r="AG87" s="22"/>
      <c r="AH87" s="22" t="s">
        <v>680</v>
      </c>
      <c r="AI87" s="296"/>
      <c r="AJ87" s="119"/>
      <c r="AK87" s="264" t="s">
        <v>650</v>
      </c>
      <c r="AL87" s="297"/>
      <c r="AM87" s="197">
        <v>44661</v>
      </c>
      <c r="AN87" s="14" t="s">
        <v>790</v>
      </c>
      <c r="AO87" s="298"/>
      <c r="AP87" s="236" t="s">
        <v>791</v>
      </c>
      <c r="AQ87" s="116"/>
      <c r="AR87" s="116"/>
      <c r="AS87" s="116"/>
      <c r="AT87" s="116"/>
      <c r="AU87" s="116"/>
      <c r="AV87" s="116"/>
      <c r="AW87" s="116"/>
      <c r="AX87" s="122"/>
      <c r="AY87" s="122"/>
      <c r="AZ87" s="122"/>
      <c r="BA87" s="122"/>
      <c r="BB87" s="122"/>
      <c r="BC87" s="148"/>
    </row>
    <row r="88" spans="1:55" ht="50.25" customHeight="1">
      <c r="A88" s="21"/>
      <c r="B88" s="22">
        <v>86</v>
      </c>
      <c r="C88" s="23" t="s">
        <v>54</v>
      </c>
      <c r="D88" s="24" t="s">
        <v>611</v>
      </c>
      <c r="E88" s="158" t="s">
        <v>792</v>
      </c>
      <c r="F88" s="26"/>
      <c r="G88" s="137" t="s">
        <v>793</v>
      </c>
      <c r="H88" s="137" t="s">
        <v>794</v>
      </c>
      <c r="I88" s="29" t="s">
        <v>795</v>
      </c>
      <c r="J88" s="22" t="s">
        <v>60</v>
      </c>
      <c r="K88" s="30">
        <v>37732</v>
      </c>
      <c r="L88" s="22">
        <f t="shared" ca="1" si="1"/>
        <v>23</v>
      </c>
      <c r="M88" s="22"/>
      <c r="N88" s="22" t="s">
        <v>617</v>
      </c>
      <c r="O88" s="30">
        <v>44937</v>
      </c>
      <c r="P88" s="25" t="s">
        <v>548</v>
      </c>
      <c r="Q88" s="155" t="s">
        <v>81</v>
      </c>
      <c r="R88" s="33" t="s">
        <v>796</v>
      </c>
      <c r="S88" s="30"/>
      <c r="T88" s="30"/>
      <c r="U88" s="119"/>
      <c r="V88" s="30">
        <v>45287</v>
      </c>
      <c r="W88" s="9" t="s">
        <v>797</v>
      </c>
      <c r="X88" s="9"/>
      <c r="Y88" s="221"/>
      <c r="Z88" s="221">
        <v>2205</v>
      </c>
      <c r="AA88" s="22"/>
      <c r="AB88" s="36"/>
      <c r="AC88" s="36"/>
      <c r="AD88" s="36"/>
      <c r="AE88" s="36"/>
      <c r="AF88" s="36"/>
      <c r="AG88" s="22"/>
      <c r="AH88" s="22" t="s">
        <v>67</v>
      </c>
      <c r="AI88" s="37">
        <v>45240</v>
      </c>
      <c r="AJ88" s="119"/>
      <c r="AK88" s="21"/>
      <c r="AL88" s="9"/>
      <c r="AM88" s="116"/>
      <c r="AN88" s="116"/>
      <c r="AO88" s="116"/>
      <c r="AP88" s="116"/>
      <c r="AQ88" s="116"/>
      <c r="AR88" s="116"/>
      <c r="AS88" s="116"/>
      <c r="AT88" s="116"/>
      <c r="AU88" s="116"/>
      <c r="AV88" s="116"/>
      <c r="AW88" s="116"/>
      <c r="AX88" s="116"/>
      <c r="AY88" s="116"/>
      <c r="AZ88" s="116"/>
      <c r="BA88" s="116"/>
      <c r="BB88" s="116"/>
      <c r="BC88" s="148"/>
    </row>
    <row r="89" spans="1:55" ht="50.25" customHeight="1">
      <c r="A89" s="21"/>
      <c r="B89" s="22">
        <v>87</v>
      </c>
      <c r="C89" s="23" t="s">
        <v>54</v>
      </c>
      <c r="D89" s="24" t="s">
        <v>611</v>
      </c>
      <c r="E89" s="158" t="s">
        <v>798</v>
      </c>
      <c r="F89" s="26"/>
      <c r="G89" s="137" t="s">
        <v>799</v>
      </c>
      <c r="H89" s="137" t="s">
        <v>800</v>
      </c>
      <c r="I89" s="29" t="s">
        <v>756</v>
      </c>
      <c r="J89" s="22" t="s">
        <v>60</v>
      </c>
      <c r="K89" s="30">
        <v>37447</v>
      </c>
      <c r="L89" s="22">
        <f t="shared" ca="1" si="1"/>
        <v>23</v>
      </c>
      <c r="M89" s="22"/>
      <c r="N89" s="22" t="s">
        <v>617</v>
      </c>
      <c r="O89" s="30">
        <v>44937</v>
      </c>
      <c r="P89" s="25" t="s">
        <v>548</v>
      </c>
      <c r="Q89" s="155" t="s">
        <v>81</v>
      </c>
      <c r="R89" s="33" t="s">
        <v>796</v>
      </c>
      <c r="S89" s="299"/>
      <c r="T89" s="299"/>
      <c r="U89" s="119"/>
      <c r="V89" s="66">
        <v>45287</v>
      </c>
      <c r="W89" s="9" t="s">
        <v>801</v>
      </c>
      <c r="X89" s="9"/>
      <c r="Y89" s="221"/>
      <c r="Z89" s="221">
        <v>2206</v>
      </c>
      <c r="AA89" s="22"/>
      <c r="AB89" s="36"/>
      <c r="AC89" s="36"/>
      <c r="AD89" s="36"/>
      <c r="AE89" s="36"/>
      <c r="AF89" s="36"/>
      <c r="AG89" s="22"/>
      <c r="AH89" s="22" t="s">
        <v>67</v>
      </c>
      <c r="AI89" s="37">
        <v>45280</v>
      </c>
      <c r="AJ89" s="119"/>
      <c r="AK89" s="21"/>
      <c r="AL89" s="9"/>
      <c r="AM89" s="116"/>
      <c r="AN89" s="116"/>
      <c r="AO89" s="116"/>
      <c r="AP89" s="116"/>
      <c r="AQ89" s="116"/>
      <c r="AR89" s="116"/>
      <c r="AS89" s="116"/>
      <c r="AT89" s="116"/>
      <c r="AU89" s="116"/>
      <c r="AV89" s="116"/>
      <c r="AW89" s="116"/>
      <c r="AX89" s="116"/>
      <c r="AY89" s="116"/>
      <c r="AZ89" s="116"/>
      <c r="BA89" s="116"/>
      <c r="BB89" s="116"/>
      <c r="BC89" s="148"/>
    </row>
    <row r="90" spans="1:55" ht="50.25" customHeight="1">
      <c r="A90" s="264" t="s">
        <v>802</v>
      </c>
      <c r="B90" s="22">
        <v>88</v>
      </c>
      <c r="C90" s="44" t="s">
        <v>54</v>
      </c>
      <c r="D90" s="45" t="s">
        <v>611</v>
      </c>
      <c r="E90" s="158" t="s">
        <v>803</v>
      </c>
      <c r="F90" s="282" t="s">
        <v>804</v>
      </c>
      <c r="G90" s="33" t="s">
        <v>805</v>
      </c>
      <c r="H90" s="137" t="s">
        <v>806</v>
      </c>
      <c r="I90" s="33"/>
      <c r="J90" s="22" t="s">
        <v>60</v>
      </c>
      <c r="K90" s="30">
        <v>36553</v>
      </c>
      <c r="L90" s="22">
        <f t="shared" ca="1" si="1"/>
        <v>26</v>
      </c>
      <c r="M90" s="22" t="s">
        <v>79</v>
      </c>
      <c r="N90" s="22" t="s">
        <v>617</v>
      </c>
      <c r="O90" s="30">
        <v>44669</v>
      </c>
      <c r="P90" s="25" t="s">
        <v>629</v>
      </c>
      <c r="Q90" s="49" t="s">
        <v>81</v>
      </c>
      <c r="R90" s="47" t="s">
        <v>272</v>
      </c>
      <c r="S90" s="300" t="s">
        <v>149</v>
      </c>
      <c r="T90" s="64">
        <v>20000</v>
      </c>
      <c r="U90" s="162">
        <v>46106</v>
      </c>
      <c r="V90" s="91">
        <v>46184</v>
      </c>
      <c r="W90" s="167" t="s">
        <v>807</v>
      </c>
      <c r="X90" s="9"/>
      <c r="Y90" s="14"/>
      <c r="Z90" s="15" t="s">
        <v>808</v>
      </c>
      <c r="AA90" s="17"/>
      <c r="AB90" s="53"/>
      <c r="AC90" s="53"/>
      <c r="AD90" s="36"/>
      <c r="AE90" s="42">
        <v>45855</v>
      </c>
      <c r="AF90" s="42">
        <v>45893</v>
      </c>
      <c r="AG90" s="22"/>
      <c r="AH90" s="103" t="s">
        <v>154</v>
      </c>
      <c r="AI90" s="37"/>
      <c r="AJ90" s="119"/>
      <c r="AK90" s="264" t="s">
        <v>671</v>
      </c>
      <c r="AL90" s="9" t="s">
        <v>89</v>
      </c>
      <c r="AM90" s="197">
        <v>44661</v>
      </c>
      <c r="AN90" s="67" t="s">
        <v>727</v>
      </c>
      <c r="AO90" s="35"/>
      <c r="AP90" s="35" t="s">
        <v>809</v>
      </c>
      <c r="AQ90" s="116" t="s">
        <v>810</v>
      </c>
      <c r="AR90" s="116"/>
      <c r="AS90" s="116"/>
      <c r="AT90" s="116"/>
      <c r="AU90" s="116"/>
      <c r="AV90" s="116"/>
      <c r="AW90" s="116"/>
      <c r="AX90" s="122"/>
      <c r="AY90" s="122"/>
      <c r="AZ90" s="122"/>
      <c r="BA90" s="122"/>
      <c r="BB90" s="122"/>
      <c r="BC90" s="255"/>
    </row>
    <row r="91" spans="1:55" ht="50.25" customHeight="1">
      <c r="A91" s="22"/>
      <c r="B91" s="22">
        <v>89</v>
      </c>
      <c r="C91" s="44" t="s">
        <v>54</v>
      </c>
      <c r="D91" s="45" t="s">
        <v>611</v>
      </c>
      <c r="E91" s="158" t="s">
        <v>811</v>
      </c>
      <c r="F91" s="106"/>
      <c r="G91" s="28" t="s">
        <v>812</v>
      </c>
      <c r="H91" s="28" t="s">
        <v>813</v>
      </c>
      <c r="I91" s="33" t="s">
        <v>814</v>
      </c>
      <c r="J91" s="22" t="s">
        <v>60</v>
      </c>
      <c r="K91" s="30">
        <v>36770</v>
      </c>
      <c r="L91" s="22">
        <f t="shared" ca="1" si="1"/>
        <v>25</v>
      </c>
      <c r="M91" s="22"/>
      <c r="N91" s="22" t="s">
        <v>617</v>
      </c>
      <c r="O91" s="30">
        <v>44669</v>
      </c>
      <c r="P91" s="25" t="s">
        <v>629</v>
      </c>
      <c r="Q91" s="49" t="s">
        <v>81</v>
      </c>
      <c r="R91" s="33" t="s">
        <v>734</v>
      </c>
      <c r="S91" s="158" t="s">
        <v>82</v>
      </c>
      <c r="T91" s="209">
        <v>15000</v>
      </c>
      <c r="U91" s="140">
        <v>44788</v>
      </c>
      <c r="V91" s="66">
        <v>45808</v>
      </c>
      <c r="W91" s="67" t="s">
        <v>815</v>
      </c>
      <c r="X91" s="9"/>
      <c r="Y91" s="14"/>
      <c r="Z91" s="15" t="s">
        <v>719</v>
      </c>
      <c r="AA91" s="17"/>
      <c r="AB91" s="53"/>
      <c r="AC91" s="53"/>
      <c r="AD91" s="36"/>
      <c r="AE91" s="36"/>
      <c r="AF91" s="36"/>
      <c r="AG91" s="22"/>
      <c r="AH91" s="22" t="s">
        <v>67</v>
      </c>
      <c r="AI91" s="37">
        <v>45677</v>
      </c>
      <c r="AJ91" s="93" t="s">
        <v>759</v>
      </c>
      <c r="AK91" s="22"/>
      <c r="AL91" s="9"/>
      <c r="AM91" s="35"/>
      <c r="AN91" s="35"/>
      <c r="AO91" s="35"/>
      <c r="AP91" s="35" t="s">
        <v>816</v>
      </c>
      <c r="AQ91" s="116"/>
      <c r="AR91" s="116"/>
      <c r="AS91" s="116"/>
      <c r="AT91" s="116"/>
      <c r="AU91" s="116"/>
      <c r="AV91" s="116"/>
      <c r="AW91" s="116"/>
      <c r="AX91" s="116"/>
      <c r="AY91" s="116"/>
      <c r="AZ91" s="116"/>
      <c r="BA91" s="116"/>
      <c r="BB91" s="116"/>
      <c r="BC91" s="62"/>
    </row>
    <row r="92" spans="1:55" ht="50.25" customHeight="1">
      <c r="A92" s="301"/>
      <c r="B92" s="22">
        <v>90</v>
      </c>
      <c r="C92" s="44" t="s">
        <v>54</v>
      </c>
      <c r="D92" s="45" t="s">
        <v>611</v>
      </c>
      <c r="E92" s="158" t="s">
        <v>817</v>
      </c>
      <c r="F92" s="106"/>
      <c r="G92" s="33" t="s">
        <v>818</v>
      </c>
      <c r="H92" s="28" t="s">
        <v>819</v>
      </c>
      <c r="I92" s="33" t="s">
        <v>820</v>
      </c>
      <c r="J92" s="22" t="s">
        <v>60</v>
      </c>
      <c r="K92" s="30">
        <v>37462</v>
      </c>
      <c r="L92" s="22">
        <f t="shared" ca="1" si="1"/>
        <v>23</v>
      </c>
      <c r="M92" s="22"/>
      <c r="N92" s="22" t="s">
        <v>617</v>
      </c>
      <c r="O92" s="30">
        <v>44669</v>
      </c>
      <c r="P92" s="25" t="s">
        <v>629</v>
      </c>
      <c r="Q92" s="49" t="s">
        <v>81</v>
      </c>
      <c r="R92" s="33" t="s">
        <v>630</v>
      </c>
      <c r="S92" s="290" t="s">
        <v>802</v>
      </c>
      <c r="T92" s="289">
        <v>15000</v>
      </c>
      <c r="U92" s="140">
        <v>44788</v>
      </c>
      <c r="V92" s="66">
        <v>45808</v>
      </c>
      <c r="W92" s="67" t="s">
        <v>821</v>
      </c>
      <c r="X92" s="9"/>
      <c r="Y92" s="14"/>
      <c r="Z92" s="15" t="s">
        <v>822</v>
      </c>
      <c r="AA92" s="17"/>
      <c r="AB92" s="53" t="s">
        <v>355</v>
      </c>
      <c r="AC92" s="53"/>
      <c r="AD92" s="36"/>
      <c r="AE92" s="36"/>
      <c r="AF92" s="36"/>
      <c r="AG92" s="22"/>
      <c r="AH92" s="22" t="s">
        <v>67</v>
      </c>
      <c r="AI92" s="37">
        <v>45677</v>
      </c>
      <c r="AJ92" s="93" t="s">
        <v>759</v>
      </c>
      <c r="AK92" s="301"/>
      <c r="AL92" s="197"/>
      <c r="AM92" s="197">
        <v>44661</v>
      </c>
      <c r="AN92" s="35"/>
      <c r="AO92" s="35"/>
      <c r="AP92" s="35" t="s">
        <v>823</v>
      </c>
      <c r="AQ92" s="116"/>
      <c r="AR92" s="116"/>
      <c r="AS92" s="116"/>
      <c r="AT92" s="116"/>
      <c r="AU92" s="116"/>
      <c r="AV92" s="116"/>
      <c r="AW92" s="116"/>
      <c r="AX92" s="116"/>
      <c r="AY92" s="116"/>
      <c r="AZ92" s="116"/>
      <c r="BA92" s="116"/>
      <c r="BB92" s="116"/>
      <c r="BC92" s="148"/>
    </row>
    <row r="93" spans="1:55" ht="50.25" customHeight="1">
      <c r="A93" s="22"/>
      <c r="B93" s="22">
        <v>91</v>
      </c>
      <c r="C93" s="44" t="s">
        <v>54</v>
      </c>
      <c r="D93" s="45" t="s">
        <v>611</v>
      </c>
      <c r="E93" s="158" t="s">
        <v>824</v>
      </c>
      <c r="F93" s="106"/>
      <c r="G93" s="33" t="s">
        <v>825</v>
      </c>
      <c r="H93" s="28" t="s">
        <v>826</v>
      </c>
      <c r="I93" s="33" t="s">
        <v>827</v>
      </c>
      <c r="J93" s="22" t="s">
        <v>60</v>
      </c>
      <c r="K93" s="30">
        <v>37174</v>
      </c>
      <c r="L93" s="22">
        <f t="shared" ca="1" si="1"/>
        <v>24</v>
      </c>
      <c r="M93" s="22"/>
      <c r="N93" s="22" t="s">
        <v>617</v>
      </c>
      <c r="O93" s="30">
        <v>44669</v>
      </c>
      <c r="P93" s="25" t="s">
        <v>629</v>
      </c>
      <c r="Q93" s="49" t="s">
        <v>81</v>
      </c>
      <c r="R93" s="33" t="s">
        <v>630</v>
      </c>
      <c r="S93" s="290" t="s">
        <v>828</v>
      </c>
      <c r="T93" s="289">
        <v>15000</v>
      </c>
      <c r="U93" s="140">
        <v>44788</v>
      </c>
      <c r="V93" s="66">
        <v>45808</v>
      </c>
      <c r="W93" s="67" t="s">
        <v>829</v>
      </c>
      <c r="X93" s="45"/>
      <c r="Y93" s="14"/>
      <c r="Z93" s="15" t="s">
        <v>830</v>
      </c>
      <c r="AA93" s="89">
        <v>45997</v>
      </c>
      <c r="AB93" s="90"/>
      <c r="AC93" s="53"/>
      <c r="AD93" s="36"/>
      <c r="AE93" s="36"/>
      <c r="AF93" s="36"/>
      <c r="AG93" s="22"/>
      <c r="AH93" s="22" t="s">
        <v>67</v>
      </c>
      <c r="AI93" s="37">
        <v>45736</v>
      </c>
      <c r="AJ93" s="216" t="s">
        <v>600</v>
      </c>
      <c r="AK93" s="22"/>
      <c r="AL93" s="9"/>
      <c r="AM93" s="35"/>
      <c r="AN93" s="35"/>
      <c r="AO93" s="35"/>
      <c r="AP93" s="35" t="s">
        <v>831</v>
      </c>
      <c r="AQ93" s="116"/>
      <c r="AR93" s="116"/>
      <c r="AS93" s="116"/>
      <c r="AT93" s="116"/>
      <c r="AU93" s="116"/>
      <c r="AV93" s="116"/>
      <c r="AW93" s="116"/>
      <c r="AX93" s="116"/>
      <c r="AY93" s="116"/>
      <c r="AZ93" s="116"/>
      <c r="BA93" s="116"/>
      <c r="BB93" s="116"/>
      <c r="BC93" s="62"/>
    </row>
    <row r="94" spans="1:55" ht="50.25" customHeight="1">
      <c r="A94" s="22"/>
      <c r="B94" s="22">
        <v>92</v>
      </c>
      <c r="C94" s="44" t="s">
        <v>54</v>
      </c>
      <c r="D94" s="45" t="s">
        <v>611</v>
      </c>
      <c r="E94" s="158" t="s">
        <v>832</v>
      </c>
      <c r="F94" s="106"/>
      <c r="G94" s="33" t="s">
        <v>833</v>
      </c>
      <c r="H94" s="28" t="s">
        <v>834</v>
      </c>
      <c r="I94" s="33" t="s">
        <v>835</v>
      </c>
      <c r="J94" s="22" t="s">
        <v>60</v>
      </c>
      <c r="K94" s="30">
        <v>37494</v>
      </c>
      <c r="L94" s="22">
        <f t="shared" ca="1" si="1"/>
        <v>23</v>
      </c>
      <c r="M94" s="22"/>
      <c r="N94" s="22" t="s">
        <v>617</v>
      </c>
      <c r="O94" s="30">
        <v>44669</v>
      </c>
      <c r="P94" s="25" t="s">
        <v>629</v>
      </c>
      <c r="Q94" s="49" t="s">
        <v>81</v>
      </c>
      <c r="R94" s="33" t="s">
        <v>635</v>
      </c>
      <c r="S94" s="158" t="s">
        <v>82</v>
      </c>
      <c r="T94" s="209">
        <v>15000</v>
      </c>
      <c r="U94" s="140">
        <v>44788</v>
      </c>
      <c r="V94" s="66">
        <v>45808</v>
      </c>
      <c r="W94" s="67" t="s">
        <v>836</v>
      </c>
      <c r="X94" s="9"/>
      <c r="Y94" s="14"/>
      <c r="Z94" s="15" t="s">
        <v>719</v>
      </c>
      <c r="AA94" s="17"/>
      <c r="AB94" s="53"/>
      <c r="AC94" s="53"/>
      <c r="AD94" s="36"/>
      <c r="AE94" s="36"/>
      <c r="AF94" s="36"/>
      <c r="AG94" s="22"/>
      <c r="AH94" s="22" t="s">
        <v>67</v>
      </c>
      <c r="AI94" s="37">
        <v>45677</v>
      </c>
      <c r="AJ94" s="119" t="s">
        <v>837</v>
      </c>
      <c r="AK94" s="22"/>
      <c r="AL94" s="9"/>
      <c r="AM94" s="35"/>
      <c r="AN94" s="35"/>
      <c r="AO94" s="35"/>
      <c r="AP94" s="35" t="s">
        <v>838</v>
      </c>
      <c r="AQ94" s="116"/>
      <c r="AR94" s="116"/>
      <c r="AS94" s="116"/>
      <c r="AT94" s="116"/>
      <c r="AU94" s="116"/>
      <c r="AV94" s="116"/>
      <c r="AW94" s="116"/>
      <c r="AX94" s="116"/>
      <c r="AY94" s="116"/>
      <c r="AZ94" s="116"/>
      <c r="BA94" s="116"/>
      <c r="BB94" s="116"/>
      <c r="BC94" s="148"/>
    </row>
    <row r="95" spans="1:55" ht="50.25" customHeight="1">
      <c r="A95" s="22"/>
      <c r="B95" s="22">
        <v>93</v>
      </c>
      <c r="C95" s="44" t="s">
        <v>54</v>
      </c>
      <c r="D95" s="45" t="s">
        <v>611</v>
      </c>
      <c r="E95" s="158" t="s">
        <v>839</v>
      </c>
      <c r="F95" s="106"/>
      <c r="G95" s="33" t="s">
        <v>840</v>
      </c>
      <c r="H95" s="28" t="s">
        <v>841</v>
      </c>
      <c r="I95" s="33"/>
      <c r="J95" s="22" t="s">
        <v>60</v>
      </c>
      <c r="K95" s="30">
        <v>37511</v>
      </c>
      <c r="L95" s="22">
        <f t="shared" ca="1" si="1"/>
        <v>23</v>
      </c>
      <c r="M95" s="22"/>
      <c r="N95" s="22" t="s">
        <v>617</v>
      </c>
      <c r="O95" s="30">
        <v>44669</v>
      </c>
      <c r="P95" s="25" t="s">
        <v>629</v>
      </c>
      <c r="Q95" s="49" t="s">
        <v>81</v>
      </c>
      <c r="R95" s="33" t="s">
        <v>630</v>
      </c>
      <c r="S95" s="290" t="s">
        <v>764</v>
      </c>
      <c r="T95" s="289">
        <v>10000</v>
      </c>
      <c r="U95" s="140">
        <v>44788</v>
      </c>
      <c r="V95" s="66">
        <v>45808</v>
      </c>
      <c r="W95" s="67" t="s">
        <v>842</v>
      </c>
      <c r="X95" s="9"/>
      <c r="Y95" s="14"/>
      <c r="Z95" s="15" t="s">
        <v>843</v>
      </c>
      <c r="AA95" s="17"/>
      <c r="AB95" s="53"/>
      <c r="AC95" s="53"/>
      <c r="AD95" s="36"/>
      <c r="AE95" s="102">
        <v>45253</v>
      </c>
      <c r="AF95" s="42">
        <v>45293</v>
      </c>
      <c r="AG95" s="30"/>
      <c r="AH95" s="22" t="s">
        <v>67</v>
      </c>
      <c r="AI95" s="37">
        <v>45736</v>
      </c>
      <c r="AJ95" s="216" t="s">
        <v>600</v>
      </c>
      <c r="AK95" s="22"/>
      <c r="AL95" s="67"/>
      <c r="AM95" s="82"/>
      <c r="AN95" s="82"/>
      <c r="AO95" s="82"/>
      <c r="AP95" s="82" t="s">
        <v>844</v>
      </c>
      <c r="AQ95" s="59"/>
      <c r="AR95" s="59"/>
      <c r="AS95" s="59"/>
      <c r="AT95" s="59"/>
      <c r="AU95" s="59"/>
      <c r="AV95" s="59"/>
      <c r="AW95" s="59"/>
      <c r="AX95" s="59"/>
      <c r="AY95" s="59"/>
      <c r="AZ95" s="59"/>
      <c r="BA95" s="59"/>
      <c r="BB95" s="59"/>
      <c r="BC95" s="302"/>
    </row>
    <row r="96" spans="1:55" ht="50.25" customHeight="1">
      <c r="A96" s="264" t="s">
        <v>845</v>
      </c>
      <c r="B96" s="22">
        <v>94</v>
      </c>
      <c r="C96" s="44" t="s">
        <v>54</v>
      </c>
      <c r="D96" s="45" t="s">
        <v>611</v>
      </c>
      <c r="E96" s="283" t="s">
        <v>846</v>
      </c>
      <c r="F96" s="46" t="s">
        <v>847</v>
      </c>
      <c r="G96" s="33" t="s">
        <v>848</v>
      </c>
      <c r="H96" s="28" t="s">
        <v>849</v>
      </c>
      <c r="I96" s="33" t="s">
        <v>850</v>
      </c>
      <c r="J96" s="22" t="s">
        <v>261</v>
      </c>
      <c r="K96" s="30">
        <v>34331</v>
      </c>
      <c r="L96" s="22">
        <f t="shared" ca="1" si="1"/>
        <v>32</v>
      </c>
      <c r="M96" s="22" t="s">
        <v>79</v>
      </c>
      <c r="N96" s="207" t="s">
        <v>617</v>
      </c>
      <c r="O96" s="30">
        <v>44669</v>
      </c>
      <c r="P96" s="25" t="s">
        <v>629</v>
      </c>
      <c r="Q96" s="284" t="s">
        <v>490</v>
      </c>
      <c r="R96" s="33" t="s">
        <v>658</v>
      </c>
      <c r="S96" s="158" t="s">
        <v>82</v>
      </c>
      <c r="T96" s="209">
        <v>15000</v>
      </c>
      <c r="U96" s="140">
        <v>45962</v>
      </c>
      <c r="V96" s="285">
        <v>47102</v>
      </c>
      <c r="W96" s="67" t="s">
        <v>851</v>
      </c>
      <c r="X96" s="9"/>
      <c r="Y96" s="14"/>
      <c r="Z96" s="15" t="s">
        <v>852</v>
      </c>
      <c r="AA96" s="17"/>
      <c r="AB96" s="303" t="s">
        <v>853</v>
      </c>
      <c r="AC96" s="53"/>
      <c r="AD96" s="36"/>
      <c r="AE96" s="291"/>
      <c r="AF96" s="291"/>
      <c r="AG96" s="22"/>
      <c r="AH96" s="103" t="s">
        <v>154</v>
      </c>
      <c r="AI96" s="37"/>
      <c r="AJ96" s="93"/>
      <c r="AK96" s="264" t="s">
        <v>854</v>
      </c>
      <c r="AL96" s="67" t="s">
        <v>265</v>
      </c>
      <c r="AM96" s="304">
        <v>44661</v>
      </c>
      <c r="AN96" s="67" t="s">
        <v>739</v>
      </c>
      <c r="AO96" s="82"/>
      <c r="AP96" s="180" t="s">
        <v>855</v>
      </c>
      <c r="AQ96" s="43" t="s">
        <v>856</v>
      </c>
      <c r="AR96" s="43" t="s">
        <v>857</v>
      </c>
      <c r="AS96" s="43"/>
      <c r="AT96" s="43"/>
      <c r="AU96" s="43"/>
      <c r="AV96" s="43"/>
      <c r="AW96" s="43"/>
      <c r="AX96" s="122"/>
      <c r="AY96" s="122"/>
      <c r="AZ96" s="122"/>
      <c r="BA96" s="122"/>
      <c r="BB96" s="122"/>
      <c r="BC96" s="305"/>
    </row>
    <row r="97" spans="1:55" ht="50.25" customHeight="1">
      <c r="A97" s="21"/>
      <c r="B97" s="22">
        <v>95</v>
      </c>
      <c r="C97" s="23" t="s">
        <v>54</v>
      </c>
      <c r="D97" s="24" t="s">
        <v>611</v>
      </c>
      <c r="E97" s="158" t="s">
        <v>858</v>
      </c>
      <c r="F97" s="26"/>
      <c r="G97" s="27" t="s">
        <v>859</v>
      </c>
      <c r="H97" s="28" t="s">
        <v>860</v>
      </c>
      <c r="I97" s="29"/>
      <c r="J97" s="22" t="s">
        <v>261</v>
      </c>
      <c r="K97" s="30">
        <v>35416</v>
      </c>
      <c r="L97" s="22">
        <f t="shared" ca="1" si="1"/>
        <v>29</v>
      </c>
      <c r="M97" s="22"/>
      <c r="N97" s="22" t="s">
        <v>617</v>
      </c>
      <c r="O97" s="30">
        <v>44669</v>
      </c>
      <c r="P97" s="25" t="s">
        <v>629</v>
      </c>
      <c r="Q97" s="155" t="s">
        <v>81</v>
      </c>
      <c r="R97" s="33" t="s">
        <v>658</v>
      </c>
      <c r="S97" s="158" t="s">
        <v>82</v>
      </c>
      <c r="T97" s="209">
        <v>15000</v>
      </c>
      <c r="U97" s="306">
        <v>44788</v>
      </c>
      <c r="V97" s="66">
        <v>45808</v>
      </c>
      <c r="W97" s="67" t="s">
        <v>861</v>
      </c>
      <c r="X97" s="9"/>
      <c r="Y97" s="14"/>
      <c r="Z97" s="59" t="s">
        <v>862</v>
      </c>
      <c r="AA97" s="17"/>
      <c r="AB97" s="53" t="s">
        <v>863</v>
      </c>
      <c r="AC97" s="53"/>
      <c r="AD97" s="36"/>
      <c r="AE97" s="36"/>
      <c r="AF97" s="36"/>
      <c r="AG97" s="22"/>
      <c r="AH97" s="22" t="s">
        <v>67</v>
      </c>
      <c r="AI97" s="37">
        <v>45585</v>
      </c>
      <c r="AJ97" s="119"/>
      <c r="AK97" s="21"/>
      <c r="AL97" s="9"/>
      <c r="AM97" s="116"/>
      <c r="AN97" s="116"/>
      <c r="AO97" s="116"/>
      <c r="AP97" s="116" t="s">
        <v>864</v>
      </c>
      <c r="AQ97" s="43"/>
      <c r="AR97" s="43"/>
      <c r="AS97" s="43"/>
      <c r="AT97" s="43"/>
      <c r="AU97" s="43"/>
      <c r="AV97" s="43"/>
      <c r="AW97" s="43"/>
      <c r="AX97" s="43"/>
      <c r="AY97" s="43"/>
      <c r="AZ97" s="43"/>
      <c r="BA97" s="43"/>
      <c r="BB97" s="43"/>
      <c r="BC97" s="133"/>
    </row>
    <row r="98" spans="1:55" ht="50.25" customHeight="1">
      <c r="A98" s="307" t="s">
        <v>643</v>
      </c>
      <c r="B98" s="22">
        <v>96</v>
      </c>
      <c r="C98" s="44" t="s">
        <v>54</v>
      </c>
      <c r="D98" s="45" t="s">
        <v>611</v>
      </c>
      <c r="E98" s="158" t="s">
        <v>865</v>
      </c>
      <c r="F98" s="308" t="s">
        <v>866</v>
      </c>
      <c r="G98" s="28" t="s">
        <v>867</v>
      </c>
      <c r="H98" s="28" t="s">
        <v>868</v>
      </c>
      <c r="I98" s="33"/>
      <c r="J98" s="22" t="s">
        <v>60</v>
      </c>
      <c r="K98" s="30">
        <v>35621</v>
      </c>
      <c r="L98" s="22">
        <f t="shared" ca="1" si="1"/>
        <v>28</v>
      </c>
      <c r="M98" s="22" t="s">
        <v>149</v>
      </c>
      <c r="N98" s="22" t="s">
        <v>617</v>
      </c>
      <c r="O98" s="30">
        <v>45075</v>
      </c>
      <c r="P98" s="25" t="s">
        <v>580</v>
      </c>
      <c r="Q98" s="49" t="s">
        <v>81</v>
      </c>
      <c r="R98" s="33" t="s">
        <v>869</v>
      </c>
      <c r="S98" s="290" t="s">
        <v>149</v>
      </c>
      <c r="T98" s="289">
        <v>20000</v>
      </c>
      <c r="U98" s="97">
        <v>46106</v>
      </c>
      <c r="V98" s="91">
        <v>46184</v>
      </c>
      <c r="W98" s="167" t="s">
        <v>870</v>
      </c>
      <c r="X98" s="9"/>
      <c r="Y98" s="35"/>
      <c r="Z98" s="82" t="s">
        <v>871</v>
      </c>
      <c r="AA98" s="30">
        <v>45555</v>
      </c>
      <c r="AB98" s="36" t="s">
        <v>574</v>
      </c>
      <c r="AC98" s="36"/>
      <c r="AD98" s="36"/>
      <c r="AE98" s="42">
        <v>45783</v>
      </c>
      <c r="AF98" s="42">
        <v>45817</v>
      </c>
      <c r="AG98" s="309"/>
      <c r="AH98" s="22" t="s">
        <v>246</v>
      </c>
      <c r="AI98" s="37"/>
      <c r="AJ98" s="119"/>
      <c r="AK98" s="307" t="s">
        <v>650</v>
      </c>
      <c r="AL98" s="310" t="s">
        <v>89</v>
      </c>
      <c r="AM98" s="241">
        <v>45071</v>
      </c>
      <c r="AN98" s="82" t="s">
        <v>872</v>
      </c>
      <c r="AO98" s="311"/>
      <c r="AP98" s="312" t="s">
        <v>873</v>
      </c>
      <c r="AQ98" s="43"/>
      <c r="AR98" s="43"/>
      <c r="AS98" s="43"/>
      <c r="AT98" s="43"/>
      <c r="AU98" s="43"/>
      <c r="AV98" s="43"/>
      <c r="AW98" s="43"/>
      <c r="AX98" s="122"/>
      <c r="AY98" s="122"/>
      <c r="AZ98" s="122"/>
      <c r="BA98" s="122"/>
      <c r="BB98" s="122"/>
      <c r="BC98" s="133"/>
    </row>
    <row r="99" spans="1:55" ht="50.25" customHeight="1">
      <c r="A99" s="264" t="s">
        <v>643</v>
      </c>
      <c r="B99" s="22">
        <v>97</v>
      </c>
      <c r="C99" s="44" t="s">
        <v>54</v>
      </c>
      <c r="D99" s="45" t="s">
        <v>611</v>
      </c>
      <c r="E99" s="158" t="s">
        <v>874</v>
      </c>
      <c r="F99" s="282" t="s">
        <v>875</v>
      </c>
      <c r="G99" s="137" t="s">
        <v>876</v>
      </c>
      <c r="H99" s="137" t="s">
        <v>877</v>
      </c>
      <c r="I99" s="33"/>
      <c r="J99" s="22" t="s">
        <v>60</v>
      </c>
      <c r="K99" s="30">
        <v>38039</v>
      </c>
      <c r="L99" s="22">
        <f t="shared" ca="1" si="1"/>
        <v>22</v>
      </c>
      <c r="M99" s="22"/>
      <c r="N99" s="22" t="s">
        <v>617</v>
      </c>
      <c r="O99" s="30">
        <v>45075</v>
      </c>
      <c r="P99" s="25" t="s">
        <v>580</v>
      </c>
      <c r="Q99" s="49" t="s">
        <v>81</v>
      </c>
      <c r="R99" s="33" t="s">
        <v>717</v>
      </c>
      <c r="S99" s="158" t="s">
        <v>82</v>
      </c>
      <c r="T99" s="209">
        <v>15000</v>
      </c>
      <c r="U99" s="97">
        <v>46106</v>
      </c>
      <c r="V99" s="91">
        <v>46184</v>
      </c>
      <c r="W99" s="167" t="s">
        <v>878</v>
      </c>
      <c r="X99" s="9"/>
      <c r="Y99" s="59"/>
      <c r="Z99" s="15" t="s">
        <v>879</v>
      </c>
      <c r="AA99" s="89">
        <v>45373</v>
      </c>
      <c r="AB99" s="53"/>
      <c r="AC99" s="53"/>
      <c r="AD99" s="36"/>
      <c r="AE99" s="36"/>
      <c r="AF99" s="36"/>
      <c r="AG99" s="22"/>
      <c r="AH99" s="22"/>
      <c r="AI99" s="37"/>
      <c r="AJ99" s="119"/>
      <c r="AK99" s="264" t="s">
        <v>650</v>
      </c>
      <c r="AL99" s="9" t="s">
        <v>89</v>
      </c>
      <c r="AM99" s="197">
        <v>45071</v>
      </c>
      <c r="AN99" s="35" t="s">
        <v>880</v>
      </c>
      <c r="AO99" s="35"/>
      <c r="AP99" s="35"/>
      <c r="AQ99" s="43"/>
      <c r="AR99" s="43"/>
      <c r="AS99" s="43"/>
      <c r="AT99" s="43"/>
      <c r="AU99" s="43"/>
      <c r="AV99" s="43"/>
      <c r="AW99" s="43"/>
      <c r="AX99" s="122"/>
      <c r="AY99" s="122"/>
      <c r="AZ99" s="122"/>
      <c r="BA99" s="122"/>
      <c r="BB99" s="122"/>
      <c r="BC99" s="62"/>
    </row>
    <row r="100" spans="1:55" ht="50.25" customHeight="1">
      <c r="A100" s="264" t="s">
        <v>664</v>
      </c>
      <c r="B100" s="22">
        <v>98</v>
      </c>
      <c r="C100" s="44" t="s">
        <v>54</v>
      </c>
      <c r="D100" s="45" t="s">
        <v>611</v>
      </c>
      <c r="E100" s="158" t="s">
        <v>881</v>
      </c>
      <c r="F100" s="282" t="s">
        <v>882</v>
      </c>
      <c r="G100" s="137" t="s">
        <v>883</v>
      </c>
      <c r="H100" s="137" t="s">
        <v>884</v>
      </c>
      <c r="I100" s="33"/>
      <c r="J100" s="22" t="s">
        <v>60</v>
      </c>
      <c r="K100" s="30">
        <v>38073</v>
      </c>
      <c r="L100" s="22">
        <f t="shared" ca="1" si="1"/>
        <v>22</v>
      </c>
      <c r="M100" s="22" t="s">
        <v>134</v>
      </c>
      <c r="N100" s="22" t="s">
        <v>617</v>
      </c>
      <c r="O100" s="30">
        <v>45075</v>
      </c>
      <c r="P100" s="25" t="s">
        <v>580</v>
      </c>
      <c r="Q100" s="49" t="s">
        <v>81</v>
      </c>
      <c r="R100" s="33" t="s">
        <v>635</v>
      </c>
      <c r="S100" s="158" t="s">
        <v>82</v>
      </c>
      <c r="T100" s="209">
        <v>15000</v>
      </c>
      <c r="U100" s="97">
        <v>46106</v>
      </c>
      <c r="V100" s="91">
        <v>46184</v>
      </c>
      <c r="W100" s="167" t="s">
        <v>885</v>
      </c>
      <c r="X100" s="9" t="s">
        <v>886</v>
      </c>
      <c r="Y100" s="59"/>
      <c r="Z100" s="15" t="s">
        <v>719</v>
      </c>
      <c r="AA100" s="17"/>
      <c r="AB100" s="53"/>
      <c r="AC100" s="53"/>
      <c r="AD100" s="36"/>
      <c r="AE100" s="72">
        <v>46093</v>
      </c>
      <c r="AF100" s="245">
        <v>46122</v>
      </c>
      <c r="AG100" s="22"/>
      <c r="AH100" s="22" t="s">
        <v>680</v>
      </c>
      <c r="AI100" s="313"/>
      <c r="AJ100" s="119"/>
      <c r="AK100" s="264" t="s">
        <v>671</v>
      </c>
      <c r="AL100" s="9" t="s">
        <v>89</v>
      </c>
      <c r="AM100" s="197">
        <v>45071</v>
      </c>
      <c r="AN100" s="314" t="s">
        <v>887</v>
      </c>
      <c r="AO100" s="35"/>
      <c r="AP100" s="35" t="s">
        <v>888</v>
      </c>
      <c r="AQ100" s="180" t="s">
        <v>889</v>
      </c>
      <c r="AR100" s="180" t="s">
        <v>890</v>
      </c>
      <c r="AS100" s="180"/>
      <c r="AT100" s="180"/>
      <c r="AU100" s="180"/>
      <c r="AV100" s="180"/>
      <c r="AW100" s="180"/>
      <c r="AX100" s="39"/>
      <c r="AY100" s="39"/>
      <c r="AZ100" s="39"/>
      <c r="BA100" s="39"/>
      <c r="BB100" s="39"/>
      <c r="BC100" s="62"/>
    </row>
    <row r="101" spans="1:55" ht="50.25" customHeight="1">
      <c r="A101" s="264" t="s">
        <v>643</v>
      </c>
      <c r="B101" s="22">
        <v>99</v>
      </c>
      <c r="C101" s="44" t="s">
        <v>54</v>
      </c>
      <c r="D101" s="45" t="s">
        <v>611</v>
      </c>
      <c r="E101" s="158" t="s">
        <v>891</v>
      </c>
      <c r="F101" s="282" t="s">
        <v>892</v>
      </c>
      <c r="G101" s="137" t="s">
        <v>893</v>
      </c>
      <c r="H101" s="137" t="s">
        <v>894</v>
      </c>
      <c r="I101" s="33" t="s">
        <v>895</v>
      </c>
      <c r="J101" s="22" t="s">
        <v>60</v>
      </c>
      <c r="K101" s="30">
        <v>37451</v>
      </c>
      <c r="L101" s="22">
        <f t="shared" ca="1" si="1"/>
        <v>23</v>
      </c>
      <c r="M101" s="22"/>
      <c r="N101" s="22" t="s">
        <v>617</v>
      </c>
      <c r="O101" s="30">
        <v>45075</v>
      </c>
      <c r="P101" s="25" t="s">
        <v>580</v>
      </c>
      <c r="Q101" s="49" t="s">
        <v>81</v>
      </c>
      <c r="R101" s="33" t="s">
        <v>734</v>
      </c>
      <c r="S101" s="290" t="s">
        <v>82</v>
      </c>
      <c r="T101" s="209">
        <v>15000</v>
      </c>
      <c r="U101" s="315">
        <v>45762</v>
      </c>
      <c r="V101" s="91">
        <v>46184</v>
      </c>
      <c r="W101" s="167" t="s">
        <v>896</v>
      </c>
      <c r="X101" s="9"/>
      <c r="Y101" s="59"/>
      <c r="Z101" s="15" t="s">
        <v>897</v>
      </c>
      <c r="AA101" s="275">
        <v>45993</v>
      </c>
      <c r="AB101" s="53"/>
      <c r="AC101" s="53"/>
      <c r="AD101" s="36"/>
      <c r="AE101" s="72">
        <v>46093</v>
      </c>
      <c r="AF101" s="279">
        <v>46154</v>
      </c>
      <c r="AG101" s="22"/>
      <c r="AH101" s="22" t="s">
        <v>680</v>
      </c>
      <c r="AI101" s="37"/>
      <c r="AJ101" s="119"/>
      <c r="AK101" s="264" t="s">
        <v>650</v>
      </c>
      <c r="AL101" s="9" t="s">
        <v>89</v>
      </c>
      <c r="AM101" s="197">
        <v>45071</v>
      </c>
      <c r="AN101" s="9" t="s">
        <v>880</v>
      </c>
      <c r="AO101" s="35"/>
      <c r="AP101" s="59" t="s">
        <v>898</v>
      </c>
      <c r="AQ101" s="123"/>
      <c r="AR101" s="123"/>
      <c r="AS101" s="123"/>
      <c r="AT101" s="123"/>
      <c r="AU101" s="123"/>
      <c r="AV101" s="123"/>
      <c r="AW101" s="123"/>
      <c r="AX101" s="123"/>
      <c r="AY101" s="123"/>
      <c r="AZ101" s="123"/>
      <c r="BA101" s="123"/>
      <c r="BB101" s="123"/>
      <c r="BC101" s="117"/>
    </row>
    <row r="102" spans="1:55" ht="50.25" customHeight="1">
      <c r="A102" s="264" t="s">
        <v>664</v>
      </c>
      <c r="B102" s="22">
        <v>100</v>
      </c>
      <c r="C102" s="44" t="s">
        <v>54</v>
      </c>
      <c r="D102" s="45" t="s">
        <v>611</v>
      </c>
      <c r="E102" s="158" t="s">
        <v>899</v>
      </c>
      <c r="F102" s="106" t="s">
        <v>900</v>
      </c>
      <c r="G102" s="28" t="s">
        <v>901</v>
      </c>
      <c r="H102" s="137" t="s">
        <v>902</v>
      </c>
      <c r="I102" s="33"/>
      <c r="J102" s="22" t="s">
        <v>60</v>
      </c>
      <c r="K102" s="30">
        <v>37391</v>
      </c>
      <c r="L102" s="22">
        <f t="shared" ca="1" si="1"/>
        <v>23</v>
      </c>
      <c r="M102" s="22"/>
      <c r="N102" s="22" t="s">
        <v>617</v>
      </c>
      <c r="O102" s="30">
        <v>45098</v>
      </c>
      <c r="P102" s="25" t="s">
        <v>903</v>
      </c>
      <c r="Q102" s="49" t="s">
        <v>81</v>
      </c>
      <c r="R102" s="33" t="s">
        <v>747</v>
      </c>
      <c r="S102" s="25" t="s">
        <v>82</v>
      </c>
      <c r="T102" s="289">
        <v>15000</v>
      </c>
      <c r="U102" s="162">
        <v>45793</v>
      </c>
      <c r="V102" s="66">
        <v>46214</v>
      </c>
      <c r="W102" s="145" t="s">
        <v>904</v>
      </c>
      <c r="X102" s="9" t="s">
        <v>905</v>
      </c>
      <c r="Y102" s="59"/>
      <c r="Z102" s="15" t="s">
        <v>906</v>
      </c>
      <c r="AA102" s="17"/>
      <c r="AB102" s="53"/>
      <c r="AC102" s="53"/>
      <c r="AD102" s="36"/>
      <c r="AE102" s="36"/>
      <c r="AF102" s="36"/>
      <c r="AG102" s="22"/>
      <c r="AH102" s="22"/>
      <c r="AI102" s="37"/>
      <c r="AJ102" s="119"/>
      <c r="AK102" s="264" t="s">
        <v>671</v>
      </c>
      <c r="AL102" s="9" t="s">
        <v>89</v>
      </c>
      <c r="AM102" s="197">
        <v>45092</v>
      </c>
      <c r="AN102" s="316" t="s">
        <v>907</v>
      </c>
      <c r="AO102" s="35"/>
      <c r="AP102" s="35" t="s">
        <v>908</v>
      </c>
      <c r="AQ102" s="43"/>
      <c r="AR102" s="43"/>
      <c r="AS102" s="43"/>
      <c r="AT102" s="43"/>
      <c r="AU102" s="43"/>
      <c r="AV102" s="43"/>
      <c r="AW102" s="43"/>
      <c r="AX102" s="317"/>
      <c r="AY102" s="317"/>
      <c r="AZ102" s="317"/>
      <c r="BA102" s="317"/>
      <c r="BB102" s="317"/>
      <c r="BC102" s="133"/>
    </row>
    <row r="103" spans="1:55" ht="50.25" customHeight="1">
      <c r="A103" s="264" t="s">
        <v>643</v>
      </c>
      <c r="B103" s="22">
        <v>101</v>
      </c>
      <c r="C103" s="44" t="s">
        <v>54</v>
      </c>
      <c r="D103" s="45" t="s">
        <v>611</v>
      </c>
      <c r="E103" s="158" t="s">
        <v>909</v>
      </c>
      <c r="F103" s="106" t="s">
        <v>910</v>
      </c>
      <c r="G103" s="28" t="s">
        <v>911</v>
      </c>
      <c r="H103" s="137" t="s">
        <v>912</v>
      </c>
      <c r="I103" s="33"/>
      <c r="J103" s="22" t="s">
        <v>60</v>
      </c>
      <c r="K103" s="30">
        <v>36029</v>
      </c>
      <c r="L103" s="22">
        <f t="shared" ca="1" si="1"/>
        <v>27</v>
      </c>
      <c r="M103" s="22"/>
      <c r="N103" s="22" t="s">
        <v>617</v>
      </c>
      <c r="O103" s="30">
        <v>45098</v>
      </c>
      <c r="P103" s="25" t="s">
        <v>903</v>
      </c>
      <c r="Q103" s="49" t="s">
        <v>81</v>
      </c>
      <c r="R103" s="33" t="s">
        <v>747</v>
      </c>
      <c r="S103" s="25" t="s">
        <v>82</v>
      </c>
      <c r="T103" s="289">
        <v>15000</v>
      </c>
      <c r="U103" s="162">
        <v>45793</v>
      </c>
      <c r="V103" s="66">
        <v>46214</v>
      </c>
      <c r="W103" s="67" t="s">
        <v>913</v>
      </c>
      <c r="X103" s="9"/>
      <c r="Y103" s="59"/>
      <c r="Z103" s="15" t="s">
        <v>914</v>
      </c>
      <c r="AA103" s="17"/>
      <c r="AB103" s="53"/>
      <c r="AC103" s="53"/>
      <c r="AD103" s="36"/>
      <c r="AE103" s="42">
        <v>45962</v>
      </c>
      <c r="AF103" s="102">
        <v>45986</v>
      </c>
      <c r="AG103" s="22"/>
      <c r="AH103" s="103" t="s">
        <v>154</v>
      </c>
      <c r="AI103" s="37"/>
      <c r="AJ103" s="119"/>
      <c r="AK103" s="264" t="s">
        <v>650</v>
      </c>
      <c r="AL103" s="9" t="s">
        <v>89</v>
      </c>
      <c r="AM103" s="197">
        <v>45092</v>
      </c>
      <c r="AN103" s="316" t="s">
        <v>907</v>
      </c>
      <c r="AO103" s="35"/>
      <c r="AP103" s="35" t="s">
        <v>915</v>
      </c>
      <c r="AQ103" s="180"/>
      <c r="AR103" s="180"/>
      <c r="AS103" s="180"/>
      <c r="AT103" s="180"/>
      <c r="AU103" s="180"/>
      <c r="AV103" s="180"/>
      <c r="AW103" s="180"/>
      <c r="AX103" s="123"/>
      <c r="AY103" s="123"/>
      <c r="AZ103" s="123"/>
      <c r="BA103" s="123"/>
      <c r="BB103" s="123"/>
      <c r="BC103" s="318"/>
    </row>
    <row r="104" spans="1:55" ht="50.25" customHeight="1">
      <c r="A104" s="264" t="s">
        <v>664</v>
      </c>
      <c r="B104" s="22">
        <v>102</v>
      </c>
      <c r="C104" s="44" t="s">
        <v>54</v>
      </c>
      <c r="D104" s="45" t="s">
        <v>611</v>
      </c>
      <c r="E104" s="158" t="s">
        <v>916</v>
      </c>
      <c r="F104" s="106" t="s">
        <v>917</v>
      </c>
      <c r="G104" s="28" t="s">
        <v>918</v>
      </c>
      <c r="H104" s="137" t="s">
        <v>919</v>
      </c>
      <c r="I104" s="33"/>
      <c r="J104" s="22" t="s">
        <v>60</v>
      </c>
      <c r="K104" s="30">
        <v>37807</v>
      </c>
      <c r="L104" s="22">
        <f t="shared" ca="1" si="1"/>
        <v>22</v>
      </c>
      <c r="M104" s="22"/>
      <c r="N104" s="22" t="s">
        <v>617</v>
      </c>
      <c r="O104" s="30">
        <v>45098</v>
      </c>
      <c r="P104" s="25" t="s">
        <v>903</v>
      </c>
      <c r="Q104" s="49" t="s">
        <v>81</v>
      </c>
      <c r="R104" s="182" t="s">
        <v>920</v>
      </c>
      <c r="S104" s="25" t="s">
        <v>921</v>
      </c>
      <c r="T104" s="289">
        <v>15000</v>
      </c>
      <c r="U104" s="162">
        <v>45793</v>
      </c>
      <c r="V104" s="66">
        <v>46214</v>
      </c>
      <c r="W104" s="67" t="s">
        <v>922</v>
      </c>
      <c r="X104" s="9"/>
      <c r="Y104" s="59"/>
      <c r="Z104" s="15" t="s">
        <v>923</v>
      </c>
      <c r="AA104" s="17"/>
      <c r="AB104" s="53"/>
      <c r="AC104" s="53"/>
      <c r="AD104" s="36"/>
      <c r="AE104" s="36"/>
      <c r="AF104" s="36"/>
      <c r="AG104" s="22"/>
      <c r="AH104" s="22" t="s">
        <v>67</v>
      </c>
      <c r="AI104" s="54">
        <v>46073</v>
      </c>
      <c r="AJ104" s="119" t="s">
        <v>924</v>
      </c>
      <c r="AK104" s="264" t="s">
        <v>671</v>
      </c>
      <c r="AL104" s="176" t="s">
        <v>265</v>
      </c>
      <c r="AM104" s="197">
        <v>45092</v>
      </c>
      <c r="AN104" s="273"/>
      <c r="AO104" s="35"/>
      <c r="AP104" s="35" t="s">
        <v>925</v>
      </c>
      <c r="AQ104" s="43"/>
      <c r="AR104" s="43"/>
      <c r="AS104" s="43"/>
      <c r="AT104" s="43"/>
      <c r="AU104" s="43"/>
      <c r="AV104" s="43"/>
      <c r="AW104" s="43"/>
      <c r="AX104" s="43"/>
      <c r="AY104" s="43"/>
      <c r="AZ104" s="43"/>
      <c r="BA104" s="43"/>
      <c r="BB104" s="43"/>
      <c r="BC104" s="133"/>
    </row>
    <row r="105" spans="1:55" ht="50.25" customHeight="1">
      <c r="A105" s="264" t="s">
        <v>664</v>
      </c>
      <c r="B105" s="22">
        <v>103</v>
      </c>
      <c r="C105" s="44" t="s">
        <v>54</v>
      </c>
      <c r="D105" s="45" t="s">
        <v>611</v>
      </c>
      <c r="E105" s="158" t="s">
        <v>926</v>
      </c>
      <c r="F105" s="106" t="s">
        <v>927</v>
      </c>
      <c r="G105" s="28" t="s">
        <v>928</v>
      </c>
      <c r="H105" s="137" t="s">
        <v>929</v>
      </c>
      <c r="I105" s="33"/>
      <c r="J105" s="22" t="s">
        <v>60</v>
      </c>
      <c r="K105" s="30">
        <v>35477</v>
      </c>
      <c r="L105" s="22">
        <f t="shared" ca="1" si="1"/>
        <v>29</v>
      </c>
      <c r="M105" s="22"/>
      <c r="N105" s="22" t="s">
        <v>617</v>
      </c>
      <c r="O105" s="30">
        <v>45098</v>
      </c>
      <c r="P105" s="25" t="s">
        <v>903</v>
      </c>
      <c r="Q105" s="49" t="s">
        <v>81</v>
      </c>
      <c r="R105" s="319" t="s">
        <v>930</v>
      </c>
      <c r="S105" s="25" t="s">
        <v>82</v>
      </c>
      <c r="T105" s="209">
        <v>15000</v>
      </c>
      <c r="U105" s="162">
        <v>45793</v>
      </c>
      <c r="V105" s="66">
        <v>46214</v>
      </c>
      <c r="W105" s="67" t="s">
        <v>931</v>
      </c>
      <c r="X105" s="9"/>
      <c r="Y105" s="59"/>
      <c r="Z105" s="15" t="s">
        <v>932</v>
      </c>
      <c r="AA105" s="89">
        <v>45779</v>
      </c>
      <c r="AB105" s="53"/>
      <c r="AC105" s="53"/>
      <c r="AD105" s="36"/>
      <c r="AE105" s="36"/>
      <c r="AF105" s="36"/>
      <c r="AG105" s="22"/>
      <c r="AH105" s="22"/>
      <c r="AI105" s="37"/>
      <c r="AJ105" s="119"/>
      <c r="AK105" s="264" t="s">
        <v>671</v>
      </c>
      <c r="AL105" s="286" t="s">
        <v>89</v>
      </c>
      <c r="AM105" s="287"/>
      <c r="AN105" s="320" t="s">
        <v>907</v>
      </c>
      <c r="AO105" s="35"/>
      <c r="AP105" s="59" t="s">
        <v>933</v>
      </c>
      <c r="AQ105" s="35"/>
      <c r="AR105" s="35"/>
      <c r="AS105" s="35"/>
      <c r="AT105" s="35" t="s">
        <v>934</v>
      </c>
      <c r="AU105" s="35"/>
      <c r="AV105" s="35"/>
      <c r="AW105" s="35"/>
      <c r="AX105" s="123"/>
      <c r="AY105" s="123"/>
      <c r="AZ105" s="123"/>
      <c r="BA105" s="123"/>
      <c r="BB105" s="123"/>
      <c r="BC105" s="133"/>
    </row>
    <row r="106" spans="1:55" ht="50.25" customHeight="1">
      <c r="A106" s="264" t="s">
        <v>643</v>
      </c>
      <c r="B106" s="22">
        <v>104</v>
      </c>
      <c r="C106" s="44" t="s">
        <v>54</v>
      </c>
      <c r="D106" s="45" t="s">
        <v>611</v>
      </c>
      <c r="E106" s="158" t="s">
        <v>935</v>
      </c>
      <c r="F106" s="106" t="s">
        <v>936</v>
      </c>
      <c r="G106" s="28" t="s">
        <v>937</v>
      </c>
      <c r="H106" s="137" t="s">
        <v>938</v>
      </c>
      <c r="I106" s="33"/>
      <c r="J106" s="22" t="s">
        <v>60</v>
      </c>
      <c r="K106" s="30">
        <v>36801</v>
      </c>
      <c r="L106" s="22">
        <f t="shared" ca="1" si="1"/>
        <v>25</v>
      </c>
      <c r="M106" s="70" t="s">
        <v>134</v>
      </c>
      <c r="N106" s="22" t="s">
        <v>617</v>
      </c>
      <c r="O106" s="30">
        <v>45098</v>
      </c>
      <c r="P106" s="25" t="s">
        <v>903</v>
      </c>
      <c r="Q106" s="49" t="s">
        <v>81</v>
      </c>
      <c r="R106" s="319" t="s">
        <v>930</v>
      </c>
      <c r="S106" s="25" t="s">
        <v>82</v>
      </c>
      <c r="T106" s="289">
        <v>15000</v>
      </c>
      <c r="U106" s="162">
        <v>45793</v>
      </c>
      <c r="V106" s="285">
        <v>46214</v>
      </c>
      <c r="W106" s="99" t="s">
        <v>939</v>
      </c>
      <c r="X106" s="9"/>
      <c r="Y106" s="59"/>
      <c r="Z106" s="15" t="s">
        <v>940</v>
      </c>
      <c r="AA106" s="17"/>
      <c r="AB106" s="53"/>
      <c r="AC106" s="53"/>
      <c r="AD106" s="36"/>
      <c r="AE106" s="42">
        <v>46221</v>
      </c>
      <c r="AF106" s="42">
        <v>46269</v>
      </c>
      <c r="AG106" s="22"/>
      <c r="AH106" s="22" t="s">
        <v>680</v>
      </c>
      <c r="AI106" s="37"/>
      <c r="AJ106" s="119"/>
      <c r="AK106" s="264" t="s">
        <v>650</v>
      </c>
      <c r="AL106" s="9" t="s">
        <v>89</v>
      </c>
      <c r="AM106" s="197">
        <v>45092</v>
      </c>
      <c r="AN106" s="316" t="s">
        <v>907</v>
      </c>
      <c r="AO106" s="35"/>
      <c r="AP106" s="35" t="s">
        <v>941</v>
      </c>
      <c r="AQ106" s="35"/>
      <c r="AR106" s="35"/>
      <c r="AS106" s="35"/>
      <c r="AT106" s="35" t="s">
        <v>942</v>
      </c>
      <c r="AU106" s="35"/>
      <c r="AV106" s="35"/>
      <c r="AW106" s="35"/>
      <c r="AX106" s="123"/>
      <c r="AY106" s="123"/>
      <c r="AZ106" s="123"/>
      <c r="BA106" s="123"/>
      <c r="BB106" s="123"/>
      <c r="BC106" s="117"/>
    </row>
    <row r="107" spans="1:55" ht="50.25" customHeight="1">
      <c r="A107" s="264" t="s">
        <v>664</v>
      </c>
      <c r="B107" s="22">
        <v>105</v>
      </c>
      <c r="C107" s="44" t="s">
        <v>54</v>
      </c>
      <c r="D107" s="45" t="s">
        <v>611</v>
      </c>
      <c r="E107" s="158" t="s">
        <v>943</v>
      </c>
      <c r="F107" s="106" t="s">
        <v>944</v>
      </c>
      <c r="G107" s="28" t="s">
        <v>945</v>
      </c>
      <c r="H107" s="137" t="s">
        <v>946</v>
      </c>
      <c r="I107" s="33" t="s">
        <v>947</v>
      </c>
      <c r="J107" s="22" t="s">
        <v>60</v>
      </c>
      <c r="K107" s="30">
        <v>36399</v>
      </c>
      <c r="L107" s="22">
        <f t="shared" ca="1" si="1"/>
        <v>26</v>
      </c>
      <c r="M107" s="22"/>
      <c r="N107" s="22" t="s">
        <v>617</v>
      </c>
      <c r="O107" s="30">
        <v>45098</v>
      </c>
      <c r="P107" s="25" t="s">
        <v>903</v>
      </c>
      <c r="Q107" s="49" t="s">
        <v>81</v>
      </c>
      <c r="R107" s="33" t="s">
        <v>920</v>
      </c>
      <c r="S107" s="25" t="s">
        <v>948</v>
      </c>
      <c r="T107" s="289">
        <v>10000</v>
      </c>
      <c r="U107" s="51">
        <v>44977</v>
      </c>
      <c r="V107" s="66">
        <v>45825</v>
      </c>
      <c r="W107" s="67" t="s">
        <v>949</v>
      </c>
      <c r="X107" s="9"/>
      <c r="Y107" s="59"/>
      <c r="Z107" s="15" t="s">
        <v>950</v>
      </c>
      <c r="AA107" s="17"/>
      <c r="AB107" s="53"/>
      <c r="AC107" s="53"/>
      <c r="AD107" s="36"/>
      <c r="AE107" s="36"/>
      <c r="AF107" s="36"/>
      <c r="AG107" s="22"/>
      <c r="AH107" s="22" t="s">
        <v>67</v>
      </c>
      <c r="AI107" s="37">
        <v>45797</v>
      </c>
      <c r="AJ107" s="119" t="s">
        <v>600</v>
      </c>
      <c r="AK107" s="264" t="s">
        <v>671</v>
      </c>
      <c r="AL107" s="9"/>
      <c r="AM107" s="35" t="s">
        <v>265</v>
      </c>
      <c r="AN107" s="35" t="s">
        <v>265</v>
      </c>
      <c r="AO107" s="35"/>
      <c r="AP107" s="35" t="s">
        <v>951</v>
      </c>
      <c r="AQ107" s="43"/>
      <c r="AR107" s="43"/>
      <c r="AS107" s="43"/>
      <c r="AT107" s="43"/>
      <c r="AU107" s="43"/>
      <c r="AV107" s="43"/>
      <c r="AW107" s="43"/>
      <c r="AX107" s="43"/>
      <c r="AY107" s="43"/>
      <c r="AZ107" s="43"/>
      <c r="BA107" s="43"/>
      <c r="BB107" s="43"/>
      <c r="BC107" s="321"/>
    </row>
    <row r="108" spans="1:55" ht="50.25" customHeight="1">
      <c r="A108" s="264" t="s">
        <v>673</v>
      </c>
      <c r="B108" s="22">
        <v>106</v>
      </c>
      <c r="C108" s="44" t="s">
        <v>54</v>
      </c>
      <c r="D108" s="45" t="s">
        <v>611</v>
      </c>
      <c r="E108" s="158" t="s">
        <v>952</v>
      </c>
      <c r="F108" s="106" t="s">
        <v>953</v>
      </c>
      <c r="G108" s="28" t="s">
        <v>954</v>
      </c>
      <c r="H108" s="137" t="s">
        <v>955</v>
      </c>
      <c r="I108" s="33" t="s">
        <v>956</v>
      </c>
      <c r="J108" s="22" t="s">
        <v>60</v>
      </c>
      <c r="K108" s="30">
        <v>37280</v>
      </c>
      <c r="L108" s="22">
        <f t="shared" ca="1" si="1"/>
        <v>24</v>
      </c>
      <c r="M108" s="22"/>
      <c r="N108" s="22" t="s">
        <v>617</v>
      </c>
      <c r="O108" s="30">
        <v>45098</v>
      </c>
      <c r="P108" s="25" t="s">
        <v>903</v>
      </c>
      <c r="Q108" s="49" t="s">
        <v>81</v>
      </c>
      <c r="R108" s="33" t="s">
        <v>920</v>
      </c>
      <c r="S108" s="25" t="s">
        <v>957</v>
      </c>
      <c r="T108" s="289">
        <v>15000</v>
      </c>
      <c r="U108" s="162">
        <v>45793</v>
      </c>
      <c r="V108" s="66">
        <v>46214</v>
      </c>
      <c r="W108" s="67" t="s">
        <v>958</v>
      </c>
      <c r="X108" s="9"/>
      <c r="Y108" s="59"/>
      <c r="Z108" s="15" t="s">
        <v>959</v>
      </c>
      <c r="AA108" s="52" t="s">
        <v>960</v>
      </c>
      <c r="AB108" s="53"/>
      <c r="AC108" s="53"/>
      <c r="AD108" s="36"/>
      <c r="AE108" s="36"/>
      <c r="AF108" s="36"/>
      <c r="AG108" s="22"/>
      <c r="AH108" s="22"/>
      <c r="AI108" s="37"/>
      <c r="AJ108" s="119"/>
      <c r="AK108" s="264" t="s">
        <v>681</v>
      </c>
      <c r="AL108" s="9" t="s">
        <v>89</v>
      </c>
      <c r="AM108" s="197">
        <v>45095</v>
      </c>
      <c r="AN108" s="35" t="s">
        <v>907</v>
      </c>
      <c r="AO108" s="35"/>
      <c r="AP108" s="35"/>
      <c r="AQ108" s="35"/>
      <c r="AR108" s="35"/>
      <c r="AS108" s="35"/>
      <c r="AT108" s="35"/>
      <c r="AU108" s="35"/>
      <c r="AV108" s="35"/>
      <c r="AW108" s="35"/>
      <c r="AX108" s="82"/>
      <c r="AY108" s="82"/>
      <c r="AZ108" s="82"/>
      <c r="BA108" s="82"/>
      <c r="BB108" s="82"/>
      <c r="BC108" s="117"/>
    </row>
    <row r="109" spans="1:55" ht="50.25" customHeight="1">
      <c r="A109" s="264" t="s">
        <v>673</v>
      </c>
      <c r="B109" s="22">
        <v>107</v>
      </c>
      <c r="C109" s="44" t="s">
        <v>54</v>
      </c>
      <c r="D109" s="45" t="s">
        <v>611</v>
      </c>
      <c r="E109" s="158" t="s">
        <v>961</v>
      </c>
      <c r="F109" s="106" t="s">
        <v>962</v>
      </c>
      <c r="G109" s="28" t="s">
        <v>963</v>
      </c>
      <c r="H109" s="137" t="s">
        <v>964</v>
      </c>
      <c r="I109" s="33"/>
      <c r="J109" s="22" t="s">
        <v>60</v>
      </c>
      <c r="K109" s="30">
        <v>37992</v>
      </c>
      <c r="L109" s="22">
        <f t="shared" ca="1" si="1"/>
        <v>22</v>
      </c>
      <c r="M109" s="22"/>
      <c r="N109" s="22" t="s">
        <v>617</v>
      </c>
      <c r="O109" s="30">
        <v>45098</v>
      </c>
      <c r="P109" s="25" t="s">
        <v>903</v>
      </c>
      <c r="Q109" s="49" t="s">
        <v>81</v>
      </c>
      <c r="R109" s="319" t="s">
        <v>930</v>
      </c>
      <c r="S109" s="25" t="s">
        <v>82</v>
      </c>
      <c r="T109" s="289">
        <v>15000</v>
      </c>
      <c r="U109" s="162">
        <v>45793</v>
      </c>
      <c r="V109" s="285">
        <v>46214</v>
      </c>
      <c r="W109" s="99" t="s">
        <v>965</v>
      </c>
      <c r="X109" s="9"/>
      <c r="Y109" s="59"/>
      <c r="Z109" s="15" t="s">
        <v>966</v>
      </c>
      <c r="AA109" s="17"/>
      <c r="AB109" s="53"/>
      <c r="AC109" s="53"/>
      <c r="AD109" s="36"/>
      <c r="AE109" s="36"/>
      <c r="AF109" s="36"/>
      <c r="AG109" s="22"/>
      <c r="AH109" s="22" t="s">
        <v>67</v>
      </c>
      <c r="AI109" s="92">
        <v>46073</v>
      </c>
      <c r="AJ109" s="168" t="s">
        <v>329</v>
      </c>
      <c r="AK109" s="264" t="s">
        <v>681</v>
      </c>
      <c r="AL109" s="9" t="s">
        <v>89</v>
      </c>
      <c r="AM109" s="197">
        <v>45095</v>
      </c>
      <c r="AN109" s="35" t="s">
        <v>907</v>
      </c>
      <c r="AO109" s="35" t="s">
        <v>967</v>
      </c>
      <c r="AP109" s="59" t="s">
        <v>968</v>
      </c>
      <c r="AQ109" s="35"/>
      <c r="AR109" s="35"/>
      <c r="AS109" s="35"/>
      <c r="AT109" s="35" t="s">
        <v>969</v>
      </c>
      <c r="AU109" s="35" t="s">
        <v>970</v>
      </c>
      <c r="AV109" s="35"/>
      <c r="AW109" s="35"/>
      <c r="AX109" s="35"/>
      <c r="AY109" s="35"/>
      <c r="AZ109" s="35"/>
      <c r="BA109" s="35"/>
      <c r="BB109" s="35"/>
      <c r="BC109" s="62"/>
    </row>
    <row r="110" spans="1:55" ht="50.25" customHeight="1">
      <c r="A110" s="264" t="s">
        <v>664</v>
      </c>
      <c r="B110" s="22">
        <v>108</v>
      </c>
      <c r="C110" s="44" t="s">
        <v>54</v>
      </c>
      <c r="D110" s="45" t="s">
        <v>611</v>
      </c>
      <c r="E110" s="158" t="s">
        <v>971</v>
      </c>
      <c r="F110" s="106" t="s">
        <v>972</v>
      </c>
      <c r="G110" s="28" t="s">
        <v>973</v>
      </c>
      <c r="H110" s="137" t="s">
        <v>974</v>
      </c>
      <c r="I110" s="33"/>
      <c r="J110" s="22" t="s">
        <v>60</v>
      </c>
      <c r="K110" s="30">
        <v>34519</v>
      </c>
      <c r="L110" s="22">
        <f t="shared" ca="1" si="1"/>
        <v>31</v>
      </c>
      <c r="M110" s="22" t="s">
        <v>79</v>
      </c>
      <c r="N110" s="22" t="s">
        <v>617</v>
      </c>
      <c r="O110" s="30">
        <v>45098</v>
      </c>
      <c r="P110" s="25" t="s">
        <v>903</v>
      </c>
      <c r="Q110" s="49" t="s">
        <v>81</v>
      </c>
      <c r="R110" s="88" t="s">
        <v>975</v>
      </c>
      <c r="S110" s="111" t="s">
        <v>82</v>
      </c>
      <c r="T110" s="50">
        <v>15000</v>
      </c>
      <c r="U110" s="162">
        <v>45793</v>
      </c>
      <c r="V110" s="66">
        <v>46214</v>
      </c>
      <c r="W110" s="67" t="s">
        <v>976</v>
      </c>
      <c r="X110" s="9"/>
      <c r="Y110" s="59"/>
      <c r="Z110" s="115" t="s">
        <v>977</v>
      </c>
      <c r="AA110" s="89">
        <v>45861</v>
      </c>
      <c r="AB110" s="53"/>
      <c r="AC110" s="53"/>
      <c r="AD110" s="36"/>
      <c r="AE110" s="36"/>
      <c r="AF110" s="36"/>
      <c r="AG110" s="22"/>
      <c r="AH110" s="22"/>
      <c r="AI110" s="37"/>
      <c r="AJ110" s="119"/>
      <c r="AK110" s="264" t="s">
        <v>671</v>
      </c>
      <c r="AL110" s="9" t="s">
        <v>89</v>
      </c>
      <c r="AM110" s="197">
        <v>45095</v>
      </c>
      <c r="AN110" s="35" t="s">
        <v>907</v>
      </c>
      <c r="AO110" s="35"/>
      <c r="AP110" s="35" t="s">
        <v>978</v>
      </c>
      <c r="AQ110" s="43"/>
      <c r="AR110" s="43"/>
      <c r="AS110" s="43"/>
      <c r="AT110" s="43"/>
      <c r="AU110" s="43"/>
      <c r="AV110" s="43"/>
      <c r="AW110" s="43"/>
      <c r="AX110" s="79"/>
      <c r="AY110" s="79"/>
      <c r="AZ110" s="79"/>
      <c r="BA110" s="79"/>
      <c r="BB110" s="79"/>
      <c r="BC110" s="62"/>
    </row>
    <row r="111" spans="1:55" ht="50.25" customHeight="1">
      <c r="A111" s="264" t="s">
        <v>664</v>
      </c>
      <c r="B111" s="22">
        <v>109</v>
      </c>
      <c r="C111" s="44" t="s">
        <v>54</v>
      </c>
      <c r="D111" s="45" t="s">
        <v>611</v>
      </c>
      <c r="E111" s="158" t="s">
        <v>979</v>
      </c>
      <c r="F111" s="106"/>
      <c r="G111" s="137" t="s">
        <v>980</v>
      </c>
      <c r="H111" s="137" t="s">
        <v>981</v>
      </c>
      <c r="I111" s="33" t="s">
        <v>982</v>
      </c>
      <c r="J111" s="22" t="s">
        <v>60</v>
      </c>
      <c r="K111" s="30">
        <v>34598</v>
      </c>
      <c r="L111" s="22">
        <f t="shared" ca="1" si="1"/>
        <v>31</v>
      </c>
      <c r="M111" s="22"/>
      <c r="N111" s="22" t="s">
        <v>617</v>
      </c>
      <c r="O111" s="30">
        <v>45111</v>
      </c>
      <c r="P111" s="25" t="s">
        <v>304</v>
      </c>
      <c r="Q111" s="49" t="s">
        <v>81</v>
      </c>
      <c r="R111" s="319" t="s">
        <v>930</v>
      </c>
      <c r="S111" s="25" t="s">
        <v>82</v>
      </c>
      <c r="T111" s="289">
        <v>15000</v>
      </c>
      <c r="U111" s="51">
        <v>44977</v>
      </c>
      <c r="V111" s="66">
        <v>45840</v>
      </c>
      <c r="W111" s="67" t="s">
        <v>983</v>
      </c>
      <c r="X111" s="9"/>
      <c r="Y111" s="59"/>
      <c r="Z111" s="15" t="s">
        <v>984</v>
      </c>
      <c r="AA111" s="17"/>
      <c r="AB111" s="53"/>
      <c r="AC111" s="53"/>
      <c r="AD111" s="36"/>
      <c r="AE111" s="36"/>
      <c r="AF111" s="36"/>
      <c r="AG111" s="22"/>
      <c r="AH111" s="22" t="s">
        <v>67</v>
      </c>
      <c r="AI111" s="37">
        <v>45767</v>
      </c>
      <c r="AJ111" s="119" t="s">
        <v>985</v>
      </c>
      <c r="AK111" s="264" t="s">
        <v>671</v>
      </c>
      <c r="AL111" s="9"/>
      <c r="AM111" s="35"/>
      <c r="AN111" s="35"/>
      <c r="AO111" s="35"/>
      <c r="AP111" s="35" t="s">
        <v>986</v>
      </c>
      <c r="AQ111" s="43"/>
      <c r="AR111" s="43"/>
      <c r="AS111" s="43"/>
      <c r="AT111" s="43"/>
      <c r="AU111" s="43"/>
      <c r="AV111" s="43"/>
      <c r="AW111" s="43"/>
      <c r="AX111" s="43"/>
      <c r="AY111" s="43"/>
      <c r="AZ111" s="43"/>
      <c r="BA111" s="43"/>
      <c r="BB111" s="43"/>
      <c r="BC111" s="117"/>
    </row>
    <row r="112" spans="1:55" ht="50.25" customHeight="1">
      <c r="A112" s="264" t="s">
        <v>643</v>
      </c>
      <c r="B112" s="22">
        <v>110</v>
      </c>
      <c r="C112" s="44" t="s">
        <v>54</v>
      </c>
      <c r="D112" s="45" t="s">
        <v>611</v>
      </c>
      <c r="E112" s="158" t="s">
        <v>987</v>
      </c>
      <c r="F112" s="106" t="s">
        <v>988</v>
      </c>
      <c r="G112" s="137" t="s">
        <v>989</v>
      </c>
      <c r="H112" s="137" t="s">
        <v>990</v>
      </c>
      <c r="I112" s="33" t="s">
        <v>947</v>
      </c>
      <c r="J112" s="22" t="s">
        <v>60</v>
      </c>
      <c r="K112" s="30">
        <v>35504</v>
      </c>
      <c r="L112" s="22">
        <f t="shared" ca="1" si="1"/>
        <v>29</v>
      </c>
      <c r="M112" s="22"/>
      <c r="N112" s="22" t="s">
        <v>617</v>
      </c>
      <c r="O112" s="30">
        <v>45210</v>
      </c>
      <c r="P112" s="25" t="s">
        <v>588</v>
      </c>
      <c r="Q112" s="49" t="s">
        <v>81</v>
      </c>
      <c r="R112" s="33" t="s">
        <v>920</v>
      </c>
      <c r="S112" s="25" t="s">
        <v>991</v>
      </c>
      <c r="T112" s="36">
        <v>10000</v>
      </c>
      <c r="U112" s="51">
        <v>45908</v>
      </c>
      <c r="V112" s="89">
        <v>46359</v>
      </c>
      <c r="W112" s="141" t="s">
        <v>992</v>
      </c>
      <c r="X112" s="9"/>
      <c r="Y112" s="59"/>
      <c r="Z112" s="15" t="s">
        <v>993</v>
      </c>
      <c r="AA112" s="89">
        <v>45555</v>
      </c>
      <c r="AB112" s="53"/>
      <c r="AC112" s="53"/>
      <c r="AD112" s="36"/>
      <c r="AE112" s="36"/>
      <c r="AF112" s="36"/>
      <c r="AG112" s="22"/>
      <c r="AH112" s="22"/>
      <c r="AI112" s="37"/>
      <c r="AJ112" s="119"/>
      <c r="AK112" s="264" t="s">
        <v>650</v>
      </c>
      <c r="AL112" s="322" t="s">
        <v>89</v>
      </c>
      <c r="AM112" s="323">
        <v>45207</v>
      </c>
      <c r="AN112" s="324" t="s">
        <v>994</v>
      </c>
      <c r="AO112" s="325"/>
      <c r="AP112" s="325"/>
      <c r="AQ112" s="35" t="s">
        <v>995</v>
      </c>
      <c r="AR112" s="35"/>
      <c r="AS112" s="35"/>
      <c r="AT112" s="35" t="s">
        <v>996</v>
      </c>
      <c r="AU112" s="35"/>
      <c r="AV112" s="35"/>
      <c r="AW112" s="35"/>
      <c r="AX112" s="39"/>
      <c r="AY112" s="39"/>
      <c r="AZ112" s="39"/>
      <c r="BA112" s="39"/>
      <c r="BB112" s="39"/>
      <c r="BC112" s="276"/>
    </row>
    <row r="113" spans="1:55" ht="50.25" customHeight="1">
      <c r="A113" s="264" t="s">
        <v>845</v>
      </c>
      <c r="B113" s="22">
        <v>111</v>
      </c>
      <c r="C113" s="44" t="s">
        <v>54</v>
      </c>
      <c r="D113" s="45" t="s">
        <v>611</v>
      </c>
      <c r="E113" s="158" t="s">
        <v>997</v>
      </c>
      <c r="F113" s="282" t="s">
        <v>998</v>
      </c>
      <c r="G113" s="137" t="s">
        <v>999</v>
      </c>
      <c r="H113" s="137" t="s">
        <v>1000</v>
      </c>
      <c r="I113" s="33" t="s">
        <v>1001</v>
      </c>
      <c r="J113" s="22" t="s">
        <v>60</v>
      </c>
      <c r="K113" s="30">
        <v>36185</v>
      </c>
      <c r="L113" s="22">
        <f t="shared" ca="1" si="1"/>
        <v>27</v>
      </c>
      <c r="M113" s="22" t="s">
        <v>134</v>
      </c>
      <c r="N113" s="22" t="s">
        <v>617</v>
      </c>
      <c r="O113" s="30">
        <v>45210</v>
      </c>
      <c r="P113" s="25" t="s">
        <v>588</v>
      </c>
      <c r="Q113" s="49" t="s">
        <v>81</v>
      </c>
      <c r="R113" s="33" t="s">
        <v>920</v>
      </c>
      <c r="S113" s="25" t="s">
        <v>948</v>
      </c>
      <c r="T113" s="36">
        <v>10000</v>
      </c>
      <c r="U113" s="51">
        <v>45908</v>
      </c>
      <c r="V113" s="89">
        <v>46359</v>
      </c>
      <c r="W113" s="141" t="s">
        <v>1002</v>
      </c>
      <c r="X113" s="9"/>
      <c r="Y113" s="59"/>
      <c r="Z113" s="15" t="s">
        <v>1003</v>
      </c>
      <c r="AA113" s="89">
        <v>45796</v>
      </c>
      <c r="AB113" s="53"/>
      <c r="AC113" s="53"/>
      <c r="AD113" s="36"/>
      <c r="AE113" s="36"/>
      <c r="AF113" s="36"/>
      <c r="AG113" s="22"/>
      <c r="AH113" s="22"/>
      <c r="AI113" s="37"/>
      <c r="AJ113" s="119"/>
      <c r="AK113" s="264" t="s">
        <v>854</v>
      </c>
      <c r="AL113" s="99" t="s">
        <v>89</v>
      </c>
      <c r="AM113" s="326">
        <v>45207</v>
      </c>
      <c r="AN113" s="327" t="s">
        <v>1004</v>
      </c>
      <c r="AO113" s="123"/>
      <c r="AP113" s="43" t="s">
        <v>1005</v>
      </c>
      <c r="AQ113" s="35" t="s">
        <v>1006</v>
      </c>
      <c r="AR113" s="35"/>
      <c r="AS113" s="35"/>
      <c r="AT113" s="35" t="s">
        <v>1007</v>
      </c>
      <c r="AU113" s="35"/>
      <c r="AV113" s="35"/>
      <c r="AW113" s="35"/>
      <c r="AX113" s="116"/>
      <c r="AY113" s="116"/>
      <c r="AZ113" s="116"/>
      <c r="BA113" s="116"/>
      <c r="BB113" s="116"/>
      <c r="BC113" s="62"/>
    </row>
    <row r="114" spans="1:55" ht="50.25" customHeight="1">
      <c r="A114" s="264" t="s">
        <v>664</v>
      </c>
      <c r="B114" s="22">
        <v>112</v>
      </c>
      <c r="C114" s="44" t="s">
        <v>54</v>
      </c>
      <c r="D114" s="45" t="s">
        <v>611</v>
      </c>
      <c r="E114" s="158" t="s">
        <v>1008</v>
      </c>
      <c r="F114" s="106" t="s">
        <v>1009</v>
      </c>
      <c r="G114" s="137" t="s">
        <v>1010</v>
      </c>
      <c r="H114" s="137" t="s">
        <v>1011</v>
      </c>
      <c r="I114" s="33"/>
      <c r="J114" s="22" t="s">
        <v>60</v>
      </c>
      <c r="K114" s="30">
        <v>38049</v>
      </c>
      <c r="L114" s="22">
        <f t="shared" ca="1" si="1"/>
        <v>22</v>
      </c>
      <c r="M114" s="22" t="s">
        <v>79</v>
      </c>
      <c r="N114" s="22" t="s">
        <v>617</v>
      </c>
      <c r="O114" s="30">
        <v>45210</v>
      </c>
      <c r="P114" s="25" t="s">
        <v>588</v>
      </c>
      <c r="Q114" s="49" t="s">
        <v>81</v>
      </c>
      <c r="R114" s="328" t="s">
        <v>1012</v>
      </c>
      <c r="S114" s="111" t="s">
        <v>149</v>
      </c>
      <c r="T114" s="36">
        <v>0</v>
      </c>
      <c r="U114" s="51">
        <v>45908</v>
      </c>
      <c r="V114" s="89">
        <v>46359</v>
      </c>
      <c r="W114" s="141" t="s">
        <v>1013</v>
      </c>
      <c r="X114" s="9"/>
      <c r="Y114" s="59"/>
      <c r="Z114" s="15" t="s">
        <v>1014</v>
      </c>
      <c r="AA114" s="89">
        <v>45992</v>
      </c>
      <c r="AB114" s="53"/>
      <c r="AC114" s="53"/>
      <c r="AD114" s="36"/>
      <c r="AE114" s="42">
        <v>45878</v>
      </c>
      <c r="AF114" s="42">
        <v>45912</v>
      </c>
      <c r="AG114" s="22"/>
      <c r="AH114" s="22" t="s">
        <v>67</v>
      </c>
      <c r="AI114" s="37">
        <v>46101</v>
      </c>
      <c r="AJ114" s="168" t="s">
        <v>1015</v>
      </c>
      <c r="AK114" s="264" t="s">
        <v>671</v>
      </c>
      <c r="AL114" s="9" t="s">
        <v>89</v>
      </c>
      <c r="AM114" s="197">
        <v>45207</v>
      </c>
      <c r="AN114" s="35" t="s">
        <v>994</v>
      </c>
      <c r="AO114" s="35"/>
      <c r="AP114" s="59" t="s">
        <v>1016</v>
      </c>
      <c r="AQ114" s="35" t="s">
        <v>1017</v>
      </c>
      <c r="AR114" s="35"/>
      <c r="AS114" s="35"/>
      <c r="AT114" s="35"/>
      <c r="AU114" s="35"/>
      <c r="AV114" s="35"/>
      <c r="AW114" s="35"/>
      <c r="AX114" s="116"/>
      <c r="AY114" s="116"/>
      <c r="AZ114" s="116"/>
      <c r="BA114" s="116"/>
      <c r="BB114" s="116"/>
      <c r="BC114" s="186"/>
    </row>
    <row r="115" spans="1:55" ht="50.25" customHeight="1">
      <c r="A115" s="264" t="s">
        <v>673</v>
      </c>
      <c r="B115" s="22">
        <v>113</v>
      </c>
      <c r="C115" s="44" t="s">
        <v>54</v>
      </c>
      <c r="D115" s="45" t="s">
        <v>611</v>
      </c>
      <c r="E115" s="158" t="s">
        <v>1018</v>
      </c>
      <c r="F115" s="106" t="s">
        <v>1019</v>
      </c>
      <c r="G115" s="137" t="s">
        <v>1020</v>
      </c>
      <c r="H115" s="137" t="s">
        <v>1021</v>
      </c>
      <c r="I115" s="33" t="s">
        <v>1022</v>
      </c>
      <c r="J115" s="22" t="s">
        <v>60</v>
      </c>
      <c r="K115" s="30">
        <v>36058</v>
      </c>
      <c r="L115" s="22">
        <f t="shared" ca="1" si="1"/>
        <v>27</v>
      </c>
      <c r="M115" s="22"/>
      <c r="N115" s="22" t="s">
        <v>617</v>
      </c>
      <c r="O115" s="30">
        <v>45210</v>
      </c>
      <c r="P115" s="25" t="s">
        <v>588</v>
      </c>
      <c r="Q115" s="49" t="s">
        <v>81</v>
      </c>
      <c r="R115" s="33" t="s">
        <v>920</v>
      </c>
      <c r="S115" s="25" t="s">
        <v>1023</v>
      </c>
      <c r="T115" s="36">
        <v>10000</v>
      </c>
      <c r="U115" s="51">
        <v>45908</v>
      </c>
      <c r="V115" s="89">
        <v>46359</v>
      </c>
      <c r="W115" s="141" t="s">
        <v>1024</v>
      </c>
      <c r="X115" s="9"/>
      <c r="Y115" s="59"/>
      <c r="Z115" s="115" t="s">
        <v>1025</v>
      </c>
      <c r="AA115" s="17"/>
      <c r="AB115" s="53"/>
      <c r="AC115" s="53"/>
      <c r="AD115" s="36"/>
      <c r="AE115" s="102">
        <v>46005</v>
      </c>
      <c r="AF115" s="42">
        <v>46032</v>
      </c>
      <c r="AG115" s="22"/>
      <c r="AH115" s="103" t="s">
        <v>154</v>
      </c>
      <c r="AI115" s="37"/>
      <c r="AJ115" s="119"/>
      <c r="AK115" s="264" t="s">
        <v>681</v>
      </c>
      <c r="AL115" s="9" t="s">
        <v>89</v>
      </c>
      <c r="AM115" s="197">
        <v>45207</v>
      </c>
      <c r="AN115" s="35" t="s">
        <v>994</v>
      </c>
      <c r="AO115" s="35"/>
      <c r="AP115" s="35" t="s">
        <v>1026</v>
      </c>
      <c r="AQ115" s="298" t="s">
        <v>1027</v>
      </c>
      <c r="AR115" s="298"/>
      <c r="AS115" s="298"/>
      <c r="AT115" s="298"/>
      <c r="AU115" s="298"/>
      <c r="AV115" s="298"/>
      <c r="AW115" s="298"/>
      <c r="AX115" s="43"/>
      <c r="AY115" s="43"/>
      <c r="AZ115" s="43"/>
      <c r="BA115" s="43"/>
      <c r="BB115" s="43"/>
      <c r="BC115" s="117"/>
    </row>
    <row r="116" spans="1:55" ht="50.25" customHeight="1">
      <c r="A116" s="264" t="s">
        <v>643</v>
      </c>
      <c r="B116" s="22">
        <v>114</v>
      </c>
      <c r="C116" s="44" t="s">
        <v>54</v>
      </c>
      <c r="D116" s="45" t="s">
        <v>611</v>
      </c>
      <c r="E116" s="158" t="s">
        <v>1028</v>
      </c>
      <c r="F116" s="106" t="s">
        <v>1029</v>
      </c>
      <c r="G116" s="137" t="s">
        <v>1030</v>
      </c>
      <c r="H116" s="137" t="s">
        <v>1031</v>
      </c>
      <c r="I116" s="33"/>
      <c r="J116" s="22" t="s">
        <v>60</v>
      </c>
      <c r="K116" s="30">
        <v>38235</v>
      </c>
      <c r="L116" s="22">
        <f t="shared" ca="1" si="1"/>
        <v>21</v>
      </c>
      <c r="M116" s="22"/>
      <c r="N116" s="22" t="s">
        <v>617</v>
      </c>
      <c r="O116" s="30">
        <v>45210</v>
      </c>
      <c r="P116" s="25" t="s">
        <v>588</v>
      </c>
      <c r="Q116" s="49" t="s">
        <v>81</v>
      </c>
      <c r="R116" s="319" t="s">
        <v>734</v>
      </c>
      <c r="S116" s="25" t="s">
        <v>82</v>
      </c>
      <c r="T116" s="36">
        <v>15000</v>
      </c>
      <c r="U116" s="51">
        <v>45908</v>
      </c>
      <c r="V116" s="89">
        <v>46359</v>
      </c>
      <c r="W116" s="141" t="s">
        <v>1032</v>
      </c>
      <c r="X116" s="9"/>
      <c r="Y116" s="59"/>
      <c r="Z116" s="115" t="s">
        <v>1033</v>
      </c>
      <c r="AA116" s="89">
        <v>45797</v>
      </c>
      <c r="AB116" s="53"/>
      <c r="AC116" s="53"/>
      <c r="AD116" s="36"/>
      <c r="AE116" s="36"/>
      <c r="AF116" s="36"/>
      <c r="AG116" s="22"/>
      <c r="AH116" s="22"/>
      <c r="AI116" s="37"/>
      <c r="AJ116" s="119"/>
      <c r="AK116" s="264" t="s">
        <v>650</v>
      </c>
      <c r="AL116" s="9" t="s">
        <v>89</v>
      </c>
      <c r="AM116" s="200">
        <v>45207</v>
      </c>
      <c r="AN116" s="35" t="s">
        <v>1034</v>
      </c>
      <c r="AO116" s="35"/>
      <c r="AP116" s="35" t="s">
        <v>1035</v>
      </c>
      <c r="AQ116" s="35" t="s">
        <v>1036</v>
      </c>
      <c r="AR116" s="35"/>
      <c r="AS116" s="35"/>
      <c r="AT116" s="35"/>
      <c r="AU116" s="35"/>
      <c r="AV116" s="35"/>
      <c r="AW116" s="35"/>
      <c r="AX116" s="43"/>
      <c r="AY116" s="43"/>
      <c r="AZ116" s="43"/>
      <c r="BA116" s="43"/>
      <c r="BB116" s="43"/>
      <c r="BC116" s="117"/>
    </row>
    <row r="117" spans="1:55" ht="50.25" customHeight="1">
      <c r="A117" s="264" t="s">
        <v>845</v>
      </c>
      <c r="B117" s="22">
        <v>115</v>
      </c>
      <c r="C117" s="44" t="s">
        <v>54</v>
      </c>
      <c r="D117" s="45" t="s">
        <v>611</v>
      </c>
      <c r="E117" s="158" t="s">
        <v>1037</v>
      </c>
      <c r="F117" s="106" t="s">
        <v>1038</v>
      </c>
      <c r="G117" s="137" t="s">
        <v>1039</v>
      </c>
      <c r="H117" s="137" t="s">
        <v>1040</v>
      </c>
      <c r="I117" s="33"/>
      <c r="J117" s="22" t="s">
        <v>60</v>
      </c>
      <c r="K117" s="30">
        <v>37244</v>
      </c>
      <c r="L117" s="22">
        <f t="shared" ca="1" si="1"/>
        <v>24</v>
      </c>
      <c r="M117" s="22"/>
      <c r="N117" s="22" t="s">
        <v>617</v>
      </c>
      <c r="O117" s="30">
        <v>45210</v>
      </c>
      <c r="P117" s="25" t="s">
        <v>588</v>
      </c>
      <c r="Q117" s="49" t="s">
        <v>81</v>
      </c>
      <c r="R117" s="33" t="s">
        <v>920</v>
      </c>
      <c r="S117" s="25" t="s">
        <v>948</v>
      </c>
      <c r="T117" s="36">
        <v>10000</v>
      </c>
      <c r="U117" s="51">
        <v>45908</v>
      </c>
      <c r="V117" s="89">
        <v>46359</v>
      </c>
      <c r="W117" s="141" t="s">
        <v>1041</v>
      </c>
      <c r="X117" s="9"/>
      <c r="Y117" s="59"/>
      <c r="Z117" s="15" t="s">
        <v>1042</v>
      </c>
      <c r="AA117" s="100">
        <v>45877</v>
      </c>
      <c r="AB117" s="53"/>
      <c r="AC117" s="53"/>
      <c r="AD117" s="36"/>
      <c r="AE117" s="36"/>
      <c r="AF117" s="36"/>
      <c r="AG117" s="22"/>
      <c r="AH117" s="22"/>
      <c r="AI117" s="37"/>
      <c r="AJ117" s="119"/>
      <c r="AK117" s="264" t="s">
        <v>854</v>
      </c>
      <c r="AL117" s="9" t="s">
        <v>89</v>
      </c>
      <c r="AM117" s="197">
        <v>45207</v>
      </c>
      <c r="AN117" s="35" t="s">
        <v>994</v>
      </c>
      <c r="AO117" s="58" t="s">
        <v>91</v>
      </c>
      <c r="AP117" s="35"/>
      <c r="AQ117" s="82" t="s">
        <v>1043</v>
      </c>
      <c r="AR117" s="82"/>
      <c r="AS117" s="82"/>
      <c r="AT117" s="82"/>
      <c r="AU117" s="82"/>
      <c r="AV117" s="82"/>
      <c r="AW117" s="82"/>
      <c r="AX117" s="180"/>
      <c r="AY117" s="180"/>
      <c r="AZ117" s="180"/>
      <c r="BA117" s="180"/>
      <c r="BB117" s="180"/>
      <c r="BC117" s="117"/>
    </row>
    <row r="118" spans="1:55" ht="50.25" customHeight="1">
      <c r="A118" s="246"/>
      <c r="B118" s="22">
        <v>116</v>
      </c>
      <c r="C118" s="23" t="s">
        <v>54</v>
      </c>
      <c r="D118" s="24" t="s">
        <v>611</v>
      </c>
      <c r="E118" s="158" t="s">
        <v>1044</v>
      </c>
      <c r="F118" s="26"/>
      <c r="G118" s="239" t="s">
        <v>1045</v>
      </c>
      <c r="H118" s="137" t="s">
        <v>1046</v>
      </c>
      <c r="I118" s="29"/>
      <c r="J118" s="22" t="s">
        <v>60</v>
      </c>
      <c r="K118" s="30">
        <v>36263</v>
      </c>
      <c r="L118" s="22">
        <f t="shared" ca="1" si="1"/>
        <v>27</v>
      </c>
      <c r="M118" s="22"/>
      <c r="N118" s="22" t="s">
        <v>617</v>
      </c>
      <c r="O118" s="30">
        <v>45210</v>
      </c>
      <c r="P118" s="25" t="s">
        <v>588</v>
      </c>
      <c r="Q118" s="155" t="s">
        <v>81</v>
      </c>
      <c r="R118" s="33" t="s">
        <v>920</v>
      </c>
      <c r="S118" s="25" t="s">
        <v>991</v>
      </c>
      <c r="T118" s="36">
        <v>10000</v>
      </c>
      <c r="U118" s="329">
        <v>45093</v>
      </c>
      <c r="V118" s="30">
        <v>45573</v>
      </c>
      <c r="W118" s="9" t="s">
        <v>1047</v>
      </c>
      <c r="X118" s="9"/>
      <c r="Y118" s="253"/>
      <c r="Z118" s="59" t="s">
        <v>1048</v>
      </c>
      <c r="AA118" s="100">
        <v>45584</v>
      </c>
      <c r="AB118" s="53"/>
      <c r="AC118" s="53"/>
      <c r="AD118" s="36"/>
      <c r="AE118" s="36"/>
      <c r="AF118" s="36"/>
      <c r="AG118" s="22"/>
      <c r="AH118" s="22" t="s">
        <v>67</v>
      </c>
      <c r="AI118" s="37">
        <v>45564</v>
      </c>
      <c r="AJ118" s="119"/>
      <c r="AK118" s="246"/>
      <c r="AL118" s="9"/>
      <c r="AM118" s="116"/>
      <c r="AN118" s="116"/>
      <c r="AO118" s="116"/>
      <c r="AP118" s="116" t="s">
        <v>1049</v>
      </c>
      <c r="AQ118" s="311"/>
      <c r="AR118" s="311"/>
      <c r="AS118" s="311"/>
      <c r="AT118" s="311"/>
      <c r="AU118" s="311"/>
      <c r="AV118" s="311"/>
      <c r="AW118" s="311"/>
      <c r="AX118" s="311"/>
      <c r="AY118" s="311"/>
      <c r="AZ118" s="311"/>
      <c r="BA118" s="311"/>
      <c r="BB118" s="311"/>
      <c r="BC118" s="117"/>
    </row>
    <row r="119" spans="1:55" ht="50.25" customHeight="1">
      <c r="A119" s="264" t="s">
        <v>673</v>
      </c>
      <c r="B119" s="22">
        <v>117</v>
      </c>
      <c r="C119" s="44" t="s">
        <v>54</v>
      </c>
      <c r="D119" s="45" t="s">
        <v>611</v>
      </c>
      <c r="E119" s="158" t="s">
        <v>1050</v>
      </c>
      <c r="F119" s="106" t="s">
        <v>1051</v>
      </c>
      <c r="G119" s="137" t="s">
        <v>1052</v>
      </c>
      <c r="H119" s="137" t="s">
        <v>1053</v>
      </c>
      <c r="I119" s="33" t="s">
        <v>1054</v>
      </c>
      <c r="J119" s="22" t="s">
        <v>60</v>
      </c>
      <c r="K119" s="30">
        <v>36325</v>
      </c>
      <c r="L119" s="22">
        <f t="shared" ca="1" si="1"/>
        <v>26</v>
      </c>
      <c r="M119" s="22"/>
      <c r="N119" s="22" t="s">
        <v>617</v>
      </c>
      <c r="O119" s="30">
        <v>45210</v>
      </c>
      <c r="P119" s="25" t="s">
        <v>588</v>
      </c>
      <c r="Q119" s="49" t="s">
        <v>81</v>
      </c>
      <c r="R119" s="33" t="s">
        <v>1055</v>
      </c>
      <c r="S119" s="158" t="s">
        <v>82</v>
      </c>
      <c r="T119" s="330">
        <v>15000</v>
      </c>
      <c r="U119" s="51">
        <v>45908</v>
      </c>
      <c r="V119" s="89">
        <v>46359</v>
      </c>
      <c r="W119" s="141" t="s">
        <v>1056</v>
      </c>
      <c r="X119" s="9"/>
      <c r="Y119" s="59"/>
      <c r="Z119" s="15" t="s">
        <v>1057</v>
      </c>
      <c r="AA119" s="89">
        <v>45555</v>
      </c>
      <c r="AB119" s="53"/>
      <c r="AC119" s="53"/>
      <c r="AD119" s="36"/>
      <c r="AE119" s="36"/>
      <c r="AF119" s="36"/>
      <c r="AG119" s="22"/>
      <c r="AH119" s="22"/>
      <c r="AI119" s="37"/>
      <c r="AJ119" s="119"/>
      <c r="AK119" s="264" t="s">
        <v>681</v>
      </c>
      <c r="AL119" s="67" t="s">
        <v>89</v>
      </c>
      <c r="AM119" s="304">
        <v>45207</v>
      </c>
      <c r="AN119" s="82" t="s">
        <v>994</v>
      </c>
      <c r="AO119" s="123"/>
      <c r="AP119" s="123" t="s">
        <v>1058</v>
      </c>
      <c r="AQ119" s="35" t="s">
        <v>1059</v>
      </c>
      <c r="AR119" s="35"/>
      <c r="AS119" s="35"/>
      <c r="AT119" s="35"/>
      <c r="AU119" s="35"/>
      <c r="AV119" s="35"/>
      <c r="AW119" s="35"/>
      <c r="AX119" s="123"/>
      <c r="AY119" s="123"/>
      <c r="AZ119" s="123"/>
      <c r="BA119" s="123"/>
      <c r="BB119" s="123"/>
      <c r="BC119" s="186"/>
    </row>
    <row r="120" spans="1:55" ht="50.25" customHeight="1">
      <c r="A120" s="264" t="s">
        <v>643</v>
      </c>
      <c r="B120" s="22">
        <v>118</v>
      </c>
      <c r="C120" s="44" t="s">
        <v>54</v>
      </c>
      <c r="D120" s="45" t="s">
        <v>611</v>
      </c>
      <c r="E120" s="158" t="s">
        <v>1060</v>
      </c>
      <c r="F120" s="46" t="s">
        <v>1061</v>
      </c>
      <c r="G120" s="137" t="s">
        <v>1062</v>
      </c>
      <c r="H120" s="137" t="s">
        <v>1063</v>
      </c>
      <c r="I120" s="33" t="s">
        <v>1064</v>
      </c>
      <c r="J120" s="22" t="s">
        <v>60</v>
      </c>
      <c r="K120" s="30">
        <v>38026</v>
      </c>
      <c r="L120" s="22">
        <f t="shared" ca="1" si="1"/>
        <v>22</v>
      </c>
      <c r="M120" s="22"/>
      <c r="N120" s="22" t="s">
        <v>617</v>
      </c>
      <c r="O120" s="30">
        <v>45216</v>
      </c>
      <c r="P120" s="25" t="s">
        <v>588</v>
      </c>
      <c r="Q120" s="49" t="s">
        <v>81</v>
      </c>
      <c r="R120" s="33" t="s">
        <v>630</v>
      </c>
      <c r="S120" s="25" t="s">
        <v>1065</v>
      </c>
      <c r="T120" s="289">
        <v>15000</v>
      </c>
      <c r="U120" s="51">
        <v>45908</v>
      </c>
      <c r="V120" s="89">
        <v>46359</v>
      </c>
      <c r="W120" s="141" t="s">
        <v>1066</v>
      </c>
      <c r="X120" s="9"/>
      <c r="Y120" s="59"/>
      <c r="Z120" s="15" t="s">
        <v>1067</v>
      </c>
      <c r="AA120" s="89">
        <v>45555</v>
      </c>
      <c r="AB120" s="53"/>
      <c r="AC120" s="53"/>
      <c r="AD120" s="36"/>
      <c r="AE120" s="36"/>
      <c r="AF120" s="36"/>
      <c r="AG120" s="22"/>
      <c r="AH120" s="22" t="s">
        <v>1068</v>
      </c>
      <c r="AI120" s="331">
        <v>46132</v>
      </c>
      <c r="AJ120" s="93" t="s">
        <v>600</v>
      </c>
      <c r="AK120" s="264" t="s">
        <v>650</v>
      </c>
      <c r="AL120" s="9" t="s">
        <v>89</v>
      </c>
      <c r="AM120" s="200">
        <v>45214</v>
      </c>
      <c r="AN120" s="316" t="s">
        <v>994</v>
      </c>
      <c r="AO120" s="35"/>
      <c r="AP120" s="35"/>
      <c r="AQ120" s="35" t="s">
        <v>1069</v>
      </c>
      <c r="AR120" s="35"/>
      <c r="AS120" s="35"/>
      <c r="AT120" s="35"/>
      <c r="AU120" s="35"/>
      <c r="AV120" s="35"/>
      <c r="AW120" s="35"/>
      <c r="AX120" s="35"/>
      <c r="AY120" s="35"/>
      <c r="AZ120" s="35"/>
      <c r="BA120" s="35"/>
      <c r="BB120" s="35"/>
      <c r="BC120" s="186"/>
    </row>
    <row r="121" spans="1:55" ht="50.25" customHeight="1">
      <c r="A121" s="264" t="s">
        <v>643</v>
      </c>
      <c r="B121" s="22">
        <v>119</v>
      </c>
      <c r="C121" s="44" t="s">
        <v>54</v>
      </c>
      <c r="D121" s="45" t="s">
        <v>611</v>
      </c>
      <c r="E121" s="158" t="s">
        <v>1070</v>
      </c>
      <c r="F121" s="106" t="s">
        <v>1071</v>
      </c>
      <c r="G121" s="137" t="s">
        <v>1072</v>
      </c>
      <c r="H121" s="137" t="s">
        <v>1073</v>
      </c>
      <c r="I121" s="33"/>
      <c r="J121" s="22" t="s">
        <v>60</v>
      </c>
      <c r="K121" s="30">
        <v>36743</v>
      </c>
      <c r="L121" s="22">
        <f t="shared" ca="1" si="1"/>
        <v>25</v>
      </c>
      <c r="M121" s="22"/>
      <c r="N121" s="22" t="s">
        <v>617</v>
      </c>
      <c r="O121" s="30">
        <v>45216</v>
      </c>
      <c r="P121" s="25" t="s">
        <v>588</v>
      </c>
      <c r="Q121" s="49" t="s">
        <v>81</v>
      </c>
      <c r="R121" s="88" t="s">
        <v>975</v>
      </c>
      <c r="S121" s="111" t="s">
        <v>82</v>
      </c>
      <c r="T121" s="257">
        <v>15000</v>
      </c>
      <c r="U121" s="51">
        <v>45908</v>
      </c>
      <c r="V121" s="89">
        <v>46359</v>
      </c>
      <c r="W121" s="141" t="s">
        <v>1074</v>
      </c>
      <c r="X121" s="9"/>
      <c r="Y121" s="59"/>
      <c r="Z121" s="15" t="s">
        <v>1075</v>
      </c>
      <c r="AA121" s="89">
        <v>45555</v>
      </c>
      <c r="AB121" s="53"/>
      <c r="AC121" s="53"/>
      <c r="AD121" s="36"/>
      <c r="AE121" s="36"/>
      <c r="AF121" s="36"/>
      <c r="AG121" s="22"/>
      <c r="AH121" s="22"/>
      <c r="AI121" s="37"/>
      <c r="AJ121" s="119"/>
      <c r="AK121" s="264" t="s">
        <v>650</v>
      </c>
      <c r="AL121" s="9" t="s">
        <v>89</v>
      </c>
      <c r="AM121" s="332"/>
      <c r="AN121" s="316" t="s">
        <v>994</v>
      </c>
      <c r="AO121" s="123"/>
      <c r="AP121" s="123" t="s">
        <v>1076</v>
      </c>
      <c r="AQ121" s="59" t="s">
        <v>1077</v>
      </c>
      <c r="AR121" s="59"/>
      <c r="AS121" s="59"/>
      <c r="AT121" s="59" t="s">
        <v>1078</v>
      </c>
      <c r="AU121" s="59"/>
      <c r="AV121" s="59"/>
      <c r="AW121" s="59"/>
      <c r="AX121" s="333"/>
      <c r="AY121" s="333"/>
      <c r="AZ121" s="333"/>
      <c r="BA121" s="333"/>
      <c r="BB121" s="333"/>
      <c r="BC121" s="186"/>
    </row>
    <row r="122" spans="1:55" ht="50.25" customHeight="1">
      <c r="A122" s="264" t="s">
        <v>643</v>
      </c>
      <c r="B122" s="22">
        <v>120</v>
      </c>
      <c r="C122" s="44" t="s">
        <v>54</v>
      </c>
      <c r="D122" s="45" t="s">
        <v>611</v>
      </c>
      <c r="E122" s="158" t="s">
        <v>1079</v>
      </c>
      <c r="F122" s="106" t="s">
        <v>1080</v>
      </c>
      <c r="G122" s="137" t="s">
        <v>1081</v>
      </c>
      <c r="H122" s="137" t="s">
        <v>1082</v>
      </c>
      <c r="I122" s="33"/>
      <c r="J122" s="22" t="s">
        <v>60</v>
      </c>
      <c r="K122" s="30">
        <v>38069</v>
      </c>
      <c r="L122" s="22">
        <f t="shared" ca="1" si="1"/>
        <v>22</v>
      </c>
      <c r="M122" s="22" t="s">
        <v>134</v>
      </c>
      <c r="N122" s="22" t="s">
        <v>617</v>
      </c>
      <c r="O122" s="30">
        <v>45216</v>
      </c>
      <c r="P122" s="25" t="s">
        <v>588</v>
      </c>
      <c r="Q122" s="49" t="s">
        <v>81</v>
      </c>
      <c r="R122" s="319" t="s">
        <v>635</v>
      </c>
      <c r="S122" s="25" t="s">
        <v>82</v>
      </c>
      <c r="T122" s="36">
        <v>15000</v>
      </c>
      <c r="U122" s="51">
        <v>45908</v>
      </c>
      <c r="V122" s="89">
        <v>46359</v>
      </c>
      <c r="W122" s="141" t="s">
        <v>1083</v>
      </c>
      <c r="X122" s="9"/>
      <c r="Y122" s="59"/>
      <c r="Z122" s="15" t="s">
        <v>1084</v>
      </c>
      <c r="AA122" s="17"/>
      <c r="AB122" s="53" t="s">
        <v>1085</v>
      </c>
      <c r="AC122" s="53"/>
      <c r="AD122" s="36"/>
      <c r="AE122" s="36"/>
      <c r="AF122" s="36"/>
      <c r="AG122" s="22"/>
      <c r="AH122" s="22"/>
      <c r="AI122" s="37"/>
      <c r="AJ122" s="119"/>
      <c r="AK122" s="264" t="s">
        <v>650</v>
      </c>
      <c r="AL122" s="141" t="s">
        <v>89</v>
      </c>
      <c r="AM122" s="334">
        <v>45213</v>
      </c>
      <c r="AN122" s="35" t="s">
        <v>994</v>
      </c>
      <c r="AO122" s="35"/>
      <c r="AP122" s="35" t="s">
        <v>1086</v>
      </c>
      <c r="AQ122" s="35" t="s">
        <v>1087</v>
      </c>
      <c r="AR122" s="35"/>
      <c r="AS122" s="35"/>
      <c r="AT122" s="35" t="s">
        <v>1088</v>
      </c>
      <c r="AU122" s="35"/>
      <c r="AV122" s="35"/>
      <c r="AW122" s="35"/>
      <c r="AX122" s="273"/>
      <c r="AY122" s="273"/>
      <c r="AZ122" s="273"/>
      <c r="BA122" s="273"/>
      <c r="BB122" s="273"/>
      <c r="BC122" s="186"/>
    </row>
    <row r="123" spans="1:55" ht="50.25" customHeight="1">
      <c r="A123" s="264" t="s">
        <v>664</v>
      </c>
      <c r="B123" s="22">
        <v>121</v>
      </c>
      <c r="C123" s="44" t="s">
        <v>54</v>
      </c>
      <c r="D123" s="45" t="s">
        <v>611</v>
      </c>
      <c r="E123" s="158" t="s">
        <v>1089</v>
      </c>
      <c r="F123" s="106" t="s">
        <v>1090</v>
      </c>
      <c r="G123" s="137" t="s">
        <v>1091</v>
      </c>
      <c r="H123" s="137" t="s">
        <v>1092</v>
      </c>
      <c r="I123" s="33"/>
      <c r="J123" s="22" t="s">
        <v>60</v>
      </c>
      <c r="K123" s="30">
        <v>35433</v>
      </c>
      <c r="L123" s="22">
        <f t="shared" ca="1" si="1"/>
        <v>29</v>
      </c>
      <c r="M123" s="22" t="s">
        <v>79</v>
      </c>
      <c r="N123" s="22" t="s">
        <v>617</v>
      </c>
      <c r="O123" s="30">
        <v>45216</v>
      </c>
      <c r="P123" s="25" t="s">
        <v>588</v>
      </c>
      <c r="Q123" s="49" t="s">
        <v>81</v>
      </c>
      <c r="R123" s="33" t="s">
        <v>630</v>
      </c>
      <c r="S123" s="25" t="s">
        <v>1093</v>
      </c>
      <c r="T123" s="289">
        <v>15000</v>
      </c>
      <c r="U123" s="51">
        <v>45908</v>
      </c>
      <c r="V123" s="89">
        <v>46359</v>
      </c>
      <c r="W123" s="141" t="s">
        <v>1094</v>
      </c>
      <c r="X123" s="9"/>
      <c r="Y123" s="59"/>
      <c r="Z123" s="15" t="s">
        <v>1095</v>
      </c>
      <c r="AA123" s="100">
        <v>45931</v>
      </c>
      <c r="AB123" s="53"/>
      <c r="AC123" s="53"/>
      <c r="AD123" s="36"/>
      <c r="AE123" s="177">
        <v>46005</v>
      </c>
      <c r="AF123" s="178">
        <v>46032</v>
      </c>
      <c r="AG123" s="22"/>
      <c r="AH123" s="103" t="s">
        <v>154</v>
      </c>
      <c r="AI123" s="37"/>
      <c r="AJ123" s="119"/>
      <c r="AK123" s="264" t="s">
        <v>671</v>
      </c>
      <c r="AL123" s="9" t="s">
        <v>89</v>
      </c>
      <c r="AM123" s="332"/>
      <c r="AN123" s="316" t="s">
        <v>994</v>
      </c>
      <c r="AO123" s="35"/>
      <c r="AP123" s="35" t="s">
        <v>1096</v>
      </c>
      <c r="AQ123" s="35" t="s">
        <v>1097</v>
      </c>
      <c r="AR123" s="35"/>
      <c r="AS123" s="35"/>
      <c r="AT123" s="35"/>
      <c r="AU123" s="35"/>
      <c r="AV123" s="35"/>
      <c r="AW123" s="35"/>
      <c r="AX123" s="43"/>
      <c r="AY123" s="43"/>
      <c r="AZ123" s="43"/>
      <c r="BA123" s="43"/>
      <c r="BB123" s="43"/>
      <c r="BC123" s="117"/>
    </row>
    <row r="124" spans="1:55" ht="50.25" customHeight="1">
      <c r="A124" s="157"/>
      <c r="B124" s="22">
        <v>122</v>
      </c>
      <c r="C124" s="44" t="s">
        <v>54</v>
      </c>
      <c r="D124" s="45" t="s">
        <v>611</v>
      </c>
      <c r="E124" s="158" t="s">
        <v>1098</v>
      </c>
      <c r="F124" s="106"/>
      <c r="G124" s="137" t="s">
        <v>1099</v>
      </c>
      <c r="H124" s="137" t="s">
        <v>1100</v>
      </c>
      <c r="I124" s="33"/>
      <c r="J124" s="22" t="s">
        <v>60</v>
      </c>
      <c r="K124" s="30">
        <v>37974</v>
      </c>
      <c r="L124" s="22">
        <f t="shared" ca="1" si="1"/>
        <v>22</v>
      </c>
      <c r="M124" s="22"/>
      <c r="N124" s="22" t="s">
        <v>617</v>
      </c>
      <c r="O124" s="30">
        <v>45216</v>
      </c>
      <c r="P124" s="25" t="s">
        <v>588</v>
      </c>
      <c r="Q124" s="49" t="s">
        <v>81</v>
      </c>
      <c r="R124" s="33" t="s">
        <v>630</v>
      </c>
      <c r="S124" s="25" t="s">
        <v>1101</v>
      </c>
      <c r="T124" s="36">
        <v>10000</v>
      </c>
      <c r="U124" s="51">
        <v>45093</v>
      </c>
      <c r="V124" s="89">
        <v>45994</v>
      </c>
      <c r="W124" s="141" t="s">
        <v>1102</v>
      </c>
      <c r="X124" s="9"/>
      <c r="Y124" s="59"/>
      <c r="Z124" s="15" t="s">
        <v>1103</v>
      </c>
      <c r="AA124" s="17"/>
      <c r="AB124" s="53"/>
      <c r="AC124" s="53"/>
      <c r="AD124" s="36"/>
      <c r="AE124" s="36"/>
      <c r="AF124" s="36"/>
      <c r="AG124" s="22"/>
      <c r="AH124" s="22" t="s">
        <v>67</v>
      </c>
      <c r="AI124" s="37">
        <v>45736</v>
      </c>
      <c r="AJ124" s="216" t="s">
        <v>600</v>
      </c>
      <c r="AK124" s="157"/>
      <c r="AL124" s="9"/>
      <c r="AM124" s="35"/>
      <c r="AN124" s="35"/>
      <c r="AO124" s="35"/>
      <c r="AP124" s="35"/>
      <c r="AQ124" s="35"/>
      <c r="AR124" s="35"/>
      <c r="AS124" s="35"/>
      <c r="AT124" s="35"/>
      <c r="AU124" s="35"/>
      <c r="AV124" s="35"/>
      <c r="AW124" s="35"/>
      <c r="AX124" s="35"/>
      <c r="AY124" s="35"/>
      <c r="AZ124" s="35"/>
      <c r="BA124" s="35"/>
      <c r="BB124" s="35"/>
      <c r="BC124" s="117"/>
    </row>
    <row r="125" spans="1:55" ht="50.25" customHeight="1">
      <c r="A125" s="264" t="s">
        <v>664</v>
      </c>
      <c r="B125" s="22">
        <v>123</v>
      </c>
      <c r="C125" s="44" t="s">
        <v>54</v>
      </c>
      <c r="D125" s="45" t="s">
        <v>611</v>
      </c>
      <c r="E125" s="158" t="s">
        <v>1104</v>
      </c>
      <c r="F125" s="46" t="s">
        <v>1105</v>
      </c>
      <c r="G125" s="137" t="s">
        <v>1106</v>
      </c>
      <c r="H125" s="137" t="s">
        <v>1107</v>
      </c>
      <c r="I125" s="33" t="s">
        <v>1108</v>
      </c>
      <c r="J125" s="22" t="s">
        <v>60</v>
      </c>
      <c r="K125" s="30">
        <v>37824</v>
      </c>
      <c r="L125" s="22">
        <f t="shared" ca="1" si="1"/>
        <v>22</v>
      </c>
      <c r="M125" s="22" t="s">
        <v>134</v>
      </c>
      <c r="N125" s="22" t="s">
        <v>617</v>
      </c>
      <c r="O125" s="30">
        <v>44937</v>
      </c>
      <c r="P125" s="25" t="s">
        <v>548</v>
      </c>
      <c r="Q125" s="49" t="s">
        <v>81</v>
      </c>
      <c r="R125" s="328" t="s">
        <v>1109</v>
      </c>
      <c r="S125" s="158" t="s">
        <v>82</v>
      </c>
      <c r="T125" s="289">
        <v>0</v>
      </c>
      <c r="U125" s="51">
        <v>45976</v>
      </c>
      <c r="V125" s="335">
        <v>46432</v>
      </c>
      <c r="W125" s="141" t="s">
        <v>1110</v>
      </c>
      <c r="X125" s="9"/>
      <c r="Y125" s="59"/>
      <c r="Z125" s="15" t="s">
        <v>1111</v>
      </c>
      <c r="AA125" s="100">
        <v>46070</v>
      </c>
      <c r="AB125" s="53" t="s">
        <v>1112</v>
      </c>
      <c r="AC125" s="53"/>
      <c r="AD125" s="36"/>
      <c r="AE125" s="36"/>
      <c r="AF125" s="36"/>
      <c r="AG125" s="22"/>
      <c r="AH125" s="22"/>
      <c r="AI125" s="37"/>
      <c r="AJ125" s="119"/>
      <c r="AK125" s="264" t="s">
        <v>671</v>
      </c>
      <c r="AL125" s="9" t="s">
        <v>89</v>
      </c>
      <c r="AM125" s="200">
        <v>44922</v>
      </c>
      <c r="AN125" s="35" t="s">
        <v>1113</v>
      </c>
      <c r="AO125" s="123"/>
      <c r="AP125" s="82" t="s">
        <v>1114</v>
      </c>
      <c r="AQ125" s="59" t="s">
        <v>1115</v>
      </c>
      <c r="AR125" s="59"/>
      <c r="AS125" s="59"/>
      <c r="AT125" s="59"/>
      <c r="AU125" s="59"/>
      <c r="AV125" s="59"/>
      <c r="AW125" s="59"/>
      <c r="AX125" s="15"/>
      <c r="AY125" s="15"/>
      <c r="AZ125" s="15"/>
      <c r="BA125" s="15"/>
      <c r="BB125" s="15"/>
      <c r="BC125" s="117"/>
    </row>
    <row r="126" spans="1:55" ht="50.25" customHeight="1">
      <c r="A126" s="22"/>
      <c r="B126" s="22">
        <v>124</v>
      </c>
      <c r="C126" s="44" t="s">
        <v>54</v>
      </c>
      <c r="D126" s="45" t="s">
        <v>611</v>
      </c>
      <c r="E126" s="158" t="s">
        <v>1116</v>
      </c>
      <c r="F126" s="106"/>
      <c r="G126" s="137" t="s">
        <v>1117</v>
      </c>
      <c r="H126" s="137" t="s">
        <v>1118</v>
      </c>
      <c r="I126" s="33" t="s">
        <v>1119</v>
      </c>
      <c r="J126" s="22" t="s">
        <v>60</v>
      </c>
      <c r="K126" s="30">
        <v>37863</v>
      </c>
      <c r="L126" s="22">
        <f t="shared" ca="1" si="1"/>
        <v>22</v>
      </c>
      <c r="M126" s="22"/>
      <c r="N126" s="22" t="s">
        <v>617</v>
      </c>
      <c r="O126" s="30">
        <v>44937</v>
      </c>
      <c r="P126" s="25" t="s">
        <v>548</v>
      </c>
      <c r="Q126" s="49" t="s">
        <v>81</v>
      </c>
      <c r="R126" s="33" t="s">
        <v>635</v>
      </c>
      <c r="S126" s="158" t="s">
        <v>82</v>
      </c>
      <c r="T126" s="209">
        <v>15000</v>
      </c>
      <c r="U126" s="51">
        <v>44835</v>
      </c>
      <c r="V126" s="66">
        <v>46067</v>
      </c>
      <c r="W126" s="9" t="s">
        <v>1120</v>
      </c>
      <c r="X126" s="9"/>
      <c r="Y126" s="59"/>
      <c r="Z126" s="115" t="s">
        <v>1121</v>
      </c>
      <c r="AA126" s="17"/>
      <c r="AB126" s="53"/>
      <c r="AC126" s="53"/>
      <c r="AD126" s="36"/>
      <c r="AE126" s="36"/>
      <c r="AF126" s="36"/>
      <c r="AG126" s="22"/>
      <c r="AH126" s="22" t="s">
        <v>67</v>
      </c>
      <c r="AI126" s="37">
        <v>45736</v>
      </c>
      <c r="AJ126" s="119" t="s">
        <v>1122</v>
      </c>
      <c r="AK126" s="22"/>
      <c r="AL126" s="9"/>
      <c r="AM126" s="35"/>
      <c r="AN126" s="35"/>
      <c r="AO126" s="35"/>
      <c r="AP126" s="35" t="s">
        <v>1123</v>
      </c>
      <c r="AQ126" s="35"/>
      <c r="AR126" s="35"/>
      <c r="AS126" s="35"/>
      <c r="AT126" s="35"/>
      <c r="AU126" s="35"/>
      <c r="AV126" s="35"/>
      <c r="AW126" s="35"/>
      <c r="AX126" s="35"/>
      <c r="AY126" s="35"/>
      <c r="AZ126" s="35"/>
      <c r="BA126" s="35"/>
      <c r="BB126" s="35"/>
      <c r="BC126" s="117"/>
    </row>
    <row r="127" spans="1:55" ht="50.25" customHeight="1">
      <c r="A127" s="264" t="s">
        <v>664</v>
      </c>
      <c r="B127" s="22">
        <v>125</v>
      </c>
      <c r="C127" s="44" t="s">
        <v>54</v>
      </c>
      <c r="D127" s="45" t="s">
        <v>611</v>
      </c>
      <c r="E127" s="158" t="s">
        <v>1124</v>
      </c>
      <c r="F127" s="106" t="s">
        <v>1125</v>
      </c>
      <c r="G127" s="137" t="s">
        <v>1126</v>
      </c>
      <c r="H127" s="137" t="s">
        <v>1127</v>
      </c>
      <c r="I127" s="33" t="s">
        <v>1128</v>
      </c>
      <c r="J127" s="22" t="s">
        <v>261</v>
      </c>
      <c r="K127" s="30">
        <v>35992</v>
      </c>
      <c r="L127" s="22">
        <f t="shared" ca="1" si="1"/>
        <v>27</v>
      </c>
      <c r="M127" s="70" t="s">
        <v>134</v>
      </c>
      <c r="N127" s="22" t="s">
        <v>617</v>
      </c>
      <c r="O127" s="30">
        <v>44937</v>
      </c>
      <c r="P127" s="25" t="s">
        <v>548</v>
      </c>
      <c r="Q127" s="49" t="s">
        <v>81</v>
      </c>
      <c r="R127" s="33" t="s">
        <v>1129</v>
      </c>
      <c r="S127" s="158" t="s">
        <v>82</v>
      </c>
      <c r="T127" s="209">
        <v>15000</v>
      </c>
      <c r="U127" s="51">
        <v>45976</v>
      </c>
      <c r="V127" s="335">
        <v>46432</v>
      </c>
      <c r="W127" s="141" t="s">
        <v>1130</v>
      </c>
      <c r="X127" s="45" t="s">
        <v>1131</v>
      </c>
      <c r="Y127" s="59"/>
      <c r="Z127" s="15" t="s">
        <v>1132</v>
      </c>
      <c r="AA127" s="17"/>
      <c r="AB127" s="53"/>
      <c r="AC127" s="53"/>
      <c r="AD127" s="36"/>
      <c r="AE127" s="90">
        <v>46224</v>
      </c>
      <c r="AF127" s="90">
        <v>46285</v>
      </c>
      <c r="AG127" s="22"/>
      <c r="AH127" s="22" t="s">
        <v>680</v>
      </c>
      <c r="AI127" s="37"/>
      <c r="AJ127" s="119"/>
      <c r="AK127" s="264" t="s">
        <v>671</v>
      </c>
      <c r="AL127" s="9" t="s">
        <v>265</v>
      </c>
      <c r="AM127" s="9"/>
      <c r="AN127" s="9" t="s">
        <v>265</v>
      </c>
      <c r="AO127" s="35"/>
      <c r="AP127" s="43" t="s">
        <v>1133</v>
      </c>
      <c r="AQ127" s="35" t="s">
        <v>1134</v>
      </c>
      <c r="AR127" s="35"/>
      <c r="AS127" s="35"/>
      <c r="AT127" s="35"/>
      <c r="AU127" s="35"/>
      <c r="AV127" s="35"/>
      <c r="AW127" s="35"/>
      <c r="AX127" s="43"/>
      <c r="AY127" s="43"/>
      <c r="AZ127" s="43"/>
      <c r="BA127" s="43"/>
      <c r="BB127" s="43"/>
      <c r="BC127" s="117"/>
    </row>
    <row r="128" spans="1:55" ht="50.25" customHeight="1">
      <c r="A128" s="264" t="s">
        <v>610</v>
      </c>
      <c r="B128" s="22">
        <v>126</v>
      </c>
      <c r="C128" s="44" t="s">
        <v>54</v>
      </c>
      <c r="D128" s="45" t="s">
        <v>611</v>
      </c>
      <c r="E128" s="158" t="s">
        <v>1135</v>
      </c>
      <c r="F128" s="106" t="s">
        <v>1136</v>
      </c>
      <c r="G128" s="137" t="s">
        <v>1137</v>
      </c>
      <c r="H128" s="137" t="s">
        <v>1138</v>
      </c>
      <c r="I128" s="33" t="s">
        <v>1139</v>
      </c>
      <c r="J128" s="22" t="s">
        <v>261</v>
      </c>
      <c r="K128" s="30">
        <v>37277</v>
      </c>
      <c r="L128" s="22">
        <f t="shared" ca="1" si="1"/>
        <v>24</v>
      </c>
      <c r="M128" s="22" t="s">
        <v>149</v>
      </c>
      <c r="N128" s="22" t="s">
        <v>617</v>
      </c>
      <c r="O128" s="30">
        <v>44937</v>
      </c>
      <c r="P128" s="25" t="s">
        <v>548</v>
      </c>
      <c r="Q128" s="160" t="s">
        <v>81</v>
      </c>
      <c r="R128" s="33" t="s">
        <v>472</v>
      </c>
      <c r="S128" s="158" t="s">
        <v>149</v>
      </c>
      <c r="T128" s="209">
        <v>20000</v>
      </c>
      <c r="U128" s="51">
        <v>46082</v>
      </c>
      <c r="V128" s="335">
        <v>46432</v>
      </c>
      <c r="W128" s="141" t="s">
        <v>1140</v>
      </c>
      <c r="X128" s="9"/>
      <c r="Y128" s="59"/>
      <c r="Z128" s="115" t="s">
        <v>1141</v>
      </c>
      <c r="AA128" s="88" t="s">
        <v>1142</v>
      </c>
      <c r="AB128" s="53"/>
      <c r="AC128" s="53"/>
      <c r="AD128" s="36"/>
      <c r="AE128" s="42">
        <v>45744</v>
      </c>
      <c r="AF128" s="42">
        <v>45774</v>
      </c>
      <c r="AG128" s="22"/>
      <c r="AH128" s="103" t="s">
        <v>154</v>
      </c>
      <c r="AI128" s="37"/>
      <c r="AJ128" s="119"/>
      <c r="AK128" s="264" t="s">
        <v>622</v>
      </c>
      <c r="AL128" s="167" t="s">
        <v>89</v>
      </c>
      <c r="AM128" s="304">
        <v>44922</v>
      </c>
      <c r="AN128" s="82" t="s">
        <v>1143</v>
      </c>
      <c r="AO128" s="35"/>
      <c r="AP128" s="59" t="s">
        <v>1144</v>
      </c>
      <c r="AQ128" s="35" t="s">
        <v>1145</v>
      </c>
      <c r="AR128" s="35"/>
      <c r="AS128" s="35"/>
      <c r="AT128" s="35"/>
      <c r="AU128" s="35"/>
      <c r="AV128" s="35"/>
      <c r="AW128" s="35" t="s">
        <v>1146</v>
      </c>
      <c r="AX128" s="180"/>
      <c r="AY128" s="180"/>
      <c r="AZ128" s="180"/>
      <c r="BA128" s="180"/>
      <c r="BB128" s="180"/>
      <c r="BC128" s="117"/>
    </row>
    <row r="129" spans="1:55" ht="50.25" customHeight="1">
      <c r="A129" s="264" t="s">
        <v>664</v>
      </c>
      <c r="B129" s="22">
        <v>127</v>
      </c>
      <c r="C129" s="44" t="s">
        <v>54</v>
      </c>
      <c r="D129" s="45" t="s">
        <v>611</v>
      </c>
      <c r="E129" s="158" t="s">
        <v>1147</v>
      </c>
      <c r="F129" s="106" t="s">
        <v>1148</v>
      </c>
      <c r="G129" s="137" t="s">
        <v>1149</v>
      </c>
      <c r="H129" s="137" t="s">
        <v>1150</v>
      </c>
      <c r="I129" s="33" t="s">
        <v>1151</v>
      </c>
      <c r="J129" s="22" t="s">
        <v>261</v>
      </c>
      <c r="K129" s="30">
        <v>36006</v>
      </c>
      <c r="L129" s="22">
        <f t="shared" ca="1" si="1"/>
        <v>27</v>
      </c>
      <c r="M129" s="22"/>
      <c r="N129" s="22" t="s">
        <v>617</v>
      </c>
      <c r="O129" s="30">
        <v>44937</v>
      </c>
      <c r="P129" s="25" t="s">
        <v>548</v>
      </c>
      <c r="Q129" s="49" t="s">
        <v>81</v>
      </c>
      <c r="R129" s="33" t="s">
        <v>619</v>
      </c>
      <c r="S129" s="158" t="s">
        <v>82</v>
      </c>
      <c r="T129" s="209">
        <v>15000</v>
      </c>
      <c r="U129" s="51">
        <v>44835</v>
      </c>
      <c r="V129" s="66">
        <v>46067</v>
      </c>
      <c r="W129" s="9" t="s">
        <v>1152</v>
      </c>
      <c r="X129" s="9" t="s">
        <v>660</v>
      </c>
      <c r="Y129" s="59"/>
      <c r="Z129" s="15" t="s">
        <v>1153</v>
      </c>
      <c r="AA129" s="17"/>
      <c r="AB129" s="53"/>
      <c r="AC129" s="53"/>
      <c r="AD129" s="36"/>
      <c r="AE129" s="36"/>
      <c r="AF129" s="36"/>
      <c r="AG129" s="22"/>
      <c r="AH129" s="22" t="s">
        <v>67</v>
      </c>
      <c r="AI129" s="37">
        <v>45858</v>
      </c>
      <c r="AJ129" s="119" t="s">
        <v>600</v>
      </c>
      <c r="AK129" s="264" t="s">
        <v>671</v>
      </c>
      <c r="AL129" s="336"/>
      <c r="AM129" s="336"/>
      <c r="AN129" s="123"/>
      <c r="AO129" s="96"/>
      <c r="AP129" s="96" t="s">
        <v>1154</v>
      </c>
      <c r="AQ129" s="35"/>
      <c r="AR129" s="35"/>
      <c r="AS129" s="35"/>
      <c r="AT129" s="35"/>
      <c r="AU129" s="35"/>
      <c r="AV129" s="35"/>
      <c r="AW129" s="35"/>
      <c r="AX129" s="35"/>
      <c r="AY129" s="35"/>
      <c r="AZ129" s="35"/>
      <c r="BA129" s="35"/>
      <c r="BB129" s="35"/>
      <c r="BC129" s="117"/>
    </row>
    <row r="130" spans="1:55" ht="69" customHeight="1">
      <c r="A130" s="264" t="s">
        <v>664</v>
      </c>
      <c r="B130" s="22">
        <v>128</v>
      </c>
      <c r="C130" s="44" t="s">
        <v>54</v>
      </c>
      <c r="D130" s="45" t="s">
        <v>611</v>
      </c>
      <c r="E130" s="158" t="s">
        <v>1155</v>
      </c>
      <c r="F130" s="106" t="s">
        <v>1156</v>
      </c>
      <c r="G130" s="137" t="s">
        <v>1157</v>
      </c>
      <c r="H130" s="137" t="s">
        <v>1158</v>
      </c>
      <c r="I130" s="33" t="s">
        <v>1159</v>
      </c>
      <c r="J130" s="22" t="s">
        <v>261</v>
      </c>
      <c r="K130" s="30">
        <v>36345</v>
      </c>
      <c r="L130" s="22">
        <f t="shared" ca="1" si="1"/>
        <v>26</v>
      </c>
      <c r="M130" s="22"/>
      <c r="N130" s="22" t="s">
        <v>617</v>
      </c>
      <c r="O130" s="30">
        <v>44937</v>
      </c>
      <c r="P130" s="25" t="s">
        <v>548</v>
      </c>
      <c r="Q130" s="160" t="s">
        <v>81</v>
      </c>
      <c r="R130" s="33" t="s">
        <v>1129</v>
      </c>
      <c r="S130" s="158" t="s">
        <v>82</v>
      </c>
      <c r="T130" s="209">
        <v>15000</v>
      </c>
      <c r="U130" s="51">
        <v>46082</v>
      </c>
      <c r="V130" s="335">
        <v>46432</v>
      </c>
      <c r="W130" s="141" t="s">
        <v>1160</v>
      </c>
      <c r="X130" s="9"/>
      <c r="Y130" s="59"/>
      <c r="Z130" s="115" t="s">
        <v>1161</v>
      </c>
      <c r="AA130" s="17"/>
      <c r="AB130" s="53"/>
      <c r="AC130" s="53"/>
      <c r="AD130" s="36"/>
      <c r="AE130" s="165" t="s">
        <v>1162</v>
      </c>
      <c r="AF130" s="165" t="s">
        <v>1163</v>
      </c>
      <c r="AG130" s="22"/>
      <c r="AH130" s="103" t="s">
        <v>154</v>
      </c>
      <c r="AI130" s="37"/>
      <c r="AJ130" s="108"/>
      <c r="AK130" s="264" t="s">
        <v>671</v>
      </c>
      <c r="AL130" s="167" t="s">
        <v>89</v>
      </c>
      <c r="AM130" s="304">
        <v>44922</v>
      </c>
      <c r="AN130" s="82" t="s">
        <v>1143</v>
      </c>
      <c r="AO130" s="123"/>
      <c r="AP130" s="43" t="s">
        <v>1164</v>
      </c>
      <c r="AQ130" s="325" t="s">
        <v>1165</v>
      </c>
      <c r="AR130" s="325"/>
      <c r="AS130" s="325"/>
      <c r="AT130" s="325"/>
      <c r="AU130" s="325"/>
      <c r="AV130" s="325"/>
      <c r="AW130" s="325" t="s">
        <v>1166</v>
      </c>
      <c r="AX130" s="35"/>
      <c r="AY130" s="35"/>
      <c r="AZ130" s="35"/>
      <c r="BA130" s="35"/>
      <c r="BB130" s="35"/>
      <c r="BC130" s="62"/>
    </row>
    <row r="131" spans="1:55" ht="50.25" customHeight="1">
      <c r="A131" s="17"/>
      <c r="B131" s="22">
        <v>129</v>
      </c>
      <c r="C131" s="44" t="s">
        <v>54</v>
      </c>
      <c r="D131" s="45" t="s">
        <v>55</v>
      </c>
      <c r="E131" s="158" t="s">
        <v>1167</v>
      </c>
      <c r="F131" s="106" t="s">
        <v>1168</v>
      </c>
      <c r="G131" s="174" t="s">
        <v>1169</v>
      </c>
      <c r="H131" s="137" t="s">
        <v>1170</v>
      </c>
      <c r="I131" s="33" t="s">
        <v>1171</v>
      </c>
      <c r="J131" s="22" t="s">
        <v>60</v>
      </c>
      <c r="K131" s="30">
        <v>35903</v>
      </c>
      <c r="L131" s="22">
        <f t="shared" ca="1" si="1"/>
        <v>28</v>
      </c>
      <c r="M131" s="22" t="s">
        <v>79</v>
      </c>
      <c r="N131" s="22" t="s">
        <v>61</v>
      </c>
      <c r="O131" s="31">
        <v>44978</v>
      </c>
      <c r="P131" s="25" t="s">
        <v>389</v>
      </c>
      <c r="Q131" s="49" t="s">
        <v>81</v>
      </c>
      <c r="R131" s="337" t="s">
        <v>1172</v>
      </c>
      <c r="S131" s="338" t="s">
        <v>1173</v>
      </c>
      <c r="T131" s="289">
        <v>0</v>
      </c>
      <c r="U131" s="162">
        <v>46006</v>
      </c>
      <c r="V131" s="335">
        <v>47190</v>
      </c>
      <c r="W131" s="141" t="s">
        <v>1174</v>
      </c>
      <c r="X131" s="9" t="s">
        <v>1175</v>
      </c>
      <c r="Y131" s="59"/>
      <c r="Z131" s="15" t="s">
        <v>1176</v>
      </c>
      <c r="AA131" s="89">
        <v>46105</v>
      </c>
      <c r="AB131" s="90"/>
      <c r="AC131" s="90"/>
      <c r="AD131" s="42">
        <v>45300</v>
      </c>
      <c r="AE131" s="339"/>
      <c r="AF131" s="339"/>
      <c r="AG131" s="91">
        <v>45362</v>
      </c>
      <c r="AH131" s="22" t="s">
        <v>246</v>
      </c>
      <c r="AI131" s="92"/>
      <c r="AJ131" s="93"/>
      <c r="AK131" s="17"/>
      <c r="AL131" s="143"/>
      <c r="AM131" s="340">
        <v>44974</v>
      </c>
      <c r="AN131" s="43" t="s">
        <v>1177</v>
      </c>
      <c r="AO131" s="43"/>
      <c r="AP131" s="43" t="s">
        <v>1178</v>
      </c>
      <c r="AQ131" s="43" t="s">
        <v>1179</v>
      </c>
      <c r="AR131" s="43" t="s">
        <v>1180</v>
      </c>
      <c r="AS131" s="43"/>
      <c r="AT131" s="43"/>
      <c r="AU131" s="43"/>
      <c r="AV131" s="43"/>
      <c r="AW131" s="43"/>
      <c r="AX131" s="35"/>
      <c r="AY131" s="35"/>
      <c r="AZ131" s="35"/>
      <c r="BA131" s="35"/>
      <c r="BB131" s="35"/>
      <c r="BC131" s="62"/>
    </row>
    <row r="132" spans="1:55" ht="47.25" customHeight="1">
      <c r="A132" s="22"/>
      <c r="B132" s="22">
        <v>130</v>
      </c>
      <c r="C132" s="44" t="s">
        <v>54</v>
      </c>
      <c r="D132" s="45" t="s">
        <v>55</v>
      </c>
      <c r="E132" s="283" t="s">
        <v>1181</v>
      </c>
      <c r="F132" s="46" t="s">
        <v>1182</v>
      </c>
      <c r="G132" s="47" t="s">
        <v>1183</v>
      </c>
      <c r="H132" s="28" t="s">
        <v>1184</v>
      </c>
      <c r="I132" s="33" t="s">
        <v>1185</v>
      </c>
      <c r="J132" s="22" t="s">
        <v>261</v>
      </c>
      <c r="K132" s="30">
        <v>34053</v>
      </c>
      <c r="L132" s="22">
        <f t="shared" ca="1" si="1"/>
        <v>33</v>
      </c>
      <c r="M132" s="22" t="s">
        <v>149</v>
      </c>
      <c r="N132" s="22" t="s">
        <v>61</v>
      </c>
      <c r="O132" s="31">
        <v>45301</v>
      </c>
      <c r="P132" s="25" t="s">
        <v>605</v>
      </c>
      <c r="Q132" s="49" t="s">
        <v>81</v>
      </c>
      <c r="R132" s="341" t="s">
        <v>241</v>
      </c>
      <c r="S132" s="158" t="s">
        <v>149</v>
      </c>
      <c r="T132" s="342" t="s">
        <v>1186</v>
      </c>
      <c r="U132" s="162">
        <v>45950</v>
      </c>
      <c r="V132" s="98">
        <v>46401</v>
      </c>
      <c r="W132" s="176" t="s">
        <v>1187</v>
      </c>
      <c r="X132" s="9" t="s">
        <v>1188</v>
      </c>
      <c r="Y132" s="59"/>
      <c r="Z132" s="15" t="s">
        <v>1189</v>
      </c>
      <c r="AA132" s="17" t="s">
        <v>1190</v>
      </c>
      <c r="AB132" s="53"/>
      <c r="AC132" s="53"/>
      <c r="AD132" s="36"/>
      <c r="AE132" s="42">
        <v>45727</v>
      </c>
      <c r="AF132" s="42">
        <v>45746</v>
      </c>
      <c r="AG132" s="22"/>
      <c r="AH132" s="103" t="s">
        <v>154</v>
      </c>
      <c r="AI132" s="37"/>
      <c r="AJ132" s="93"/>
      <c r="AK132" s="17"/>
      <c r="AL132" s="258" t="s">
        <v>248</v>
      </c>
      <c r="AM132" s="82"/>
      <c r="AN132" s="258" t="s">
        <v>248</v>
      </c>
      <c r="AO132" s="180"/>
      <c r="AP132" s="82" t="s">
        <v>1191</v>
      </c>
      <c r="AQ132" s="59" t="s">
        <v>1192</v>
      </c>
      <c r="AR132" s="59" t="s">
        <v>1193</v>
      </c>
      <c r="AS132" s="59"/>
      <c r="AT132" s="59"/>
      <c r="AU132" s="59"/>
      <c r="AV132" s="59"/>
      <c r="AW132" s="59"/>
      <c r="AX132" s="35"/>
      <c r="AY132" s="35"/>
      <c r="AZ132" s="35"/>
      <c r="BA132" s="35"/>
      <c r="BB132" s="35"/>
      <c r="BC132" s="62"/>
    </row>
    <row r="133" spans="1:55" ht="47.25" customHeight="1">
      <c r="A133" s="22"/>
      <c r="B133" s="22">
        <v>131</v>
      </c>
      <c r="C133" s="84" t="s">
        <v>100</v>
      </c>
      <c r="D133" s="45" t="s">
        <v>55</v>
      </c>
      <c r="E133" s="25" t="s">
        <v>1194</v>
      </c>
      <c r="F133" s="46" t="s">
        <v>1195</v>
      </c>
      <c r="G133" s="47" t="s">
        <v>1196</v>
      </c>
      <c r="H133" s="28" t="s">
        <v>1197</v>
      </c>
      <c r="I133" s="88" t="s">
        <v>1198</v>
      </c>
      <c r="J133" s="22" t="s">
        <v>261</v>
      </c>
      <c r="K133" s="89">
        <v>36864</v>
      </c>
      <c r="L133" s="22">
        <f t="shared" ca="1" si="1"/>
        <v>25</v>
      </c>
      <c r="M133" s="22" t="s">
        <v>134</v>
      </c>
      <c r="N133" s="22" t="s">
        <v>61</v>
      </c>
      <c r="O133" s="138">
        <v>44699</v>
      </c>
      <c r="P133" s="111" t="s">
        <v>1199</v>
      </c>
      <c r="Q133" s="85" t="s">
        <v>81</v>
      </c>
      <c r="R133" s="33" t="s">
        <v>1200</v>
      </c>
      <c r="S133" s="206" t="s">
        <v>165</v>
      </c>
      <c r="T133" s="64">
        <v>20000</v>
      </c>
      <c r="U133" s="204">
        <v>46082</v>
      </c>
      <c r="V133" s="267">
        <v>46171</v>
      </c>
      <c r="W133" s="14" t="s">
        <v>1201</v>
      </c>
      <c r="X133" s="17"/>
      <c r="Y133" s="343">
        <v>45978</v>
      </c>
      <c r="Z133" s="15" t="s">
        <v>1202</v>
      </c>
      <c r="AA133" s="17"/>
      <c r="AB133" s="53"/>
      <c r="AC133" s="53" t="s">
        <v>1203</v>
      </c>
      <c r="AD133" s="36"/>
      <c r="AE133" s="36" t="s">
        <v>1204</v>
      </c>
      <c r="AF133" s="36" t="s">
        <v>1205</v>
      </c>
      <c r="AG133" s="22"/>
      <c r="AH133" s="103" t="s">
        <v>154</v>
      </c>
      <c r="AI133" s="51"/>
      <c r="AJ133" s="93" t="s">
        <v>1206</v>
      </c>
      <c r="AK133" s="17"/>
      <c r="AL133" s="67" t="s">
        <v>265</v>
      </c>
      <c r="AM133" s="123"/>
      <c r="AN133" s="67" t="s">
        <v>265</v>
      </c>
      <c r="AO133" s="43"/>
      <c r="AP133" s="123" t="s">
        <v>1207</v>
      </c>
      <c r="AQ133" s="35"/>
      <c r="AR133" s="35"/>
      <c r="AS133" s="35"/>
      <c r="AT133" s="35"/>
      <c r="AU133" s="35"/>
      <c r="AV133" s="35"/>
      <c r="AW133" s="35"/>
      <c r="AX133" s="43"/>
      <c r="AY133" s="43"/>
      <c r="AZ133" s="43"/>
      <c r="BA133" s="43"/>
      <c r="BB133" s="43"/>
      <c r="BC133" s="62"/>
    </row>
    <row r="134" spans="1:55" ht="47.25" customHeight="1">
      <c r="A134" s="22"/>
      <c r="B134" s="22">
        <v>132</v>
      </c>
      <c r="C134" s="84" t="s">
        <v>100</v>
      </c>
      <c r="D134" s="45" t="s">
        <v>55</v>
      </c>
      <c r="E134" s="111" t="s">
        <v>1208</v>
      </c>
      <c r="F134" s="106" t="s">
        <v>1209</v>
      </c>
      <c r="G134" s="47" t="s">
        <v>1210</v>
      </c>
      <c r="H134" s="28" t="s">
        <v>1211</v>
      </c>
      <c r="I134" s="88" t="s">
        <v>1212</v>
      </c>
      <c r="J134" s="22" t="s">
        <v>261</v>
      </c>
      <c r="K134" s="89">
        <v>36313</v>
      </c>
      <c r="L134" s="22">
        <f t="shared" ca="1" si="1"/>
        <v>26</v>
      </c>
      <c r="M134" s="22" t="s">
        <v>149</v>
      </c>
      <c r="N134" s="22" t="s">
        <v>61</v>
      </c>
      <c r="O134" s="138">
        <v>44699</v>
      </c>
      <c r="P134" s="111" t="s">
        <v>1199</v>
      </c>
      <c r="Q134" s="344" t="s">
        <v>81</v>
      </c>
      <c r="R134" s="88" t="s">
        <v>1213</v>
      </c>
      <c r="S134" s="206" t="s">
        <v>149</v>
      </c>
      <c r="T134" s="345">
        <v>22500</v>
      </c>
      <c r="U134" s="162">
        <v>46047</v>
      </c>
      <c r="V134" s="335">
        <v>47223</v>
      </c>
      <c r="W134" s="141" t="s">
        <v>1214</v>
      </c>
      <c r="X134" s="17"/>
      <c r="Y134" s="59"/>
      <c r="Z134" s="15" t="s">
        <v>1215</v>
      </c>
      <c r="AA134" s="17"/>
      <c r="AB134" s="53" t="s">
        <v>1216</v>
      </c>
      <c r="AC134" s="53" t="s">
        <v>1203</v>
      </c>
      <c r="AD134" s="36"/>
      <c r="AE134" s="184">
        <v>45772</v>
      </c>
      <c r="AF134" s="42">
        <v>45818</v>
      </c>
      <c r="AG134" s="22"/>
      <c r="AH134" s="103" t="s">
        <v>154</v>
      </c>
      <c r="AI134" s="51"/>
      <c r="AJ134" s="93"/>
      <c r="AK134" s="17"/>
      <c r="AL134" s="346" t="s">
        <v>265</v>
      </c>
      <c r="AM134" s="347">
        <v>45762</v>
      </c>
      <c r="AN134" s="67" t="s">
        <v>265</v>
      </c>
      <c r="AO134" s="58" t="s">
        <v>91</v>
      </c>
      <c r="AP134" s="123" t="s">
        <v>1217</v>
      </c>
      <c r="AQ134" s="35" t="s">
        <v>1218</v>
      </c>
      <c r="AR134" s="35"/>
      <c r="AS134" s="35"/>
      <c r="AT134" s="35" t="s">
        <v>1219</v>
      </c>
      <c r="AU134" s="35"/>
      <c r="AV134" s="35"/>
      <c r="AW134" s="35"/>
      <c r="AX134" s="116"/>
      <c r="AY134" s="116"/>
      <c r="AZ134" s="116"/>
      <c r="BA134" s="116"/>
      <c r="BB134" s="116"/>
      <c r="BC134" s="62"/>
    </row>
    <row r="135" spans="1:55" ht="50.25" customHeight="1">
      <c r="A135" s="22"/>
      <c r="B135" s="22">
        <v>133</v>
      </c>
      <c r="C135" s="84" t="s">
        <v>100</v>
      </c>
      <c r="D135" s="45" t="s">
        <v>55</v>
      </c>
      <c r="E135" s="111" t="s">
        <v>1220</v>
      </c>
      <c r="F135" s="106" t="s">
        <v>1221</v>
      </c>
      <c r="G135" s="47" t="s">
        <v>1222</v>
      </c>
      <c r="H135" s="28" t="s">
        <v>1223</v>
      </c>
      <c r="I135" s="88" t="s">
        <v>1224</v>
      </c>
      <c r="J135" s="22" t="s">
        <v>261</v>
      </c>
      <c r="K135" s="89">
        <v>34672</v>
      </c>
      <c r="L135" s="22">
        <f t="shared" ca="1" si="1"/>
        <v>31</v>
      </c>
      <c r="M135" s="22" t="s">
        <v>149</v>
      </c>
      <c r="N135" s="22" t="s">
        <v>61</v>
      </c>
      <c r="O135" s="138">
        <v>44699</v>
      </c>
      <c r="P135" s="111" t="s">
        <v>1199</v>
      </c>
      <c r="Q135" s="344" t="s">
        <v>81</v>
      </c>
      <c r="R135" s="33" t="s">
        <v>1225</v>
      </c>
      <c r="S135" s="348" t="s">
        <v>149</v>
      </c>
      <c r="T135" s="161">
        <v>22500</v>
      </c>
      <c r="U135" s="162">
        <v>46047</v>
      </c>
      <c r="V135" s="335">
        <v>47223</v>
      </c>
      <c r="W135" s="141" t="s">
        <v>1226</v>
      </c>
      <c r="X135" s="17"/>
      <c r="Y135" s="59"/>
      <c r="Z135" s="15" t="s">
        <v>1227</v>
      </c>
      <c r="AA135" s="17"/>
      <c r="AB135" s="53" t="s">
        <v>141</v>
      </c>
      <c r="AC135" s="53" t="s">
        <v>1203</v>
      </c>
      <c r="AD135" s="36"/>
      <c r="AE135" s="42">
        <v>45855</v>
      </c>
      <c r="AF135" s="42">
        <v>45886</v>
      </c>
      <c r="AG135" s="22"/>
      <c r="AH135" s="103" t="s">
        <v>154</v>
      </c>
      <c r="AI135" s="51"/>
      <c r="AJ135" s="93"/>
      <c r="AK135" s="17"/>
      <c r="AL135" s="346" t="s">
        <v>89</v>
      </c>
      <c r="AM135" s="241">
        <v>45762</v>
      </c>
      <c r="AN135" s="82" t="s">
        <v>1228</v>
      </c>
      <c r="AO135" s="58" t="s">
        <v>91</v>
      </c>
      <c r="AP135" s="317" t="s">
        <v>1229</v>
      </c>
      <c r="AQ135" s="35" t="s">
        <v>1230</v>
      </c>
      <c r="AR135" s="35"/>
      <c r="AS135" s="35"/>
      <c r="AT135" s="35" t="s">
        <v>1231</v>
      </c>
      <c r="AU135" s="35"/>
      <c r="AV135" s="35"/>
      <c r="AW135" s="35"/>
      <c r="AX135" s="131"/>
      <c r="AY135" s="131"/>
      <c r="AZ135" s="131"/>
      <c r="BA135" s="131"/>
      <c r="BB135" s="131"/>
      <c r="BC135" s="117"/>
    </row>
    <row r="136" spans="1:55" ht="50.25" customHeight="1">
      <c r="A136" s="22"/>
      <c r="B136" s="22">
        <v>134</v>
      </c>
      <c r="C136" s="84" t="s">
        <v>100</v>
      </c>
      <c r="D136" s="45" t="s">
        <v>55</v>
      </c>
      <c r="E136" s="111" t="s">
        <v>1232</v>
      </c>
      <c r="F136" s="106" t="s">
        <v>1233</v>
      </c>
      <c r="G136" s="88" t="s">
        <v>1234</v>
      </c>
      <c r="H136" s="28" t="s">
        <v>1235</v>
      </c>
      <c r="I136" s="88" t="s">
        <v>1236</v>
      </c>
      <c r="J136" s="22" t="s">
        <v>60</v>
      </c>
      <c r="K136" s="89">
        <v>37446</v>
      </c>
      <c r="L136" s="22">
        <f t="shared" ca="1" si="1"/>
        <v>23</v>
      </c>
      <c r="M136" s="22"/>
      <c r="N136" s="22" t="s">
        <v>61</v>
      </c>
      <c r="O136" s="138">
        <v>44699</v>
      </c>
      <c r="P136" s="111" t="s">
        <v>1237</v>
      </c>
      <c r="Q136" s="349" t="s">
        <v>199</v>
      </c>
      <c r="R136" s="33" t="s">
        <v>200</v>
      </c>
      <c r="S136" s="111" t="s">
        <v>137</v>
      </c>
      <c r="T136" s="64">
        <v>10000</v>
      </c>
      <c r="U136" s="86">
        <v>44193</v>
      </c>
      <c r="V136" s="335">
        <v>45764</v>
      </c>
      <c r="W136" s="9" t="s">
        <v>1238</v>
      </c>
      <c r="X136" s="17"/>
      <c r="Y136" s="59"/>
      <c r="Z136" s="15" t="s">
        <v>1239</v>
      </c>
      <c r="AA136" s="89">
        <v>45761</v>
      </c>
      <c r="AB136" s="53"/>
      <c r="AC136" s="53" t="s">
        <v>1203</v>
      </c>
      <c r="AD136" s="36"/>
      <c r="AE136" s="36"/>
      <c r="AF136" s="36"/>
      <c r="AG136" s="22"/>
      <c r="AH136" s="22" t="s">
        <v>67</v>
      </c>
      <c r="AI136" s="51">
        <v>45757</v>
      </c>
      <c r="AJ136" s="93" t="s">
        <v>1206</v>
      </c>
      <c r="AK136" s="17"/>
      <c r="AL136" s="350"/>
      <c r="AM136" s="132"/>
      <c r="AN136" s="132"/>
      <c r="AO136" s="132"/>
      <c r="AP136" s="132" t="s">
        <v>1240</v>
      </c>
      <c r="AQ136" s="123"/>
      <c r="AR136" s="123"/>
      <c r="AS136" s="123"/>
      <c r="AT136" s="123"/>
      <c r="AU136" s="123"/>
      <c r="AV136" s="123"/>
      <c r="AW136" s="123"/>
      <c r="AX136" s="123"/>
      <c r="AY136" s="123"/>
      <c r="AZ136" s="123"/>
      <c r="BA136" s="123"/>
      <c r="BB136" s="123"/>
      <c r="BC136" s="351"/>
    </row>
    <row r="137" spans="1:55" ht="50.25" customHeight="1">
      <c r="A137" s="352"/>
      <c r="B137" s="22">
        <v>135</v>
      </c>
      <c r="C137" s="63" t="s">
        <v>100</v>
      </c>
      <c r="D137" s="24" t="s">
        <v>55</v>
      </c>
      <c r="E137" s="111" t="s">
        <v>1241</v>
      </c>
      <c r="F137" s="26"/>
      <c r="G137" s="118" t="s">
        <v>1242</v>
      </c>
      <c r="H137" s="28" t="s">
        <v>1243</v>
      </c>
      <c r="I137" s="353" t="s">
        <v>1244</v>
      </c>
      <c r="J137" s="22" t="s">
        <v>60</v>
      </c>
      <c r="K137" s="89">
        <v>36452</v>
      </c>
      <c r="L137" s="22">
        <f t="shared" ca="1" si="1"/>
        <v>26</v>
      </c>
      <c r="M137" s="22"/>
      <c r="N137" s="22" t="s">
        <v>61</v>
      </c>
      <c r="O137" s="138">
        <v>44699</v>
      </c>
      <c r="P137" s="111" t="s">
        <v>1237</v>
      </c>
      <c r="Q137" s="354" t="s">
        <v>199</v>
      </c>
      <c r="R137" s="33" t="s">
        <v>200</v>
      </c>
      <c r="S137" s="111" t="s">
        <v>137</v>
      </c>
      <c r="T137" s="64">
        <v>10000</v>
      </c>
      <c r="U137" s="355">
        <v>44193</v>
      </c>
      <c r="V137" s="335">
        <v>45764</v>
      </c>
      <c r="W137" s="9" t="s">
        <v>1245</v>
      </c>
      <c r="X137" s="17"/>
      <c r="Y137" s="253"/>
      <c r="Z137" s="356" t="s">
        <v>1246</v>
      </c>
      <c r="AA137" s="100">
        <v>45587</v>
      </c>
      <c r="AB137" s="53"/>
      <c r="AC137" s="53" t="s">
        <v>1203</v>
      </c>
      <c r="AD137" s="36"/>
      <c r="AE137" s="36"/>
      <c r="AF137" s="36"/>
      <c r="AG137" s="22"/>
      <c r="AH137" s="22" t="s">
        <v>67</v>
      </c>
      <c r="AI137" s="357">
        <v>45585</v>
      </c>
      <c r="AJ137" s="93" t="s">
        <v>1247</v>
      </c>
      <c r="AK137" s="352"/>
      <c r="AL137" s="258"/>
      <c r="AM137" s="190"/>
      <c r="AN137" s="190"/>
      <c r="AO137" s="190"/>
      <c r="AP137" s="190" t="s">
        <v>1248</v>
      </c>
      <c r="AQ137" s="35"/>
      <c r="AR137" s="35"/>
      <c r="AS137" s="35"/>
      <c r="AT137" s="35"/>
      <c r="AU137" s="35"/>
      <c r="AV137" s="35"/>
      <c r="AW137" s="35"/>
      <c r="AX137" s="35"/>
      <c r="AY137" s="35"/>
      <c r="AZ137" s="35"/>
      <c r="BA137" s="35"/>
      <c r="BB137" s="35"/>
      <c r="BC137" s="358"/>
    </row>
    <row r="138" spans="1:55" ht="67.5" customHeight="1">
      <c r="A138" s="359"/>
      <c r="B138" s="359">
        <v>136</v>
      </c>
      <c r="C138" s="360" t="s">
        <v>100</v>
      </c>
      <c r="D138" s="361" t="s">
        <v>55</v>
      </c>
      <c r="E138" s="362" t="s">
        <v>1249</v>
      </c>
      <c r="F138" s="363" t="s">
        <v>1250</v>
      </c>
      <c r="G138" s="364" t="s">
        <v>1251</v>
      </c>
      <c r="H138" s="365" t="s">
        <v>1252</v>
      </c>
      <c r="I138" s="364" t="s">
        <v>1253</v>
      </c>
      <c r="J138" s="22" t="s">
        <v>60</v>
      </c>
      <c r="K138" s="366">
        <v>35891</v>
      </c>
      <c r="L138" s="359">
        <f t="shared" ca="1" si="1"/>
        <v>28</v>
      </c>
      <c r="M138" s="359"/>
      <c r="N138" s="22" t="s">
        <v>61</v>
      </c>
      <c r="O138" s="138">
        <v>44699</v>
      </c>
      <c r="P138" s="111" t="s">
        <v>1199</v>
      </c>
      <c r="Q138" s="344" t="s">
        <v>81</v>
      </c>
      <c r="R138" s="364" t="s">
        <v>200</v>
      </c>
      <c r="S138" s="111" t="s">
        <v>400</v>
      </c>
      <c r="T138" s="64">
        <v>10000</v>
      </c>
      <c r="U138" s="367">
        <v>45684</v>
      </c>
      <c r="V138" s="368">
        <v>46127</v>
      </c>
      <c r="W138" s="369" t="s">
        <v>1254</v>
      </c>
      <c r="X138" s="359" t="s">
        <v>1255</v>
      </c>
      <c r="Y138" s="370"/>
      <c r="Z138" s="370" t="s">
        <v>1256</v>
      </c>
      <c r="AA138" s="89">
        <v>45832</v>
      </c>
      <c r="AB138" s="53"/>
      <c r="AC138" s="53" t="s">
        <v>1203</v>
      </c>
      <c r="AD138" s="36"/>
      <c r="AE138" s="36" t="s">
        <v>1257</v>
      </c>
      <c r="AF138" s="36"/>
      <c r="AG138" s="22"/>
      <c r="AH138" s="22" t="s">
        <v>67</v>
      </c>
      <c r="AI138" s="367">
        <v>45834</v>
      </c>
      <c r="AJ138" s="371" t="s">
        <v>1258</v>
      </c>
      <c r="AK138" s="17"/>
      <c r="AL138" s="258"/>
      <c r="AM138" s="123"/>
      <c r="AN138" s="123"/>
      <c r="AO138" s="104"/>
      <c r="AP138" s="104" t="s">
        <v>1259</v>
      </c>
      <c r="AQ138" s="123"/>
      <c r="AR138" s="123"/>
      <c r="AS138" s="123"/>
      <c r="AT138" s="123"/>
      <c r="AU138" s="123"/>
      <c r="AV138" s="123"/>
      <c r="AW138" s="123"/>
      <c r="AX138" s="123"/>
      <c r="AY138" s="123"/>
      <c r="AZ138" s="123"/>
      <c r="BA138" s="123"/>
      <c r="BB138" s="123"/>
      <c r="BC138" s="255"/>
    </row>
    <row r="139" spans="1:55" ht="50.25" customHeight="1">
      <c r="A139" s="17"/>
      <c r="B139" s="22">
        <v>137</v>
      </c>
      <c r="C139" s="84" t="s">
        <v>100</v>
      </c>
      <c r="D139" s="45" t="s">
        <v>55</v>
      </c>
      <c r="E139" s="111" t="s">
        <v>1260</v>
      </c>
      <c r="F139" s="106" t="s">
        <v>1261</v>
      </c>
      <c r="G139" s="47" t="s">
        <v>1262</v>
      </c>
      <c r="H139" s="28" t="s">
        <v>1263</v>
      </c>
      <c r="I139" s="88" t="s">
        <v>1264</v>
      </c>
      <c r="J139" s="22" t="s">
        <v>60</v>
      </c>
      <c r="K139" s="89">
        <v>36759</v>
      </c>
      <c r="L139" s="22">
        <f t="shared" ca="1" si="1"/>
        <v>25</v>
      </c>
      <c r="M139" s="22" t="s">
        <v>149</v>
      </c>
      <c r="N139" s="22" t="s">
        <v>61</v>
      </c>
      <c r="O139" s="138">
        <v>44699</v>
      </c>
      <c r="P139" s="111" t="s">
        <v>1199</v>
      </c>
      <c r="Q139" s="344" t="s">
        <v>81</v>
      </c>
      <c r="R139" s="33" t="s">
        <v>1225</v>
      </c>
      <c r="S139" s="372" t="s">
        <v>149</v>
      </c>
      <c r="T139" s="161">
        <v>22500</v>
      </c>
      <c r="U139" s="162">
        <v>46047</v>
      </c>
      <c r="V139" s="335">
        <v>47223</v>
      </c>
      <c r="W139" s="18" t="s">
        <v>1265</v>
      </c>
      <c r="X139" s="17"/>
      <c r="Y139" s="59"/>
      <c r="Z139" s="15" t="s">
        <v>1266</v>
      </c>
      <c r="AA139" s="17"/>
      <c r="AB139" s="53"/>
      <c r="AC139" s="53" t="s">
        <v>1203</v>
      </c>
      <c r="AD139" s="36"/>
      <c r="AE139" s="42">
        <v>45855</v>
      </c>
      <c r="AF139" s="42">
        <v>45886</v>
      </c>
      <c r="AG139" s="22"/>
      <c r="AH139" s="103" t="s">
        <v>154</v>
      </c>
      <c r="AI139" s="51"/>
      <c r="AJ139" s="93"/>
      <c r="AK139" s="17"/>
      <c r="AL139" s="346" t="s">
        <v>89</v>
      </c>
      <c r="AM139" s="241">
        <v>45762</v>
      </c>
      <c r="AN139" s="82" t="s">
        <v>1228</v>
      </c>
      <c r="AO139" s="58" t="s">
        <v>91</v>
      </c>
      <c r="AP139" s="123" t="s">
        <v>1267</v>
      </c>
      <c r="AQ139" s="35" t="s">
        <v>1268</v>
      </c>
      <c r="AR139" s="35"/>
      <c r="AS139" s="35"/>
      <c r="AT139" s="35"/>
      <c r="AU139" s="35"/>
      <c r="AV139" s="35"/>
      <c r="AW139" s="35"/>
      <c r="AX139" s="131"/>
      <c r="AY139" s="131"/>
      <c r="AZ139" s="131"/>
      <c r="BA139" s="131"/>
      <c r="BB139" s="131"/>
      <c r="BC139" s="147"/>
    </row>
    <row r="140" spans="1:55" ht="50.25" customHeight="1">
      <c r="A140" s="17"/>
      <c r="B140" s="22">
        <v>138</v>
      </c>
      <c r="C140" s="84" t="s">
        <v>100</v>
      </c>
      <c r="D140" s="45" t="s">
        <v>55</v>
      </c>
      <c r="E140" s="111" t="s">
        <v>1269</v>
      </c>
      <c r="F140" s="106" t="s">
        <v>1270</v>
      </c>
      <c r="G140" s="47" t="s">
        <v>1271</v>
      </c>
      <c r="H140" s="28" t="s">
        <v>1272</v>
      </c>
      <c r="I140" s="88" t="s">
        <v>369</v>
      </c>
      <c r="J140" s="22" t="s">
        <v>60</v>
      </c>
      <c r="K140" s="89">
        <v>31894</v>
      </c>
      <c r="L140" s="22">
        <f t="shared" ca="1" si="1"/>
        <v>38</v>
      </c>
      <c r="M140" s="22" t="s">
        <v>79</v>
      </c>
      <c r="N140" s="22" t="s">
        <v>61</v>
      </c>
      <c r="O140" s="138">
        <v>44699</v>
      </c>
      <c r="P140" s="111" t="s">
        <v>1199</v>
      </c>
      <c r="Q140" s="344" t="s">
        <v>81</v>
      </c>
      <c r="R140" s="33" t="s">
        <v>200</v>
      </c>
      <c r="S140" s="111" t="s">
        <v>191</v>
      </c>
      <c r="T140" s="64">
        <v>20000</v>
      </c>
      <c r="U140" s="162">
        <v>46047</v>
      </c>
      <c r="V140" s="335">
        <v>47223</v>
      </c>
      <c r="W140" s="141" t="s">
        <v>1273</v>
      </c>
      <c r="X140" s="17"/>
      <c r="Y140" s="59"/>
      <c r="Z140" s="15" t="s">
        <v>1274</v>
      </c>
      <c r="AA140" s="17"/>
      <c r="AB140" s="53" t="s">
        <v>355</v>
      </c>
      <c r="AC140" s="53" t="s">
        <v>1203</v>
      </c>
      <c r="AD140" s="36"/>
      <c r="AE140" s="42">
        <v>45846</v>
      </c>
      <c r="AF140" s="42">
        <v>45873</v>
      </c>
      <c r="AG140" s="22"/>
      <c r="AH140" s="103" t="s">
        <v>154</v>
      </c>
      <c r="AI140" s="51"/>
      <c r="AJ140" s="93"/>
      <c r="AK140" s="17"/>
      <c r="AL140" s="346" t="s">
        <v>89</v>
      </c>
      <c r="AM140" s="241">
        <v>45762</v>
      </c>
      <c r="AN140" s="82" t="s">
        <v>1228</v>
      </c>
      <c r="AO140" s="58" t="s">
        <v>91</v>
      </c>
      <c r="AP140" s="123" t="s">
        <v>1275</v>
      </c>
      <c r="AQ140" s="35" t="s">
        <v>1276</v>
      </c>
      <c r="AR140" s="35"/>
      <c r="AS140" s="35"/>
      <c r="AT140" s="35"/>
      <c r="AU140" s="35"/>
      <c r="AV140" s="35"/>
      <c r="AW140" s="35"/>
      <c r="AX140" s="373"/>
      <c r="AY140" s="373"/>
      <c r="AZ140" s="373"/>
      <c r="BA140" s="373"/>
      <c r="BB140" s="373"/>
      <c r="BC140" s="62"/>
    </row>
    <row r="141" spans="1:55" ht="50.25" customHeight="1">
      <c r="A141" s="17"/>
      <c r="B141" s="22">
        <v>139</v>
      </c>
      <c r="C141" s="84" t="s">
        <v>100</v>
      </c>
      <c r="D141" s="45" t="s">
        <v>55</v>
      </c>
      <c r="E141" s="111" t="s">
        <v>1277</v>
      </c>
      <c r="F141" s="106" t="s">
        <v>1278</v>
      </c>
      <c r="G141" s="47" t="s">
        <v>1279</v>
      </c>
      <c r="H141" s="28" t="s">
        <v>1280</v>
      </c>
      <c r="I141" s="88" t="s">
        <v>1281</v>
      </c>
      <c r="J141" s="22" t="s">
        <v>60</v>
      </c>
      <c r="K141" s="89">
        <v>37576</v>
      </c>
      <c r="L141" s="22">
        <f t="shared" ca="1" si="1"/>
        <v>23</v>
      </c>
      <c r="M141" s="22"/>
      <c r="N141" s="22" t="s">
        <v>61</v>
      </c>
      <c r="O141" s="138">
        <v>44699</v>
      </c>
      <c r="P141" s="111" t="s">
        <v>1199</v>
      </c>
      <c r="Q141" s="344" t="s">
        <v>81</v>
      </c>
      <c r="R141" s="33" t="s">
        <v>200</v>
      </c>
      <c r="S141" s="111" t="s">
        <v>165</v>
      </c>
      <c r="T141" s="64">
        <v>20000</v>
      </c>
      <c r="U141" s="162">
        <v>46047</v>
      </c>
      <c r="V141" s="335">
        <v>47223</v>
      </c>
      <c r="W141" s="141" t="s">
        <v>1282</v>
      </c>
      <c r="X141" s="17"/>
      <c r="Y141" s="59"/>
      <c r="Z141" s="15" t="s">
        <v>1283</v>
      </c>
      <c r="AA141" s="17"/>
      <c r="AB141" s="325"/>
      <c r="AC141" s="53" t="s">
        <v>1203</v>
      </c>
      <c r="AD141" s="36"/>
      <c r="AE141" s="42">
        <v>45846</v>
      </c>
      <c r="AF141" s="42">
        <v>45883</v>
      </c>
      <c r="AG141" s="22"/>
      <c r="AH141" s="103" t="s">
        <v>154</v>
      </c>
      <c r="AI141" s="51"/>
      <c r="AJ141" s="93"/>
      <c r="AK141" s="17"/>
      <c r="AL141" s="346" t="s">
        <v>89</v>
      </c>
      <c r="AM141" s="241">
        <v>45762</v>
      </c>
      <c r="AN141" s="82" t="s">
        <v>1228</v>
      </c>
      <c r="AO141" s="43"/>
      <c r="AP141" s="123" t="s">
        <v>1284</v>
      </c>
      <c r="AQ141" s="82" t="s">
        <v>1285</v>
      </c>
      <c r="AR141" s="82"/>
      <c r="AS141" s="82"/>
      <c r="AT141" s="82"/>
      <c r="AU141" s="82"/>
      <c r="AV141" s="82"/>
      <c r="AW141" s="82"/>
      <c r="AX141" s="374"/>
      <c r="AY141" s="374"/>
      <c r="AZ141" s="374"/>
      <c r="BA141" s="374"/>
      <c r="BB141" s="374"/>
      <c r="BC141" s="117"/>
    </row>
    <row r="142" spans="1:55" ht="50.25" customHeight="1">
      <c r="A142" s="17"/>
      <c r="B142" s="22">
        <v>140</v>
      </c>
      <c r="C142" s="44" t="s">
        <v>54</v>
      </c>
      <c r="D142" s="45" t="s">
        <v>55</v>
      </c>
      <c r="E142" s="111" t="s">
        <v>1286</v>
      </c>
      <c r="F142" s="106" t="s">
        <v>1287</v>
      </c>
      <c r="G142" s="47" t="s">
        <v>1288</v>
      </c>
      <c r="H142" s="28" t="s">
        <v>1289</v>
      </c>
      <c r="I142" s="88" t="s">
        <v>1290</v>
      </c>
      <c r="J142" s="22" t="s">
        <v>60</v>
      </c>
      <c r="K142" s="89">
        <v>33874</v>
      </c>
      <c r="L142" s="22">
        <f t="shared" ca="1" si="1"/>
        <v>33</v>
      </c>
      <c r="M142" s="22" t="s">
        <v>79</v>
      </c>
      <c r="N142" s="22" t="s">
        <v>61</v>
      </c>
      <c r="O142" s="138">
        <v>44699</v>
      </c>
      <c r="P142" s="111" t="s">
        <v>1291</v>
      </c>
      <c r="Q142" s="344" t="s">
        <v>81</v>
      </c>
      <c r="R142" s="88" t="s">
        <v>285</v>
      </c>
      <c r="S142" s="158" t="s">
        <v>82</v>
      </c>
      <c r="T142" s="50">
        <v>15000</v>
      </c>
      <c r="U142" s="162">
        <v>46088</v>
      </c>
      <c r="V142" s="335">
        <v>47223</v>
      </c>
      <c r="W142" s="141" t="s">
        <v>1292</v>
      </c>
      <c r="X142" s="17"/>
      <c r="Y142" s="70"/>
      <c r="Z142" s="88" t="s">
        <v>1293</v>
      </c>
      <c r="AA142" s="222"/>
      <c r="AB142" s="53"/>
      <c r="AC142" s="53" t="s">
        <v>1203</v>
      </c>
      <c r="AD142" s="36"/>
      <c r="AE142" s="375"/>
      <c r="AF142" s="376">
        <v>46088</v>
      </c>
      <c r="AG142" s="22"/>
      <c r="AH142" s="22" t="s">
        <v>1294</v>
      </c>
      <c r="AI142" s="51"/>
      <c r="AJ142" s="95" t="s">
        <v>1295</v>
      </c>
      <c r="AK142" s="17"/>
      <c r="AL142" s="67" t="s">
        <v>89</v>
      </c>
      <c r="AM142" s="304">
        <v>45762</v>
      </c>
      <c r="AN142" s="115" t="s">
        <v>1296</v>
      </c>
      <c r="AO142" s="180" t="s">
        <v>967</v>
      </c>
      <c r="AP142" s="180" t="s">
        <v>1297</v>
      </c>
      <c r="AQ142" s="35" t="s">
        <v>1298</v>
      </c>
      <c r="AR142" s="35" t="s">
        <v>1299</v>
      </c>
      <c r="AS142" s="35"/>
      <c r="AT142" s="35"/>
      <c r="AU142" s="35"/>
      <c r="AV142" s="35"/>
      <c r="AW142" s="35"/>
      <c r="AX142" s="377"/>
      <c r="AY142" s="377"/>
      <c r="AZ142" s="377"/>
      <c r="BA142" s="377"/>
      <c r="BB142" s="377"/>
      <c r="BC142" s="62"/>
    </row>
    <row r="143" spans="1:55" ht="50.25" customHeight="1">
      <c r="A143" s="17"/>
      <c r="B143" s="22">
        <v>141</v>
      </c>
      <c r="C143" s="44" t="s">
        <v>54</v>
      </c>
      <c r="D143" s="45" t="s">
        <v>55</v>
      </c>
      <c r="E143" s="111" t="s">
        <v>1300</v>
      </c>
      <c r="F143" s="378"/>
      <c r="G143" s="88" t="s">
        <v>1301</v>
      </c>
      <c r="H143" s="28" t="s">
        <v>1302</v>
      </c>
      <c r="I143" s="88" t="s">
        <v>1303</v>
      </c>
      <c r="J143" s="22" t="s">
        <v>60</v>
      </c>
      <c r="K143" s="89">
        <v>32880</v>
      </c>
      <c r="L143" s="22">
        <f t="shared" ca="1" si="1"/>
        <v>36</v>
      </c>
      <c r="M143" s="22"/>
      <c r="N143" s="22" t="s">
        <v>61</v>
      </c>
      <c r="O143" s="138">
        <v>44699</v>
      </c>
      <c r="P143" s="111" t="s">
        <v>1237</v>
      </c>
      <c r="Q143" s="379" t="s">
        <v>199</v>
      </c>
      <c r="R143" s="33" t="s">
        <v>285</v>
      </c>
      <c r="S143" s="380"/>
      <c r="T143" s="50">
        <v>10000</v>
      </c>
      <c r="U143" s="51">
        <v>44193</v>
      </c>
      <c r="V143" s="335">
        <v>45764</v>
      </c>
      <c r="W143" s="9" t="s">
        <v>1304</v>
      </c>
      <c r="X143" s="17"/>
      <c r="Y143" s="70"/>
      <c r="Z143" s="88" t="s">
        <v>1305</v>
      </c>
      <c r="AA143" s="89">
        <v>45759</v>
      </c>
      <c r="AB143" s="53"/>
      <c r="AC143" s="53" t="s">
        <v>1203</v>
      </c>
      <c r="AD143" s="36"/>
      <c r="AE143" s="36"/>
      <c r="AF143" s="36"/>
      <c r="AG143" s="22"/>
      <c r="AH143" s="22" t="s">
        <v>67</v>
      </c>
      <c r="AI143" s="51">
        <v>45757</v>
      </c>
      <c r="AJ143" s="93" t="s">
        <v>1206</v>
      </c>
      <c r="AK143" s="17"/>
      <c r="AL143" s="141"/>
      <c r="AM143" s="15"/>
      <c r="AN143" s="15"/>
      <c r="AO143" s="15"/>
      <c r="AP143" s="15" t="s">
        <v>1306</v>
      </c>
      <c r="AQ143" s="59"/>
      <c r="AR143" s="59"/>
      <c r="AS143" s="59"/>
      <c r="AT143" s="59"/>
      <c r="AU143" s="59"/>
      <c r="AV143" s="59"/>
      <c r="AW143" s="59"/>
      <c r="AX143" s="59"/>
      <c r="AY143" s="59"/>
      <c r="AZ143" s="59"/>
      <c r="BA143" s="59"/>
      <c r="BB143" s="59"/>
      <c r="BC143" s="62"/>
    </row>
    <row r="144" spans="1:55" ht="50.25" customHeight="1">
      <c r="A144" s="17"/>
      <c r="B144" s="22">
        <v>142</v>
      </c>
      <c r="C144" s="44" t="s">
        <v>54</v>
      </c>
      <c r="D144" s="45" t="s">
        <v>55</v>
      </c>
      <c r="E144" s="111" t="s">
        <v>1307</v>
      </c>
      <c r="F144" s="46"/>
      <c r="G144" s="88" t="s">
        <v>1308</v>
      </c>
      <c r="H144" s="28" t="s">
        <v>1309</v>
      </c>
      <c r="I144" s="88" t="s">
        <v>1310</v>
      </c>
      <c r="J144" s="22" t="s">
        <v>60</v>
      </c>
      <c r="K144" s="89">
        <v>37211</v>
      </c>
      <c r="L144" s="22">
        <f t="shared" ca="1" si="1"/>
        <v>24</v>
      </c>
      <c r="M144" s="22"/>
      <c r="N144" s="22" t="s">
        <v>61</v>
      </c>
      <c r="O144" s="138">
        <v>44699</v>
      </c>
      <c r="P144" s="111" t="s">
        <v>1237</v>
      </c>
      <c r="Q144" s="379" t="s">
        <v>199</v>
      </c>
      <c r="R144" s="33" t="s">
        <v>285</v>
      </c>
      <c r="S144" s="380"/>
      <c r="T144" s="50">
        <v>10000</v>
      </c>
      <c r="U144" s="51">
        <v>44193</v>
      </c>
      <c r="V144" s="335">
        <v>45764</v>
      </c>
      <c r="W144" s="9" t="s">
        <v>1311</v>
      </c>
      <c r="X144" s="17"/>
      <c r="Y144" s="70"/>
      <c r="Z144" s="88" t="s">
        <v>1312</v>
      </c>
      <c r="AA144" s="91">
        <v>45759</v>
      </c>
      <c r="AB144" s="53"/>
      <c r="AC144" s="53" t="s">
        <v>1203</v>
      </c>
      <c r="AD144" s="36"/>
      <c r="AE144" s="36"/>
      <c r="AF144" s="36"/>
      <c r="AG144" s="22"/>
      <c r="AH144" s="22" t="s">
        <v>67</v>
      </c>
      <c r="AI144" s="51">
        <v>45757</v>
      </c>
      <c r="AJ144" s="93" t="s">
        <v>1206</v>
      </c>
      <c r="AK144" s="17"/>
      <c r="AL144" s="141"/>
      <c r="AM144" s="15"/>
      <c r="AN144" s="15"/>
      <c r="AO144" s="15"/>
      <c r="AP144" s="15" t="s">
        <v>1306</v>
      </c>
      <c r="AQ144" s="43"/>
      <c r="AR144" s="43"/>
      <c r="AS144" s="43"/>
      <c r="AT144" s="43"/>
      <c r="AU144" s="43"/>
      <c r="AV144" s="43"/>
      <c r="AW144" s="43"/>
      <c r="AX144" s="43"/>
      <c r="AY144" s="43"/>
      <c r="AZ144" s="43"/>
      <c r="BA144" s="43"/>
      <c r="BB144" s="43"/>
      <c r="BC144" s="62"/>
    </row>
    <row r="145" spans="1:55" ht="50.25" customHeight="1">
      <c r="A145" s="17"/>
      <c r="B145" s="22">
        <v>143</v>
      </c>
      <c r="C145" s="84" t="s">
        <v>100</v>
      </c>
      <c r="D145" s="45" t="s">
        <v>55</v>
      </c>
      <c r="E145" s="111" t="s">
        <v>1313</v>
      </c>
      <c r="F145" s="106" t="s">
        <v>1314</v>
      </c>
      <c r="G145" s="47" t="s">
        <v>1315</v>
      </c>
      <c r="H145" s="174" t="s">
        <v>1316</v>
      </c>
      <c r="I145" s="88" t="s">
        <v>1317</v>
      </c>
      <c r="J145" s="22" t="s">
        <v>60</v>
      </c>
      <c r="K145" s="89">
        <v>32623</v>
      </c>
      <c r="L145" s="22">
        <f t="shared" ca="1" si="1"/>
        <v>36</v>
      </c>
      <c r="M145" s="22" t="s">
        <v>79</v>
      </c>
      <c r="N145" s="22" t="s">
        <v>61</v>
      </c>
      <c r="O145" s="138">
        <v>44706</v>
      </c>
      <c r="P145" s="111" t="s">
        <v>1199</v>
      </c>
      <c r="Q145" s="85" t="s">
        <v>81</v>
      </c>
      <c r="R145" s="33" t="s">
        <v>106</v>
      </c>
      <c r="S145" s="380" t="s">
        <v>400</v>
      </c>
      <c r="T145" s="64">
        <v>10000</v>
      </c>
      <c r="U145" s="162">
        <v>46047</v>
      </c>
      <c r="V145" s="335">
        <v>47229</v>
      </c>
      <c r="W145" s="141" t="s">
        <v>1318</v>
      </c>
      <c r="X145" s="17"/>
      <c r="Y145" s="59"/>
      <c r="Z145" s="15" t="s">
        <v>1319</v>
      </c>
      <c r="AA145" s="17"/>
      <c r="AB145" s="53"/>
      <c r="AC145" s="53" t="s">
        <v>1203</v>
      </c>
      <c r="AD145" s="42"/>
      <c r="AE145" s="42">
        <v>45848</v>
      </c>
      <c r="AF145" s="42">
        <v>45887</v>
      </c>
      <c r="AG145" s="22"/>
      <c r="AH145" s="103" t="s">
        <v>154</v>
      </c>
      <c r="AI145" s="51"/>
      <c r="AJ145" s="93"/>
      <c r="AK145" s="17"/>
      <c r="AL145" s="346" t="s">
        <v>89</v>
      </c>
      <c r="AM145" s="241">
        <v>45768</v>
      </c>
      <c r="AN145" s="82" t="s">
        <v>1228</v>
      </c>
      <c r="AO145" s="58" t="s">
        <v>91</v>
      </c>
      <c r="AP145" s="131" t="s">
        <v>1320</v>
      </c>
      <c r="AQ145" s="43" t="s">
        <v>1321</v>
      </c>
      <c r="AR145" s="43"/>
      <c r="AS145" s="43"/>
      <c r="AT145" s="43"/>
      <c r="AU145" s="43"/>
      <c r="AV145" s="43"/>
      <c r="AW145" s="43"/>
      <c r="AX145" s="35"/>
      <c r="AY145" s="35"/>
      <c r="AZ145" s="35"/>
      <c r="BA145" s="35"/>
      <c r="BB145" s="35"/>
      <c r="BC145" s="214"/>
    </row>
    <row r="146" spans="1:55" ht="50.25" customHeight="1">
      <c r="A146" s="17"/>
      <c r="B146" s="22">
        <v>144</v>
      </c>
      <c r="C146" s="84" t="s">
        <v>100</v>
      </c>
      <c r="D146" s="45" t="s">
        <v>55</v>
      </c>
      <c r="E146" s="111" t="s">
        <v>1322</v>
      </c>
      <c r="F146" s="106" t="s">
        <v>1323</v>
      </c>
      <c r="G146" s="47" t="s">
        <v>1324</v>
      </c>
      <c r="H146" s="137" t="s">
        <v>1325</v>
      </c>
      <c r="I146" s="88" t="s">
        <v>1326</v>
      </c>
      <c r="J146" s="22" t="s">
        <v>60</v>
      </c>
      <c r="K146" s="89">
        <v>37581</v>
      </c>
      <c r="L146" s="22">
        <f t="shared" ca="1" si="1"/>
        <v>23</v>
      </c>
      <c r="M146" s="22" t="s">
        <v>134</v>
      </c>
      <c r="N146" s="22" t="s">
        <v>61</v>
      </c>
      <c r="O146" s="138">
        <v>44706</v>
      </c>
      <c r="P146" s="111" t="s">
        <v>1199</v>
      </c>
      <c r="Q146" s="85" t="s">
        <v>81</v>
      </c>
      <c r="R146" s="33" t="s">
        <v>106</v>
      </c>
      <c r="S146" s="380" t="s">
        <v>137</v>
      </c>
      <c r="T146" s="64">
        <v>10000</v>
      </c>
      <c r="U146" s="162">
        <v>45684</v>
      </c>
      <c r="V146" s="66">
        <v>46133</v>
      </c>
      <c r="W146" s="9" t="s">
        <v>1327</v>
      </c>
      <c r="X146" s="17" t="s">
        <v>1328</v>
      </c>
      <c r="Y146" s="59"/>
      <c r="Z146" s="15" t="s">
        <v>1329</v>
      </c>
      <c r="AA146" s="52" t="s">
        <v>1330</v>
      </c>
      <c r="AB146" s="17" t="s">
        <v>1331</v>
      </c>
      <c r="AC146" s="53" t="s">
        <v>1203</v>
      </c>
      <c r="AD146" s="36"/>
      <c r="AE146" s="42">
        <v>45857</v>
      </c>
      <c r="AF146" s="42">
        <v>45898</v>
      </c>
      <c r="AG146" s="22"/>
      <c r="AH146" s="22" t="s">
        <v>67</v>
      </c>
      <c r="AI146" s="86">
        <v>46046</v>
      </c>
      <c r="AJ146" s="381" t="s">
        <v>1332</v>
      </c>
      <c r="AK146" s="17"/>
      <c r="AL146" s="67" t="s">
        <v>89</v>
      </c>
      <c r="AM146" s="241">
        <v>45768</v>
      </c>
      <c r="AN146" s="82" t="s">
        <v>1228</v>
      </c>
      <c r="AO146" s="58" t="s">
        <v>91</v>
      </c>
      <c r="AP146" s="131" t="s">
        <v>1333</v>
      </c>
      <c r="AQ146" s="82"/>
      <c r="AR146" s="82"/>
      <c r="AS146" s="82"/>
      <c r="AT146" s="82"/>
      <c r="AU146" s="82"/>
      <c r="AV146" s="82"/>
      <c r="AW146" s="82"/>
      <c r="AX146" s="82"/>
      <c r="AY146" s="82"/>
      <c r="AZ146" s="82"/>
      <c r="BA146" s="82"/>
      <c r="BB146" s="82"/>
      <c r="BC146" s="62"/>
    </row>
    <row r="147" spans="1:55" ht="50.25" customHeight="1">
      <c r="A147" s="17"/>
      <c r="B147" s="22">
        <v>145</v>
      </c>
      <c r="C147" s="84" t="s">
        <v>100</v>
      </c>
      <c r="D147" s="45" t="s">
        <v>55</v>
      </c>
      <c r="E147" s="111" t="s">
        <v>1334</v>
      </c>
      <c r="F147" s="106" t="s">
        <v>1335</v>
      </c>
      <c r="G147" s="47" t="s">
        <v>1336</v>
      </c>
      <c r="H147" s="174" t="s">
        <v>1337</v>
      </c>
      <c r="I147" s="88" t="s">
        <v>1338</v>
      </c>
      <c r="J147" s="22" t="s">
        <v>60</v>
      </c>
      <c r="K147" s="89">
        <v>33172</v>
      </c>
      <c r="L147" s="22">
        <f t="shared" ca="1" si="1"/>
        <v>35</v>
      </c>
      <c r="M147" s="22"/>
      <c r="N147" s="22" t="s">
        <v>61</v>
      </c>
      <c r="O147" s="138">
        <v>44706</v>
      </c>
      <c r="P147" s="111" t="s">
        <v>1199</v>
      </c>
      <c r="Q147" s="85" t="s">
        <v>81</v>
      </c>
      <c r="R147" s="33" t="s">
        <v>106</v>
      </c>
      <c r="S147" s="380" t="s">
        <v>1339</v>
      </c>
      <c r="T147" s="64">
        <v>10000</v>
      </c>
      <c r="U147" s="162">
        <v>46047</v>
      </c>
      <c r="V147" s="335">
        <v>47229</v>
      </c>
      <c r="W147" s="141" t="s">
        <v>1340</v>
      </c>
      <c r="X147" s="17"/>
      <c r="Y147" s="59"/>
      <c r="Z147" s="15" t="s">
        <v>1341</v>
      </c>
      <c r="AA147" s="17"/>
      <c r="AB147" s="53"/>
      <c r="AC147" s="53" t="s">
        <v>1203</v>
      </c>
      <c r="AD147" s="36"/>
      <c r="AE147" s="375" t="s">
        <v>1342</v>
      </c>
      <c r="AF147" s="107" t="s">
        <v>1343</v>
      </c>
      <c r="AG147" s="22"/>
      <c r="AH147" s="22" t="s">
        <v>1294</v>
      </c>
      <c r="AI147" s="51"/>
      <c r="AJ147" s="93"/>
      <c r="AK147" s="17"/>
      <c r="AL147" s="179" t="s">
        <v>89</v>
      </c>
      <c r="AM147" s="241">
        <v>45768</v>
      </c>
      <c r="AN147" s="382" t="s">
        <v>1344</v>
      </c>
      <c r="AO147" s="58" t="s">
        <v>91</v>
      </c>
      <c r="AP147" s="131" t="s">
        <v>1345</v>
      </c>
      <c r="AQ147" s="123"/>
      <c r="AR147" s="123"/>
      <c r="AS147" s="123"/>
      <c r="AT147" s="123"/>
      <c r="AU147" s="123"/>
      <c r="AV147" s="123"/>
      <c r="AW147" s="123"/>
      <c r="AX147" s="168"/>
      <c r="AY147" s="168"/>
      <c r="AZ147" s="168"/>
      <c r="BA147" s="168"/>
      <c r="BB147" s="168"/>
      <c r="BC147" s="321"/>
    </row>
    <row r="148" spans="1:55" ht="50.25" customHeight="1">
      <c r="A148" s="157"/>
      <c r="B148" s="22">
        <v>146</v>
      </c>
      <c r="C148" s="84" t="s">
        <v>100</v>
      </c>
      <c r="D148" s="136" t="s">
        <v>55</v>
      </c>
      <c r="E148" s="260" t="s">
        <v>1346</v>
      </c>
      <c r="F148" s="106" t="s">
        <v>1347</v>
      </c>
      <c r="G148" s="137" t="s">
        <v>1348</v>
      </c>
      <c r="H148" s="137" t="s">
        <v>1349</v>
      </c>
      <c r="I148" s="137" t="s">
        <v>382</v>
      </c>
      <c r="J148" s="45" t="s">
        <v>60</v>
      </c>
      <c r="K148" s="383">
        <v>38293</v>
      </c>
      <c r="L148" s="22">
        <f t="shared" ca="1" si="1"/>
        <v>21</v>
      </c>
      <c r="M148" s="22" t="s">
        <v>134</v>
      </c>
      <c r="N148" s="45" t="s">
        <v>1350</v>
      </c>
      <c r="O148" s="259">
        <v>45086</v>
      </c>
      <c r="P148" s="260" t="s">
        <v>1351</v>
      </c>
      <c r="Q148" s="384" t="s">
        <v>199</v>
      </c>
      <c r="R148" s="28" t="s">
        <v>1352</v>
      </c>
      <c r="S148" s="260" t="s">
        <v>137</v>
      </c>
      <c r="T148" s="64">
        <v>10000</v>
      </c>
      <c r="U148" s="162">
        <v>44876</v>
      </c>
      <c r="V148" s="385">
        <v>46172</v>
      </c>
      <c r="W148" s="386" t="s">
        <v>1353</v>
      </c>
      <c r="X148" s="387"/>
      <c r="Y148" s="388"/>
      <c r="Z148" s="137" t="s">
        <v>1354</v>
      </c>
      <c r="AA148" s="17"/>
      <c r="AB148" s="53"/>
      <c r="AC148" s="53"/>
      <c r="AD148" s="36"/>
      <c r="AE148" s="36"/>
      <c r="AF148" s="36"/>
      <c r="AG148" s="22"/>
      <c r="AH148" s="22" t="s">
        <v>1068</v>
      </c>
      <c r="AI148" s="331">
        <v>46151</v>
      </c>
      <c r="AJ148" s="93" t="s">
        <v>1355</v>
      </c>
      <c r="AK148" s="17"/>
      <c r="AL148" s="67"/>
      <c r="AM148" s="67" t="s">
        <v>265</v>
      </c>
      <c r="AN148" s="67" t="s">
        <v>265</v>
      </c>
      <c r="AO148" s="82"/>
      <c r="AP148" s="82" t="s">
        <v>1356</v>
      </c>
      <c r="AQ148" s="123"/>
      <c r="AR148" s="123" t="s">
        <v>1357</v>
      </c>
      <c r="AS148" s="123"/>
      <c r="AT148" s="123"/>
      <c r="AU148" s="123"/>
      <c r="AV148" s="123"/>
      <c r="AW148" s="123"/>
      <c r="AX148" s="168"/>
      <c r="AY148" s="168"/>
      <c r="AZ148" s="168"/>
      <c r="BA148" s="168" t="s">
        <v>1358</v>
      </c>
      <c r="BB148" s="168"/>
      <c r="BC148" s="62"/>
    </row>
    <row r="149" spans="1:55" ht="50.25" customHeight="1">
      <c r="A149" s="70"/>
      <c r="B149" s="22">
        <v>147</v>
      </c>
      <c r="C149" s="84" t="s">
        <v>100</v>
      </c>
      <c r="D149" s="45" t="s">
        <v>55</v>
      </c>
      <c r="E149" s="260" t="s">
        <v>1359</v>
      </c>
      <c r="F149" s="106" t="s">
        <v>1360</v>
      </c>
      <c r="G149" s="137" t="s">
        <v>1361</v>
      </c>
      <c r="H149" s="137" t="s">
        <v>1362</v>
      </c>
      <c r="I149" s="137" t="s">
        <v>425</v>
      </c>
      <c r="J149" s="136" t="s">
        <v>60</v>
      </c>
      <c r="K149" s="383">
        <v>38043</v>
      </c>
      <c r="L149" s="22">
        <f t="shared" ca="1" si="1"/>
        <v>22</v>
      </c>
      <c r="M149" s="22" t="s">
        <v>134</v>
      </c>
      <c r="N149" s="136" t="s">
        <v>1350</v>
      </c>
      <c r="O149" s="259">
        <v>45086</v>
      </c>
      <c r="P149" s="260" t="s">
        <v>1351</v>
      </c>
      <c r="Q149" s="384" t="s">
        <v>199</v>
      </c>
      <c r="R149" s="28" t="s">
        <v>1352</v>
      </c>
      <c r="S149" s="260" t="s">
        <v>137</v>
      </c>
      <c r="T149" s="64">
        <v>10000</v>
      </c>
      <c r="U149" s="162">
        <v>44876</v>
      </c>
      <c r="V149" s="385">
        <v>46172</v>
      </c>
      <c r="W149" s="386" t="s">
        <v>1363</v>
      </c>
      <c r="X149" s="387"/>
      <c r="Y149" s="388"/>
      <c r="Z149" s="137" t="s">
        <v>1364</v>
      </c>
      <c r="AA149" s="17"/>
      <c r="AB149" s="53"/>
      <c r="AC149" s="53"/>
      <c r="AD149" s="36"/>
      <c r="AE149" s="42">
        <v>46224</v>
      </c>
      <c r="AF149" s="42">
        <v>46266</v>
      </c>
      <c r="AG149" s="22"/>
      <c r="AH149" s="22" t="s">
        <v>680</v>
      </c>
      <c r="AI149" s="51"/>
      <c r="AJ149" s="389" t="s">
        <v>1365</v>
      </c>
      <c r="AK149" s="17"/>
      <c r="AL149" s="67"/>
      <c r="AM149" s="67" t="s">
        <v>1366</v>
      </c>
      <c r="AN149" s="67" t="s">
        <v>265</v>
      </c>
      <c r="AO149" s="82"/>
      <c r="AP149" s="82" t="s">
        <v>1356</v>
      </c>
      <c r="AQ149" s="317"/>
      <c r="AR149" s="317" t="s">
        <v>1367</v>
      </c>
      <c r="AS149" s="317"/>
      <c r="AT149" s="317"/>
      <c r="AU149" s="317"/>
      <c r="AV149" s="317"/>
      <c r="AW149" s="317"/>
      <c r="AX149" s="168"/>
      <c r="AY149" s="168" t="s">
        <v>1368</v>
      </c>
      <c r="AZ149" s="168"/>
      <c r="BA149" s="168"/>
      <c r="BB149" s="168"/>
      <c r="BC149" s="62"/>
    </row>
    <row r="150" spans="1:55" ht="50.25" customHeight="1">
      <c r="A150" s="70"/>
      <c r="B150" s="22">
        <v>148</v>
      </c>
      <c r="C150" s="84" t="s">
        <v>100</v>
      </c>
      <c r="D150" s="45" t="s">
        <v>55</v>
      </c>
      <c r="E150" s="260" t="s">
        <v>1369</v>
      </c>
      <c r="F150" s="106" t="s">
        <v>1370</v>
      </c>
      <c r="G150" s="137" t="s">
        <v>1371</v>
      </c>
      <c r="H150" s="137" t="s">
        <v>1372</v>
      </c>
      <c r="I150" s="137" t="s">
        <v>96</v>
      </c>
      <c r="J150" s="136" t="s">
        <v>60</v>
      </c>
      <c r="K150" s="383">
        <v>38206</v>
      </c>
      <c r="L150" s="22">
        <f t="shared" ca="1" si="1"/>
        <v>21</v>
      </c>
      <c r="M150" s="22" t="s">
        <v>134</v>
      </c>
      <c r="N150" s="136" t="s">
        <v>1350</v>
      </c>
      <c r="O150" s="259">
        <v>45086</v>
      </c>
      <c r="P150" s="260" t="s">
        <v>1351</v>
      </c>
      <c r="Q150" s="384" t="s">
        <v>199</v>
      </c>
      <c r="R150" s="28" t="s">
        <v>1352</v>
      </c>
      <c r="S150" s="260" t="s">
        <v>400</v>
      </c>
      <c r="T150" s="64">
        <v>10000</v>
      </c>
      <c r="U150" s="162">
        <v>44876</v>
      </c>
      <c r="V150" s="385">
        <v>46172</v>
      </c>
      <c r="W150" s="386" t="s">
        <v>1373</v>
      </c>
      <c r="X150" s="387"/>
      <c r="Y150" s="388"/>
      <c r="Z150" s="137" t="s">
        <v>1374</v>
      </c>
      <c r="AA150" s="17"/>
      <c r="AB150" s="53"/>
      <c r="AC150" s="53"/>
      <c r="AD150" s="36"/>
      <c r="AE150" s="42">
        <v>46156</v>
      </c>
      <c r="AF150" s="42">
        <v>46198</v>
      </c>
      <c r="AG150" s="22"/>
      <c r="AH150" s="22"/>
      <c r="AI150" s="51"/>
      <c r="AJ150" s="93" t="s">
        <v>1375</v>
      </c>
      <c r="AK150" s="17"/>
      <c r="AL150" s="67"/>
      <c r="AM150" s="67" t="s">
        <v>265</v>
      </c>
      <c r="AN150" s="67" t="s">
        <v>265</v>
      </c>
      <c r="AO150" s="82"/>
      <c r="AP150" s="82" t="s">
        <v>1356</v>
      </c>
      <c r="AQ150" s="123"/>
      <c r="AR150" s="123"/>
      <c r="AS150" s="123"/>
      <c r="AT150" s="123"/>
      <c r="AU150" s="123"/>
      <c r="AV150" s="123"/>
      <c r="AW150" s="123"/>
      <c r="AX150" s="168"/>
      <c r="AY150" s="168"/>
      <c r="AZ150" s="168"/>
      <c r="BA150" s="168" t="s">
        <v>1376</v>
      </c>
      <c r="BB150" s="168"/>
      <c r="BC150" s="62"/>
    </row>
    <row r="151" spans="1:55" ht="50.25" customHeight="1">
      <c r="A151" s="70"/>
      <c r="B151" s="22">
        <v>149</v>
      </c>
      <c r="C151" s="84" t="s">
        <v>100</v>
      </c>
      <c r="D151" s="45" t="s">
        <v>55</v>
      </c>
      <c r="E151" s="260" t="s">
        <v>1377</v>
      </c>
      <c r="F151" s="106" t="s">
        <v>1378</v>
      </c>
      <c r="G151" s="137" t="s">
        <v>1379</v>
      </c>
      <c r="H151" s="137" t="s">
        <v>1380</v>
      </c>
      <c r="I151" s="137" t="s">
        <v>1381</v>
      </c>
      <c r="J151" s="136" t="s">
        <v>60</v>
      </c>
      <c r="K151" s="383">
        <v>37960</v>
      </c>
      <c r="L151" s="22">
        <f t="shared" ca="1" si="1"/>
        <v>22</v>
      </c>
      <c r="M151" s="22" t="s">
        <v>134</v>
      </c>
      <c r="N151" s="136" t="s">
        <v>1350</v>
      </c>
      <c r="O151" s="259">
        <v>45086</v>
      </c>
      <c r="P151" s="260" t="s">
        <v>1351</v>
      </c>
      <c r="Q151" s="384" t="s">
        <v>199</v>
      </c>
      <c r="R151" s="28" t="s">
        <v>1352</v>
      </c>
      <c r="S151" s="260" t="s">
        <v>400</v>
      </c>
      <c r="T151" s="64">
        <v>10000</v>
      </c>
      <c r="U151" s="162">
        <v>44876</v>
      </c>
      <c r="V151" s="385">
        <v>46172</v>
      </c>
      <c r="W151" s="386" t="s">
        <v>1382</v>
      </c>
      <c r="X151" s="387"/>
      <c r="Y151" s="388"/>
      <c r="Z151" s="137" t="s">
        <v>1383</v>
      </c>
      <c r="AA151" s="17"/>
      <c r="AB151" s="53"/>
      <c r="AC151" s="53"/>
      <c r="AD151" s="36"/>
      <c r="AE151" s="36"/>
      <c r="AF151" s="36"/>
      <c r="AG151" s="22"/>
      <c r="AH151" s="22"/>
      <c r="AI151" s="51"/>
      <c r="AJ151" s="93" t="s">
        <v>1384</v>
      </c>
      <c r="AK151" s="17"/>
      <c r="AL151" s="67"/>
      <c r="AM151" s="67" t="s">
        <v>265</v>
      </c>
      <c r="AN151" s="67" t="s">
        <v>265</v>
      </c>
      <c r="AO151" s="82"/>
      <c r="AP151" s="82" t="s">
        <v>1356</v>
      </c>
      <c r="AQ151" s="123"/>
      <c r="AR151" s="123" t="s">
        <v>1385</v>
      </c>
      <c r="AS151" s="123"/>
      <c r="AT151" s="123"/>
      <c r="AU151" s="123"/>
      <c r="AV151" s="123"/>
      <c r="AW151" s="123"/>
      <c r="AX151" s="168"/>
      <c r="AY151" s="168"/>
      <c r="AZ151" s="168"/>
      <c r="BA151" s="168" t="s">
        <v>1386</v>
      </c>
      <c r="BB151" s="168" t="s">
        <v>1387</v>
      </c>
      <c r="BC151" s="62"/>
    </row>
    <row r="152" spans="1:55" ht="50.25" customHeight="1">
      <c r="A152" s="70"/>
      <c r="B152" s="22">
        <v>150</v>
      </c>
      <c r="C152" s="84" t="s">
        <v>100</v>
      </c>
      <c r="D152" s="45" t="s">
        <v>55</v>
      </c>
      <c r="E152" s="260" t="s">
        <v>1388</v>
      </c>
      <c r="F152" s="106" t="s">
        <v>1389</v>
      </c>
      <c r="G152" s="137" t="s">
        <v>1390</v>
      </c>
      <c r="H152" s="137" t="s">
        <v>1391</v>
      </c>
      <c r="I152" s="137" t="s">
        <v>1392</v>
      </c>
      <c r="J152" s="136" t="s">
        <v>60</v>
      </c>
      <c r="K152" s="383">
        <v>37935</v>
      </c>
      <c r="L152" s="22">
        <f t="shared" ca="1" si="1"/>
        <v>22</v>
      </c>
      <c r="M152" s="22" t="s">
        <v>134</v>
      </c>
      <c r="N152" s="136" t="s">
        <v>1350</v>
      </c>
      <c r="O152" s="259">
        <v>45086</v>
      </c>
      <c r="P152" s="260" t="s">
        <v>1351</v>
      </c>
      <c r="Q152" s="384" t="s">
        <v>199</v>
      </c>
      <c r="R152" s="28" t="s">
        <v>1352</v>
      </c>
      <c r="S152" s="260" t="s">
        <v>1339</v>
      </c>
      <c r="T152" s="64">
        <v>10000</v>
      </c>
      <c r="U152" s="162">
        <v>44876</v>
      </c>
      <c r="V152" s="385">
        <v>46172</v>
      </c>
      <c r="W152" s="386" t="s">
        <v>1393</v>
      </c>
      <c r="X152" s="387"/>
      <c r="Y152" s="388"/>
      <c r="Z152" s="137" t="s">
        <v>1394</v>
      </c>
      <c r="AA152" s="17"/>
      <c r="AB152" s="53"/>
      <c r="AC152" s="53"/>
      <c r="AD152" s="36"/>
      <c r="AE152" s="42">
        <v>46194</v>
      </c>
      <c r="AF152" s="42">
        <v>46238</v>
      </c>
      <c r="AG152" s="22"/>
      <c r="AH152" s="22" t="s">
        <v>680</v>
      </c>
      <c r="AI152" s="51"/>
      <c r="AJ152" s="93" t="s">
        <v>1395</v>
      </c>
      <c r="AK152" s="17"/>
      <c r="AL152" s="67"/>
      <c r="AM152" s="67" t="s">
        <v>265</v>
      </c>
      <c r="AN152" s="67" t="s">
        <v>265</v>
      </c>
      <c r="AO152" s="82"/>
      <c r="AP152" s="82" t="s">
        <v>1356</v>
      </c>
      <c r="AQ152" s="123"/>
      <c r="AR152" s="123" t="s">
        <v>1396</v>
      </c>
      <c r="AS152" s="123"/>
      <c r="AT152" s="123"/>
      <c r="AU152" s="123"/>
      <c r="AV152" s="123"/>
      <c r="AW152" s="123"/>
      <c r="AX152" s="168"/>
      <c r="AY152" s="168"/>
      <c r="AZ152" s="168"/>
      <c r="BA152" s="168"/>
      <c r="BB152" s="168"/>
      <c r="BC152" s="62"/>
    </row>
    <row r="153" spans="1:55" ht="50.25" customHeight="1">
      <c r="A153" s="70"/>
      <c r="B153" s="22">
        <v>151</v>
      </c>
      <c r="C153" s="84" t="s">
        <v>100</v>
      </c>
      <c r="D153" s="136" t="s">
        <v>55</v>
      </c>
      <c r="E153" s="260" t="s">
        <v>1397</v>
      </c>
      <c r="F153" s="106" t="s">
        <v>1398</v>
      </c>
      <c r="G153" s="137" t="s">
        <v>1399</v>
      </c>
      <c r="H153" s="137" t="s">
        <v>1400</v>
      </c>
      <c r="I153" s="137" t="s">
        <v>1401</v>
      </c>
      <c r="J153" s="136" t="s">
        <v>60</v>
      </c>
      <c r="K153" s="383">
        <v>31735</v>
      </c>
      <c r="L153" s="22">
        <f t="shared" ca="1" si="1"/>
        <v>39</v>
      </c>
      <c r="M153" s="22" t="s">
        <v>134</v>
      </c>
      <c r="N153" s="136" t="s">
        <v>1350</v>
      </c>
      <c r="O153" s="259">
        <v>45086</v>
      </c>
      <c r="P153" s="260" t="s">
        <v>1351</v>
      </c>
      <c r="Q153" s="384" t="s">
        <v>199</v>
      </c>
      <c r="R153" s="28" t="s">
        <v>1352</v>
      </c>
      <c r="S153" s="260" t="s">
        <v>1339</v>
      </c>
      <c r="T153" s="161">
        <v>10000</v>
      </c>
      <c r="U153" s="162">
        <v>44876</v>
      </c>
      <c r="V153" s="385">
        <v>46172</v>
      </c>
      <c r="W153" s="386" t="s">
        <v>1402</v>
      </c>
      <c r="X153" s="387"/>
      <c r="Y153" s="388"/>
      <c r="Z153" s="137" t="s">
        <v>1403</v>
      </c>
      <c r="AA153" s="17"/>
      <c r="AB153" s="17" t="s">
        <v>1404</v>
      </c>
      <c r="AC153" s="53"/>
      <c r="AD153" s="36"/>
      <c r="AE153" s="42">
        <v>46245</v>
      </c>
      <c r="AF153" s="42">
        <v>46289</v>
      </c>
      <c r="AG153" s="22"/>
      <c r="AH153" s="22" t="s">
        <v>680</v>
      </c>
      <c r="AI153" s="51"/>
      <c r="AJ153" s="93"/>
      <c r="AK153" s="17"/>
      <c r="AL153" s="67"/>
      <c r="AM153" s="67" t="s">
        <v>265</v>
      </c>
      <c r="AN153" s="67" t="s">
        <v>265</v>
      </c>
      <c r="AO153" s="82"/>
      <c r="AP153" s="82" t="s">
        <v>1405</v>
      </c>
      <c r="AQ153" s="82"/>
      <c r="AR153" s="82" t="s">
        <v>1406</v>
      </c>
      <c r="AS153" s="82"/>
      <c r="AT153" s="82"/>
      <c r="AU153" s="82"/>
      <c r="AV153" s="82"/>
      <c r="AW153" s="82"/>
      <c r="AX153" s="168"/>
      <c r="AY153" s="168"/>
      <c r="AZ153" s="168"/>
      <c r="BA153" s="168" t="s">
        <v>1407</v>
      </c>
      <c r="BB153" s="168"/>
      <c r="BC153" s="117"/>
    </row>
    <row r="154" spans="1:55" ht="50.25" customHeight="1">
      <c r="A154" s="390"/>
      <c r="B154" s="22">
        <v>152</v>
      </c>
      <c r="C154" s="109" t="s">
        <v>175</v>
      </c>
      <c r="D154" s="45" t="s">
        <v>55</v>
      </c>
      <c r="E154" s="111" t="s">
        <v>1408</v>
      </c>
      <c r="F154" s="171" t="s">
        <v>1409</v>
      </c>
      <c r="G154" s="137" t="s">
        <v>1410</v>
      </c>
      <c r="H154" s="28" t="s">
        <v>1411</v>
      </c>
      <c r="I154" s="88" t="s">
        <v>1412</v>
      </c>
      <c r="J154" s="136" t="s">
        <v>60</v>
      </c>
      <c r="K154" s="89">
        <v>37596</v>
      </c>
      <c r="L154" s="22">
        <f t="shared" ca="1" si="1"/>
        <v>23</v>
      </c>
      <c r="M154" s="22"/>
      <c r="N154" s="22" t="s">
        <v>61</v>
      </c>
      <c r="O154" s="259">
        <v>45159</v>
      </c>
      <c r="P154" s="260" t="s">
        <v>1413</v>
      </c>
      <c r="Q154" s="384" t="s">
        <v>199</v>
      </c>
      <c r="R154" s="33" t="s">
        <v>136</v>
      </c>
      <c r="S154" s="111" t="s">
        <v>400</v>
      </c>
      <c r="T154" s="64">
        <v>10000</v>
      </c>
      <c r="U154" s="391">
        <v>44986</v>
      </c>
      <c r="V154" s="66">
        <v>46225</v>
      </c>
      <c r="W154" s="392" t="s">
        <v>1414</v>
      </c>
      <c r="X154" s="16"/>
      <c r="Y154" s="393"/>
      <c r="Z154" s="282" t="s">
        <v>1415</v>
      </c>
      <c r="AA154" s="17"/>
      <c r="AB154" s="53"/>
      <c r="AC154" s="17" t="s">
        <v>1416</v>
      </c>
      <c r="AD154" s="36"/>
      <c r="AE154" s="36"/>
      <c r="AF154" s="36"/>
      <c r="AG154" s="22"/>
      <c r="AH154" s="22" t="s">
        <v>1068</v>
      </c>
      <c r="AI154" s="107"/>
      <c r="AJ154" s="394"/>
      <c r="AK154" s="16"/>
      <c r="AL154" s="67"/>
      <c r="AM154" s="67" t="s">
        <v>265</v>
      </c>
      <c r="AN154" s="67" t="s">
        <v>265</v>
      </c>
      <c r="AO154" s="82"/>
      <c r="AP154" s="180" t="s">
        <v>1417</v>
      </c>
      <c r="AQ154" s="131"/>
      <c r="AR154" s="131"/>
      <c r="AS154" s="131"/>
      <c r="AT154" s="131"/>
      <c r="AU154" s="131"/>
      <c r="AV154" s="131"/>
      <c r="AW154" s="131"/>
      <c r="AX154" s="168"/>
      <c r="AY154" s="168"/>
      <c r="AZ154" s="168"/>
      <c r="BA154" s="168" t="s">
        <v>1418</v>
      </c>
      <c r="BB154" s="168"/>
      <c r="BC154" s="186"/>
    </row>
    <row r="155" spans="1:55" ht="50.25" customHeight="1">
      <c r="A155" s="390"/>
      <c r="B155" s="22">
        <v>153</v>
      </c>
      <c r="C155" s="109" t="s">
        <v>175</v>
      </c>
      <c r="D155" s="45" t="s">
        <v>55</v>
      </c>
      <c r="E155" s="111" t="s">
        <v>1419</v>
      </c>
      <c r="F155" s="171" t="s">
        <v>1420</v>
      </c>
      <c r="G155" s="137" t="s">
        <v>1421</v>
      </c>
      <c r="H155" s="28" t="s">
        <v>1422</v>
      </c>
      <c r="I155" s="88" t="s">
        <v>1423</v>
      </c>
      <c r="J155" s="136" t="s">
        <v>60</v>
      </c>
      <c r="K155" s="89">
        <v>32899</v>
      </c>
      <c r="L155" s="22">
        <f t="shared" ca="1" si="1"/>
        <v>36</v>
      </c>
      <c r="M155" s="22" t="s">
        <v>79</v>
      </c>
      <c r="N155" s="22" t="s">
        <v>61</v>
      </c>
      <c r="O155" s="259">
        <v>45159</v>
      </c>
      <c r="P155" s="260" t="s">
        <v>1413</v>
      </c>
      <c r="Q155" s="384" t="s">
        <v>199</v>
      </c>
      <c r="R155" s="33" t="s">
        <v>136</v>
      </c>
      <c r="S155" s="111" t="s">
        <v>400</v>
      </c>
      <c r="T155" s="64">
        <v>10000</v>
      </c>
      <c r="U155" s="391">
        <v>44986</v>
      </c>
      <c r="V155" s="66">
        <v>46225</v>
      </c>
      <c r="W155" s="392" t="s">
        <v>1424</v>
      </c>
      <c r="X155" s="16"/>
      <c r="Y155" s="393"/>
      <c r="Z155" s="282" t="s">
        <v>1425</v>
      </c>
      <c r="AA155" s="17"/>
      <c r="AB155" s="53"/>
      <c r="AC155" s="17" t="s">
        <v>1416</v>
      </c>
      <c r="AD155" s="36"/>
      <c r="AE155" s="42">
        <v>46224</v>
      </c>
      <c r="AF155" s="42">
        <v>46266</v>
      </c>
      <c r="AG155" s="22"/>
      <c r="AH155" s="22" t="s">
        <v>680</v>
      </c>
      <c r="AI155" s="51"/>
      <c r="AJ155" s="389" t="s">
        <v>1365</v>
      </c>
      <c r="AK155" s="16"/>
      <c r="AL155" s="67"/>
      <c r="AM155" s="67" t="s">
        <v>265</v>
      </c>
      <c r="AN155" s="67" t="s">
        <v>265</v>
      </c>
      <c r="AO155" s="277"/>
      <c r="AP155" s="277" t="s">
        <v>1426</v>
      </c>
      <c r="AQ155" s="131"/>
      <c r="AR155" s="131" t="s">
        <v>1427</v>
      </c>
      <c r="AS155" s="131"/>
      <c r="AT155" s="131"/>
      <c r="AU155" s="131"/>
      <c r="AV155" s="131"/>
      <c r="AW155" s="131"/>
      <c r="AX155" s="168"/>
      <c r="AY155" s="168"/>
      <c r="AZ155" s="168"/>
      <c r="BA155" s="168"/>
      <c r="BB155" s="168"/>
      <c r="BC155" s="80"/>
    </row>
    <row r="156" spans="1:55" ht="50.25" customHeight="1">
      <c r="A156" s="390"/>
      <c r="B156" s="22">
        <v>154</v>
      </c>
      <c r="C156" s="84" t="s">
        <v>100</v>
      </c>
      <c r="D156" s="45" t="s">
        <v>55</v>
      </c>
      <c r="E156" s="372" t="s">
        <v>1428</v>
      </c>
      <c r="F156" s="171" t="s">
        <v>1429</v>
      </c>
      <c r="G156" s="47" t="s">
        <v>1430</v>
      </c>
      <c r="H156" s="28" t="s">
        <v>1431</v>
      </c>
      <c r="I156" s="137" t="s">
        <v>1432</v>
      </c>
      <c r="J156" s="136" t="s">
        <v>261</v>
      </c>
      <c r="K156" s="89">
        <v>35191</v>
      </c>
      <c r="L156" s="22">
        <f t="shared" ca="1" si="1"/>
        <v>29</v>
      </c>
      <c r="M156" s="22" t="s">
        <v>149</v>
      </c>
      <c r="N156" s="22" t="s">
        <v>61</v>
      </c>
      <c r="O156" s="259">
        <v>45159</v>
      </c>
      <c r="P156" s="260" t="s">
        <v>1433</v>
      </c>
      <c r="Q156" s="191" t="s">
        <v>490</v>
      </c>
      <c r="R156" s="33" t="s">
        <v>150</v>
      </c>
      <c r="S156" s="111" t="s">
        <v>149</v>
      </c>
      <c r="T156" s="257">
        <v>20000</v>
      </c>
      <c r="U156" s="97">
        <v>45962</v>
      </c>
      <c r="V156" s="285">
        <v>47102</v>
      </c>
      <c r="W156" s="395" t="s">
        <v>1434</v>
      </c>
      <c r="X156" s="16"/>
      <c r="Y156" s="393"/>
      <c r="Z156" s="282" t="s">
        <v>1435</v>
      </c>
      <c r="AA156" s="100"/>
      <c r="AB156" s="53" t="s">
        <v>574</v>
      </c>
      <c r="AC156" s="53" t="s">
        <v>1436</v>
      </c>
      <c r="AD156" s="102">
        <v>45271</v>
      </c>
      <c r="AE156" s="107" t="s">
        <v>1437</v>
      </c>
      <c r="AF156" s="107" t="s">
        <v>1438</v>
      </c>
      <c r="AG156" s="98">
        <v>45313</v>
      </c>
      <c r="AH156" s="22" t="s">
        <v>680</v>
      </c>
      <c r="AI156" s="396"/>
      <c r="AJ156" s="397"/>
      <c r="AK156" s="16"/>
      <c r="AL156" s="145" t="s">
        <v>265</v>
      </c>
      <c r="AM156" s="398">
        <v>43117</v>
      </c>
      <c r="AN156" s="115" t="s">
        <v>1439</v>
      </c>
      <c r="AO156" s="67" t="s">
        <v>157</v>
      </c>
      <c r="AP156" s="180" t="s">
        <v>1440</v>
      </c>
      <c r="AQ156" s="131" t="s">
        <v>1441</v>
      </c>
      <c r="AR156" s="131" t="s">
        <v>1442</v>
      </c>
      <c r="AS156" s="131"/>
      <c r="AT156" s="131"/>
      <c r="AU156" s="131"/>
      <c r="AV156" s="131"/>
      <c r="AW156" s="131"/>
      <c r="AX156" s="168"/>
      <c r="AY156" s="168"/>
      <c r="AZ156" s="168"/>
      <c r="BA156" s="168"/>
      <c r="BB156" s="168"/>
      <c r="BC156" s="255"/>
    </row>
    <row r="157" spans="1:55" ht="50.25" customHeight="1">
      <c r="A157" s="246"/>
      <c r="B157" s="22">
        <v>155</v>
      </c>
      <c r="C157" s="23" t="s">
        <v>54</v>
      </c>
      <c r="D157" s="399" t="s">
        <v>55</v>
      </c>
      <c r="E157" s="25" t="s">
        <v>1443</v>
      </c>
      <c r="F157" s="400"/>
      <c r="G157" s="118" t="s">
        <v>1444</v>
      </c>
      <c r="H157" s="137" t="s">
        <v>1445</v>
      </c>
      <c r="I157" s="353" t="s">
        <v>133</v>
      </c>
      <c r="J157" s="17" t="s">
        <v>60</v>
      </c>
      <c r="K157" s="89">
        <v>33945</v>
      </c>
      <c r="L157" s="22">
        <f t="shared" ca="1" si="1"/>
        <v>33</v>
      </c>
      <c r="M157" s="17"/>
      <c r="N157" s="71" t="s">
        <v>471</v>
      </c>
      <c r="O157" s="31">
        <v>45372</v>
      </c>
      <c r="P157" s="25" t="s">
        <v>1446</v>
      </c>
      <c r="Q157" s="155" t="s">
        <v>81</v>
      </c>
      <c r="R157" s="35" t="s">
        <v>553</v>
      </c>
      <c r="S157" s="158" t="s">
        <v>82</v>
      </c>
      <c r="T157" s="209">
        <v>15000</v>
      </c>
      <c r="U157" s="401"/>
      <c r="V157" s="30">
        <v>45722</v>
      </c>
      <c r="W157" s="9" t="s">
        <v>1447</v>
      </c>
      <c r="X157" s="141"/>
      <c r="Y157" s="70"/>
      <c r="Z157" s="402" t="s">
        <v>1448</v>
      </c>
      <c r="AA157" s="89">
        <v>45492</v>
      </c>
      <c r="AB157" s="90"/>
      <c r="AC157" s="90"/>
      <c r="AD157" s="90"/>
      <c r="AE157" s="90"/>
      <c r="AF157" s="90"/>
      <c r="AG157" s="89"/>
      <c r="AH157" s="17" t="s">
        <v>67</v>
      </c>
      <c r="AI157" s="86">
        <v>45493</v>
      </c>
      <c r="AJ157" s="401"/>
      <c r="AK157" s="246"/>
      <c r="AL157" s="403"/>
      <c r="AM157" s="201"/>
      <c r="AN157" s="201"/>
      <c r="AO157" s="201"/>
      <c r="AP157" s="201" t="s">
        <v>1449</v>
      </c>
      <c r="AQ157" s="82"/>
      <c r="AR157" s="82"/>
      <c r="AS157" s="82"/>
      <c r="AT157" s="82"/>
      <c r="AU157" s="82"/>
      <c r="AV157" s="82"/>
      <c r="AW157" s="82"/>
      <c r="AX157" s="82"/>
      <c r="AY157" s="82"/>
      <c r="AZ157" s="82"/>
      <c r="BA157" s="82"/>
      <c r="BB157" s="82"/>
      <c r="BC157" s="235"/>
    </row>
    <row r="158" spans="1:55" ht="50.25" customHeight="1">
      <c r="A158" s="157"/>
      <c r="B158" s="22">
        <v>156</v>
      </c>
      <c r="C158" s="44" t="s">
        <v>54</v>
      </c>
      <c r="D158" s="136" t="s">
        <v>55</v>
      </c>
      <c r="E158" s="25" t="s">
        <v>1450</v>
      </c>
      <c r="F158" s="106" t="s">
        <v>1451</v>
      </c>
      <c r="G158" s="47" t="s">
        <v>1452</v>
      </c>
      <c r="H158" s="137" t="s">
        <v>1453</v>
      </c>
      <c r="I158" s="88" t="s">
        <v>1454</v>
      </c>
      <c r="J158" s="17" t="s">
        <v>60</v>
      </c>
      <c r="K158" s="89">
        <v>30821</v>
      </c>
      <c r="L158" s="22">
        <f t="shared" ca="1" si="1"/>
        <v>41</v>
      </c>
      <c r="M158" s="17" t="s">
        <v>134</v>
      </c>
      <c r="N158" s="17" t="s">
        <v>61</v>
      </c>
      <c r="O158" s="31">
        <v>45364</v>
      </c>
      <c r="P158" s="111" t="s">
        <v>1446</v>
      </c>
      <c r="Q158" s="49" t="s">
        <v>81</v>
      </c>
      <c r="R158" s="341" t="s">
        <v>241</v>
      </c>
      <c r="S158" s="404" t="s">
        <v>1455</v>
      </c>
      <c r="T158" s="257">
        <v>0</v>
      </c>
      <c r="U158" s="97">
        <v>46006</v>
      </c>
      <c r="V158" s="405">
        <v>47189</v>
      </c>
      <c r="W158" s="141" t="s">
        <v>1456</v>
      </c>
      <c r="X158" s="141"/>
      <c r="Y158" s="393"/>
      <c r="Z158" s="282" t="s">
        <v>1457</v>
      </c>
      <c r="AA158" s="89"/>
      <c r="AB158" s="90"/>
      <c r="AC158" s="90"/>
      <c r="AD158" s="90"/>
      <c r="AE158" s="178">
        <v>46079</v>
      </c>
      <c r="AF158" s="72">
        <v>46126</v>
      </c>
      <c r="AG158" s="17"/>
      <c r="AH158" s="17" t="s">
        <v>1294</v>
      </c>
      <c r="AI158" s="140"/>
      <c r="AJ158" s="185"/>
      <c r="AK158" s="17"/>
      <c r="AL158" s="346" t="s">
        <v>89</v>
      </c>
      <c r="AM158" s="340">
        <v>45363</v>
      </c>
      <c r="AN158" s="115" t="s">
        <v>1458</v>
      </c>
      <c r="AO158" s="82"/>
      <c r="AP158" s="180" t="s">
        <v>1459</v>
      </c>
      <c r="AQ158" s="82" t="s">
        <v>1460</v>
      </c>
      <c r="AR158" s="82" t="s">
        <v>1461</v>
      </c>
      <c r="AS158" s="82"/>
      <c r="AT158" s="82"/>
      <c r="AU158" s="82"/>
      <c r="AV158" s="82"/>
      <c r="AW158" s="82"/>
      <c r="AX158" s="168"/>
      <c r="AY158" s="168"/>
      <c r="AZ158" s="168"/>
      <c r="BA158" s="168"/>
      <c r="BB158" s="168"/>
      <c r="BC158" s="235"/>
    </row>
    <row r="159" spans="1:55" ht="50.25" customHeight="1">
      <c r="A159" s="246"/>
      <c r="B159" s="22">
        <v>157</v>
      </c>
      <c r="C159" s="23" t="s">
        <v>54</v>
      </c>
      <c r="D159" s="399" t="s">
        <v>55</v>
      </c>
      <c r="E159" s="25" t="s">
        <v>1462</v>
      </c>
      <c r="F159" s="406"/>
      <c r="G159" s="118" t="s">
        <v>1463</v>
      </c>
      <c r="H159" s="407" t="s">
        <v>1464</v>
      </c>
      <c r="I159" s="353" t="s">
        <v>1465</v>
      </c>
      <c r="J159" s="17" t="s">
        <v>60</v>
      </c>
      <c r="K159" s="89">
        <v>37225</v>
      </c>
      <c r="L159" s="22">
        <f t="shared" ca="1" si="1"/>
        <v>24</v>
      </c>
      <c r="M159" s="17"/>
      <c r="N159" s="71" t="s">
        <v>471</v>
      </c>
      <c r="O159" s="31">
        <v>45372</v>
      </c>
      <c r="P159" s="25" t="s">
        <v>1446</v>
      </c>
      <c r="Q159" s="155" t="s">
        <v>81</v>
      </c>
      <c r="R159" s="35" t="s">
        <v>553</v>
      </c>
      <c r="S159" s="158" t="s">
        <v>82</v>
      </c>
      <c r="T159" s="209">
        <v>15000</v>
      </c>
      <c r="U159" s="401"/>
      <c r="V159" s="30">
        <v>45721</v>
      </c>
      <c r="W159" s="9" t="s">
        <v>1466</v>
      </c>
      <c r="X159" s="141"/>
      <c r="Y159" s="70"/>
      <c r="Z159" s="402" t="s">
        <v>1467</v>
      </c>
      <c r="AA159" s="89">
        <v>45492</v>
      </c>
      <c r="AB159" s="17" t="s">
        <v>1468</v>
      </c>
      <c r="AC159" s="17"/>
      <c r="AD159" s="90"/>
      <c r="AE159" s="90"/>
      <c r="AF159" s="90"/>
      <c r="AG159" s="89"/>
      <c r="AH159" s="17" t="s">
        <v>67</v>
      </c>
      <c r="AI159" s="86">
        <v>45493</v>
      </c>
      <c r="AJ159" s="401"/>
      <c r="AK159" s="246"/>
      <c r="AL159" s="403"/>
      <c r="AM159" s="201"/>
      <c r="AN159" s="201"/>
      <c r="AO159" s="201"/>
      <c r="AP159" s="201" t="s">
        <v>1469</v>
      </c>
      <c r="AQ159" s="82"/>
      <c r="AR159" s="82"/>
      <c r="AS159" s="82"/>
      <c r="AT159" s="82"/>
      <c r="AU159" s="82"/>
      <c r="AV159" s="82"/>
      <c r="AW159" s="82"/>
      <c r="AX159" s="82"/>
      <c r="AY159" s="82"/>
      <c r="AZ159" s="82"/>
      <c r="BA159" s="82"/>
      <c r="BB159" s="82"/>
      <c r="BC159" s="117"/>
    </row>
    <row r="160" spans="1:55" ht="50.25" customHeight="1">
      <c r="A160" s="408" t="s">
        <v>664</v>
      </c>
      <c r="B160" s="22">
        <v>158</v>
      </c>
      <c r="C160" s="44" t="s">
        <v>54</v>
      </c>
      <c r="D160" s="45" t="s">
        <v>611</v>
      </c>
      <c r="E160" s="25" t="s">
        <v>1470</v>
      </c>
      <c r="F160" s="106" t="s">
        <v>1471</v>
      </c>
      <c r="G160" s="88" t="s">
        <v>1472</v>
      </c>
      <c r="H160" s="88" t="s">
        <v>1473</v>
      </c>
      <c r="I160" s="88"/>
      <c r="J160" s="17" t="s">
        <v>60</v>
      </c>
      <c r="K160" s="89">
        <v>38240</v>
      </c>
      <c r="L160" s="22">
        <f t="shared" ca="1" si="1"/>
        <v>21</v>
      </c>
      <c r="M160" s="17"/>
      <c r="N160" s="22" t="s">
        <v>617</v>
      </c>
      <c r="O160" s="30">
        <v>45376</v>
      </c>
      <c r="P160" s="372" t="s">
        <v>1446</v>
      </c>
      <c r="Q160" s="49" t="s">
        <v>81</v>
      </c>
      <c r="R160" s="33" t="s">
        <v>1474</v>
      </c>
      <c r="S160" s="158" t="s">
        <v>82</v>
      </c>
      <c r="T160" s="330">
        <v>15000</v>
      </c>
      <c r="U160" s="162">
        <v>46047</v>
      </c>
      <c r="V160" s="89">
        <v>47200</v>
      </c>
      <c r="W160" s="141" t="s">
        <v>1475</v>
      </c>
      <c r="X160" s="409"/>
      <c r="Y160" s="98">
        <v>45376</v>
      </c>
      <c r="Z160" s="282" t="s">
        <v>1476</v>
      </c>
      <c r="AA160" s="410"/>
      <c r="AB160" s="16" t="s">
        <v>1477</v>
      </c>
      <c r="AC160" s="411"/>
      <c r="AD160" s="411"/>
      <c r="AE160" s="411"/>
      <c r="AF160" s="411"/>
      <c r="AG160" s="411"/>
      <c r="AH160" s="409"/>
      <c r="AI160" s="412"/>
      <c r="AJ160" s="413"/>
      <c r="AK160" s="414" t="s">
        <v>671</v>
      </c>
      <c r="AL160" s="415" t="s">
        <v>89</v>
      </c>
      <c r="AM160" s="197">
        <v>45373</v>
      </c>
      <c r="AN160" s="273" t="s">
        <v>1478</v>
      </c>
      <c r="AO160" s="273"/>
      <c r="AP160" s="273" t="s">
        <v>1479</v>
      </c>
      <c r="AQ160" s="82" t="s">
        <v>1480</v>
      </c>
      <c r="AR160" s="82"/>
      <c r="AS160" s="82"/>
      <c r="AT160" s="82" t="s">
        <v>1481</v>
      </c>
      <c r="AU160" s="82" t="s">
        <v>1482</v>
      </c>
      <c r="AV160" s="82"/>
      <c r="AW160" s="82"/>
      <c r="AX160" s="168"/>
      <c r="AY160" s="168"/>
      <c r="AZ160" s="168"/>
      <c r="BA160" s="168"/>
      <c r="BB160" s="168"/>
      <c r="BC160" s="117"/>
    </row>
    <row r="161" spans="1:55" ht="50.25" customHeight="1">
      <c r="A161" s="408" t="s">
        <v>643</v>
      </c>
      <c r="B161" s="22">
        <v>159</v>
      </c>
      <c r="C161" s="44" t="s">
        <v>54</v>
      </c>
      <c r="D161" s="45" t="s">
        <v>611</v>
      </c>
      <c r="E161" s="25" t="s">
        <v>1483</v>
      </c>
      <c r="F161" s="106" t="s">
        <v>1484</v>
      </c>
      <c r="G161" s="182" t="s">
        <v>1485</v>
      </c>
      <c r="H161" s="88" t="s">
        <v>1486</v>
      </c>
      <c r="I161" s="88" t="s">
        <v>1487</v>
      </c>
      <c r="J161" s="17" t="s">
        <v>60</v>
      </c>
      <c r="K161" s="89">
        <v>38316</v>
      </c>
      <c r="L161" s="22">
        <f t="shared" ca="1" si="1"/>
        <v>21</v>
      </c>
      <c r="M161" s="17" t="s">
        <v>134</v>
      </c>
      <c r="N161" s="22" t="s">
        <v>617</v>
      </c>
      <c r="O161" s="30">
        <v>45376</v>
      </c>
      <c r="P161" s="372" t="s">
        <v>1446</v>
      </c>
      <c r="Q161" s="49" t="s">
        <v>81</v>
      </c>
      <c r="R161" s="33" t="s">
        <v>1474</v>
      </c>
      <c r="S161" s="158" t="s">
        <v>82</v>
      </c>
      <c r="T161" s="330">
        <v>15000</v>
      </c>
      <c r="U161" s="162">
        <v>46047</v>
      </c>
      <c r="V161" s="89">
        <v>47200</v>
      </c>
      <c r="W161" s="141" t="s">
        <v>1488</v>
      </c>
      <c r="X161" s="409"/>
      <c r="Y161" s="98">
        <v>45376</v>
      </c>
      <c r="Z161" s="282" t="s">
        <v>1489</v>
      </c>
      <c r="AA161" s="410">
        <v>42344</v>
      </c>
      <c r="AB161" s="411"/>
      <c r="AC161" s="411"/>
      <c r="AD161" s="411"/>
      <c r="AE161" s="411"/>
      <c r="AF161" s="411"/>
      <c r="AG161" s="411"/>
      <c r="AH161" s="409"/>
      <c r="AI161" s="412"/>
      <c r="AJ161" s="87"/>
      <c r="AK161" s="408" t="s">
        <v>650</v>
      </c>
      <c r="AL161" s="415" t="s">
        <v>89</v>
      </c>
      <c r="AM161" s="197">
        <v>45373</v>
      </c>
      <c r="AN161" s="35" t="s">
        <v>1490</v>
      </c>
      <c r="AO161" s="35"/>
      <c r="AP161" s="35" t="s">
        <v>1491</v>
      </c>
      <c r="AQ161" s="82" t="s">
        <v>1492</v>
      </c>
      <c r="AR161" s="82"/>
      <c r="AS161" s="82"/>
      <c r="AT161" s="82" t="s">
        <v>1493</v>
      </c>
      <c r="AU161" s="82"/>
      <c r="AV161" s="82"/>
      <c r="AW161" s="82"/>
      <c r="AX161" s="168"/>
      <c r="AY161" s="168"/>
      <c r="AZ161" s="168"/>
      <c r="BA161" s="168"/>
      <c r="BB161" s="168"/>
      <c r="BC161" s="117"/>
    </row>
    <row r="162" spans="1:55" ht="41.25" customHeight="1">
      <c r="A162" s="408" t="s">
        <v>664</v>
      </c>
      <c r="B162" s="22">
        <v>160</v>
      </c>
      <c r="C162" s="44" t="s">
        <v>54</v>
      </c>
      <c r="D162" s="45" t="s">
        <v>611</v>
      </c>
      <c r="E162" s="25" t="s">
        <v>1494</v>
      </c>
      <c r="F162" s="106" t="s">
        <v>1495</v>
      </c>
      <c r="G162" s="33" t="s">
        <v>1496</v>
      </c>
      <c r="H162" s="88" t="s">
        <v>1497</v>
      </c>
      <c r="I162" s="88" t="s">
        <v>1498</v>
      </c>
      <c r="J162" s="17" t="s">
        <v>60</v>
      </c>
      <c r="K162" s="89">
        <v>38128</v>
      </c>
      <c r="L162" s="22">
        <f t="shared" ca="1" si="1"/>
        <v>21</v>
      </c>
      <c r="M162" s="17"/>
      <c r="N162" s="22" t="s">
        <v>617</v>
      </c>
      <c r="O162" s="30">
        <v>45376</v>
      </c>
      <c r="P162" s="372" t="s">
        <v>1446</v>
      </c>
      <c r="Q162" s="49" t="s">
        <v>81</v>
      </c>
      <c r="R162" s="33" t="s">
        <v>1055</v>
      </c>
      <c r="S162" s="158" t="s">
        <v>82</v>
      </c>
      <c r="T162" s="330">
        <v>15000</v>
      </c>
      <c r="U162" s="162">
        <v>46047</v>
      </c>
      <c r="V162" s="89">
        <v>47200</v>
      </c>
      <c r="W162" s="141" t="s">
        <v>1499</v>
      </c>
      <c r="X162" s="409"/>
      <c r="Y162" s="98">
        <v>45376</v>
      </c>
      <c r="Z162" s="282" t="s">
        <v>1500</v>
      </c>
      <c r="AA162" s="410"/>
      <c r="AB162" s="411"/>
      <c r="AC162" s="411"/>
      <c r="AD162" s="411"/>
      <c r="AE162" s="411"/>
      <c r="AF162" s="411"/>
      <c r="AG162" s="411"/>
      <c r="AH162" s="409"/>
      <c r="AI162" s="412"/>
      <c r="AJ162" s="413"/>
      <c r="AK162" s="264" t="s">
        <v>671</v>
      </c>
      <c r="AL162" s="415" t="s">
        <v>89</v>
      </c>
      <c r="AM162" s="176"/>
      <c r="AN162" s="35" t="s">
        <v>1478</v>
      </c>
      <c r="AO162" s="35"/>
      <c r="AP162" s="35" t="s">
        <v>1501</v>
      </c>
      <c r="AQ162" s="82" t="s">
        <v>1502</v>
      </c>
      <c r="AR162" s="82"/>
      <c r="AS162" s="82"/>
      <c r="AT162" s="82" t="s">
        <v>1503</v>
      </c>
      <c r="AU162" s="82"/>
      <c r="AV162" s="82"/>
      <c r="AW162" s="82"/>
      <c r="AX162" s="123"/>
      <c r="AY162" s="123"/>
      <c r="AZ162" s="123"/>
      <c r="BA162" s="123"/>
      <c r="BB162" s="123"/>
      <c r="BC162" s="117"/>
    </row>
    <row r="163" spans="1:55" ht="41.25" customHeight="1">
      <c r="A163" s="408" t="s">
        <v>643</v>
      </c>
      <c r="B163" s="22">
        <v>161</v>
      </c>
      <c r="C163" s="44" t="s">
        <v>54</v>
      </c>
      <c r="D163" s="45" t="s">
        <v>611</v>
      </c>
      <c r="E163" s="25" t="s">
        <v>1504</v>
      </c>
      <c r="F163" s="106" t="s">
        <v>1505</v>
      </c>
      <c r="G163" s="47" t="s">
        <v>1506</v>
      </c>
      <c r="H163" s="88" t="s">
        <v>1507</v>
      </c>
      <c r="I163" s="88" t="s">
        <v>1508</v>
      </c>
      <c r="J163" s="22" t="s">
        <v>261</v>
      </c>
      <c r="K163" s="89">
        <v>37563</v>
      </c>
      <c r="L163" s="22">
        <f t="shared" ca="1" si="1"/>
        <v>23</v>
      </c>
      <c r="M163" s="17"/>
      <c r="N163" s="22" t="s">
        <v>617</v>
      </c>
      <c r="O163" s="30">
        <v>45376</v>
      </c>
      <c r="P163" s="372" t="s">
        <v>1446</v>
      </c>
      <c r="Q163" s="49" t="s">
        <v>81</v>
      </c>
      <c r="R163" s="116" t="s">
        <v>1509</v>
      </c>
      <c r="S163" s="158" t="s">
        <v>82</v>
      </c>
      <c r="T163" s="209">
        <v>15000</v>
      </c>
      <c r="U163" s="416">
        <v>45308</v>
      </c>
      <c r="V163" s="30">
        <v>46135</v>
      </c>
      <c r="W163" s="9" t="s">
        <v>1510</v>
      </c>
      <c r="X163" s="409"/>
      <c r="Y163" s="98">
        <v>45376</v>
      </c>
      <c r="Z163" s="282" t="s">
        <v>1511</v>
      </c>
      <c r="AA163" s="410"/>
      <c r="AB163" s="411"/>
      <c r="AC163" s="411"/>
      <c r="AD163" s="411"/>
      <c r="AE163" s="411"/>
      <c r="AF163" s="411"/>
      <c r="AG163" s="411"/>
      <c r="AH163" s="417" t="s">
        <v>67</v>
      </c>
      <c r="AI163" s="412">
        <v>45950</v>
      </c>
      <c r="AJ163" s="413" t="s">
        <v>329</v>
      </c>
      <c r="AK163" s="408" t="s">
        <v>650</v>
      </c>
      <c r="AL163" s="418" t="s">
        <v>1512</v>
      </c>
      <c r="AM163" s="419"/>
      <c r="AN163" s="273" t="s">
        <v>1478</v>
      </c>
      <c r="AO163" s="273"/>
      <c r="AP163" s="59" t="s">
        <v>1513</v>
      </c>
      <c r="AQ163" s="82"/>
      <c r="AR163" s="82" t="s">
        <v>1514</v>
      </c>
      <c r="AS163" s="82"/>
      <c r="AT163" s="82"/>
      <c r="AU163" s="82"/>
      <c r="AV163" s="82"/>
      <c r="AW163" s="82"/>
      <c r="AX163" s="82"/>
      <c r="AY163" s="82"/>
      <c r="AZ163" s="82"/>
      <c r="BA163" s="82"/>
      <c r="BB163" s="82"/>
      <c r="BC163" s="117"/>
    </row>
    <row r="164" spans="1:55" ht="41.25" customHeight="1">
      <c r="A164" s="408" t="s">
        <v>664</v>
      </c>
      <c r="B164" s="22">
        <v>162</v>
      </c>
      <c r="C164" s="44" t="s">
        <v>54</v>
      </c>
      <c r="D164" s="45" t="s">
        <v>611</v>
      </c>
      <c r="E164" s="25" t="s">
        <v>1515</v>
      </c>
      <c r="F164" s="106" t="s">
        <v>1516</v>
      </c>
      <c r="G164" s="88" t="s">
        <v>1517</v>
      </c>
      <c r="H164" s="88" t="s">
        <v>1518</v>
      </c>
      <c r="I164" s="417"/>
      <c r="J164" s="22" t="s">
        <v>261</v>
      </c>
      <c r="K164" s="89">
        <v>37734</v>
      </c>
      <c r="L164" s="22">
        <f t="shared" ca="1" si="1"/>
        <v>22</v>
      </c>
      <c r="M164" s="17"/>
      <c r="N164" s="22" t="s">
        <v>617</v>
      </c>
      <c r="O164" s="30">
        <v>45376</v>
      </c>
      <c r="P164" s="372" t="s">
        <v>1446</v>
      </c>
      <c r="Q164" s="49" t="s">
        <v>81</v>
      </c>
      <c r="R164" s="116" t="s">
        <v>619</v>
      </c>
      <c r="S164" s="158" t="s">
        <v>82</v>
      </c>
      <c r="T164" s="209">
        <v>15000</v>
      </c>
      <c r="U164" s="162">
        <v>46047</v>
      </c>
      <c r="V164" s="89">
        <v>47200</v>
      </c>
      <c r="W164" s="141" t="s">
        <v>1519</v>
      </c>
      <c r="X164" s="409"/>
      <c r="Y164" s="98">
        <v>45376</v>
      </c>
      <c r="Z164" s="282" t="s">
        <v>1520</v>
      </c>
      <c r="AA164" s="410"/>
      <c r="AB164" s="53" t="s">
        <v>737</v>
      </c>
      <c r="AC164" s="411"/>
      <c r="AD164" s="411"/>
      <c r="AE164" s="420">
        <v>46144</v>
      </c>
      <c r="AF164" s="420">
        <v>46175</v>
      </c>
      <c r="AG164" s="411"/>
      <c r="AH164" s="409" t="s">
        <v>680</v>
      </c>
      <c r="AI164" s="412"/>
      <c r="AJ164" s="87"/>
      <c r="AK164" s="408" t="s">
        <v>671</v>
      </c>
      <c r="AL164" s="415" t="s">
        <v>89</v>
      </c>
      <c r="AM164" s="197">
        <v>45373</v>
      </c>
      <c r="AN164" s="35" t="s">
        <v>1478</v>
      </c>
      <c r="AO164" s="35"/>
      <c r="AP164" s="35" t="s">
        <v>1521</v>
      </c>
      <c r="AQ164" s="277" t="s">
        <v>1522</v>
      </c>
      <c r="AR164" s="277"/>
      <c r="AS164" s="277"/>
      <c r="AT164" s="277"/>
      <c r="AU164" s="277"/>
      <c r="AV164" s="277"/>
      <c r="AW164" s="277"/>
      <c r="AX164" s="82"/>
      <c r="AY164" s="82"/>
      <c r="AZ164" s="82"/>
      <c r="BA164" s="82"/>
      <c r="BB164" s="82"/>
      <c r="BC164" s="186"/>
    </row>
    <row r="165" spans="1:55" ht="63.75" customHeight="1">
      <c r="A165" s="70"/>
      <c r="B165" s="22">
        <v>163</v>
      </c>
      <c r="C165" s="44" t="s">
        <v>54</v>
      </c>
      <c r="D165" s="45" t="s">
        <v>55</v>
      </c>
      <c r="E165" s="25" t="s">
        <v>1523</v>
      </c>
      <c r="F165" s="106" t="s">
        <v>1524</v>
      </c>
      <c r="G165" s="421" t="s">
        <v>1525</v>
      </c>
      <c r="H165" s="88" t="s">
        <v>290</v>
      </c>
      <c r="I165" s="88" t="s">
        <v>291</v>
      </c>
      <c r="J165" s="422" t="s">
        <v>60</v>
      </c>
      <c r="K165" s="335">
        <v>32890</v>
      </c>
      <c r="L165" s="22">
        <f t="shared" ca="1" si="1"/>
        <v>36</v>
      </c>
      <c r="M165" s="17" t="s">
        <v>79</v>
      </c>
      <c r="N165" s="422" t="s">
        <v>61</v>
      </c>
      <c r="O165" s="31">
        <v>45388</v>
      </c>
      <c r="P165" s="25" t="s">
        <v>1526</v>
      </c>
      <c r="Q165" s="160" t="s">
        <v>81</v>
      </c>
      <c r="R165" s="33" t="s">
        <v>64</v>
      </c>
      <c r="S165" s="348" t="s">
        <v>82</v>
      </c>
      <c r="T165" s="161">
        <v>20000</v>
      </c>
      <c r="U165" s="162">
        <v>46047</v>
      </c>
      <c r="V165" s="267">
        <v>47217</v>
      </c>
      <c r="W165" s="14" t="s">
        <v>1527</v>
      </c>
      <c r="X165" s="17"/>
      <c r="Y165" s="197">
        <v>45386</v>
      </c>
      <c r="Z165" s="423" t="s">
        <v>1528</v>
      </c>
      <c r="AA165" s="17"/>
      <c r="AB165" s="17"/>
      <c r="AC165" s="53"/>
      <c r="AD165" s="36"/>
      <c r="AE165" s="36"/>
      <c r="AF165" s="36"/>
      <c r="AG165" s="22"/>
      <c r="AH165" s="22"/>
      <c r="AI165" s="51"/>
      <c r="AJ165" s="216"/>
      <c r="AK165" s="17"/>
      <c r="AL165" s="167" t="s">
        <v>89</v>
      </c>
      <c r="AM165" s="114">
        <v>45386</v>
      </c>
      <c r="AN165" s="115" t="s">
        <v>1529</v>
      </c>
      <c r="AO165" s="82"/>
      <c r="AP165" s="82" t="s">
        <v>1530</v>
      </c>
      <c r="AQ165" s="180" t="s">
        <v>1531</v>
      </c>
      <c r="AR165" s="180" t="s">
        <v>1532</v>
      </c>
      <c r="AS165" s="180"/>
      <c r="AT165" s="180"/>
      <c r="AU165" s="180"/>
      <c r="AV165" s="180"/>
      <c r="AW165" s="180"/>
      <c r="AX165" s="82"/>
      <c r="AY165" s="82"/>
      <c r="AZ165" s="82"/>
      <c r="BA165" s="82"/>
      <c r="BB165" s="82"/>
      <c r="BC165" s="117"/>
    </row>
    <row r="166" spans="1:55" ht="42.75" customHeight="1">
      <c r="A166" s="70"/>
      <c r="B166" s="22">
        <v>164</v>
      </c>
      <c r="C166" s="44" t="s">
        <v>54</v>
      </c>
      <c r="D166" s="136" t="s">
        <v>611</v>
      </c>
      <c r="E166" s="25" t="s">
        <v>1533</v>
      </c>
      <c r="F166" s="106"/>
      <c r="G166" s="88" t="s">
        <v>1534</v>
      </c>
      <c r="H166" s="88" t="s">
        <v>1535</v>
      </c>
      <c r="I166" s="88" t="s">
        <v>1536</v>
      </c>
      <c r="J166" s="22" t="s">
        <v>261</v>
      </c>
      <c r="K166" s="89">
        <v>33547</v>
      </c>
      <c r="L166" s="22">
        <f t="shared" ca="1" si="1"/>
        <v>34</v>
      </c>
      <c r="M166" s="17" t="s">
        <v>134</v>
      </c>
      <c r="N166" s="22" t="s">
        <v>617</v>
      </c>
      <c r="O166" s="66">
        <v>45439</v>
      </c>
      <c r="P166" s="424">
        <v>47209</v>
      </c>
      <c r="Q166" s="49" t="s">
        <v>81</v>
      </c>
      <c r="R166" s="35" t="s">
        <v>688</v>
      </c>
      <c r="S166" s="25" t="s">
        <v>82</v>
      </c>
      <c r="T166" s="36">
        <v>15000</v>
      </c>
      <c r="U166" s="51">
        <v>45348</v>
      </c>
      <c r="V166" s="30">
        <v>45798</v>
      </c>
      <c r="W166" s="9" t="s">
        <v>1537</v>
      </c>
      <c r="X166" s="141"/>
      <c r="Y166" s="22" t="s">
        <v>265</v>
      </c>
      <c r="Z166" s="88" t="s">
        <v>1538</v>
      </c>
      <c r="AA166" s="89"/>
      <c r="AB166" s="17" t="s">
        <v>1539</v>
      </c>
      <c r="AC166" s="90"/>
      <c r="AD166" s="90"/>
      <c r="AE166" s="90"/>
      <c r="AF166" s="90"/>
      <c r="AG166" s="89"/>
      <c r="AH166" s="17" t="s">
        <v>67</v>
      </c>
      <c r="AI166" s="86">
        <v>45677</v>
      </c>
      <c r="AJ166" s="190" t="s">
        <v>1540</v>
      </c>
      <c r="AK166" s="70"/>
      <c r="AL166" s="94"/>
      <c r="AM166" s="43"/>
      <c r="AN166" s="43"/>
      <c r="AO166" s="43"/>
      <c r="AP166" s="43" t="s">
        <v>1541</v>
      </c>
      <c r="AQ166" s="180"/>
      <c r="AR166" s="180"/>
      <c r="AS166" s="180"/>
      <c r="AT166" s="180"/>
      <c r="AU166" s="180"/>
      <c r="AV166" s="180"/>
      <c r="AW166" s="180"/>
      <c r="AX166" s="180"/>
      <c r="AY166" s="180"/>
      <c r="AZ166" s="180"/>
      <c r="BA166" s="180"/>
      <c r="BB166" s="180"/>
      <c r="BC166" s="62"/>
    </row>
    <row r="167" spans="1:55" ht="42.75" customHeight="1">
      <c r="A167" s="70"/>
      <c r="B167" s="22">
        <v>165</v>
      </c>
      <c r="C167" s="84" t="s">
        <v>100</v>
      </c>
      <c r="D167" s="45" t="s">
        <v>55</v>
      </c>
      <c r="E167" s="25" t="s">
        <v>1542</v>
      </c>
      <c r="F167" s="106" t="s">
        <v>1543</v>
      </c>
      <c r="G167" s="47" t="s">
        <v>1544</v>
      </c>
      <c r="H167" s="88" t="s">
        <v>1545</v>
      </c>
      <c r="I167" s="33" t="s">
        <v>1546</v>
      </c>
      <c r="J167" s="22" t="s">
        <v>60</v>
      </c>
      <c r="K167" s="30">
        <v>36709</v>
      </c>
      <c r="L167" s="22">
        <f t="shared" ca="1" si="1"/>
        <v>25</v>
      </c>
      <c r="M167" s="22" t="s">
        <v>149</v>
      </c>
      <c r="N167" s="22" t="s">
        <v>61</v>
      </c>
      <c r="O167" s="31">
        <v>45470</v>
      </c>
      <c r="P167" s="424">
        <v>47239</v>
      </c>
      <c r="Q167" s="49" t="s">
        <v>81</v>
      </c>
      <c r="R167" s="182" t="s">
        <v>351</v>
      </c>
      <c r="S167" s="25" t="s">
        <v>149</v>
      </c>
      <c r="T167" s="330">
        <v>21500</v>
      </c>
      <c r="U167" s="425">
        <v>46106</v>
      </c>
      <c r="V167" s="91">
        <v>46198</v>
      </c>
      <c r="W167" s="14" t="s">
        <v>1547</v>
      </c>
      <c r="X167" s="9"/>
      <c r="Y167" s="241">
        <v>45468</v>
      </c>
      <c r="Z167" s="115" t="s">
        <v>1548</v>
      </c>
      <c r="AA167" s="145"/>
      <c r="AB167" s="17" t="s">
        <v>1216</v>
      </c>
      <c r="AC167" s="90"/>
      <c r="AD167" s="42"/>
      <c r="AE167" s="42">
        <v>45832</v>
      </c>
      <c r="AF167" s="42">
        <v>45862</v>
      </c>
      <c r="AG167" s="22"/>
      <c r="AH167" s="103" t="s">
        <v>154</v>
      </c>
      <c r="AI167" s="184"/>
      <c r="AJ167" s="426"/>
      <c r="AK167" s="17"/>
      <c r="AL167" s="141" t="s">
        <v>89</v>
      </c>
      <c r="AM167" s="297">
        <v>45468</v>
      </c>
      <c r="AN167" s="15" t="s">
        <v>171</v>
      </c>
      <c r="AO167" s="58" t="s">
        <v>91</v>
      </c>
      <c r="AP167" s="15" t="s">
        <v>1549</v>
      </c>
      <c r="AQ167" s="273" t="s">
        <v>1550</v>
      </c>
      <c r="AR167" s="273"/>
      <c r="AS167" s="273"/>
      <c r="AT167" s="273"/>
      <c r="AU167" s="273"/>
      <c r="AV167" s="273"/>
      <c r="AW167" s="273"/>
      <c r="AX167" s="82"/>
      <c r="AY167" s="82"/>
      <c r="AZ167" s="82"/>
      <c r="BA167" s="82"/>
      <c r="BB167" s="82"/>
      <c r="BC167" s="186"/>
    </row>
    <row r="168" spans="1:55" ht="46.5" customHeight="1">
      <c r="A168" s="70"/>
      <c r="B168" s="22">
        <v>166</v>
      </c>
      <c r="C168" s="44" t="s">
        <v>54</v>
      </c>
      <c r="D168" s="45" t="s">
        <v>55</v>
      </c>
      <c r="E168" s="25" t="s">
        <v>1551</v>
      </c>
      <c r="F168" s="106"/>
      <c r="G168" s="33" t="s">
        <v>1552</v>
      </c>
      <c r="H168" s="88" t="s">
        <v>1553</v>
      </c>
      <c r="I168" s="33"/>
      <c r="J168" s="22" t="s">
        <v>60</v>
      </c>
      <c r="K168" s="30">
        <v>36026</v>
      </c>
      <c r="L168" s="22">
        <f t="shared" ca="1" si="1"/>
        <v>27</v>
      </c>
      <c r="M168" s="22" t="s">
        <v>79</v>
      </c>
      <c r="N168" s="22" t="s">
        <v>471</v>
      </c>
      <c r="O168" s="427">
        <v>45489</v>
      </c>
      <c r="P168" s="424">
        <v>47270</v>
      </c>
      <c r="Q168" s="49" t="s">
        <v>81</v>
      </c>
      <c r="R168" s="35" t="s">
        <v>445</v>
      </c>
      <c r="S168" s="158" t="s">
        <v>82</v>
      </c>
      <c r="T168" s="257">
        <v>15000</v>
      </c>
      <c r="U168" s="162">
        <v>45366</v>
      </c>
      <c r="V168" s="30">
        <v>45847</v>
      </c>
      <c r="W168" s="9" t="s">
        <v>1554</v>
      </c>
      <c r="X168" s="9"/>
      <c r="Y168" s="70"/>
      <c r="Z168" s="88" t="s">
        <v>1555</v>
      </c>
      <c r="AA168" s="30"/>
      <c r="AB168" s="17" t="s">
        <v>1556</v>
      </c>
      <c r="AC168" s="90"/>
      <c r="AD168" s="90"/>
      <c r="AE168" s="42"/>
      <c r="AF168" s="42"/>
      <c r="AG168" s="30"/>
      <c r="AH168" s="22" t="s">
        <v>67</v>
      </c>
      <c r="AI168" s="92">
        <v>45777</v>
      </c>
      <c r="AJ168" s="216" t="s">
        <v>1557</v>
      </c>
      <c r="AK168" s="17"/>
      <c r="AL168" s="67"/>
      <c r="AM168" s="82"/>
      <c r="AN168" s="82"/>
      <c r="AO168" s="82"/>
      <c r="AP168" s="82" t="s">
        <v>1558</v>
      </c>
      <c r="AQ168" s="35"/>
      <c r="AR168" s="35"/>
      <c r="AS168" s="35"/>
      <c r="AT168" s="35"/>
      <c r="AU168" s="35"/>
      <c r="AV168" s="35"/>
      <c r="AW168" s="35"/>
      <c r="AX168" s="35"/>
      <c r="AY168" s="35"/>
      <c r="AZ168" s="35"/>
      <c r="BA168" s="35"/>
      <c r="BB168" s="35"/>
      <c r="BC168" s="148"/>
    </row>
    <row r="169" spans="1:55" ht="46.5" customHeight="1">
      <c r="A169" s="70"/>
      <c r="B169" s="22">
        <v>167</v>
      </c>
      <c r="C169" s="44" t="s">
        <v>54</v>
      </c>
      <c r="D169" s="136" t="s">
        <v>55</v>
      </c>
      <c r="E169" s="111" t="s">
        <v>1559</v>
      </c>
      <c r="F169" s="428" t="s">
        <v>1560</v>
      </c>
      <c r="G169" s="319" t="s">
        <v>1561</v>
      </c>
      <c r="H169" s="88" t="s">
        <v>1562</v>
      </c>
      <c r="I169" s="88"/>
      <c r="J169" s="429" t="s">
        <v>60</v>
      </c>
      <c r="K169" s="430">
        <v>35380</v>
      </c>
      <c r="L169" s="22">
        <f t="shared" ca="1" si="1"/>
        <v>29</v>
      </c>
      <c r="M169" s="429" t="s">
        <v>79</v>
      </c>
      <c r="N169" s="429" t="s">
        <v>471</v>
      </c>
      <c r="O169" s="431">
        <v>45489</v>
      </c>
      <c r="P169" s="432">
        <v>47270</v>
      </c>
      <c r="Q169" s="433" t="s">
        <v>81</v>
      </c>
      <c r="R169" s="434" t="s">
        <v>1563</v>
      </c>
      <c r="S169" s="435" t="s">
        <v>1564</v>
      </c>
      <c r="T169" s="209">
        <v>0</v>
      </c>
      <c r="U169" s="97">
        <v>45838</v>
      </c>
      <c r="V169" s="436">
        <v>46261</v>
      </c>
      <c r="W169" s="437" t="s">
        <v>1565</v>
      </c>
      <c r="X169" s="438"/>
      <c r="Y169" s="439"/>
      <c r="Z169" s="440" t="s">
        <v>1566</v>
      </c>
      <c r="AA169" s="441"/>
      <c r="AB169" s="442"/>
      <c r="AC169" s="442"/>
      <c r="AD169" s="442"/>
      <c r="AE169" s="442"/>
      <c r="AF169" s="430"/>
      <c r="AG169" s="429"/>
      <c r="AH169" s="443"/>
      <c r="AI169" s="444"/>
      <c r="AJ169" s="445"/>
      <c r="AK169" s="17"/>
      <c r="AL169" s="143"/>
      <c r="AM169" s="144"/>
      <c r="AN169" s="144"/>
      <c r="AO169" s="123"/>
      <c r="AP169" s="144" t="s">
        <v>1567</v>
      </c>
      <c r="AQ169" s="35"/>
      <c r="AR169" s="35"/>
      <c r="AS169" s="35"/>
      <c r="AT169" s="35"/>
      <c r="AU169" s="35"/>
      <c r="AV169" s="35"/>
      <c r="AW169" s="35"/>
      <c r="AX169" s="82"/>
      <c r="AY169" s="82"/>
      <c r="AZ169" s="82"/>
      <c r="BA169" s="82"/>
      <c r="BB169" s="82"/>
      <c r="BC169" s="244"/>
    </row>
    <row r="170" spans="1:55" ht="47.25" customHeight="1">
      <c r="A170" s="264" t="s">
        <v>845</v>
      </c>
      <c r="B170" s="22">
        <v>168</v>
      </c>
      <c r="C170" s="44" t="s">
        <v>54</v>
      </c>
      <c r="D170" s="136" t="s">
        <v>611</v>
      </c>
      <c r="E170" s="111" t="s">
        <v>1568</v>
      </c>
      <c r="F170" s="282" t="s">
        <v>1569</v>
      </c>
      <c r="G170" s="88" t="s">
        <v>1570</v>
      </c>
      <c r="H170" s="88" t="s">
        <v>1571</v>
      </c>
      <c r="I170" s="88" t="s">
        <v>1572</v>
      </c>
      <c r="J170" s="17" t="s">
        <v>261</v>
      </c>
      <c r="K170" s="89">
        <v>35420</v>
      </c>
      <c r="L170" s="22">
        <f t="shared" ca="1" si="1"/>
        <v>29</v>
      </c>
      <c r="M170" s="22" t="s">
        <v>149</v>
      </c>
      <c r="N170" s="17" t="s">
        <v>617</v>
      </c>
      <c r="O170" s="89">
        <v>45505</v>
      </c>
      <c r="P170" s="446">
        <v>47300</v>
      </c>
      <c r="Q170" s="447" t="s">
        <v>81</v>
      </c>
      <c r="R170" s="116" t="s">
        <v>457</v>
      </c>
      <c r="S170" s="25" t="s">
        <v>149</v>
      </c>
      <c r="T170" s="209">
        <v>20000</v>
      </c>
      <c r="U170" s="425">
        <v>46106</v>
      </c>
      <c r="V170" s="91">
        <v>46184</v>
      </c>
      <c r="W170" s="14" t="s">
        <v>1573</v>
      </c>
      <c r="X170" s="141"/>
      <c r="Y170" s="145"/>
      <c r="Z170" s="88" t="s">
        <v>1574</v>
      </c>
      <c r="AA170" s="89"/>
      <c r="AB170" s="17" t="s">
        <v>1575</v>
      </c>
      <c r="AC170" s="90"/>
      <c r="AD170" s="90"/>
      <c r="AE170" s="90"/>
      <c r="AF170" s="90"/>
      <c r="AG170" s="17"/>
      <c r="AH170" s="17"/>
      <c r="AI170" s="140"/>
      <c r="AJ170" s="151"/>
      <c r="AK170" s="264" t="s">
        <v>854</v>
      </c>
      <c r="AL170" s="179" t="s">
        <v>89</v>
      </c>
      <c r="AM170" s="448" t="s">
        <v>1576</v>
      </c>
      <c r="AN170" s="67" t="s">
        <v>1577</v>
      </c>
      <c r="AO170" s="123"/>
      <c r="AP170" s="43" t="s">
        <v>1578</v>
      </c>
      <c r="AQ170" s="35" t="s">
        <v>1579</v>
      </c>
      <c r="AR170" s="35" t="s">
        <v>1580</v>
      </c>
      <c r="AS170" s="35"/>
      <c r="AT170" s="35"/>
      <c r="AU170" s="35"/>
      <c r="AV170" s="35"/>
      <c r="AW170" s="35"/>
      <c r="AX170" s="104"/>
      <c r="AY170" s="104"/>
      <c r="AZ170" s="104"/>
      <c r="BA170" s="104"/>
      <c r="BB170" s="104"/>
      <c r="BC170" s="186"/>
    </row>
    <row r="171" spans="1:55" ht="47.25" customHeight="1">
      <c r="A171" s="70"/>
      <c r="B171" s="22">
        <v>169</v>
      </c>
      <c r="C171" s="44" t="s">
        <v>54</v>
      </c>
      <c r="D171" s="136" t="s">
        <v>55</v>
      </c>
      <c r="E171" s="111" t="s">
        <v>1581</v>
      </c>
      <c r="F171" s="282" t="s">
        <v>1582</v>
      </c>
      <c r="G171" s="88" t="s">
        <v>1583</v>
      </c>
      <c r="H171" s="88" t="s">
        <v>1584</v>
      </c>
      <c r="I171" s="88"/>
      <c r="J171" s="22" t="s">
        <v>261</v>
      </c>
      <c r="K171" s="89">
        <v>34888</v>
      </c>
      <c r="L171" s="22">
        <f t="shared" ca="1" si="1"/>
        <v>30</v>
      </c>
      <c r="M171" s="22" t="s">
        <v>134</v>
      </c>
      <c r="N171" s="17" t="s">
        <v>471</v>
      </c>
      <c r="O171" s="449">
        <v>45525</v>
      </c>
      <c r="P171" s="446">
        <v>47331</v>
      </c>
      <c r="Q171" s="49" t="s">
        <v>81</v>
      </c>
      <c r="R171" s="35" t="s">
        <v>472</v>
      </c>
      <c r="S171" s="25" t="s">
        <v>82</v>
      </c>
      <c r="T171" s="257">
        <v>15000</v>
      </c>
      <c r="U171" s="162">
        <v>45385</v>
      </c>
      <c r="V171" s="30">
        <v>45888</v>
      </c>
      <c r="W171" s="9" t="s">
        <v>1585</v>
      </c>
      <c r="X171" s="141"/>
      <c r="Y171" s="335">
        <v>45512</v>
      </c>
      <c r="Z171" s="423" t="s">
        <v>1586</v>
      </c>
      <c r="AA171" s="89"/>
      <c r="AB171" s="17" t="s">
        <v>1539</v>
      </c>
      <c r="AC171" s="90"/>
      <c r="AD171" s="90"/>
      <c r="AE171" s="90">
        <v>45716</v>
      </c>
      <c r="AF171" s="90">
        <v>45750</v>
      </c>
      <c r="AG171" s="89"/>
      <c r="AH171" s="17" t="s">
        <v>67</v>
      </c>
      <c r="AI171" s="86">
        <v>45881</v>
      </c>
      <c r="AJ171" s="216" t="s">
        <v>600</v>
      </c>
      <c r="AK171" s="17"/>
      <c r="AL171" s="67"/>
      <c r="AM171" s="82"/>
      <c r="AN171" s="82"/>
      <c r="AO171" s="82"/>
      <c r="AP171" s="82" t="s">
        <v>1587</v>
      </c>
      <c r="AQ171" s="82"/>
      <c r="AR171" s="82"/>
      <c r="AS171" s="82"/>
      <c r="AT171" s="82"/>
      <c r="AU171" s="82"/>
      <c r="AV171" s="82"/>
      <c r="AW171" s="82"/>
      <c r="AX171" s="82"/>
      <c r="AY171" s="82"/>
      <c r="AZ171" s="82"/>
      <c r="BA171" s="82"/>
      <c r="BB171" s="82"/>
      <c r="BC171" s="450"/>
    </row>
    <row r="172" spans="1:55" ht="47.25" customHeight="1">
      <c r="A172" s="264" t="s">
        <v>643</v>
      </c>
      <c r="B172" s="17">
        <v>170</v>
      </c>
      <c r="C172" s="44" t="s">
        <v>54</v>
      </c>
      <c r="D172" s="45" t="s">
        <v>611</v>
      </c>
      <c r="E172" s="111" t="s">
        <v>1588</v>
      </c>
      <c r="F172" s="282" t="s">
        <v>1589</v>
      </c>
      <c r="G172" s="33" t="s">
        <v>1590</v>
      </c>
      <c r="H172" s="28" t="s">
        <v>1591</v>
      </c>
      <c r="I172" s="33" t="s">
        <v>1592</v>
      </c>
      <c r="J172" s="22" t="s">
        <v>261</v>
      </c>
      <c r="K172" s="30">
        <v>37939</v>
      </c>
      <c r="L172" s="22">
        <f t="shared" ca="1" si="1"/>
        <v>22</v>
      </c>
      <c r="M172" s="22" t="s">
        <v>134</v>
      </c>
      <c r="N172" s="22" t="s">
        <v>617</v>
      </c>
      <c r="O172" s="30">
        <v>45594</v>
      </c>
      <c r="P172" s="446">
        <v>47362</v>
      </c>
      <c r="Q172" s="85" t="s">
        <v>81</v>
      </c>
      <c r="R172" s="124" t="s">
        <v>213</v>
      </c>
      <c r="S172" s="111" t="s">
        <v>82</v>
      </c>
      <c r="T172" s="64">
        <v>20000</v>
      </c>
      <c r="U172" s="425">
        <v>45870</v>
      </c>
      <c r="V172" s="89">
        <v>46322</v>
      </c>
      <c r="W172" s="17" t="s">
        <v>1593</v>
      </c>
      <c r="X172" s="9"/>
      <c r="Y172" s="22"/>
      <c r="Z172" s="88" t="s">
        <v>1594</v>
      </c>
      <c r="AA172" s="30"/>
      <c r="AB172" s="30"/>
      <c r="AC172" s="42"/>
      <c r="AD172" s="42"/>
      <c r="AE172" s="42"/>
      <c r="AF172" s="42"/>
      <c r="AG172" s="30"/>
      <c r="AH172" s="22"/>
      <c r="AI172" s="92"/>
      <c r="AJ172" s="168"/>
      <c r="AK172" s="264" t="s">
        <v>650</v>
      </c>
      <c r="AL172" s="67" t="s">
        <v>89</v>
      </c>
      <c r="AM172" s="258"/>
      <c r="AN172" s="82" t="s">
        <v>1595</v>
      </c>
      <c r="AO172" s="123"/>
      <c r="AP172" s="123" t="s">
        <v>1596</v>
      </c>
      <c r="AQ172" s="15"/>
      <c r="AR172" s="15"/>
      <c r="AS172" s="15"/>
      <c r="AT172" s="15"/>
      <c r="AU172" s="15"/>
      <c r="AV172" s="15"/>
      <c r="AW172" s="15"/>
      <c r="AX172" s="35"/>
      <c r="AY172" s="35"/>
      <c r="AZ172" s="35"/>
      <c r="BA172" s="35"/>
      <c r="BB172" s="35"/>
      <c r="BC172" s="62"/>
    </row>
    <row r="173" spans="1:55" ht="47.25" customHeight="1">
      <c r="A173" s="264" t="s">
        <v>643</v>
      </c>
      <c r="B173" s="17">
        <v>171</v>
      </c>
      <c r="C173" s="44" t="s">
        <v>54</v>
      </c>
      <c r="D173" s="45" t="s">
        <v>611</v>
      </c>
      <c r="E173" s="111" t="s">
        <v>1597</v>
      </c>
      <c r="F173" s="282" t="s">
        <v>1598</v>
      </c>
      <c r="G173" s="33" t="s">
        <v>1599</v>
      </c>
      <c r="H173" s="28" t="s">
        <v>1600</v>
      </c>
      <c r="I173" s="33" t="s">
        <v>1601</v>
      </c>
      <c r="J173" s="22" t="s">
        <v>261</v>
      </c>
      <c r="K173" s="30">
        <v>38626</v>
      </c>
      <c r="L173" s="22">
        <f t="shared" ca="1" si="1"/>
        <v>20</v>
      </c>
      <c r="M173" s="22" t="s">
        <v>134</v>
      </c>
      <c r="N173" s="22" t="s">
        <v>617</v>
      </c>
      <c r="O173" s="30">
        <v>45594</v>
      </c>
      <c r="P173" s="446">
        <v>47362</v>
      </c>
      <c r="Q173" s="85" t="s">
        <v>81</v>
      </c>
      <c r="R173" s="124" t="s">
        <v>213</v>
      </c>
      <c r="S173" s="111" t="s">
        <v>82</v>
      </c>
      <c r="T173" s="64">
        <v>20000</v>
      </c>
      <c r="U173" s="425">
        <v>45870</v>
      </c>
      <c r="V173" s="30">
        <v>46322</v>
      </c>
      <c r="W173" s="9" t="s">
        <v>1602</v>
      </c>
      <c r="X173" s="9"/>
      <c r="Y173" s="22"/>
      <c r="Z173" s="88" t="s">
        <v>1603</v>
      </c>
      <c r="AA173" s="30">
        <v>45992</v>
      </c>
      <c r="AB173" s="30"/>
      <c r="AC173" s="42"/>
      <c r="AD173" s="42"/>
      <c r="AE173" s="42"/>
      <c r="AF173" s="42"/>
      <c r="AG173" s="30"/>
      <c r="AH173" s="22"/>
      <c r="AI173" s="92"/>
      <c r="AJ173" s="168"/>
      <c r="AK173" s="264" t="s">
        <v>650</v>
      </c>
      <c r="AL173" s="67" t="s">
        <v>248</v>
      </c>
      <c r="AM173" s="304">
        <v>45592</v>
      </c>
      <c r="AN173" s="67" t="s">
        <v>1604</v>
      </c>
      <c r="AO173" s="123"/>
      <c r="AP173" s="123" t="s">
        <v>1596</v>
      </c>
      <c r="AQ173" s="144"/>
      <c r="AR173" s="144"/>
      <c r="AS173" s="144"/>
      <c r="AT173" s="144"/>
      <c r="AU173" s="144"/>
      <c r="AV173" s="144"/>
      <c r="AW173" s="144"/>
      <c r="AX173" s="116"/>
      <c r="AY173" s="116"/>
      <c r="AZ173" s="116"/>
      <c r="BA173" s="116"/>
      <c r="BB173" s="116"/>
      <c r="BC173" s="62"/>
    </row>
    <row r="174" spans="1:55" ht="46.5" customHeight="1">
      <c r="A174" s="264" t="s">
        <v>643</v>
      </c>
      <c r="B174" s="17">
        <v>172</v>
      </c>
      <c r="C174" s="44" t="s">
        <v>54</v>
      </c>
      <c r="D174" s="45" t="s">
        <v>611</v>
      </c>
      <c r="E174" s="111" t="s">
        <v>1605</v>
      </c>
      <c r="F174" s="282" t="s">
        <v>1606</v>
      </c>
      <c r="G174" s="33" t="s">
        <v>1607</v>
      </c>
      <c r="H174" s="28" t="s">
        <v>1608</v>
      </c>
      <c r="I174" s="33" t="s">
        <v>1609</v>
      </c>
      <c r="J174" s="22" t="s">
        <v>261</v>
      </c>
      <c r="K174" s="30">
        <v>35739</v>
      </c>
      <c r="L174" s="22">
        <f t="shared" ca="1" si="1"/>
        <v>28</v>
      </c>
      <c r="M174" s="22" t="s">
        <v>134</v>
      </c>
      <c r="N174" s="22" t="s">
        <v>617</v>
      </c>
      <c r="O174" s="30">
        <v>45594</v>
      </c>
      <c r="P174" s="446">
        <v>47362</v>
      </c>
      <c r="Q174" s="85" t="s">
        <v>81</v>
      </c>
      <c r="R174" s="124" t="s">
        <v>553</v>
      </c>
      <c r="S174" s="158" t="s">
        <v>82</v>
      </c>
      <c r="T174" s="209">
        <v>15000</v>
      </c>
      <c r="U174" s="425">
        <v>45870</v>
      </c>
      <c r="V174" s="30">
        <v>46322</v>
      </c>
      <c r="W174" s="9" t="s">
        <v>1610</v>
      </c>
      <c r="X174" s="9"/>
      <c r="Y174" s="22"/>
      <c r="Z174" s="88" t="s">
        <v>1611</v>
      </c>
      <c r="AA174" s="30"/>
      <c r="AB174" s="30"/>
      <c r="AC174" s="42"/>
      <c r="AD174" s="42"/>
      <c r="AE174" s="42"/>
      <c r="AF174" s="42"/>
      <c r="AG174" s="30"/>
      <c r="AH174" s="22"/>
      <c r="AI174" s="92"/>
      <c r="AJ174" s="168"/>
      <c r="AK174" s="264" t="s">
        <v>650</v>
      </c>
      <c r="AL174" s="67" t="s">
        <v>265</v>
      </c>
      <c r="AM174" s="258"/>
      <c r="AN174" s="67" t="s">
        <v>265</v>
      </c>
      <c r="AO174" s="123"/>
      <c r="AP174" s="123"/>
      <c r="AQ174" s="43" t="s">
        <v>1612</v>
      </c>
      <c r="AR174" s="43"/>
      <c r="AS174" s="43"/>
      <c r="AT174" s="43"/>
      <c r="AU174" s="43"/>
      <c r="AV174" s="43"/>
      <c r="AW174" s="43"/>
      <c r="AX174" s="35"/>
      <c r="AY174" s="35"/>
      <c r="AZ174" s="35"/>
      <c r="BA174" s="35"/>
      <c r="BB174" s="35"/>
      <c r="BC174" s="276"/>
    </row>
    <row r="175" spans="1:55" ht="42" customHeight="1">
      <c r="A175" s="264" t="s">
        <v>643</v>
      </c>
      <c r="B175" s="17">
        <v>173</v>
      </c>
      <c r="C175" s="44" t="s">
        <v>54</v>
      </c>
      <c r="D175" s="45" t="s">
        <v>611</v>
      </c>
      <c r="E175" s="111" t="s">
        <v>1613</v>
      </c>
      <c r="F175" s="282" t="s">
        <v>1614</v>
      </c>
      <c r="G175" s="33" t="s">
        <v>1615</v>
      </c>
      <c r="H175" s="28" t="s">
        <v>1616</v>
      </c>
      <c r="I175" s="33" t="s">
        <v>1617</v>
      </c>
      <c r="J175" s="22" t="s">
        <v>261</v>
      </c>
      <c r="K175" s="30">
        <v>36905</v>
      </c>
      <c r="L175" s="22">
        <f t="shared" ca="1" si="1"/>
        <v>25</v>
      </c>
      <c r="M175" s="22" t="s">
        <v>134</v>
      </c>
      <c r="N175" s="22" t="s">
        <v>617</v>
      </c>
      <c r="O175" s="30">
        <v>45594</v>
      </c>
      <c r="P175" s="446">
        <v>47362</v>
      </c>
      <c r="Q175" s="85" t="s">
        <v>81</v>
      </c>
      <c r="R175" s="124" t="s">
        <v>1129</v>
      </c>
      <c r="S175" s="158" t="s">
        <v>82</v>
      </c>
      <c r="T175" s="209">
        <v>15000</v>
      </c>
      <c r="U175" s="425">
        <v>45870</v>
      </c>
      <c r="V175" s="30">
        <v>46322</v>
      </c>
      <c r="W175" s="9" t="s">
        <v>1618</v>
      </c>
      <c r="X175" s="9"/>
      <c r="Y175" s="22"/>
      <c r="Z175" s="88" t="s">
        <v>1619</v>
      </c>
      <c r="AA175" s="30">
        <v>46085</v>
      </c>
      <c r="AB175" s="166"/>
      <c r="AC175" s="42"/>
      <c r="AD175" s="42"/>
      <c r="AE175" s="72">
        <v>46148</v>
      </c>
      <c r="AF175" s="72">
        <v>46179</v>
      </c>
      <c r="AG175" s="30"/>
      <c r="AH175" s="22" t="s">
        <v>680</v>
      </c>
      <c r="AI175" s="92"/>
      <c r="AJ175" s="168"/>
      <c r="AK175" s="264" t="s">
        <v>650</v>
      </c>
      <c r="AL175" s="67" t="s">
        <v>89</v>
      </c>
      <c r="AM175" s="258"/>
      <c r="AN175" s="82" t="s">
        <v>1595</v>
      </c>
      <c r="AO175" s="123"/>
      <c r="AP175" s="43" t="s">
        <v>1620</v>
      </c>
      <c r="AQ175" s="123" t="s">
        <v>1621</v>
      </c>
      <c r="AR175" s="123"/>
      <c r="AS175" s="123"/>
      <c r="AT175" s="123"/>
      <c r="AU175" s="123"/>
      <c r="AV175" s="123"/>
      <c r="AW175" s="123"/>
      <c r="AX175" s="43"/>
      <c r="AY175" s="43"/>
      <c r="AZ175" s="43"/>
      <c r="BA175" s="43"/>
      <c r="BB175" s="43"/>
      <c r="BC175" s="186"/>
    </row>
    <row r="176" spans="1:55" ht="44.25" customHeight="1">
      <c r="A176" s="264" t="s">
        <v>643</v>
      </c>
      <c r="B176" s="17">
        <v>174</v>
      </c>
      <c r="C176" s="44" t="s">
        <v>54</v>
      </c>
      <c r="D176" s="136" t="s">
        <v>611</v>
      </c>
      <c r="E176" s="111" t="s">
        <v>1622</v>
      </c>
      <c r="F176" s="282" t="s">
        <v>1623</v>
      </c>
      <c r="G176" s="88" t="s">
        <v>1624</v>
      </c>
      <c r="H176" s="137" t="s">
        <v>1625</v>
      </c>
      <c r="I176" s="88" t="s">
        <v>1626</v>
      </c>
      <c r="J176" s="17" t="s">
        <v>261</v>
      </c>
      <c r="K176" s="89">
        <v>38502</v>
      </c>
      <c r="L176" s="22">
        <f t="shared" ca="1" si="1"/>
        <v>20</v>
      </c>
      <c r="M176" s="17" t="s">
        <v>134</v>
      </c>
      <c r="N176" s="17" t="s">
        <v>617</v>
      </c>
      <c r="O176" s="89">
        <v>45587</v>
      </c>
      <c r="P176" s="446">
        <v>47362</v>
      </c>
      <c r="Q176" s="113" t="s">
        <v>81</v>
      </c>
      <c r="R176" s="124" t="s">
        <v>213</v>
      </c>
      <c r="S176" s="111" t="s">
        <v>82</v>
      </c>
      <c r="T176" s="64">
        <v>20000</v>
      </c>
      <c r="U176" s="425">
        <v>45870</v>
      </c>
      <c r="V176" s="89">
        <v>46315</v>
      </c>
      <c r="W176" s="141" t="s">
        <v>1627</v>
      </c>
      <c r="X176" s="141"/>
      <c r="Y176" s="17"/>
      <c r="Z176" s="88" t="s">
        <v>1628</v>
      </c>
      <c r="AA176" s="89"/>
      <c r="AB176" s="166"/>
      <c r="AC176" s="90"/>
      <c r="AD176" s="90"/>
      <c r="AE176" s="90"/>
      <c r="AF176" s="90"/>
      <c r="AG176" s="89"/>
      <c r="AH176" s="17"/>
      <c r="AI176" s="86"/>
      <c r="AJ176" s="142"/>
      <c r="AK176" s="264" t="s">
        <v>650</v>
      </c>
      <c r="AL176" s="451" t="s">
        <v>89</v>
      </c>
      <c r="AM176" s="452"/>
      <c r="AN176" s="320" t="s">
        <v>1595</v>
      </c>
      <c r="AO176" s="123"/>
      <c r="AP176" s="123" t="s">
        <v>1596</v>
      </c>
      <c r="AQ176" s="123"/>
      <c r="AR176" s="123"/>
      <c r="AS176" s="123"/>
      <c r="AT176" s="123" t="s">
        <v>1629</v>
      </c>
      <c r="AU176" s="123"/>
      <c r="AV176" s="123"/>
      <c r="AW176" s="123"/>
      <c r="AX176" s="168"/>
      <c r="AY176" s="168"/>
      <c r="AZ176" s="168"/>
      <c r="BA176" s="168"/>
      <c r="BB176" s="168"/>
      <c r="BC176" s="186"/>
    </row>
    <row r="177" spans="1:55" ht="44.25" customHeight="1">
      <c r="A177" s="264" t="s">
        <v>643</v>
      </c>
      <c r="B177" s="17">
        <v>175</v>
      </c>
      <c r="C177" s="44" t="s">
        <v>54</v>
      </c>
      <c r="D177" s="45" t="s">
        <v>611</v>
      </c>
      <c r="E177" s="111" t="s">
        <v>1630</v>
      </c>
      <c r="F177" s="282" t="s">
        <v>1631</v>
      </c>
      <c r="G177" s="33" t="s">
        <v>1632</v>
      </c>
      <c r="H177" s="28" t="s">
        <v>1633</v>
      </c>
      <c r="I177" s="33" t="s">
        <v>1634</v>
      </c>
      <c r="J177" s="22" t="s">
        <v>261</v>
      </c>
      <c r="K177" s="30">
        <v>37146</v>
      </c>
      <c r="L177" s="22">
        <f t="shared" ca="1" si="1"/>
        <v>24</v>
      </c>
      <c r="M177" s="22" t="s">
        <v>134</v>
      </c>
      <c r="N177" s="22" t="s">
        <v>617</v>
      </c>
      <c r="O177" s="30">
        <v>45594</v>
      </c>
      <c r="P177" s="446">
        <v>47362</v>
      </c>
      <c r="Q177" s="85" t="s">
        <v>81</v>
      </c>
      <c r="R177" s="16" t="s">
        <v>1635</v>
      </c>
      <c r="S177" s="111" t="s">
        <v>82</v>
      </c>
      <c r="T177" s="64">
        <v>15000</v>
      </c>
      <c r="U177" s="425">
        <v>45870</v>
      </c>
      <c r="V177" s="30">
        <v>46322</v>
      </c>
      <c r="W177" s="9" t="s">
        <v>1636</v>
      </c>
      <c r="X177" s="9"/>
      <c r="Y177" s="22"/>
      <c r="Z177" s="88" t="s">
        <v>1637</v>
      </c>
      <c r="AA177" s="22"/>
      <c r="AB177" s="166"/>
      <c r="AC177" s="42"/>
      <c r="AD177" s="42"/>
      <c r="AE177" s="42"/>
      <c r="AF177" s="42"/>
      <c r="AG177" s="30"/>
      <c r="AH177" s="22"/>
      <c r="AI177" s="92"/>
      <c r="AJ177" s="168"/>
      <c r="AK177" s="264" t="s">
        <v>650</v>
      </c>
      <c r="AL177" s="67" t="s">
        <v>89</v>
      </c>
      <c r="AM177" s="304">
        <v>45592</v>
      </c>
      <c r="AN177" s="82" t="s">
        <v>1595</v>
      </c>
      <c r="AO177" s="123"/>
      <c r="AP177" s="123" t="s">
        <v>1638</v>
      </c>
      <c r="AQ177" s="123"/>
      <c r="AR177" s="123"/>
      <c r="AS177" s="123"/>
      <c r="AT177" s="123"/>
      <c r="AU177" s="123"/>
      <c r="AV177" s="123"/>
      <c r="AW177" s="123"/>
      <c r="AX177" s="168"/>
      <c r="AY177" s="168"/>
      <c r="AZ177" s="168"/>
      <c r="BA177" s="168"/>
      <c r="BB177" s="168"/>
      <c r="BC177" s="186"/>
    </row>
    <row r="178" spans="1:55" ht="44.25" customHeight="1">
      <c r="A178" s="264" t="s">
        <v>643</v>
      </c>
      <c r="B178" s="17">
        <v>176</v>
      </c>
      <c r="C178" s="44" t="s">
        <v>54</v>
      </c>
      <c r="D178" s="45" t="s">
        <v>611</v>
      </c>
      <c r="E178" s="111" t="s">
        <v>1639</v>
      </c>
      <c r="F178" s="282" t="s">
        <v>1640</v>
      </c>
      <c r="G178" s="33" t="s">
        <v>1641</v>
      </c>
      <c r="H178" s="28" t="s">
        <v>1642</v>
      </c>
      <c r="I178" s="33" t="s">
        <v>1643</v>
      </c>
      <c r="J178" s="22" t="s">
        <v>261</v>
      </c>
      <c r="K178" s="30">
        <v>35582</v>
      </c>
      <c r="L178" s="22">
        <f t="shared" ca="1" si="1"/>
        <v>28</v>
      </c>
      <c r="M178" s="22" t="s">
        <v>79</v>
      </c>
      <c r="N178" s="22" t="s">
        <v>617</v>
      </c>
      <c r="O178" s="30">
        <v>45594</v>
      </c>
      <c r="P178" s="446">
        <v>47362</v>
      </c>
      <c r="Q178" s="85" t="s">
        <v>81</v>
      </c>
      <c r="R178" s="453" t="s">
        <v>553</v>
      </c>
      <c r="S178" s="158" t="s">
        <v>82</v>
      </c>
      <c r="T178" s="209">
        <v>15000</v>
      </c>
      <c r="U178" s="425">
        <v>45870</v>
      </c>
      <c r="V178" s="30">
        <v>46322</v>
      </c>
      <c r="W178" s="9" t="s">
        <v>1644</v>
      </c>
      <c r="X178" s="9"/>
      <c r="Y178" s="22"/>
      <c r="Z178" s="88" t="s">
        <v>1645</v>
      </c>
      <c r="AA178" s="103" t="s">
        <v>1646</v>
      </c>
      <c r="AB178" s="166"/>
      <c r="AC178" s="42"/>
      <c r="AD178" s="42"/>
      <c r="AE178" s="42"/>
      <c r="AF178" s="42"/>
      <c r="AG178" s="30"/>
      <c r="AH178" s="22" t="s">
        <v>67</v>
      </c>
      <c r="AI178" s="92">
        <v>46073</v>
      </c>
      <c r="AJ178" s="168" t="s">
        <v>329</v>
      </c>
      <c r="AK178" s="264" t="s">
        <v>650</v>
      </c>
      <c r="AL178" s="258"/>
      <c r="AM178" s="258"/>
      <c r="AN178" s="123"/>
      <c r="AO178" s="123"/>
      <c r="AP178" s="43" t="s">
        <v>1647</v>
      </c>
      <c r="AQ178" s="123" t="s">
        <v>1648</v>
      </c>
      <c r="AR178" s="123"/>
      <c r="AS178" s="123"/>
      <c r="AT178" s="123"/>
      <c r="AU178" s="123"/>
      <c r="AV178" s="123"/>
      <c r="AW178" s="123"/>
      <c r="AX178" s="123"/>
      <c r="AY178" s="123"/>
      <c r="AZ178" s="123"/>
      <c r="BA178" s="123"/>
      <c r="BB178" s="123"/>
      <c r="BC178" s="186"/>
    </row>
    <row r="179" spans="1:55" ht="44.25" customHeight="1">
      <c r="A179" s="264" t="s">
        <v>643</v>
      </c>
      <c r="B179" s="17">
        <v>177</v>
      </c>
      <c r="C179" s="44" t="s">
        <v>54</v>
      </c>
      <c r="D179" s="45" t="s">
        <v>611</v>
      </c>
      <c r="E179" s="111" t="s">
        <v>1649</v>
      </c>
      <c r="F179" s="282" t="s">
        <v>1650</v>
      </c>
      <c r="G179" s="33" t="s">
        <v>1651</v>
      </c>
      <c r="H179" s="28" t="s">
        <v>1652</v>
      </c>
      <c r="I179" s="33" t="s">
        <v>1653</v>
      </c>
      <c r="J179" s="22" t="s">
        <v>261</v>
      </c>
      <c r="K179" s="30">
        <v>37878</v>
      </c>
      <c r="L179" s="22">
        <f t="shared" ca="1" si="1"/>
        <v>22</v>
      </c>
      <c r="M179" s="22" t="s">
        <v>134</v>
      </c>
      <c r="N179" s="22" t="s">
        <v>617</v>
      </c>
      <c r="O179" s="30">
        <v>45594</v>
      </c>
      <c r="P179" s="446">
        <v>47362</v>
      </c>
      <c r="Q179" s="85" t="s">
        <v>81</v>
      </c>
      <c r="R179" s="124" t="s">
        <v>1635</v>
      </c>
      <c r="S179" s="111" t="s">
        <v>82</v>
      </c>
      <c r="T179" s="64">
        <v>15000</v>
      </c>
      <c r="U179" s="425">
        <v>45870</v>
      </c>
      <c r="V179" s="30">
        <v>46322</v>
      </c>
      <c r="W179" s="9" t="s">
        <v>1654</v>
      </c>
      <c r="X179" s="166"/>
      <c r="Y179" s="22"/>
      <c r="Z179" s="88" t="s">
        <v>1655</v>
      </c>
      <c r="AA179" s="22" t="s">
        <v>1656</v>
      </c>
      <c r="AB179" s="166"/>
      <c r="AC179" s="42"/>
      <c r="AD179" s="42"/>
      <c r="AE179" s="42"/>
      <c r="AF179" s="42"/>
      <c r="AG179" s="30"/>
      <c r="AH179" s="22"/>
      <c r="AI179" s="92"/>
      <c r="AJ179" s="168"/>
      <c r="AK179" s="264" t="s">
        <v>650</v>
      </c>
      <c r="AL179" s="258"/>
      <c r="AM179" s="258"/>
      <c r="AN179" s="123"/>
      <c r="AO179" s="123"/>
      <c r="AP179" s="123" t="s">
        <v>1638</v>
      </c>
      <c r="AQ179" s="123"/>
      <c r="AR179" s="123"/>
      <c r="AS179" s="123"/>
      <c r="AT179" s="123"/>
      <c r="AU179" s="123"/>
      <c r="AV179" s="123"/>
      <c r="AW179" s="123"/>
      <c r="AX179" s="168"/>
      <c r="AY179" s="168"/>
      <c r="AZ179" s="168"/>
      <c r="BA179" s="168"/>
      <c r="BB179" s="168"/>
      <c r="BC179" s="186"/>
    </row>
    <row r="180" spans="1:55" ht="44.25" customHeight="1">
      <c r="A180" s="264" t="s">
        <v>643</v>
      </c>
      <c r="B180" s="17">
        <v>178</v>
      </c>
      <c r="C180" s="44" t="s">
        <v>54</v>
      </c>
      <c r="D180" s="136" t="s">
        <v>611</v>
      </c>
      <c r="E180" s="111" t="s">
        <v>1657</v>
      </c>
      <c r="F180" s="282" t="s">
        <v>1658</v>
      </c>
      <c r="G180" s="88" t="s">
        <v>1659</v>
      </c>
      <c r="H180" s="137" t="s">
        <v>1660</v>
      </c>
      <c r="I180" s="88" t="s">
        <v>1661</v>
      </c>
      <c r="J180" s="17" t="s">
        <v>261</v>
      </c>
      <c r="K180" s="89">
        <v>38317</v>
      </c>
      <c r="L180" s="22">
        <f t="shared" ca="1" si="1"/>
        <v>21</v>
      </c>
      <c r="M180" s="17" t="s">
        <v>134</v>
      </c>
      <c r="N180" s="17" t="s">
        <v>617</v>
      </c>
      <c r="O180" s="89">
        <v>45587</v>
      </c>
      <c r="P180" s="446">
        <v>47362</v>
      </c>
      <c r="Q180" s="113" t="s">
        <v>81</v>
      </c>
      <c r="R180" s="124" t="s">
        <v>1635</v>
      </c>
      <c r="S180" s="111" t="s">
        <v>82</v>
      </c>
      <c r="T180" s="64">
        <v>15000</v>
      </c>
      <c r="U180" s="425">
        <v>45870</v>
      </c>
      <c r="V180" s="89">
        <v>46315</v>
      </c>
      <c r="W180" s="141" t="s">
        <v>1662</v>
      </c>
      <c r="X180" s="166"/>
      <c r="Y180" s="17"/>
      <c r="Z180" s="88" t="s">
        <v>1663</v>
      </c>
      <c r="AA180" s="89"/>
      <c r="AB180" s="166"/>
      <c r="AC180" s="90"/>
      <c r="AD180" s="90"/>
      <c r="AE180" s="90"/>
      <c r="AF180" s="90"/>
      <c r="AG180" s="89"/>
      <c r="AH180" s="17"/>
      <c r="AI180" s="86"/>
      <c r="AJ180" s="142"/>
      <c r="AK180" s="264" t="s">
        <v>650</v>
      </c>
      <c r="AL180" s="451" t="s">
        <v>89</v>
      </c>
      <c r="AM180" s="452"/>
      <c r="AN180" s="320" t="s">
        <v>1595</v>
      </c>
      <c r="AO180" s="123"/>
      <c r="AP180" s="123" t="s">
        <v>1638</v>
      </c>
      <c r="AQ180" s="123"/>
      <c r="AR180" s="123"/>
      <c r="AS180" s="123"/>
      <c r="AT180" s="123"/>
      <c r="AU180" s="123"/>
      <c r="AV180" s="123"/>
      <c r="AW180" s="123"/>
      <c r="AX180" s="168"/>
      <c r="AY180" s="168"/>
      <c r="AZ180" s="168"/>
      <c r="BA180" s="168"/>
      <c r="BB180" s="168"/>
      <c r="BC180" s="186"/>
    </row>
    <row r="181" spans="1:55" ht="44.25" customHeight="1">
      <c r="A181" s="264" t="s">
        <v>643</v>
      </c>
      <c r="B181" s="17">
        <v>179</v>
      </c>
      <c r="C181" s="44" t="s">
        <v>54</v>
      </c>
      <c r="D181" s="45" t="s">
        <v>611</v>
      </c>
      <c r="E181" s="111" t="s">
        <v>1664</v>
      </c>
      <c r="F181" s="282" t="s">
        <v>1665</v>
      </c>
      <c r="G181" s="33" t="s">
        <v>1666</v>
      </c>
      <c r="H181" s="28" t="s">
        <v>1667</v>
      </c>
      <c r="I181" s="33" t="s">
        <v>1666</v>
      </c>
      <c r="J181" s="22" t="s">
        <v>261</v>
      </c>
      <c r="K181" s="30">
        <v>37084</v>
      </c>
      <c r="L181" s="22">
        <f t="shared" ca="1" si="1"/>
        <v>24</v>
      </c>
      <c r="M181" s="22" t="s">
        <v>134</v>
      </c>
      <c r="N181" s="22" t="s">
        <v>617</v>
      </c>
      <c r="O181" s="30">
        <v>45594</v>
      </c>
      <c r="P181" s="446">
        <v>47362</v>
      </c>
      <c r="Q181" s="85" t="s">
        <v>81</v>
      </c>
      <c r="R181" s="124" t="s">
        <v>272</v>
      </c>
      <c r="S181" s="158" t="s">
        <v>82</v>
      </c>
      <c r="T181" s="209">
        <v>15000</v>
      </c>
      <c r="U181" s="425">
        <v>45521</v>
      </c>
      <c r="V181" s="30">
        <v>45957</v>
      </c>
      <c r="W181" s="9" t="s">
        <v>1668</v>
      </c>
      <c r="X181" s="166"/>
      <c r="Y181" s="22"/>
      <c r="Z181" s="88" t="s">
        <v>1669</v>
      </c>
      <c r="AA181" s="30">
        <v>45950</v>
      </c>
      <c r="AB181" s="30"/>
      <c r="AC181" s="42"/>
      <c r="AD181" s="42"/>
      <c r="AE181" s="42"/>
      <c r="AF181" s="42"/>
      <c r="AG181" s="30"/>
      <c r="AH181" s="22" t="s">
        <v>67</v>
      </c>
      <c r="AI181" s="454">
        <v>45950</v>
      </c>
      <c r="AJ181" s="168" t="s">
        <v>600</v>
      </c>
      <c r="AK181" s="264" t="s">
        <v>650</v>
      </c>
      <c r="AL181" s="258" t="s">
        <v>1604</v>
      </c>
      <c r="AM181" s="258"/>
      <c r="AN181" s="123"/>
      <c r="AO181" s="123"/>
      <c r="AP181" s="43" t="s">
        <v>1670</v>
      </c>
      <c r="AQ181" s="123"/>
      <c r="AR181" s="123"/>
      <c r="AS181" s="123"/>
      <c r="AT181" s="123"/>
      <c r="AU181" s="123"/>
      <c r="AV181" s="123"/>
      <c r="AW181" s="123"/>
      <c r="AX181" s="123"/>
      <c r="AY181" s="123"/>
      <c r="AZ181" s="123"/>
      <c r="BA181" s="123"/>
      <c r="BB181" s="123"/>
      <c r="BC181" s="62"/>
    </row>
    <row r="182" spans="1:55" ht="44.25" customHeight="1">
      <c r="A182" s="264" t="s">
        <v>643</v>
      </c>
      <c r="B182" s="17">
        <v>180</v>
      </c>
      <c r="C182" s="44" t="s">
        <v>54</v>
      </c>
      <c r="D182" s="45" t="s">
        <v>611</v>
      </c>
      <c r="E182" s="111" t="s">
        <v>1671</v>
      </c>
      <c r="F182" s="282" t="s">
        <v>1672</v>
      </c>
      <c r="G182" s="33" t="s">
        <v>1673</v>
      </c>
      <c r="H182" s="28" t="s">
        <v>1674</v>
      </c>
      <c r="I182" s="33" t="s">
        <v>1675</v>
      </c>
      <c r="J182" s="22" t="s">
        <v>60</v>
      </c>
      <c r="K182" s="30">
        <v>36077</v>
      </c>
      <c r="L182" s="22">
        <f t="shared" ca="1" si="1"/>
        <v>27</v>
      </c>
      <c r="M182" s="22" t="s">
        <v>134</v>
      </c>
      <c r="N182" s="22" t="s">
        <v>617</v>
      </c>
      <c r="O182" s="30">
        <v>45594</v>
      </c>
      <c r="P182" s="446">
        <v>47362</v>
      </c>
      <c r="Q182" s="85" t="s">
        <v>81</v>
      </c>
      <c r="R182" s="15" t="s">
        <v>1676</v>
      </c>
      <c r="S182" s="111" t="s">
        <v>82</v>
      </c>
      <c r="T182" s="64">
        <v>20000</v>
      </c>
      <c r="U182" s="425">
        <v>45870</v>
      </c>
      <c r="V182" s="89">
        <v>46322</v>
      </c>
      <c r="W182" s="141" t="s">
        <v>1677</v>
      </c>
      <c r="X182" s="166"/>
      <c r="Y182" s="22"/>
      <c r="Z182" s="88" t="s">
        <v>1678</v>
      </c>
      <c r="AA182" s="30"/>
      <c r="AB182" s="30"/>
      <c r="AC182" s="42"/>
      <c r="AD182" s="42"/>
      <c r="AE182" s="42"/>
      <c r="AF182" s="42"/>
      <c r="AG182" s="30"/>
      <c r="AH182" s="22" t="s">
        <v>67</v>
      </c>
      <c r="AI182" s="455">
        <v>46011</v>
      </c>
      <c r="AJ182" s="456" t="s">
        <v>1679</v>
      </c>
      <c r="AK182" s="264" t="s">
        <v>650</v>
      </c>
      <c r="AL182" s="67" t="s">
        <v>265</v>
      </c>
      <c r="AM182" s="304">
        <v>45592</v>
      </c>
      <c r="AN182" s="82"/>
      <c r="AO182" s="123"/>
      <c r="AP182" s="43" t="s">
        <v>1680</v>
      </c>
      <c r="AQ182" s="123"/>
      <c r="AR182" s="123"/>
      <c r="AS182" s="123"/>
      <c r="AT182" s="123"/>
      <c r="AU182" s="123"/>
      <c r="AV182" s="123"/>
      <c r="AW182" s="123"/>
      <c r="AX182" s="123"/>
      <c r="AY182" s="123"/>
      <c r="AZ182" s="123"/>
      <c r="BA182" s="123"/>
      <c r="BB182" s="123"/>
      <c r="BC182" s="62"/>
    </row>
    <row r="183" spans="1:55" ht="44.25" customHeight="1">
      <c r="A183" s="264" t="s">
        <v>643</v>
      </c>
      <c r="B183" s="17">
        <v>181</v>
      </c>
      <c r="C183" s="44" t="s">
        <v>54</v>
      </c>
      <c r="D183" s="45" t="s">
        <v>611</v>
      </c>
      <c r="E183" s="111" t="s">
        <v>1681</v>
      </c>
      <c r="F183" s="282" t="s">
        <v>1682</v>
      </c>
      <c r="G183" s="33" t="s">
        <v>1683</v>
      </c>
      <c r="H183" s="28" t="s">
        <v>1684</v>
      </c>
      <c r="I183" s="33" t="s">
        <v>1685</v>
      </c>
      <c r="J183" s="22" t="s">
        <v>60</v>
      </c>
      <c r="K183" s="30">
        <v>38268</v>
      </c>
      <c r="L183" s="22">
        <f t="shared" ca="1" si="1"/>
        <v>21</v>
      </c>
      <c r="M183" s="22" t="s">
        <v>134</v>
      </c>
      <c r="N183" s="22" t="s">
        <v>617</v>
      </c>
      <c r="O183" s="299">
        <v>45594</v>
      </c>
      <c r="P183" s="446">
        <v>47362</v>
      </c>
      <c r="Q183" s="85" t="s">
        <v>81</v>
      </c>
      <c r="R183" s="35" t="s">
        <v>1686</v>
      </c>
      <c r="S183" s="404" t="s">
        <v>1687</v>
      </c>
      <c r="T183" s="64">
        <v>10000</v>
      </c>
      <c r="U183" s="425">
        <v>45521</v>
      </c>
      <c r="V183" s="30">
        <v>45957</v>
      </c>
      <c r="W183" s="9" t="s">
        <v>1688</v>
      </c>
      <c r="X183" s="9"/>
      <c r="Y183" s="22"/>
      <c r="Z183" s="88" t="s">
        <v>1689</v>
      </c>
      <c r="AA183" s="30"/>
      <c r="AB183" s="30"/>
      <c r="AC183" s="42"/>
      <c r="AD183" s="42"/>
      <c r="AE183" s="42"/>
      <c r="AF183" s="42"/>
      <c r="AG183" s="30"/>
      <c r="AH183" s="22" t="s">
        <v>67</v>
      </c>
      <c r="AI183" s="92">
        <v>45767</v>
      </c>
      <c r="AJ183" s="168" t="s">
        <v>1690</v>
      </c>
      <c r="AK183" s="264" t="s">
        <v>650</v>
      </c>
      <c r="AL183" s="258"/>
      <c r="AM183" s="123"/>
      <c r="AN183" s="123"/>
      <c r="AO183" s="123"/>
      <c r="AP183" s="123" t="s">
        <v>1691</v>
      </c>
      <c r="AQ183" s="123"/>
      <c r="AR183" s="123"/>
      <c r="AS183" s="123"/>
      <c r="AT183" s="123"/>
      <c r="AU183" s="123"/>
      <c r="AV183" s="123"/>
      <c r="AW183" s="123"/>
      <c r="AX183" s="123"/>
      <c r="AY183" s="123"/>
      <c r="AZ183" s="123"/>
      <c r="BA183" s="123"/>
      <c r="BB183" s="123"/>
      <c r="BC183" s="62"/>
    </row>
    <row r="184" spans="1:55" ht="44.25" customHeight="1">
      <c r="A184" s="264" t="s">
        <v>643</v>
      </c>
      <c r="B184" s="17">
        <v>182</v>
      </c>
      <c r="C184" s="44" t="s">
        <v>54</v>
      </c>
      <c r="D184" s="45" t="s">
        <v>611</v>
      </c>
      <c r="E184" s="111" t="s">
        <v>1692</v>
      </c>
      <c r="F184" s="282" t="s">
        <v>1693</v>
      </c>
      <c r="G184" s="33" t="s">
        <v>1694</v>
      </c>
      <c r="H184" s="28" t="s">
        <v>1695</v>
      </c>
      <c r="I184" s="33" t="s">
        <v>1696</v>
      </c>
      <c r="J184" s="22" t="s">
        <v>60</v>
      </c>
      <c r="K184" s="30">
        <v>38352</v>
      </c>
      <c r="L184" s="22">
        <f t="shared" ca="1" si="1"/>
        <v>21</v>
      </c>
      <c r="M184" s="22" t="s">
        <v>134</v>
      </c>
      <c r="N184" s="22" t="s">
        <v>617</v>
      </c>
      <c r="O184" s="30">
        <v>45594</v>
      </c>
      <c r="P184" s="446">
        <v>47362</v>
      </c>
      <c r="Q184" s="85" t="s">
        <v>81</v>
      </c>
      <c r="R184" s="15" t="s">
        <v>1676</v>
      </c>
      <c r="S184" s="111" t="s">
        <v>82</v>
      </c>
      <c r="T184" s="64">
        <v>20000</v>
      </c>
      <c r="U184" s="425">
        <v>45870</v>
      </c>
      <c r="V184" s="89">
        <v>46322</v>
      </c>
      <c r="W184" s="141" t="s">
        <v>1697</v>
      </c>
      <c r="X184" s="9"/>
      <c r="Y184" s="22"/>
      <c r="Z184" s="88" t="s">
        <v>1698</v>
      </c>
      <c r="AA184" s="30"/>
      <c r="AB184" s="30"/>
      <c r="AC184" s="42"/>
      <c r="AD184" s="42"/>
      <c r="AE184" s="42"/>
      <c r="AF184" s="42"/>
      <c r="AG184" s="30"/>
      <c r="AH184" s="22"/>
      <c r="AI184" s="92"/>
      <c r="AJ184" s="168"/>
      <c r="AK184" s="264" t="s">
        <v>650</v>
      </c>
      <c r="AL184" s="67" t="s">
        <v>89</v>
      </c>
      <c r="AM184" s="304">
        <v>45592</v>
      </c>
      <c r="AN184" s="82" t="s">
        <v>1595</v>
      </c>
      <c r="AO184" s="123"/>
      <c r="AP184" s="82" t="s">
        <v>1699</v>
      </c>
      <c r="AQ184" s="43"/>
      <c r="AR184" s="43"/>
      <c r="AS184" s="43"/>
      <c r="AT184" s="43"/>
      <c r="AU184" s="43"/>
      <c r="AV184" s="43"/>
      <c r="AW184" s="43"/>
      <c r="AX184" s="168"/>
      <c r="AY184" s="168"/>
      <c r="AZ184" s="168"/>
      <c r="BA184" s="168"/>
      <c r="BB184" s="168"/>
      <c r="BC184" s="62"/>
    </row>
    <row r="185" spans="1:55" ht="44.25" customHeight="1">
      <c r="A185" s="264" t="s">
        <v>664</v>
      </c>
      <c r="B185" s="17">
        <v>183</v>
      </c>
      <c r="C185" s="44" t="s">
        <v>54</v>
      </c>
      <c r="D185" s="45" t="s">
        <v>611</v>
      </c>
      <c r="E185" s="111" t="s">
        <v>1700</v>
      </c>
      <c r="F185" s="282" t="s">
        <v>1701</v>
      </c>
      <c r="G185" s="33" t="s">
        <v>1702</v>
      </c>
      <c r="H185" s="28" t="s">
        <v>1703</v>
      </c>
      <c r="I185" s="33" t="s">
        <v>1704</v>
      </c>
      <c r="J185" s="22" t="s">
        <v>60</v>
      </c>
      <c r="K185" s="30">
        <v>38249</v>
      </c>
      <c r="L185" s="22">
        <f t="shared" ca="1" si="1"/>
        <v>21</v>
      </c>
      <c r="M185" s="22" t="s">
        <v>134</v>
      </c>
      <c r="N185" s="22" t="s">
        <v>617</v>
      </c>
      <c r="O185" s="30">
        <v>45594</v>
      </c>
      <c r="P185" s="446">
        <v>47362</v>
      </c>
      <c r="Q185" s="85" t="s">
        <v>81</v>
      </c>
      <c r="R185" s="35" t="s">
        <v>1705</v>
      </c>
      <c r="S185" s="457" t="s">
        <v>82</v>
      </c>
      <c r="T185" s="64">
        <v>20000</v>
      </c>
      <c r="U185" s="425">
        <v>45870</v>
      </c>
      <c r="V185" s="89">
        <v>46322</v>
      </c>
      <c r="W185" s="141" t="s">
        <v>1706</v>
      </c>
      <c r="X185" s="9"/>
      <c r="Y185" s="22"/>
      <c r="Z185" s="282" t="s">
        <v>1707</v>
      </c>
      <c r="AA185" s="30"/>
      <c r="AB185" s="30"/>
      <c r="AC185" s="42"/>
      <c r="AD185" s="42"/>
      <c r="AE185" s="42"/>
      <c r="AF185" s="42"/>
      <c r="AG185" s="30"/>
      <c r="AH185" s="22"/>
      <c r="AI185" s="92"/>
      <c r="AJ185" s="168"/>
      <c r="AK185" s="264" t="s">
        <v>671</v>
      </c>
      <c r="AL185" s="67" t="s">
        <v>89</v>
      </c>
      <c r="AM185" s="304">
        <v>45592</v>
      </c>
      <c r="AN185" s="82" t="s">
        <v>1595</v>
      </c>
      <c r="AO185" s="123"/>
      <c r="AP185" s="123" t="s">
        <v>1708</v>
      </c>
      <c r="AQ185" s="82"/>
      <c r="AR185" s="82"/>
      <c r="AS185" s="82"/>
      <c r="AT185" s="82"/>
      <c r="AU185" s="82"/>
      <c r="AV185" s="82"/>
      <c r="AW185" s="82"/>
      <c r="AX185" s="168"/>
      <c r="AY185" s="168"/>
      <c r="AZ185" s="168"/>
      <c r="BA185" s="168"/>
      <c r="BB185" s="168"/>
      <c r="BC185" s="62"/>
    </row>
    <row r="186" spans="1:55" ht="44.25" customHeight="1">
      <c r="A186" s="264" t="s">
        <v>643</v>
      </c>
      <c r="B186" s="17">
        <v>184</v>
      </c>
      <c r="C186" s="44" t="s">
        <v>54</v>
      </c>
      <c r="D186" s="136" t="s">
        <v>611</v>
      </c>
      <c r="E186" s="111" t="s">
        <v>1709</v>
      </c>
      <c r="F186" s="282" t="s">
        <v>1710</v>
      </c>
      <c r="G186" s="88" t="s">
        <v>1711</v>
      </c>
      <c r="H186" s="137" t="s">
        <v>1712</v>
      </c>
      <c r="I186" s="88" t="s">
        <v>1713</v>
      </c>
      <c r="J186" s="17" t="s">
        <v>60</v>
      </c>
      <c r="K186" s="89">
        <v>38170</v>
      </c>
      <c r="L186" s="22">
        <f t="shared" ca="1" si="1"/>
        <v>21</v>
      </c>
      <c r="M186" s="17" t="s">
        <v>134</v>
      </c>
      <c r="N186" s="17" t="s">
        <v>617</v>
      </c>
      <c r="O186" s="89">
        <v>45587</v>
      </c>
      <c r="P186" s="446">
        <v>47362</v>
      </c>
      <c r="Q186" s="113" t="s">
        <v>81</v>
      </c>
      <c r="R186" s="15" t="s">
        <v>1676</v>
      </c>
      <c r="S186" s="111" t="s">
        <v>82</v>
      </c>
      <c r="T186" s="64">
        <v>20000</v>
      </c>
      <c r="U186" s="425">
        <v>45870</v>
      </c>
      <c r="V186" s="89">
        <v>46315</v>
      </c>
      <c r="W186" s="141" t="s">
        <v>1714</v>
      </c>
      <c r="X186" s="141"/>
      <c r="Y186" s="166"/>
      <c r="Z186" s="46" t="s">
        <v>1715</v>
      </c>
      <c r="AA186" s="89">
        <v>45981</v>
      </c>
      <c r="AB186" s="89"/>
      <c r="AC186" s="90"/>
      <c r="AD186" s="90"/>
      <c r="AE186" s="90"/>
      <c r="AF186" s="90"/>
      <c r="AG186" s="89"/>
      <c r="AH186" s="17"/>
      <c r="AI186" s="86"/>
      <c r="AJ186" s="142"/>
      <c r="AK186" s="264" t="s">
        <v>650</v>
      </c>
      <c r="AL186" s="67" t="s">
        <v>89</v>
      </c>
      <c r="AM186" s="304">
        <v>45585</v>
      </c>
      <c r="AN186" s="82" t="s">
        <v>1595</v>
      </c>
      <c r="AO186" s="144"/>
      <c r="AP186" s="115" t="s">
        <v>1716</v>
      </c>
      <c r="AQ186" s="123"/>
      <c r="AR186" s="123"/>
      <c r="AS186" s="123"/>
      <c r="AT186" s="123"/>
      <c r="AU186" s="123" t="s">
        <v>1717</v>
      </c>
      <c r="AV186" s="123"/>
      <c r="AW186" s="123"/>
      <c r="AX186" s="168"/>
      <c r="AY186" s="168"/>
      <c r="AZ186" s="168"/>
      <c r="BA186" s="168"/>
      <c r="BB186" s="168"/>
      <c r="BC186" s="458"/>
    </row>
    <row r="187" spans="1:55" ht="44.25" customHeight="1">
      <c r="A187" s="264" t="s">
        <v>664</v>
      </c>
      <c r="B187" s="17">
        <v>185</v>
      </c>
      <c r="C187" s="44" t="s">
        <v>54</v>
      </c>
      <c r="D187" s="136" t="s">
        <v>611</v>
      </c>
      <c r="E187" s="111" t="s">
        <v>1718</v>
      </c>
      <c r="F187" s="282" t="s">
        <v>1719</v>
      </c>
      <c r="G187" s="88" t="s">
        <v>1720</v>
      </c>
      <c r="H187" s="137" t="s">
        <v>1721</v>
      </c>
      <c r="I187" s="88" t="s">
        <v>1722</v>
      </c>
      <c r="J187" s="17" t="s">
        <v>60</v>
      </c>
      <c r="K187" s="89">
        <v>36802</v>
      </c>
      <c r="L187" s="22">
        <f t="shared" ca="1" si="1"/>
        <v>25</v>
      </c>
      <c r="M187" s="17" t="s">
        <v>134</v>
      </c>
      <c r="N187" s="17" t="s">
        <v>617</v>
      </c>
      <c r="O187" s="89">
        <v>45587</v>
      </c>
      <c r="P187" s="446">
        <v>47362</v>
      </c>
      <c r="Q187" s="113" t="s">
        <v>81</v>
      </c>
      <c r="R187" s="88" t="s">
        <v>1055</v>
      </c>
      <c r="S187" s="283" t="s">
        <v>82</v>
      </c>
      <c r="T187" s="330">
        <v>15000</v>
      </c>
      <c r="U187" s="425">
        <v>45870</v>
      </c>
      <c r="V187" s="89">
        <v>46315</v>
      </c>
      <c r="W187" s="141" t="s">
        <v>1723</v>
      </c>
      <c r="X187" s="166"/>
      <c r="Y187" s="166"/>
      <c r="Z187" s="46" t="s">
        <v>1724</v>
      </c>
      <c r="AA187" s="89"/>
      <c r="AB187" s="89"/>
      <c r="AC187" s="90"/>
      <c r="AD187" s="90"/>
      <c r="AE187" s="90"/>
      <c r="AF187" s="90"/>
      <c r="AG187" s="89"/>
      <c r="AH187" s="17"/>
      <c r="AI187" s="86"/>
      <c r="AJ187" s="142"/>
      <c r="AK187" s="264" t="s">
        <v>671</v>
      </c>
      <c r="AL187" s="67" t="s">
        <v>89</v>
      </c>
      <c r="AM187" s="304">
        <v>45585</v>
      </c>
      <c r="AN187" s="82" t="s">
        <v>1595</v>
      </c>
      <c r="AO187" s="144"/>
      <c r="AP187" s="144" t="s">
        <v>1725</v>
      </c>
      <c r="AQ187" s="115"/>
      <c r="AR187" s="115"/>
      <c r="AS187" s="115"/>
      <c r="AT187" s="115" t="s">
        <v>1726</v>
      </c>
      <c r="AU187" s="115" t="s">
        <v>1727</v>
      </c>
      <c r="AV187" s="115"/>
      <c r="AW187" s="115"/>
      <c r="AX187" s="168"/>
      <c r="AY187" s="168"/>
      <c r="AZ187" s="168"/>
      <c r="BA187" s="168"/>
      <c r="BB187" s="168"/>
      <c r="BC187" s="458"/>
    </row>
    <row r="188" spans="1:55" ht="44.25" customHeight="1">
      <c r="A188" s="264" t="s">
        <v>643</v>
      </c>
      <c r="B188" s="17">
        <v>186</v>
      </c>
      <c r="C188" s="44" t="s">
        <v>54</v>
      </c>
      <c r="D188" s="136" t="s">
        <v>611</v>
      </c>
      <c r="E188" s="111" t="s">
        <v>1728</v>
      </c>
      <c r="F188" s="282" t="s">
        <v>1729</v>
      </c>
      <c r="G188" s="88" t="s">
        <v>1730</v>
      </c>
      <c r="H188" s="137" t="s">
        <v>1731</v>
      </c>
      <c r="I188" s="88" t="s">
        <v>1732</v>
      </c>
      <c r="J188" s="17" t="s">
        <v>60</v>
      </c>
      <c r="K188" s="89">
        <v>37822</v>
      </c>
      <c r="L188" s="22">
        <f t="shared" ca="1" si="1"/>
        <v>22</v>
      </c>
      <c r="M188" s="70" t="s">
        <v>134</v>
      </c>
      <c r="N188" s="17" t="s">
        <v>617</v>
      </c>
      <c r="O188" s="89">
        <v>45587</v>
      </c>
      <c r="P188" s="446">
        <v>47362</v>
      </c>
      <c r="Q188" s="113" t="s">
        <v>81</v>
      </c>
      <c r="R188" s="35" t="s">
        <v>1705</v>
      </c>
      <c r="S188" s="457" t="s">
        <v>82</v>
      </c>
      <c r="T188" s="64">
        <v>20000</v>
      </c>
      <c r="U188" s="425">
        <v>45870</v>
      </c>
      <c r="V188" s="459">
        <v>46315</v>
      </c>
      <c r="W188" s="141" t="s">
        <v>1733</v>
      </c>
      <c r="X188" s="166"/>
      <c r="Y188" s="166"/>
      <c r="Z188" s="46" t="s">
        <v>1734</v>
      </c>
      <c r="AA188" s="89"/>
      <c r="AB188" s="17" t="s">
        <v>1477</v>
      </c>
      <c r="AC188" s="90"/>
      <c r="AD188" s="90"/>
      <c r="AE188" s="90">
        <v>46224</v>
      </c>
      <c r="AF188" s="90">
        <v>46285</v>
      </c>
      <c r="AG188" s="89"/>
      <c r="AH188" s="22" t="s">
        <v>680</v>
      </c>
      <c r="AI188" s="86"/>
      <c r="AJ188" s="142"/>
      <c r="AK188" s="264" t="s">
        <v>650</v>
      </c>
      <c r="AL188" s="67" t="s">
        <v>89</v>
      </c>
      <c r="AM188" s="304">
        <v>45585</v>
      </c>
      <c r="AN188" s="82" t="s">
        <v>1595</v>
      </c>
      <c r="AO188" s="144"/>
      <c r="AP188" s="43" t="s">
        <v>1735</v>
      </c>
      <c r="AQ188" s="144"/>
      <c r="AR188" s="144"/>
      <c r="AS188" s="144"/>
      <c r="AT188" s="144"/>
      <c r="AU188" s="144"/>
      <c r="AV188" s="144"/>
      <c r="AW188" s="144"/>
      <c r="AX188" s="168"/>
      <c r="AY188" s="168"/>
      <c r="AZ188" s="168"/>
      <c r="BA188" s="168"/>
      <c r="BB188" s="168"/>
      <c r="BC188" s="458"/>
    </row>
    <row r="189" spans="1:55" ht="44.25" customHeight="1">
      <c r="A189" s="264" t="s">
        <v>643</v>
      </c>
      <c r="B189" s="17">
        <v>187</v>
      </c>
      <c r="C189" s="44" t="s">
        <v>54</v>
      </c>
      <c r="D189" s="45" t="s">
        <v>611</v>
      </c>
      <c r="E189" s="111" t="s">
        <v>1736</v>
      </c>
      <c r="F189" s="282" t="s">
        <v>1737</v>
      </c>
      <c r="G189" s="33" t="s">
        <v>1738</v>
      </c>
      <c r="H189" s="28" t="s">
        <v>1739</v>
      </c>
      <c r="I189" s="33" t="s">
        <v>1740</v>
      </c>
      <c r="J189" s="22" t="s">
        <v>60</v>
      </c>
      <c r="K189" s="30">
        <v>37344</v>
      </c>
      <c r="L189" s="22">
        <f t="shared" ca="1" si="1"/>
        <v>24</v>
      </c>
      <c r="M189" s="22" t="s">
        <v>134</v>
      </c>
      <c r="N189" s="22" t="s">
        <v>617</v>
      </c>
      <c r="O189" s="30">
        <v>45594</v>
      </c>
      <c r="P189" s="446">
        <v>47362</v>
      </c>
      <c r="Q189" s="85" t="s">
        <v>81</v>
      </c>
      <c r="R189" s="15" t="s">
        <v>975</v>
      </c>
      <c r="S189" s="111" t="s">
        <v>82</v>
      </c>
      <c r="T189" s="64">
        <v>15000</v>
      </c>
      <c r="U189" s="425">
        <v>45870</v>
      </c>
      <c r="V189" s="89">
        <v>46322</v>
      </c>
      <c r="W189" s="141" t="s">
        <v>1741</v>
      </c>
      <c r="X189" s="166"/>
      <c r="Y189" s="22"/>
      <c r="Z189" s="15" t="s">
        <v>1742</v>
      </c>
      <c r="AA189" s="30"/>
      <c r="AB189" s="30"/>
      <c r="AC189" s="42"/>
      <c r="AD189" s="42"/>
      <c r="AE189" s="42"/>
      <c r="AF189" s="42"/>
      <c r="AG189" s="30"/>
      <c r="AH189" s="22"/>
      <c r="AI189" s="92"/>
      <c r="AJ189" s="168"/>
      <c r="AK189" s="264" t="s">
        <v>650</v>
      </c>
      <c r="AL189" s="67" t="s">
        <v>89</v>
      </c>
      <c r="AM189" s="304">
        <v>45592</v>
      </c>
      <c r="AN189" s="82" t="s">
        <v>1595</v>
      </c>
      <c r="AO189" s="123"/>
      <c r="AP189" s="82" t="s">
        <v>1743</v>
      </c>
      <c r="AQ189" s="123"/>
      <c r="AR189" s="123"/>
      <c r="AS189" s="123"/>
      <c r="AT189" s="123"/>
      <c r="AU189" s="123"/>
      <c r="AV189" s="123"/>
      <c r="AW189" s="123"/>
      <c r="AX189" s="168"/>
      <c r="AY189" s="168"/>
      <c r="AZ189" s="168"/>
      <c r="BA189" s="168"/>
      <c r="BB189" s="168"/>
      <c r="BC189" s="458"/>
    </row>
    <row r="190" spans="1:55" ht="63.75" customHeight="1">
      <c r="A190" s="264" t="s">
        <v>664</v>
      </c>
      <c r="B190" s="17">
        <v>188</v>
      </c>
      <c r="C190" s="44" t="s">
        <v>54</v>
      </c>
      <c r="D190" s="45" t="s">
        <v>611</v>
      </c>
      <c r="E190" s="111" t="s">
        <v>1744</v>
      </c>
      <c r="F190" s="282" t="s">
        <v>1745</v>
      </c>
      <c r="G190" s="33" t="s">
        <v>1746</v>
      </c>
      <c r="H190" s="28" t="s">
        <v>1747</v>
      </c>
      <c r="I190" s="33" t="s">
        <v>1748</v>
      </c>
      <c r="J190" s="22" t="s">
        <v>60</v>
      </c>
      <c r="K190" s="30">
        <v>38006</v>
      </c>
      <c r="L190" s="22">
        <f t="shared" ca="1" si="1"/>
        <v>22</v>
      </c>
      <c r="M190" s="22" t="s">
        <v>134</v>
      </c>
      <c r="N190" s="22" t="s">
        <v>617</v>
      </c>
      <c r="O190" s="30">
        <v>45594</v>
      </c>
      <c r="P190" s="446">
        <v>47362</v>
      </c>
      <c r="Q190" s="85" t="s">
        <v>81</v>
      </c>
      <c r="R190" s="35" t="s">
        <v>1705</v>
      </c>
      <c r="S190" s="457" t="s">
        <v>82</v>
      </c>
      <c r="T190" s="64">
        <v>20000</v>
      </c>
      <c r="U190" s="425">
        <v>45870</v>
      </c>
      <c r="V190" s="89">
        <v>46322</v>
      </c>
      <c r="W190" s="141" t="s">
        <v>1749</v>
      </c>
      <c r="X190" s="166"/>
      <c r="Y190" s="22"/>
      <c r="Z190" s="15" t="s">
        <v>1750</v>
      </c>
      <c r="AA190" s="30"/>
      <c r="AB190" s="30"/>
      <c r="AC190" s="42"/>
      <c r="AD190" s="42"/>
      <c r="AE190" s="42"/>
      <c r="AF190" s="42"/>
      <c r="AG190" s="30"/>
      <c r="AH190" s="22"/>
      <c r="AI190" s="92"/>
      <c r="AJ190" s="168"/>
      <c r="AK190" s="264" t="s">
        <v>671</v>
      </c>
      <c r="AL190" s="67" t="s">
        <v>89</v>
      </c>
      <c r="AM190" s="304">
        <v>45592</v>
      </c>
      <c r="AN190" s="82" t="s">
        <v>1595</v>
      </c>
      <c r="AO190" s="123"/>
      <c r="AP190" s="123" t="s">
        <v>1708</v>
      </c>
      <c r="AQ190" s="82"/>
      <c r="AR190" s="82"/>
      <c r="AS190" s="82"/>
      <c r="AT190" s="82"/>
      <c r="AU190" s="82"/>
      <c r="AV190" s="82"/>
      <c r="AW190" s="82"/>
      <c r="AX190" s="168"/>
      <c r="AY190" s="168"/>
      <c r="AZ190" s="168"/>
      <c r="BA190" s="168"/>
      <c r="BB190" s="168"/>
      <c r="BC190" s="458"/>
    </row>
    <row r="191" spans="1:55" ht="44.25" customHeight="1">
      <c r="A191" s="264" t="s">
        <v>664</v>
      </c>
      <c r="B191" s="17">
        <v>189</v>
      </c>
      <c r="C191" s="44" t="s">
        <v>54</v>
      </c>
      <c r="D191" s="45" t="s">
        <v>611</v>
      </c>
      <c r="E191" s="111" t="s">
        <v>1751</v>
      </c>
      <c r="F191" s="282" t="s">
        <v>1752</v>
      </c>
      <c r="G191" s="33" t="s">
        <v>1753</v>
      </c>
      <c r="H191" s="28" t="s">
        <v>1754</v>
      </c>
      <c r="I191" s="33" t="s">
        <v>1753</v>
      </c>
      <c r="J191" s="22" t="s">
        <v>60</v>
      </c>
      <c r="K191" s="30">
        <v>37069</v>
      </c>
      <c r="L191" s="22">
        <f t="shared" ca="1" si="1"/>
        <v>24</v>
      </c>
      <c r="M191" s="22" t="s">
        <v>134</v>
      </c>
      <c r="N191" s="22" t="s">
        <v>617</v>
      </c>
      <c r="O191" s="30">
        <v>45594</v>
      </c>
      <c r="P191" s="446">
        <v>47362</v>
      </c>
      <c r="Q191" s="85" t="s">
        <v>81</v>
      </c>
      <c r="R191" s="35" t="s">
        <v>1705</v>
      </c>
      <c r="S191" s="457" t="s">
        <v>82</v>
      </c>
      <c r="T191" s="64">
        <v>20000</v>
      </c>
      <c r="U191" s="425">
        <v>45870</v>
      </c>
      <c r="V191" s="89">
        <v>46322</v>
      </c>
      <c r="W191" s="141" t="s">
        <v>1755</v>
      </c>
      <c r="X191" s="166"/>
      <c r="Y191" s="22"/>
      <c r="Z191" s="15" t="s">
        <v>1756</v>
      </c>
      <c r="AA191" s="30"/>
      <c r="AB191" s="30"/>
      <c r="AC191" s="42"/>
      <c r="AD191" s="42"/>
      <c r="AE191" s="42"/>
      <c r="AF191" s="42"/>
      <c r="AG191" s="30"/>
      <c r="AH191" s="22"/>
      <c r="AI191" s="92"/>
      <c r="AJ191" s="168"/>
      <c r="AK191" s="264" t="s">
        <v>671</v>
      </c>
      <c r="AL191" s="67" t="s">
        <v>89</v>
      </c>
      <c r="AM191" s="304">
        <v>45592</v>
      </c>
      <c r="AN191" s="82" t="s">
        <v>1595</v>
      </c>
      <c r="AO191" s="123"/>
      <c r="AP191" s="123" t="s">
        <v>1708</v>
      </c>
      <c r="AQ191" s="123"/>
      <c r="AR191" s="123"/>
      <c r="AS191" s="123"/>
      <c r="AT191" s="123"/>
      <c r="AU191" s="123"/>
      <c r="AV191" s="123"/>
      <c r="AW191" s="123"/>
      <c r="AX191" s="168"/>
      <c r="AY191" s="168"/>
      <c r="AZ191" s="168"/>
      <c r="BA191" s="168"/>
      <c r="BB191" s="168"/>
      <c r="BC191" s="117"/>
    </row>
    <row r="192" spans="1:55" ht="44.25" customHeight="1">
      <c r="A192" s="70"/>
      <c r="B192" s="17">
        <v>190</v>
      </c>
      <c r="C192" s="84" t="s">
        <v>100</v>
      </c>
      <c r="D192" s="136" t="s">
        <v>55</v>
      </c>
      <c r="E192" s="111" t="s">
        <v>1757</v>
      </c>
      <c r="F192" s="282" t="s">
        <v>1758</v>
      </c>
      <c r="G192" s="88" t="s">
        <v>1759</v>
      </c>
      <c r="H192" s="33" t="s">
        <v>1760</v>
      </c>
      <c r="I192" s="88" t="s">
        <v>1761</v>
      </c>
      <c r="J192" s="22" t="s">
        <v>261</v>
      </c>
      <c r="K192" s="89">
        <v>38676</v>
      </c>
      <c r="L192" s="22">
        <f t="shared" ca="1" si="1"/>
        <v>20</v>
      </c>
      <c r="M192" s="22" t="s">
        <v>134</v>
      </c>
      <c r="N192" s="22" t="s">
        <v>61</v>
      </c>
      <c r="O192" s="31">
        <v>45581</v>
      </c>
      <c r="P192" s="460">
        <v>46631</v>
      </c>
      <c r="Q192" s="379" t="s">
        <v>199</v>
      </c>
      <c r="R192" s="423" t="s">
        <v>1762</v>
      </c>
      <c r="S192" s="111" t="s">
        <v>137</v>
      </c>
      <c r="T192" s="257">
        <v>10000</v>
      </c>
      <c r="U192" s="461">
        <v>45439</v>
      </c>
      <c r="V192" s="89">
        <v>46281</v>
      </c>
      <c r="W192" s="141" t="s">
        <v>1763</v>
      </c>
      <c r="X192" s="141"/>
      <c r="Y192" s="267">
        <v>45580</v>
      </c>
      <c r="Z192" s="88" t="s">
        <v>1764</v>
      </c>
      <c r="AA192" s="89"/>
      <c r="AB192" s="89"/>
      <c r="AC192" s="88" t="s">
        <v>1765</v>
      </c>
      <c r="AD192" s="90"/>
      <c r="AE192" s="90"/>
      <c r="AF192" s="90"/>
      <c r="AG192" s="89"/>
      <c r="AH192" s="17"/>
      <c r="AI192" s="86"/>
      <c r="AJ192" s="216"/>
      <c r="AK192" s="17"/>
      <c r="AL192" s="67"/>
      <c r="AM192" s="67" t="s">
        <v>265</v>
      </c>
      <c r="AN192" s="67" t="s">
        <v>265</v>
      </c>
      <c r="AO192" s="179" t="s">
        <v>91</v>
      </c>
      <c r="AP192" s="82" t="s">
        <v>1766</v>
      </c>
      <c r="AQ192" s="123"/>
      <c r="AR192" s="123"/>
      <c r="AS192" s="123"/>
      <c r="AT192" s="123"/>
      <c r="AU192" s="123"/>
      <c r="AV192" s="123"/>
      <c r="AW192" s="123"/>
      <c r="AX192" s="168"/>
      <c r="AY192" s="168"/>
      <c r="AZ192" s="168"/>
      <c r="BA192" s="168"/>
      <c r="BB192" s="168"/>
      <c r="BC192" s="117"/>
    </row>
    <row r="193" spans="1:55" ht="44.25" customHeight="1">
      <c r="A193" s="17"/>
      <c r="B193" s="17">
        <v>191</v>
      </c>
      <c r="C193" s="84" t="s">
        <v>100</v>
      </c>
      <c r="D193" s="136" t="s">
        <v>55</v>
      </c>
      <c r="E193" s="111" t="s">
        <v>1767</v>
      </c>
      <c r="F193" s="282" t="s">
        <v>1768</v>
      </c>
      <c r="G193" s="88" t="s">
        <v>1769</v>
      </c>
      <c r="H193" s="28" t="s">
        <v>1770</v>
      </c>
      <c r="I193" s="88" t="s">
        <v>1771</v>
      </c>
      <c r="J193" s="22" t="s">
        <v>261</v>
      </c>
      <c r="K193" s="89">
        <v>38231</v>
      </c>
      <c r="L193" s="22">
        <f t="shared" ca="1" si="1"/>
        <v>21</v>
      </c>
      <c r="M193" s="22" t="s">
        <v>134</v>
      </c>
      <c r="N193" s="22" t="s">
        <v>61</v>
      </c>
      <c r="O193" s="31">
        <v>45581</v>
      </c>
      <c r="P193" s="460">
        <v>46631</v>
      </c>
      <c r="Q193" s="379" t="s">
        <v>199</v>
      </c>
      <c r="R193" s="421" t="s">
        <v>1200</v>
      </c>
      <c r="S193" s="372" t="s">
        <v>191</v>
      </c>
      <c r="T193" s="462">
        <v>20000</v>
      </c>
      <c r="U193" s="461">
        <v>45439</v>
      </c>
      <c r="V193" s="89">
        <v>46281</v>
      </c>
      <c r="W193" s="141" t="s">
        <v>1772</v>
      </c>
      <c r="X193" s="141"/>
      <c r="Y193" s="267">
        <v>45580</v>
      </c>
      <c r="Z193" s="88" t="s">
        <v>1773</v>
      </c>
      <c r="AA193" s="89"/>
      <c r="AB193" s="89"/>
      <c r="AC193" s="88" t="s">
        <v>1774</v>
      </c>
      <c r="AD193" s="90"/>
      <c r="AE193" s="90"/>
      <c r="AF193" s="90"/>
      <c r="AG193" s="89"/>
      <c r="AH193" s="17"/>
      <c r="AI193" s="86"/>
      <c r="AJ193" s="216"/>
      <c r="AK193" s="17"/>
      <c r="AL193" s="67"/>
      <c r="AM193" s="67" t="s">
        <v>265</v>
      </c>
      <c r="AN193" s="67" t="s">
        <v>265</v>
      </c>
      <c r="AO193" s="82"/>
      <c r="AP193" s="82" t="s">
        <v>1775</v>
      </c>
      <c r="AQ193" s="82" t="s">
        <v>1776</v>
      </c>
      <c r="AR193" s="82"/>
      <c r="AS193" s="82"/>
      <c r="AT193" s="82"/>
      <c r="AU193" s="82"/>
      <c r="AV193" s="82"/>
      <c r="AW193" s="82"/>
      <c r="AX193" s="168"/>
      <c r="AY193" s="168"/>
      <c r="AZ193" s="168"/>
      <c r="BA193" s="168"/>
      <c r="BB193" s="168"/>
      <c r="BC193" s="117"/>
    </row>
    <row r="194" spans="1:55" ht="44.25" customHeight="1">
      <c r="A194" s="17"/>
      <c r="B194" s="17">
        <v>192</v>
      </c>
      <c r="C194" s="84" t="s">
        <v>100</v>
      </c>
      <c r="D194" s="136" t="s">
        <v>55</v>
      </c>
      <c r="E194" s="111" t="s">
        <v>1777</v>
      </c>
      <c r="F194" s="282" t="s">
        <v>1778</v>
      </c>
      <c r="G194" s="88" t="s">
        <v>1779</v>
      </c>
      <c r="H194" s="28" t="s">
        <v>1780</v>
      </c>
      <c r="I194" s="88" t="s">
        <v>416</v>
      </c>
      <c r="J194" s="22" t="s">
        <v>60</v>
      </c>
      <c r="K194" s="89">
        <v>34556</v>
      </c>
      <c r="L194" s="22">
        <f t="shared" ca="1" si="1"/>
        <v>31</v>
      </c>
      <c r="M194" s="22" t="s">
        <v>79</v>
      </c>
      <c r="N194" s="22" t="s">
        <v>61</v>
      </c>
      <c r="O194" s="31">
        <v>45581</v>
      </c>
      <c r="P194" s="460">
        <v>46631</v>
      </c>
      <c r="Q194" s="379" t="s">
        <v>199</v>
      </c>
      <c r="R194" s="423" t="s">
        <v>106</v>
      </c>
      <c r="S194" s="380" t="s">
        <v>137</v>
      </c>
      <c r="T194" s="257">
        <v>10000</v>
      </c>
      <c r="U194" s="461">
        <v>45439</v>
      </c>
      <c r="V194" s="89">
        <v>46281</v>
      </c>
      <c r="W194" s="141" t="s">
        <v>1781</v>
      </c>
      <c r="X194" s="141"/>
      <c r="Y194" s="267">
        <v>45580</v>
      </c>
      <c r="Z194" s="88" t="s">
        <v>1782</v>
      </c>
      <c r="AA194" s="89"/>
      <c r="AB194" s="89"/>
      <c r="AC194" s="88" t="s">
        <v>1783</v>
      </c>
      <c r="AD194" s="90"/>
      <c r="AE194" s="90"/>
      <c r="AF194" s="90"/>
      <c r="AG194" s="89"/>
      <c r="AH194" s="17"/>
      <c r="AI194" s="86"/>
      <c r="AJ194" s="216"/>
      <c r="AK194" s="17"/>
      <c r="AL194" s="67"/>
      <c r="AM194" s="67" t="s">
        <v>265</v>
      </c>
      <c r="AN194" s="67" t="s">
        <v>265</v>
      </c>
      <c r="AO194" s="82"/>
      <c r="AP194" s="82" t="s">
        <v>1766</v>
      </c>
      <c r="AQ194" s="82"/>
      <c r="AR194" s="82"/>
      <c r="AS194" s="82"/>
      <c r="AT194" s="82"/>
      <c r="AU194" s="82"/>
      <c r="AV194" s="82"/>
      <c r="AW194" s="82"/>
      <c r="AX194" s="168"/>
      <c r="AY194" s="168"/>
      <c r="AZ194" s="168"/>
      <c r="BA194" s="168"/>
      <c r="BB194" s="168"/>
      <c r="BC194" s="117"/>
    </row>
    <row r="195" spans="1:55" ht="44.25" customHeight="1">
      <c r="A195" s="17" t="s">
        <v>802</v>
      </c>
      <c r="B195" s="17">
        <v>193</v>
      </c>
      <c r="C195" s="84" t="s">
        <v>100</v>
      </c>
      <c r="D195" s="136" t="s">
        <v>55</v>
      </c>
      <c r="E195" s="111" t="s">
        <v>1784</v>
      </c>
      <c r="F195" s="282" t="s">
        <v>1785</v>
      </c>
      <c r="G195" s="88" t="s">
        <v>1786</v>
      </c>
      <c r="H195" s="28" t="s">
        <v>1787</v>
      </c>
      <c r="I195" s="33" t="s">
        <v>1788</v>
      </c>
      <c r="J195" s="22" t="s">
        <v>60</v>
      </c>
      <c r="K195" s="30">
        <v>34223</v>
      </c>
      <c r="L195" s="22">
        <f t="shared" ca="1" si="1"/>
        <v>32</v>
      </c>
      <c r="M195" s="22" t="s">
        <v>79</v>
      </c>
      <c r="N195" s="22" t="s">
        <v>61</v>
      </c>
      <c r="O195" s="31">
        <v>45581</v>
      </c>
      <c r="P195" s="460">
        <v>46631</v>
      </c>
      <c r="Q195" s="379" t="s">
        <v>199</v>
      </c>
      <c r="R195" s="423" t="s">
        <v>106</v>
      </c>
      <c r="S195" s="380" t="s">
        <v>400</v>
      </c>
      <c r="T195" s="257">
        <v>10000</v>
      </c>
      <c r="U195" s="461">
        <v>45439</v>
      </c>
      <c r="V195" s="89">
        <v>46281</v>
      </c>
      <c r="W195" s="141" t="s">
        <v>1789</v>
      </c>
      <c r="X195" s="9"/>
      <c r="Y195" s="267">
        <v>45580</v>
      </c>
      <c r="Z195" s="88" t="s">
        <v>1790</v>
      </c>
      <c r="AA195" s="30"/>
      <c r="AB195" s="89"/>
      <c r="AC195" s="88" t="s">
        <v>1791</v>
      </c>
      <c r="AD195" s="42"/>
      <c r="AE195" s="42"/>
      <c r="AF195" s="42"/>
      <c r="AG195" s="30"/>
      <c r="AH195" s="22"/>
      <c r="AI195" s="92"/>
      <c r="AJ195" s="216"/>
      <c r="AK195" s="17"/>
      <c r="AL195" s="67"/>
      <c r="AM195" s="67" t="s">
        <v>265</v>
      </c>
      <c r="AN195" s="67" t="s">
        <v>265</v>
      </c>
      <c r="AO195" s="82"/>
      <c r="AP195" s="82" t="s">
        <v>1766</v>
      </c>
      <c r="AQ195" s="82"/>
      <c r="AR195" s="82"/>
      <c r="AS195" s="82"/>
      <c r="AT195" s="82"/>
      <c r="AU195" s="82"/>
      <c r="AV195" s="82"/>
      <c r="AW195" s="82"/>
      <c r="AX195" s="123"/>
      <c r="AY195" s="123"/>
      <c r="AZ195" s="123"/>
      <c r="BA195" s="123"/>
      <c r="BB195" s="123"/>
      <c r="BC195" s="117"/>
    </row>
    <row r="196" spans="1:55" ht="39" customHeight="1">
      <c r="A196" s="17"/>
      <c r="B196" s="17">
        <v>194</v>
      </c>
      <c r="C196" s="84" t="s">
        <v>100</v>
      </c>
      <c r="D196" s="136" t="s">
        <v>55</v>
      </c>
      <c r="E196" s="111" t="s">
        <v>1792</v>
      </c>
      <c r="F196" s="282" t="s">
        <v>1793</v>
      </c>
      <c r="G196" s="33" t="s">
        <v>1794</v>
      </c>
      <c r="H196" s="28" t="s">
        <v>1795</v>
      </c>
      <c r="I196" s="88" t="s">
        <v>1796</v>
      </c>
      <c r="J196" s="22" t="s">
        <v>60</v>
      </c>
      <c r="K196" s="89">
        <v>37901</v>
      </c>
      <c r="L196" s="22">
        <f t="shared" ca="1" si="1"/>
        <v>22</v>
      </c>
      <c r="M196" s="22" t="s">
        <v>134</v>
      </c>
      <c r="N196" s="22" t="s">
        <v>61</v>
      </c>
      <c r="O196" s="31">
        <v>45581</v>
      </c>
      <c r="P196" s="460">
        <v>46631</v>
      </c>
      <c r="Q196" s="379" t="s">
        <v>199</v>
      </c>
      <c r="R196" s="423" t="s">
        <v>106</v>
      </c>
      <c r="S196" s="380" t="s">
        <v>1339</v>
      </c>
      <c r="T196" s="257">
        <v>10000</v>
      </c>
      <c r="U196" s="461">
        <v>45439</v>
      </c>
      <c r="V196" s="89">
        <v>46281</v>
      </c>
      <c r="W196" s="141" t="s">
        <v>1797</v>
      </c>
      <c r="X196" s="141"/>
      <c r="Y196" s="267">
        <v>45580</v>
      </c>
      <c r="Z196" s="88" t="s">
        <v>1798</v>
      </c>
      <c r="AA196" s="89"/>
      <c r="AB196" s="89"/>
      <c r="AC196" s="88" t="s">
        <v>1799</v>
      </c>
      <c r="AD196" s="90"/>
      <c r="AE196" s="90"/>
      <c r="AF196" s="90"/>
      <c r="AG196" s="89"/>
      <c r="AH196" s="17"/>
      <c r="AI196" s="86"/>
      <c r="AJ196" s="216"/>
      <c r="AK196" s="17"/>
      <c r="AL196" s="67"/>
      <c r="AM196" s="67" t="s">
        <v>265</v>
      </c>
      <c r="AN196" s="67" t="s">
        <v>265</v>
      </c>
      <c r="AO196" s="82"/>
      <c r="AP196" s="82" t="s">
        <v>1800</v>
      </c>
      <c r="AQ196" s="82"/>
      <c r="AR196" s="82"/>
      <c r="AS196" s="82"/>
      <c r="AT196" s="82"/>
      <c r="AU196" s="82"/>
      <c r="AV196" s="82"/>
      <c r="AW196" s="82"/>
      <c r="AX196" s="123"/>
      <c r="AY196" s="123"/>
      <c r="AZ196" s="123"/>
      <c r="BA196" s="123"/>
      <c r="BB196" s="123"/>
      <c r="BC196" s="186"/>
    </row>
    <row r="197" spans="1:55" ht="39" customHeight="1">
      <c r="A197" s="17"/>
      <c r="B197" s="17">
        <v>195</v>
      </c>
      <c r="C197" s="84" t="s">
        <v>100</v>
      </c>
      <c r="D197" s="45" t="s">
        <v>55</v>
      </c>
      <c r="E197" s="111" t="s">
        <v>1801</v>
      </c>
      <c r="F197" s="282" t="s">
        <v>1802</v>
      </c>
      <c r="G197" s="33" t="s">
        <v>1803</v>
      </c>
      <c r="H197" s="28" t="s">
        <v>1804</v>
      </c>
      <c r="I197" s="33" t="s">
        <v>1805</v>
      </c>
      <c r="J197" s="22" t="s">
        <v>261</v>
      </c>
      <c r="K197" s="30">
        <v>38705</v>
      </c>
      <c r="L197" s="422">
        <f t="shared" ca="1" si="1"/>
        <v>20</v>
      </c>
      <c r="M197" s="22" t="s">
        <v>134</v>
      </c>
      <c r="N197" s="22" t="s">
        <v>1350</v>
      </c>
      <c r="O197" s="48">
        <v>45667</v>
      </c>
      <c r="P197" s="446">
        <v>46722</v>
      </c>
      <c r="Q197" s="463" t="s">
        <v>199</v>
      </c>
      <c r="R197" s="15" t="s">
        <v>1762</v>
      </c>
      <c r="S197" s="111" t="s">
        <v>400</v>
      </c>
      <c r="T197" s="257">
        <v>10000</v>
      </c>
      <c r="U197" s="464">
        <v>45522</v>
      </c>
      <c r="V197" s="89">
        <v>46416</v>
      </c>
      <c r="W197" s="141" t="s">
        <v>1806</v>
      </c>
      <c r="X197" s="141"/>
      <c r="Y197" s="18"/>
      <c r="Z197" s="15" t="s">
        <v>1807</v>
      </c>
      <c r="AA197" s="30"/>
      <c r="AB197" s="30"/>
      <c r="AC197" s="42"/>
      <c r="AD197" s="42"/>
      <c r="AE197" s="42"/>
      <c r="AF197" s="42"/>
      <c r="AG197" s="30"/>
      <c r="AH197" s="22"/>
      <c r="AI197" s="92"/>
      <c r="AJ197" s="216"/>
      <c r="AK197" s="17"/>
      <c r="AL197" s="67"/>
      <c r="AM197" s="67" t="s">
        <v>265</v>
      </c>
      <c r="AN197" s="67" t="s">
        <v>265</v>
      </c>
      <c r="AO197" s="82"/>
      <c r="AP197" s="82" t="s">
        <v>1808</v>
      </c>
      <c r="AQ197" s="82" t="s">
        <v>1809</v>
      </c>
      <c r="AR197" s="82"/>
      <c r="AS197" s="82"/>
      <c r="AT197" s="82" t="s">
        <v>1810</v>
      </c>
      <c r="AU197" s="82"/>
      <c r="AV197" s="82"/>
      <c r="AW197" s="82"/>
      <c r="AX197" s="123"/>
      <c r="AY197" s="123"/>
      <c r="AZ197" s="123"/>
      <c r="BA197" s="123"/>
      <c r="BB197" s="123"/>
      <c r="BC197" s="186"/>
    </row>
    <row r="198" spans="1:55" ht="44.25" customHeight="1">
      <c r="A198" s="17"/>
      <c r="B198" s="17">
        <v>196</v>
      </c>
      <c r="C198" s="84" t="s">
        <v>100</v>
      </c>
      <c r="D198" s="136" t="s">
        <v>55</v>
      </c>
      <c r="E198" s="111" t="s">
        <v>1811</v>
      </c>
      <c r="F198" s="282" t="s">
        <v>1812</v>
      </c>
      <c r="G198" s="88" t="s">
        <v>1813</v>
      </c>
      <c r="H198" s="137" t="s">
        <v>1814</v>
      </c>
      <c r="I198" s="88" t="s">
        <v>1815</v>
      </c>
      <c r="J198" s="22" t="s">
        <v>261</v>
      </c>
      <c r="K198" s="89">
        <v>36488</v>
      </c>
      <c r="L198" s="422">
        <f t="shared" ca="1" si="1"/>
        <v>26</v>
      </c>
      <c r="M198" s="22" t="s">
        <v>79</v>
      </c>
      <c r="N198" s="17" t="s">
        <v>1350</v>
      </c>
      <c r="O198" s="48">
        <v>45667</v>
      </c>
      <c r="P198" s="446">
        <v>46722</v>
      </c>
      <c r="Q198" s="463" t="s">
        <v>199</v>
      </c>
      <c r="R198" s="15" t="s">
        <v>1762</v>
      </c>
      <c r="S198" s="111" t="s">
        <v>400</v>
      </c>
      <c r="T198" s="257">
        <v>10000</v>
      </c>
      <c r="U198" s="464">
        <v>45522</v>
      </c>
      <c r="V198" s="89">
        <v>46416</v>
      </c>
      <c r="W198" s="141" t="s">
        <v>1816</v>
      </c>
      <c r="X198" s="141"/>
      <c r="Y198" s="18"/>
      <c r="Z198" s="15" t="s">
        <v>1817</v>
      </c>
      <c r="AA198" s="89"/>
      <c r="AB198" s="89"/>
      <c r="AC198" s="90"/>
      <c r="AD198" s="90"/>
      <c r="AE198" s="90"/>
      <c r="AF198" s="90"/>
      <c r="AG198" s="89"/>
      <c r="AH198" s="17"/>
      <c r="AI198" s="86"/>
      <c r="AJ198" s="216"/>
      <c r="AK198" s="17"/>
      <c r="AL198" s="67"/>
      <c r="AM198" s="67" t="s">
        <v>265</v>
      </c>
      <c r="AN198" s="67" t="s">
        <v>265</v>
      </c>
      <c r="AO198" s="82"/>
      <c r="AP198" s="82" t="s">
        <v>1808</v>
      </c>
      <c r="AQ198" s="82" t="s">
        <v>1818</v>
      </c>
      <c r="AR198" s="82"/>
      <c r="AS198" s="82"/>
      <c r="AT198" s="82" t="s">
        <v>1819</v>
      </c>
      <c r="AU198" s="82"/>
      <c r="AV198" s="82"/>
      <c r="AW198" s="82"/>
      <c r="AX198" s="115"/>
      <c r="AY198" s="115"/>
      <c r="AZ198" s="115"/>
      <c r="BA198" s="115"/>
      <c r="BB198" s="115"/>
      <c r="BC198" s="465"/>
    </row>
    <row r="199" spans="1:55" ht="50.25" customHeight="1">
      <c r="A199" s="16"/>
      <c r="B199" s="17">
        <v>197</v>
      </c>
      <c r="C199" s="84" t="s">
        <v>100</v>
      </c>
      <c r="D199" s="136" t="s">
        <v>55</v>
      </c>
      <c r="E199" s="111" t="s">
        <v>1820</v>
      </c>
      <c r="F199" s="88" t="s">
        <v>1821</v>
      </c>
      <c r="G199" s="421" t="s">
        <v>1822</v>
      </c>
      <c r="H199" s="47" t="s">
        <v>178</v>
      </c>
      <c r="I199" s="88" t="s">
        <v>179</v>
      </c>
      <c r="J199" s="22" t="s">
        <v>60</v>
      </c>
      <c r="K199" s="98">
        <v>33673</v>
      </c>
      <c r="L199" s="422">
        <f t="shared" ca="1" si="1"/>
        <v>34</v>
      </c>
      <c r="M199" s="22" t="s">
        <v>79</v>
      </c>
      <c r="N199" s="22" t="s">
        <v>61</v>
      </c>
      <c r="O199" s="48">
        <v>45714</v>
      </c>
      <c r="P199" s="446">
        <v>47484</v>
      </c>
      <c r="Q199" s="466" t="s">
        <v>81</v>
      </c>
      <c r="R199" s="423" t="s">
        <v>1823</v>
      </c>
      <c r="S199" s="395" t="s">
        <v>149</v>
      </c>
      <c r="T199" s="467">
        <v>45000</v>
      </c>
      <c r="U199" s="425">
        <v>45986</v>
      </c>
      <c r="V199" s="98">
        <v>46439</v>
      </c>
      <c r="W199" s="413" t="s">
        <v>1824</v>
      </c>
      <c r="X199" s="16"/>
      <c r="Y199" s="66">
        <v>45791</v>
      </c>
      <c r="Z199" s="16" t="s">
        <v>1825</v>
      </c>
      <c r="AA199" s="17"/>
      <c r="AB199" s="17"/>
      <c r="AC199" s="16"/>
      <c r="AD199" s="37">
        <v>45066</v>
      </c>
      <c r="AE199" s="16"/>
      <c r="AF199" s="16"/>
      <c r="AG199" s="16"/>
      <c r="AH199" s="17"/>
      <c r="AI199" s="37"/>
      <c r="AJ199" s="16"/>
      <c r="AK199" s="16"/>
      <c r="AL199" s="141" t="s">
        <v>89</v>
      </c>
      <c r="AM199" s="116" t="s">
        <v>1826</v>
      </c>
      <c r="AN199" s="298" t="s">
        <v>1827</v>
      </c>
      <c r="AO199" s="116"/>
      <c r="AP199" s="468" t="s">
        <v>1828</v>
      </c>
      <c r="AQ199" s="82" t="s">
        <v>1829</v>
      </c>
      <c r="AR199" s="82"/>
      <c r="AS199" s="82"/>
      <c r="AT199" s="82"/>
      <c r="AU199" s="82"/>
      <c r="AV199" s="82"/>
      <c r="AW199" s="82"/>
      <c r="AX199" s="144"/>
      <c r="AY199" s="144"/>
      <c r="AZ199" s="144"/>
      <c r="BA199" s="144"/>
      <c r="BB199" s="144"/>
      <c r="BC199" s="469"/>
    </row>
    <row r="200" spans="1:55" ht="50.25" customHeight="1">
      <c r="A200" s="352"/>
      <c r="B200" s="17">
        <v>198</v>
      </c>
      <c r="C200" s="470" t="s">
        <v>54</v>
      </c>
      <c r="D200" s="136" t="s">
        <v>55</v>
      </c>
      <c r="E200" s="111" t="s">
        <v>1830</v>
      </c>
      <c r="F200" s="282" t="s">
        <v>1831</v>
      </c>
      <c r="G200" s="47" t="s">
        <v>1832</v>
      </c>
      <c r="H200" s="471" t="s">
        <v>1833</v>
      </c>
      <c r="I200" s="29"/>
      <c r="J200" s="22" t="s">
        <v>60</v>
      </c>
      <c r="K200" s="30">
        <v>32413</v>
      </c>
      <c r="L200" s="422">
        <f t="shared" ca="1" si="1"/>
        <v>37</v>
      </c>
      <c r="M200" s="22" t="s">
        <v>134</v>
      </c>
      <c r="N200" s="22" t="s">
        <v>471</v>
      </c>
      <c r="O200" s="48">
        <v>45733</v>
      </c>
      <c r="P200" s="446">
        <v>47543</v>
      </c>
      <c r="Q200" s="433" t="s">
        <v>81</v>
      </c>
      <c r="R200" s="35" t="s">
        <v>445</v>
      </c>
      <c r="S200" s="25" t="s">
        <v>82</v>
      </c>
      <c r="T200" s="330">
        <v>15000</v>
      </c>
      <c r="U200" s="472">
        <v>45646</v>
      </c>
      <c r="V200" s="91">
        <v>46094</v>
      </c>
      <c r="W200" s="14" t="s">
        <v>1834</v>
      </c>
      <c r="X200" s="9"/>
      <c r="Y200" s="30">
        <v>45726</v>
      </c>
      <c r="Z200" s="33" t="s">
        <v>1835</v>
      </c>
      <c r="AA200" s="30"/>
      <c r="AB200" s="30"/>
      <c r="AC200" s="42"/>
      <c r="AD200" s="42"/>
      <c r="AE200" s="42"/>
      <c r="AF200" s="42"/>
      <c r="AG200" s="30"/>
      <c r="AH200" s="22" t="s">
        <v>67</v>
      </c>
      <c r="AI200" s="331">
        <v>46101</v>
      </c>
      <c r="AJ200" s="473" t="s">
        <v>600</v>
      </c>
      <c r="AK200" s="352"/>
      <c r="AL200" s="474"/>
      <c r="AM200" s="475"/>
      <c r="AN200" s="475"/>
      <c r="AO200" s="76"/>
      <c r="AP200" s="74" t="s">
        <v>1836</v>
      </c>
      <c r="AQ200" s="468"/>
      <c r="AR200" s="468"/>
      <c r="AS200" s="468"/>
      <c r="AT200" s="468"/>
      <c r="AU200" s="468"/>
      <c r="AV200" s="468"/>
      <c r="AW200" s="468"/>
      <c r="AX200" s="476"/>
      <c r="AY200" s="476"/>
      <c r="AZ200" s="476"/>
      <c r="BA200" s="476"/>
      <c r="BB200" s="476"/>
      <c r="BC200" s="469"/>
    </row>
    <row r="201" spans="1:55" ht="44.25" customHeight="1">
      <c r="A201" s="352"/>
      <c r="B201" s="17">
        <v>199</v>
      </c>
      <c r="C201" s="470" t="s">
        <v>54</v>
      </c>
      <c r="D201" s="136" t="s">
        <v>55</v>
      </c>
      <c r="E201" s="111" t="s">
        <v>1837</v>
      </c>
      <c r="F201" s="282" t="s">
        <v>1838</v>
      </c>
      <c r="G201" s="33" t="s">
        <v>1839</v>
      </c>
      <c r="H201" s="471" t="s">
        <v>1840</v>
      </c>
      <c r="I201" s="29"/>
      <c r="J201" s="22" t="s">
        <v>60</v>
      </c>
      <c r="K201" s="30">
        <v>32421</v>
      </c>
      <c r="L201" s="422">
        <f t="shared" ca="1" si="1"/>
        <v>37</v>
      </c>
      <c r="M201" s="22" t="s">
        <v>79</v>
      </c>
      <c r="N201" s="22" t="s">
        <v>471</v>
      </c>
      <c r="O201" s="477">
        <v>45733</v>
      </c>
      <c r="P201" s="446">
        <v>47543</v>
      </c>
      <c r="Q201" s="49" t="s">
        <v>81</v>
      </c>
      <c r="R201" s="35" t="s">
        <v>445</v>
      </c>
      <c r="S201" s="25" t="s">
        <v>82</v>
      </c>
      <c r="T201" s="330">
        <v>15000</v>
      </c>
      <c r="U201" s="472">
        <v>45646</v>
      </c>
      <c r="V201" s="30">
        <v>46094</v>
      </c>
      <c r="W201" s="9" t="s">
        <v>1841</v>
      </c>
      <c r="X201" s="9"/>
      <c r="Y201" s="30">
        <v>45726</v>
      </c>
      <c r="Z201" s="33" t="s">
        <v>1842</v>
      </c>
      <c r="AA201" s="30">
        <v>45908</v>
      </c>
      <c r="AB201" s="30"/>
      <c r="AC201" s="42"/>
      <c r="AD201" s="42"/>
      <c r="AE201" s="42"/>
      <c r="AF201" s="42"/>
      <c r="AG201" s="30"/>
      <c r="AH201" s="22" t="s">
        <v>67</v>
      </c>
      <c r="AI201" s="92">
        <v>45906</v>
      </c>
      <c r="AJ201" s="473" t="s">
        <v>600</v>
      </c>
      <c r="AK201" s="352"/>
      <c r="AL201" s="474"/>
      <c r="AM201" s="475"/>
      <c r="AN201" s="475"/>
      <c r="AO201" s="76"/>
      <c r="AP201" s="76" t="s">
        <v>1843</v>
      </c>
      <c r="AQ201" s="76"/>
      <c r="AR201" s="76"/>
      <c r="AS201" s="76"/>
      <c r="AT201" s="76"/>
      <c r="AU201" s="76"/>
      <c r="AV201" s="76"/>
      <c r="AW201" s="76"/>
      <c r="AX201" s="76"/>
      <c r="AY201" s="76"/>
      <c r="AZ201" s="76"/>
      <c r="BA201" s="76"/>
      <c r="BB201" s="76"/>
      <c r="BC201" s="478"/>
    </row>
    <row r="202" spans="1:55" ht="14.5">
      <c r="A202" s="17"/>
      <c r="B202" s="17">
        <v>200</v>
      </c>
      <c r="C202" s="109" t="s">
        <v>175</v>
      </c>
      <c r="D202" s="45" t="s">
        <v>55</v>
      </c>
      <c r="E202" s="111" t="s">
        <v>1844</v>
      </c>
      <c r="F202" s="282" t="s">
        <v>1845</v>
      </c>
      <c r="G202" s="33" t="s">
        <v>1846</v>
      </c>
      <c r="H202" s="28" t="s">
        <v>1847</v>
      </c>
      <c r="I202" s="33" t="s">
        <v>1848</v>
      </c>
      <c r="J202" s="22" t="s">
        <v>261</v>
      </c>
      <c r="K202" s="30">
        <v>38672</v>
      </c>
      <c r="L202" s="22">
        <f t="shared" ca="1" si="1"/>
        <v>20</v>
      </c>
      <c r="M202" s="22" t="s">
        <v>134</v>
      </c>
      <c r="N202" s="22" t="s">
        <v>61</v>
      </c>
      <c r="O202" s="30">
        <v>45778</v>
      </c>
      <c r="P202" s="446">
        <v>46844</v>
      </c>
      <c r="Q202" s="379" t="s">
        <v>1849</v>
      </c>
      <c r="R202" s="35" t="s">
        <v>1850</v>
      </c>
      <c r="S202" s="404" t="s">
        <v>137</v>
      </c>
      <c r="T202" s="64">
        <v>10000</v>
      </c>
      <c r="U202" s="425">
        <v>45758</v>
      </c>
      <c r="V202" s="91">
        <v>46108</v>
      </c>
      <c r="W202" s="14" t="s">
        <v>1851</v>
      </c>
      <c r="X202" s="16"/>
      <c r="Y202" s="30">
        <v>45777</v>
      </c>
      <c r="Z202" s="314" t="s">
        <v>1852</v>
      </c>
      <c r="AA202" s="30"/>
      <c r="AB202" s="30"/>
      <c r="AC202" s="42"/>
      <c r="AD202" s="42"/>
      <c r="AE202" s="42"/>
      <c r="AF202" s="42"/>
      <c r="AG202" s="30"/>
      <c r="AH202" s="22"/>
      <c r="AI202" s="92"/>
      <c r="AJ202" s="168"/>
      <c r="AK202" s="168"/>
      <c r="AL202" s="67"/>
      <c r="AM202" s="67" t="s">
        <v>265</v>
      </c>
      <c r="AN202" s="67" t="s">
        <v>265</v>
      </c>
      <c r="AO202" s="168"/>
      <c r="AP202" s="168" t="s">
        <v>1853</v>
      </c>
      <c r="AQ202" s="168"/>
      <c r="AR202" s="168"/>
      <c r="AS202" s="168"/>
      <c r="AT202" s="168"/>
      <c r="AU202" s="168"/>
      <c r="AV202" s="168"/>
      <c r="AW202" s="168"/>
      <c r="AX202" s="15"/>
      <c r="AY202" s="15"/>
      <c r="AZ202" s="15"/>
      <c r="BA202" s="15"/>
      <c r="BB202" s="15"/>
      <c r="BC202" s="478"/>
    </row>
    <row r="203" spans="1:55" ht="44.25" customHeight="1">
      <c r="A203" s="17"/>
      <c r="B203" s="17">
        <v>201</v>
      </c>
      <c r="C203" s="109" t="s">
        <v>175</v>
      </c>
      <c r="D203" s="45" t="s">
        <v>55</v>
      </c>
      <c r="E203" s="111" t="s">
        <v>1854</v>
      </c>
      <c r="F203" s="282" t="s">
        <v>1855</v>
      </c>
      <c r="G203" s="33" t="s">
        <v>1856</v>
      </c>
      <c r="H203" s="28" t="s">
        <v>1857</v>
      </c>
      <c r="I203" s="33" t="s">
        <v>104</v>
      </c>
      <c r="J203" s="22" t="s">
        <v>261</v>
      </c>
      <c r="K203" s="30">
        <v>36460</v>
      </c>
      <c r="L203" s="22">
        <f t="shared" ca="1" si="1"/>
        <v>26</v>
      </c>
      <c r="M203" s="22" t="s">
        <v>79</v>
      </c>
      <c r="N203" s="22" t="s">
        <v>61</v>
      </c>
      <c r="O203" s="30">
        <v>45778</v>
      </c>
      <c r="P203" s="446">
        <v>46844</v>
      </c>
      <c r="Q203" s="379" t="s">
        <v>1849</v>
      </c>
      <c r="R203" s="35" t="s">
        <v>1850</v>
      </c>
      <c r="S203" s="404" t="s">
        <v>400</v>
      </c>
      <c r="T203" s="64">
        <v>10000</v>
      </c>
      <c r="U203" s="425">
        <v>45758</v>
      </c>
      <c r="V203" s="91">
        <v>46108</v>
      </c>
      <c r="W203" s="70" t="s">
        <v>1858</v>
      </c>
      <c r="X203" s="16"/>
      <c r="Y203" s="30">
        <v>45777</v>
      </c>
      <c r="Z203" s="15" t="s">
        <v>1859</v>
      </c>
      <c r="AA203" s="30"/>
      <c r="AB203" s="30"/>
      <c r="AC203" s="42"/>
      <c r="AD203" s="42"/>
      <c r="AE203" s="42"/>
      <c r="AF203" s="42"/>
      <c r="AG203" s="30"/>
      <c r="AH203" s="22"/>
      <c r="AI203" s="92"/>
      <c r="AJ203" s="168"/>
      <c r="AK203" s="168"/>
      <c r="AL203" s="67"/>
      <c r="AM203" s="67" t="s">
        <v>265</v>
      </c>
      <c r="AN203" s="67" t="s">
        <v>265</v>
      </c>
      <c r="AO203" s="168"/>
      <c r="AP203" s="168" t="s">
        <v>1860</v>
      </c>
      <c r="AQ203" s="168"/>
      <c r="AR203" s="168"/>
      <c r="AS203" s="168"/>
      <c r="AT203" s="168" t="s">
        <v>1861</v>
      </c>
      <c r="AU203" s="168"/>
      <c r="AV203" s="168"/>
      <c r="AW203" s="168"/>
      <c r="AX203" s="144"/>
      <c r="AY203" s="144"/>
      <c r="AZ203" s="144"/>
      <c r="BA203" s="144"/>
      <c r="BB203" s="144"/>
      <c r="BC203" s="276"/>
    </row>
    <row r="204" spans="1:55" ht="44.25" customHeight="1">
      <c r="A204" s="479"/>
      <c r="B204" s="479">
        <v>202</v>
      </c>
      <c r="C204" s="480" t="s">
        <v>54</v>
      </c>
      <c r="D204" s="481" t="s">
        <v>55</v>
      </c>
      <c r="E204" s="482" t="s">
        <v>1862</v>
      </c>
      <c r="F204" s="483" t="s">
        <v>1863</v>
      </c>
      <c r="G204" s="484" t="s">
        <v>1864</v>
      </c>
      <c r="H204" s="485" t="s">
        <v>1865</v>
      </c>
      <c r="I204" s="484" t="s">
        <v>1866</v>
      </c>
      <c r="J204" s="479" t="s">
        <v>261</v>
      </c>
      <c r="K204" s="486">
        <v>36313</v>
      </c>
      <c r="L204" s="479">
        <f t="shared" ca="1" si="1"/>
        <v>26</v>
      </c>
      <c r="M204" s="479" t="s">
        <v>134</v>
      </c>
      <c r="N204" s="479" t="s">
        <v>471</v>
      </c>
      <c r="O204" s="486">
        <v>45818</v>
      </c>
      <c r="P204" s="487">
        <v>47604</v>
      </c>
      <c r="Q204" s="488" t="s">
        <v>81</v>
      </c>
      <c r="R204" s="489" t="s">
        <v>472</v>
      </c>
      <c r="S204" s="483" t="s">
        <v>82</v>
      </c>
      <c r="T204" s="490">
        <v>15000</v>
      </c>
      <c r="U204" s="491">
        <v>45743</v>
      </c>
      <c r="V204" s="492">
        <v>46176</v>
      </c>
      <c r="W204" s="479" t="s">
        <v>1867</v>
      </c>
      <c r="X204" s="493"/>
      <c r="Y204" s="486">
        <v>45791</v>
      </c>
      <c r="Z204" s="484" t="s">
        <v>1868</v>
      </c>
      <c r="AA204" s="486"/>
      <c r="AB204" s="486"/>
      <c r="AC204" s="491"/>
      <c r="AD204" s="491"/>
      <c r="AE204" s="491"/>
      <c r="AF204" s="491"/>
      <c r="AG204" s="486"/>
      <c r="AH204" s="479" t="s">
        <v>67</v>
      </c>
      <c r="AI204" s="494">
        <v>45981</v>
      </c>
      <c r="AJ204" s="495" t="s">
        <v>600</v>
      </c>
      <c r="AK204" s="495"/>
      <c r="AL204" s="496"/>
      <c r="AM204" s="496"/>
      <c r="AN204" s="496"/>
      <c r="AO204" s="497"/>
      <c r="AP204" s="497" t="s">
        <v>1869</v>
      </c>
      <c r="AQ204" s="489"/>
      <c r="AR204" s="489"/>
      <c r="AS204" s="489"/>
      <c r="AT204" s="489"/>
      <c r="AU204" s="489"/>
      <c r="AV204" s="489"/>
      <c r="AW204" s="489"/>
      <c r="AX204" s="489"/>
      <c r="AY204" s="489"/>
      <c r="AZ204" s="489"/>
      <c r="BA204" s="489"/>
      <c r="BB204" s="489"/>
      <c r="BC204" s="498"/>
    </row>
    <row r="205" spans="1:55" ht="50.25" customHeight="1">
      <c r="A205" s="17"/>
      <c r="B205" s="17">
        <v>203</v>
      </c>
      <c r="C205" s="135" t="s">
        <v>54</v>
      </c>
      <c r="D205" s="136" t="s">
        <v>611</v>
      </c>
      <c r="E205" s="111" t="s">
        <v>1870</v>
      </c>
      <c r="F205" s="25" t="s">
        <v>1871</v>
      </c>
      <c r="G205" s="88" t="s">
        <v>1872</v>
      </c>
      <c r="H205" s="137" t="s">
        <v>1873</v>
      </c>
      <c r="I205" s="88" t="s">
        <v>1874</v>
      </c>
      <c r="J205" s="17" t="s">
        <v>261</v>
      </c>
      <c r="K205" s="89">
        <v>35859</v>
      </c>
      <c r="L205" s="17">
        <f t="shared" ca="1" si="1"/>
        <v>28</v>
      </c>
      <c r="M205" s="22" t="s">
        <v>149</v>
      </c>
      <c r="N205" s="22" t="s">
        <v>617</v>
      </c>
      <c r="O205" s="89">
        <v>45825</v>
      </c>
      <c r="P205" s="499">
        <v>46447</v>
      </c>
      <c r="Q205" s="500" t="s">
        <v>81</v>
      </c>
      <c r="R205" s="15" t="s">
        <v>869</v>
      </c>
      <c r="S205" s="111" t="s">
        <v>149</v>
      </c>
      <c r="T205" s="64">
        <v>23300</v>
      </c>
      <c r="U205" s="425">
        <v>46106</v>
      </c>
      <c r="V205" s="197">
        <v>46191</v>
      </c>
      <c r="W205" s="501" t="s">
        <v>1875</v>
      </c>
      <c r="X205" s="17"/>
      <c r="Y205" s="502">
        <v>45819</v>
      </c>
      <c r="Z205" s="115" t="s">
        <v>1876</v>
      </c>
      <c r="AA205" s="89">
        <v>45888</v>
      </c>
      <c r="AB205" s="53" t="s">
        <v>1877</v>
      </c>
      <c r="AC205" s="90"/>
      <c r="AD205" s="90"/>
      <c r="AE205" s="90"/>
      <c r="AF205" s="89"/>
      <c r="AG205" s="17"/>
      <c r="AH205" s="86"/>
      <c r="AI205" s="503"/>
      <c r="AJ205" s="142"/>
      <c r="AK205" s="325"/>
      <c r="AL205" s="310" t="s">
        <v>89</v>
      </c>
      <c r="AM205" s="504">
        <v>44644</v>
      </c>
      <c r="AN205" s="35" t="s">
        <v>1878</v>
      </c>
      <c r="AO205" s="58" t="s">
        <v>91</v>
      </c>
      <c r="AP205" s="505" t="s">
        <v>1879</v>
      </c>
      <c r="AQ205" s="333" t="s">
        <v>1880</v>
      </c>
      <c r="AR205" s="333" t="s">
        <v>1881</v>
      </c>
      <c r="AS205" s="333"/>
      <c r="AT205" s="333"/>
      <c r="AU205" s="333"/>
      <c r="AV205" s="333"/>
      <c r="AW205" s="333"/>
      <c r="AX205" s="43" t="s">
        <v>1882</v>
      </c>
      <c r="AY205" s="43"/>
      <c r="AZ205" s="43"/>
      <c r="BA205" s="43"/>
      <c r="BB205" s="43"/>
      <c r="BC205" s="506"/>
    </row>
    <row r="206" spans="1:55" ht="50.25" customHeight="1">
      <c r="A206" s="507"/>
      <c r="B206" s="17">
        <v>204</v>
      </c>
      <c r="C206" s="135" t="s">
        <v>54</v>
      </c>
      <c r="D206" s="136" t="s">
        <v>611</v>
      </c>
      <c r="E206" s="158" t="s">
        <v>1883</v>
      </c>
      <c r="F206" s="508" t="s">
        <v>1884</v>
      </c>
      <c r="G206" s="88" t="s">
        <v>818</v>
      </c>
      <c r="H206" s="137" t="s">
        <v>819</v>
      </c>
      <c r="I206" s="88" t="s">
        <v>820</v>
      </c>
      <c r="J206" s="17" t="s">
        <v>60</v>
      </c>
      <c r="K206" s="89">
        <v>37462</v>
      </c>
      <c r="L206" s="17">
        <f t="shared" ca="1" si="1"/>
        <v>23</v>
      </c>
      <c r="M206" s="17" t="s">
        <v>134</v>
      </c>
      <c r="N206" s="22" t="s">
        <v>617</v>
      </c>
      <c r="O206" s="89">
        <v>45847</v>
      </c>
      <c r="P206" s="111" t="s">
        <v>629</v>
      </c>
      <c r="Q206" s="447" t="s">
        <v>81</v>
      </c>
      <c r="R206" s="88" t="s">
        <v>1474</v>
      </c>
      <c r="S206" s="283" t="s">
        <v>82</v>
      </c>
      <c r="T206" s="139">
        <v>15000</v>
      </c>
      <c r="U206" s="509">
        <v>45762</v>
      </c>
      <c r="V206" s="66">
        <v>46211</v>
      </c>
      <c r="W206" s="67" t="s">
        <v>1885</v>
      </c>
      <c r="X206" s="141"/>
      <c r="Y206" s="141" t="s">
        <v>265</v>
      </c>
      <c r="Z206" s="15" t="s">
        <v>1886</v>
      </c>
      <c r="AA206" s="17"/>
      <c r="AB206" s="53" t="s">
        <v>556</v>
      </c>
      <c r="AC206" s="53"/>
      <c r="AD206" s="53"/>
      <c r="AE206" s="53"/>
      <c r="AF206" s="53"/>
      <c r="AG206" s="17"/>
      <c r="AH206" s="52" t="s">
        <v>154</v>
      </c>
      <c r="AI206" s="51"/>
      <c r="AJ206" s="142"/>
      <c r="AK206" s="507"/>
      <c r="AL206" s="510" t="s">
        <v>89</v>
      </c>
      <c r="AM206" s="511">
        <v>44661</v>
      </c>
      <c r="AN206" s="15" t="s">
        <v>1887</v>
      </c>
      <c r="AO206" s="58" t="s">
        <v>91</v>
      </c>
      <c r="AP206" s="15" t="s">
        <v>1888</v>
      </c>
      <c r="AQ206" s="15"/>
      <c r="AR206" s="15"/>
      <c r="AS206" s="15"/>
      <c r="AT206" s="15"/>
      <c r="AU206" s="15"/>
      <c r="AV206" s="15"/>
      <c r="AW206" s="15"/>
      <c r="AX206" s="123"/>
      <c r="AY206" s="123"/>
      <c r="AZ206" s="123"/>
      <c r="BA206" s="123"/>
      <c r="BB206" s="123"/>
      <c r="BC206" s="512"/>
    </row>
    <row r="207" spans="1:55" ht="78">
      <c r="A207" s="21"/>
      <c r="B207" s="22">
        <v>205</v>
      </c>
      <c r="C207" s="23" t="s">
        <v>54</v>
      </c>
      <c r="D207" s="45" t="s">
        <v>611</v>
      </c>
      <c r="E207" s="158" t="s">
        <v>1889</v>
      </c>
      <c r="F207" s="513" t="s">
        <v>1890</v>
      </c>
      <c r="G207" s="27" t="s">
        <v>859</v>
      </c>
      <c r="H207" s="28" t="s">
        <v>860</v>
      </c>
      <c r="I207" s="29" t="s">
        <v>1891</v>
      </c>
      <c r="J207" s="22" t="s">
        <v>261</v>
      </c>
      <c r="K207" s="30">
        <v>35416</v>
      </c>
      <c r="L207" s="22">
        <f t="shared" ca="1" si="1"/>
        <v>29</v>
      </c>
      <c r="M207" s="22" t="s">
        <v>134</v>
      </c>
      <c r="N207" s="22" t="s">
        <v>617</v>
      </c>
      <c r="O207" s="30">
        <v>45860</v>
      </c>
      <c r="P207" s="25" t="s">
        <v>629</v>
      </c>
      <c r="Q207" s="49" t="s">
        <v>81</v>
      </c>
      <c r="R207" s="33" t="s">
        <v>688</v>
      </c>
      <c r="S207" s="158" t="s">
        <v>82</v>
      </c>
      <c r="T207" s="209">
        <v>15000</v>
      </c>
      <c r="U207" s="509">
        <v>45762</v>
      </c>
      <c r="V207" s="66">
        <v>46219</v>
      </c>
      <c r="W207" s="67" t="s">
        <v>1892</v>
      </c>
      <c r="X207" s="9"/>
      <c r="Y207" s="141" t="s">
        <v>265</v>
      </c>
      <c r="Z207" s="15" t="s">
        <v>1886</v>
      </c>
      <c r="AA207" s="22"/>
      <c r="AB207" s="53" t="s">
        <v>737</v>
      </c>
      <c r="AC207" s="36"/>
      <c r="AD207" s="36"/>
      <c r="AE207" s="36"/>
      <c r="AF207" s="36"/>
      <c r="AG207" s="22"/>
      <c r="AH207" s="22"/>
      <c r="AI207" s="37"/>
      <c r="AJ207" s="119"/>
      <c r="AK207" s="21"/>
      <c r="AL207" s="510" t="s">
        <v>89</v>
      </c>
      <c r="AM207" s="514">
        <v>44661</v>
      </c>
      <c r="AN207" s="15" t="s">
        <v>1887</v>
      </c>
      <c r="AO207" s="58" t="s">
        <v>91</v>
      </c>
      <c r="AP207" s="116" t="s">
        <v>1893</v>
      </c>
      <c r="AQ207" s="116"/>
      <c r="AR207" s="116"/>
      <c r="AS207" s="116"/>
      <c r="AT207" s="116"/>
      <c r="AU207" s="116"/>
      <c r="AV207" s="116"/>
      <c r="AW207" s="116"/>
      <c r="AX207" s="123"/>
      <c r="AY207" s="123"/>
      <c r="AZ207" s="123"/>
      <c r="BA207" s="123"/>
      <c r="BB207" s="123"/>
      <c r="BC207" s="506"/>
    </row>
    <row r="208" spans="1:55" ht="44.25" customHeight="1">
      <c r="A208" s="17"/>
      <c r="B208" s="17">
        <v>206</v>
      </c>
      <c r="C208" s="135" t="s">
        <v>54</v>
      </c>
      <c r="D208" s="136" t="s">
        <v>611</v>
      </c>
      <c r="E208" s="25" t="s">
        <v>1894</v>
      </c>
      <c r="F208" s="308" t="s">
        <v>1895</v>
      </c>
      <c r="G208" s="118" t="s">
        <v>1896</v>
      </c>
      <c r="H208" s="407" t="s">
        <v>1897</v>
      </c>
      <c r="I208" s="88" t="s">
        <v>1898</v>
      </c>
      <c r="J208" s="17" t="s">
        <v>261</v>
      </c>
      <c r="K208" s="89">
        <v>35928</v>
      </c>
      <c r="L208" s="17">
        <f t="shared" ca="1" si="1"/>
        <v>27</v>
      </c>
      <c r="M208" s="17" t="s">
        <v>134</v>
      </c>
      <c r="N208" s="17" t="s">
        <v>617</v>
      </c>
      <c r="O208" s="515">
        <v>45873</v>
      </c>
      <c r="P208" s="446">
        <v>46905</v>
      </c>
      <c r="Q208" s="500" t="s">
        <v>81</v>
      </c>
      <c r="R208" s="33" t="s">
        <v>553</v>
      </c>
      <c r="S208" s="111" t="s">
        <v>82</v>
      </c>
      <c r="T208" s="139">
        <v>15000</v>
      </c>
      <c r="U208" s="516">
        <v>45804</v>
      </c>
      <c r="V208" s="30">
        <v>46235</v>
      </c>
      <c r="W208" s="9" t="s">
        <v>1899</v>
      </c>
      <c r="X208" s="16"/>
      <c r="Y208" s="502">
        <v>45860</v>
      </c>
      <c r="Z208" s="517" t="s">
        <v>1900</v>
      </c>
      <c r="AA208" s="89"/>
      <c r="AB208" s="53" t="s">
        <v>1477</v>
      </c>
      <c r="AC208" s="90"/>
      <c r="AD208" s="90"/>
      <c r="AE208" s="90"/>
      <c r="AF208" s="90"/>
      <c r="AG208" s="89"/>
      <c r="AH208" s="17"/>
      <c r="AI208" s="86"/>
      <c r="AJ208" s="142"/>
      <c r="AK208" s="142"/>
      <c r="AL208" s="518" t="s">
        <v>265</v>
      </c>
      <c r="AM208" s="519">
        <v>45082</v>
      </c>
      <c r="AN208" s="67" t="s">
        <v>265</v>
      </c>
      <c r="AO208" s="58" t="s">
        <v>91</v>
      </c>
      <c r="AP208" s="374" t="s">
        <v>1901</v>
      </c>
      <c r="AQ208" s="374"/>
      <c r="AR208" s="374"/>
      <c r="AS208" s="374"/>
      <c r="AT208" s="374"/>
      <c r="AU208" s="374"/>
      <c r="AV208" s="374"/>
      <c r="AW208" s="374"/>
      <c r="AX208" s="123"/>
      <c r="AY208" s="123"/>
      <c r="AZ208" s="123"/>
      <c r="BA208" s="123"/>
      <c r="BB208" s="123"/>
      <c r="BC208" s="506"/>
    </row>
    <row r="209" spans="1:55" ht="44.25" customHeight="1">
      <c r="A209" s="17"/>
      <c r="B209" s="17">
        <v>207</v>
      </c>
      <c r="C209" s="84" t="s">
        <v>100</v>
      </c>
      <c r="D209" s="45" t="s">
        <v>55</v>
      </c>
      <c r="E209" s="25" t="s">
        <v>1902</v>
      </c>
      <c r="F209" s="25" t="s">
        <v>1903</v>
      </c>
      <c r="G209" s="47" t="s">
        <v>1904</v>
      </c>
      <c r="H209" s="28" t="s">
        <v>1905</v>
      </c>
      <c r="I209" s="33" t="s">
        <v>1906</v>
      </c>
      <c r="J209" s="22" t="s">
        <v>60</v>
      </c>
      <c r="K209" s="30">
        <v>35882</v>
      </c>
      <c r="L209" s="22">
        <f t="shared" ca="1" si="1"/>
        <v>28</v>
      </c>
      <c r="M209" s="22" t="s">
        <v>79</v>
      </c>
      <c r="N209" s="22" t="s">
        <v>61</v>
      </c>
      <c r="O209" s="520">
        <v>45890</v>
      </c>
      <c r="P209" s="446">
        <v>47665</v>
      </c>
      <c r="Q209" s="521" t="s">
        <v>81</v>
      </c>
      <c r="R209" s="35" t="s">
        <v>200</v>
      </c>
      <c r="S209" s="25" t="s">
        <v>1907</v>
      </c>
      <c r="T209" s="64">
        <v>20000</v>
      </c>
      <c r="U209" s="516">
        <v>45772</v>
      </c>
      <c r="V209" s="91">
        <v>46254</v>
      </c>
      <c r="W209" s="9" t="s">
        <v>1908</v>
      </c>
      <c r="X209" s="16"/>
      <c r="Y209" s="522">
        <v>45889</v>
      </c>
      <c r="Z209" s="314" t="s">
        <v>1909</v>
      </c>
      <c r="AA209" s="30"/>
      <c r="AB209" s="30"/>
      <c r="AC209" s="42"/>
      <c r="AD209" s="42"/>
      <c r="AE209" s="295" t="s">
        <v>1910</v>
      </c>
      <c r="AF209" s="295" t="s">
        <v>1911</v>
      </c>
      <c r="AG209" s="30"/>
      <c r="AH209" s="22" t="s">
        <v>1294</v>
      </c>
      <c r="AI209" s="92"/>
      <c r="AJ209" s="168"/>
      <c r="AK209" s="168"/>
      <c r="AL209" s="67" t="s">
        <v>89</v>
      </c>
      <c r="AM209" s="504">
        <v>45889</v>
      </c>
      <c r="AN209" s="82" t="s">
        <v>1912</v>
      </c>
      <c r="AO209" s="58" t="s">
        <v>1913</v>
      </c>
      <c r="AP209" s="193" t="s">
        <v>1914</v>
      </c>
      <c r="AQ209" s="523" t="s">
        <v>1915</v>
      </c>
      <c r="AR209" s="377"/>
      <c r="AS209" s="377"/>
      <c r="AT209" s="377" t="s">
        <v>1916</v>
      </c>
      <c r="AU209" s="377" t="s">
        <v>1917</v>
      </c>
      <c r="AV209" s="377"/>
      <c r="AW209" s="377"/>
      <c r="AX209" s="43"/>
      <c r="AY209" s="43"/>
      <c r="AZ209" s="43"/>
      <c r="BA209" s="43"/>
      <c r="BB209" s="43"/>
      <c r="BC209" s="478"/>
    </row>
    <row r="210" spans="1:55" ht="44.25" customHeight="1">
      <c r="A210" s="17" t="s">
        <v>802</v>
      </c>
      <c r="B210" s="22">
        <v>208</v>
      </c>
      <c r="C210" s="44" t="s">
        <v>54</v>
      </c>
      <c r="D210" s="45" t="s">
        <v>611</v>
      </c>
      <c r="E210" s="111" t="s">
        <v>1918</v>
      </c>
      <c r="F210" s="308" t="s">
        <v>1919</v>
      </c>
      <c r="G210" s="33" t="s">
        <v>1920</v>
      </c>
      <c r="H210" s="28" t="s">
        <v>1921</v>
      </c>
      <c r="I210" s="88" t="s">
        <v>1922</v>
      </c>
      <c r="J210" s="22" t="s">
        <v>60</v>
      </c>
      <c r="K210" s="30">
        <v>36944</v>
      </c>
      <c r="L210" s="22">
        <f t="shared" ca="1" si="1"/>
        <v>25</v>
      </c>
      <c r="M210" s="22" t="s">
        <v>134</v>
      </c>
      <c r="N210" s="22" t="s">
        <v>617</v>
      </c>
      <c r="O210" s="524">
        <v>45912</v>
      </c>
      <c r="P210" s="446">
        <v>47696</v>
      </c>
      <c r="Q210" s="521" t="s">
        <v>81</v>
      </c>
      <c r="R210" s="35" t="s">
        <v>630</v>
      </c>
      <c r="S210" s="25" t="s">
        <v>1687</v>
      </c>
      <c r="T210" s="64">
        <v>10000</v>
      </c>
      <c r="U210" s="425">
        <v>45737</v>
      </c>
      <c r="V210" s="89">
        <v>46276</v>
      </c>
      <c r="W210" s="141" t="s">
        <v>1923</v>
      </c>
      <c r="X210" s="16"/>
      <c r="Y210" s="30">
        <v>45911</v>
      </c>
      <c r="Z210" s="15" t="s">
        <v>1924</v>
      </c>
      <c r="AA210" s="525" t="s">
        <v>1925</v>
      </c>
      <c r="AB210" s="30"/>
      <c r="AC210" s="42"/>
      <c r="AD210" s="42"/>
      <c r="AE210" s="42"/>
      <c r="AF210" s="42"/>
      <c r="AG210" s="30"/>
      <c r="AH210" s="22"/>
      <c r="AI210" s="92"/>
      <c r="AJ210" s="168"/>
      <c r="AK210" s="168"/>
      <c r="AL210" s="67" t="s">
        <v>89</v>
      </c>
      <c r="AM210" s="526">
        <v>45911</v>
      </c>
      <c r="AN210" s="527" t="s">
        <v>1926</v>
      </c>
      <c r="AO210" s="58" t="s">
        <v>1913</v>
      </c>
      <c r="AP210" s="168" t="s">
        <v>1927</v>
      </c>
      <c r="AQ210" s="168"/>
      <c r="AR210" s="168"/>
      <c r="AS210" s="168"/>
      <c r="AT210" s="168"/>
      <c r="AU210" s="168"/>
      <c r="AV210" s="168"/>
      <c r="AW210" s="168"/>
      <c r="AX210" s="82"/>
      <c r="AY210" s="82"/>
      <c r="AZ210" s="82"/>
      <c r="BA210" s="82"/>
      <c r="BB210" s="82"/>
      <c r="BC210" s="478"/>
    </row>
    <row r="211" spans="1:55" ht="44.25" customHeight="1">
      <c r="A211" s="17"/>
      <c r="B211" s="22">
        <v>209</v>
      </c>
      <c r="C211" s="44" t="s">
        <v>54</v>
      </c>
      <c r="D211" s="45" t="s">
        <v>611</v>
      </c>
      <c r="E211" s="111" t="s">
        <v>1928</v>
      </c>
      <c r="F211" s="308" t="s">
        <v>1929</v>
      </c>
      <c r="G211" s="33" t="s">
        <v>1930</v>
      </c>
      <c r="H211" s="28" t="s">
        <v>1931</v>
      </c>
      <c r="I211" s="88" t="s">
        <v>1932</v>
      </c>
      <c r="J211" s="22" t="s">
        <v>60</v>
      </c>
      <c r="K211" s="30">
        <v>36120</v>
      </c>
      <c r="L211" s="22">
        <f t="shared" ca="1" si="1"/>
        <v>27</v>
      </c>
      <c r="M211" s="22" t="s">
        <v>134</v>
      </c>
      <c r="N211" s="22" t="s">
        <v>617</v>
      </c>
      <c r="O211" s="524">
        <v>45912</v>
      </c>
      <c r="P211" s="446">
        <v>47696</v>
      </c>
      <c r="Q211" s="521" t="s">
        <v>81</v>
      </c>
      <c r="R211" s="35" t="s">
        <v>630</v>
      </c>
      <c r="S211" s="25" t="s">
        <v>1687</v>
      </c>
      <c r="T211" s="64">
        <v>10000</v>
      </c>
      <c r="U211" s="425">
        <v>45737</v>
      </c>
      <c r="V211" s="89">
        <v>46276</v>
      </c>
      <c r="W211" s="141" t="s">
        <v>1933</v>
      </c>
      <c r="X211" s="16"/>
      <c r="Y211" s="30">
        <v>45911</v>
      </c>
      <c r="Z211" s="15" t="s">
        <v>1934</v>
      </c>
      <c r="AA211" s="525" t="s">
        <v>1935</v>
      </c>
      <c r="AB211" s="30"/>
      <c r="AC211" s="42"/>
      <c r="AD211" s="42"/>
      <c r="AE211" s="42"/>
      <c r="AF211" s="42"/>
      <c r="AG211" s="30"/>
      <c r="AH211" s="22"/>
      <c r="AI211" s="92"/>
      <c r="AJ211" s="168"/>
      <c r="AK211" s="168"/>
      <c r="AL211" s="67" t="s">
        <v>89</v>
      </c>
      <c r="AM211" s="526">
        <v>45911</v>
      </c>
      <c r="AN211" s="527" t="s">
        <v>1926</v>
      </c>
      <c r="AO211" s="58" t="s">
        <v>1913</v>
      </c>
      <c r="AP211" s="168" t="s">
        <v>1927</v>
      </c>
      <c r="AQ211" s="168"/>
      <c r="AR211" s="168"/>
      <c r="AS211" s="168"/>
      <c r="AT211" s="168"/>
      <c r="AU211" s="168"/>
      <c r="AV211" s="168"/>
      <c r="AW211" s="168"/>
      <c r="AX211" s="123"/>
      <c r="AY211" s="123"/>
      <c r="AZ211" s="123"/>
      <c r="BA211" s="123"/>
      <c r="BB211" s="123"/>
      <c r="BC211" s="478"/>
    </row>
    <row r="212" spans="1:55" ht="44.25" customHeight="1">
      <c r="A212" s="17"/>
      <c r="B212" s="22">
        <v>210</v>
      </c>
      <c r="C212" s="44" t="s">
        <v>54</v>
      </c>
      <c r="D212" s="45" t="s">
        <v>611</v>
      </c>
      <c r="E212" s="111" t="s">
        <v>1936</v>
      </c>
      <c r="F212" s="308" t="s">
        <v>1937</v>
      </c>
      <c r="G212" s="33" t="s">
        <v>1938</v>
      </c>
      <c r="H212" s="28" t="s">
        <v>1939</v>
      </c>
      <c r="I212" s="88" t="s">
        <v>1940</v>
      </c>
      <c r="J212" s="22" t="s">
        <v>60</v>
      </c>
      <c r="K212" s="30">
        <v>38114</v>
      </c>
      <c r="L212" s="22">
        <f t="shared" ca="1" si="1"/>
        <v>21</v>
      </c>
      <c r="M212" s="22" t="s">
        <v>134</v>
      </c>
      <c r="N212" s="22" t="s">
        <v>617</v>
      </c>
      <c r="O212" s="524">
        <v>45912</v>
      </c>
      <c r="P212" s="446">
        <v>47696</v>
      </c>
      <c r="Q212" s="521" t="s">
        <v>81</v>
      </c>
      <c r="R212" s="35" t="s">
        <v>630</v>
      </c>
      <c r="S212" s="25" t="s">
        <v>1687</v>
      </c>
      <c r="T212" s="64">
        <v>10000</v>
      </c>
      <c r="U212" s="425">
        <v>45737</v>
      </c>
      <c r="V212" s="89">
        <v>46276</v>
      </c>
      <c r="W212" s="141" t="s">
        <v>1941</v>
      </c>
      <c r="X212" s="16"/>
      <c r="Y212" s="30">
        <v>45911</v>
      </c>
      <c r="Z212" s="15" t="s">
        <v>1942</v>
      </c>
      <c r="AA212" s="525" t="s">
        <v>1943</v>
      </c>
      <c r="AB212" s="30"/>
      <c r="AC212" s="42"/>
      <c r="AD212" s="42"/>
      <c r="AE212" s="42"/>
      <c r="AF212" s="42"/>
      <c r="AG212" s="30"/>
      <c r="AH212" s="22"/>
      <c r="AI212" s="92"/>
      <c r="AJ212" s="168"/>
      <c r="AK212" s="168"/>
      <c r="AL212" s="67" t="s">
        <v>89</v>
      </c>
      <c r="AM212" s="526">
        <v>45911</v>
      </c>
      <c r="AN212" s="527" t="s">
        <v>1926</v>
      </c>
      <c r="AO212" s="58" t="s">
        <v>1913</v>
      </c>
      <c r="AP212" s="168" t="s">
        <v>1927</v>
      </c>
      <c r="AQ212" s="168"/>
      <c r="AR212" s="168"/>
      <c r="AS212" s="168"/>
      <c r="AT212" s="168"/>
      <c r="AU212" s="168"/>
      <c r="AV212" s="168"/>
      <c r="AW212" s="168"/>
      <c r="AX212" s="82"/>
      <c r="AY212" s="82"/>
      <c r="AZ212" s="82"/>
      <c r="BA212" s="82"/>
      <c r="BB212" s="82"/>
      <c r="BC212" s="478"/>
    </row>
    <row r="213" spans="1:55" ht="44.25" customHeight="1">
      <c r="A213" s="17"/>
      <c r="B213" s="22">
        <v>211</v>
      </c>
      <c r="C213" s="44" t="s">
        <v>54</v>
      </c>
      <c r="D213" s="45" t="s">
        <v>611</v>
      </c>
      <c r="E213" s="111" t="s">
        <v>1944</v>
      </c>
      <c r="F213" s="308" t="s">
        <v>1945</v>
      </c>
      <c r="G213" s="33" t="s">
        <v>1946</v>
      </c>
      <c r="H213" s="28" t="s">
        <v>1947</v>
      </c>
      <c r="I213" s="88" t="s">
        <v>725</v>
      </c>
      <c r="J213" s="22" t="s">
        <v>60</v>
      </c>
      <c r="K213" s="30">
        <v>38007</v>
      </c>
      <c r="L213" s="22">
        <f t="shared" ca="1" si="1"/>
        <v>22</v>
      </c>
      <c r="M213" s="22" t="s">
        <v>134</v>
      </c>
      <c r="N213" s="22" t="s">
        <v>617</v>
      </c>
      <c r="O213" s="524">
        <v>45912</v>
      </c>
      <c r="P213" s="446">
        <v>47696</v>
      </c>
      <c r="Q213" s="521" t="s">
        <v>81</v>
      </c>
      <c r="R213" s="35" t="s">
        <v>630</v>
      </c>
      <c r="S213" s="25" t="s">
        <v>1687</v>
      </c>
      <c r="T213" s="64">
        <v>10000</v>
      </c>
      <c r="U213" s="425">
        <v>45737</v>
      </c>
      <c r="V213" s="89">
        <v>46276</v>
      </c>
      <c r="W213" s="141" t="s">
        <v>1948</v>
      </c>
      <c r="X213" s="16"/>
      <c r="Y213" s="30">
        <v>45911</v>
      </c>
      <c r="Z213" s="15" t="s">
        <v>1949</v>
      </c>
      <c r="AA213" s="525" t="s">
        <v>1950</v>
      </c>
      <c r="AB213" s="30"/>
      <c r="AC213" s="42"/>
      <c r="AD213" s="42"/>
      <c r="AE213" s="42"/>
      <c r="AF213" s="42"/>
      <c r="AG213" s="30"/>
      <c r="AH213" s="22"/>
      <c r="AI213" s="92"/>
      <c r="AJ213" s="168"/>
      <c r="AK213" s="168"/>
      <c r="AL213" s="67" t="s">
        <v>89</v>
      </c>
      <c r="AM213" s="526">
        <v>45911</v>
      </c>
      <c r="AN213" s="527" t="s">
        <v>1926</v>
      </c>
      <c r="AO213" s="58" t="s">
        <v>1913</v>
      </c>
      <c r="AP213" s="168" t="s">
        <v>1927</v>
      </c>
      <c r="AQ213" s="168"/>
      <c r="AR213" s="168"/>
      <c r="AS213" s="168"/>
      <c r="AT213" s="168"/>
      <c r="AU213" s="168"/>
      <c r="AV213" s="168"/>
      <c r="AW213" s="168"/>
      <c r="AX213" s="123"/>
      <c r="AY213" s="123"/>
      <c r="AZ213" s="123"/>
      <c r="BA213" s="123"/>
      <c r="BB213" s="123"/>
      <c r="BC213" s="478"/>
    </row>
    <row r="214" spans="1:55" ht="44.25" customHeight="1">
      <c r="A214" s="17"/>
      <c r="B214" s="22">
        <v>212</v>
      </c>
      <c r="C214" s="44" t="s">
        <v>54</v>
      </c>
      <c r="D214" s="45" t="s">
        <v>611</v>
      </c>
      <c r="E214" s="111" t="s">
        <v>1951</v>
      </c>
      <c r="F214" s="308" t="s">
        <v>1952</v>
      </c>
      <c r="G214" s="33" t="s">
        <v>1953</v>
      </c>
      <c r="H214" s="28" t="s">
        <v>1954</v>
      </c>
      <c r="I214" s="88" t="s">
        <v>1955</v>
      </c>
      <c r="J214" s="22" t="s">
        <v>60</v>
      </c>
      <c r="K214" s="30">
        <v>35809</v>
      </c>
      <c r="L214" s="22">
        <f t="shared" ca="1" si="1"/>
        <v>28</v>
      </c>
      <c r="M214" s="22" t="s">
        <v>134</v>
      </c>
      <c r="N214" s="22" t="s">
        <v>617</v>
      </c>
      <c r="O214" s="524">
        <v>45912</v>
      </c>
      <c r="P214" s="446">
        <v>47696</v>
      </c>
      <c r="Q214" s="521" t="s">
        <v>81</v>
      </c>
      <c r="R214" s="35" t="s">
        <v>630</v>
      </c>
      <c r="S214" s="25" t="s">
        <v>1687</v>
      </c>
      <c r="T214" s="64">
        <v>10000</v>
      </c>
      <c r="U214" s="425">
        <v>45737</v>
      </c>
      <c r="V214" s="89">
        <v>46276</v>
      </c>
      <c r="W214" s="141" t="s">
        <v>1956</v>
      </c>
      <c r="X214" s="16"/>
      <c r="Y214" s="30">
        <v>45911</v>
      </c>
      <c r="Z214" s="15" t="s">
        <v>1957</v>
      </c>
      <c r="AA214" s="525" t="s">
        <v>1958</v>
      </c>
      <c r="AB214" s="30"/>
      <c r="AC214" s="42"/>
      <c r="AD214" s="42"/>
      <c r="AE214" s="42"/>
      <c r="AF214" s="42"/>
      <c r="AG214" s="30"/>
      <c r="AH214" s="22"/>
      <c r="AI214" s="92"/>
      <c r="AJ214" s="168"/>
      <c r="AK214" s="168"/>
      <c r="AL214" s="67" t="s">
        <v>89</v>
      </c>
      <c r="AM214" s="526">
        <v>45911</v>
      </c>
      <c r="AN214" s="527" t="s">
        <v>1926</v>
      </c>
      <c r="AO214" s="58" t="s">
        <v>1913</v>
      </c>
      <c r="AP214" s="168" t="s">
        <v>1927</v>
      </c>
      <c r="AQ214" s="168"/>
      <c r="AR214" s="168"/>
      <c r="AS214" s="168"/>
      <c r="AT214" s="168"/>
      <c r="AU214" s="168"/>
      <c r="AV214" s="168"/>
      <c r="AW214" s="168"/>
      <c r="AX214" s="35"/>
      <c r="AY214" s="35"/>
      <c r="AZ214" s="35"/>
      <c r="BA214" s="35"/>
      <c r="BB214" s="35"/>
      <c r="BC214" s="478"/>
    </row>
    <row r="215" spans="1:55" ht="44.25" customHeight="1">
      <c r="A215" s="17"/>
      <c r="B215" s="22">
        <v>213</v>
      </c>
      <c r="C215" s="44" t="s">
        <v>54</v>
      </c>
      <c r="D215" s="45" t="s">
        <v>611</v>
      </c>
      <c r="E215" s="111" t="s">
        <v>1959</v>
      </c>
      <c r="F215" s="308" t="s">
        <v>1960</v>
      </c>
      <c r="G215" s="33" t="s">
        <v>1961</v>
      </c>
      <c r="H215" s="28" t="s">
        <v>1962</v>
      </c>
      <c r="I215" s="88" t="s">
        <v>1963</v>
      </c>
      <c r="J215" s="22" t="s">
        <v>60</v>
      </c>
      <c r="K215" s="30">
        <v>37027</v>
      </c>
      <c r="L215" s="22">
        <f t="shared" ca="1" si="1"/>
        <v>24</v>
      </c>
      <c r="M215" s="22" t="s">
        <v>134</v>
      </c>
      <c r="N215" s="22" t="s">
        <v>617</v>
      </c>
      <c r="O215" s="524">
        <v>45912</v>
      </c>
      <c r="P215" s="446">
        <v>47696</v>
      </c>
      <c r="Q215" s="521" t="s">
        <v>81</v>
      </c>
      <c r="R215" s="35" t="s">
        <v>630</v>
      </c>
      <c r="S215" s="25" t="s">
        <v>1687</v>
      </c>
      <c r="T215" s="64">
        <v>10000</v>
      </c>
      <c r="U215" s="425">
        <v>45737</v>
      </c>
      <c r="V215" s="89">
        <v>46276</v>
      </c>
      <c r="W215" s="141" t="s">
        <v>1964</v>
      </c>
      <c r="X215" s="16"/>
      <c r="Y215" s="30">
        <v>45911</v>
      </c>
      <c r="Z215" s="15" t="s">
        <v>1965</v>
      </c>
      <c r="AA215" s="525" t="s">
        <v>1966</v>
      </c>
      <c r="AB215" s="30"/>
      <c r="AC215" s="42"/>
      <c r="AD215" s="42"/>
      <c r="AE215" s="42"/>
      <c r="AF215" s="42"/>
      <c r="AG215" s="30"/>
      <c r="AH215" s="22"/>
      <c r="AI215" s="92"/>
      <c r="AJ215" s="168"/>
      <c r="AK215" s="168"/>
      <c r="AL215" s="67" t="s">
        <v>89</v>
      </c>
      <c r="AM215" s="526">
        <v>45911</v>
      </c>
      <c r="AN215" s="527" t="s">
        <v>1926</v>
      </c>
      <c r="AO215" s="58" t="s">
        <v>1913</v>
      </c>
      <c r="AP215" s="168" t="s">
        <v>1927</v>
      </c>
      <c r="AQ215" s="168"/>
      <c r="AR215" s="168"/>
      <c r="AS215" s="168"/>
      <c r="AT215" s="168"/>
      <c r="AU215" s="168"/>
      <c r="AV215" s="168"/>
      <c r="AW215" s="168"/>
      <c r="AX215" s="35"/>
      <c r="AY215" s="35"/>
      <c r="AZ215" s="35"/>
      <c r="BA215" s="35"/>
      <c r="BB215" s="35"/>
      <c r="BC215" s="478"/>
    </row>
    <row r="216" spans="1:55" ht="44.25" customHeight="1">
      <c r="A216" s="325"/>
      <c r="B216" s="22">
        <v>214</v>
      </c>
      <c r="C216" s="44" t="s">
        <v>54</v>
      </c>
      <c r="D216" s="45" t="s">
        <v>611</v>
      </c>
      <c r="E216" s="111" t="s">
        <v>1967</v>
      </c>
      <c r="F216" s="308" t="s">
        <v>1968</v>
      </c>
      <c r="G216" s="33" t="s">
        <v>1969</v>
      </c>
      <c r="H216" s="28" t="s">
        <v>1970</v>
      </c>
      <c r="I216" s="88" t="s">
        <v>1971</v>
      </c>
      <c r="J216" s="22" t="s">
        <v>60</v>
      </c>
      <c r="K216" s="30">
        <v>37106</v>
      </c>
      <c r="L216" s="22">
        <f t="shared" ca="1" si="1"/>
        <v>24</v>
      </c>
      <c r="M216" s="22" t="s">
        <v>134</v>
      </c>
      <c r="N216" s="22" t="s">
        <v>617</v>
      </c>
      <c r="O216" s="524">
        <v>45912</v>
      </c>
      <c r="P216" s="446">
        <v>47696</v>
      </c>
      <c r="Q216" s="521" t="s">
        <v>81</v>
      </c>
      <c r="R216" s="35" t="s">
        <v>630</v>
      </c>
      <c r="S216" s="25" t="s">
        <v>1687</v>
      </c>
      <c r="T216" s="64">
        <v>10000</v>
      </c>
      <c r="U216" s="425">
        <v>45733</v>
      </c>
      <c r="V216" s="89">
        <v>46276</v>
      </c>
      <c r="W216" s="141" t="s">
        <v>1972</v>
      </c>
      <c r="X216" s="16"/>
      <c r="Y216" s="30">
        <v>45911</v>
      </c>
      <c r="Z216" s="15" t="s">
        <v>1973</v>
      </c>
      <c r="AA216" s="525" t="s">
        <v>1935</v>
      </c>
      <c r="AB216" s="30"/>
      <c r="AC216" s="42"/>
      <c r="AD216" s="42"/>
      <c r="AE216" s="42"/>
      <c r="AF216" s="42"/>
      <c r="AG216" s="30"/>
      <c r="AH216" s="22"/>
      <c r="AI216" s="92"/>
      <c r="AJ216" s="168"/>
      <c r="AK216" s="168"/>
      <c r="AL216" s="67" t="s">
        <v>89</v>
      </c>
      <c r="AM216" s="526">
        <v>45911</v>
      </c>
      <c r="AN216" s="527" t="s">
        <v>1926</v>
      </c>
      <c r="AO216" s="58" t="s">
        <v>1913</v>
      </c>
      <c r="AP216" s="168" t="s">
        <v>1927</v>
      </c>
      <c r="AQ216" s="168"/>
      <c r="AR216" s="168"/>
      <c r="AS216" s="168"/>
      <c r="AT216" s="168"/>
      <c r="AU216" s="168"/>
      <c r="AV216" s="168"/>
      <c r="AW216" s="168"/>
      <c r="AX216" s="35"/>
      <c r="AY216" s="35"/>
      <c r="AZ216" s="35"/>
      <c r="BA216" s="35"/>
      <c r="BB216" s="35"/>
      <c r="BC216" s="478"/>
    </row>
    <row r="217" spans="1:55" ht="44.25" customHeight="1">
      <c r="A217" s="17"/>
      <c r="B217" s="22">
        <v>215</v>
      </c>
      <c r="C217" s="44" t="s">
        <v>54</v>
      </c>
      <c r="D217" s="45" t="s">
        <v>611</v>
      </c>
      <c r="E217" s="111" t="s">
        <v>1974</v>
      </c>
      <c r="F217" s="308" t="s">
        <v>1975</v>
      </c>
      <c r="G217" s="33" t="s">
        <v>1976</v>
      </c>
      <c r="H217" s="28" t="s">
        <v>1977</v>
      </c>
      <c r="I217" s="88" t="s">
        <v>1978</v>
      </c>
      <c r="J217" s="22" t="s">
        <v>60</v>
      </c>
      <c r="K217" s="30">
        <v>38614</v>
      </c>
      <c r="L217" s="22">
        <f t="shared" ca="1" si="1"/>
        <v>20</v>
      </c>
      <c r="M217" s="22" t="s">
        <v>134</v>
      </c>
      <c r="N217" s="22" t="s">
        <v>617</v>
      </c>
      <c r="O217" s="524">
        <v>45912</v>
      </c>
      <c r="P217" s="446">
        <v>47696</v>
      </c>
      <c r="Q217" s="521" t="s">
        <v>81</v>
      </c>
      <c r="R217" s="35" t="s">
        <v>630</v>
      </c>
      <c r="S217" s="158" t="s">
        <v>1979</v>
      </c>
      <c r="T217" s="64">
        <v>15000</v>
      </c>
      <c r="U217" s="425">
        <v>45733</v>
      </c>
      <c r="V217" s="89">
        <v>46276</v>
      </c>
      <c r="W217" s="141" t="s">
        <v>1980</v>
      </c>
      <c r="X217" s="16"/>
      <c r="Y217" s="30">
        <v>45911</v>
      </c>
      <c r="Z217" s="15" t="s">
        <v>1981</v>
      </c>
      <c r="AA217" s="525" t="s">
        <v>1982</v>
      </c>
      <c r="AB217" s="30"/>
      <c r="AC217" s="42"/>
      <c r="AD217" s="42"/>
      <c r="AE217" s="42"/>
      <c r="AF217" s="42"/>
      <c r="AG217" s="30"/>
      <c r="AH217" s="22"/>
      <c r="AI217" s="92"/>
      <c r="AJ217" s="168"/>
      <c r="AK217" s="168"/>
      <c r="AL217" s="67" t="s">
        <v>89</v>
      </c>
      <c r="AM217" s="526">
        <v>45911</v>
      </c>
      <c r="AN217" s="527" t="s">
        <v>1926</v>
      </c>
      <c r="AO217" s="58" t="s">
        <v>1913</v>
      </c>
      <c r="AP217" s="168" t="s">
        <v>1983</v>
      </c>
      <c r="AQ217" s="168"/>
      <c r="AR217" s="168"/>
      <c r="AS217" s="168"/>
      <c r="AT217" s="168" t="s">
        <v>1984</v>
      </c>
      <c r="AU217" s="168"/>
      <c r="AV217" s="168"/>
      <c r="AW217" s="168"/>
      <c r="AX217" s="298"/>
      <c r="AY217" s="298"/>
      <c r="AZ217" s="298"/>
      <c r="BA217" s="298"/>
      <c r="BB217" s="298"/>
      <c r="BC217" s="478"/>
    </row>
    <row r="218" spans="1:55" ht="44.25" customHeight="1">
      <c r="A218" s="17"/>
      <c r="B218" s="22">
        <v>216</v>
      </c>
      <c r="C218" s="44" t="s">
        <v>54</v>
      </c>
      <c r="D218" s="45" t="s">
        <v>611</v>
      </c>
      <c r="E218" s="111" t="s">
        <v>1985</v>
      </c>
      <c r="F218" s="308" t="s">
        <v>1986</v>
      </c>
      <c r="G218" s="33" t="s">
        <v>1987</v>
      </c>
      <c r="H218" s="28" t="s">
        <v>1988</v>
      </c>
      <c r="I218" s="88" t="s">
        <v>1989</v>
      </c>
      <c r="J218" s="22" t="s">
        <v>60</v>
      </c>
      <c r="K218" s="30">
        <v>36296</v>
      </c>
      <c r="L218" s="22">
        <f t="shared" ca="1" si="1"/>
        <v>26</v>
      </c>
      <c r="M218" s="22" t="s">
        <v>134</v>
      </c>
      <c r="N218" s="22" t="s">
        <v>617</v>
      </c>
      <c r="O218" s="524">
        <v>45912</v>
      </c>
      <c r="P218" s="446">
        <v>47696</v>
      </c>
      <c r="Q218" s="521" t="s">
        <v>81</v>
      </c>
      <c r="R218" s="35" t="s">
        <v>630</v>
      </c>
      <c r="S218" s="25" t="s">
        <v>1687</v>
      </c>
      <c r="T218" s="64">
        <v>10000</v>
      </c>
      <c r="U218" s="425">
        <v>45733</v>
      </c>
      <c r="V218" s="89">
        <v>46276</v>
      </c>
      <c r="W218" s="141" t="s">
        <v>1990</v>
      </c>
      <c r="X218" s="16"/>
      <c r="Y218" s="30">
        <v>45911</v>
      </c>
      <c r="Z218" s="15" t="s">
        <v>1991</v>
      </c>
      <c r="AA218" s="525" t="s">
        <v>1992</v>
      </c>
      <c r="AB218" s="30"/>
      <c r="AC218" s="42"/>
      <c r="AD218" s="42"/>
      <c r="AE218" s="42"/>
      <c r="AF218" s="42"/>
      <c r="AG218" s="30"/>
      <c r="AH218" s="22"/>
      <c r="AI218" s="92"/>
      <c r="AJ218" s="168"/>
      <c r="AK218" s="168"/>
      <c r="AL218" s="67" t="s">
        <v>89</v>
      </c>
      <c r="AM218" s="526">
        <v>45911</v>
      </c>
      <c r="AN218" s="527" t="s">
        <v>1926</v>
      </c>
      <c r="AO218" s="58" t="s">
        <v>1913</v>
      </c>
      <c r="AP218" s="168" t="s">
        <v>1927</v>
      </c>
      <c r="AQ218" s="168"/>
      <c r="AR218" s="168"/>
      <c r="AS218" s="168"/>
      <c r="AT218" s="168" t="s">
        <v>1993</v>
      </c>
      <c r="AU218" s="168"/>
      <c r="AV218" s="168"/>
      <c r="AW218" s="168"/>
      <c r="AX218" s="35"/>
      <c r="AY218" s="35"/>
      <c r="AZ218" s="35"/>
      <c r="BA218" s="35"/>
      <c r="BB218" s="35"/>
      <c r="BC218" s="478"/>
    </row>
    <row r="219" spans="1:55" ht="44.25" customHeight="1">
      <c r="A219" s="17"/>
      <c r="B219" s="22">
        <v>217</v>
      </c>
      <c r="C219" s="44" t="s">
        <v>54</v>
      </c>
      <c r="D219" s="45" t="s">
        <v>611</v>
      </c>
      <c r="E219" s="111" t="s">
        <v>1994</v>
      </c>
      <c r="F219" s="308" t="s">
        <v>1995</v>
      </c>
      <c r="G219" s="33" t="s">
        <v>1996</v>
      </c>
      <c r="H219" s="28" t="s">
        <v>1997</v>
      </c>
      <c r="I219" s="88" t="s">
        <v>1998</v>
      </c>
      <c r="J219" s="22" t="s">
        <v>60</v>
      </c>
      <c r="K219" s="30">
        <v>38346</v>
      </c>
      <c r="L219" s="22">
        <f t="shared" ca="1" si="1"/>
        <v>21</v>
      </c>
      <c r="M219" s="22" t="s">
        <v>134</v>
      </c>
      <c r="N219" s="22" t="s">
        <v>617</v>
      </c>
      <c r="O219" s="524">
        <v>45912</v>
      </c>
      <c r="P219" s="446">
        <v>47696</v>
      </c>
      <c r="Q219" s="521" t="s">
        <v>81</v>
      </c>
      <c r="R219" s="182" t="s">
        <v>920</v>
      </c>
      <c r="S219" s="25" t="s">
        <v>1687</v>
      </c>
      <c r="T219" s="161">
        <v>10000</v>
      </c>
      <c r="U219" s="516">
        <v>45765</v>
      </c>
      <c r="V219" s="89">
        <v>46276</v>
      </c>
      <c r="W219" s="141" t="s">
        <v>1999</v>
      </c>
      <c r="X219" s="16"/>
      <c r="Y219" s="30">
        <v>45911</v>
      </c>
      <c r="Z219" s="15" t="s">
        <v>2000</v>
      </c>
      <c r="AA219" s="525" t="s">
        <v>1935</v>
      </c>
      <c r="AB219" s="30"/>
      <c r="AC219" s="42"/>
      <c r="AD219" s="42"/>
      <c r="AE219" s="42"/>
      <c r="AF219" s="42"/>
      <c r="AG219" s="30"/>
      <c r="AH219" s="22"/>
      <c r="AI219" s="92"/>
      <c r="AJ219" s="168"/>
      <c r="AK219" s="168"/>
      <c r="AL219" s="67" t="s">
        <v>89</v>
      </c>
      <c r="AM219" s="526">
        <v>45911</v>
      </c>
      <c r="AN219" s="527" t="s">
        <v>1926</v>
      </c>
      <c r="AO219" s="58" t="s">
        <v>1913</v>
      </c>
      <c r="AP219" s="168" t="s">
        <v>2001</v>
      </c>
      <c r="AQ219" s="168"/>
      <c r="AR219" s="168"/>
      <c r="AS219" s="168"/>
      <c r="AT219" s="168" t="s">
        <v>2002</v>
      </c>
      <c r="AU219" s="168"/>
      <c r="AV219" s="168"/>
      <c r="AW219" s="168"/>
      <c r="AX219" s="82"/>
      <c r="AY219" s="82"/>
      <c r="AZ219" s="82"/>
      <c r="BA219" s="82"/>
      <c r="BB219" s="82"/>
      <c r="BC219" s="478"/>
    </row>
    <row r="220" spans="1:55" ht="44.25" customHeight="1">
      <c r="A220" s="17"/>
      <c r="B220" s="22">
        <v>218</v>
      </c>
      <c r="C220" s="44" t="s">
        <v>54</v>
      </c>
      <c r="D220" s="45" t="s">
        <v>611</v>
      </c>
      <c r="E220" s="111" t="s">
        <v>2003</v>
      </c>
      <c r="F220" s="308" t="s">
        <v>2004</v>
      </c>
      <c r="G220" s="33" t="s">
        <v>2005</v>
      </c>
      <c r="H220" s="28" t="s">
        <v>2006</v>
      </c>
      <c r="I220" s="88" t="s">
        <v>2007</v>
      </c>
      <c r="J220" s="22" t="s">
        <v>60</v>
      </c>
      <c r="K220" s="30">
        <v>38248</v>
      </c>
      <c r="L220" s="22">
        <f t="shared" ca="1" si="1"/>
        <v>21</v>
      </c>
      <c r="M220" s="22" t="s">
        <v>134</v>
      </c>
      <c r="N220" s="22" t="s">
        <v>617</v>
      </c>
      <c r="O220" s="524">
        <v>45912</v>
      </c>
      <c r="P220" s="446">
        <v>47696</v>
      </c>
      <c r="Q220" s="521" t="s">
        <v>81</v>
      </c>
      <c r="R220" s="182" t="s">
        <v>920</v>
      </c>
      <c r="S220" s="25" t="s">
        <v>1687</v>
      </c>
      <c r="T220" s="161">
        <v>10000</v>
      </c>
      <c r="U220" s="516">
        <v>45765</v>
      </c>
      <c r="V220" s="89">
        <v>46276</v>
      </c>
      <c r="W220" s="141" t="s">
        <v>2008</v>
      </c>
      <c r="X220" s="16"/>
      <c r="Y220" s="30">
        <v>45911</v>
      </c>
      <c r="Z220" s="15" t="s">
        <v>2009</v>
      </c>
      <c r="AA220" s="525" t="s">
        <v>1935</v>
      </c>
      <c r="AB220" s="30"/>
      <c r="AC220" s="42"/>
      <c r="AD220" s="42"/>
      <c r="AE220" s="42"/>
      <c r="AF220" s="42"/>
      <c r="AG220" s="30"/>
      <c r="AH220" s="22"/>
      <c r="AI220" s="92"/>
      <c r="AJ220" s="168"/>
      <c r="AK220" s="168"/>
      <c r="AL220" s="67" t="s">
        <v>89</v>
      </c>
      <c r="AM220" s="526">
        <v>45911</v>
      </c>
      <c r="AN220" s="527" t="s">
        <v>1926</v>
      </c>
      <c r="AO220" s="58" t="s">
        <v>1913</v>
      </c>
      <c r="AP220" s="168" t="s">
        <v>2010</v>
      </c>
      <c r="AQ220" s="168"/>
      <c r="AR220" s="168"/>
      <c r="AS220" s="168"/>
      <c r="AT220" s="168"/>
      <c r="AU220" s="168"/>
      <c r="AV220" s="168"/>
      <c r="AW220" s="168"/>
      <c r="AX220" s="35"/>
      <c r="AY220" s="35"/>
      <c r="AZ220" s="35"/>
      <c r="BA220" s="35"/>
      <c r="BB220" s="35"/>
      <c r="BC220" s="478"/>
    </row>
    <row r="221" spans="1:55" ht="44.25" customHeight="1">
      <c r="A221" s="17"/>
      <c r="B221" s="22">
        <v>219</v>
      </c>
      <c r="C221" s="44" t="s">
        <v>54</v>
      </c>
      <c r="D221" s="45" t="s">
        <v>611</v>
      </c>
      <c r="E221" s="111" t="s">
        <v>2011</v>
      </c>
      <c r="F221" s="308" t="s">
        <v>2012</v>
      </c>
      <c r="G221" s="33" t="s">
        <v>2013</v>
      </c>
      <c r="H221" s="28" t="s">
        <v>2014</v>
      </c>
      <c r="I221" s="88" t="s">
        <v>2015</v>
      </c>
      <c r="J221" s="22" t="s">
        <v>60</v>
      </c>
      <c r="K221" s="30">
        <v>38326</v>
      </c>
      <c r="L221" s="22">
        <f t="shared" ca="1" si="1"/>
        <v>21</v>
      </c>
      <c r="M221" s="22" t="s">
        <v>134</v>
      </c>
      <c r="N221" s="22" t="s">
        <v>617</v>
      </c>
      <c r="O221" s="524">
        <v>45912</v>
      </c>
      <c r="P221" s="446">
        <v>47696</v>
      </c>
      <c r="Q221" s="521" t="s">
        <v>81</v>
      </c>
      <c r="R221" s="182" t="s">
        <v>920</v>
      </c>
      <c r="S221" s="25" t="s">
        <v>1687</v>
      </c>
      <c r="T221" s="161">
        <v>10000</v>
      </c>
      <c r="U221" s="516">
        <v>45765</v>
      </c>
      <c r="V221" s="89">
        <v>46276</v>
      </c>
      <c r="W221" s="141" t="s">
        <v>2016</v>
      </c>
      <c r="X221" s="16"/>
      <c r="Y221" s="30">
        <v>45911</v>
      </c>
      <c r="Z221" s="15" t="s">
        <v>2017</v>
      </c>
      <c r="AA221" s="525" t="s">
        <v>1935</v>
      </c>
      <c r="AB221" s="30"/>
      <c r="AC221" s="42"/>
      <c r="AD221" s="42"/>
      <c r="AE221" s="42"/>
      <c r="AF221" s="42"/>
      <c r="AG221" s="30"/>
      <c r="AH221" s="22"/>
      <c r="AI221" s="92"/>
      <c r="AJ221" s="168"/>
      <c r="AK221" s="168"/>
      <c r="AL221" s="67" t="s">
        <v>89</v>
      </c>
      <c r="AM221" s="526">
        <v>45911</v>
      </c>
      <c r="AN221" s="527" t="s">
        <v>1926</v>
      </c>
      <c r="AO221" s="58" t="s">
        <v>1913</v>
      </c>
      <c r="AP221" s="168" t="s">
        <v>2001</v>
      </c>
      <c r="AQ221" s="168"/>
      <c r="AR221" s="168"/>
      <c r="AS221" s="168"/>
      <c r="AT221" s="168" t="s">
        <v>2018</v>
      </c>
      <c r="AU221" s="168" t="s">
        <v>2019</v>
      </c>
      <c r="AV221" s="168"/>
      <c r="AW221" s="168"/>
      <c r="AX221" s="35"/>
      <c r="AY221" s="35"/>
      <c r="AZ221" s="35"/>
      <c r="BA221" s="35"/>
      <c r="BB221" s="35"/>
      <c r="BC221" s="478"/>
    </row>
    <row r="222" spans="1:55" ht="44.25" customHeight="1">
      <c r="A222" s="17"/>
      <c r="B222" s="22">
        <v>220</v>
      </c>
      <c r="C222" s="44" t="s">
        <v>54</v>
      </c>
      <c r="D222" s="45" t="s">
        <v>611</v>
      </c>
      <c r="E222" s="111" t="s">
        <v>2020</v>
      </c>
      <c r="F222" s="308" t="s">
        <v>2021</v>
      </c>
      <c r="G222" s="33" t="s">
        <v>2022</v>
      </c>
      <c r="H222" s="28" t="s">
        <v>2023</v>
      </c>
      <c r="I222" s="33" t="s">
        <v>2024</v>
      </c>
      <c r="J222" s="22" t="s">
        <v>60</v>
      </c>
      <c r="K222" s="30">
        <v>37779</v>
      </c>
      <c r="L222" s="22">
        <f t="shared" ca="1" si="1"/>
        <v>22</v>
      </c>
      <c r="M222" s="22" t="s">
        <v>134</v>
      </c>
      <c r="N222" s="22" t="s">
        <v>617</v>
      </c>
      <c r="O222" s="524">
        <v>45912</v>
      </c>
      <c r="P222" s="446">
        <v>47696</v>
      </c>
      <c r="Q222" s="521" t="s">
        <v>81</v>
      </c>
      <c r="R222" s="182" t="s">
        <v>920</v>
      </c>
      <c r="S222" s="25" t="s">
        <v>1687</v>
      </c>
      <c r="T222" s="161">
        <v>10000</v>
      </c>
      <c r="U222" s="516">
        <v>45765</v>
      </c>
      <c r="V222" s="89">
        <v>46276</v>
      </c>
      <c r="W222" s="141" t="s">
        <v>2025</v>
      </c>
      <c r="X222" s="16"/>
      <c r="Y222" s="30">
        <v>45911</v>
      </c>
      <c r="Z222" s="15" t="s">
        <v>2026</v>
      </c>
      <c r="AA222" s="525" t="s">
        <v>2027</v>
      </c>
      <c r="AB222" s="30"/>
      <c r="AC222" s="42"/>
      <c r="AD222" s="42"/>
      <c r="AE222" s="42"/>
      <c r="AF222" s="42"/>
      <c r="AG222" s="30"/>
      <c r="AH222" s="22"/>
      <c r="AI222" s="92"/>
      <c r="AJ222" s="168"/>
      <c r="AK222" s="168"/>
      <c r="AL222" s="67" t="s">
        <v>89</v>
      </c>
      <c r="AM222" s="526">
        <v>45947</v>
      </c>
      <c r="AN222" s="527" t="s">
        <v>1926</v>
      </c>
      <c r="AO222" s="58" t="s">
        <v>1913</v>
      </c>
      <c r="AP222" s="168" t="s">
        <v>2001</v>
      </c>
      <c r="AQ222" s="168"/>
      <c r="AR222" s="168"/>
      <c r="AS222" s="168"/>
      <c r="AT222" s="168"/>
      <c r="AU222" s="168"/>
      <c r="AV222" s="168"/>
      <c r="AW222" s="168"/>
      <c r="AX222" s="59"/>
      <c r="AY222" s="59"/>
      <c r="AZ222" s="59"/>
      <c r="BA222" s="59"/>
      <c r="BB222" s="59"/>
      <c r="BC222" s="478"/>
    </row>
    <row r="223" spans="1:55" ht="44.25" customHeight="1">
      <c r="A223" s="17" t="s">
        <v>2028</v>
      </c>
      <c r="B223" s="17">
        <v>221</v>
      </c>
      <c r="C223" s="44" t="s">
        <v>54</v>
      </c>
      <c r="D223" s="45" t="s">
        <v>611</v>
      </c>
      <c r="E223" s="25" t="s">
        <v>2029</v>
      </c>
      <c r="F223" s="308" t="s">
        <v>2030</v>
      </c>
      <c r="G223" s="47" t="s">
        <v>2031</v>
      </c>
      <c r="H223" s="28" t="s">
        <v>2032</v>
      </c>
      <c r="I223" s="33" t="s">
        <v>2031</v>
      </c>
      <c r="J223" s="22" t="s">
        <v>60</v>
      </c>
      <c r="K223" s="30">
        <v>37984</v>
      </c>
      <c r="L223" s="22">
        <f t="shared" ca="1" si="1"/>
        <v>22</v>
      </c>
      <c r="M223" s="22" t="s">
        <v>134</v>
      </c>
      <c r="N223" s="70" t="s">
        <v>2033</v>
      </c>
      <c r="O223" s="528">
        <v>45951</v>
      </c>
      <c r="P223" s="446">
        <v>47727</v>
      </c>
      <c r="Q223" s="521" t="s">
        <v>81</v>
      </c>
      <c r="R223" s="35" t="s">
        <v>2034</v>
      </c>
      <c r="S223" s="404" t="s">
        <v>1687</v>
      </c>
      <c r="T223" s="64">
        <v>10000</v>
      </c>
      <c r="U223" s="425">
        <v>45755</v>
      </c>
      <c r="V223" s="30">
        <v>46312</v>
      </c>
      <c r="W223" s="9" t="s">
        <v>2035</v>
      </c>
      <c r="X223" s="16"/>
      <c r="Y223" s="522">
        <v>45947</v>
      </c>
      <c r="Z223" s="15" t="s">
        <v>2036</v>
      </c>
      <c r="AA223" s="525" t="s">
        <v>1935</v>
      </c>
      <c r="AB223" s="30"/>
      <c r="AC223" s="42"/>
      <c r="AD223" s="42"/>
      <c r="AE223" s="42"/>
      <c r="AF223" s="42"/>
      <c r="AG223" s="30"/>
      <c r="AH223" s="22"/>
      <c r="AI223" s="92"/>
      <c r="AJ223" s="168"/>
      <c r="AK223" s="168"/>
      <c r="AL223" s="67" t="s">
        <v>89</v>
      </c>
      <c r="AM223" s="526">
        <v>45947</v>
      </c>
      <c r="AN223" s="529" t="s">
        <v>2037</v>
      </c>
      <c r="AO223" s="58" t="s">
        <v>91</v>
      </c>
      <c r="AP223" s="216" t="s">
        <v>2038</v>
      </c>
      <c r="AQ223" s="168" t="s">
        <v>2039</v>
      </c>
      <c r="AR223" s="168" t="s">
        <v>2040</v>
      </c>
      <c r="AS223" s="168"/>
      <c r="AT223" s="168" t="s">
        <v>2041</v>
      </c>
      <c r="AU223" s="168"/>
      <c r="AV223" s="168"/>
      <c r="AW223" s="168"/>
      <c r="AX223" s="35"/>
      <c r="AY223" s="35"/>
      <c r="AZ223" s="35"/>
      <c r="BA223" s="35"/>
      <c r="BB223" s="35"/>
      <c r="BC223" s="478"/>
    </row>
    <row r="224" spans="1:55" ht="44.25" customHeight="1">
      <c r="A224" s="17" t="s">
        <v>2028</v>
      </c>
      <c r="B224" s="17">
        <v>222</v>
      </c>
      <c r="C224" s="44" t="s">
        <v>54</v>
      </c>
      <c r="D224" s="45" t="s">
        <v>611</v>
      </c>
      <c r="E224" s="25" t="s">
        <v>2042</v>
      </c>
      <c r="F224" s="308" t="s">
        <v>2043</v>
      </c>
      <c r="G224" s="47" t="s">
        <v>2044</v>
      </c>
      <c r="H224" s="28" t="s">
        <v>2045</v>
      </c>
      <c r="I224" s="33" t="s">
        <v>2046</v>
      </c>
      <c r="J224" s="22" t="s">
        <v>60</v>
      </c>
      <c r="K224" s="30">
        <v>35157</v>
      </c>
      <c r="L224" s="22">
        <f t="shared" ca="1" si="1"/>
        <v>30</v>
      </c>
      <c r="M224" s="22" t="s">
        <v>134</v>
      </c>
      <c r="N224" s="70" t="s">
        <v>2033</v>
      </c>
      <c r="O224" s="528">
        <v>45951</v>
      </c>
      <c r="P224" s="446">
        <v>47727</v>
      </c>
      <c r="Q224" s="521" t="s">
        <v>81</v>
      </c>
      <c r="R224" s="35" t="s">
        <v>2034</v>
      </c>
      <c r="S224" s="404" t="s">
        <v>1687</v>
      </c>
      <c r="T224" s="64">
        <v>10000</v>
      </c>
      <c r="U224" s="425">
        <v>45755</v>
      </c>
      <c r="V224" s="30">
        <v>46312</v>
      </c>
      <c r="W224" s="9" t="s">
        <v>2047</v>
      </c>
      <c r="X224" s="16"/>
      <c r="Y224" s="522">
        <v>45947</v>
      </c>
      <c r="Z224" s="15" t="s">
        <v>2048</v>
      </c>
      <c r="AA224" s="525" t="s">
        <v>1935</v>
      </c>
      <c r="AB224" s="30"/>
      <c r="AC224" s="42"/>
      <c r="AD224" s="42"/>
      <c r="AE224" s="42"/>
      <c r="AF224" s="42"/>
      <c r="AG224" s="30"/>
      <c r="AH224" s="22"/>
      <c r="AI224" s="92"/>
      <c r="AJ224" s="168"/>
      <c r="AK224" s="168"/>
      <c r="AL224" s="67" t="s">
        <v>89</v>
      </c>
      <c r="AM224" s="526">
        <v>45947</v>
      </c>
      <c r="AN224" s="529" t="s">
        <v>2037</v>
      </c>
      <c r="AO224" s="58" t="s">
        <v>91</v>
      </c>
      <c r="AP224" s="216" t="s">
        <v>2049</v>
      </c>
      <c r="AQ224" s="168" t="s">
        <v>2050</v>
      </c>
      <c r="AR224" s="168" t="s">
        <v>2051</v>
      </c>
      <c r="AS224" s="168"/>
      <c r="AT224" s="168" t="s">
        <v>2052</v>
      </c>
      <c r="AU224" s="168" t="s">
        <v>2053</v>
      </c>
      <c r="AV224" s="168"/>
      <c r="AW224" s="168"/>
      <c r="AX224" s="35"/>
      <c r="AY224" s="35"/>
      <c r="AZ224" s="35"/>
      <c r="BA224" s="35"/>
      <c r="BB224" s="35"/>
      <c r="BC224" s="478"/>
    </row>
    <row r="225" spans="1:55" ht="44.25" customHeight="1">
      <c r="A225" s="17" t="s">
        <v>2028</v>
      </c>
      <c r="B225" s="17">
        <v>223</v>
      </c>
      <c r="C225" s="44" t="s">
        <v>54</v>
      </c>
      <c r="D225" s="45" t="s">
        <v>611</v>
      </c>
      <c r="E225" s="25" t="s">
        <v>2054</v>
      </c>
      <c r="F225" s="308" t="s">
        <v>2055</v>
      </c>
      <c r="G225" s="47" t="s">
        <v>2056</v>
      </c>
      <c r="H225" s="28" t="s">
        <v>2057</v>
      </c>
      <c r="I225" s="33" t="s">
        <v>2058</v>
      </c>
      <c r="J225" s="22" t="s">
        <v>60</v>
      </c>
      <c r="K225" s="30">
        <v>38429</v>
      </c>
      <c r="L225" s="22">
        <f t="shared" ca="1" si="1"/>
        <v>21</v>
      </c>
      <c r="M225" s="22" t="s">
        <v>134</v>
      </c>
      <c r="N225" s="70" t="s">
        <v>2033</v>
      </c>
      <c r="O225" s="528">
        <v>45951</v>
      </c>
      <c r="P225" s="446">
        <v>47727</v>
      </c>
      <c r="Q225" s="521" t="s">
        <v>81</v>
      </c>
      <c r="R225" s="35" t="s">
        <v>2034</v>
      </c>
      <c r="S225" s="404" t="s">
        <v>1687</v>
      </c>
      <c r="T225" s="64">
        <v>10000</v>
      </c>
      <c r="U225" s="425">
        <v>45755</v>
      </c>
      <c r="V225" s="30">
        <v>46312</v>
      </c>
      <c r="W225" s="9" t="s">
        <v>2059</v>
      </c>
      <c r="X225" s="16"/>
      <c r="Y225" s="522">
        <v>45947</v>
      </c>
      <c r="Z225" s="15" t="s">
        <v>2060</v>
      </c>
      <c r="AA225" s="525" t="s">
        <v>1935</v>
      </c>
      <c r="AB225" s="30"/>
      <c r="AC225" s="42"/>
      <c r="AD225" s="42"/>
      <c r="AE225" s="42"/>
      <c r="AF225" s="42"/>
      <c r="AG225" s="30"/>
      <c r="AH225" s="22"/>
      <c r="AI225" s="92"/>
      <c r="AJ225" s="168"/>
      <c r="AK225" s="168"/>
      <c r="AL225" s="67" t="s">
        <v>89</v>
      </c>
      <c r="AM225" s="526">
        <v>45947</v>
      </c>
      <c r="AN225" s="529" t="s">
        <v>2037</v>
      </c>
      <c r="AO225" s="58" t="s">
        <v>91</v>
      </c>
      <c r="AP225" s="216" t="s">
        <v>2049</v>
      </c>
      <c r="AQ225" s="168" t="s">
        <v>2061</v>
      </c>
      <c r="AR225" s="168" t="s">
        <v>2062</v>
      </c>
      <c r="AS225" s="168"/>
      <c r="AT225" s="168" t="s">
        <v>2063</v>
      </c>
      <c r="AU225" s="168" t="s">
        <v>2064</v>
      </c>
      <c r="AV225" s="168"/>
      <c r="AW225" s="168"/>
      <c r="AX225" s="82"/>
      <c r="AY225" s="82"/>
      <c r="AZ225" s="82"/>
      <c r="BA225" s="82"/>
      <c r="BB225" s="82"/>
      <c r="BC225" s="478"/>
    </row>
    <row r="226" spans="1:55" ht="44.25" customHeight="1">
      <c r="A226" s="17" t="s">
        <v>2028</v>
      </c>
      <c r="B226" s="17">
        <v>224</v>
      </c>
      <c r="C226" s="44" t="s">
        <v>54</v>
      </c>
      <c r="D226" s="45" t="s">
        <v>611</v>
      </c>
      <c r="E226" s="25" t="s">
        <v>2065</v>
      </c>
      <c r="F226" s="308" t="s">
        <v>2066</v>
      </c>
      <c r="G226" s="47" t="s">
        <v>2067</v>
      </c>
      <c r="H226" s="28" t="s">
        <v>2068</v>
      </c>
      <c r="I226" s="33" t="s">
        <v>2069</v>
      </c>
      <c r="J226" s="22" t="s">
        <v>60</v>
      </c>
      <c r="K226" s="30">
        <v>36457</v>
      </c>
      <c r="L226" s="22">
        <f t="shared" ca="1" si="1"/>
        <v>26</v>
      </c>
      <c r="M226" s="22" t="s">
        <v>79</v>
      </c>
      <c r="N226" s="70" t="s">
        <v>2033</v>
      </c>
      <c r="O226" s="528">
        <v>45951</v>
      </c>
      <c r="P226" s="446">
        <v>47727</v>
      </c>
      <c r="Q226" s="521" t="s">
        <v>81</v>
      </c>
      <c r="R226" s="35" t="s">
        <v>2034</v>
      </c>
      <c r="S226" s="372" t="s">
        <v>764</v>
      </c>
      <c r="T226" s="64">
        <v>10000</v>
      </c>
      <c r="U226" s="425">
        <v>45755</v>
      </c>
      <c r="V226" s="30">
        <v>46312</v>
      </c>
      <c r="W226" s="9" t="s">
        <v>2070</v>
      </c>
      <c r="X226" s="16"/>
      <c r="Y226" s="522">
        <v>45947</v>
      </c>
      <c r="Z226" s="15" t="s">
        <v>2071</v>
      </c>
      <c r="AA226" s="525" t="s">
        <v>1935</v>
      </c>
      <c r="AB226" s="30"/>
      <c r="AC226" s="42"/>
      <c r="AD226" s="42"/>
      <c r="AE226" s="42"/>
      <c r="AF226" s="42"/>
      <c r="AG226" s="30"/>
      <c r="AH226" s="22"/>
      <c r="AI226" s="92"/>
      <c r="AJ226" s="168"/>
      <c r="AK226" s="168"/>
      <c r="AL226" s="67" t="s">
        <v>89</v>
      </c>
      <c r="AM226" s="526">
        <v>45947</v>
      </c>
      <c r="AN226" s="529" t="s">
        <v>2037</v>
      </c>
      <c r="AO226" s="58" t="s">
        <v>91</v>
      </c>
      <c r="AP226" s="216" t="s">
        <v>2072</v>
      </c>
      <c r="AQ226" s="168" t="s">
        <v>2073</v>
      </c>
      <c r="AR226" s="168" t="s">
        <v>2074</v>
      </c>
      <c r="AS226" s="168"/>
      <c r="AT226" s="168" t="s">
        <v>2075</v>
      </c>
      <c r="AU226" s="168"/>
      <c r="AV226" s="168"/>
      <c r="AW226" s="168"/>
      <c r="AX226" s="185"/>
      <c r="AY226" s="185"/>
      <c r="AZ226" s="185"/>
      <c r="BA226" s="185"/>
      <c r="BB226" s="185"/>
      <c r="BC226" s="478"/>
    </row>
    <row r="227" spans="1:55" ht="44.25" customHeight="1">
      <c r="A227" s="17" t="s">
        <v>2028</v>
      </c>
      <c r="B227" s="17">
        <v>225</v>
      </c>
      <c r="C227" s="44" t="s">
        <v>54</v>
      </c>
      <c r="D227" s="45" t="s">
        <v>611</v>
      </c>
      <c r="E227" s="25" t="s">
        <v>2076</v>
      </c>
      <c r="F227" s="308" t="s">
        <v>2077</v>
      </c>
      <c r="G227" s="33" t="s">
        <v>2078</v>
      </c>
      <c r="H227" s="28" t="s">
        <v>2079</v>
      </c>
      <c r="I227" s="33" t="s">
        <v>2080</v>
      </c>
      <c r="J227" s="22" t="s">
        <v>60</v>
      </c>
      <c r="K227" s="30">
        <v>38470</v>
      </c>
      <c r="L227" s="22">
        <f t="shared" ca="1" si="1"/>
        <v>20</v>
      </c>
      <c r="M227" s="22" t="s">
        <v>134</v>
      </c>
      <c r="N227" s="70" t="s">
        <v>2033</v>
      </c>
      <c r="O227" s="528">
        <v>45951</v>
      </c>
      <c r="P227" s="446">
        <v>47727</v>
      </c>
      <c r="Q227" s="521" t="s">
        <v>81</v>
      </c>
      <c r="R227" s="35" t="s">
        <v>2034</v>
      </c>
      <c r="S227" s="404" t="s">
        <v>1687</v>
      </c>
      <c r="T227" s="64">
        <v>10000</v>
      </c>
      <c r="U227" s="425">
        <v>45755</v>
      </c>
      <c r="V227" s="30">
        <v>46312</v>
      </c>
      <c r="W227" s="9" t="s">
        <v>2081</v>
      </c>
      <c r="X227" s="16"/>
      <c r="Y227" s="522">
        <v>45947</v>
      </c>
      <c r="Z227" s="15" t="s">
        <v>2082</v>
      </c>
      <c r="AA227" s="525" t="s">
        <v>1935</v>
      </c>
      <c r="AB227" s="30"/>
      <c r="AC227" s="42"/>
      <c r="AD227" s="42"/>
      <c r="AE227" s="42"/>
      <c r="AF227" s="42"/>
      <c r="AG227" s="30"/>
      <c r="AH227" s="22"/>
      <c r="AI227" s="92"/>
      <c r="AJ227" s="168"/>
      <c r="AK227" s="168"/>
      <c r="AL227" s="67" t="s">
        <v>89</v>
      </c>
      <c r="AM227" s="526">
        <v>45947</v>
      </c>
      <c r="AN227" s="529" t="s">
        <v>2037</v>
      </c>
      <c r="AO227" s="58" t="s">
        <v>91</v>
      </c>
      <c r="AP227" s="216" t="s">
        <v>2049</v>
      </c>
      <c r="AQ227" s="168" t="s">
        <v>2083</v>
      </c>
      <c r="AR227" s="168" t="s">
        <v>2084</v>
      </c>
      <c r="AS227" s="168"/>
      <c r="AT227" s="168" t="s">
        <v>2085</v>
      </c>
      <c r="AU227" s="168"/>
      <c r="AV227" s="168"/>
      <c r="AW227" s="168"/>
      <c r="AX227" s="185"/>
      <c r="AY227" s="185"/>
      <c r="AZ227" s="185"/>
      <c r="BA227" s="185"/>
      <c r="BB227" s="185"/>
      <c r="BC227" s="478"/>
    </row>
    <row r="228" spans="1:55" ht="44.25" customHeight="1">
      <c r="A228" s="17" t="s">
        <v>2028</v>
      </c>
      <c r="B228" s="17">
        <v>226</v>
      </c>
      <c r="C228" s="44" t="s">
        <v>54</v>
      </c>
      <c r="D228" s="45" t="s">
        <v>611</v>
      </c>
      <c r="E228" s="25" t="s">
        <v>2086</v>
      </c>
      <c r="F228" s="308" t="s">
        <v>2087</v>
      </c>
      <c r="G228" s="47" t="s">
        <v>2088</v>
      </c>
      <c r="H228" s="28" t="s">
        <v>2089</v>
      </c>
      <c r="I228" s="33" t="s">
        <v>2090</v>
      </c>
      <c r="J228" s="22" t="s">
        <v>60</v>
      </c>
      <c r="K228" s="30">
        <v>36696</v>
      </c>
      <c r="L228" s="22">
        <f t="shared" ca="1" si="1"/>
        <v>25</v>
      </c>
      <c r="M228" s="22" t="s">
        <v>134</v>
      </c>
      <c r="N228" s="70" t="s">
        <v>2033</v>
      </c>
      <c r="O228" s="528">
        <v>45951</v>
      </c>
      <c r="P228" s="446">
        <v>47727</v>
      </c>
      <c r="Q228" s="521" t="s">
        <v>81</v>
      </c>
      <c r="R228" s="35" t="s">
        <v>2034</v>
      </c>
      <c r="S228" s="404" t="s">
        <v>1687</v>
      </c>
      <c r="T228" s="64">
        <v>10000</v>
      </c>
      <c r="U228" s="425">
        <v>45755</v>
      </c>
      <c r="V228" s="30">
        <v>46312</v>
      </c>
      <c r="W228" s="9" t="s">
        <v>2091</v>
      </c>
      <c r="X228" s="16"/>
      <c r="Y228" s="522">
        <v>45947</v>
      </c>
      <c r="Z228" s="15" t="s">
        <v>2092</v>
      </c>
      <c r="AA228" s="525" t="s">
        <v>1935</v>
      </c>
      <c r="AB228" s="30"/>
      <c r="AC228" s="42"/>
      <c r="AD228" s="42"/>
      <c r="AE228" s="42"/>
      <c r="AF228" s="42"/>
      <c r="AG228" s="30"/>
      <c r="AH228" s="22"/>
      <c r="AI228" s="92"/>
      <c r="AJ228" s="168"/>
      <c r="AK228" s="168"/>
      <c r="AL228" s="67" t="s">
        <v>89</v>
      </c>
      <c r="AM228" s="526">
        <v>45947</v>
      </c>
      <c r="AN228" s="529" t="s">
        <v>2037</v>
      </c>
      <c r="AO228" s="58" t="s">
        <v>91</v>
      </c>
      <c r="AP228" s="216" t="s">
        <v>2049</v>
      </c>
      <c r="AQ228" s="168" t="s">
        <v>2093</v>
      </c>
      <c r="AR228" s="168" t="s">
        <v>2094</v>
      </c>
      <c r="AS228" s="168"/>
      <c r="AT228" s="168" t="s">
        <v>2095</v>
      </c>
      <c r="AU228" s="168" t="s">
        <v>2096</v>
      </c>
      <c r="AV228" s="168"/>
      <c r="AW228" s="168"/>
      <c r="AX228" s="59"/>
      <c r="AY228" s="59"/>
      <c r="AZ228" s="59"/>
      <c r="BA228" s="59"/>
      <c r="BB228" s="59"/>
      <c r="BC228" s="478"/>
    </row>
    <row r="229" spans="1:55" ht="44.25" customHeight="1">
      <c r="A229" s="17" t="s">
        <v>2028</v>
      </c>
      <c r="B229" s="17">
        <v>227</v>
      </c>
      <c r="C229" s="44" t="s">
        <v>54</v>
      </c>
      <c r="D229" s="45" t="s">
        <v>611</v>
      </c>
      <c r="E229" s="25" t="s">
        <v>2097</v>
      </c>
      <c r="F229" s="308" t="s">
        <v>2098</v>
      </c>
      <c r="G229" s="47" t="s">
        <v>2099</v>
      </c>
      <c r="H229" s="28" t="s">
        <v>2100</v>
      </c>
      <c r="I229" s="33" t="s">
        <v>2101</v>
      </c>
      <c r="J229" s="22" t="s">
        <v>60</v>
      </c>
      <c r="K229" s="30">
        <v>36266</v>
      </c>
      <c r="L229" s="22">
        <f t="shared" ca="1" si="1"/>
        <v>27</v>
      </c>
      <c r="M229" s="22" t="s">
        <v>134</v>
      </c>
      <c r="N229" s="70" t="s">
        <v>2033</v>
      </c>
      <c r="O229" s="528">
        <v>45951</v>
      </c>
      <c r="P229" s="446">
        <v>47727</v>
      </c>
      <c r="Q229" s="521" t="s">
        <v>81</v>
      </c>
      <c r="R229" s="35" t="s">
        <v>1676</v>
      </c>
      <c r="S229" s="372" t="s">
        <v>82</v>
      </c>
      <c r="T229" s="64">
        <v>20000</v>
      </c>
      <c r="U229" s="425">
        <v>45755</v>
      </c>
      <c r="V229" s="30">
        <v>46312</v>
      </c>
      <c r="W229" s="9" t="s">
        <v>2102</v>
      </c>
      <c r="X229" s="16"/>
      <c r="Y229" s="522">
        <v>45947</v>
      </c>
      <c r="Z229" s="15" t="s">
        <v>2103</v>
      </c>
      <c r="AA229" s="525" t="s">
        <v>1935</v>
      </c>
      <c r="AB229" s="30"/>
      <c r="AC229" s="42"/>
      <c r="AD229" s="42"/>
      <c r="AE229" s="42"/>
      <c r="AF229" s="42"/>
      <c r="AG229" s="30"/>
      <c r="AH229" s="22"/>
      <c r="AI229" s="92"/>
      <c r="AJ229" s="168"/>
      <c r="AK229" s="168"/>
      <c r="AL229" s="67" t="s">
        <v>89</v>
      </c>
      <c r="AM229" s="526">
        <v>45947</v>
      </c>
      <c r="AN229" s="529" t="s">
        <v>2037</v>
      </c>
      <c r="AO229" s="58" t="s">
        <v>91</v>
      </c>
      <c r="AP229" s="216" t="s">
        <v>2104</v>
      </c>
      <c r="AQ229" s="168" t="s">
        <v>2105</v>
      </c>
      <c r="AR229" s="168" t="s">
        <v>2106</v>
      </c>
      <c r="AS229" s="168"/>
      <c r="AT229" s="168" t="s">
        <v>2107</v>
      </c>
      <c r="AU229" s="168" t="s">
        <v>2108</v>
      </c>
      <c r="AV229" s="168"/>
      <c r="AW229" s="168"/>
      <c r="AX229" s="82"/>
      <c r="AY229" s="82"/>
      <c r="AZ229" s="82"/>
      <c r="BA229" s="82"/>
      <c r="BB229" s="82"/>
      <c r="BC229" s="478"/>
    </row>
    <row r="230" spans="1:55" ht="44.25" customHeight="1">
      <c r="A230" s="17" t="s">
        <v>2028</v>
      </c>
      <c r="B230" s="17">
        <v>228</v>
      </c>
      <c r="C230" s="44" t="s">
        <v>54</v>
      </c>
      <c r="D230" s="45" t="s">
        <v>611</v>
      </c>
      <c r="E230" s="25" t="s">
        <v>2109</v>
      </c>
      <c r="F230" s="308" t="s">
        <v>2110</v>
      </c>
      <c r="G230" s="47" t="s">
        <v>2111</v>
      </c>
      <c r="H230" s="28" t="s">
        <v>2112</v>
      </c>
      <c r="I230" s="33" t="s">
        <v>2113</v>
      </c>
      <c r="J230" s="22" t="s">
        <v>60</v>
      </c>
      <c r="K230" s="30">
        <v>37894</v>
      </c>
      <c r="L230" s="22">
        <f t="shared" ca="1" si="1"/>
        <v>22</v>
      </c>
      <c r="M230" s="22" t="s">
        <v>134</v>
      </c>
      <c r="N230" s="70" t="s">
        <v>2033</v>
      </c>
      <c r="O230" s="528">
        <v>45951</v>
      </c>
      <c r="P230" s="446">
        <v>47727</v>
      </c>
      <c r="Q230" s="521" t="s">
        <v>81</v>
      </c>
      <c r="R230" s="35" t="s">
        <v>2034</v>
      </c>
      <c r="S230" s="404" t="s">
        <v>1687</v>
      </c>
      <c r="T230" s="64">
        <v>10000</v>
      </c>
      <c r="U230" s="425">
        <v>45755</v>
      </c>
      <c r="V230" s="30">
        <v>46312</v>
      </c>
      <c r="W230" s="9" t="s">
        <v>2114</v>
      </c>
      <c r="X230" s="16"/>
      <c r="Y230" s="522">
        <v>45947</v>
      </c>
      <c r="Z230" s="15" t="s">
        <v>2115</v>
      </c>
      <c r="AA230" s="525" t="s">
        <v>1935</v>
      </c>
      <c r="AB230" s="30"/>
      <c r="AC230" s="42"/>
      <c r="AD230" s="42"/>
      <c r="AE230" s="42"/>
      <c r="AF230" s="42"/>
      <c r="AG230" s="30"/>
      <c r="AH230" s="22"/>
      <c r="AI230" s="92"/>
      <c r="AJ230" s="168"/>
      <c r="AK230" s="168"/>
      <c r="AL230" s="67" t="s">
        <v>89</v>
      </c>
      <c r="AM230" s="526">
        <v>45947</v>
      </c>
      <c r="AN230" s="529" t="s">
        <v>2037</v>
      </c>
      <c r="AO230" s="58" t="s">
        <v>91</v>
      </c>
      <c r="AP230" s="216" t="s">
        <v>2049</v>
      </c>
      <c r="AQ230" s="168" t="s">
        <v>2116</v>
      </c>
      <c r="AR230" s="168" t="s">
        <v>2117</v>
      </c>
      <c r="AS230" s="168"/>
      <c r="AT230" s="168" t="s">
        <v>2118</v>
      </c>
      <c r="AU230" s="168" t="s">
        <v>2119</v>
      </c>
      <c r="AV230" s="168"/>
      <c r="AW230" s="168"/>
      <c r="AX230" s="82"/>
      <c r="AY230" s="82"/>
      <c r="AZ230" s="82"/>
      <c r="BA230" s="82"/>
      <c r="BB230" s="82"/>
      <c r="BC230" s="478"/>
    </row>
    <row r="231" spans="1:55" ht="44.25" customHeight="1">
      <c r="A231" s="17" t="s">
        <v>2028</v>
      </c>
      <c r="B231" s="17">
        <v>229</v>
      </c>
      <c r="C231" s="44" t="s">
        <v>54</v>
      </c>
      <c r="D231" s="45" t="s">
        <v>611</v>
      </c>
      <c r="E231" s="25" t="s">
        <v>2120</v>
      </c>
      <c r="F231" s="308" t="s">
        <v>2121</v>
      </c>
      <c r="G231" s="47" t="s">
        <v>2122</v>
      </c>
      <c r="H231" s="28" t="s">
        <v>2123</v>
      </c>
      <c r="I231" s="33" t="s">
        <v>2124</v>
      </c>
      <c r="J231" s="22" t="s">
        <v>60</v>
      </c>
      <c r="K231" s="30">
        <v>38251</v>
      </c>
      <c r="L231" s="22">
        <f t="shared" ca="1" si="1"/>
        <v>21</v>
      </c>
      <c r="M231" s="22" t="s">
        <v>134</v>
      </c>
      <c r="N231" s="70" t="s">
        <v>2033</v>
      </c>
      <c r="O231" s="528">
        <v>45951</v>
      </c>
      <c r="P231" s="446">
        <v>47727</v>
      </c>
      <c r="Q231" s="521" t="s">
        <v>81</v>
      </c>
      <c r="R231" s="35" t="s">
        <v>2034</v>
      </c>
      <c r="S231" s="404" t="s">
        <v>1687</v>
      </c>
      <c r="T231" s="64">
        <v>10000</v>
      </c>
      <c r="U231" s="425">
        <v>45755</v>
      </c>
      <c r="V231" s="30">
        <v>46312</v>
      </c>
      <c r="W231" s="9" t="s">
        <v>2125</v>
      </c>
      <c r="X231" s="16"/>
      <c r="Y231" s="522">
        <v>45947</v>
      </c>
      <c r="Z231" s="15" t="s">
        <v>2126</v>
      </c>
      <c r="AA231" s="525" t="s">
        <v>1935</v>
      </c>
      <c r="AB231" s="30"/>
      <c r="AC231" s="42"/>
      <c r="AD231" s="42"/>
      <c r="AE231" s="42"/>
      <c r="AF231" s="42"/>
      <c r="AG231" s="30"/>
      <c r="AH231" s="22"/>
      <c r="AI231" s="92"/>
      <c r="AJ231" s="168"/>
      <c r="AK231" s="168"/>
      <c r="AL231" s="67" t="s">
        <v>89</v>
      </c>
      <c r="AM231" s="526">
        <v>45947</v>
      </c>
      <c r="AN231" s="529" t="s">
        <v>2037</v>
      </c>
      <c r="AO231" s="58" t="s">
        <v>91</v>
      </c>
      <c r="AP231" s="216" t="s">
        <v>2049</v>
      </c>
      <c r="AQ231" s="168" t="s">
        <v>2127</v>
      </c>
      <c r="AR231" s="168" t="s">
        <v>2128</v>
      </c>
      <c r="AS231" s="168"/>
      <c r="AT231" s="168" t="s">
        <v>2129</v>
      </c>
      <c r="AU231" s="168" t="s">
        <v>2130</v>
      </c>
      <c r="AV231" s="168"/>
      <c r="AW231" s="168"/>
      <c r="AX231" s="59"/>
      <c r="AY231" s="59"/>
      <c r="AZ231" s="59"/>
      <c r="BA231" s="59"/>
      <c r="BB231" s="59"/>
      <c r="BC231" s="478"/>
    </row>
    <row r="232" spans="1:55" ht="44.25" customHeight="1">
      <c r="A232" s="17" t="s">
        <v>2028</v>
      </c>
      <c r="B232" s="17">
        <v>230</v>
      </c>
      <c r="C232" s="44" t="s">
        <v>54</v>
      </c>
      <c r="D232" s="45" t="s">
        <v>611</v>
      </c>
      <c r="E232" s="25" t="s">
        <v>2131</v>
      </c>
      <c r="F232" s="308" t="s">
        <v>2132</v>
      </c>
      <c r="G232" s="47" t="s">
        <v>2133</v>
      </c>
      <c r="H232" s="28" t="s">
        <v>2134</v>
      </c>
      <c r="I232" s="33" t="s">
        <v>2135</v>
      </c>
      <c r="J232" s="22" t="s">
        <v>60</v>
      </c>
      <c r="K232" s="30">
        <v>36913</v>
      </c>
      <c r="L232" s="22">
        <f t="shared" ca="1" si="1"/>
        <v>25</v>
      </c>
      <c r="M232" s="22" t="s">
        <v>134</v>
      </c>
      <c r="N232" s="70" t="s">
        <v>2033</v>
      </c>
      <c r="O232" s="528">
        <v>45951</v>
      </c>
      <c r="P232" s="446">
        <v>47727</v>
      </c>
      <c r="Q232" s="521" t="s">
        <v>81</v>
      </c>
      <c r="R232" s="35" t="s">
        <v>2034</v>
      </c>
      <c r="S232" s="404" t="s">
        <v>1687</v>
      </c>
      <c r="T232" s="64">
        <v>10000</v>
      </c>
      <c r="U232" s="425">
        <v>45755</v>
      </c>
      <c r="V232" s="30">
        <v>46312</v>
      </c>
      <c r="W232" s="9" t="s">
        <v>2136</v>
      </c>
      <c r="X232" s="16"/>
      <c r="Y232" s="522">
        <v>45947</v>
      </c>
      <c r="Z232" s="15" t="s">
        <v>2137</v>
      </c>
      <c r="AA232" s="525" t="s">
        <v>1935</v>
      </c>
      <c r="AB232" s="30"/>
      <c r="AC232" s="42"/>
      <c r="AD232" s="42"/>
      <c r="AE232" s="42"/>
      <c r="AF232" s="42"/>
      <c r="AG232" s="30"/>
      <c r="AH232" s="22"/>
      <c r="AI232" s="92"/>
      <c r="AJ232" s="168"/>
      <c r="AK232" s="168"/>
      <c r="AL232" s="67" t="s">
        <v>89</v>
      </c>
      <c r="AM232" s="526">
        <v>45947</v>
      </c>
      <c r="AN232" s="529" t="s">
        <v>2037</v>
      </c>
      <c r="AO232" s="58" t="s">
        <v>91</v>
      </c>
      <c r="AP232" s="216" t="s">
        <v>2049</v>
      </c>
      <c r="AQ232" s="168" t="s">
        <v>2138</v>
      </c>
      <c r="AR232" s="168" t="s">
        <v>2139</v>
      </c>
      <c r="AS232" s="168"/>
      <c r="AT232" s="168" t="s">
        <v>2140</v>
      </c>
      <c r="AU232" s="168" t="s">
        <v>2141</v>
      </c>
      <c r="AV232" s="168"/>
      <c r="AW232" s="168"/>
      <c r="AX232" s="35"/>
      <c r="AY232" s="35"/>
      <c r="AZ232" s="35"/>
      <c r="BA232" s="35"/>
      <c r="BB232" s="35"/>
      <c r="BC232" s="478"/>
    </row>
    <row r="233" spans="1:55" ht="44.25" customHeight="1">
      <c r="A233" s="17" t="s">
        <v>2028</v>
      </c>
      <c r="B233" s="17">
        <v>231</v>
      </c>
      <c r="C233" s="44" t="s">
        <v>54</v>
      </c>
      <c r="D233" s="45" t="s">
        <v>611</v>
      </c>
      <c r="E233" s="25" t="s">
        <v>2142</v>
      </c>
      <c r="F233" s="308" t="s">
        <v>2143</v>
      </c>
      <c r="G233" s="47" t="s">
        <v>2144</v>
      </c>
      <c r="H233" s="28" t="s">
        <v>2145</v>
      </c>
      <c r="I233" s="33" t="s">
        <v>2146</v>
      </c>
      <c r="J233" s="22" t="s">
        <v>60</v>
      </c>
      <c r="K233" s="30">
        <v>38035</v>
      </c>
      <c r="L233" s="22">
        <f t="shared" ca="1" si="1"/>
        <v>22</v>
      </c>
      <c r="M233" s="22" t="s">
        <v>134</v>
      </c>
      <c r="N233" s="70" t="s">
        <v>2033</v>
      </c>
      <c r="O233" s="528">
        <v>45951</v>
      </c>
      <c r="P233" s="446">
        <v>47727</v>
      </c>
      <c r="Q233" s="521" t="s">
        <v>81</v>
      </c>
      <c r="R233" s="35" t="s">
        <v>2034</v>
      </c>
      <c r="S233" s="404" t="s">
        <v>1687</v>
      </c>
      <c r="T233" s="64">
        <v>10000</v>
      </c>
      <c r="U233" s="425">
        <v>45755</v>
      </c>
      <c r="V233" s="30">
        <v>46312</v>
      </c>
      <c r="W233" s="9" t="s">
        <v>2147</v>
      </c>
      <c r="X233" s="16"/>
      <c r="Y233" s="522">
        <v>45947</v>
      </c>
      <c r="Z233" s="15" t="s">
        <v>2148</v>
      </c>
      <c r="AA233" s="525" t="s">
        <v>1935</v>
      </c>
      <c r="AB233" s="30"/>
      <c r="AC233" s="42"/>
      <c r="AD233" s="42"/>
      <c r="AE233" s="42"/>
      <c r="AF233" s="42"/>
      <c r="AG233" s="30"/>
      <c r="AH233" s="22"/>
      <c r="AI233" s="92"/>
      <c r="AJ233" s="168"/>
      <c r="AK233" s="168"/>
      <c r="AL233" s="67" t="s">
        <v>89</v>
      </c>
      <c r="AM233" s="526">
        <v>45947</v>
      </c>
      <c r="AN233" s="529" t="s">
        <v>2037</v>
      </c>
      <c r="AO233" s="58" t="s">
        <v>91</v>
      </c>
      <c r="AP233" s="216" t="s">
        <v>2049</v>
      </c>
      <c r="AQ233" s="168" t="s">
        <v>2149</v>
      </c>
      <c r="AR233" s="168" t="s">
        <v>2150</v>
      </c>
      <c r="AS233" s="168"/>
      <c r="AT233" s="168" t="s">
        <v>2151</v>
      </c>
      <c r="AU233" s="168" t="s">
        <v>2152</v>
      </c>
      <c r="AV233" s="168"/>
      <c r="AW233" s="168"/>
      <c r="AX233" s="35"/>
      <c r="AY233" s="35"/>
      <c r="AZ233" s="35"/>
      <c r="BA233" s="35"/>
      <c r="BB233" s="35"/>
      <c r="BC233" s="478"/>
    </row>
    <row r="234" spans="1:55" ht="44.25" customHeight="1">
      <c r="A234" s="17" t="s">
        <v>2028</v>
      </c>
      <c r="B234" s="17">
        <v>232</v>
      </c>
      <c r="C234" s="44" t="s">
        <v>54</v>
      </c>
      <c r="D234" s="45" t="s">
        <v>611</v>
      </c>
      <c r="E234" s="25" t="s">
        <v>2153</v>
      </c>
      <c r="F234" s="308" t="s">
        <v>2154</v>
      </c>
      <c r="G234" s="47" t="s">
        <v>2155</v>
      </c>
      <c r="H234" s="28" t="s">
        <v>2156</v>
      </c>
      <c r="I234" s="33" t="s">
        <v>2157</v>
      </c>
      <c r="J234" s="22" t="s">
        <v>60</v>
      </c>
      <c r="K234" s="30">
        <v>37364</v>
      </c>
      <c r="L234" s="22">
        <f t="shared" ca="1" si="1"/>
        <v>24</v>
      </c>
      <c r="M234" s="22" t="s">
        <v>134</v>
      </c>
      <c r="N234" s="70" t="s">
        <v>2033</v>
      </c>
      <c r="O234" s="528">
        <v>45951</v>
      </c>
      <c r="P234" s="446">
        <v>47727</v>
      </c>
      <c r="Q234" s="521" t="s">
        <v>81</v>
      </c>
      <c r="R234" s="35" t="s">
        <v>2034</v>
      </c>
      <c r="S234" s="404" t="s">
        <v>1687</v>
      </c>
      <c r="T234" s="64">
        <v>10000</v>
      </c>
      <c r="U234" s="425">
        <v>45755</v>
      </c>
      <c r="V234" s="30">
        <v>46312</v>
      </c>
      <c r="W234" s="9" t="s">
        <v>2158</v>
      </c>
      <c r="X234" s="16"/>
      <c r="Y234" s="522">
        <v>45947</v>
      </c>
      <c r="Z234" s="15" t="s">
        <v>2159</v>
      </c>
      <c r="AA234" s="525" t="s">
        <v>1935</v>
      </c>
      <c r="AB234" s="30"/>
      <c r="AC234" s="42"/>
      <c r="AD234" s="42"/>
      <c r="AE234" s="42"/>
      <c r="AF234" s="42"/>
      <c r="AG234" s="30"/>
      <c r="AH234" s="22"/>
      <c r="AI234" s="92"/>
      <c r="AJ234" s="168"/>
      <c r="AK234" s="168"/>
      <c r="AL234" s="67" t="s">
        <v>89</v>
      </c>
      <c r="AM234" s="526">
        <v>45947</v>
      </c>
      <c r="AN234" s="529" t="s">
        <v>2037</v>
      </c>
      <c r="AO234" s="58" t="s">
        <v>91</v>
      </c>
      <c r="AP234" s="216" t="s">
        <v>2049</v>
      </c>
      <c r="AQ234" s="168" t="s">
        <v>2160</v>
      </c>
      <c r="AR234" s="168" t="s">
        <v>2161</v>
      </c>
      <c r="AS234" s="168"/>
      <c r="AT234" s="168" t="s">
        <v>2162</v>
      </c>
      <c r="AU234" s="168" t="s">
        <v>2163</v>
      </c>
      <c r="AV234" s="168"/>
      <c r="AW234" s="168"/>
      <c r="AX234" s="325"/>
      <c r="AY234" s="325"/>
      <c r="AZ234" s="325"/>
      <c r="BA234" s="325"/>
      <c r="BB234" s="325"/>
      <c r="BC234" s="478"/>
    </row>
    <row r="235" spans="1:55" ht="44.25" customHeight="1">
      <c r="A235" s="17" t="s">
        <v>2028</v>
      </c>
      <c r="B235" s="17">
        <v>233</v>
      </c>
      <c r="C235" s="44" t="s">
        <v>54</v>
      </c>
      <c r="D235" s="45" t="s">
        <v>611</v>
      </c>
      <c r="E235" s="25" t="s">
        <v>2164</v>
      </c>
      <c r="F235" s="308" t="s">
        <v>2165</v>
      </c>
      <c r="G235" s="47" t="s">
        <v>2166</v>
      </c>
      <c r="H235" s="28" t="s">
        <v>2167</v>
      </c>
      <c r="I235" s="33" t="s">
        <v>2168</v>
      </c>
      <c r="J235" s="22" t="s">
        <v>261</v>
      </c>
      <c r="K235" s="30">
        <v>37468</v>
      </c>
      <c r="L235" s="22">
        <f t="shared" ca="1" si="1"/>
        <v>23</v>
      </c>
      <c r="M235" s="22" t="s">
        <v>134</v>
      </c>
      <c r="N235" s="70" t="s">
        <v>2033</v>
      </c>
      <c r="O235" s="528">
        <v>45951</v>
      </c>
      <c r="P235" s="446">
        <v>47727</v>
      </c>
      <c r="Q235" s="521" t="s">
        <v>81</v>
      </c>
      <c r="R235" s="35" t="s">
        <v>2169</v>
      </c>
      <c r="S235" s="404" t="s">
        <v>1687</v>
      </c>
      <c r="T235" s="161">
        <v>15000</v>
      </c>
      <c r="U235" s="425">
        <v>45755</v>
      </c>
      <c r="V235" s="30">
        <v>46312</v>
      </c>
      <c r="W235" s="9" t="s">
        <v>2170</v>
      </c>
      <c r="X235" s="16"/>
      <c r="Y235" s="522">
        <v>45947</v>
      </c>
      <c r="Z235" s="530" t="s">
        <v>2171</v>
      </c>
      <c r="AA235" s="531"/>
      <c r="AB235" s="30"/>
      <c r="AC235" s="42"/>
      <c r="AD235" s="42"/>
      <c r="AE235" s="42"/>
      <c r="AF235" s="42"/>
      <c r="AG235" s="30"/>
      <c r="AH235" s="22"/>
      <c r="AI235" s="92"/>
      <c r="AJ235" s="168"/>
      <c r="AK235" s="168"/>
      <c r="AL235" s="67" t="s">
        <v>89</v>
      </c>
      <c r="AM235" s="526">
        <v>45947</v>
      </c>
      <c r="AN235" s="529" t="s">
        <v>2037</v>
      </c>
      <c r="AO235" s="58" t="s">
        <v>91</v>
      </c>
      <c r="AP235" s="216" t="s">
        <v>2049</v>
      </c>
      <c r="AQ235" s="168" t="s">
        <v>2172</v>
      </c>
      <c r="AR235" s="168" t="s">
        <v>2173</v>
      </c>
      <c r="AS235" s="168"/>
      <c r="AT235" s="168" t="s">
        <v>2174</v>
      </c>
      <c r="AU235" s="168" t="s">
        <v>2175</v>
      </c>
      <c r="AV235" s="168"/>
      <c r="AW235" s="168"/>
      <c r="AX235" s="82"/>
      <c r="AY235" s="82"/>
      <c r="AZ235" s="82"/>
      <c r="BA235" s="82"/>
      <c r="BB235" s="82"/>
      <c r="BC235" s="478"/>
    </row>
    <row r="236" spans="1:55" ht="44.25" customHeight="1">
      <c r="A236" s="17" t="s">
        <v>2028</v>
      </c>
      <c r="B236" s="17">
        <v>234</v>
      </c>
      <c r="C236" s="44" t="s">
        <v>54</v>
      </c>
      <c r="D236" s="45" t="s">
        <v>611</v>
      </c>
      <c r="E236" s="25" t="s">
        <v>2176</v>
      </c>
      <c r="F236" s="308" t="s">
        <v>2177</v>
      </c>
      <c r="G236" s="47" t="s">
        <v>2178</v>
      </c>
      <c r="H236" s="28" t="s">
        <v>2179</v>
      </c>
      <c r="I236" s="33" t="s">
        <v>2180</v>
      </c>
      <c r="J236" s="22" t="s">
        <v>261</v>
      </c>
      <c r="K236" s="30">
        <v>37674</v>
      </c>
      <c r="L236" s="22">
        <f t="shared" ca="1" si="1"/>
        <v>23</v>
      </c>
      <c r="M236" s="22" t="s">
        <v>134</v>
      </c>
      <c r="N236" s="70" t="s">
        <v>2033</v>
      </c>
      <c r="O236" s="528">
        <v>45951</v>
      </c>
      <c r="P236" s="446">
        <v>47727</v>
      </c>
      <c r="Q236" s="521" t="s">
        <v>81</v>
      </c>
      <c r="R236" s="35" t="s">
        <v>2169</v>
      </c>
      <c r="S236" s="404" t="s">
        <v>1687</v>
      </c>
      <c r="T236" s="161">
        <v>15000</v>
      </c>
      <c r="U236" s="425">
        <v>45755</v>
      </c>
      <c r="V236" s="30">
        <v>46312</v>
      </c>
      <c r="W236" s="9" t="s">
        <v>2181</v>
      </c>
      <c r="X236" s="16"/>
      <c r="Y236" s="522">
        <v>45947</v>
      </c>
      <c r="Z236" s="530" t="s">
        <v>2182</v>
      </c>
      <c r="AA236" s="531"/>
      <c r="AB236" s="30"/>
      <c r="AC236" s="42"/>
      <c r="AD236" s="42"/>
      <c r="AE236" s="42"/>
      <c r="AF236" s="42"/>
      <c r="AG236" s="30"/>
      <c r="AH236" s="22"/>
      <c r="AI236" s="92"/>
      <c r="AJ236" s="168"/>
      <c r="AK236" s="168"/>
      <c r="AL236" s="67" t="s">
        <v>89</v>
      </c>
      <c r="AM236" s="526">
        <v>45947</v>
      </c>
      <c r="AN236" s="529" t="s">
        <v>2037</v>
      </c>
      <c r="AO236" s="58" t="s">
        <v>91</v>
      </c>
      <c r="AP236" s="168" t="s">
        <v>2183</v>
      </c>
      <c r="AQ236" s="168" t="s">
        <v>2184</v>
      </c>
      <c r="AR236" s="168" t="s">
        <v>2185</v>
      </c>
      <c r="AS236" s="168"/>
      <c r="AT236" s="168" t="s">
        <v>2186</v>
      </c>
      <c r="AU236" s="168" t="s">
        <v>2187</v>
      </c>
      <c r="AV236" s="168"/>
      <c r="AW236" s="168"/>
      <c r="AX236" s="187"/>
      <c r="AY236" s="187"/>
      <c r="AZ236" s="187"/>
      <c r="BA236" s="187"/>
      <c r="BB236" s="187"/>
      <c r="BC236" s="478"/>
    </row>
    <row r="237" spans="1:55" ht="44.25" customHeight="1">
      <c r="A237" s="17" t="s">
        <v>2028</v>
      </c>
      <c r="B237" s="17">
        <v>235</v>
      </c>
      <c r="C237" s="44" t="s">
        <v>54</v>
      </c>
      <c r="D237" s="45" t="s">
        <v>611</v>
      </c>
      <c r="E237" s="25" t="s">
        <v>2188</v>
      </c>
      <c r="F237" s="308" t="s">
        <v>2189</v>
      </c>
      <c r="G237" s="47" t="s">
        <v>2190</v>
      </c>
      <c r="H237" s="28" t="s">
        <v>2191</v>
      </c>
      <c r="I237" s="33" t="s">
        <v>2192</v>
      </c>
      <c r="J237" s="22" t="s">
        <v>261</v>
      </c>
      <c r="K237" s="30">
        <v>36264</v>
      </c>
      <c r="L237" s="22">
        <f t="shared" ca="1" si="1"/>
        <v>27</v>
      </c>
      <c r="M237" s="22" t="s">
        <v>134</v>
      </c>
      <c r="N237" s="70" t="s">
        <v>2033</v>
      </c>
      <c r="O237" s="528">
        <v>45951</v>
      </c>
      <c r="P237" s="446">
        <v>47727</v>
      </c>
      <c r="Q237" s="521" t="s">
        <v>81</v>
      </c>
      <c r="R237" s="35" t="s">
        <v>2169</v>
      </c>
      <c r="S237" s="404" t="s">
        <v>1687</v>
      </c>
      <c r="T237" s="161">
        <v>15000</v>
      </c>
      <c r="U237" s="425">
        <v>45755</v>
      </c>
      <c r="V237" s="30">
        <v>46312</v>
      </c>
      <c r="W237" s="9" t="s">
        <v>2193</v>
      </c>
      <c r="X237" s="16"/>
      <c r="Y237" s="522">
        <v>45947</v>
      </c>
      <c r="Z237" s="530" t="s">
        <v>2194</v>
      </c>
      <c r="AA237" s="531"/>
      <c r="AB237" s="30"/>
      <c r="AC237" s="42"/>
      <c r="AD237" s="42"/>
      <c r="AE237" s="42"/>
      <c r="AF237" s="42"/>
      <c r="AG237" s="30"/>
      <c r="AH237" s="22"/>
      <c r="AI237" s="92"/>
      <c r="AJ237" s="168"/>
      <c r="AK237" s="168"/>
      <c r="AL237" s="67" t="s">
        <v>89</v>
      </c>
      <c r="AM237" s="526">
        <v>45947</v>
      </c>
      <c r="AN237" s="529" t="s">
        <v>2037</v>
      </c>
      <c r="AO237" s="58" t="s">
        <v>91</v>
      </c>
      <c r="AP237" s="216" t="s">
        <v>2049</v>
      </c>
      <c r="AQ237" s="168" t="s">
        <v>2195</v>
      </c>
      <c r="AR237" s="168" t="s">
        <v>2196</v>
      </c>
      <c r="AS237" s="168"/>
      <c r="AT237" s="168" t="s">
        <v>2197</v>
      </c>
      <c r="AU237" s="168" t="s">
        <v>2198</v>
      </c>
      <c r="AV237" s="168"/>
      <c r="AW237" s="168"/>
      <c r="AX237" s="116"/>
      <c r="AY237" s="116"/>
      <c r="AZ237" s="116"/>
      <c r="BA237" s="116"/>
      <c r="BB237" s="116"/>
      <c r="BC237" s="478"/>
    </row>
    <row r="238" spans="1:55" ht="44.25" customHeight="1">
      <c r="A238" s="17"/>
      <c r="B238" s="17">
        <v>236</v>
      </c>
      <c r="C238" s="84" t="s">
        <v>100</v>
      </c>
      <c r="D238" s="45" t="s">
        <v>55</v>
      </c>
      <c r="E238" s="372" t="s">
        <v>2199</v>
      </c>
      <c r="F238" s="111" t="s">
        <v>2200</v>
      </c>
      <c r="G238" s="33" t="s">
        <v>2201</v>
      </c>
      <c r="H238" s="137" t="s">
        <v>2202</v>
      </c>
      <c r="I238" s="88" t="s">
        <v>230</v>
      </c>
      <c r="J238" s="22" t="s">
        <v>60</v>
      </c>
      <c r="K238" s="30">
        <v>34343</v>
      </c>
      <c r="L238" s="22">
        <f t="shared" ca="1" si="1"/>
        <v>32</v>
      </c>
      <c r="M238" s="22" t="s">
        <v>79</v>
      </c>
      <c r="N238" s="22" t="s">
        <v>61</v>
      </c>
      <c r="O238" s="528">
        <v>45982</v>
      </c>
      <c r="P238" s="424">
        <v>47027</v>
      </c>
      <c r="Q238" s="379" t="s">
        <v>1849</v>
      </c>
      <c r="R238" s="35" t="s">
        <v>1823</v>
      </c>
      <c r="S238" s="25" t="s">
        <v>1687</v>
      </c>
      <c r="T238" s="161">
        <v>0</v>
      </c>
      <c r="U238" s="532">
        <v>45819</v>
      </c>
      <c r="V238" s="30">
        <v>46315</v>
      </c>
      <c r="W238" s="9" t="s">
        <v>2203</v>
      </c>
      <c r="X238" s="16"/>
      <c r="Y238" s="533">
        <v>45981</v>
      </c>
      <c r="Z238" s="35" t="s">
        <v>1842</v>
      </c>
      <c r="AA238" s="30"/>
      <c r="AB238" s="30"/>
      <c r="AC238" s="42"/>
      <c r="AD238" s="42"/>
      <c r="AE238" s="42"/>
      <c r="AF238" s="42"/>
      <c r="AG238" s="30"/>
      <c r="AH238" s="22"/>
      <c r="AI238" s="92"/>
      <c r="AJ238" s="168"/>
      <c r="AK238" s="476"/>
      <c r="AL238" s="518" t="s">
        <v>265</v>
      </c>
      <c r="AM238" s="534">
        <v>45979</v>
      </c>
      <c r="AN238" s="518" t="s">
        <v>265</v>
      </c>
      <c r="AO238" s="535" t="s">
        <v>343</v>
      </c>
      <c r="AP238" s="536" t="s">
        <v>2204</v>
      </c>
      <c r="AQ238" s="476" t="s">
        <v>2205</v>
      </c>
      <c r="AR238" s="476" t="s">
        <v>2206</v>
      </c>
      <c r="AS238" s="537"/>
      <c r="AT238" s="476" t="s">
        <v>2207</v>
      </c>
      <c r="AU238" s="476"/>
      <c r="AV238" s="476"/>
      <c r="AW238" s="476"/>
      <c r="AX238" s="39"/>
      <c r="AY238" s="39"/>
      <c r="AZ238" s="39"/>
      <c r="BA238" s="39"/>
      <c r="BB238" s="39"/>
      <c r="BC238" s="478"/>
    </row>
    <row r="239" spans="1:55" ht="51.75" customHeight="1">
      <c r="A239" s="280"/>
      <c r="B239" s="395">
        <v>237</v>
      </c>
      <c r="C239" s="538" t="s">
        <v>54</v>
      </c>
      <c r="D239" s="395" t="s">
        <v>611</v>
      </c>
      <c r="E239" s="283" t="s">
        <v>2208</v>
      </c>
      <c r="F239" s="539" t="s">
        <v>2209</v>
      </c>
      <c r="G239" s="16" t="s">
        <v>1117</v>
      </c>
      <c r="H239" s="16" t="s">
        <v>1118</v>
      </c>
      <c r="I239" s="413" t="s">
        <v>1119</v>
      </c>
      <c r="J239" s="17" t="s">
        <v>60</v>
      </c>
      <c r="K239" s="98">
        <v>37863</v>
      </c>
      <c r="L239" s="22">
        <f t="shared" ca="1" si="1"/>
        <v>22</v>
      </c>
      <c r="M239" s="17" t="s">
        <v>149</v>
      </c>
      <c r="N239" s="256" t="s">
        <v>617</v>
      </c>
      <c r="O239" s="98">
        <v>45999</v>
      </c>
      <c r="P239" s="372" t="s">
        <v>548</v>
      </c>
      <c r="Q239" s="284" t="s">
        <v>81</v>
      </c>
      <c r="R239" s="413" t="s">
        <v>472</v>
      </c>
      <c r="S239" s="300" t="s">
        <v>149</v>
      </c>
      <c r="T239" s="540">
        <v>20000</v>
      </c>
      <c r="U239" s="178">
        <v>46001</v>
      </c>
      <c r="V239" s="100">
        <v>46772</v>
      </c>
      <c r="W239" s="17" t="s">
        <v>2210</v>
      </c>
      <c r="X239" s="280"/>
      <c r="Y239" s="533">
        <v>45991</v>
      </c>
      <c r="Z239" s="16" t="s">
        <v>2211</v>
      </c>
      <c r="AA239" s="541"/>
      <c r="AB239" s="280"/>
      <c r="AC239" s="539"/>
      <c r="AD239" s="178"/>
      <c r="AE239" s="280"/>
      <c r="AF239" s="280"/>
      <c r="AG239" s="280"/>
      <c r="AH239" s="542" t="s">
        <v>154</v>
      </c>
      <c r="AI239" s="543"/>
      <c r="AJ239" s="413"/>
      <c r="AK239" s="280"/>
      <c r="AL239" s="346" t="s">
        <v>89</v>
      </c>
      <c r="AM239" s="544">
        <v>44922</v>
      </c>
      <c r="AN239" s="545" t="s">
        <v>2212</v>
      </c>
      <c r="AO239" s="58" t="s">
        <v>91</v>
      </c>
      <c r="AP239" s="236" t="s">
        <v>2213</v>
      </c>
      <c r="AQ239" s="280" t="s">
        <v>2214</v>
      </c>
      <c r="AR239" s="280" t="s">
        <v>2215</v>
      </c>
      <c r="AS239" s="280"/>
      <c r="AT239" s="280" t="s">
        <v>2216</v>
      </c>
      <c r="AU239" s="280" t="s">
        <v>2217</v>
      </c>
      <c r="AV239" s="280"/>
      <c r="AW239" s="280"/>
      <c r="AX239" s="43"/>
      <c r="AY239" s="43"/>
      <c r="AZ239" s="43"/>
      <c r="BA239" s="43"/>
      <c r="BB239" s="43"/>
      <c r="BC239" s="546"/>
    </row>
    <row r="240" spans="1:55" ht="42.75" customHeight="1">
      <c r="A240" s="352"/>
      <c r="B240" s="22">
        <v>238</v>
      </c>
      <c r="C240" s="84" t="s">
        <v>100</v>
      </c>
      <c r="D240" s="45" t="s">
        <v>55</v>
      </c>
      <c r="E240" s="173" t="s">
        <v>2218</v>
      </c>
      <c r="F240" s="547" t="s">
        <v>2219</v>
      </c>
      <c r="G240" s="118" t="s">
        <v>1242</v>
      </c>
      <c r="H240" s="28" t="s">
        <v>1243</v>
      </c>
      <c r="I240" s="353" t="s">
        <v>1244</v>
      </c>
      <c r="J240" s="22" t="s">
        <v>60</v>
      </c>
      <c r="K240" s="89">
        <v>36452</v>
      </c>
      <c r="L240" s="22">
        <f t="shared" ca="1" si="1"/>
        <v>26</v>
      </c>
      <c r="M240" s="22" t="s">
        <v>79</v>
      </c>
      <c r="N240" s="22" t="s">
        <v>61</v>
      </c>
      <c r="O240" s="285">
        <v>46056</v>
      </c>
      <c r="P240" s="111" t="s">
        <v>1413</v>
      </c>
      <c r="Q240" s="548" t="s">
        <v>199</v>
      </c>
      <c r="R240" s="47" t="s">
        <v>1213</v>
      </c>
      <c r="S240" s="372" t="s">
        <v>149</v>
      </c>
      <c r="T240" s="549">
        <v>22500</v>
      </c>
      <c r="U240" s="550">
        <v>46055</v>
      </c>
      <c r="V240" s="285">
        <v>46233</v>
      </c>
      <c r="W240" s="176" t="s">
        <v>2220</v>
      </c>
      <c r="X240" s="17"/>
      <c r="Y240" s="551">
        <v>46052</v>
      </c>
      <c r="Z240" s="356" t="s">
        <v>2221</v>
      </c>
      <c r="AA240" s="101"/>
      <c r="AB240" s="53"/>
      <c r="AC240" s="53" t="s">
        <v>1203</v>
      </c>
      <c r="AD240" s="36"/>
      <c r="AE240" s="36"/>
      <c r="AF240" s="36"/>
      <c r="AG240" s="22"/>
      <c r="AH240" s="103" t="s">
        <v>154</v>
      </c>
      <c r="AI240" s="357"/>
      <c r="AJ240" s="93"/>
      <c r="AK240" s="352"/>
      <c r="AL240" s="518" t="s">
        <v>265</v>
      </c>
      <c r="AM240" s="518" t="s">
        <v>265</v>
      </c>
      <c r="AN240" s="518" t="s">
        <v>265</v>
      </c>
      <c r="AO240" s="95"/>
      <c r="AP240" s="190" t="s">
        <v>2222</v>
      </c>
      <c r="AQ240" s="373"/>
      <c r="AR240" s="373"/>
      <c r="AS240" s="373"/>
      <c r="AT240" s="373"/>
      <c r="AU240" s="373"/>
      <c r="AV240" s="373"/>
      <c r="AW240" s="373"/>
      <c r="AX240" s="131"/>
      <c r="AY240" s="131"/>
      <c r="AZ240" s="131"/>
      <c r="BA240" s="131"/>
      <c r="BB240" s="131"/>
      <c r="BC240" s="552"/>
    </row>
    <row r="241" spans="1:55" ht="42.75" customHeight="1">
      <c r="A241" s="395"/>
      <c r="B241" s="395">
        <v>239</v>
      </c>
      <c r="C241" s="553" t="s">
        <v>54</v>
      </c>
      <c r="D241" s="554" t="s">
        <v>611</v>
      </c>
      <c r="E241" s="300" t="s">
        <v>2223</v>
      </c>
      <c r="F241" s="555" t="s">
        <v>2224</v>
      </c>
      <c r="G241" s="47" t="s">
        <v>2225</v>
      </c>
      <c r="H241" s="174" t="s">
        <v>2226</v>
      </c>
      <c r="I241" s="47" t="s">
        <v>2227</v>
      </c>
      <c r="J241" s="70" t="s">
        <v>261</v>
      </c>
      <c r="K241" s="98">
        <v>36458</v>
      </c>
      <c r="L241" s="22">
        <f t="shared" ca="1" si="1"/>
        <v>26</v>
      </c>
      <c r="M241" s="22" t="s">
        <v>149</v>
      </c>
      <c r="N241" s="395" t="s">
        <v>2228</v>
      </c>
      <c r="O241" s="556">
        <v>46077</v>
      </c>
      <c r="P241" s="372" t="s">
        <v>2229</v>
      </c>
      <c r="Q241" s="284" t="s">
        <v>81</v>
      </c>
      <c r="R241" s="47" t="s">
        <v>272</v>
      </c>
      <c r="S241" s="300" t="s">
        <v>149</v>
      </c>
      <c r="T241" s="557">
        <v>20000</v>
      </c>
      <c r="U241" s="140">
        <v>45912</v>
      </c>
      <c r="V241" s="89">
        <v>46436</v>
      </c>
      <c r="W241" s="145" t="s">
        <v>2230</v>
      </c>
      <c r="X241" s="176"/>
      <c r="Y241" s="558">
        <v>46071</v>
      </c>
      <c r="Z241" s="273" t="s">
        <v>2231</v>
      </c>
      <c r="AA241" s="559"/>
      <c r="AB241" s="559"/>
      <c r="AC241" s="559"/>
      <c r="AD241" s="559"/>
      <c r="AE241" s="560"/>
      <c r="AF241" s="560"/>
      <c r="AG241" s="395"/>
      <c r="AH241" s="561" t="s">
        <v>154</v>
      </c>
      <c r="AI241" s="562"/>
      <c r="AJ241" s="381"/>
      <c r="AK241" s="395"/>
      <c r="AL241" s="346" t="s">
        <v>89</v>
      </c>
      <c r="AM241" s="563">
        <v>46071</v>
      </c>
      <c r="AN241" s="564" t="s">
        <v>2232</v>
      </c>
      <c r="AO241" s="58" t="s">
        <v>91</v>
      </c>
      <c r="AP241" s="565" t="s">
        <v>2233</v>
      </c>
      <c r="AQ241" s="565" t="s">
        <v>2234</v>
      </c>
      <c r="AR241" s="565" t="s">
        <v>2235</v>
      </c>
      <c r="AS241" s="565"/>
      <c r="AT241" s="565" t="s">
        <v>2236</v>
      </c>
      <c r="AU241" s="565" t="s">
        <v>2237</v>
      </c>
      <c r="AV241" s="565"/>
      <c r="AW241" s="565"/>
      <c r="AX241" s="565"/>
      <c r="AY241" s="565"/>
      <c r="AZ241" s="565"/>
      <c r="BA241" s="565"/>
      <c r="BB241" s="565"/>
      <c r="BC241" s="566"/>
    </row>
    <row r="242" spans="1:55" ht="42.75" customHeight="1">
      <c r="A242" s="17"/>
      <c r="B242" s="17">
        <v>240</v>
      </c>
      <c r="C242" s="135" t="s">
        <v>54</v>
      </c>
      <c r="D242" s="136" t="s">
        <v>611</v>
      </c>
      <c r="E242" s="283" t="s">
        <v>2238</v>
      </c>
      <c r="F242" s="567" t="s">
        <v>2239</v>
      </c>
      <c r="G242" s="88" t="s">
        <v>776</v>
      </c>
      <c r="H242" s="137" t="s">
        <v>777</v>
      </c>
      <c r="I242" s="88" t="s">
        <v>778</v>
      </c>
      <c r="J242" s="70" t="s">
        <v>60</v>
      </c>
      <c r="K242" s="89">
        <v>35762</v>
      </c>
      <c r="L242" s="22">
        <f t="shared" ca="1" si="1"/>
        <v>28</v>
      </c>
      <c r="M242" s="22" t="s">
        <v>149</v>
      </c>
      <c r="N242" s="395" t="s">
        <v>2228</v>
      </c>
      <c r="O242" s="568">
        <v>46119</v>
      </c>
      <c r="P242" s="111"/>
      <c r="Q242" s="447" t="s">
        <v>81</v>
      </c>
      <c r="R242" s="116" t="s">
        <v>457</v>
      </c>
      <c r="S242" s="283" t="s">
        <v>149</v>
      </c>
      <c r="T242" s="139">
        <v>20000</v>
      </c>
      <c r="U242" s="140">
        <v>45912</v>
      </c>
      <c r="V242" s="335">
        <v>46481</v>
      </c>
      <c r="W242" s="145" t="s">
        <v>2240</v>
      </c>
      <c r="X242" s="14"/>
      <c r="Y242" s="141"/>
      <c r="Z242" s="15" t="s">
        <v>2241</v>
      </c>
      <c r="AA242" s="107"/>
      <c r="AB242" s="107"/>
      <c r="AC242" s="107"/>
      <c r="AD242" s="107"/>
      <c r="AE242" s="279"/>
      <c r="AF242" s="279"/>
      <c r="AG242" s="70"/>
      <c r="AH242" s="569" t="s">
        <v>154</v>
      </c>
      <c r="AI242" s="376"/>
      <c r="AJ242" s="93"/>
      <c r="AK242" s="70"/>
      <c r="AL242" s="346" t="s">
        <v>89</v>
      </c>
      <c r="AM242" s="570">
        <v>44661</v>
      </c>
      <c r="AN242" s="571" t="s">
        <v>2242</v>
      </c>
      <c r="AO242" s="58" t="s">
        <v>91</v>
      </c>
      <c r="AP242" s="565"/>
      <c r="AQ242" s="565" t="s">
        <v>2243</v>
      </c>
      <c r="AR242" s="565" t="s">
        <v>2244</v>
      </c>
      <c r="AS242" s="565"/>
      <c r="AT242" s="565" t="s">
        <v>2245</v>
      </c>
      <c r="AU242" s="565"/>
      <c r="AV242" s="565"/>
      <c r="AW242" s="15"/>
      <c r="AX242" s="15"/>
      <c r="AY242" s="15"/>
      <c r="AZ242" s="15"/>
      <c r="BA242" s="15"/>
      <c r="BB242" s="15"/>
      <c r="BC242" s="276"/>
    </row>
    <row r="243" spans="1:55" ht="42.75" customHeight="1">
      <c r="A243" s="16"/>
      <c r="B243" s="17">
        <v>241</v>
      </c>
      <c r="C243" s="135" t="s">
        <v>54</v>
      </c>
      <c r="D243" s="136" t="s">
        <v>611</v>
      </c>
      <c r="E243" s="283" t="s">
        <v>2246</v>
      </c>
      <c r="F243" s="567" t="s">
        <v>2247</v>
      </c>
      <c r="G243" s="88" t="s">
        <v>2248</v>
      </c>
      <c r="H243" s="137" t="s">
        <v>2249</v>
      </c>
      <c r="I243" s="88"/>
      <c r="J243" s="70" t="s">
        <v>60</v>
      </c>
      <c r="K243" s="89">
        <v>37292</v>
      </c>
      <c r="L243" s="22">
        <f t="shared" ca="1" si="1"/>
        <v>24</v>
      </c>
      <c r="M243" s="22" t="s">
        <v>134</v>
      </c>
      <c r="N243" s="395" t="s">
        <v>2228</v>
      </c>
      <c r="O243" s="572">
        <v>46122</v>
      </c>
      <c r="P243" s="111"/>
      <c r="Q243" s="447" t="s">
        <v>81</v>
      </c>
      <c r="R243" s="88" t="s">
        <v>2250</v>
      </c>
      <c r="S243" s="283" t="s">
        <v>82</v>
      </c>
      <c r="T243" s="139">
        <v>15000</v>
      </c>
      <c r="U243" s="97">
        <v>46037</v>
      </c>
      <c r="V243" s="335">
        <v>46852</v>
      </c>
      <c r="W243" s="145" t="s">
        <v>2251</v>
      </c>
      <c r="X243" s="167"/>
      <c r="Y243" s="573">
        <v>46116</v>
      </c>
      <c r="Z243" s="33" t="s">
        <v>1835</v>
      </c>
      <c r="AA243" s="107"/>
      <c r="AB243" s="107"/>
      <c r="AC243" s="107"/>
      <c r="AD243" s="107"/>
      <c r="AE243" s="279"/>
      <c r="AF243" s="279"/>
      <c r="AG243" s="70"/>
      <c r="AH243" s="569" t="s">
        <v>154</v>
      </c>
      <c r="AI243" s="376"/>
      <c r="AJ243" s="93"/>
      <c r="AK243" s="70"/>
      <c r="AL243" s="250" t="s">
        <v>2252</v>
      </c>
      <c r="AM243" s="398">
        <v>46121</v>
      </c>
      <c r="AN243" s="571" t="s">
        <v>2242</v>
      </c>
      <c r="AO243" s="58" t="s">
        <v>91</v>
      </c>
      <c r="AP243" s="15"/>
      <c r="AQ243" s="15" t="s">
        <v>2253</v>
      </c>
      <c r="AR243" s="15" t="s">
        <v>2254</v>
      </c>
      <c r="AS243" s="15"/>
      <c r="AT243" s="15" t="s">
        <v>2255</v>
      </c>
      <c r="AU243" s="15"/>
      <c r="AV243" s="15"/>
      <c r="AW243" s="15"/>
      <c r="AX243" s="15"/>
      <c r="AY243" s="15"/>
      <c r="AZ243" s="15"/>
      <c r="BA243" s="15"/>
      <c r="BB243" s="15"/>
      <c r="BC243" s="276"/>
    </row>
    <row r="244" spans="1:55" ht="42.75" customHeight="1">
      <c r="A244" s="17"/>
      <c r="B244" s="17">
        <v>242</v>
      </c>
      <c r="C244" s="135" t="s">
        <v>54</v>
      </c>
      <c r="D244" s="136" t="s">
        <v>611</v>
      </c>
      <c r="E244" s="283" t="s">
        <v>2256</v>
      </c>
      <c r="F244" s="283"/>
      <c r="G244" s="88" t="s">
        <v>2257</v>
      </c>
      <c r="H244" s="137" t="s">
        <v>2258</v>
      </c>
      <c r="I244" s="88" t="s">
        <v>2259</v>
      </c>
      <c r="J244" s="17" t="s">
        <v>261</v>
      </c>
      <c r="K244" s="89">
        <v>36119</v>
      </c>
      <c r="L244" s="17">
        <v>27</v>
      </c>
      <c r="M244" s="22" t="s">
        <v>149</v>
      </c>
      <c r="N244" s="395" t="s">
        <v>2228</v>
      </c>
      <c r="O244" s="574">
        <v>46136</v>
      </c>
      <c r="P244" s="404"/>
      <c r="Q244" s="447" t="s">
        <v>81</v>
      </c>
      <c r="R244" s="88" t="s">
        <v>2260</v>
      </c>
      <c r="S244" s="575" t="s">
        <v>149</v>
      </c>
      <c r="T244" s="342">
        <v>15000</v>
      </c>
      <c r="U244" s="315"/>
      <c r="V244" s="128"/>
      <c r="W244" s="94"/>
      <c r="X244" s="14"/>
      <c r="Y244" s="14"/>
      <c r="Z244" s="88" t="s">
        <v>1678</v>
      </c>
      <c r="AA244" s="107"/>
      <c r="AB244" s="107"/>
      <c r="AC244" s="107"/>
      <c r="AD244" s="107"/>
      <c r="AE244" s="279"/>
      <c r="AF244" s="279"/>
      <c r="AG244" s="70"/>
      <c r="AH244" s="569" t="s">
        <v>154</v>
      </c>
      <c r="AI244" s="376"/>
      <c r="AJ244" s="93"/>
      <c r="AK244" s="70"/>
      <c r="AL244" s="537"/>
      <c r="AM244" s="576"/>
      <c r="AN244" s="145"/>
      <c r="AO244" s="141"/>
      <c r="AP244" s="577" t="s">
        <v>2261</v>
      </c>
      <c r="AQ244" s="15"/>
      <c r="AR244" s="15"/>
      <c r="AS244" s="15"/>
      <c r="AT244" s="15"/>
      <c r="AU244" s="15"/>
      <c r="AV244" s="15"/>
      <c r="AW244" s="15"/>
      <c r="AX244" s="15"/>
      <c r="AY244" s="15"/>
      <c r="AZ244" s="15"/>
      <c r="BA244" s="15"/>
      <c r="BB244" s="15"/>
      <c r="BC244" s="276"/>
    </row>
    <row r="245" spans="1:55" ht="42.75" customHeight="1">
      <c r="A245" s="17"/>
      <c r="B245" s="17">
        <v>243</v>
      </c>
      <c r="C245" s="149" t="s">
        <v>100</v>
      </c>
      <c r="D245" s="136" t="s">
        <v>55</v>
      </c>
      <c r="E245" s="283" t="s">
        <v>2262</v>
      </c>
      <c r="F245" s="283"/>
      <c r="G245" s="33" t="s">
        <v>2263</v>
      </c>
      <c r="H245" s="137" t="s">
        <v>2264</v>
      </c>
      <c r="I245" s="88" t="s">
        <v>2265</v>
      </c>
      <c r="J245" s="22" t="s">
        <v>60</v>
      </c>
      <c r="K245" s="30">
        <v>37885</v>
      </c>
      <c r="L245" s="22">
        <v>22</v>
      </c>
      <c r="M245" s="22" t="s">
        <v>79</v>
      </c>
      <c r="N245" s="395" t="s">
        <v>61</v>
      </c>
      <c r="O245" s="578">
        <v>46143</v>
      </c>
      <c r="P245" s="579"/>
      <c r="Q245" s="548" t="s">
        <v>1849</v>
      </c>
      <c r="R245" s="96" t="s">
        <v>2266</v>
      </c>
      <c r="S245" s="457" t="s">
        <v>1687</v>
      </c>
      <c r="T245" s="580">
        <v>10000</v>
      </c>
      <c r="U245" s="581"/>
      <c r="V245" s="91"/>
      <c r="W245" s="14"/>
      <c r="X245" s="16"/>
      <c r="Y245" s="70"/>
      <c r="Z245" s="15" t="s">
        <v>2267</v>
      </c>
      <c r="AA245" s="42"/>
      <c r="AB245" s="30"/>
      <c r="AC245" s="42"/>
      <c r="AD245" s="42"/>
      <c r="AE245" s="42"/>
      <c r="AF245" s="42"/>
      <c r="AG245" s="30"/>
      <c r="AH245" s="22"/>
      <c r="AI245" s="92"/>
      <c r="AJ245" s="168"/>
      <c r="AK245" s="168"/>
      <c r="AL245" s="537"/>
      <c r="AM245" s="476"/>
      <c r="AN245" s="145"/>
      <c r="AO245" s="582" t="s">
        <v>343</v>
      </c>
      <c r="AP245" s="168" t="s">
        <v>2268</v>
      </c>
      <c r="AQ245" s="15"/>
      <c r="AR245" s="15"/>
      <c r="AS245" s="15"/>
      <c r="AT245" s="15"/>
      <c r="AU245" s="15"/>
      <c r="AV245" s="15"/>
      <c r="AW245" s="15"/>
      <c r="AX245" s="15"/>
      <c r="AY245" s="15"/>
      <c r="AZ245" s="15"/>
      <c r="BA245" s="15"/>
      <c r="BB245" s="15"/>
      <c r="BC245" s="276"/>
    </row>
    <row r="246" spans="1:55" ht="42.75" customHeight="1">
      <c r="A246" s="17"/>
      <c r="B246" s="17">
        <v>244</v>
      </c>
      <c r="C246" s="135" t="s">
        <v>54</v>
      </c>
      <c r="D246" s="136" t="s">
        <v>611</v>
      </c>
      <c r="E246" s="283" t="s">
        <v>2269</v>
      </c>
      <c r="F246" s="283"/>
      <c r="G246" s="88" t="s">
        <v>2270</v>
      </c>
      <c r="H246" s="137" t="s">
        <v>2271</v>
      </c>
      <c r="I246" s="88"/>
      <c r="J246" s="17" t="s">
        <v>60</v>
      </c>
      <c r="K246" s="89">
        <v>35080</v>
      </c>
      <c r="L246" s="17">
        <v>30</v>
      </c>
      <c r="M246" s="22" t="s">
        <v>149</v>
      </c>
      <c r="N246" s="395" t="s">
        <v>2228</v>
      </c>
      <c r="O246" s="578">
        <v>46143</v>
      </c>
      <c r="P246" s="404"/>
      <c r="Q246" s="447" t="s">
        <v>81</v>
      </c>
      <c r="R246" s="35" t="s">
        <v>445</v>
      </c>
      <c r="S246" s="575" t="s">
        <v>149</v>
      </c>
      <c r="T246" s="342"/>
      <c r="U246" s="315"/>
      <c r="V246" s="128"/>
      <c r="W246" s="94"/>
      <c r="X246" s="14"/>
      <c r="Y246" s="14"/>
      <c r="Z246" s="88" t="s">
        <v>1645</v>
      </c>
      <c r="AA246" s="107"/>
      <c r="AB246" s="107"/>
      <c r="AC246" s="107"/>
      <c r="AD246" s="107"/>
      <c r="AE246" s="279"/>
      <c r="AF246" s="279"/>
      <c r="AG246" s="70"/>
      <c r="AH246" s="569" t="s">
        <v>154</v>
      </c>
      <c r="AI246" s="376"/>
      <c r="AJ246" s="93"/>
      <c r="AK246" s="70"/>
      <c r="AL246" s="537"/>
      <c r="AM246" s="576"/>
      <c r="AN246" s="145"/>
      <c r="AO246" s="141"/>
      <c r="AP246" s="577" t="s">
        <v>2272</v>
      </c>
      <c r="AQ246" s="15"/>
      <c r="AR246" s="15"/>
      <c r="AS246" s="15"/>
      <c r="AT246" s="15"/>
      <c r="AU246" s="15"/>
      <c r="AV246" s="15"/>
      <c r="AW246" s="15"/>
      <c r="AX246" s="15"/>
      <c r="AY246" s="15"/>
      <c r="AZ246" s="15"/>
      <c r="BA246" s="15"/>
      <c r="BB246" s="15"/>
      <c r="BC246" s="276"/>
    </row>
    <row r="247" spans="1:55" ht="44.25" customHeight="1">
      <c r="A247" s="17"/>
      <c r="B247" s="17">
        <v>245</v>
      </c>
      <c r="C247" s="84" t="s">
        <v>100</v>
      </c>
      <c r="D247" s="45" t="s">
        <v>55</v>
      </c>
      <c r="E247" s="283" t="s">
        <v>2273</v>
      </c>
      <c r="F247" s="583"/>
      <c r="G247" s="33" t="s">
        <v>2274</v>
      </c>
      <c r="H247" s="28" t="s">
        <v>2275</v>
      </c>
      <c r="I247" s="70"/>
      <c r="J247" s="22" t="s">
        <v>60</v>
      </c>
      <c r="K247" s="30">
        <v>36088</v>
      </c>
      <c r="L247" s="22">
        <f ca="1">DATEDIF(K247,TODAY(),"Y")</f>
        <v>27</v>
      </c>
      <c r="M247" s="22" t="s">
        <v>149</v>
      </c>
      <c r="N247" s="22" t="s">
        <v>1350</v>
      </c>
      <c r="O247" s="584" t="s">
        <v>2276</v>
      </c>
      <c r="P247" s="70" t="s">
        <v>2277</v>
      </c>
      <c r="Q247" s="379" t="s">
        <v>1849</v>
      </c>
      <c r="R247" s="35" t="s">
        <v>136</v>
      </c>
      <c r="S247" s="372" t="s">
        <v>1687</v>
      </c>
      <c r="T247" s="64">
        <v>10000</v>
      </c>
      <c r="U247" s="425">
        <v>45726</v>
      </c>
      <c r="V247" s="91"/>
      <c r="W247" s="14"/>
      <c r="X247" s="16"/>
      <c r="Y247" s="70"/>
      <c r="Z247" s="15" t="s">
        <v>843</v>
      </c>
      <c r="AA247" s="42"/>
      <c r="AB247" s="30"/>
      <c r="AC247" s="42"/>
      <c r="AD247" s="42"/>
      <c r="AE247" s="42"/>
      <c r="AF247" s="42"/>
      <c r="AG247" s="30"/>
      <c r="AH247" s="22"/>
      <c r="AI247" s="92"/>
      <c r="AJ247" s="168"/>
      <c r="AK247" s="168"/>
      <c r="AL247" s="537"/>
      <c r="AM247" s="476"/>
      <c r="AN247" s="476"/>
      <c r="AO247" s="476"/>
      <c r="AP247" s="168" t="s">
        <v>2278</v>
      </c>
      <c r="AQ247" s="476"/>
      <c r="AR247" s="476"/>
      <c r="AS247" s="476"/>
      <c r="AT247" s="476"/>
      <c r="AU247" s="476"/>
      <c r="AV247" s="476"/>
      <c r="AW247" s="15"/>
      <c r="AX247" s="15"/>
      <c r="AY247" s="15"/>
      <c r="AZ247" s="15"/>
      <c r="BA247" s="15"/>
      <c r="BB247" s="15"/>
      <c r="BC247" s="276"/>
    </row>
    <row r="248" spans="1:55" ht="44.25" customHeight="1">
      <c r="A248" s="17"/>
      <c r="B248" s="17">
        <v>246</v>
      </c>
      <c r="C248" s="553" t="s">
        <v>54</v>
      </c>
      <c r="D248" s="45" t="s">
        <v>611</v>
      </c>
      <c r="E248" s="283" t="s">
        <v>2279</v>
      </c>
      <c r="F248" s="404"/>
      <c r="G248" s="47" t="s">
        <v>2280</v>
      </c>
      <c r="H248" s="28" t="s">
        <v>2281</v>
      </c>
      <c r="I248" s="22" t="s">
        <v>2282</v>
      </c>
      <c r="J248" s="22" t="s">
        <v>261</v>
      </c>
      <c r="K248" s="30">
        <v>36320</v>
      </c>
      <c r="L248" s="22">
        <v>26</v>
      </c>
      <c r="M248" s="22" t="s">
        <v>134</v>
      </c>
      <c r="N248" s="395"/>
      <c r="O248" s="578">
        <v>46143</v>
      </c>
      <c r="P248" s="446"/>
      <c r="Q248" s="49" t="s">
        <v>81</v>
      </c>
      <c r="R248" s="15" t="s">
        <v>2283</v>
      </c>
      <c r="S248" s="111" t="s">
        <v>1687</v>
      </c>
      <c r="T248" s="64">
        <v>15000</v>
      </c>
      <c r="U248" s="581">
        <v>45778</v>
      </c>
      <c r="V248" s="91"/>
      <c r="W248" s="14"/>
      <c r="X248" s="16"/>
      <c r="Y248" s="22"/>
      <c r="Z248" s="59"/>
      <c r="AA248" s="42"/>
      <c r="AB248" s="30"/>
      <c r="AC248" s="42"/>
      <c r="AD248" s="42"/>
      <c r="AE248" s="42"/>
      <c r="AF248" s="42"/>
      <c r="AG248" s="30"/>
      <c r="AH248" s="22"/>
      <c r="AI248" s="92"/>
      <c r="AJ248" s="168"/>
      <c r="AK248" s="168"/>
      <c r="AL248" s="168"/>
      <c r="AM248" s="476"/>
      <c r="AN248" s="476"/>
      <c r="AO248" s="476"/>
      <c r="AP248" s="168" t="s">
        <v>2284</v>
      </c>
      <c r="AQ248" s="476"/>
      <c r="AR248" s="476"/>
      <c r="AS248" s="476"/>
      <c r="AT248" s="476"/>
      <c r="AU248" s="476"/>
      <c r="AV248" s="476"/>
      <c r="AW248" s="15"/>
      <c r="AX248" s="15"/>
      <c r="AY248" s="15"/>
      <c r="AZ248" s="15"/>
      <c r="BA248" s="15"/>
      <c r="BB248" s="15"/>
      <c r="BC248" s="276"/>
    </row>
    <row r="249" spans="1:55" ht="44.25" customHeight="1">
      <c r="A249" s="17"/>
      <c r="B249" s="17">
        <v>247</v>
      </c>
      <c r="C249" s="553" t="s">
        <v>54</v>
      </c>
      <c r="D249" s="45" t="s">
        <v>611</v>
      </c>
      <c r="E249" s="283" t="s">
        <v>2285</v>
      </c>
      <c r="F249" s="404"/>
      <c r="G249" s="47" t="s">
        <v>2286</v>
      </c>
      <c r="H249" s="28" t="s">
        <v>2287</v>
      </c>
      <c r="I249" s="22" t="s">
        <v>2288</v>
      </c>
      <c r="J249" s="22" t="s">
        <v>261</v>
      </c>
      <c r="K249" s="30">
        <v>38534</v>
      </c>
      <c r="L249" s="22">
        <v>20</v>
      </c>
      <c r="M249" s="22" t="s">
        <v>134</v>
      </c>
      <c r="N249" s="395"/>
      <c r="O249" s="578">
        <v>46143</v>
      </c>
      <c r="P249" s="446"/>
      <c r="Q249" s="49" t="s">
        <v>81</v>
      </c>
      <c r="R249" s="15" t="s">
        <v>2283</v>
      </c>
      <c r="S249" s="111" t="s">
        <v>1687</v>
      </c>
      <c r="T249" s="64">
        <v>15000</v>
      </c>
      <c r="U249" s="581">
        <v>45778</v>
      </c>
      <c r="V249" s="91"/>
      <c r="W249" s="14"/>
      <c r="X249" s="16"/>
      <c r="Y249" s="22"/>
      <c r="Z249" s="59"/>
      <c r="AA249" s="42"/>
      <c r="AB249" s="30"/>
      <c r="AC249" s="42"/>
      <c r="AD249" s="42"/>
      <c r="AE249" s="42"/>
      <c r="AF249" s="42"/>
      <c r="AG249" s="30"/>
      <c r="AH249" s="22"/>
      <c r="AI249" s="92"/>
      <c r="AJ249" s="168"/>
      <c r="AK249" s="168"/>
      <c r="AL249" s="168"/>
      <c r="AM249" s="476"/>
      <c r="AN249" s="476"/>
      <c r="AO249" s="476"/>
      <c r="AP249" s="168" t="s">
        <v>2284</v>
      </c>
      <c r="AQ249" s="476"/>
      <c r="AR249" s="476"/>
      <c r="AS249" s="476"/>
      <c r="AT249" s="476"/>
      <c r="AU249" s="476"/>
      <c r="AV249" s="476"/>
      <c r="AW249" s="15"/>
      <c r="AX249" s="15"/>
      <c r="AY249" s="15"/>
      <c r="AZ249" s="15"/>
      <c r="BA249" s="15"/>
      <c r="BB249" s="15"/>
      <c r="BC249" s="276"/>
    </row>
    <row r="250" spans="1:55" ht="12.75" customHeight="1">
      <c r="A250" s="465"/>
      <c r="B250" s="465"/>
      <c r="C250" s="147"/>
      <c r="D250" s="147"/>
      <c r="E250" s="585"/>
      <c r="F250" s="586"/>
      <c r="G250" s="458"/>
      <c r="H250" s="458"/>
      <c r="I250" s="458"/>
      <c r="J250" s="465"/>
      <c r="K250" s="587"/>
      <c r="L250" s="465"/>
      <c r="M250" s="465"/>
      <c r="N250" s="465"/>
      <c r="O250" s="587"/>
      <c r="P250" s="585"/>
      <c r="Q250" s="465"/>
      <c r="R250" s="458"/>
      <c r="S250" s="585"/>
      <c r="T250" s="588"/>
      <c r="U250" s="589"/>
      <c r="V250" s="587"/>
      <c r="W250" s="465"/>
      <c r="X250" s="465"/>
      <c r="Y250" s="590"/>
      <c r="Z250" s="458"/>
      <c r="AA250" s="591"/>
      <c r="AB250" s="465"/>
      <c r="AC250" s="465"/>
      <c r="AD250" s="465"/>
      <c r="AE250" s="465"/>
      <c r="AF250" s="465"/>
      <c r="AG250" s="465"/>
      <c r="AH250" s="465"/>
      <c r="AI250" s="592"/>
      <c r="AJ250" s="465"/>
      <c r="AK250" s="465"/>
      <c r="AL250" s="20"/>
      <c r="AM250" s="20"/>
      <c r="AN250" s="593"/>
      <c r="AO250" s="20"/>
      <c r="AP250" s="276"/>
      <c r="AQ250" s="276"/>
      <c r="AR250" s="276"/>
      <c r="AS250" s="276"/>
      <c r="AT250" s="276"/>
      <c r="AU250" s="276"/>
      <c r="AV250" s="276"/>
      <c r="AW250" s="276"/>
      <c r="AX250" s="276"/>
      <c r="AY250" s="276"/>
      <c r="AZ250" s="276"/>
      <c r="BA250" s="276"/>
      <c r="BB250" s="276"/>
      <c r="BC250" s="276"/>
    </row>
    <row r="251" spans="1:55" ht="12.75" customHeight="1">
      <c r="A251" s="465"/>
      <c r="B251" s="465"/>
      <c r="C251" s="147"/>
      <c r="D251" s="147"/>
      <c r="E251" s="585"/>
      <c r="F251" s="586"/>
      <c r="G251" s="458"/>
      <c r="H251" s="458"/>
      <c r="I251" s="458"/>
      <c r="J251" s="465"/>
      <c r="K251" s="587"/>
      <c r="L251" s="465"/>
      <c r="M251" s="465"/>
      <c r="N251" s="465"/>
      <c r="O251" s="587"/>
      <c r="P251" s="585"/>
      <c r="Q251" s="465"/>
      <c r="R251" s="458"/>
      <c r="S251" s="585"/>
      <c r="T251" s="588"/>
      <c r="U251" s="589"/>
      <c r="V251" s="587"/>
      <c r="W251" s="465"/>
      <c r="X251" s="465"/>
      <c r="Y251" s="590"/>
      <c r="Z251" s="458"/>
      <c r="AA251" s="591"/>
      <c r="AB251" s="465"/>
      <c r="AC251" s="465"/>
      <c r="AD251" s="465"/>
      <c r="AE251" s="465"/>
      <c r="AF251" s="465"/>
      <c r="AG251" s="465"/>
      <c r="AH251" s="465"/>
      <c r="AI251" s="592"/>
      <c r="AJ251" s="465"/>
      <c r="AK251" s="465"/>
      <c r="AL251" s="20"/>
      <c r="AM251" s="20"/>
      <c r="AN251" s="593"/>
      <c r="AO251" s="20"/>
      <c r="AP251" s="276"/>
      <c r="AQ251" s="276"/>
      <c r="AR251" s="276"/>
      <c r="AS251" s="276"/>
      <c r="AT251" s="276"/>
      <c r="AU251" s="276"/>
      <c r="AV251" s="276"/>
      <c r="AW251" s="276"/>
      <c r="AX251" s="276"/>
      <c r="AY251" s="276"/>
      <c r="AZ251" s="276"/>
      <c r="BA251" s="276"/>
      <c r="BB251" s="276"/>
      <c r="BC251" s="276"/>
    </row>
    <row r="252" spans="1:55" ht="12.75" customHeight="1">
      <c r="A252" s="465"/>
      <c r="B252" s="465"/>
      <c r="C252" s="147"/>
      <c r="D252" s="147"/>
      <c r="E252" s="585"/>
      <c r="F252" s="586"/>
      <c r="G252" s="458"/>
      <c r="H252" s="458"/>
      <c r="I252" s="458"/>
      <c r="J252" s="465"/>
      <c r="K252" s="587"/>
      <c r="L252" s="465"/>
      <c r="M252" s="465"/>
      <c r="N252" s="465"/>
      <c r="O252" s="587"/>
      <c r="P252" s="585"/>
      <c r="Q252" s="465"/>
      <c r="R252" s="458"/>
      <c r="S252" s="585"/>
      <c r="T252" s="588"/>
      <c r="U252" s="589"/>
      <c r="V252" s="587"/>
      <c r="W252" s="465"/>
      <c r="X252" s="465"/>
      <c r="Y252" s="590"/>
      <c r="Z252" s="458"/>
      <c r="AA252" s="591"/>
      <c r="AB252" s="465"/>
      <c r="AC252" s="465"/>
      <c r="AD252" s="465"/>
      <c r="AE252" s="465"/>
      <c r="AF252" s="465"/>
      <c r="AG252" s="465"/>
      <c r="AH252" s="465"/>
      <c r="AI252" s="592"/>
      <c r="AJ252" s="465"/>
      <c r="AK252" s="465"/>
      <c r="AL252" s="20"/>
      <c r="AM252" s="20"/>
      <c r="AN252" s="593"/>
      <c r="AO252" s="20"/>
      <c r="AP252" s="276"/>
      <c r="AQ252" s="276"/>
      <c r="AR252" s="276"/>
      <c r="AS252" s="276"/>
      <c r="AT252" s="276"/>
      <c r="AU252" s="276"/>
      <c r="AV252" s="276"/>
      <c r="AW252" s="276"/>
      <c r="AX252" s="276"/>
      <c r="AY252" s="276"/>
      <c r="AZ252" s="276"/>
      <c r="BA252" s="276"/>
      <c r="BB252" s="276"/>
      <c r="BC252" s="276"/>
    </row>
    <row r="253" spans="1:55" ht="12.75" customHeight="1">
      <c r="A253" s="465"/>
      <c r="B253" s="465"/>
      <c r="C253" s="147"/>
      <c r="D253" s="147"/>
      <c r="E253" s="585"/>
      <c r="F253" s="586"/>
      <c r="G253" s="458"/>
      <c r="H253" s="458"/>
      <c r="I253" s="458"/>
      <c r="J253" s="465"/>
      <c r="K253" s="587"/>
      <c r="L253" s="465"/>
      <c r="M253" s="465"/>
      <c r="N253" s="465"/>
      <c r="O253" s="587"/>
      <c r="P253" s="585"/>
      <c r="Q253" s="465"/>
      <c r="R253" s="458"/>
      <c r="S253" s="585"/>
      <c r="T253" s="588"/>
      <c r="U253" s="589"/>
      <c r="V253" s="587"/>
      <c r="W253" s="465"/>
      <c r="X253" s="465"/>
      <c r="Y253" s="590"/>
      <c r="Z253" s="458"/>
      <c r="AA253" s="591"/>
      <c r="AB253" s="465"/>
      <c r="AC253" s="465"/>
      <c r="AD253" s="465"/>
      <c r="AE253" s="465"/>
      <c r="AF253" s="465"/>
      <c r="AG253" s="465"/>
      <c r="AH253" s="465"/>
      <c r="AI253" s="592"/>
      <c r="AJ253" s="465"/>
      <c r="AK253" s="465"/>
      <c r="AL253" s="20"/>
      <c r="AM253" s="20"/>
      <c r="AN253" s="593"/>
      <c r="AO253" s="20"/>
      <c r="AP253" s="276"/>
      <c r="AQ253" s="276"/>
      <c r="AR253" s="276"/>
      <c r="AS253" s="276"/>
      <c r="AT253" s="276"/>
      <c r="AU253" s="276"/>
      <c r="AV253" s="276"/>
      <c r="AW253" s="276"/>
      <c r="AX253" s="276"/>
      <c r="AY253" s="276"/>
      <c r="AZ253" s="276"/>
      <c r="BA253" s="276"/>
      <c r="BB253" s="276"/>
      <c r="BC253" s="276"/>
    </row>
    <row r="254" spans="1:55" ht="12.75" customHeight="1">
      <c r="A254" s="465"/>
      <c r="B254" s="465"/>
      <c r="C254" s="147"/>
      <c r="D254" s="147"/>
      <c r="E254" s="585"/>
      <c r="F254" s="586"/>
      <c r="G254" s="458"/>
      <c r="H254" s="458"/>
      <c r="I254" s="458"/>
      <c r="J254" s="465"/>
      <c r="K254" s="587"/>
      <c r="L254" s="465"/>
      <c r="M254" s="465"/>
      <c r="N254" s="465"/>
      <c r="O254" s="587"/>
      <c r="P254" s="585"/>
      <c r="Q254" s="465"/>
      <c r="R254" s="458"/>
      <c r="S254" s="585"/>
      <c r="T254" s="588"/>
      <c r="U254" s="589"/>
      <c r="V254" s="587"/>
      <c r="W254" s="465"/>
      <c r="X254" s="465"/>
      <c r="Y254" s="590"/>
      <c r="Z254" s="458"/>
      <c r="AA254" s="591"/>
      <c r="AB254" s="465"/>
      <c r="AC254" s="465"/>
      <c r="AD254" s="465"/>
      <c r="AE254" s="465"/>
      <c r="AF254" s="465"/>
      <c r="AG254" s="465"/>
      <c r="AH254" s="465"/>
      <c r="AI254" s="592"/>
      <c r="AJ254" s="465"/>
      <c r="AK254" s="465"/>
      <c r="AL254" s="20"/>
      <c r="AM254" s="20"/>
      <c r="AN254" s="593"/>
      <c r="AO254" s="20"/>
      <c r="AP254" s="276"/>
      <c r="AQ254" s="276"/>
      <c r="AR254" s="276"/>
      <c r="AS254" s="276"/>
      <c r="AT254" s="276"/>
      <c r="AU254" s="276"/>
      <c r="AV254" s="276"/>
      <c r="AW254" s="276"/>
      <c r="AX254" s="276"/>
      <c r="AY254" s="276"/>
      <c r="AZ254" s="276"/>
      <c r="BA254" s="276"/>
      <c r="BB254" s="276"/>
      <c r="BC254" s="276"/>
    </row>
    <row r="255" spans="1:55" ht="12.75" customHeight="1">
      <c r="A255" s="465"/>
      <c r="B255" s="465"/>
      <c r="C255" s="147"/>
      <c r="D255" s="147"/>
      <c r="E255" s="585"/>
      <c r="F255" s="586"/>
      <c r="G255" s="458"/>
      <c r="H255" s="458"/>
      <c r="I255" s="458"/>
      <c r="J255" s="465"/>
      <c r="K255" s="587"/>
      <c r="L255" s="465"/>
      <c r="M255" s="465"/>
      <c r="N255" s="465"/>
      <c r="O255" s="587"/>
      <c r="P255" s="585"/>
      <c r="Q255" s="465"/>
      <c r="R255" s="458"/>
      <c r="S255" s="585"/>
      <c r="T255" s="588"/>
      <c r="U255" s="589"/>
      <c r="V255" s="587"/>
      <c r="W255" s="465"/>
      <c r="X255" s="465"/>
      <c r="Y255" s="590"/>
      <c r="Z255" s="458"/>
      <c r="AA255" s="591"/>
      <c r="AB255" s="465"/>
      <c r="AC255" s="465"/>
      <c r="AD255" s="465"/>
      <c r="AE255" s="465"/>
      <c r="AF255" s="465"/>
      <c r="AG255" s="465"/>
      <c r="AH255" s="465"/>
      <c r="AI255" s="592"/>
      <c r="AJ255" s="465"/>
      <c r="AK255" s="465"/>
      <c r="AL255" s="20"/>
      <c r="AM255" s="20"/>
      <c r="AN255" s="593"/>
      <c r="AO255" s="20"/>
      <c r="AP255" s="276"/>
      <c r="AQ255" s="276"/>
      <c r="AR255" s="276"/>
      <c r="AS255" s="276"/>
      <c r="AT255" s="276"/>
      <c r="AU255" s="276"/>
      <c r="AV255" s="276"/>
      <c r="AW255" s="276"/>
      <c r="AX255" s="276"/>
      <c r="AY255" s="276"/>
      <c r="AZ255" s="276"/>
      <c r="BA255" s="276"/>
      <c r="BB255" s="276"/>
      <c r="BC255" s="276"/>
    </row>
    <row r="256" spans="1:55" ht="12.75" customHeight="1">
      <c r="A256" s="465"/>
      <c r="B256" s="465"/>
      <c r="C256" s="147"/>
      <c r="D256" s="147"/>
      <c r="E256" s="585"/>
      <c r="F256" s="586"/>
      <c r="G256" s="458"/>
      <c r="H256" s="458"/>
      <c r="I256" s="458"/>
      <c r="J256" s="465"/>
      <c r="K256" s="587"/>
      <c r="L256" s="465"/>
      <c r="M256" s="465"/>
      <c r="N256" s="465"/>
      <c r="O256" s="587"/>
      <c r="P256" s="585"/>
      <c r="Q256" s="465"/>
      <c r="R256" s="458"/>
      <c r="S256" s="585"/>
      <c r="T256" s="588"/>
      <c r="U256" s="589"/>
      <c r="V256" s="587"/>
      <c r="W256" s="465"/>
      <c r="X256" s="465"/>
      <c r="Y256" s="590"/>
      <c r="Z256" s="458"/>
      <c r="AA256" s="591"/>
      <c r="AB256" s="465"/>
      <c r="AC256" s="465"/>
      <c r="AD256" s="465"/>
      <c r="AE256" s="465"/>
      <c r="AF256" s="465"/>
      <c r="AG256" s="465"/>
      <c r="AH256" s="465"/>
      <c r="AI256" s="592"/>
      <c r="AJ256" s="465"/>
      <c r="AK256" s="465"/>
      <c r="AL256" s="20"/>
      <c r="AM256" s="20"/>
      <c r="AN256" s="593"/>
      <c r="AO256" s="20"/>
      <c r="AP256" s="276"/>
      <c r="AQ256" s="276"/>
      <c r="AR256" s="276"/>
      <c r="AS256" s="276"/>
      <c r="AT256" s="276"/>
      <c r="AU256" s="276"/>
      <c r="AV256" s="276"/>
      <c r="AW256" s="276"/>
      <c r="AX256" s="276"/>
      <c r="AY256" s="276"/>
      <c r="AZ256" s="276"/>
      <c r="BA256" s="276"/>
      <c r="BB256" s="276"/>
      <c r="BC256" s="276"/>
    </row>
    <row r="257" spans="1:55" ht="12.75" customHeight="1">
      <c r="A257" s="465"/>
      <c r="B257" s="465"/>
      <c r="C257" s="147"/>
      <c r="D257" s="147"/>
      <c r="E257" s="585"/>
      <c r="F257" s="586"/>
      <c r="G257" s="458"/>
      <c r="H257" s="458"/>
      <c r="I257" s="458"/>
      <c r="J257" s="465"/>
      <c r="K257" s="587"/>
      <c r="L257" s="465"/>
      <c r="M257" s="465"/>
      <c r="N257" s="465"/>
      <c r="O257" s="587"/>
      <c r="P257" s="585"/>
      <c r="Q257" s="465"/>
      <c r="R257" s="458"/>
      <c r="S257" s="585"/>
      <c r="T257" s="588"/>
      <c r="U257" s="589"/>
      <c r="V257" s="587"/>
      <c r="W257" s="465"/>
      <c r="X257" s="465"/>
      <c r="Y257" s="590"/>
      <c r="Z257" s="458"/>
      <c r="AA257" s="591"/>
      <c r="AB257" s="465"/>
      <c r="AC257" s="465"/>
      <c r="AD257" s="465"/>
      <c r="AE257" s="465"/>
      <c r="AF257" s="465"/>
      <c r="AG257" s="465"/>
      <c r="AH257" s="465"/>
      <c r="AI257" s="592"/>
      <c r="AJ257" s="465"/>
      <c r="AK257" s="465"/>
      <c r="AL257" s="20"/>
      <c r="AM257" s="20"/>
      <c r="AN257" s="593"/>
      <c r="AO257" s="20"/>
      <c r="AP257" s="276"/>
      <c r="AQ257" s="276"/>
      <c r="AR257" s="276"/>
      <c r="AS257" s="276"/>
      <c r="AT257" s="276"/>
      <c r="AU257" s="276"/>
      <c r="AV257" s="276"/>
      <c r="AW257" s="276"/>
      <c r="AX257" s="276"/>
      <c r="AY257" s="276"/>
      <c r="AZ257" s="276"/>
      <c r="BA257" s="276"/>
      <c r="BB257" s="276"/>
      <c r="BC257" s="276"/>
    </row>
    <row r="258" spans="1:55" ht="12.75" customHeight="1">
      <c r="A258" s="465"/>
      <c r="B258" s="465"/>
      <c r="C258" s="147"/>
      <c r="D258" s="147"/>
      <c r="E258" s="585"/>
      <c r="F258" s="586"/>
      <c r="G258" s="458"/>
      <c r="H258" s="458"/>
      <c r="I258" s="458"/>
      <c r="J258" s="465"/>
      <c r="K258" s="587"/>
      <c r="L258" s="465"/>
      <c r="M258" s="465"/>
      <c r="N258" s="465"/>
      <c r="O258" s="587"/>
      <c r="P258" s="585"/>
      <c r="Q258" s="465"/>
      <c r="R258" s="458"/>
      <c r="S258" s="585"/>
      <c r="T258" s="588"/>
      <c r="U258" s="589"/>
      <c r="V258" s="587"/>
      <c r="W258" s="465"/>
      <c r="X258" s="465"/>
      <c r="Y258" s="590"/>
      <c r="Z258" s="458"/>
      <c r="AA258" s="591"/>
      <c r="AB258" s="465"/>
      <c r="AC258" s="465"/>
      <c r="AD258" s="465"/>
      <c r="AE258" s="465"/>
      <c r="AF258" s="465"/>
      <c r="AG258" s="465"/>
      <c r="AH258" s="465"/>
      <c r="AI258" s="592"/>
      <c r="AJ258" s="465"/>
      <c r="AK258" s="465"/>
      <c r="AL258" s="20"/>
      <c r="AM258" s="20"/>
      <c r="AN258" s="593"/>
      <c r="AO258" s="20"/>
      <c r="AP258" s="276"/>
      <c r="AQ258" s="276"/>
      <c r="AR258" s="276"/>
      <c r="AS258" s="276"/>
      <c r="AT258" s="276"/>
      <c r="AU258" s="276"/>
      <c r="AV258" s="276"/>
      <c r="AW258" s="276"/>
      <c r="AX258" s="276"/>
      <c r="AY258" s="276"/>
      <c r="AZ258" s="276"/>
      <c r="BA258" s="276"/>
      <c r="BB258" s="276"/>
      <c r="BC258" s="276"/>
    </row>
    <row r="259" spans="1:55" ht="12.75" customHeight="1">
      <c r="A259" s="465"/>
      <c r="B259" s="465"/>
      <c r="C259" s="147"/>
      <c r="D259" s="147"/>
      <c r="E259" s="585"/>
      <c r="F259" s="586"/>
      <c r="G259" s="458"/>
      <c r="H259" s="458"/>
      <c r="I259" s="458"/>
      <c r="J259" s="465"/>
      <c r="K259" s="587"/>
      <c r="L259" s="465"/>
      <c r="M259" s="465"/>
      <c r="N259" s="465"/>
      <c r="O259" s="587"/>
      <c r="P259" s="585"/>
      <c r="Q259" s="465"/>
      <c r="R259" s="458"/>
      <c r="S259" s="585"/>
      <c r="T259" s="588"/>
      <c r="U259" s="589"/>
      <c r="V259" s="587"/>
      <c r="W259" s="465"/>
      <c r="X259" s="465"/>
      <c r="Y259" s="590"/>
      <c r="Z259" s="458"/>
      <c r="AA259" s="591"/>
      <c r="AB259" s="465"/>
      <c r="AC259" s="465"/>
      <c r="AD259" s="465"/>
      <c r="AE259" s="465"/>
      <c r="AF259" s="465"/>
      <c r="AG259" s="465"/>
      <c r="AH259" s="465"/>
      <c r="AI259" s="592"/>
      <c r="AJ259" s="465"/>
      <c r="AK259" s="465"/>
      <c r="AL259" s="20"/>
      <c r="AM259" s="20"/>
      <c r="AN259" s="593"/>
      <c r="AO259" s="20"/>
      <c r="AP259" s="276"/>
      <c r="AQ259" s="276"/>
      <c r="AR259" s="276"/>
      <c r="AS259" s="276"/>
      <c r="AT259" s="276"/>
      <c r="AU259" s="276"/>
      <c r="AV259" s="276"/>
      <c r="AW259" s="276"/>
      <c r="AX259" s="276"/>
      <c r="AY259" s="276"/>
      <c r="AZ259" s="276"/>
      <c r="BA259" s="276"/>
      <c r="BB259" s="276"/>
      <c r="BC259" s="276"/>
    </row>
    <row r="260" spans="1:55" ht="12.75" customHeight="1">
      <c r="A260" s="465"/>
      <c r="B260" s="465"/>
      <c r="C260" s="147"/>
      <c r="D260" s="147"/>
      <c r="E260" s="585"/>
      <c r="F260" s="586"/>
      <c r="G260" s="458"/>
      <c r="H260" s="458"/>
      <c r="I260" s="458"/>
      <c r="J260" s="465"/>
      <c r="K260" s="587"/>
      <c r="L260" s="465"/>
      <c r="M260" s="465"/>
      <c r="N260" s="465"/>
      <c r="O260" s="587"/>
      <c r="P260" s="585"/>
      <c r="Q260" s="465"/>
      <c r="R260" s="458"/>
      <c r="S260" s="585"/>
      <c r="T260" s="588"/>
      <c r="U260" s="589"/>
      <c r="V260" s="587"/>
      <c r="W260" s="465"/>
      <c r="X260" s="465"/>
      <c r="Y260" s="590"/>
      <c r="Z260" s="458"/>
      <c r="AA260" s="591"/>
      <c r="AB260" s="465"/>
      <c r="AC260" s="465"/>
      <c r="AD260" s="465"/>
      <c r="AE260" s="465"/>
      <c r="AF260" s="465"/>
      <c r="AG260" s="465"/>
      <c r="AH260" s="465"/>
      <c r="AI260" s="592"/>
      <c r="AJ260" s="465"/>
      <c r="AK260" s="465"/>
      <c r="AL260" s="20"/>
      <c r="AM260" s="20"/>
      <c r="AN260" s="593"/>
      <c r="AO260" s="20"/>
      <c r="AP260" s="276"/>
      <c r="AQ260" s="276"/>
      <c r="AR260" s="276"/>
      <c r="AS260" s="276"/>
      <c r="AT260" s="276"/>
      <c r="AU260" s="276"/>
      <c r="AV260" s="276"/>
      <c r="AW260" s="276"/>
      <c r="AX260" s="276"/>
      <c r="AY260" s="276"/>
      <c r="AZ260" s="276"/>
      <c r="BA260" s="276"/>
      <c r="BB260" s="276"/>
      <c r="BC260" s="276"/>
    </row>
    <row r="261" spans="1:55" ht="12.75" customHeight="1">
      <c r="A261" s="465"/>
      <c r="B261" s="465"/>
      <c r="C261" s="147"/>
      <c r="D261" s="147"/>
      <c r="E261" s="585"/>
      <c r="F261" s="586"/>
      <c r="G261" s="458"/>
      <c r="H261" s="458"/>
      <c r="I261" s="458"/>
      <c r="J261" s="465"/>
      <c r="K261" s="587"/>
      <c r="L261" s="465"/>
      <c r="M261" s="465"/>
      <c r="N261" s="465"/>
      <c r="O261" s="587"/>
      <c r="P261" s="585"/>
      <c r="Q261" s="465"/>
      <c r="R261" s="458"/>
      <c r="S261" s="585"/>
      <c r="T261" s="588"/>
      <c r="U261" s="589"/>
      <c r="V261" s="587"/>
      <c r="W261" s="465"/>
      <c r="X261" s="465"/>
      <c r="Y261" s="590"/>
      <c r="Z261" s="458"/>
      <c r="AA261" s="591"/>
      <c r="AB261" s="465"/>
      <c r="AC261" s="465"/>
      <c r="AD261" s="465"/>
      <c r="AE261" s="465"/>
      <c r="AF261" s="465"/>
      <c r="AG261" s="465"/>
      <c r="AH261" s="465"/>
      <c r="AI261" s="592"/>
      <c r="AJ261" s="465"/>
      <c r="AK261" s="465"/>
      <c r="AL261" s="20"/>
      <c r="AM261" s="20"/>
      <c r="AN261" s="593"/>
      <c r="AO261" s="20"/>
      <c r="AP261" s="276"/>
      <c r="AQ261" s="276"/>
      <c r="AR261" s="276"/>
      <c r="AS261" s="276"/>
      <c r="AT261" s="276"/>
      <c r="AU261" s="276"/>
      <c r="AV261" s="276"/>
      <c r="AW261" s="276"/>
      <c r="AX261" s="276"/>
      <c r="AY261" s="276"/>
      <c r="AZ261" s="276"/>
      <c r="BA261" s="276"/>
      <c r="BB261" s="276"/>
      <c r="BC261" s="276"/>
    </row>
    <row r="262" spans="1:55" ht="12.75" customHeight="1">
      <c r="A262" s="465"/>
      <c r="B262" s="465"/>
      <c r="C262" s="147"/>
      <c r="D262" s="147"/>
      <c r="E262" s="585"/>
      <c r="F262" s="586"/>
      <c r="G262" s="458"/>
      <c r="H262" s="458"/>
      <c r="I262" s="458"/>
      <c r="J262" s="465"/>
      <c r="K262" s="587"/>
      <c r="L262" s="465"/>
      <c r="M262" s="465"/>
      <c r="N262" s="465"/>
      <c r="O262" s="587"/>
      <c r="P262" s="585"/>
      <c r="Q262" s="465"/>
      <c r="R262" s="458"/>
      <c r="S262" s="585"/>
      <c r="T262" s="588"/>
      <c r="U262" s="589"/>
      <c r="V262" s="587"/>
      <c r="W262" s="465"/>
      <c r="X262" s="465"/>
      <c r="Y262" s="590"/>
      <c r="Z262" s="458"/>
      <c r="AA262" s="591"/>
      <c r="AB262" s="465"/>
      <c r="AC262" s="465"/>
      <c r="AD262" s="465"/>
      <c r="AE262" s="465"/>
      <c r="AF262" s="465"/>
      <c r="AG262" s="465"/>
      <c r="AH262" s="465"/>
      <c r="AI262" s="592"/>
      <c r="AJ262" s="465"/>
      <c r="AK262" s="465"/>
      <c r="AL262" s="20"/>
      <c r="AM262" s="20"/>
      <c r="AN262" s="593"/>
      <c r="AO262" s="20"/>
      <c r="AP262" s="276"/>
      <c r="AQ262" s="276"/>
      <c r="AR262" s="276"/>
      <c r="AS262" s="276"/>
      <c r="AT262" s="276"/>
      <c r="AU262" s="276"/>
      <c r="AV262" s="276"/>
      <c r="AW262" s="276"/>
      <c r="AX262" s="276"/>
      <c r="AY262" s="276"/>
      <c r="AZ262" s="276"/>
      <c r="BA262" s="276"/>
      <c r="BB262" s="276"/>
      <c r="BC262" s="276"/>
    </row>
    <row r="263" spans="1:55" ht="12.75" customHeight="1">
      <c r="A263" s="465"/>
      <c r="B263" s="465"/>
      <c r="C263" s="147"/>
      <c r="D263" s="147"/>
      <c r="E263" s="585"/>
      <c r="F263" s="586"/>
      <c r="G263" s="458"/>
      <c r="H263" s="458"/>
      <c r="I263" s="458"/>
      <c r="J263" s="465"/>
      <c r="K263" s="587"/>
      <c r="L263" s="465"/>
      <c r="M263" s="465"/>
      <c r="N263" s="465"/>
      <c r="O263" s="587"/>
      <c r="P263" s="585"/>
      <c r="Q263" s="465"/>
      <c r="R263" s="458"/>
      <c r="S263" s="585"/>
      <c r="T263" s="588"/>
      <c r="U263" s="589"/>
      <c r="V263" s="587"/>
      <c r="W263" s="465"/>
      <c r="X263" s="465"/>
      <c r="Y263" s="590"/>
      <c r="Z263" s="458"/>
      <c r="AA263" s="591"/>
      <c r="AB263" s="465"/>
      <c r="AC263" s="465"/>
      <c r="AD263" s="465"/>
      <c r="AE263" s="465"/>
      <c r="AF263" s="465"/>
      <c r="AG263" s="465"/>
      <c r="AH263" s="465"/>
      <c r="AI263" s="592"/>
      <c r="AJ263" s="465"/>
      <c r="AK263" s="465"/>
      <c r="AL263" s="20"/>
      <c r="AM263" s="20"/>
      <c r="AN263" s="593"/>
      <c r="AO263" s="20"/>
      <c r="AP263" s="276"/>
      <c r="AQ263" s="276"/>
      <c r="AR263" s="276"/>
      <c r="AS263" s="276"/>
      <c r="AT263" s="276"/>
      <c r="AU263" s="276"/>
      <c r="AV263" s="276"/>
      <c r="AW263" s="276"/>
      <c r="AX263" s="276"/>
      <c r="AY263" s="276"/>
      <c r="AZ263" s="276"/>
      <c r="BA263" s="276"/>
      <c r="BB263" s="276"/>
      <c r="BC263" s="276"/>
    </row>
    <row r="264" spans="1:55" ht="12.75" customHeight="1">
      <c r="A264" s="465"/>
      <c r="B264" s="465"/>
      <c r="C264" s="147"/>
      <c r="D264" s="147"/>
      <c r="E264" s="585"/>
      <c r="F264" s="586"/>
      <c r="G264" s="458"/>
      <c r="H264" s="458"/>
      <c r="I264" s="458"/>
      <c r="J264" s="465"/>
      <c r="K264" s="587"/>
      <c r="L264" s="465"/>
      <c r="M264" s="465"/>
      <c r="N264" s="465"/>
      <c r="O264" s="587"/>
      <c r="P264" s="585"/>
      <c r="Q264" s="465"/>
      <c r="R264" s="458"/>
      <c r="S264" s="585"/>
      <c r="T264" s="588"/>
      <c r="U264" s="589"/>
      <c r="V264" s="587"/>
      <c r="W264" s="465"/>
      <c r="X264" s="465"/>
      <c r="Y264" s="590"/>
      <c r="Z264" s="458"/>
      <c r="AA264" s="591"/>
      <c r="AB264" s="465"/>
      <c r="AC264" s="465"/>
      <c r="AD264" s="465"/>
      <c r="AE264" s="465"/>
      <c r="AF264" s="465"/>
      <c r="AG264" s="465"/>
      <c r="AH264" s="465"/>
      <c r="AI264" s="592"/>
      <c r="AJ264" s="465"/>
      <c r="AK264" s="465"/>
      <c r="AL264" s="20"/>
      <c r="AM264" s="20"/>
      <c r="AN264" s="593"/>
      <c r="AO264" s="20"/>
      <c r="AP264" s="276"/>
      <c r="AQ264" s="276"/>
      <c r="AR264" s="276"/>
      <c r="AS264" s="276"/>
      <c r="AT264" s="276"/>
      <c r="AU264" s="276"/>
      <c r="AV264" s="276"/>
      <c r="AW264" s="276"/>
      <c r="AX264" s="276"/>
      <c r="AY264" s="276"/>
      <c r="AZ264" s="276"/>
      <c r="BA264" s="276"/>
      <c r="BB264" s="276"/>
      <c r="BC264" s="276"/>
    </row>
    <row r="265" spans="1:55" ht="12.75" customHeight="1">
      <c r="A265" s="465"/>
      <c r="B265" s="465"/>
      <c r="C265" s="147"/>
      <c r="D265" s="147"/>
      <c r="E265" s="585"/>
      <c r="F265" s="586"/>
      <c r="G265" s="458"/>
      <c r="H265" s="458"/>
      <c r="I265" s="458"/>
      <c r="J265" s="465"/>
      <c r="K265" s="587"/>
      <c r="L265" s="465"/>
      <c r="M265" s="465"/>
      <c r="N265" s="465"/>
      <c r="O265" s="587"/>
      <c r="P265" s="585"/>
      <c r="Q265" s="465"/>
      <c r="R265" s="458"/>
      <c r="S265" s="585"/>
      <c r="T265" s="588"/>
      <c r="U265" s="589"/>
      <c r="V265" s="587"/>
      <c r="W265" s="465"/>
      <c r="X265" s="465"/>
      <c r="Y265" s="590"/>
      <c r="Z265" s="458"/>
      <c r="AA265" s="591"/>
      <c r="AB265" s="465"/>
      <c r="AC265" s="465"/>
      <c r="AD265" s="465"/>
      <c r="AE265" s="465"/>
      <c r="AF265" s="465"/>
      <c r="AG265" s="465"/>
      <c r="AH265" s="465"/>
      <c r="AI265" s="592"/>
      <c r="AJ265" s="465"/>
      <c r="AK265" s="465"/>
      <c r="AL265" s="20"/>
      <c r="AM265" s="20"/>
      <c r="AN265" s="593"/>
      <c r="AO265" s="20"/>
      <c r="AP265" s="276"/>
      <c r="AQ265" s="276"/>
      <c r="AR265" s="276"/>
      <c r="AS265" s="276"/>
      <c r="AT265" s="276"/>
      <c r="AU265" s="276"/>
      <c r="AV265" s="276"/>
      <c r="AW265" s="276"/>
      <c r="AX265" s="276"/>
      <c r="AY265" s="276"/>
      <c r="AZ265" s="276"/>
      <c r="BA265" s="276"/>
      <c r="BB265" s="276"/>
      <c r="BC265" s="276"/>
    </row>
    <row r="266" spans="1:55" ht="12.75" customHeight="1">
      <c r="A266" s="465"/>
      <c r="B266" s="465"/>
      <c r="C266" s="147"/>
      <c r="D266" s="147"/>
      <c r="E266" s="585"/>
      <c r="F266" s="586"/>
      <c r="G266" s="458"/>
      <c r="H266" s="458"/>
      <c r="I266" s="458"/>
      <c r="J266" s="465"/>
      <c r="K266" s="587"/>
      <c r="L266" s="465"/>
      <c r="M266" s="465"/>
      <c r="N266" s="465"/>
      <c r="O266" s="587"/>
      <c r="P266" s="585"/>
      <c r="Q266" s="465"/>
      <c r="R266" s="458"/>
      <c r="S266" s="585"/>
      <c r="T266" s="588"/>
      <c r="U266" s="589"/>
      <c r="V266" s="587"/>
      <c r="W266" s="465"/>
      <c r="X266" s="465"/>
      <c r="Y266" s="590"/>
      <c r="Z266" s="458"/>
      <c r="AA266" s="591"/>
      <c r="AB266" s="465"/>
      <c r="AC266" s="465"/>
      <c r="AD266" s="465"/>
      <c r="AE266" s="465"/>
      <c r="AF266" s="465"/>
      <c r="AG266" s="465"/>
      <c r="AH266" s="465"/>
      <c r="AI266" s="592"/>
      <c r="AJ266" s="465"/>
      <c r="AK266" s="465"/>
      <c r="AL266" s="20"/>
      <c r="AM266" s="20"/>
      <c r="AN266" s="593"/>
      <c r="AO266" s="20"/>
      <c r="AP266" s="276"/>
      <c r="AQ266" s="276"/>
      <c r="AR266" s="276"/>
      <c r="AS266" s="276"/>
      <c r="AT266" s="276"/>
      <c r="AU266" s="276"/>
      <c r="AV266" s="276"/>
      <c r="AW266" s="276"/>
      <c r="AX266" s="276"/>
      <c r="AY266" s="276"/>
      <c r="AZ266" s="276"/>
      <c r="BA266" s="276"/>
      <c r="BB266" s="276"/>
      <c r="BC266" s="276"/>
    </row>
    <row r="267" spans="1:55" ht="12.75" customHeight="1">
      <c r="A267" s="465"/>
      <c r="B267" s="465"/>
      <c r="C267" s="147"/>
      <c r="D267" s="147"/>
      <c r="E267" s="585"/>
      <c r="F267" s="586"/>
      <c r="G267" s="458"/>
      <c r="H267" s="458"/>
      <c r="I267" s="458"/>
      <c r="J267" s="465"/>
      <c r="K267" s="587"/>
      <c r="L267" s="465"/>
      <c r="M267" s="465"/>
      <c r="N267" s="465"/>
      <c r="O267" s="587"/>
      <c r="P267" s="585"/>
      <c r="Q267" s="465"/>
      <c r="R267" s="458"/>
      <c r="S267" s="585"/>
      <c r="T267" s="588"/>
      <c r="U267" s="589"/>
      <c r="V267" s="587"/>
      <c r="W267" s="465"/>
      <c r="X267" s="465"/>
      <c r="Y267" s="590"/>
      <c r="Z267" s="458"/>
      <c r="AA267" s="591"/>
      <c r="AB267" s="465"/>
      <c r="AC267" s="465"/>
      <c r="AD267" s="465"/>
      <c r="AE267" s="465"/>
      <c r="AF267" s="465"/>
      <c r="AG267" s="465"/>
      <c r="AH267" s="465"/>
      <c r="AI267" s="592"/>
      <c r="AJ267" s="465"/>
      <c r="AK267" s="465"/>
      <c r="AL267" s="20"/>
      <c r="AM267" s="20"/>
      <c r="AN267" s="593"/>
      <c r="AO267" s="20"/>
      <c r="AP267" s="276"/>
      <c r="AQ267" s="276"/>
      <c r="AR267" s="276"/>
      <c r="AS267" s="276"/>
      <c r="AT267" s="276"/>
      <c r="AU267" s="276"/>
      <c r="AV267" s="276"/>
      <c r="AW267" s="276"/>
      <c r="AX267" s="276"/>
      <c r="AY267" s="276"/>
      <c r="AZ267" s="276"/>
      <c r="BA267" s="276"/>
      <c r="BB267" s="276"/>
      <c r="BC267" s="276"/>
    </row>
    <row r="268" spans="1:55" ht="12.75" customHeight="1">
      <c r="A268" s="465"/>
      <c r="B268" s="465"/>
      <c r="C268" s="147"/>
      <c r="D268" s="147"/>
      <c r="E268" s="585"/>
      <c r="F268" s="586"/>
      <c r="G268" s="458"/>
      <c r="H268" s="458"/>
      <c r="I268" s="458"/>
      <c r="J268" s="465"/>
      <c r="K268" s="587"/>
      <c r="L268" s="465"/>
      <c r="M268" s="465"/>
      <c r="N268" s="465"/>
      <c r="O268" s="587"/>
      <c r="P268" s="585"/>
      <c r="Q268" s="465"/>
      <c r="R268" s="458"/>
      <c r="S268" s="585"/>
      <c r="T268" s="588"/>
      <c r="U268" s="589"/>
      <c r="V268" s="587"/>
      <c r="W268" s="465"/>
      <c r="X268" s="465"/>
      <c r="Y268" s="590"/>
      <c r="Z268" s="458"/>
      <c r="AA268" s="591"/>
      <c r="AB268" s="465"/>
      <c r="AC268" s="465"/>
      <c r="AD268" s="465"/>
      <c r="AE268" s="465"/>
      <c r="AF268" s="465"/>
      <c r="AG268" s="465"/>
      <c r="AH268" s="465"/>
      <c r="AI268" s="592"/>
      <c r="AJ268" s="465"/>
      <c r="AK268" s="465"/>
      <c r="AL268" s="20"/>
      <c r="AM268" s="20"/>
      <c r="AN268" s="593"/>
      <c r="AO268" s="20"/>
      <c r="AP268" s="276"/>
      <c r="AQ268" s="276"/>
      <c r="AR268" s="276"/>
      <c r="AS268" s="276"/>
      <c r="AT268" s="276"/>
      <c r="AU268" s="276"/>
      <c r="AV268" s="276"/>
      <c r="AW268" s="276"/>
      <c r="AX268" s="276"/>
      <c r="AY268" s="276"/>
      <c r="AZ268" s="276"/>
      <c r="BA268" s="276"/>
      <c r="BB268" s="276"/>
      <c r="BC268" s="276"/>
    </row>
    <row r="269" spans="1:55" ht="12.75" customHeight="1">
      <c r="A269" s="465"/>
      <c r="B269" s="465"/>
      <c r="C269" s="147"/>
      <c r="D269" s="147"/>
      <c r="E269" s="585"/>
      <c r="F269" s="586"/>
      <c r="G269" s="458"/>
      <c r="H269" s="458"/>
      <c r="I269" s="458"/>
      <c r="J269" s="465"/>
      <c r="K269" s="587"/>
      <c r="L269" s="465"/>
      <c r="M269" s="465"/>
      <c r="N269" s="465"/>
      <c r="O269" s="587"/>
      <c r="P269" s="585"/>
      <c r="Q269" s="465"/>
      <c r="R269" s="458"/>
      <c r="S269" s="585"/>
      <c r="T269" s="588"/>
      <c r="U269" s="589"/>
      <c r="V269" s="587"/>
      <c r="W269" s="465"/>
      <c r="X269" s="465"/>
      <c r="Y269" s="590"/>
      <c r="Z269" s="458"/>
      <c r="AA269" s="591"/>
      <c r="AB269" s="465"/>
      <c r="AC269" s="465"/>
      <c r="AD269" s="465"/>
      <c r="AE269" s="465"/>
      <c r="AF269" s="465"/>
      <c r="AG269" s="465"/>
      <c r="AH269" s="465"/>
      <c r="AI269" s="592"/>
      <c r="AJ269" s="465"/>
      <c r="AK269" s="465"/>
      <c r="AL269" s="20"/>
      <c r="AM269" s="20"/>
      <c r="AN269" s="593"/>
      <c r="AO269" s="20"/>
      <c r="AP269" s="276"/>
      <c r="AQ269" s="276"/>
      <c r="AR269" s="276"/>
      <c r="AS269" s="276"/>
      <c r="AT269" s="276"/>
      <c r="AU269" s="276"/>
      <c r="AV269" s="276"/>
      <c r="AW269" s="276"/>
      <c r="AX269" s="276"/>
      <c r="AY269" s="276"/>
      <c r="AZ269" s="276"/>
      <c r="BA269" s="276"/>
      <c r="BB269" s="276"/>
      <c r="BC269" s="276"/>
    </row>
    <row r="270" spans="1:55" ht="12.75" customHeight="1">
      <c r="A270" s="465"/>
      <c r="B270" s="465"/>
      <c r="C270" s="147"/>
      <c r="D270" s="147"/>
      <c r="E270" s="585"/>
      <c r="F270" s="586"/>
      <c r="G270" s="458"/>
      <c r="H270" s="458"/>
      <c r="I270" s="458"/>
      <c r="J270" s="465"/>
      <c r="K270" s="587"/>
      <c r="L270" s="465"/>
      <c r="M270" s="465"/>
      <c r="N270" s="465"/>
      <c r="O270" s="587"/>
      <c r="P270" s="585"/>
      <c r="Q270" s="465"/>
      <c r="R270" s="458"/>
      <c r="S270" s="585"/>
      <c r="T270" s="588"/>
      <c r="U270" s="589"/>
      <c r="V270" s="587"/>
      <c r="W270" s="465"/>
      <c r="X270" s="465"/>
      <c r="Y270" s="590"/>
      <c r="Z270" s="458"/>
      <c r="AA270" s="591"/>
      <c r="AB270" s="465"/>
      <c r="AC270" s="465"/>
      <c r="AD270" s="465"/>
      <c r="AE270" s="465"/>
      <c r="AF270" s="465"/>
      <c r="AG270" s="465"/>
      <c r="AH270" s="465"/>
      <c r="AI270" s="592"/>
      <c r="AJ270" s="465"/>
      <c r="AK270" s="465"/>
      <c r="AL270" s="20"/>
      <c r="AM270" s="20"/>
      <c r="AN270" s="593"/>
      <c r="AO270" s="20"/>
      <c r="AP270" s="276"/>
      <c r="AQ270" s="276"/>
      <c r="AR270" s="276"/>
      <c r="AS270" s="276"/>
      <c r="AT270" s="276"/>
      <c r="AU270" s="276"/>
      <c r="AV270" s="276"/>
      <c r="AW270" s="276"/>
      <c r="AX270" s="276"/>
      <c r="AY270" s="276"/>
      <c r="AZ270" s="276"/>
      <c r="BA270" s="276"/>
      <c r="BB270" s="276"/>
      <c r="BC270" s="276"/>
    </row>
    <row r="271" spans="1:55" ht="12.75" customHeight="1">
      <c r="A271" s="465"/>
      <c r="B271" s="465"/>
      <c r="C271" s="147"/>
      <c r="D271" s="147"/>
      <c r="E271" s="585"/>
      <c r="F271" s="586"/>
      <c r="G271" s="458"/>
      <c r="H271" s="458"/>
      <c r="I271" s="458"/>
      <c r="J271" s="465"/>
      <c r="K271" s="587"/>
      <c r="L271" s="465"/>
      <c r="M271" s="465"/>
      <c r="N271" s="465"/>
      <c r="O271" s="587"/>
      <c r="P271" s="585"/>
      <c r="Q271" s="465"/>
      <c r="R271" s="458"/>
      <c r="S271" s="585"/>
      <c r="T271" s="588"/>
      <c r="U271" s="589"/>
      <c r="V271" s="587"/>
      <c r="W271" s="465"/>
      <c r="X271" s="465"/>
      <c r="Y271" s="590"/>
      <c r="Z271" s="458"/>
      <c r="AA271" s="591"/>
      <c r="AB271" s="465"/>
      <c r="AC271" s="465"/>
      <c r="AD271" s="465"/>
      <c r="AE271" s="465"/>
      <c r="AF271" s="465"/>
      <c r="AG271" s="465"/>
      <c r="AH271" s="465"/>
      <c r="AI271" s="592"/>
      <c r="AJ271" s="465"/>
      <c r="AK271" s="465"/>
      <c r="AL271" s="20"/>
      <c r="AM271" s="20"/>
      <c r="AN271" s="593"/>
      <c r="AO271" s="20"/>
      <c r="AP271" s="276"/>
      <c r="AQ271" s="276"/>
      <c r="AR271" s="276"/>
      <c r="AS271" s="276"/>
      <c r="AT271" s="276"/>
      <c r="AU271" s="276"/>
      <c r="AV271" s="276"/>
      <c r="AW271" s="276"/>
      <c r="AX271" s="276"/>
      <c r="AY271" s="276"/>
      <c r="AZ271" s="276"/>
      <c r="BA271" s="276"/>
      <c r="BB271" s="276"/>
      <c r="BC271" s="276"/>
    </row>
    <row r="272" spans="1:55" ht="12.75" customHeight="1">
      <c r="A272" s="465"/>
      <c r="B272" s="465"/>
      <c r="C272" s="147"/>
      <c r="D272" s="147"/>
      <c r="E272" s="585"/>
      <c r="F272" s="586"/>
      <c r="G272" s="458"/>
      <c r="H272" s="458"/>
      <c r="I272" s="458"/>
      <c r="J272" s="465"/>
      <c r="K272" s="587"/>
      <c r="L272" s="465"/>
      <c r="M272" s="465"/>
      <c r="N272" s="465"/>
      <c r="O272" s="587"/>
      <c r="P272" s="585"/>
      <c r="Q272" s="465"/>
      <c r="R272" s="458"/>
      <c r="S272" s="585"/>
      <c r="T272" s="588"/>
      <c r="U272" s="589"/>
      <c r="V272" s="465">
        <v>2025</v>
      </c>
      <c r="W272" s="465"/>
      <c r="X272" s="465"/>
      <c r="Y272" s="590"/>
      <c r="Z272" s="458"/>
      <c r="AA272" s="591"/>
      <c r="AB272" s="465"/>
      <c r="AC272" s="465"/>
      <c r="AD272" s="465"/>
      <c r="AE272" s="465"/>
      <c r="AF272" s="465"/>
      <c r="AG272" s="465"/>
      <c r="AH272" s="465"/>
      <c r="AI272" s="592"/>
      <c r="AJ272" s="465"/>
      <c r="AK272" s="465"/>
      <c r="AL272" s="20"/>
      <c r="AM272" s="20"/>
      <c r="AN272" s="593"/>
      <c r="AO272" s="20"/>
      <c r="AP272" s="276"/>
      <c r="AQ272" s="276"/>
      <c r="AR272" s="276"/>
      <c r="AS272" s="276"/>
      <c r="AT272" s="276"/>
      <c r="AU272" s="276"/>
      <c r="AV272" s="276"/>
      <c r="AW272" s="276"/>
      <c r="AX272" s="276"/>
      <c r="AY272" s="276"/>
      <c r="AZ272" s="276"/>
      <c r="BA272" s="276"/>
      <c r="BB272" s="276"/>
      <c r="BC272" s="276"/>
    </row>
    <row r="273" spans="1:55" ht="12.75" customHeight="1">
      <c r="A273" s="465"/>
      <c r="B273" s="465"/>
      <c r="C273" s="147"/>
      <c r="D273" s="147"/>
      <c r="E273" s="585"/>
      <c r="F273" s="586"/>
      <c r="G273" s="458"/>
      <c r="H273" s="458"/>
      <c r="I273" s="458"/>
      <c r="J273" s="465"/>
      <c r="K273" s="587"/>
      <c r="L273" s="465"/>
      <c r="M273" s="465"/>
      <c r="N273" s="465"/>
      <c r="O273" s="587"/>
      <c r="P273" s="585"/>
      <c r="Q273" s="465"/>
      <c r="R273" s="458"/>
      <c r="S273" s="585"/>
      <c r="T273" s="588"/>
      <c r="U273" s="589"/>
      <c r="V273" s="587"/>
      <c r="W273" s="465"/>
      <c r="X273" s="465"/>
      <c r="Y273" s="590"/>
      <c r="Z273" s="458"/>
      <c r="AA273" s="591"/>
      <c r="AB273" s="465"/>
      <c r="AC273" s="465"/>
      <c r="AD273" s="465"/>
      <c r="AE273" s="465"/>
      <c r="AF273" s="465"/>
      <c r="AG273" s="465"/>
      <c r="AH273" s="465"/>
      <c r="AI273" s="592"/>
      <c r="AJ273" s="465"/>
      <c r="AK273" s="465"/>
      <c r="AL273" s="20"/>
      <c r="AM273" s="20"/>
      <c r="AN273" s="593"/>
      <c r="AO273" s="20"/>
      <c r="AP273" s="276"/>
      <c r="AQ273" s="276"/>
      <c r="AR273" s="276"/>
      <c r="AS273" s="276"/>
      <c r="AT273" s="276"/>
      <c r="AU273" s="276"/>
      <c r="AV273" s="276"/>
      <c r="AW273" s="276"/>
      <c r="AX273" s="276"/>
      <c r="AY273" s="276"/>
      <c r="AZ273" s="276"/>
      <c r="BA273" s="276"/>
      <c r="BB273" s="276"/>
      <c r="BC273" s="276"/>
    </row>
    <row r="274" spans="1:55" ht="12.75" customHeight="1">
      <c r="A274" s="465"/>
      <c r="B274" s="465"/>
      <c r="C274" s="147"/>
      <c r="D274" s="147"/>
      <c r="E274" s="585"/>
      <c r="F274" s="586"/>
      <c r="G274" s="458"/>
      <c r="H274" s="458"/>
      <c r="I274" s="458"/>
      <c r="J274" s="465"/>
      <c r="K274" s="587"/>
      <c r="L274" s="465"/>
      <c r="M274" s="465"/>
      <c r="N274" s="465"/>
      <c r="O274" s="587"/>
      <c r="P274" s="585"/>
      <c r="Q274" s="465"/>
      <c r="R274" s="458"/>
      <c r="S274" s="585"/>
      <c r="T274" s="588"/>
      <c r="U274" s="589"/>
      <c r="V274" s="587"/>
      <c r="W274" s="465"/>
      <c r="X274" s="465"/>
      <c r="Y274" s="590"/>
      <c r="Z274" s="458"/>
      <c r="AA274" s="591"/>
      <c r="AB274" s="465"/>
      <c r="AC274" s="465"/>
      <c r="AD274" s="465"/>
      <c r="AE274" s="465"/>
      <c r="AF274" s="465"/>
      <c r="AG274" s="465"/>
      <c r="AH274" s="465"/>
      <c r="AI274" s="592"/>
      <c r="AJ274" s="465"/>
      <c r="AK274" s="465"/>
      <c r="AL274" s="20"/>
      <c r="AM274" s="20"/>
      <c r="AN274" s="593"/>
      <c r="AO274" s="20"/>
      <c r="AP274" s="276"/>
      <c r="AQ274" s="276"/>
      <c r="AR274" s="276"/>
      <c r="AS274" s="276"/>
      <c r="AT274" s="276"/>
      <c r="AU274" s="276"/>
      <c r="AV274" s="276"/>
      <c r="AW274" s="276"/>
      <c r="AX274" s="276"/>
      <c r="AY274" s="276"/>
      <c r="AZ274" s="276"/>
      <c r="BA274" s="276"/>
      <c r="BB274" s="276"/>
      <c r="BC274" s="276"/>
    </row>
    <row r="275" spans="1:55" ht="12.75" customHeight="1">
      <c r="A275" s="465"/>
      <c r="B275" s="465"/>
      <c r="C275" s="147"/>
      <c r="D275" s="147"/>
      <c r="E275" s="585"/>
      <c r="F275" s="586"/>
      <c r="G275" s="458"/>
      <c r="H275" s="458"/>
      <c r="I275" s="458"/>
      <c r="J275" s="465"/>
      <c r="K275" s="587"/>
      <c r="L275" s="465"/>
      <c r="M275" s="465"/>
      <c r="N275" s="465"/>
      <c r="O275" s="587"/>
      <c r="P275" s="585"/>
      <c r="Q275" s="465"/>
      <c r="R275" s="458"/>
      <c r="S275" s="585"/>
      <c r="T275" s="588"/>
      <c r="U275" s="589"/>
      <c r="V275" s="587"/>
      <c r="W275" s="465"/>
      <c r="X275" s="465"/>
      <c r="Y275" s="590"/>
      <c r="Z275" s="458"/>
      <c r="AA275" s="591"/>
      <c r="AB275" s="465"/>
      <c r="AC275" s="465"/>
      <c r="AD275" s="465"/>
      <c r="AE275" s="465"/>
      <c r="AF275" s="465"/>
      <c r="AG275" s="465"/>
      <c r="AH275" s="465"/>
      <c r="AI275" s="592"/>
      <c r="AJ275" s="465"/>
      <c r="AK275" s="465"/>
      <c r="AL275" s="20"/>
      <c r="AM275" s="20"/>
      <c r="AN275" s="593"/>
      <c r="AO275" s="20"/>
      <c r="AP275" s="276"/>
      <c r="AQ275" s="276"/>
      <c r="AR275" s="276"/>
      <c r="AS275" s="276"/>
      <c r="AT275" s="276"/>
      <c r="AU275" s="276"/>
      <c r="AV275" s="276"/>
      <c r="AW275" s="276"/>
      <c r="AX275" s="276"/>
      <c r="AY275" s="276"/>
      <c r="AZ275" s="276"/>
      <c r="BA275" s="276"/>
      <c r="BB275" s="276"/>
      <c r="BC275" s="276"/>
    </row>
    <row r="276" spans="1:55" ht="12.75" customHeight="1">
      <c r="A276" s="465"/>
      <c r="B276" s="465"/>
      <c r="C276" s="147"/>
      <c r="D276" s="147"/>
      <c r="E276" s="585"/>
      <c r="F276" s="586"/>
      <c r="G276" s="458"/>
      <c r="H276" s="458"/>
      <c r="I276" s="458"/>
      <c r="J276" s="465"/>
      <c r="K276" s="587"/>
      <c r="L276" s="465"/>
      <c r="M276" s="465"/>
      <c r="N276" s="465"/>
      <c r="O276" s="587"/>
      <c r="P276" s="585"/>
      <c r="Q276" s="465"/>
      <c r="R276" s="458"/>
      <c r="S276" s="585"/>
      <c r="T276" s="588"/>
      <c r="U276" s="589"/>
      <c r="V276" s="587"/>
      <c r="W276" s="465"/>
      <c r="X276" s="465"/>
      <c r="Y276" s="590"/>
      <c r="Z276" s="458"/>
      <c r="AA276" s="591"/>
      <c r="AB276" s="465"/>
      <c r="AC276" s="465"/>
      <c r="AD276" s="465"/>
      <c r="AE276" s="465"/>
      <c r="AF276" s="465"/>
      <c r="AG276" s="465"/>
      <c r="AH276" s="465"/>
      <c r="AI276" s="592"/>
      <c r="AJ276" s="465"/>
      <c r="AK276" s="465"/>
      <c r="AL276" s="20"/>
      <c r="AM276" s="20"/>
      <c r="AN276" s="593"/>
      <c r="AO276" s="20"/>
      <c r="AP276" s="276"/>
      <c r="AQ276" s="276"/>
      <c r="AR276" s="276"/>
      <c r="AS276" s="276"/>
      <c r="AT276" s="276"/>
      <c r="AU276" s="276"/>
      <c r="AV276" s="276"/>
      <c r="AW276" s="276"/>
      <c r="AX276" s="276"/>
      <c r="AY276" s="276"/>
      <c r="AZ276" s="276"/>
      <c r="BA276" s="276"/>
      <c r="BB276" s="276"/>
      <c r="BC276" s="276"/>
    </row>
    <row r="277" spans="1:55" ht="12.75" customHeight="1">
      <c r="A277" s="465"/>
      <c r="B277" s="465"/>
      <c r="C277" s="147"/>
      <c r="D277" s="147"/>
      <c r="E277" s="585"/>
      <c r="F277" s="586"/>
      <c r="G277" s="458"/>
      <c r="H277" s="458"/>
      <c r="I277" s="458"/>
      <c r="J277" s="465"/>
      <c r="K277" s="587"/>
      <c r="L277" s="465"/>
      <c r="M277" s="465"/>
      <c r="N277" s="465"/>
      <c r="O277" s="587"/>
      <c r="P277" s="585"/>
      <c r="Q277" s="465"/>
      <c r="R277" s="458"/>
      <c r="S277" s="585"/>
      <c r="T277" s="588"/>
      <c r="U277" s="589"/>
      <c r="V277" s="587"/>
      <c r="W277" s="465"/>
      <c r="X277" s="465"/>
      <c r="Y277" s="590"/>
      <c r="Z277" s="458"/>
      <c r="AA277" s="591"/>
      <c r="AB277" s="465"/>
      <c r="AC277" s="465"/>
      <c r="AD277" s="465"/>
      <c r="AE277" s="465"/>
      <c r="AF277" s="465"/>
      <c r="AG277" s="465"/>
      <c r="AH277" s="465"/>
      <c r="AI277" s="592"/>
      <c r="AJ277" s="465"/>
      <c r="AK277" s="465"/>
      <c r="AL277" s="20"/>
      <c r="AM277" s="20"/>
      <c r="AN277" s="593"/>
      <c r="AO277" s="20"/>
      <c r="AP277" s="276"/>
      <c r="AQ277" s="276"/>
      <c r="AR277" s="276"/>
      <c r="AS277" s="276"/>
      <c r="AT277" s="276"/>
      <c r="AU277" s="276"/>
      <c r="AV277" s="276"/>
      <c r="AW277" s="276"/>
      <c r="AX277" s="276"/>
      <c r="AY277" s="276"/>
      <c r="AZ277" s="276"/>
      <c r="BA277" s="276"/>
      <c r="BB277" s="276"/>
      <c r="BC277" s="276"/>
    </row>
    <row r="278" spans="1:55" ht="12.75" customHeight="1">
      <c r="A278" s="465"/>
      <c r="B278" s="465"/>
      <c r="C278" s="147"/>
      <c r="D278" s="147"/>
      <c r="E278" s="585"/>
      <c r="F278" s="586"/>
      <c r="G278" s="458"/>
      <c r="H278" s="458"/>
      <c r="I278" s="458"/>
      <c r="J278" s="465"/>
      <c r="K278" s="587"/>
      <c r="L278" s="465"/>
      <c r="M278" s="465"/>
      <c r="N278" s="465"/>
      <c r="O278" s="587"/>
      <c r="P278" s="585"/>
      <c r="Q278" s="465"/>
      <c r="R278" s="458"/>
      <c r="S278" s="585"/>
      <c r="T278" s="588"/>
      <c r="U278" s="589"/>
      <c r="V278" s="587"/>
      <c r="W278" s="465"/>
      <c r="X278" s="465"/>
      <c r="Y278" s="590"/>
      <c r="Z278" s="458"/>
      <c r="AA278" s="591"/>
      <c r="AB278" s="465"/>
      <c r="AC278" s="465"/>
      <c r="AD278" s="465"/>
      <c r="AE278" s="465"/>
      <c r="AF278" s="465"/>
      <c r="AG278" s="465"/>
      <c r="AH278" s="465"/>
      <c r="AI278" s="592"/>
      <c r="AJ278" s="465"/>
      <c r="AK278" s="465"/>
      <c r="AL278" s="20"/>
      <c r="AM278" s="20"/>
      <c r="AN278" s="593"/>
      <c r="AO278" s="20"/>
      <c r="AP278" s="276"/>
      <c r="AQ278" s="276"/>
      <c r="AR278" s="276"/>
      <c r="AS278" s="276"/>
      <c r="AT278" s="276"/>
      <c r="AU278" s="276"/>
      <c r="AV278" s="276"/>
      <c r="AW278" s="276"/>
      <c r="AX278" s="276"/>
      <c r="AY278" s="276"/>
      <c r="AZ278" s="276"/>
      <c r="BA278" s="276"/>
      <c r="BB278" s="276"/>
      <c r="BC278" s="276"/>
    </row>
    <row r="279" spans="1:55" ht="12.75" customHeight="1">
      <c r="A279" s="465"/>
      <c r="B279" s="465"/>
      <c r="C279" s="147"/>
      <c r="D279" s="147"/>
      <c r="E279" s="585"/>
      <c r="F279" s="586"/>
      <c r="G279" s="458"/>
      <c r="H279" s="458"/>
      <c r="I279" s="458"/>
      <c r="J279" s="465"/>
      <c r="K279" s="587"/>
      <c r="L279" s="465"/>
      <c r="M279" s="465"/>
      <c r="N279" s="465"/>
      <c r="O279" s="587"/>
      <c r="P279" s="585"/>
      <c r="Q279" s="465"/>
      <c r="R279" s="458"/>
      <c r="S279" s="585"/>
      <c r="T279" s="588"/>
      <c r="U279" s="589"/>
      <c r="V279" s="587"/>
      <c r="W279" s="465"/>
      <c r="X279" s="465"/>
      <c r="Y279" s="590"/>
      <c r="Z279" s="458"/>
      <c r="AA279" s="591"/>
      <c r="AB279" s="465"/>
      <c r="AC279" s="465"/>
      <c r="AD279" s="465"/>
      <c r="AE279" s="465"/>
      <c r="AF279" s="465"/>
      <c r="AG279" s="465"/>
      <c r="AH279" s="465"/>
      <c r="AI279" s="592"/>
      <c r="AJ279" s="465"/>
      <c r="AK279" s="465"/>
      <c r="AL279" s="20"/>
      <c r="AM279" s="20"/>
      <c r="AN279" s="593"/>
      <c r="AO279" s="20"/>
      <c r="AP279" s="276"/>
      <c r="AQ279" s="276"/>
      <c r="AR279" s="276"/>
      <c r="AS279" s="276"/>
      <c r="AT279" s="276"/>
      <c r="AU279" s="276"/>
      <c r="AV279" s="276"/>
      <c r="AW279" s="276"/>
      <c r="AX279" s="276"/>
      <c r="AY279" s="276"/>
      <c r="AZ279" s="276"/>
      <c r="BA279" s="276"/>
      <c r="BB279" s="276"/>
      <c r="BC279" s="276"/>
    </row>
    <row r="280" spans="1:55" ht="12.75" customHeight="1">
      <c r="A280" s="465"/>
      <c r="B280" s="465"/>
      <c r="C280" s="147"/>
      <c r="D280" s="147"/>
      <c r="E280" s="585"/>
      <c r="F280" s="586"/>
      <c r="G280" s="458"/>
      <c r="H280" s="458"/>
      <c r="I280" s="458"/>
      <c r="J280" s="465"/>
      <c r="K280" s="587"/>
      <c r="L280" s="465"/>
      <c r="M280" s="465"/>
      <c r="N280" s="465"/>
      <c r="O280" s="587"/>
      <c r="P280" s="585"/>
      <c r="Q280" s="465"/>
      <c r="R280" s="458"/>
      <c r="S280" s="585"/>
      <c r="T280" s="588"/>
      <c r="U280" s="589"/>
      <c r="V280" s="587"/>
      <c r="W280" s="465"/>
      <c r="X280" s="465"/>
      <c r="Y280" s="590"/>
      <c r="Z280" s="458"/>
      <c r="AA280" s="591"/>
      <c r="AB280" s="465"/>
      <c r="AC280" s="465"/>
      <c r="AD280" s="465"/>
      <c r="AE280" s="465"/>
      <c r="AF280" s="465"/>
      <c r="AG280" s="465"/>
      <c r="AH280" s="465"/>
      <c r="AI280" s="592"/>
      <c r="AJ280" s="465"/>
      <c r="AK280" s="465"/>
      <c r="AL280" s="20"/>
      <c r="AM280" s="20"/>
      <c r="AN280" s="593"/>
      <c r="AO280" s="20"/>
      <c r="AP280" s="276"/>
      <c r="AQ280" s="276"/>
      <c r="AR280" s="276"/>
      <c r="AS280" s="276"/>
      <c r="AT280" s="276"/>
      <c r="AU280" s="276"/>
      <c r="AV280" s="276"/>
      <c r="AW280" s="276"/>
      <c r="AX280" s="276"/>
      <c r="AY280" s="276"/>
      <c r="AZ280" s="276"/>
      <c r="BA280" s="276"/>
      <c r="BB280" s="276"/>
      <c r="BC280" s="276"/>
    </row>
    <row r="281" spans="1:55" ht="12.75" customHeight="1">
      <c r="A281" s="465"/>
      <c r="B281" s="465"/>
      <c r="C281" s="147"/>
      <c r="D281" s="147"/>
      <c r="E281" s="585"/>
      <c r="F281" s="586"/>
      <c r="G281" s="458"/>
      <c r="H281" s="458"/>
      <c r="I281" s="458"/>
      <c r="J281" s="465"/>
      <c r="K281" s="587"/>
      <c r="L281" s="465"/>
      <c r="M281" s="465"/>
      <c r="N281" s="465"/>
      <c r="O281" s="587"/>
      <c r="P281" s="585"/>
      <c r="Q281" s="465"/>
      <c r="R281" s="458"/>
      <c r="S281" s="585"/>
      <c r="T281" s="588"/>
      <c r="U281" s="589"/>
      <c r="V281" s="587"/>
      <c r="W281" s="465"/>
      <c r="X281" s="465"/>
      <c r="Y281" s="590"/>
      <c r="Z281" s="458"/>
      <c r="AA281" s="591"/>
      <c r="AB281" s="465"/>
      <c r="AC281" s="465"/>
      <c r="AD281" s="465"/>
      <c r="AE281" s="465"/>
      <c r="AF281" s="465"/>
      <c r="AG281" s="465"/>
      <c r="AH281" s="465"/>
      <c r="AI281" s="592"/>
      <c r="AJ281" s="465"/>
      <c r="AK281" s="465"/>
      <c r="AL281" s="20"/>
      <c r="AM281" s="20"/>
      <c r="AN281" s="593"/>
      <c r="AO281" s="20"/>
      <c r="AP281" s="276"/>
      <c r="AQ281" s="276"/>
      <c r="AR281" s="276"/>
      <c r="AS281" s="276"/>
      <c r="AT281" s="276"/>
      <c r="AU281" s="276"/>
      <c r="AV281" s="276"/>
      <c r="AW281" s="276"/>
      <c r="AX281" s="276"/>
      <c r="AY281" s="276"/>
      <c r="AZ281" s="276"/>
      <c r="BA281" s="276"/>
      <c r="BB281" s="276"/>
      <c r="BC281" s="276"/>
    </row>
    <row r="282" spans="1:55" ht="12.75" customHeight="1">
      <c r="A282" s="465"/>
      <c r="B282" s="465"/>
      <c r="C282" s="147"/>
      <c r="D282" s="147"/>
      <c r="E282" s="585"/>
      <c r="F282" s="586"/>
      <c r="G282" s="458"/>
      <c r="H282" s="458"/>
      <c r="I282" s="458"/>
      <c r="J282" s="465"/>
      <c r="K282" s="587"/>
      <c r="L282" s="465"/>
      <c r="M282" s="465"/>
      <c r="N282" s="465"/>
      <c r="O282" s="587"/>
      <c r="P282" s="585"/>
      <c r="Q282" s="465"/>
      <c r="R282" s="458"/>
      <c r="S282" s="585"/>
      <c r="T282" s="588"/>
      <c r="U282" s="589"/>
      <c r="V282" s="587"/>
      <c r="W282" s="465"/>
      <c r="X282" s="465"/>
      <c r="Y282" s="590"/>
      <c r="Z282" s="458"/>
      <c r="AA282" s="591"/>
      <c r="AB282" s="465"/>
      <c r="AC282" s="465"/>
      <c r="AD282" s="465"/>
      <c r="AE282" s="465"/>
      <c r="AF282" s="465"/>
      <c r="AG282" s="465"/>
      <c r="AH282" s="465"/>
      <c r="AI282" s="592"/>
      <c r="AJ282" s="465"/>
      <c r="AK282" s="465"/>
      <c r="AL282" s="20"/>
      <c r="AM282" s="20"/>
      <c r="AN282" s="593"/>
      <c r="AO282" s="20"/>
      <c r="AP282" s="276"/>
      <c r="AQ282" s="276"/>
      <c r="AR282" s="276"/>
      <c r="AS282" s="276"/>
      <c r="AT282" s="276"/>
      <c r="AU282" s="276"/>
      <c r="AV282" s="276"/>
      <c r="AW282" s="276"/>
      <c r="AX282" s="276"/>
      <c r="AY282" s="276"/>
      <c r="AZ282" s="276"/>
      <c r="BA282" s="276"/>
      <c r="BB282" s="276"/>
      <c r="BC282" s="276"/>
    </row>
    <row r="283" spans="1:55" ht="12.75" customHeight="1">
      <c r="A283" s="465"/>
      <c r="B283" s="465"/>
      <c r="C283" s="147"/>
      <c r="D283" s="147"/>
      <c r="E283" s="585"/>
      <c r="F283" s="586"/>
      <c r="G283" s="458"/>
      <c r="H283" s="458"/>
      <c r="I283" s="458"/>
      <c r="J283" s="465"/>
      <c r="K283" s="587"/>
      <c r="L283" s="465"/>
      <c r="M283" s="465"/>
      <c r="N283" s="465"/>
      <c r="O283" s="587"/>
      <c r="P283" s="585"/>
      <c r="Q283" s="465"/>
      <c r="R283" s="458"/>
      <c r="S283" s="585"/>
      <c r="T283" s="588"/>
      <c r="U283" s="589"/>
      <c r="V283" s="587"/>
      <c r="W283" s="465"/>
      <c r="X283" s="465"/>
      <c r="Y283" s="590"/>
      <c r="Z283" s="458"/>
      <c r="AA283" s="591"/>
      <c r="AB283" s="465"/>
      <c r="AC283" s="465"/>
      <c r="AD283" s="465"/>
      <c r="AE283" s="465"/>
      <c r="AF283" s="465"/>
      <c r="AG283" s="465"/>
      <c r="AH283" s="465"/>
      <c r="AI283" s="592"/>
      <c r="AJ283" s="465"/>
      <c r="AK283" s="465"/>
      <c r="AL283" s="20"/>
      <c r="AM283" s="20"/>
      <c r="AN283" s="593"/>
      <c r="AO283" s="20"/>
      <c r="AP283" s="276"/>
      <c r="AQ283" s="276"/>
      <c r="AR283" s="276"/>
      <c r="AS283" s="276"/>
      <c r="AT283" s="276"/>
      <c r="AU283" s="276"/>
      <c r="AV283" s="276"/>
      <c r="AW283" s="276"/>
      <c r="AX283" s="276"/>
      <c r="AY283" s="276"/>
      <c r="AZ283" s="276"/>
      <c r="BA283" s="276"/>
      <c r="BB283" s="276"/>
      <c r="BC283" s="276"/>
    </row>
    <row r="284" spans="1:55" ht="12.75" customHeight="1">
      <c r="A284" s="465"/>
      <c r="B284" s="465"/>
      <c r="C284" s="147"/>
      <c r="D284" s="147"/>
      <c r="E284" s="585"/>
      <c r="F284" s="586"/>
      <c r="G284" s="458"/>
      <c r="H284" s="458"/>
      <c r="I284" s="458"/>
      <c r="J284" s="465"/>
      <c r="K284" s="587"/>
      <c r="L284" s="465"/>
      <c r="M284" s="465"/>
      <c r="N284" s="465"/>
      <c r="O284" s="587"/>
      <c r="P284" s="585"/>
      <c r="Q284" s="465"/>
      <c r="R284" s="458"/>
      <c r="S284" s="585"/>
      <c r="T284" s="588"/>
      <c r="U284" s="589"/>
      <c r="V284" s="587"/>
      <c r="W284" s="465"/>
      <c r="X284" s="465"/>
      <c r="Y284" s="590"/>
      <c r="Z284" s="458"/>
      <c r="AA284" s="591"/>
      <c r="AB284" s="465"/>
      <c r="AC284" s="465"/>
      <c r="AD284" s="465"/>
      <c r="AE284" s="465"/>
      <c r="AF284" s="465"/>
      <c r="AG284" s="465"/>
      <c r="AH284" s="465"/>
      <c r="AI284" s="592"/>
      <c r="AJ284" s="465"/>
      <c r="AK284" s="465"/>
      <c r="AL284" s="20"/>
      <c r="AM284" s="20"/>
      <c r="AN284" s="593"/>
      <c r="AO284" s="20"/>
      <c r="AP284" s="276"/>
      <c r="AQ284" s="276"/>
      <c r="AR284" s="276"/>
      <c r="AS284" s="276"/>
      <c r="AT284" s="276"/>
      <c r="AU284" s="276"/>
      <c r="AV284" s="276"/>
      <c r="AW284" s="276"/>
      <c r="AX284" s="276"/>
      <c r="AY284" s="276"/>
      <c r="AZ284" s="276"/>
      <c r="BA284" s="276"/>
      <c r="BB284" s="276"/>
      <c r="BC284" s="276"/>
    </row>
    <row r="285" spans="1:55" ht="12.75" customHeight="1">
      <c r="A285" s="465"/>
      <c r="B285" s="465"/>
      <c r="C285" s="147"/>
      <c r="D285" s="147"/>
      <c r="E285" s="585"/>
      <c r="F285" s="586"/>
      <c r="G285" s="458"/>
      <c r="H285" s="458"/>
      <c r="I285" s="458"/>
      <c r="J285" s="465"/>
      <c r="K285" s="587"/>
      <c r="L285" s="465"/>
      <c r="M285" s="465"/>
      <c r="N285" s="465"/>
      <c r="O285" s="587"/>
      <c r="P285" s="585"/>
      <c r="Q285" s="465"/>
      <c r="R285" s="458"/>
      <c r="S285" s="585"/>
      <c r="T285" s="588"/>
      <c r="U285" s="589"/>
      <c r="V285" s="587"/>
      <c r="W285" s="465"/>
      <c r="X285" s="465"/>
      <c r="Y285" s="590"/>
      <c r="Z285" s="458"/>
      <c r="AA285" s="591"/>
      <c r="AB285" s="465"/>
      <c r="AC285" s="465"/>
      <c r="AD285" s="465"/>
      <c r="AE285" s="465"/>
      <c r="AF285" s="465"/>
      <c r="AG285" s="465"/>
      <c r="AH285" s="465"/>
      <c r="AI285" s="592"/>
      <c r="AJ285" s="465"/>
      <c r="AK285" s="465"/>
      <c r="AL285" s="20"/>
      <c r="AM285" s="20"/>
      <c r="AN285" s="593"/>
      <c r="AO285" s="20"/>
      <c r="AP285" s="276"/>
      <c r="AQ285" s="276"/>
      <c r="AR285" s="276"/>
      <c r="AS285" s="276"/>
      <c r="AT285" s="276"/>
      <c r="AU285" s="276"/>
      <c r="AV285" s="276"/>
      <c r="AW285" s="276"/>
      <c r="AX285" s="276"/>
      <c r="AY285" s="276"/>
      <c r="AZ285" s="276"/>
      <c r="BA285" s="276"/>
      <c r="BB285" s="276"/>
      <c r="BC285" s="276"/>
    </row>
    <row r="286" spans="1:55" ht="12.75" customHeight="1">
      <c r="A286" s="465"/>
      <c r="B286" s="465"/>
      <c r="C286" s="147"/>
      <c r="D286" s="147"/>
      <c r="E286" s="585"/>
      <c r="F286" s="586"/>
      <c r="G286" s="458"/>
      <c r="H286" s="458"/>
      <c r="I286" s="458"/>
      <c r="J286" s="465"/>
      <c r="K286" s="587"/>
      <c r="L286" s="465"/>
      <c r="M286" s="465"/>
      <c r="N286" s="465"/>
      <c r="O286" s="587"/>
      <c r="P286" s="585"/>
      <c r="Q286" s="465"/>
      <c r="R286" s="458"/>
      <c r="S286" s="585"/>
      <c r="T286" s="588"/>
      <c r="U286" s="589"/>
      <c r="V286" s="587"/>
      <c r="W286" s="465"/>
      <c r="X286" s="465"/>
      <c r="Y286" s="590"/>
      <c r="Z286" s="458"/>
      <c r="AA286" s="591"/>
      <c r="AB286" s="465"/>
      <c r="AC286" s="465"/>
      <c r="AD286" s="465"/>
      <c r="AE286" s="465"/>
      <c r="AF286" s="465"/>
      <c r="AG286" s="465"/>
      <c r="AH286" s="465"/>
      <c r="AI286" s="592"/>
      <c r="AJ286" s="465"/>
      <c r="AK286" s="465"/>
      <c r="AL286" s="20"/>
      <c r="AM286" s="20"/>
      <c r="AN286" s="593"/>
      <c r="AO286" s="20"/>
      <c r="AP286" s="276"/>
      <c r="AQ286" s="276"/>
      <c r="AR286" s="276"/>
      <c r="AS286" s="276"/>
      <c r="AT286" s="276"/>
      <c r="AU286" s="276"/>
      <c r="AV286" s="276"/>
      <c r="AW286" s="276"/>
      <c r="AX286" s="276"/>
      <c r="AY286" s="276"/>
      <c r="AZ286" s="276"/>
      <c r="BA286" s="276"/>
      <c r="BB286" s="276"/>
      <c r="BC286" s="276"/>
    </row>
    <row r="287" spans="1:55" ht="12.75" customHeight="1">
      <c r="A287" s="465"/>
      <c r="B287" s="465"/>
      <c r="C287" s="147"/>
      <c r="D287" s="147"/>
      <c r="E287" s="585"/>
      <c r="F287" s="586"/>
      <c r="G287" s="458"/>
      <c r="H287" s="458"/>
      <c r="I287" s="458"/>
      <c r="J287" s="465"/>
      <c r="K287" s="587"/>
      <c r="L287" s="465"/>
      <c r="M287" s="465"/>
      <c r="N287" s="465"/>
      <c r="O287" s="587"/>
      <c r="P287" s="585"/>
      <c r="Q287" s="465"/>
      <c r="R287" s="458"/>
      <c r="S287" s="585"/>
      <c r="T287" s="588"/>
      <c r="U287" s="589"/>
      <c r="V287" s="587"/>
      <c r="W287" s="465"/>
      <c r="X287" s="465"/>
      <c r="Y287" s="590"/>
      <c r="Z287" s="458"/>
      <c r="AA287" s="591"/>
      <c r="AB287" s="465"/>
      <c r="AC287" s="465"/>
      <c r="AD287" s="465"/>
      <c r="AE287" s="465"/>
      <c r="AF287" s="465"/>
      <c r="AG287" s="465"/>
      <c r="AH287" s="465"/>
      <c r="AI287" s="592"/>
      <c r="AJ287" s="465"/>
      <c r="AK287" s="465"/>
      <c r="AL287" s="20"/>
      <c r="AM287" s="20"/>
      <c r="AN287" s="593"/>
      <c r="AO287" s="20"/>
      <c r="AP287" s="276"/>
      <c r="AQ287" s="276"/>
      <c r="AR287" s="276"/>
      <c r="AS287" s="276"/>
      <c r="AT287" s="276"/>
      <c r="AU287" s="276"/>
      <c r="AV287" s="276"/>
      <c r="AW287" s="276"/>
      <c r="AX287" s="276"/>
      <c r="AY287" s="276"/>
      <c r="AZ287" s="276"/>
      <c r="BA287" s="276"/>
      <c r="BB287" s="276"/>
      <c r="BC287" s="276"/>
    </row>
    <row r="288" spans="1:55" ht="12.75" customHeight="1">
      <c r="A288" s="465"/>
      <c r="B288" s="465"/>
      <c r="C288" s="147"/>
      <c r="D288" s="147"/>
      <c r="E288" s="585"/>
      <c r="F288" s="586"/>
      <c r="G288" s="458"/>
      <c r="H288" s="458"/>
      <c r="I288" s="458"/>
      <c r="J288" s="465"/>
      <c r="K288" s="587"/>
      <c r="L288" s="465"/>
      <c r="M288" s="465"/>
      <c r="N288" s="465"/>
      <c r="O288" s="587"/>
      <c r="P288" s="585"/>
      <c r="Q288" s="465"/>
      <c r="R288" s="458"/>
      <c r="S288" s="585"/>
      <c r="T288" s="588"/>
      <c r="U288" s="589"/>
      <c r="V288" s="587"/>
      <c r="W288" s="465"/>
      <c r="X288" s="465"/>
      <c r="Y288" s="590"/>
      <c r="Z288" s="458"/>
      <c r="AA288" s="591"/>
      <c r="AB288" s="465"/>
      <c r="AC288" s="465"/>
      <c r="AD288" s="465"/>
      <c r="AE288" s="465"/>
      <c r="AF288" s="465"/>
      <c r="AG288" s="465"/>
      <c r="AH288" s="465"/>
      <c r="AI288" s="592"/>
      <c r="AJ288" s="465"/>
      <c r="AK288" s="465"/>
      <c r="AL288" s="20"/>
      <c r="AM288" s="20"/>
      <c r="AN288" s="593"/>
      <c r="AO288" s="20"/>
      <c r="AP288" s="276"/>
      <c r="AQ288" s="276"/>
      <c r="AR288" s="276"/>
      <c r="AS288" s="276"/>
      <c r="AT288" s="276"/>
      <c r="AU288" s="276"/>
      <c r="AV288" s="276"/>
      <c r="AW288" s="276"/>
      <c r="AX288" s="276"/>
      <c r="AY288" s="276"/>
      <c r="AZ288" s="276"/>
      <c r="BA288" s="276"/>
      <c r="BB288" s="276"/>
      <c r="BC288" s="276"/>
    </row>
    <row r="289" spans="1:55" ht="12.75" customHeight="1">
      <c r="A289" s="465"/>
      <c r="B289" s="465"/>
      <c r="C289" s="147"/>
      <c r="D289" s="147"/>
      <c r="E289" s="585"/>
      <c r="F289" s="586"/>
      <c r="G289" s="458"/>
      <c r="H289" s="458"/>
      <c r="I289" s="458"/>
      <c r="J289" s="465"/>
      <c r="K289" s="587"/>
      <c r="L289" s="465"/>
      <c r="M289" s="465"/>
      <c r="N289" s="465"/>
      <c r="O289" s="587"/>
      <c r="P289" s="585"/>
      <c r="Q289" s="465"/>
      <c r="R289" s="458"/>
      <c r="S289" s="585"/>
      <c r="T289" s="588"/>
      <c r="U289" s="589"/>
      <c r="V289" s="587"/>
      <c r="W289" s="465"/>
      <c r="X289" s="465"/>
      <c r="Y289" s="590"/>
      <c r="Z289" s="458"/>
      <c r="AA289" s="591"/>
      <c r="AB289" s="465"/>
      <c r="AC289" s="465"/>
      <c r="AD289" s="465"/>
      <c r="AE289" s="465"/>
      <c r="AF289" s="465"/>
      <c r="AG289" s="465"/>
      <c r="AH289" s="465"/>
      <c r="AI289" s="592"/>
      <c r="AJ289" s="465"/>
      <c r="AK289" s="465"/>
      <c r="AL289" s="20"/>
      <c r="AM289" s="20"/>
      <c r="AN289" s="593"/>
      <c r="AO289" s="20"/>
      <c r="AP289" s="276"/>
      <c r="AQ289" s="276"/>
      <c r="AR289" s="276"/>
      <c r="AS289" s="276"/>
      <c r="AT289" s="276"/>
      <c r="AU289" s="276"/>
      <c r="AV289" s="276"/>
      <c r="AW289" s="276"/>
      <c r="AX289" s="276"/>
      <c r="AY289" s="276"/>
      <c r="AZ289" s="276"/>
      <c r="BA289" s="276"/>
      <c r="BB289" s="276"/>
      <c r="BC289" s="276"/>
    </row>
    <row r="290" spans="1:55" ht="12.75" customHeight="1">
      <c r="A290" s="465"/>
      <c r="B290" s="465"/>
      <c r="C290" s="147"/>
      <c r="D290" s="147"/>
      <c r="E290" s="585"/>
      <c r="F290" s="586"/>
      <c r="G290" s="458"/>
      <c r="H290" s="458"/>
      <c r="I290" s="458"/>
      <c r="J290" s="465"/>
      <c r="K290" s="587"/>
      <c r="L290" s="465"/>
      <c r="M290" s="465"/>
      <c r="N290" s="465"/>
      <c r="O290" s="587"/>
      <c r="P290" s="585"/>
      <c r="Q290" s="465"/>
      <c r="R290" s="458"/>
      <c r="S290" s="585"/>
      <c r="T290" s="588"/>
      <c r="U290" s="589"/>
      <c r="V290" s="587"/>
      <c r="W290" s="465"/>
      <c r="X290" s="465"/>
      <c r="Y290" s="590"/>
      <c r="Z290" s="458"/>
      <c r="AA290" s="591"/>
      <c r="AB290" s="465"/>
      <c r="AC290" s="465"/>
      <c r="AD290" s="465"/>
      <c r="AE290" s="465"/>
      <c r="AF290" s="465"/>
      <c r="AG290" s="465"/>
      <c r="AH290" s="465"/>
      <c r="AI290" s="592"/>
      <c r="AJ290" s="465"/>
      <c r="AK290" s="465"/>
      <c r="AL290" s="20"/>
      <c r="AM290" s="20"/>
      <c r="AN290" s="593"/>
      <c r="AO290" s="20"/>
      <c r="AP290" s="276"/>
      <c r="AQ290" s="276"/>
      <c r="AR290" s="276"/>
      <c r="AS290" s="276"/>
      <c r="AT290" s="276"/>
      <c r="AU290" s="276"/>
      <c r="AV290" s="276"/>
      <c r="AW290" s="276"/>
      <c r="AX290" s="276"/>
      <c r="AY290" s="276"/>
      <c r="AZ290" s="276"/>
      <c r="BA290" s="276"/>
      <c r="BB290" s="276"/>
      <c r="BC290" s="276"/>
    </row>
    <row r="291" spans="1:55" ht="12.75" customHeight="1">
      <c r="A291" s="465"/>
      <c r="B291" s="465"/>
      <c r="C291" s="147"/>
      <c r="D291" s="147"/>
      <c r="E291" s="585"/>
      <c r="F291" s="586"/>
      <c r="G291" s="458"/>
      <c r="H291" s="458"/>
      <c r="I291" s="458"/>
      <c r="J291" s="465"/>
      <c r="K291" s="587"/>
      <c r="L291" s="465"/>
      <c r="M291" s="465"/>
      <c r="N291" s="465"/>
      <c r="O291" s="587"/>
      <c r="P291" s="585"/>
      <c r="Q291" s="465"/>
      <c r="R291" s="458"/>
      <c r="S291" s="585"/>
      <c r="T291" s="588"/>
      <c r="U291" s="589"/>
      <c r="V291" s="587"/>
      <c r="W291" s="465"/>
      <c r="X291" s="465"/>
      <c r="Y291" s="590"/>
      <c r="Z291" s="458"/>
      <c r="AA291" s="591"/>
      <c r="AB291" s="465"/>
      <c r="AC291" s="465"/>
      <c r="AD291" s="465"/>
      <c r="AE291" s="465"/>
      <c r="AF291" s="465"/>
      <c r="AG291" s="465"/>
      <c r="AH291" s="465"/>
      <c r="AI291" s="592"/>
      <c r="AJ291" s="465"/>
      <c r="AK291" s="465"/>
      <c r="AL291" s="20"/>
      <c r="AM291" s="20"/>
      <c r="AN291" s="593"/>
      <c r="AO291" s="20"/>
      <c r="AP291" s="276"/>
      <c r="AQ291" s="276"/>
      <c r="AR291" s="276"/>
      <c r="AS291" s="276"/>
      <c r="AT291" s="276"/>
      <c r="AU291" s="276"/>
      <c r="AV291" s="276"/>
      <c r="AW291" s="276"/>
      <c r="AX291" s="276"/>
      <c r="AY291" s="276"/>
      <c r="AZ291" s="276"/>
      <c r="BA291" s="276"/>
      <c r="BB291" s="276"/>
      <c r="BC291" s="276"/>
    </row>
    <row r="292" spans="1:55" ht="12.75" customHeight="1">
      <c r="A292" s="465"/>
      <c r="B292" s="465"/>
      <c r="C292" s="147"/>
      <c r="D292" s="147"/>
      <c r="E292" s="585"/>
      <c r="F292" s="586"/>
      <c r="G292" s="458"/>
      <c r="H292" s="458"/>
      <c r="I292" s="458"/>
      <c r="J292" s="465"/>
      <c r="K292" s="587"/>
      <c r="L292" s="465"/>
      <c r="M292" s="465"/>
      <c r="N292" s="465"/>
      <c r="O292" s="587"/>
      <c r="P292" s="585"/>
      <c r="Q292" s="465"/>
      <c r="R292" s="458"/>
      <c r="S292" s="585"/>
      <c r="T292" s="588"/>
      <c r="U292" s="589"/>
      <c r="V292" s="587"/>
      <c r="W292" s="465"/>
      <c r="X292" s="465"/>
      <c r="Y292" s="590"/>
      <c r="Z292" s="458"/>
      <c r="AA292" s="591"/>
      <c r="AB292" s="465"/>
      <c r="AC292" s="465"/>
      <c r="AD292" s="465"/>
      <c r="AE292" s="465"/>
      <c r="AF292" s="465"/>
      <c r="AG292" s="465"/>
      <c r="AH292" s="465"/>
      <c r="AI292" s="592"/>
      <c r="AJ292" s="465"/>
      <c r="AK292" s="465"/>
      <c r="AL292" s="20"/>
      <c r="AM292" s="20"/>
      <c r="AN292" s="593"/>
      <c r="AO292" s="20"/>
      <c r="AP292" s="276"/>
      <c r="AQ292" s="276"/>
      <c r="AR292" s="276"/>
      <c r="AS292" s="276"/>
      <c r="AT292" s="276"/>
      <c r="AU292" s="276"/>
      <c r="AV292" s="276"/>
      <c r="AW292" s="276"/>
      <c r="AX292" s="276"/>
      <c r="AY292" s="276"/>
      <c r="AZ292" s="276"/>
      <c r="BA292" s="276"/>
      <c r="BB292" s="276"/>
      <c r="BC292" s="276"/>
    </row>
    <row r="293" spans="1:55" ht="12.75" customHeight="1">
      <c r="A293" s="465"/>
      <c r="B293" s="465"/>
      <c r="C293" s="147"/>
      <c r="D293" s="147"/>
      <c r="E293" s="585"/>
      <c r="F293" s="586"/>
      <c r="G293" s="458"/>
      <c r="H293" s="458"/>
      <c r="I293" s="458"/>
      <c r="J293" s="465"/>
      <c r="K293" s="587"/>
      <c r="L293" s="465"/>
      <c r="M293" s="465"/>
      <c r="N293" s="465"/>
      <c r="O293" s="587"/>
      <c r="P293" s="585"/>
      <c r="Q293" s="465"/>
      <c r="R293" s="458"/>
      <c r="S293" s="585"/>
      <c r="T293" s="588"/>
      <c r="U293" s="589"/>
      <c r="V293" s="587"/>
      <c r="W293" s="465"/>
      <c r="X293" s="465"/>
      <c r="Y293" s="590"/>
      <c r="Z293" s="458"/>
      <c r="AA293" s="591"/>
      <c r="AB293" s="465"/>
      <c r="AC293" s="465"/>
      <c r="AD293" s="465"/>
      <c r="AE293" s="465"/>
      <c r="AF293" s="465"/>
      <c r="AG293" s="465"/>
      <c r="AH293" s="465"/>
      <c r="AI293" s="592"/>
      <c r="AJ293" s="465"/>
      <c r="AK293" s="465"/>
      <c r="AL293" s="20"/>
      <c r="AM293" s="20"/>
      <c r="AN293" s="593"/>
      <c r="AO293" s="20"/>
      <c r="AP293" s="276"/>
      <c r="AQ293" s="276"/>
      <c r="AR293" s="276"/>
      <c r="AS293" s="276"/>
      <c r="AT293" s="276"/>
      <c r="AU293" s="276"/>
      <c r="AV293" s="276"/>
      <c r="AW293" s="276"/>
      <c r="AX293" s="276"/>
      <c r="AY293" s="276"/>
      <c r="AZ293" s="276"/>
      <c r="BA293" s="276"/>
      <c r="BB293" s="276"/>
      <c r="BC293" s="276"/>
    </row>
    <row r="294" spans="1:55" ht="12.75" customHeight="1">
      <c r="A294" s="465"/>
      <c r="B294" s="465"/>
      <c r="C294" s="147"/>
      <c r="D294" s="147"/>
      <c r="E294" s="585"/>
      <c r="F294" s="586"/>
      <c r="G294" s="458"/>
      <c r="H294" s="458"/>
      <c r="I294" s="458"/>
      <c r="J294" s="465"/>
      <c r="K294" s="587"/>
      <c r="L294" s="465"/>
      <c r="M294" s="465"/>
      <c r="N294" s="465"/>
      <c r="O294" s="587"/>
      <c r="P294" s="585"/>
      <c r="Q294" s="465"/>
      <c r="R294" s="458"/>
      <c r="S294" s="585"/>
      <c r="T294" s="588"/>
      <c r="U294" s="589"/>
      <c r="V294" s="587"/>
      <c r="W294" s="465"/>
      <c r="X294" s="465"/>
      <c r="Y294" s="590"/>
      <c r="Z294" s="458"/>
      <c r="AA294" s="591"/>
      <c r="AB294" s="465"/>
      <c r="AC294" s="465"/>
      <c r="AD294" s="465"/>
      <c r="AE294" s="465"/>
      <c r="AF294" s="465"/>
      <c r="AG294" s="465"/>
      <c r="AH294" s="465"/>
      <c r="AI294" s="592"/>
      <c r="AJ294" s="465"/>
      <c r="AK294" s="465"/>
      <c r="AL294" s="20"/>
      <c r="AM294" s="20"/>
      <c r="AN294" s="593"/>
      <c r="AO294" s="20"/>
      <c r="AP294" s="276"/>
      <c r="AQ294" s="276"/>
      <c r="AR294" s="276"/>
      <c r="AS294" s="276"/>
      <c r="AT294" s="276"/>
      <c r="AU294" s="276"/>
      <c r="AV294" s="276"/>
      <c r="AW294" s="276"/>
      <c r="AX294" s="276"/>
      <c r="AY294" s="276"/>
      <c r="AZ294" s="276"/>
      <c r="BA294" s="276"/>
      <c r="BB294" s="276"/>
      <c r="BC294" s="276"/>
    </row>
    <row r="295" spans="1:55" ht="12.75" customHeight="1">
      <c r="A295" s="465"/>
      <c r="B295" s="465"/>
      <c r="C295" s="147"/>
      <c r="D295" s="147"/>
      <c r="E295" s="585"/>
      <c r="F295" s="586"/>
      <c r="G295" s="458"/>
      <c r="H295" s="458"/>
      <c r="I295" s="458"/>
      <c r="J295" s="465"/>
      <c r="K295" s="587"/>
      <c r="L295" s="465"/>
      <c r="M295" s="465"/>
      <c r="N295" s="465"/>
      <c r="O295" s="587"/>
      <c r="P295" s="585"/>
      <c r="Q295" s="465"/>
      <c r="R295" s="458"/>
      <c r="S295" s="585"/>
      <c r="T295" s="588"/>
      <c r="U295" s="589"/>
      <c r="V295" s="587"/>
      <c r="W295" s="465"/>
      <c r="X295" s="465"/>
      <c r="Y295" s="590"/>
      <c r="Z295" s="458"/>
      <c r="AA295" s="591"/>
      <c r="AB295" s="465"/>
      <c r="AC295" s="465"/>
      <c r="AD295" s="465"/>
      <c r="AE295" s="465"/>
      <c r="AF295" s="465"/>
      <c r="AG295" s="465"/>
      <c r="AH295" s="465"/>
      <c r="AI295" s="592"/>
      <c r="AJ295" s="465"/>
      <c r="AK295" s="465"/>
      <c r="AL295" s="20"/>
      <c r="AM295" s="20"/>
      <c r="AN295" s="593"/>
      <c r="AO295" s="20"/>
      <c r="AP295" s="276"/>
      <c r="AQ295" s="276"/>
      <c r="AR295" s="276"/>
      <c r="AS295" s="276"/>
      <c r="AT295" s="276"/>
      <c r="AU295" s="276"/>
      <c r="AV295" s="276"/>
      <c r="AW295" s="276"/>
      <c r="AX295" s="276"/>
      <c r="AY295" s="276"/>
      <c r="AZ295" s="276"/>
      <c r="BA295" s="276"/>
      <c r="BB295" s="276"/>
      <c r="BC295" s="276"/>
    </row>
    <row r="296" spans="1:55" ht="12.75" customHeight="1">
      <c r="A296" s="465"/>
      <c r="B296" s="465"/>
      <c r="C296" s="147"/>
      <c r="D296" s="147"/>
      <c r="E296" s="585"/>
      <c r="F296" s="586"/>
      <c r="G296" s="458"/>
      <c r="H296" s="458"/>
      <c r="I296" s="458"/>
      <c r="J296" s="465"/>
      <c r="K296" s="587"/>
      <c r="L296" s="465"/>
      <c r="M296" s="465"/>
      <c r="N296" s="465"/>
      <c r="O296" s="587"/>
      <c r="P296" s="585"/>
      <c r="Q296" s="465"/>
      <c r="R296" s="458"/>
      <c r="S296" s="585"/>
      <c r="T296" s="588"/>
      <c r="U296" s="589"/>
      <c r="V296" s="587"/>
      <c r="W296" s="465"/>
      <c r="X296" s="465"/>
      <c r="Y296" s="590"/>
      <c r="Z296" s="458"/>
      <c r="AA296" s="591"/>
      <c r="AB296" s="465"/>
      <c r="AC296" s="465"/>
      <c r="AD296" s="465"/>
      <c r="AE296" s="465"/>
      <c r="AF296" s="465"/>
      <c r="AG296" s="465"/>
      <c r="AH296" s="465"/>
      <c r="AI296" s="592"/>
      <c r="AJ296" s="465"/>
      <c r="AK296" s="465"/>
      <c r="AL296" s="20"/>
      <c r="AM296" s="20"/>
      <c r="AN296" s="593"/>
      <c r="AO296" s="20"/>
      <c r="AP296" s="276"/>
      <c r="AQ296" s="276"/>
      <c r="AR296" s="276"/>
      <c r="AS296" s="276"/>
      <c r="AT296" s="276"/>
      <c r="AU296" s="276"/>
      <c r="AV296" s="276"/>
      <c r="AW296" s="276"/>
      <c r="AX296" s="276"/>
      <c r="AY296" s="276"/>
      <c r="AZ296" s="276"/>
      <c r="BA296" s="276"/>
      <c r="BB296" s="276"/>
      <c r="BC296" s="276"/>
    </row>
    <row r="297" spans="1:55" ht="12.75" customHeight="1">
      <c r="A297" s="465"/>
      <c r="B297" s="465"/>
      <c r="C297" s="147"/>
      <c r="D297" s="147"/>
      <c r="E297" s="585"/>
      <c r="F297" s="586"/>
      <c r="G297" s="458"/>
      <c r="H297" s="458"/>
      <c r="I297" s="458"/>
      <c r="J297" s="465"/>
      <c r="K297" s="587"/>
      <c r="L297" s="465"/>
      <c r="M297" s="465"/>
      <c r="N297" s="465"/>
      <c r="O297" s="587"/>
      <c r="P297" s="585"/>
      <c r="Q297" s="465"/>
      <c r="R297" s="458"/>
      <c r="S297" s="585"/>
      <c r="T297" s="588"/>
      <c r="U297" s="589"/>
      <c r="V297" s="587"/>
      <c r="W297" s="465"/>
      <c r="X297" s="465"/>
      <c r="Y297" s="590"/>
      <c r="Z297" s="458"/>
      <c r="AA297" s="591"/>
      <c r="AB297" s="465"/>
      <c r="AC297" s="465"/>
      <c r="AD297" s="465"/>
      <c r="AE297" s="465"/>
      <c r="AF297" s="465"/>
      <c r="AG297" s="465"/>
      <c r="AH297" s="465"/>
      <c r="AI297" s="592"/>
      <c r="AJ297" s="465"/>
      <c r="AK297" s="465"/>
      <c r="AL297" s="20"/>
      <c r="AM297" s="20"/>
      <c r="AN297" s="593"/>
      <c r="AO297" s="20"/>
      <c r="AP297" s="276"/>
      <c r="AQ297" s="276"/>
      <c r="AR297" s="276"/>
      <c r="AS297" s="276"/>
      <c r="AT297" s="276"/>
      <c r="AU297" s="276"/>
      <c r="AV297" s="276"/>
      <c r="AW297" s="276"/>
      <c r="AX297" s="276"/>
      <c r="AY297" s="276"/>
      <c r="AZ297" s="276"/>
      <c r="BA297" s="276"/>
      <c r="BB297" s="276"/>
      <c r="BC297" s="276"/>
    </row>
    <row r="298" spans="1:55" ht="12.75" customHeight="1">
      <c r="A298" s="465"/>
      <c r="B298" s="465"/>
      <c r="C298" s="147"/>
      <c r="D298" s="147"/>
      <c r="E298" s="585"/>
      <c r="F298" s="586"/>
      <c r="G298" s="458"/>
      <c r="H298" s="458"/>
      <c r="I298" s="458"/>
      <c r="J298" s="465"/>
      <c r="K298" s="587"/>
      <c r="L298" s="465"/>
      <c r="M298" s="465"/>
      <c r="N298" s="465"/>
      <c r="O298" s="587"/>
      <c r="P298" s="585"/>
      <c r="Q298" s="465"/>
      <c r="R298" s="458"/>
      <c r="S298" s="585"/>
      <c r="T298" s="588"/>
      <c r="U298" s="589"/>
      <c r="V298" s="587"/>
      <c r="W298" s="465"/>
      <c r="X298" s="465"/>
      <c r="Y298" s="590"/>
      <c r="Z298" s="458"/>
      <c r="AA298" s="591"/>
      <c r="AB298" s="465"/>
      <c r="AC298" s="465"/>
      <c r="AD298" s="465"/>
      <c r="AE298" s="465"/>
      <c r="AF298" s="465"/>
      <c r="AG298" s="465"/>
      <c r="AH298" s="465"/>
      <c r="AI298" s="592"/>
      <c r="AJ298" s="465"/>
      <c r="AK298" s="465"/>
      <c r="AL298" s="20"/>
      <c r="AM298" s="20"/>
      <c r="AN298" s="593"/>
      <c r="AO298" s="20"/>
      <c r="AP298" s="276"/>
      <c r="AQ298" s="276"/>
      <c r="AR298" s="276"/>
      <c r="AS298" s="276"/>
      <c r="AT298" s="276"/>
      <c r="AU298" s="276"/>
      <c r="AV298" s="276"/>
      <c r="AW298" s="276"/>
      <c r="AX298" s="276"/>
      <c r="AY298" s="276"/>
      <c r="AZ298" s="276"/>
      <c r="BA298" s="276"/>
      <c r="BB298" s="276"/>
      <c r="BC298" s="276"/>
    </row>
    <row r="299" spans="1:55" ht="12.75" customHeight="1">
      <c r="A299" s="465"/>
      <c r="B299" s="465"/>
      <c r="C299" s="147"/>
      <c r="D299" s="147"/>
      <c r="E299" s="585"/>
      <c r="F299" s="586"/>
      <c r="G299" s="458"/>
      <c r="H299" s="458"/>
      <c r="I299" s="458"/>
      <c r="J299" s="465"/>
      <c r="K299" s="587"/>
      <c r="L299" s="465"/>
      <c r="M299" s="465"/>
      <c r="N299" s="465"/>
      <c r="O299" s="587"/>
      <c r="P299" s="585"/>
      <c r="Q299" s="465"/>
      <c r="R299" s="458"/>
      <c r="S299" s="585"/>
      <c r="T299" s="588"/>
      <c r="U299" s="589"/>
      <c r="V299" s="587"/>
      <c r="W299" s="465"/>
      <c r="X299" s="465"/>
      <c r="Y299" s="590"/>
      <c r="Z299" s="458"/>
      <c r="AA299" s="591"/>
      <c r="AB299" s="465"/>
      <c r="AC299" s="465"/>
      <c r="AD299" s="465"/>
      <c r="AE299" s="465"/>
      <c r="AF299" s="465"/>
      <c r="AG299" s="465"/>
      <c r="AH299" s="465"/>
      <c r="AI299" s="592"/>
      <c r="AJ299" s="465"/>
      <c r="AK299" s="465"/>
      <c r="AL299" s="20"/>
      <c r="AM299" s="20"/>
      <c r="AN299" s="593"/>
      <c r="AO299" s="20"/>
      <c r="AP299" s="276"/>
      <c r="AQ299" s="276"/>
      <c r="AR299" s="276"/>
      <c r="AS299" s="276"/>
      <c r="AT299" s="276"/>
      <c r="AU299" s="276"/>
      <c r="AV299" s="276"/>
      <c r="AW299" s="276"/>
      <c r="AX299" s="276"/>
      <c r="AY299" s="276"/>
      <c r="AZ299" s="276"/>
      <c r="BA299" s="276"/>
      <c r="BB299" s="276"/>
      <c r="BC299" s="276"/>
    </row>
    <row r="300" spans="1:55" ht="12.75" customHeight="1">
      <c r="A300" s="465"/>
      <c r="B300" s="465"/>
      <c r="C300" s="147"/>
      <c r="D300" s="147"/>
      <c r="E300" s="585"/>
      <c r="F300" s="586"/>
      <c r="G300" s="458"/>
      <c r="H300" s="458"/>
      <c r="I300" s="458"/>
      <c r="J300" s="465"/>
      <c r="K300" s="587"/>
      <c r="L300" s="465"/>
      <c r="M300" s="465"/>
      <c r="N300" s="465"/>
      <c r="O300" s="587"/>
      <c r="P300" s="585"/>
      <c r="Q300" s="465"/>
      <c r="R300" s="458"/>
      <c r="S300" s="585"/>
      <c r="T300" s="588"/>
      <c r="U300" s="589"/>
      <c r="V300" s="587"/>
      <c r="W300" s="465"/>
      <c r="X300" s="465"/>
      <c r="Y300" s="590"/>
      <c r="Z300" s="458"/>
      <c r="AA300" s="591"/>
      <c r="AB300" s="465"/>
      <c r="AC300" s="465"/>
      <c r="AD300" s="465"/>
      <c r="AE300" s="465"/>
      <c r="AF300" s="465"/>
      <c r="AG300" s="465"/>
      <c r="AH300" s="465"/>
      <c r="AI300" s="592"/>
      <c r="AJ300" s="465"/>
      <c r="AK300" s="465"/>
      <c r="AL300" s="20"/>
      <c r="AM300" s="20"/>
      <c r="AN300" s="593"/>
      <c r="AO300" s="20"/>
      <c r="AP300" s="276"/>
      <c r="AQ300" s="276"/>
      <c r="AR300" s="276"/>
      <c r="AS300" s="276"/>
      <c r="AT300" s="276"/>
      <c r="AU300" s="276"/>
      <c r="AV300" s="276"/>
      <c r="AW300" s="276"/>
      <c r="AX300" s="276"/>
      <c r="AY300" s="276"/>
      <c r="AZ300" s="276"/>
      <c r="BA300" s="276"/>
      <c r="BB300" s="276"/>
      <c r="BC300" s="276"/>
    </row>
    <row r="301" spans="1:55" ht="12.75" customHeight="1">
      <c r="A301" s="465"/>
      <c r="B301" s="465"/>
      <c r="C301" s="147"/>
      <c r="D301" s="147"/>
      <c r="E301" s="585"/>
      <c r="F301" s="586"/>
      <c r="G301" s="458"/>
      <c r="H301" s="458"/>
      <c r="I301" s="458"/>
      <c r="J301" s="465"/>
      <c r="K301" s="587"/>
      <c r="L301" s="465"/>
      <c r="M301" s="465"/>
      <c r="N301" s="465"/>
      <c r="O301" s="587"/>
      <c r="P301" s="585"/>
      <c r="Q301" s="465"/>
      <c r="R301" s="458"/>
      <c r="S301" s="585"/>
      <c r="T301" s="588"/>
      <c r="U301" s="589"/>
      <c r="V301" s="587"/>
      <c r="W301" s="465"/>
      <c r="X301" s="465"/>
      <c r="Y301" s="590"/>
      <c r="Z301" s="458"/>
      <c r="AA301" s="591"/>
      <c r="AB301" s="465"/>
      <c r="AC301" s="465"/>
      <c r="AD301" s="465"/>
      <c r="AE301" s="465"/>
      <c r="AF301" s="465"/>
      <c r="AG301" s="465"/>
      <c r="AH301" s="465"/>
      <c r="AI301" s="592"/>
      <c r="AJ301" s="465"/>
      <c r="AK301" s="465"/>
      <c r="AL301" s="20"/>
      <c r="AM301" s="20"/>
      <c r="AN301" s="593"/>
      <c r="AO301" s="20"/>
      <c r="AP301" s="276"/>
      <c r="AQ301" s="276"/>
      <c r="AR301" s="276"/>
      <c r="AS301" s="276"/>
      <c r="AT301" s="276"/>
      <c r="AU301" s="276"/>
      <c r="AV301" s="276"/>
      <c r="AW301" s="276"/>
      <c r="AX301" s="276"/>
      <c r="AY301" s="276"/>
      <c r="AZ301" s="276"/>
      <c r="BA301" s="276"/>
      <c r="BB301" s="276"/>
      <c r="BC301" s="276"/>
    </row>
    <row r="302" spans="1:55" ht="12.75" customHeight="1">
      <c r="A302" s="465"/>
      <c r="B302" s="465"/>
      <c r="C302" s="147"/>
      <c r="D302" s="147"/>
      <c r="E302" s="585"/>
      <c r="F302" s="586"/>
      <c r="G302" s="458"/>
      <c r="H302" s="458"/>
      <c r="I302" s="458"/>
      <c r="J302" s="465"/>
      <c r="K302" s="587"/>
      <c r="L302" s="465"/>
      <c r="M302" s="465"/>
      <c r="N302" s="465"/>
      <c r="O302" s="587"/>
      <c r="P302" s="585"/>
      <c r="Q302" s="465"/>
      <c r="R302" s="458"/>
      <c r="S302" s="585"/>
      <c r="T302" s="588"/>
      <c r="U302" s="589"/>
      <c r="V302" s="587"/>
      <c r="W302" s="465"/>
      <c r="X302" s="465"/>
      <c r="Y302" s="590"/>
      <c r="Z302" s="458"/>
      <c r="AA302" s="591"/>
      <c r="AB302" s="465"/>
      <c r="AC302" s="465"/>
      <c r="AD302" s="465"/>
      <c r="AE302" s="465"/>
      <c r="AF302" s="465"/>
      <c r="AG302" s="465"/>
      <c r="AH302" s="465"/>
      <c r="AI302" s="592"/>
      <c r="AJ302" s="465"/>
      <c r="AK302" s="465"/>
      <c r="AL302" s="20"/>
      <c r="AM302" s="20"/>
      <c r="AN302" s="593"/>
      <c r="AO302" s="20"/>
      <c r="AP302" s="276"/>
      <c r="AQ302" s="276"/>
      <c r="AR302" s="276"/>
      <c r="AS302" s="276"/>
      <c r="AT302" s="276"/>
      <c r="AU302" s="276"/>
      <c r="AV302" s="276"/>
      <c r="AW302" s="276"/>
      <c r="AX302" s="276"/>
      <c r="AY302" s="276"/>
      <c r="AZ302" s="276"/>
      <c r="BA302" s="276"/>
      <c r="BB302" s="276"/>
      <c r="BC302" s="276"/>
    </row>
    <row r="303" spans="1:55" ht="12.75" customHeight="1">
      <c r="A303" s="465"/>
      <c r="B303" s="465"/>
      <c r="C303" s="147"/>
      <c r="D303" s="147"/>
      <c r="E303" s="585"/>
      <c r="F303" s="586"/>
      <c r="G303" s="458"/>
      <c r="H303" s="458"/>
      <c r="I303" s="458"/>
      <c r="J303" s="465"/>
      <c r="K303" s="587"/>
      <c r="L303" s="465"/>
      <c r="M303" s="465"/>
      <c r="N303" s="465"/>
      <c r="O303" s="587"/>
      <c r="P303" s="585"/>
      <c r="Q303" s="465"/>
      <c r="R303" s="458"/>
      <c r="S303" s="585"/>
      <c r="T303" s="588"/>
      <c r="U303" s="589"/>
      <c r="V303" s="587"/>
      <c r="W303" s="465"/>
      <c r="X303" s="465"/>
      <c r="Y303" s="590"/>
      <c r="Z303" s="458"/>
      <c r="AA303" s="591"/>
      <c r="AB303" s="465"/>
      <c r="AC303" s="465"/>
      <c r="AD303" s="465"/>
      <c r="AE303" s="465"/>
      <c r="AF303" s="465"/>
      <c r="AG303" s="465"/>
      <c r="AH303" s="465"/>
      <c r="AI303" s="592"/>
      <c r="AJ303" s="465"/>
      <c r="AK303" s="465"/>
      <c r="AL303" s="20"/>
      <c r="AM303" s="20"/>
      <c r="AN303" s="593"/>
      <c r="AO303" s="20"/>
      <c r="AP303" s="276"/>
      <c r="AQ303" s="276"/>
      <c r="AR303" s="276"/>
      <c r="AS303" s="276"/>
      <c r="AT303" s="276"/>
      <c r="AU303" s="276"/>
      <c r="AV303" s="276"/>
      <c r="AW303" s="276"/>
      <c r="AX303" s="276"/>
      <c r="AY303" s="276"/>
      <c r="AZ303" s="276"/>
      <c r="BA303" s="276"/>
      <c r="BB303" s="276"/>
      <c r="BC303" s="276"/>
    </row>
    <row r="304" spans="1:55" ht="12.75" customHeight="1">
      <c r="A304" s="465"/>
      <c r="B304" s="465"/>
      <c r="C304" s="147"/>
      <c r="D304" s="147"/>
      <c r="E304" s="585"/>
      <c r="F304" s="586"/>
      <c r="G304" s="458"/>
      <c r="H304" s="458"/>
      <c r="I304" s="458"/>
      <c r="J304" s="465"/>
      <c r="K304" s="587"/>
      <c r="L304" s="465"/>
      <c r="M304" s="465"/>
      <c r="N304" s="465"/>
      <c r="O304" s="587"/>
      <c r="P304" s="585"/>
      <c r="Q304" s="465"/>
      <c r="R304" s="458"/>
      <c r="S304" s="585"/>
      <c r="T304" s="588"/>
      <c r="U304" s="589"/>
      <c r="V304" s="587"/>
      <c r="W304" s="465"/>
      <c r="X304" s="465"/>
      <c r="Y304" s="590"/>
      <c r="Z304" s="458"/>
      <c r="AA304" s="591"/>
      <c r="AB304" s="465"/>
      <c r="AC304" s="465"/>
      <c r="AD304" s="465"/>
      <c r="AE304" s="465"/>
      <c r="AF304" s="465"/>
      <c r="AG304" s="465"/>
      <c r="AH304" s="465"/>
      <c r="AI304" s="592"/>
      <c r="AJ304" s="465"/>
      <c r="AK304" s="465"/>
      <c r="AL304" s="20"/>
      <c r="AM304" s="20"/>
      <c r="AN304" s="593"/>
      <c r="AO304" s="20"/>
      <c r="AP304" s="276"/>
      <c r="AQ304" s="276"/>
      <c r="AR304" s="276"/>
      <c r="AS304" s="276"/>
      <c r="AT304" s="276"/>
      <c r="AU304" s="276"/>
      <c r="AV304" s="276"/>
      <c r="AW304" s="276"/>
      <c r="AX304" s="276"/>
      <c r="AY304" s="276"/>
      <c r="AZ304" s="276"/>
      <c r="BA304" s="276"/>
      <c r="BB304" s="276"/>
      <c r="BC304" s="276"/>
    </row>
    <row r="305" spans="1:55" ht="12.75" customHeight="1">
      <c r="A305" s="465"/>
      <c r="B305" s="465"/>
      <c r="C305" s="147"/>
      <c r="D305" s="147"/>
      <c r="E305" s="585"/>
      <c r="F305" s="586"/>
      <c r="G305" s="458"/>
      <c r="H305" s="458"/>
      <c r="I305" s="458"/>
      <c r="J305" s="465"/>
      <c r="K305" s="587"/>
      <c r="L305" s="465"/>
      <c r="M305" s="465"/>
      <c r="N305" s="465"/>
      <c r="O305" s="587"/>
      <c r="P305" s="585"/>
      <c r="Q305" s="465"/>
      <c r="R305" s="458"/>
      <c r="S305" s="585"/>
      <c r="T305" s="588"/>
      <c r="U305" s="589"/>
      <c r="V305" s="587"/>
      <c r="W305" s="465"/>
      <c r="X305" s="465"/>
      <c r="Y305" s="590"/>
      <c r="Z305" s="458"/>
      <c r="AA305" s="591"/>
      <c r="AB305" s="465"/>
      <c r="AC305" s="465"/>
      <c r="AD305" s="465"/>
      <c r="AE305" s="465"/>
      <c r="AF305" s="465"/>
      <c r="AG305" s="465"/>
      <c r="AH305" s="465"/>
      <c r="AI305" s="592"/>
      <c r="AJ305" s="465"/>
      <c r="AK305" s="465"/>
      <c r="AL305" s="20"/>
      <c r="AM305" s="20"/>
      <c r="AN305" s="593"/>
      <c r="AO305" s="20"/>
      <c r="AP305" s="276"/>
      <c r="AQ305" s="276"/>
      <c r="AR305" s="276"/>
      <c r="AS305" s="276"/>
      <c r="AT305" s="276"/>
      <c r="AU305" s="276"/>
      <c r="AV305" s="276"/>
      <c r="AW305" s="276"/>
      <c r="AX305" s="276"/>
      <c r="AY305" s="276"/>
      <c r="AZ305" s="276"/>
      <c r="BA305" s="276"/>
      <c r="BB305" s="276"/>
      <c r="BC305" s="276"/>
    </row>
    <row r="306" spans="1:55" ht="12.75" customHeight="1">
      <c r="A306" s="465"/>
      <c r="B306" s="465"/>
      <c r="C306" s="147"/>
      <c r="D306" s="147"/>
      <c r="E306" s="585"/>
      <c r="F306" s="586"/>
      <c r="G306" s="458"/>
      <c r="H306" s="458"/>
      <c r="I306" s="458"/>
      <c r="J306" s="465"/>
      <c r="K306" s="587"/>
      <c r="L306" s="465"/>
      <c r="M306" s="465"/>
      <c r="N306" s="465"/>
      <c r="O306" s="587"/>
      <c r="P306" s="585"/>
      <c r="Q306" s="465"/>
      <c r="R306" s="458"/>
      <c r="S306" s="585"/>
      <c r="T306" s="588"/>
      <c r="U306" s="589"/>
      <c r="V306" s="587"/>
      <c r="W306" s="465"/>
      <c r="X306" s="465"/>
      <c r="Y306" s="590"/>
      <c r="Z306" s="458"/>
      <c r="AA306" s="591"/>
      <c r="AB306" s="465"/>
      <c r="AC306" s="465"/>
      <c r="AD306" s="465"/>
      <c r="AE306" s="465"/>
      <c r="AF306" s="465"/>
      <c r="AG306" s="465"/>
      <c r="AH306" s="465"/>
      <c r="AI306" s="592"/>
      <c r="AJ306" s="465"/>
      <c r="AK306" s="465"/>
      <c r="AL306" s="20"/>
      <c r="AM306" s="20"/>
      <c r="AN306" s="593"/>
      <c r="AO306" s="20"/>
      <c r="AP306" s="276"/>
      <c r="AQ306" s="276"/>
      <c r="AR306" s="276"/>
      <c r="AS306" s="276"/>
      <c r="AT306" s="276"/>
      <c r="AU306" s="276"/>
      <c r="AV306" s="276"/>
      <c r="AW306" s="276"/>
      <c r="AX306" s="276"/>
      <c r="AY306" s="276"/>
      <c r="AZ306" s="276"/>
      <c r="BA306" s="276"/>
      <c r="BB306" s="276"/>
      <c r="BC306" s="276"/>
    </row>
    <row r="307" spans="1:55" ht="12.75" customHeight="1">
      <c r="A307" s="465"/>
      <c r="B307" s="465"/>
      <c r="C307" s="147"/>
      <c r="D307" s="147"/>
      <c r="E307" s="585"/>
      <c r="F307" s="586"/>
      <c r="G307" s="458"/>
      <c r="H307" s="458"/>
      <c r="I307" s="458"/>
      <c r="J307" s="465"/>
      <c r="K307" s="587"/>
      <c r="L307" s="465"/>
      <c r="M307" s="465"/>
      <c r="N307" s="465"/>
      <c r="O307" s="587"/>
      <c r="P307" s="585"/>
      <c r="Q307" s="465"/>
      <c r="R307" s="458"/>
      <c r="S307" s="585"/>
      <c r="T307" s="588"/>
      <c r="U307" s="589"/>
      <c r="V307" s="587"/>
      <c r="W307" s="465"/>
      <c r="X307" s="465"/>
      <c r="Y307" s="590"/>
      <c r="Z307" s="458"/>
      <c r="AA307" s="591"/>
      <c r="AB307" s="465"/>
      <c r="AC307" s="465"/>
      <c r="AD307" s="465"/>
      <c r="AE307" s="465"/>
      <c r="AF307" s="465"/>
      <c r="AG307" s="465"/>
      <c r="AH307" s="465"/>
      <c r="AI307" s="592"/>
      <c r="AJ307" s="465"/>
      <c r="AK307" s="465"/>
      <c r="AL307" s="20"/>
      <c r="AM307" s="20"/>
      <c r="AN307" s="593"/>
      <c r="AO307" s="20"/>
      <c r="AP307" s="276"/>
      <c r="AQ307" s="276"/>
      <c r="AR307" s="276"/>
      <c r="AS307" s="276"/>
      <c r="AT307" s="276"/>
      <c r="AU307" s="276"/>
      <c r="AV307" s="276"/>
      <c r="AW307" s="276"/>
      <c r="AX307" s="276"/>
      <c r="AY307" s="276"/>
      <c r="AZ307" s="276"/>
      <c r="BA307" s="276"/>
      <c r="BB307" s="276"/>
      <c r="BC307" s="276"/>
    </row>
    <row r="308" spans="1:55" ht="12.75" customHeight="1">
      <c r="A308" s="465"/>
      <c r="B308" s="465"/>
      <c r="C308" s="147"/>
      <c r="D308" s="147"/>
      <c r="E308" s="585"/>
      <c r="F308" s="586"/>
      <c r="G308" s="458"/>
      <c r="H308" s="458"/>
      <c r="I308" s="458"/>
      <c r="J308" s="465"/>
      <c r="K308" s="587"/>
      <c r="L308" s="465"/>
      <c r="M308" s="465"/>
      <c r="N308" s="465"/>
      <c r="O308" s="587"/>
      <c r="P308" s="585"/>
      <c r="Q308" s="465"/>
      <c r="R308" s="458"/>
      <c r="S308" s="585"/>
      <c r="T308" s="588"/>
      <c r="U308" s="589"/>
      <c r="V308" s="587"/>
      <c r="W308" s="465"/>
      <c r="X308" s="465"/>
      <c r="Y308" s="590"/>
      <c r="Z308" s="458"/>
      <c r="AA308" s="591"/>
      <c r="AB308" s="465"/>
      <c r="AC308" s="465"/>
      <c r="AD308" s="465"/>
      <c r="AE308" s="465"/>
      <c r="AF308" s="465"/>
      <c r="AG308" s="465"/>
      <c r="AH308" s="465"/>
      <c r="AI308" s="592"/>
      <c r="AJ308" s="465"/>
      <c r="AK308" s="465"/>
      <c r="AL308" s="20"/>
      <c r="AM308" s="20"/>
      <c r="AN308" s="593"/>
      <c r="AO308" s="20"/>
      <c r="AP308" s="276"/>
      <c r="AQ308" s="276"/>
      <c r="AR308" s="276"/>
      <c r="AS308" s="276"/>
      <c r="AT308" s="276"/>
      <c r="AU308" s="276"/>
      <c r="AV308" s="276"/>
      <c r="AW308" s="276"/>
      <c r="AX308" s="276"/>
      <c r="AY308" s="276"/>
      <c r="AZ308" s="276"/>
      <c r="BA308" s="276"/>
      <c r="BB308" s="276"/>
      <c r="BC308" s="276"/>
    </row>
    <row r="309" spans="1:55" ht="12.75" customHeight="1">
      <c r="A309" s="465"/>
      <c r="B309" s="465"/>
      <c r="C309" s="147"/>
      <c r="D309" s="147"/>
      <c r="E309" s="585"/>
      <c r="F309" s="586"/>
      <c r="G309" s="458"/>
      <c r="H309" s="458"/>
      <c r="I309" s="458"/>
      <c r="J309" s="465"/>
      <c r="K309" s="587"/>
      <c r="L309" s="465"/>
      <c r="M309" s="465"/>
      <c r="N309" s="465"/>
      <c r="O309" s="587"/>
      <c r="P309" s="585"/>
      <c r="Q309" s="465"/>
      <c r="R309" s="458"/>
      <c r="S309" s="585"/>
      <c r="T309" s="588"/>
      <c r="U309" s="589"/>
      <c r="V309" s="587"/>
      <c r="W309" s="465"/>
      <c r="X309" s="465"/>
      <c r="Y309" s="590"/>
      <c r="Z309" s="458"/>
      <c r="AA309" s="591"/>
      <c r="AB309" s="465"/>
      <c r="AC309" s="465"/>
      <c r="AD309" s="465"/>
      <c r="AE309" s="465"/>
      <c r="AF309" s="465"/>
      <c r="AG309" s="465"/>
      <c r="AH309" s="465"/>
      <c r="AI309" s="592"/>
      <c r="AJ309" s="465"/>
      <c r="AK309" s="465"/>
      <c r="AL309" s="20"/>
      <c r="AM309" s="20"/>
      <c r="AN309" s="593"/>
      <c r="AO309" s="20"/>
      <c r="AP309" s="276"/>
      <c r="AQ309" s="276"/>
      <c r="AR309" s="276"/>
      <c r="AS309" s="276"/>
      <c r="AT309" s="276"/>
      <c r="AU309" s="276"/>
      <c r="AV309" s="276"/>
      <c r="AW309" s="276"/>
      <c r="AX309" s="276"/>
      <c r="AY309" s="276"/>
      <c r="AZ309" s="276"/>
      <c r="BA309" s="276"/>
      <c r="BB309" s="276"/>
      <c r="BC309" s="276"/>
    </row>
    <row r="310" spans="1:55" ht="12.75" customHeight="1">
      <c r="A310" s="465"/>
      <c r="B310" s="465"/>
      <c r="C310" s="147"/>
      <c r="D310" s="147"/>
      <c r="E310" s="585"/>
      <c r="F310" s="586"/>
      <c r="G310" s="458"/>
      <c r="H310" s="458"/>
      <c r="I310" s="458"/>
      <c r="J310" s="465"/>
      <c r="K310" s="587"/>
      <c r="L310" s="465"/>
      <c r="M310" s="465"/>
      <c r="N310" s="465"/>
      <c r="O310" s="587"/>
      <c r="P310" s="585"/>
      <c r="Q310" s="465"/>
      <c r="R310" s="458"/>
      <c r="S310" s="585"/>
      <c r="T310" s="588"/>
      <c r="U310" s="589"/>
      <c r="V310" s="587"/>
      <c r="W310" s="465"/>
      <c r="X310" s="465"/>
      <c r="Y310" s="590"/>
      <c r="Z310" s="458"/>
      <c r="AA310" s="591"/>
      <c r="AB310" s="465"/>
      <c r="AC310" s="465"/>
      <c r="AD310" s="465"/>
      <c r="AE310" s="465"/>
      <c r="AF310" s="465"/>
      <c r="AG310" s="465"/>
      <c r="AH310" s="465"/>
      <c r="AI310" s="592"/>
      <c r="AJ310" s="465"/>
      <c r="AK310" s="465"/>
      <c r="AL310" s="20"/>
      <c r="AM310" s="20"/>
      <c r="AN310" s="593"/>
      <c r="AO310" s="20"/>
      <c r="AP310" s="276"/>
      <c r="AQ310" s="276"/>
      <c r="AR310" s="276"/>
      <c r="AS310" s="276"/>
      <c r="AT310" s="276"/>
      <c r="AU310" s="276"/>
      <c r="AV310" s="276"/>
      <c r="AW310" s="276"/>
      <c r="AX310" s="276"/>
      <c r="AY310" s="276"/>
      <c r="AZ310" s="276"/>
      <c r="BA310" s="276"/>
      <c r="BB310" s="276"/>
      <c r="BC310" s="276"/>
    </row>
    <row r="311" spans="1:55" ht="12.75" customHeight="1">
      <c r="A311" s="465"/>
      <c r="B311" s="465"/>
      <c r="C311" s="147"/>
      <c r="D311" s="147"/>
      <c r="E311" s="585"/>
      <c r="F311" s="586"/>
      <c r="G311" s="458"/>
      <c r="H311" s="458"/>
      <c r="I311" s="458"/>
      <c r="J311" s="465"/>
      <c r="K311" s="587"/>
      <c r="L311" s="465"/>
      <c r="M311" s="465"/>
      <c r="N311" s="465"/>
      <c r="O311" s="587"/>
      <c r="P311" s="585"/>
      <c r="Q311" s="465"/>
      <c r="R311" s="458"/>
      <c r="S311" s="585"/>
      <c r="T311" s="588"/>
      <c r="U311" s="589"/>
      <c r="V311" s="587"/>
      <c r="W311" s="465"/>
      <c r="X311" s="465"/>
      <c r="Y311" s="590"/>
      <c r="Z311" s="458"/>
      <c r="AA311" s="591"/>
      <c r="AB311" s="465"/>
      <c r="AC311" s="465"/>
      <c r="AD311" s="465"/>
      <c r="AE311" s="465"/>
      <c r="AF311" s="465"/>
      <c r="AG311" s="465"/>
      <c r="AH311" s="465"/>
      <c r="AI311" s="592"/>
      <c r="AJ311" s="465"/>
      <c r="AK311" s="465"/>
      <c r="AL311" s="20"/>
      <c r="AM311" s="20"/>
      <c r="AN311" s="593"/>
      <c r="AO311" s="20"/>
      <c r="AP311" s="276"/>
      <c r="AQ311" s="276"/>
      <c r="AR311" s="276"/>
      <c r="AS311" s="276"/>
      <c r="AT311" s="276"/>
      <c r="AU311" s="276"/>
      <c r="AV311" s="276"/>
      <c r="AW311" s="276"/>
      <c r="AX311" s="276"/>
      <c r="AY311" s="276"/>
      <c r="AZ311" s="276"/>
      <c r="BA311" s="276"/>
      <c r="BB311" s="276"/>
      <c r="BC311" s="276"/>
    </row>
    <row r="312" spans="1:55" ht="12.75" customHeight="1">
      <c r="A312" s="465"/>
      <c r="B312" s="465"/>
      <c r="C312" s="147"/>
      <c r="D312" s="147"/>
      <c r="E312" s="585"/>
      <c r="F312" s="586"/>
      <c r="G312" s="458"/>
      <c r="H312" s="458"/>
      <c r="I312" s="458"/>
      <c r="J312" s="465"/>
      <c r="K312" s="587"/>
      <c r="L312" s="465"/>
      <c r="M312" s="465"/>
      <c r="N312" s="465"/>
      <c r="O312" s="587"/>
      <c r="P312" s="585"/>
      <c r="Q312" s="465"/>
      <c r="R312" s="458"/>
      <c r="S312" s="585"/>
      <c r="T312" s="588"/>
      <c r="U312" s="589"/>
      <c r="V312" s="587"/>
      <c r="W312" s="465"/>
      <c r="X312" s="465"/>
      <c r="Y312" s="590"/>
      <c r="Z312" s="458"/>
      <c r="AA312" s="591"/>
      <c r="AB312" s="465"/>
      <c r="AC312" s="465"/>
      <c r="AD312" s="465"/>
      <c r="AE312" s="465"/>
      <c r="AF312" s="465"/>
      <c r="AG312" s="465"/>
      <c r="AH312" s="465"/>
      <c r="AI312" s="592"/>
      <c r="AJ312" s="465"/>
      <c r="AK312" s="465"/>
      <c r="AL312" s="20"/>
      <c r="AM312" s="20"/>
      <c r="AN312" s="593"/>
      <c r="AO312" s="20"/>
      <c r="AP312" s="276"/>
      <c r="AQ312" s="276"/>
      <c r="AR312" s="276"/>
      <c r="AS312" s="276"/>
      <c r="AT312" s="276"/>
      <c r="AU312" s="276"/>
      <c r="AV312" s="276"/>
      <c r="AW312" s="276"/>
      <c r="AX312" s="276"/>
      <c r="AY312" s="276"/>
      <c r="AZ312" s="276"/>
      <c r="BA312" s="276"/>
      <c r="BB312" s="276"/>
      <c r="BC312" s="276"/>
    </row>
    <row r="313" spans="1:55" ht="12.75" customHeight="1">
      <c r="A313" s="465"/>
      <c r="B313" s="465"/>
      <c r="C313" s="147"/>
      <c r="D313" s="147"/>
      <c r="E313" s="585"/>
      <c r="F313" s="586"/>
      <c r="G313" s="458"/>
      <c r="H313" s="458"/>
      <c r="I313" s="458"/>
      <c r="J313" s="465"/>
      <c r="K313" s="587"/>
      <c r="L313" s="465"/>
      <c r="M313" s="465"/>
      <c r="N313" s="465"/>
      <c r="O313" s="587"/>
      <c r="P313" s="585"/>
      <c r="Q313" s="465"/>
      <c r="R313" s="458"/>
      <c r="S313" s="585"/>
      <c r="T313" s="588"/>
      <c r="U313" s="589"/>
      <c r="V313" s="587"/>
      <c r="W313" s="465"/>
      <c r="X313" s="465"/>
      <c r="Y313" s="590"/>
      <c r="Z313" s="458"/>
      <c r="AA313" s="591"/>
      <c r="AB313" s="465"/>
      <c r="AC313" s="465"/>
      <c r="AD313" s="465"/>
      <c r="AE313" s="465"/>
      <c r="AF313" s="465"/>
      <c r="AG313" s="465"/>
      <c r="AH313" s="465"/>
      <c r="AI313" s="592"/>
      <c r="AJ313" s="465"/>
      <c r="AK313" s="465"/>
      <c r="AL313" s="20"/>
      <c r="AM313" s="20"/>
      <c r="AN313" s="593"/>
      <c r="AO313" s="20"/>
      <c r="AP313" s="276"/>
      <c r="AQ313" s="276"/>
      <c r="AR313" s="276"/>
      <c r="AS313" s="276"/>
      <c r="AT313" s="276"/>
      <c r="AU313" s="276"/>
      <c r="AV313" s="276"/>
      <c r="AW313" s="276"/>
      <c r="AX313" s="276"/>
      <c r="AY313" s="276"/>
      <c r="AZ313" s="276"/>
      <c r="BA313" s="276"/>
      <c r="BB313" s="276"/>
      <c r="BC313" s="276"/>
    </row>
    <row r="314" spans="1:55" ht="12.75" customHeight="1">
      <c r="A314" s="465"/>
      <c r="B314" s="465"/>
      <c r="C314" s="147"/>
      <c r="D314" s="147"/>
      <c r="E314" s="585"/>
      <c r="F314" s="586"/>
      <c r="G314" s="458"/>
      <c r="H314" s="458"/>
      <c r="I314" s="458"/>
      <c r="J314" s="465"/>
      <c r="K314" s="587"/>
      <c r="L314" s="465"/>
      <c r="M314" s="465"/>
      <c r="N314" s="465"/>
      <c r="O314" s="587"/>
      <c r="P314" s="585"/>
      <c r="Q314" s="465"/>
      <c r="R314" s="458"/>
      <c r="S314" s="585"/>
      <c r="T314" s="588"/>
      <c r="U314" s="589"/>
      <c r="V314" s="587"/>
      <c r="W314" s="465"/>
      <c r="X314" s="465"/>
      <c r="Y314" s="590"/>
      <c r="Z314" s="458"/>
      <c r="AA314" s="591"/>
      <c r="AB314" s="465"/>
      <c r="AC314" s="465"/>
      <c r="AD314" s="465"/>
      <c r="AE314" s="465"/>
      <c r="AF314" s="465"/>
      <c r="AG314" s="465"/>
      <c r="AH314" s="465"/>
      <c r="AI314" s="592"/>
      <c r="AJ314" s="465"/>
      <c r="AK314" s="465"/>
      <c r="AL314" s="20"/>
      <c r="AM314" s="20"/>
      <c r="AN314" s="593"/>
      <c r="AO314" s="20"/>
      <c r="AP314" s="276"/>
      <c r="AQ314" s="276"/>
      <c r="AR314" s="276"/>
      <c r="AS314" s="276"/>
      <c r="AT314" s="276"/>
      <c r="AU314" s="276"/>
      <c r="AV314" s="276"/>
      <c r="AW314" s="276"/>
      <c r="AX314" s="276"/>
      <c r="AY314" s="276"/>
      <c r="AZ314" s="276"/>
      <c r="BA314" s="276"/>
      <c r="BB314" s="276"/>
      <c r="BC314" s="276"/>
    </row>
    <row r="315" spans="1:55" ht="12.75" customHeight="1">
      <c r="A315" s="465"/>
      <c r="B315" s="465"/>
      <c r="C315" s="147"/>
      <c r="D315" s="147"/>
      <c r="E315" s="585"/>
      <c r="F315" s="586"/>
      <c r="G315" s="458"/>
      <c r="H315" s="458"/>
      <c r="I315" s="458"/>
      <c r="J315" s="465"/>
      <c r="K315" s="587"/>
      <c r="L315" s="465"/>
      <c r="M315" s="465"/>
      <c r="N315" s="465"/>
      <c r="O315" s="587"/>
      <c r="P315" s="585"/>
      <c r="Q315" s="465"/>
      <c r="R315" s="458"/>
      <c r="S315" s="585"/>
      <c r="T315" s="588"/>
      <c r="U315" s="589"/>
      <c r="V315" s="587"/>
      <c r="W315" s="465"/>
      <c r="X315" s="465"/>
      <c r="Y315" s="590"/>
      <c r="Z315" s="458"/>
      <c r="AA315" s="591"/>
      <c r="AB315" s="465"/>
      <c r="AC315" s="465"/>
      <c r="AD315" s="465"/>
      <c r="AE315" s="465"/>
      <c r="AF315" s="465"/>
      <c r="AG315" s="465"/>
      <c r="AH315" s="465"/>
      <c r="AI315" s="592"/>
      <c r="AJ315" s="465"/>
      <c r="AK315" s="465"/>
      <c r="AL315" s="20"/>
      <c r="AM315" s="20"/>
      <c r="AN315" s="593"/>
      <c r="AO315" s="20"/>
      <c r="AP315" s="276"/>
      <c r="AQ315" s="276"/>
      <c r="AR315" s="276"/>
      <c r="AS315" s="276"/>
      <c r="AT315" s="276"/>
      <c r="AU315" s="276"/>
      <c r="AV315" s="276"/>
      <c r="AW315" s="276"/>
      <c r="AX315" s="276"/>
      <c r="AY315" s="276"/>
      <c r="AZ315" s="276"/>
      <c r="BA315" s="276"/>
      <c r="BB315" s="276"/>
      <c r="BC315" s="276"/>
    </row>
    <row r="316" spans="1:55" ht="12.75" customHeight="1">
      <c r="A316" s="465"/>
      <c r="B316" s="465"/>
      <c r="C316" s="147"/>
      <c r="D316" s="147"/>
      <c r="E316" s="585"/>
      <c r="F316" s="586"/>
      <c r="G316" s="458"/>
      <c r="H316" s="458"/>
      <c r="I316" s="458"/>
      <c r="J316" s="465"/>
      <c r="K316" s="587"/>
      <c r="L316" s="465"/>
      <c r="M316" s="465"/>
      <c r="N316" s="465"/>
      <c r="O316" s="587"/>
      <c r="P316" s="585"/>
      <c r="Q316" s="465"/>
      <c r="R316" s="458"/>
      <c r="S316" s="585"/>
      <c r="T316" s="588"/>
      <c r="U316" s="589"/>
      <c r="V316" s="587"/>
      <c r="W316" s="465"/>
      <c r="X316" s="465"/>
      <c r="Y316" s="590"/>
      <c r="Z316" s="458"/>
      <c r="AA316" s="591"/>
      <c r="AB316" s="465"/>
      <c r="AC316" s="465"/>
      <c r="AD316" s="465"/>
      <c r="AE316" s="465"/>
      <c r="AF316" s="465"/>
      <c r="AG316" s="465"/>
      <c r="AH316" s="465"/>
      <c r="AI316" s="592"/>
      <c r="AJ316" s="465"/>
      <c r="AK316" s="465"/>
      <c r="AL316" s="20"/>
      <c r="AM316" s="20"/>
      <c r="AN316" s="593"/>
      <c r="AO316" s="20"/>
      <c r="AP316" s="276"/>
      <c r="AQ316" s="276"/>
      <c r="AR316" s="276"/>
      <c r="AS316" s="276"/>
      <c r="AT316" s="276"/>
      <c r="AU316" s="276"/>
      <c r="AV316" s="276"/>
      <c r="AW316" s="276"/>
      <c r="AX316" s="276"/>
      <c r="AY316" s="276"/>
      <c r="AZ316" s="276"/>
      <c r="BA316" s="276"/>
      <c r="BB316" s="276"/>
      <c r="BC316" s="276"/>
    </row>
    <row r="317" spans="1:55" ht="12.75" customHeight="1">
      <c r="A317" s="465"/>
      <c r="B317" s="465"/>
      <c r="C317" s="147"/>
      <c r="D317" s="147"/>
      <c r="E317" s="585"/>
      <c r="F317" s="586"/>
      <c r="G317" s="458"/>
      <c r="H317" s="458"/>
      <c r="I317" s="458"/>
      <c r="J317" s="465"/>
      <c r="K317" s="587"/>
      <c r="L317" s="465"/>
      <c r="M317" s="465"/>
      <c r="N317" s="465"/>
      <c r="O317" s="587"/>
      <c r="P317" s="585"/>
      <c r="Q317" s="465"/>
      <c r="R317" s="458"/>
      <c r="S317" s="585"/>
      <c r="T317" s="588"/>
      <c r="U317" s="589"/>
      <c r="V317" s="587"/>
      <c r="W317" s="465"/>
      <c r="X317" s="465"/>
      <c r="Y317" s="590"/>
      <c r="Z317" s="458"/>
      <c r="AA317" s="591"/>
      <c r="AB317" s="465"/>
      <c r="AC317" s="465"/>
      <c r="AD317" s="465"/>
      <c r="AE317" s="465"/>
      <c r="AF317" s="465"/>
      <c r="AG317" s="465"/>
      <c r="AH317" s="465"/>
      <c r="AI317" s="592"/>
      <c r="AJ317" s="465"/>
      <c r="AK317" s="465"/>
      <c r="AL317" s="20"/>
      <c r="AM317" s="20"/>
      <c r="AN317" s="593"/>
      <c r="AO317" s="20"/>
      <c r="AP317" s="276"/>
      <c r="AQ317" s="276"/>
      <c r="AR317" s="276"/>
      <c r="AS317" s="276"/>
      <c r="AT317" s="276"/>
      <c r="AU317" s="276"/>
      <c r="AV317" s="276"/>
      <c r="AW317" s="276"/>
      <c r="AX317" s="276"/>
      <c r="AY317" s="276"/>
      <c r="AZ317" s="276"/>
      <c r="BA317" s="276"/>
      <c r="BB317" s="276"/>
      <c r="BC317" s="276"/>
    </row>
    <row r="318" spans="1:55" ht="12.75" customHeight="1">
      <c r="A318" s="465"/>
      <c r="B318" s="465"/>
      <c r="C318" s="147"/>
      <c r="D318" s="147"/>
      <c r="E318" s="585"/>
      <c r="F318" s="586"/>
      <c r="G318" s="458"/>
      <c r="H318" s="458"/>
      <c r="I318" s="458"/>
      <c r="J318" s="465"/>
      <c r="K318" s="587"/>
      <c r="L318" s="465"/>
      <c r="M318" s="465"/>
      <c r="N318" s="465"/>
      <c r="O318" s="587"/>
      <c r="P318" s="585"/>
      <c r="Q318" s="465"/>
      <c r="R318" s="458"/>
      <c r="S318" s="585"/>
      <c r="T318" s="588"/>
      <c r="U318" s="589"/>
      <c r="V318" s="587"/>
      <c r="W318" s="465"/>
      <c r="X318" s="465"/>
      <c r="Y318" s="590"/>
      <c r="Z318" s="458"/>
      <c r="AA318" s="591"/>
      <c r="AB318" s="465"/>
      <c r="AC318" s="465"/>
      <c r="AD318" s="465"/>
      <c r="AE318" s="465"/>
      <c r="AF318" s="465"/>
      <c r="AG318" s="465"/>
      <c r="AH318" s="465"/>
      <c r="AI318" s="592"/>
      <c r="AJ318" s="465"/>
      <c r="AK318" s="465"/>
      <c r="AL318" s="20"/>
      <c r="AM318" s="20"/>
      <c r="AN318" s="593"/>
      <c r="AO318" s="20"/>
      <c r="AP318" s="276"/>
      <c r="AQ318" s="276"/>
      <c r="AR318" s="276"/>
      <c r="AS318" s="276"/>
      <c r="AT318" s="276"/>
      <c r="AU318" s="276"/>
      <c r="AV318" s="276"/>
      <c r="AW318" s="276"/>
      <c r="AX318" s="276"/>
      <c r="AY318" s="276"/>
      <c r="AZ318" s="276"/>
      <c r="BA318" s="276"/>
      <c r="BB318" s="276"/>
      <c r="BC318" s="276"/>
    </row>
    <row r="319" spans="1:55" ht="12.75" customHeight="1">
      <c r="A319" s="465"/>
      <c r="B319" s="465"/>
      <c r="C319" s="147"/>
      <c r="D319" s="147"/>
      <c r="E319" s="585"/>
      <c r="F319" s="586"/>
      <c r="G319" s="458"/>
      <c r="H319" s="458"/>
      <c r="I319" s="458"/>
      <c r="J319" s="465"/>
      <c r="K319" s="587"/>
      <c r="L319" s="465"/>
      <c r="M319" s="465"/>
      <c r="N319" s="465"/>
      <c r="O319" s="587"/>
      <c r="P319" s="585"/>
      <c r="Q319" s="465"/>
      <c r="R319" s="458"/>
      <c r="S319" s="585"/>
      <c r="T319" s="588"/>
      <c r="U319" s="589"/>
      <c r="V319" s="587"/>
      <c r="W319" s="465"/>
      <c r="X319" s="465"/>
      <c r="Y319" s="590"/>
      <c r="Z319" s="458"/>
      <c r="AA319" s="591"/>
      <c r="AB319" s="465"/>
      <c r="AC319" s="465"/>
      <c r="AD319" s="465"/>
      <c r="AE319" s="465"/>
      <c r="AF319" s="465"/>
      <c r="AG319" s="465"/>
      <c r="AH319" s="465"/>
      <c r="AI319" s="592"/>
      <c r="AJ319" s="465"/>
      <c r="AK319" s="465"/>
      <c r="AL319" s="20"/>
      <c r="AM319" s="20"/>
      <c r="AN319" s="593"/>
      <c r="AO319" s="20"/>
      <c r="AP319" s="276"/>
      <c r="AQ319" s="276"/>
      <c r="AR319" s="276"/>
      <c r="AS319" s="276"/>
      <c r="AT319" s="276"/>
      <c r="AU319" s="276"/>
      <c r="AV319" s="276"/>
      <c r="AW319" s="276"/>
      <c r="AX319" s="276"/>
      <c r="AY319" s="276"/>
      <c r="AZ319" s="276"/>
      <c r="BA319" s="276"/>
      <c r="BB319" s="276"/>
      <c r="BC319" s="276"/>
    </row>
    <row r="320" spans="1:55" ht="12.75" customHeight="1">
      <c r="A320" s="465"/>
      <c r="B320" s="465"/>
      <c r="C320" s="147"/>
      <c r="D320" s="147"/>
      <c r="E320" s="585"/>
      <c r="F320" s="586"/>
      <c r="G320" s="458"/>
      <c r="H320" s="458"/>
      <c r="I320" s="458"/>
      <c r="J320" s="465"/>
      <c r="K320" s="587"/>
      <c r="L320" s="465"/>
      <c r="M320" s="465"/>
      <c r="N320" s="465"/>
      <c r="O320" s="587"/>
      <c r="P320" s="585"/>
      <c r="Q320" s="465"/>
      <c r="R320" s="458"/>
      <c r="S320" s="585"/>
      <c r="T320" s="588"/>
      <c r="U320" s="589"/>
      <c r="V320" s="587"/>
      <c r="W320" s="465"/>
      <c r="X320" s="465"/>
      <c r="Y320" s="590"/>
      <c r="Z320" s="458"/>
      <c r="AA320" s="591"/>
      <c r="AB320" s="465"/>
      <c r="AC320" s="465"/>
      <c r="AD320" s="465"/>
      <c r="AE320" s="465"/>
      <c r="AF320" s="465"/>
      <c r="AG320" s="465"/>
      <c r="AH320" s="465"/>
      <c r="AI320" s="592"/>
      <c r="AJ320" s="465"/>
      <c r="AK320" s="465"/>
      <c r="AL320" s="20"/>
      <c r="AM320" s="20"/>
      <c r="AN320" s="593"/>
      <c r="AO320" s="20"/>
      <c r="AP320" s="276"/>
      <c r="AQ320" s="276"/>
      <c r="AR320" s="276"/>
      <c r="AS320" s="276"/>
      <c r="AT320" s="276"/>
      <c r="AU320" s="276"/>
      <c r="AV320" s="276"/>
      <c r="AW320" s="276"/>
      <c r="AX320" s="276"/>
      <c r="AY320" s="276"/>
      <c r="AZ320" s="276"/>
      <c r="BA320" s="276"/>
      <c r="BB320" s="276"/>
      <c r="BC320" s="276"/>
    </row>
    <row r="321" spans="1:55" ht="12.75" customHeight="1">
      <c r="A321" s="465"/>
      <c r="B321" s="465"/>
      <c r="C321" s="147"/>
      <c r="D321" s="147"/>
      <c r="E321" s="585"/>
      <c r="F321" s="586"/>
      <c r="G321" s="458"/>
      <c r="H321" s="458"/>
      <c r="I321" s="458"/>
      <c r="J321" s="465"/>
      <c r="K321" s="587"/>
      <c r="L321" s="465"/>
      <c r="M321" s="465"/>
      <c r="N321" s="465"/>
      <c r="O321" s="587"/>
      <c r="P321" s="585"/>
      <c r="Q321" s="465"/>
      <c r="R321" s="458"/>
      <c r="S321" s="585"/>
      <c r="T321" s="588"/>
      <c r="U321" s="589"/>
      <c r="V321" s="587"/>
      <c r="W321" s="465"/>
      <c r="X321" s="465"/>
      <c r="Y321" s="590"/>
      <c r="Z321" s="458"/>
      <c r="AA321" s="591"/>
      <c r="AB321" s="465"/>
      <c r="AC321" s="465"/>
      <c r="AD321" s="465"/>
      <c r="AE321" s="465"/>
      <c r="AF321" s="465"/>
      <c r="AG321" s="465"/>
      <c r="AH321" s="465"/>
      <c r="AI321" s="592"/>
      <c r="AJ321" s="465"/>
      <c r="AK321" s="465"/>
      <c r="AL321" s="20"/>
      <c r="AM321" s="20"/>
      <c r="AN321" s="593"/>
      <c r="AO321" s="20"/>
      <c r="AP321" s="276"/>
      <c r="AQ321" s="276"/>
      <c r="AR321" s="276"/>
      <c r="AS321" s="276"/>
      <c r="AT321" s="276"/>
      <c r="AU321" s="276"/>
      <c r="AV321" s="276"/>
      <c r="AW321" s="276"/>
      <c r="AX321" s="276"/>
      <c r="AY321" s="276"/>
      <c r="AZ321" s="276"/>
      <c r="BA321" s="276"/>
      <c r="BB321" s="276"/>
      <c r="BC321" s="276"/>
    </row>
    <row r="322" spans="1:55" ht="12.75" customHeight="1">
      <c r="A322" s="465"/>
      <c r="B322" s="465"/>
      <c r="C322" s="147"/>
      <c r="D322" s="147"/>
      <c r="E322" s="585"/>
      <c r="F322" s="586"/>
      <c r="G322" s="458"/>
      <c r="H322" s="458"/>
      <c r="I322" s="458"/>
      <c r="J322" s="465"/>
      <c r="K322" s="587"/>
      <c r="L322" s="465"/>
      <c r="M322" s="465"/>
      <c r="N322" s="465"/>
      <c r="O322" s="587"/>
      <c r="P322" s="585"/>
      <c r="Q322" s="465"/>
      <c r="R322" s="458"/>
      <c r="S322" s="585"/>
      <c r="T322" s="588"/>
      <c r="U322" s="589"/>
      <c r="V322" s="587"/>
      <c r="W322" s="465"/>
      <c r="X322" s="465"/>
      <c r="Y322" s="590"/>
      <c r="Z322" s="458"/>
      <c r="AA322" s="591"/>
      <c r="AB322" s="465"/>
      <c r="AC322" s="465"/>
      <c r="AD322" s="465"/>
      <c r="AE322" s="465"/>
      <c r="AF322" s="465"/>
      <c r="AG322" s="465"/>
      <c r="AH322" s="465"/>
      <c r="AI322" s="592"/>
      <c r="AJ322" s="465"/>
      <c r="AK322" s="465"/>
      <c r="AL322" s="20"/>
      <c r="AM322" s="20"/>
      <c r="AN322" s="593"/>
      <c r="AO322" s="20"/>
      <c r="AP322" s="276"/>
      <c r="AQ322" s="276"/>
      <c r="AR322" s="276"/>
      <c r="AS322" s="276"/>
      <c r="AT322" s="276"/>
      <c r="AU322" s="276"/>
      <c r="AV322" s="276"/>
      <c r="AW322" s="276"/>
      <c r="AX322" s="276"/>
      <c r="AY322" s="276"/>
      <c r="AZ322" s="276"/>
      <c r="BA322" s="276"/>
      <c r="BB322" s="276"/>
      <c r="BC322" s="276"/>
    </row>
    <row r="323" spans="1:55" ht="12.75" customHeight="1">
      <c r="A323" s="465"/>
      <c r="B323" s="465"/>
      <c r="C323" s="147"/>
      <c r="D323" s="147"/>
      <c r="E323" s="585"/>
      <c r="F323" s="586"/>
      <c r="G323" s="458"/>
      <c r="H323" s="458"/>
      <c r="I323" s="458"/>
      <c r="J323" s="465"/>
      <c r="K323" s="587"/>
      <c r="L323" s="465"/>
      <c r="M323" s="465"/>
      <c r="N323" s="465"/>
      <c r="O323" s="587"/>
      <c r="P323" s="585"/>
      <c r="Q323" s="465"/>
      <c r="R323" s="458"/>
      <c r="S323" s="585"/>
      <c r="T323" s="588"/>
      <c r="U323" s="589"/>
      <c r="V323" s="587"/>
      <c r="W323" s="465"/>
      <c r="X323" s="465"/>
      <c r="Y323" s="590"/>
      <c r="Z323" s="458"/>
      <c r="AA323" s="591"/>
      <c r="AB323" s="465"/>
      <c r="AC323" s="465"/>
      <c r="AD323" s="465"/>
      <c r="AE323" s="465"/>
      <c r="AF323" s="465"/>
      <c r="AG323" s="465"/>
      <c r="AH323" s="465"/>
      <c r="AI323" s="592"/>
      <c r="AJ323" s="465"/>
      <c r="AK323" s="465"/>
      <c r="AL323" s="20"/>
      <c r="AM323" s="20"/>
      <c r="AN323" s="593"/>
      <c r="AO323" s="20"/>
      <c r="AP323" s="276"/>
      <c r="AQ323" s="276"/>
      <c r="AR323" s="276"/>
      <c r="AS323" s="276"/>
      <c r="AT323" s="276"/>
      <c r="AU323" s="276"/>
      <c r="AV323" s="276"/>
      <c r="AW323" s="276"/>
      <c r="AX323" s="276"/>
      <c r="AY323" s="276"/>
      <c r="AZ323" s="276"/>
      <c r="BA323" s="276"/>
      <c r="BB323" s="276"/>
      <c r="BC323" s="276"/>
    </row>
    <row r="324" spans="1:55" ht="12.75" customHeight="1">
      <c r="A324" s="465"/>
      <c r="B324" s="465"/>
      <c r="C324" s="147"/>
      <c r="D324" s="147"/>
      <c r="E324" s="585"/>
      <c r="F324" s="586"/>
      <c r="G324" s="458"/>
      <c r="H324" s="458"/>
      <c r="I324" s="458"/>
      <c r="J324" s="465"/>
      <c r="K324" s="587"/>
      <c r="L324" s="465"/>
      <c r="M324" s="465"/>
      <c r="N324" s="465"/>
      <c r="O324" s="587"/>
      <c r="P324" s="585"/>
      <c r="Q324" s="465"/>
      <c r="R324" s="458"/>
      <c r="S324" s="585"/>
      <c r="T324" s="588"/>
      <c r="U324" s="589"/>
      <c r="V324" s="587"/>
      <c r="W324" s="465"/>
      <c r="X324" s="465"/>
      <c r="Y324" s="590"/>
      <c r="Z324" s="458"/>
      <c r="AA324" s="591"/>
      <c r="AB324" s="465"/>
      <c r="AC324" s="465"/>
      <c r="AD324" s="465"/>
      <c r="AE324" s="465"/>
      <c r="AF324" s="465"/>
      <c r="AG324" s="465"/>
      <c r="AH324" s="465"/>
      <c r="AI324" s="592"/>
      <c r="AJ324" s="465"/>
      <c r="AK324" s="465"/>
      <c r="AL324" s="20"/>
      <c r="AM324" s="20"/>
      <c r="AN324" s="593"/>
      <c r="AO324" s="20"/>
      <c r="AP324" s="276"/>
      <c r="AQ324" s="276"/>
      <c r="AR324" s="276"/>
      <c r="AS324" s="276"/>
      <c r="AT324" s="276"/>
      <c r="AU324" s="276"/>
      <c r="AV324" s="276"/>
      <c r="AW324" s="276"/>
      <c r="AX324" s="276"/>
      <c r="AY324" s="276"/>
      <c r="AZ324" s="276"/>
      <c r="BA324" s="276"/>
      <c r="BB324" s="276"/>
      <c r="BC324" s="276"/>
    </row>
    <row r="325" spans="1:55" ht="12.75" customHeight="1">
      <c r="A325" s="465"/>
      <c r="B325" s="465"/>
      <c r="C325" s="147"/>
      <c r="D325" s="147"/>
      <c r="E325" s="585"/>
      <c r="F325" s="586"/>
      <c r="G325" s="458"/>
      <c r="H325" s="458"/>
      <c r="I325" s="458"/>
      <c r="J325" s="465"/>
      <c r="K325" s="587"/>
      <c r="L325" s="465"/>
      <c r="M325" s="465"/>
      <c r="N325" s="465"/>
      <c r="O325" s="587"/>
      <c r="P325" s="585"/>
      <c r="Q325" s="465"/>
      <c r="R325" s="458"/>
      <c r="S325" s="585"/>
      <c r="T325" s="588"/>
      <c r="U325" s="589"/>
      <c r="V325" s="587"/>
      <c r="W325" s="465"/>
      <c r="X325" s="465"/>
      <c r="Y325" s="590"/>
      <c r="Z325" s="458"/>
      <c r="AA325" s="591"/>
      <c r="AB325" s="465"/>
      <c r="AC325" s="465"/>
      <c r="AD325" s="465"/>
      <c r="AE325" s="465"/>
      <c r="AF325" s="465"/>
      <c r="AG325" s="465"/>
      <c r="AH325" s="465"/>
      <c r="AI325" s="592"/>
      <c r="AJ325" s="465"/>
      <c r="AK325" s="465"/>
      <c r="AL325" s="20"/>
      <c r="AM325" s="20"/>
      <c r="AN325" s="593"/>
      <c r="AO325" s="20"/>
      <c r="AP325" s="276"/>
      <c r="AQ325" s="276"/>
      <c r="AR325" s="276"/>
      <c r="AS325" s="276"/>
      <c r="AT325" s="276"/>
      <c r="AU325" s="276"/>
      <c r="AV325" s="276"/>
      <c r="AW325" s="276"/>
      <c r="AX325" s="276"/>
      <c r="AY325" s="276"/>
      <c r="AZ325" s="276"/>
      <c r="BA325" s="276"/>
      <c r="BB325" s="276"/>
      <c r="BC325" s="276"/>
    </row>
    <row r="326" spans="1:55" ht="12.75" customHeight="1">
      <c r="A326" s="465"/>
      <c r="B326" s="465"/>
      <c r="C326" s="147"/>
      <c r="D326" s="147"/>
      <c r="E326" s="585"/>
      <c r="F326" s="586"/>
      <c r="G326" s="458"/>
      <c r="H326" s="458"/>
      <c r="I326" s="458"/>
      <c r="J326" s="465"/>
      <c r="K326" s="587"/>
      <c r="L326" s="465"/>
      <c r="M326" s="465"/>
      <c r="N326" s="465"/>
      <c r="O326" s="587"/>
      <c r="P326" s="585"/>
      <c r="Q326" s="465"/>
      <c r="R326" s="458"/>
      <c r="S326" s="585"/>
      <c r="T326" s="588"/>
      <c r="U326" s="589"/>
      <c r="V326" s="587"/>
      <c r="W326" s="465"/>
      <c r="X326" s="465"/>
      <c r="Y326" s="590"/>
      <c r="Z326" s="458"/>
      <c r="AA326" s="591"/>
      <c r="AB326" s="465"/>
      <c r="AC326" s="465"/>
      <c r="AD326" s="465"/>
      <c r="AE326" s="465"/>
      <c r="AF326" s="465"/>
      <c r="AG326" s="465"/>
      <c r="AH326" s="465"/>
      <c r="AI326" s="592"/>
      <c r="AJ326" s="465"/>
      <c r="AK326" s="465"/>
      <c r="AL326" s="20"/>
      <c r="AM326" s="20"/>
      <c r="AN326" s="593"/>
      <c r="AO326" s="20"/>
      <c r="AP326" s="276"/>
      <c r="AQ326" s="276"/>
      <c r="AR326" s="276"/>
      <c r="AS326" s="276"/>
      <c r="AT326" s="276"/>
      <c r="AU326" s="276"/>
      <c r="AV326" s="276"/>
      <c r="AW326" s="276"/>
      <c r="AX326" s="276"/>
      <c r="AY326" s="276"/>
      <c r="AZ326" s="276"/>
      <c r="BA326" s="276"/>
      <c r="BB326" s="276"/>
      <c r="BC326" s="276"/>
    </row>
    <row r="327" spans="1:55" ht="12.75" customHeight="1">
      <c r="A327" s="465"/>
      <c r="B327" s="465"/>
      <c r="C327" s="147"/>
      <c r="D327" s="147"/>
      <c r="E327" s="585"/>
      <c r="F327" s="586"/>
      <c r="G327" s="458"/>
      <c r="H327" s="458"/>
      <c r="I327" s="458"/>
      <c r="J327" s="465"/>
      <c r="K327" s="587"/>
      <c r="L327" s="465"/>
      <c r="M327" s="465"/>
      <c r="N327" s="465"/>
      <c r="O327" s="587"/>
      <c r="P327" s="585"/>
      <c r="Q327" s="465"/>
      <c r="R327" s="458"/>
      <c r="S327" s="585"/>
      <c r="T327" s="588"/>
      <c r="U327" s="589"/>
      <c r="V327" s="587"/>
      <c r="W327" s="465"/>
      <c r="X327" s="465"/>
      <c r="Y327" s="590"/>
      <c r="Z327" s="458"/>
      <c r="AA327" s="591"/>
      <c r="AB327" s="465"/>
      <c r="AC327" s="465"/>
      <c r="AD327" s="465"/>
      <c r="AE327" s="465"/>
      <c r="AF327" s="465"/>
      <c r="AG327" s="465"/>
      <c r="AH327" s="465"/>
      <c r="AI327" s="592"/>
      <c r="AJ327" s="465"/>
      <c r="AK327" s="465"/>
      <c r="AL327" s="20"/>
      <c r="AM327" s="20"/>
      <c r="AN327" s="593"/>
      <c r="AO327" s="20"/>
      <c r="AP327" s="276"/>
      <c r="AQ327" s="276"/>
      <c r="AR327" s="276"/>
      <c r="AS327" s="276"/>
      <c r="AT327" s="276"/>
      <c r="AU327" s="276"/>
      <c r="AV327" s="276"/>
      <c r="AW327" s="276"/>
      <c r="AX327" s="276"/>
      <c r="AY327" s="276"/>
      <c r="AZ327" s="276"/>
      <c r="BA327" s="276"/>
      <c r="BB327" s="276"/>
      <c r="BC327" s="276"/>
    </row>
    <row r="328" spans="1:55" ht="12.75" customHeight="1">
      <c r="A328" s="465"/>
      <c r="B328" s="465"/>
      <c r="C328" s="147"/>
      <c r="D328" s="147"/>
      <c r="E328" s="585"/>
      <c r="F328" s="586"/>
      <c r="G328" s="458"/>
      <c r="H328" s="458"/>
      <c r="I328" s="458"/>
      <c r="J328" s="465"/>
      <c r="K328" s="587"/>
      <c r="L328" s="465"/>
      <c r="M328" s="465"/>
      <c r="N328" s="465"/>
      <c r="O328" s="587"/>
      <c r="P328" s="585"/>
      <c r="Q328" s="465"/>
      <c r="R328" s="458"/>
      <c r="S328" s="585"/>
      <c r="T328" s="588"/>
      <c r="U328" s="589"/>
      <c r="V328" s="587"/>
      <c r="W328" s="465"/>
      <c r="X328" s="465"/>
      <c r="Y328" s="590"/>
      <c r="Z328" s="458"/>
      <c r="AA328" s="591"/>
      <c r="AB328" s="465"/>
      <c r="AC328" s="465"/>
      <c r="AD328" s="465"/>
      <c r="AE328" s="465"/>
      <c r="AF328" s="465"/>
      <c r="AG328" s="465"/>
      <c r="AH328" s="465"/>
      <c r="AI328" s="592"/>
      <c r="AJ328" s="465"/>
      <c r="AK328" s="465"/>
      <c r="AL328" s="20"/>
      <c r="AM328" s="20"/>
      <c r="AN328" s="593"/>
      <c r="AO328" s="20"/>
      <c r="AP328" s="276"/>
      <c r="AQ328" s="276"/>
      <c r="AR328" s="276"/>
      <c r="AS328" s="276"/>
      <c r="AT328" s="276"/>
      <c r="AU328" s="276"/>
      <c r="AV328" s="276"/>
      <c r="AW328" s="276"/>
      <c r="AX328" s="276"/>
      <c r="AY328" s="276"/>
      <c r="AZ328" s="276"/>
      <c r="BA328" s="276"/>
      <c r="BB328" s="276"/>
      <c r="BC328" s="276"/>
    </row>
    <row r="329" spans="1:55" ht="12.75" customHeight="1">
      <c r="A329" s="465"/>
      <c r="B329" s="465"/>
      <c r="C329" s="147"/>
      <c r="D329" s="147"/>
      <c r="E329" s="585"/>
      <c r="F329" s="586"/>
      <c r="G329" s="458"/>
      <c r="H329" s="458"/>
      <c r="I329" s="458"/>
      <c r="J329" s="465"/>
      <c r="K329" s="587"/>
      <c r="L329" s="465"/>
      <c r="M329" s="465"/>
      <c r="N329" s="465"/>
      <c r="O329" s="587"/>
      <c r="P329" s="585"/>
      <c r="Q329" s="465"/>
      <c r="R329" s="458"/>
      <c r="S329" s="585"/>
      <c r="T329" s="588"/>
      <c r="U329" s="589"/>
      <c r="V329" s="587"/>
      <c r="W329" s="465"/>
      <c r="X329" s="465"/>
      <c r="Y329" s="590"/>
      <c r="Z329" s="458"/>
      <c r="AA329" s="591"/>
      <c r="AB329" s="465"/>
      <c r="AC329" s="465"/>
      <c r="AD329" s="465"/>
      <c r="AE329" s="465"/>
      <c r="AF329" s="465"/>
      <c r="AG329" s="465"/>
      <c r="AH329" s="465"/>
      <c r="AI329" s="592"/>
      <c r="AJ329" s="465"/>
      <c r="AK329" s="465"/>
      <c r="AL329" s="20"/>
      <c r="AM329" s="20"/>
      <c r="AN329" s="593"/>
      <c r="AO329" s="20"/>
      <c r="AP329" s="276"/>
      <c r="AQ329" s="276"/>
      <c r="AR329" s="276"/>
      <c r="AS329" s="276"/>
      <c r="AT329" s="276"/>
      <c r="AU329" s="276"/>
      <c r="AV329" s="276"/>
      <c r="AW329" s="276"/>
      <c r="AX329" s="276"/>
      <c r="AY329" s="276"/>
      <c r="AZ329" s="276"/>
      <c r="BA329" s="276"/>
      <c r="BB329" s="276"/>
      <c r="BC329" s="276"/>
    </row>
    <row r="330" spans="1:55" ht="12.75" customHeight="1">
      <c r="A330" s="465"/>
      <c r="B330" s="465"/>
      <c r="C330" s="147"/>
      <c r="D330" s="147"/>
      <c r="E330" s="585"/>
      <c r="F330" s="586"/>
      <c r="G330" s="458"/>
      <c r="H330" s="458"/>
      <c r="I330" s="458"/>
      <c r="J330" s="465"/>
      <c r="K330" s="587"/>
      <c r="L330" s="465"/>
      <c r="M330" s="465"/>
      <c r="N330" s="465"/>
      <c r="O330" s="587"/>
      <c r="P330" s="585"/>
      <c r="Q330" s="465"/>
      <c r="R330" s="458"/>
      <c r="S330" s="585"/>
      <c r="T330" s="588"/>
      <c r="U330" s="589"/>
      <c r="V330" s="587"/>
      <c r="W330" s="465"/>
      <c r="X330" s="465"/>
      <c r="Y330" s="590"/>
      <c r="Z330" s="458"/>
      <c r="AA330" s="591"/>
      <c r="AB330" s="465"/>
      <c r="AC330" s="465"/>
      <c r="AD330" s="465"/>
      <c r="AE330" s="465"/>
      <c r="AF330" s="465"/>
      <c r="AG330" s="465"/>
      <c r="AH330" s="465"/>
      <c r="AI330" s="592"/>
      <c r="AJ330" s="465"/>
      <c r="AK330" s="465"/>
      <c r="AL330" s="20"/>
      <c r="AM330" s="20"/>
      <c r="AN330" s="593"/>
      <c r="AO330" s="20"/>
      <c r="AP330" s="276"/>
      <c r="AQ330" s="276"/>
      <c r="AR330" s="276"/>
      <c r="AS330" s="276"/>
      <c r="AT330" s="276"/>
      <c r="AU330" s="276"/>
      <c r="AV330" s="276"/>
      <c r="AW330" s="276"/>
      <c r="AX330" s="276"/>
      <c r="AY330" s="276"/>
      <c r="AZ330" s="276"/>
      <c r="BA330" s="276"/>
      <c r="BB330" s="276"/>
      <c r="BC330" s="276"/>
    </row>
    <row r="331" spans="1:55" ht="12.75" customHeight="1">
      <c r="A331" s="465"/>
      <c r="B331" s="465"/>
      <c r="C331" s="147"/>
      <c r="D331" s="147"/>
      <c r="E331" s="585"/>
      <c r="F331" s="586"/>
      <c r="G331" s="458"/>
      <c r="H331" s="458"/>
      <c r="I331" s="458"/>
      <c r="J331" s="465"/>
      <c r="K331" s="587"/>
      <c r="L331" s="465"/>
      <c r="M331" s="465"/>
      <c r="N331" s="465"/>
      <c r="O331" s="587"/>
      <c r="P331" s="585"/>
      <c r="Q331" s="465"/>
      <c r="R331" s="458"/>
      <c r="S331" s="585"/>
      <c r="T331" s="588"/>
      <c r="U331" s="589"/>
      <c r="V331" s="587"/>
      <c r="W331" s="465"/>
      <c r="X331" s="465"/>
      <c r="Y331" s="590"/>
      <c r="Z331" s="458"/>
      <c r="AA331" s="591"/>
      <c r="AB331" s="465"/>
      <c r="AC331" s="465"/>
      <c r="AD331" s="465"/>
      <c r="AE331" s="465"/>
      <c r="AF331" s="465"/>
      <c r="AG331" s="465"/>
      <c r="AH331" s="465"/>
      <c r="AI331" s="592"/>
      <c r="AJ331" s="465"/>
      <c r="AK331" s="465"/>
      <c r="AL331" s="20"/>
      <c r="AM331" s="20"/>
      <c r="AN331" s="593"/>
      <c r="AO331" s="20"/>
      <c r="AP331" s="276"/>
      <c r="AQ331" s="276"/>
      <c r="AR331" s="276"/>
      <c r="AS331" s="276"/>
      <c r="AT331" s="276"/>
      <c r="AU331" s="276"/>
      <c r="AV331" s="276"/>
      <c r="AW331" s="276"/>
      <c r="AX331" s="276"/>
      <c r="AY331" s="276"/>
      <c r="AZ331" s="276"/>
      <c r="BA331" s="276"/>
      <c r="BB331" s="276"/>
      <c r="BC331" s="276"/>
    </row>
    <row r="332" spans="1:55" ht="12.75" customHeight="1">
      <c r="A332" s="465"/>
      <c r="B332" s="465"/>
      <c r="C332" s="147"/>
      <c r="D332" s="147"/>
      <c r="E332" s="585"/>
      <c r="F332" s="586"/>
      <c r="G332" s="458"/>
      <c r="H332" s="458"/>
      <c r="I332" s="458"/>
      <c r="J332" s="465"/>
      <c r="K332" s="587"/>
      <c r="L332" s="465"/>
      <c r="M332" s="465"/>
      <c r="N332" s="465"/>
      <c r="O332" s="587"/>
      <c r="P332" s="585"/>
      <c r="Q332" s="465"/>
      <c r="R332" s="458"/>
      <c r="S332" s="585"/>
      <c r="T332" s="588"/>
      <c r="U332" s="589"/>
      <c r="V332" s="587"/>
      <c r="W332" s="465"/>
      <c r="X332" s="465"/>
      <c r="Y332" s="590"/>
      <c r="Z332" s="458"/>
      <c r="AA332" s="591"/>
      <c r="AB332" s="465"/>
      <c r="AC332" s="465"/>
      <c r="AD332" s="465"/>
      <c r="AE332" s="465"/>
      <c r="AF332" s="465"/>
      <c r="AG332" s="465"/>
      <c r="AH332" s="465"/>
      <c r="AI332" s="592"/>
      <c r="AJ332" s="465"/>
      <c r="AK332" s="465"/>
      <c r="AL332" s="20"/>
      <c r="AM332" s="20"/>
      <c r="AN332" s="593"/>
      <c r="AO332" s="20"/>
      <c r="AP332" s="276"/>
      <c r="AQ332" s="276"/>
      <c r="AR332" s="276"/>
      <c r="AS332" s="276"/>
      <c r="AT332" s="276"/>
      <c r="AU332" s="276"/>
      <c r="AV332" s="276"/>
      <c r="AW332" s="276"/>
      <c r="AX332" s="276"/>
      <c r="AY332" s="276"/>
      <c r="AZ332" s="276"/>
      <c r="BA332" s="276"/>
      <c r="BB332" s="276"/>
      <c r="BC332" s="276"/>
    </row>
    <row r="333" spans="1:55" ht="12.75" customHeight="1">
      <c r="A333" s="465"/>
      <c r="B333" s="465"/>
      <c r="C333" s="147"/>
      <c r="D333" s="147"/>
      <c r="E333" s="585"/>
      <c r="F333" s="586"/>
      <c r="G333" s="458"/>
      <c r="H333" s="458"/>
      <c r="I333" s="458"/>
      <c r="J333" s="465"/>
      <c r="K333" s="587"/>
      <c r="L333" s="465"/>
      <c r="M333" s="465"/>
      <c r="N333" s="465"/>
      <c r="O333" s="587"/>
      <c r="P333" s="585"/>
      <c r="Q333" s="465"/>
      <c r="R333" s="458"/>
      <c r="S333" s="585"/>
      <c r="T333" s="588"/>
      <c r="U333" s="589"/>
      <c r="V333" s="587"/>
      <c r="W333" s="465"/>
      <c r="X333" s="465"/>
      <c r="Y333" s="590"/>
      <c r="Z333" s="458"/>
      <c r="AA333" s="591"/>
      <c r="AB333" s="465"/>
      <c r="AC333" s="465"/>
      <c r="AD333" s="465"/>
      <c r="AE333" s="465"/>
      <c r="AF333" s="465"/>
      <c r="AG333" s="465"/>
      <c r="AH333" s="465"/>
      <c r="AI333" s="592"/>
      <c r="AJ333" s="465"/>
      <c r="AK333" s="465"/>
      <c r="AL333" s="20"/>
      <c r="AM333" s="20"/>
      <c r="AN333" s="593"/>
      <c r="AO333" s="20"/>
      <c r="AP333" s="276"/>
      <c r="AQ333" s="276"/>
      <c r="AR333" s="276"/>
      <c r="AS333" s="276"/>
      <c r="AT333" s="276"/>
      <c r="AU333" s="276"/>
      <c r="AV333" s="276"/>
      <c r="AW333" s="276"/>
      <c r="AX333" s="276"/>
      <c r="AY333" s="276"/>
      <c r="AZ333" s="276"/>
      <c r="BA333" s="276"/>
      <c r="BB333" s="276"/>
      <c r="BC333" s="276"/>
    </row>
    <row r="334" spans="1:55" ht="12.75" customHeight="1">
      <c r="A334" s="465"/>
      <c r="B334" s="465"/>
      <c r="C334" s="147"/>
      <c r="D334" s="147"/>
      <c r="E334" s="585"/>
      <c r="F334" s="586"/>
      <c r="G334" s="458"/>
      <c r="H334" s="458"/>
      <c r="I334" s="458"/>
      <c r="J334" s="465"/>
      <c r="K334" s="587"/>
      <c r="L334" s="465"/>
      <c r="M334" s="465"/>
      <c r="N334" s="465"/>
      <c r="O334" s="587"/>
      <c r="P334" s="585"/>
      <c r="Q334" s="465"/>
      <c r="R334" s="458"/>
      <c r="S334" s="585"/>
      <c r="T334" s="588"/>
      <c r="U334" s="589"/>
      <c r="V334" s="587"/>
      <c r="W334" s="465"/>
      <c r="X334" s="465"/>
      <c r="Y334" s="590"/>
      <c r="Z334" s="458"/>
      <c r="AA334" s="591"/>
      <c r="AB334" s="465"/>
      <c r="AC334" s="465"/>
      <c r="AD334" s="465"/>
      <c r="AE334" s="465"/>
      <c r="AF334" s="465"/>
      <c r="AG334" s="465"/>
      <c r="AH334" s="465"/>
      <c r="AI334" s="592"/>
      <c r="AJ334" s="465"/>
      <c r="AK334" s="465"/>
      <c r="AL334" s="20"/>
      <c r="AM334" s="20"/>
      <c r="AN334" s="593"/>
      <c r="AO334" s="20"/>
      <c r="AP334" s="276"/>
      <c r="AQ334" s="276"/>
      <c r="AR334" s="276"/>
      <c r="AS334" s="276"/>
      <c r="AT334" s="276"/>
      <c r="AU334" s="276"/>
      <c r="AV334" s="276"/>
      <c r="AW334" s="276"/>
      <c r="AX334" s="276"/>
      <c r="AY334" s="276"/>
      <c r="AZ334" s="276"/>
      <c r="BA334" s="276"/>
      <c r="BB334" s="276"/>
      <c r="BC334" s="276"/>
    </row>
    <row r="335" spans="1:55" ht="12.75" customHeight="1">
      <c r="A335" s="465"/>
      <c r="B335" s="465"/>
      <c r="C335" s="147"/>
      <c r="D335" s="147"/>
      <c r="E335" s="585"/>
      <c r="F335" s="586"/>
      <c r="G335" s="458"/>
      <c r="H335" s="458"/>
      <c r="I335" s="458"/>
      <c r="J335" s="465"/>
      <c r="K335" s="587"/>
      <c r="L335" s="465"/>
      <c r="M335" s="465"/>
      <c r="N335" s="465"/>
      <c r="O335" s="587"/>
      <c r="P335" s="585"/>
      <c r="Q335" s="465"/>
      <c r="R335" s="458"/>
      <c r="S335" s="585"/>
      <c r="T335" s="588"/>
      <c r="U335" s="589"/>
      <c r="V335" s="587"/>
      <c r="W335" s="465"/>
      <c r="X335" s="465"/>
      <c r="Y335" s="590"/>
      <c r="Z335" s="458"/>
      <c r="AA335" s="591"/>
      <c r="AB335" s="465"/>
      <c r="AC335" s="465"/>
      <c r="AD335" s="465"/>
      <c r="AE335" s="465"/>
      <c r="AF335" s="465"/>
      <c r="AG335" s="465"/>
      <c r="AH335" s="465"/>
      <c r="AI335" s="592"/>
      <c r="AJ335" s="465"/>
      <c r="AK335" s="465"/>
      <c r="AL335" s="20"/>
      <c r="AM335" s="20"/>
      <c r="AN335" s="593"/>
      <c r="AO335" s="20"/>
      <c r="AP335" s="276"/>
      <c r="AQ335" s="276"/>
      <c r="AR335" s="276"/>
      <c r="AS335" s="276"/>
      <c r="AT335" s="276"/>
      <c r="AU335" s="276"/>
      <c r="AV335" s="276"/>
      <c r="AW335" s="276"/>
      <c r="AX335" s="276"/>
      <c r="AY335" s="276"/>
      <c r="AZ335" s="276"/>
      <c r="BA335" s="276"/>
      <c r="BB335" s="276"/>
      <c r="BC335" s="276"/>
    </row>
    <row r="336" spans="1:55" ht="12.75" customHeight="1">
      <c r="A336" s="465"/>
      <c r="B336" s="465"/>
      <c r="C336" s="147"/>
      <c r="D336" s="147"/>
      <c r="E336" s="585"/>
      <c r="F336" s="586"/>
      <c r="G336" s="458"/>
      <c r="H336" s="458"/>
      <c r="I336" s="458"/>
      <c r="J336" s="465"/>
      <c r="K336" s="587"/>
      <c r="L336" s="465"/>
      <c r="M336" s="465"/>
      <c r="N336" s="465"/>
      <c r="O336" s="587"/>
      <c r="P336" s="585"/>
      <c r="Q336" s="465"/>
      <c r="R336" s="458"/>
      <c r="S336" s="585"/>
      <c r="T336" s="588"/>
      <c r="U336" s="589"/>
      <c r="V336" s="587"/>
      <c r="W336" s="465"/>
      <c r="X336" s="465"/>
      <c r="Y336" s="590"/>
      <c r="Z336" s="458"/>
      <c r="AA336" s="591"/>
      <c r="AB336" s="465"/>
      <c r="AC336" s="465"/>
      <c r="AD336" s="465"/>
      <c r="AE336" s="465"/>
      <c r="AF336" s="465"/>
      <c r="AG336" s="465"/>
      <c r="AH336" s="465"/>
      <c r="AI336" s="592"/>
      <c r="AJ336" s="465"/>
      <c r="AK336" s="465"/>
      <c r="AL336" s="20"/>
      <c r="AM336" s="20"/>
      <c r="AN336" s="593"/>
      <c r="AO336" s="20"/>
      <c r="AP336" s="276"/>
      <c r="AQ336" s="276"/>
      <c r="AR336" s="276"/>
      <c r="AS336" s="276"/>
      <c r="AT336" s="276"/>
      <c r="AU336" s="276"/>
      <c r="AV336" s="276"/>
      <c r="AW336" s="276"/>
      <c r="AX336" s="276"/>
      <c r="AY336" s="276"/>
      <c r="AZ336" s="276"/>
      <c r="BA336" s="276"/>
      <c r="BB336" s="276"/>
      <c r="BC336" s="276"/>
    </row>
    <row r="337" spans="1:55" ht="12.75" customHeight="1">
      <c r="A337" s="465"/>
      <c r="B337" s="465"/>
      <c r="C337" s="147"/>
      <c r="D337" s="147"/>
      <c r="E337" s="585"/>
      <c r="F337" s="586"/>
      <c r="G337" s="458"/>
      <c r="H337" s="458"/>
      <c r="I337" s="458"/>
      <c r="J337" s="465"/>
      <c r="K337" s="587"/>
      <c r="L337" s="465"/>
      <c r="M337" s="465"/>
      <c r="N337" s="465"/>
      <c r="O337" s="587"/>
      <c r="P337" s="585"/>
      <c r="Q337" s="465"/>
      <c r="R337" s="458"/>
      <c r="S337" s="585"/>
      <c r="T337" s="588"/>
      <c r="U337" s="589"/>
      <c r="V337" s="587"/>
      <c r="W337" s="465"/>
      <c r="X337" s="465"/>
      <c r="Y337" s="590"/>
      <c r="Z337" s="458"/>
      <c r="AA337" s="591"/>
      <c r="AB337" s="465"/>
      <c r="AC337" s="465"/>
      <c r="AD337" s="465"/>
      <c r="AE337" s="465"/>
      <c r="AF337" s="465"/>
      <c r="AG337" s="465"/>
      <c r="AH337" s="465"/>
      <c r="AI337" s="592"/>
      <c r="AJ337" s="465"/>
      <c r="AK337" s="465"/>
      <c r="AL337" s="20"/>
      <c r="AM337" s="20"/>
      <c r="AN337" s="593"/>
      <c r="AO337" s="20"/>
      <c r="AP337" s="276"/>
      <c r="AQ337" s="276"/>
      <c r="AR337" s="276"/>
      <c r="AS337" s="276"/>
      <c r="AT337" s="276"/>
      <c r="AU337" s="276"/>
      <c r="AV337" s="276"/>
      <c r="AW337" s="276"/>
      <c r="AX337" s="276"/>
      <c r="AY337" s="276"/>
      <c r="AZ337" s="276"/>
      <c r="BA337" s="276"/>
      <c r="BB337" s="276"/>
      <c r="BC337" s="276"/>
    </row>
    <row r="338" spans="1:55" ht="12.75" customHeight="1">
      <c r="A338" s="465"/>
      <c r="B338" s="465"/>
      <c r="C338" s="147"/>
      <c r="D338" s="147"/>
      <c r="E338" s="585"/>
      <c r="F338" s="586"/>
      <c r="G338" s="458"/>
      <c r="H338" s="458"/>
      <c r="I338" s="458"/>
      <c r="J338" s="465"/>
      <c r="K338" s="587"/>
      <c r="L338" s="465"/>
      <c r="M338" s="465"/>
      <c r="N338" s="465"/>
      <c r="O338" s="587"/>
      <c r="P338" s="585"/>
      <c r="Q338" s="465"/>
      <c r="R338" s="458"/>
      <c r="S338" s="585"/>
      <c r="T338" s="588"/>
      <c r="U338" s="589"/>
      <c r="V338" s="587"/>
      <c r="W338" s="465"/>
      <c r="X338" s="465"/>
      <c r="Y338" s="590"/>
      <c r="Z338" s="458"/>
      <c r="AA338" s="591"/>
      <c r="AB338" s="465"/>
      <c r="AC338" s="465"/>
      <c r="AD338" s="465"/>
      <c r="AE338" s="465"/>
      <c r="AF338" s="465"/>
      <c r="AG338" s="465"/>
      <c r="AH338" s="465"/>
      <c r="AI338" s="592"/>
      <c r="AJ338" s="465"/>
      <c r="AK338" s="465"/>
      <c r="AL338" s="20"/>
      <c r="AM338" s="20"/>
      <c r="AN338" s="593"/>
      <c r="AO338" s="20"/>
      <c r="AP338" s="276"/>
      <c r="AQ338" s="276"/>
      <c r="AR338" s="276"/>
      <c r="AS338" s="276"/>
      <c r="AT338" s="276"/>
      <c r="AU338" s="276"/>
      <c r="AV338" s="276"/>
      <c r="AW338" s="276"/>
      <c r="AX338" s="276"/>
      <c r="AY338" s="276"/>
      <c r="AZ338" s="276"/>
      <c r="BA338" s="276"/>
      <c r="BB338" s="276"/>
      <c r="BC338" s="276"/>
    </row>
    <row r="339" spans="1:55" ht="12.75" customHeight="1">
      <c r="A339" s="465"/>
      <c r="B339" s="465"/>
      <c r="C339" s="147"/>
      <c r="D339" s="147"/>
      <c r="E339" s="585"/>
      <c r="F339" s="586"/>
      <c r="G339" s="458"/>
      <c r="H339" s="458"/>
      <c r="I339" s="458"/>
      <c r="J339" s="465"/>
      <c r="K339" s="587"/>
      <c r="L339" s="465"/>
      <c r="M339" s="465"/>
      <c r="N339" s="465"/>
      <c r="O339" s="587"/>
      <c r="P339" s="585"/>
      <c r="Q339" s="465"/>
      <c r="R339" s="458"/>
      <c r="S339" s="585"/>
      <c r="T339" s="588"/>
      <c r="U339" s="589"/>
      <c r="V339" s="587"/>
      <c r="W339" s="465"/>
      <c r="X339" s="465"/>
      <c r="Y339" s="590"/>
      <c r="Z339" s="458"/>
      <c r="AA339" s="591"/>
      <c r="AB339" s="465"/>
      <c r="AC339" s="465"/>
      <c r="AD339" s="465"/>
      <c r="AE339" s="465"/>
      <c r="AF339" s="465"/>
      <c r="AG339" s="465"/>
      <c r="AH339" s="465"/>
      <c r="AI339" s="592"/>
      <c r="AJ339" s="465"/>
      <c r="AK339" s="465"/>
      <c r="AL339" s="20"/>
      <c r="AM339" s="20"/>
      <c r="AN339" s="593"/>
      <c r="AO339" s="20"/>
      <c r="AP339" s="276"/>
      <c r="AQ339" s="276"/>
      <c r="AR339" s="276"/>
      <c r="AS339" s="276"/>
      <c r="AT339" s="276"/>
      <c r="AU339" s="276"/>
      <c r="AV339" s="276"/>
      <c r="AW339" s="276"/>
      <c r="AX339" s="276"/>
      <c r="AY339" s="276"/>
      <c r="AZ339" s="276"/>
      <c r="BA339" s="276"/>
      <c r="BB339" s="276"/>
      <c r="BC339" s="276"/>
    </row>
    <row r="340" spans="1:55" ht="12.75" customHeight="1">
      <c r="A340" s="465"/>
      <c r="B340" s="465"/>
      <c r="C340" s="147"/>
      <c r="D340" s="147"/>
      <c r="E340" s="585"/>
      <c r="F340" s="586"/>
      <c r="G340" s="458"/>
      <c r="H340" s="458"/>
      <c r="I340" s="458"/>
      <c r="J340" s="465"/>
      <c r="K340" s="587"/>
      <c r="L340" s="465"/>
      <c r="M340" s="465"/>
      <c r="N340" s="465"/>
      <c r="O340" s="587"/>
      <c r="P340" s="585"/>
      <c r="Q340" s="465"/>
      <c r="R340" s="458"/>
      <c r="S340" s="585"/>
      <c r="T340" s="588"/>
      <c r="U340" s="589"/>
      <c r="V340" s="587"/>
      <c r="W340" s="465"/>
      <c r="X340" s="465"/>
      <c r="Y340" s="590"/>
      <c r="Z340" s="458"/>
      <c r="AA340" s="591"/>
      <c r="AB340" s="465"/>
      <c r="AC340" s="465"/>
      <c r="AD340" s="465"/>
      <c r="AE340" s="465"/>
      <c r="AF340" s="465"/>
      <c r="AG340" s="465"/>
      <c r="AH340" s="465"/>
      <c r="AI340" s="592"/>
      <c r="AJ340" s="465"/>
      <c r="AK340" s="465"/>
      <c r="AL340" s="20"/>
      <c r="AM340" s="20"/>
      <c r="AN340" s="593"/>
      <c r="AO340" s="20"/>
      <c r="AP340" s="276"/>
      <c r="AQ340" s="276"/>
      <c r="AR340" s="276"/>
      <c r="AS340" s="276"/>
      <c r="AT340" s="276"/>
      <c r="AU340" s="276"/>
      <c r="AV340" s="276"/>
      <c r="AW340" s="276"/>
      <c r="AX340" s="276"/>
      <c r="AY340" s="276"/>
      <c r="AZ340" s="276"/>
      <c r="BA340" s="276"/>
      <c r="BB340" s="276"/>
      <c r="BC340" s="276"/>
    </row>
    <row r="341" spans="1:55" ht="12.75" customHeight="1">
      <c r="A341" s="465"/>
      <c r="B341" s="465"/>
      <c r="C341" s="147"/>
      <c r="D341" s="147"/>
      <c r="E341" s="585"/>
      <c r="F341" s="586"/>
      <c r="G341" s="458"/>
      <c r="H341" s="458"/>
      <c r="I341" s="458"/>
      <c r="J341" s="465"/>
      <c r="K341" s="587"/>
      <c r="L341" s="465"/>
      <c r="M341" s="465"/>
      <c r="N341" s="465"/>
      <c r="O341" s="587"/>
      <c r="P341" s="585"/>
      <c r="Q341" s="465"/>
      <c r="R341" s="458"/>
      <c r="S341" s="585"/>
      <c r="T341" s="588"/>
      <c r="U341" s="589"/>
      <c r="V341" s="587"/>
      <c r="W341" s="465"/>
      <c r="X341" s="465"/>
      <c r="Y341" s="590"/>
      <c r="Z341" s="458"/>
      <c r="AA341" s="591"/>
      <c r="AB341" s="465"/>
      <c r="AC341" s="465"/>
      <c r="AD341" s="465"/>
      <c r="AE341" s="465"/>
      <c r="AF341" s="465"/>
      <c r="AG341" s="465"/>
      <c r="AH341" s="465"/>
      <c r="AI341" s="592"/>
      <c r="AJ341" s="465"/>
      <c r="AK341" s="465"/>
      <c r="AL341" s="20"/>
      <c r="AM341" s="20"/>
      <c r="AN341" s="593"/>
      <c r="AO341" s="20"/>
      <c r="AP341" s="276"/>
      <c r="AQ341" s="276"/>
      <c r="AR341" s="276"/>
      <c r="AS341" s="276"/>
      <c r="AT341" s="276"/>
      <c r="AU341" s="276"/>
      <c r="AV341" s="276"/>
      <c r="AW341" s="276"/>
      <c r="AX341" s="276"/>
      <c r="AY341" s="276"/>
      <c r="AZ341" s="276"/>
      <c r="BA341" s="276"/>
      <c r="BB341" s="276"/>
      <c r="BC341" s="276"/>
    </row>
    <row r="342" spans="1:55" ht="12.75" customHeight="1">
      <c r="A342" s="465"/>
      <c r="B342" s="465"/>
      <c r="C342" s="147"/>
      <c r="D342" s="147"/>
      <c r="E342" s="585"/>
      <c r="F342" s="586"/>
      <c r="G342" s="458"/>
      <c r="H342" s="458"/>
      <c r="I342" s="458"/>
      <c r="J342" s="465"/>
      <c r="K342" s="587"/>
      <c r="L342" s="465"/>
      <c r="M342" s="465"/>
      <c r="N342" s="465"/>
      <c r="O342" s="587"/>
      <c r="P342" s="585"/>
      <c r="Q342" s="465"/>
      <c r="R342" s="458"/>
      <c r="S342" s="585"/>
      <c r="T342" s="588"/>
      <c r="U342" s="589"/>
      <c r="V342" s="587"/>
      <c r="W342" s="465"/>
      <c r="X342" s="465"/>
      <c r="Y342" s="590"/>
      <c r="Z342" s="458"/>
      <c r="AA342" s="591"/>
      <c r="AB342" s="465"/>
      <c r="AC342" s="465"/>
      <c r="AD342" s="465"/>
      <c r="AE342" s="465"/>
      <c r="AF342" s="465"/>
      <c r="AG342" s="465"/>
      <c r="AH342" s="465"/>
      <c r="AI342" s="592"/>
      <c r="AJ342" s="465"/>
      <c r="AK342" s="465"/>
      <c r="AL342" s="20"/>
      <c r="AM342" s="20"/>
      <c r="AN342" s="593"/>
      <c r="AO342" s="20"/>
      <c r="AP342" s="276"/>
      <c r="AQ342" s="276"/>
      <c r="AR342" s="276"/>
      <c r="AS342" s="276"/>
      <c r="AT342" s="276"/>
      <c r="AU342" s="276"/>
      <c r="AV342" s="276"/>
      <c r="AW342" s="276"/>
      <c r="AX342" s="276"/>
      <c r="AY342" s="276"/>
      <c r="AZ342" s="276"/>
      <c r="BA342" s="276"/>
      <c r="BB342" s="276"/>
      <c r="BC342" s="276"/>
    </row>
    <row r="343" spans="1:55" ht="12.75" customHeight="1">
      <c r="A343" s="465"/>
      <c r="B343" s="465"/>
      <c r="C343" s="147"/>
      <c r="D343" s="147"/>
      <c r="E343" s="585"/>
      <c r="F343" s="586"/>
      <c r="G343" s="458"/>
      <c r="H343" s="458"/>
      <c r="I343" s="458"/>
      <c r="J343" s="465"/>
      <c r="K343" s="587"/>
      <c r="L343" s="465"/>
      <c r="M343" s="465"/>
      <c r="N343" s="465"/>
      <c r="O343" s="587"/>
      <c r="P343" s="585"/>
      <c r="Q343" s="465"/>
      <c r="R343" s="458"/>
      <c r="S343" s="585"/>
      <c r="T343" s="588"/>
      <c r="U343" s="589"/>
      <c r="V343" s="587"/>
      <c r="W343" s="465"/>
      <c r="X343" s="465"/>
      <c r="Y343" s="590"/>
      <c r="Z343" s="458"/>
      <c r="AA343" s="591"/>
      <c r="AB343" s="465"/>
      <c r="AC343" s="465"/>
      <c r="AD343" s="465"/>
      <c r="AE343" s="465"/>
      <c r="AF343" s="465"/>
      <c r="AG343" s="465"/>
      <c r="AH343" s="465"/>
      <c r="AI343" s="592"/>
      <c r="AJ343" s="465"/>
      <c r="AK343" s="465"/>
      <c r="AL343" s="20"/>
      <c r="AM343" s="20"/>
      <c r="AN343" s="593"/>
      <c r="AO343" s="20"/>
      <c r="AP343" s="276"/>
      <c r="AQ343" s="276"/>
      <c r="AR343" s="276"/>
      <c r="AS343" s="276"/>
      <c r="AT343" s="276"/>
      <c r="AU343" s="276"/>
      <c r="AV343" s="276"/>
      <c r="AW343" s="276"/>
      <c r="AX343" s="276"/>
      <c r="AY343" s="276"/>
      <c r="AZ343" s="276"/>
      <c r="BA343" s="276"/>
      <c r="BB343" s="276"/>
      <c r="BC343" s="276"/>
    </row>
    <row r="344" spans="1:55" ht="12.75" customHeight="1">
      <c r="A344" s="465"/>
      <c r="B344" s="465"/>
      <c r="C344" s="147"/>
      <c r="D344" s="147"/>
      <c r="E344" s="585"/>
      <c r="F344" s="586"/>
      <c r="G344" s="458"/>
      <c r="H344" s="458"/>
      <c r="I344" s="458"/>
      <c r="J344" s="465"/>
      <c r="K344" s="587"/>
      <c r="L344" s="465"/>
      <c r="M344" s="465"/>
      <c r="N344" s="465"/>
      <c r="O344" s="587"/>
      <c r="P344" s="585"/>
      <c r="Q344" s="465"/>
      <c r="R344" s="458"/>
      <c r="S344" s="585"/>
      <c r="T344" s="588"/>
      <c r="U344" s="589"/>
      <c r="V344" s="587"/>
      <c r="W344" s="465"/>
      <c r="X344" s="465"/>
      <c r="Y344" s="590"/>
      <c r="Z344" s="458"/>
      <c r="AA344" s="591"/>
      <c r="AB344" s="465"/>
      <c r="AC344" s="465"/>
      <c r="AD344" s="465"/>
      <c r="AE344" s="465"/>
      <c r="AF344" s="465"/>
      <c r="AG344" s="465"/>
      <c r="AH344" s="465"/>
      <c r="AI344" s="592"/>
      <c r="AJ344" s="465"/>
      <c r="AK344" s="465"/>
      <c r="AL344" s="20"/>
      <c r="AM344" s="20"/>
      <c r="AN344" s="593"/>
      <c r="AO344" s="20"/>
      <c r="AP344" s="276"/>
      <c r="AQ344" s="276"/>
      <c r="AR344" s="276"/>
      <c r="AS344" s="276"/>
      <c r="AT344" s="276"/>
      <c r="AU344" s="276"/>
      <c r="AV344" s="276"/>
      <c r="AW344" s="276"/>
      <c r="AX344" s="276"/>
      <c r="AY344" s="276"/>
      <c r="AZ344" s="276"/>
      <c r="BA344" s="276"/>
      <c r="BB344" s="276"/>
      <c r="BC344" s="276"/>
    </row>
    <row r="345" spans="1:55" ht="12.75" customHeight="1">
      <c r="A345" s="465"/>
      <c r="B345" s="465"/>
      <c r="C345" s="147"/>
      <c r="D345" s="147"/>
      <c r="E345" s="585"/>
      <c r="F345" s="586"/>
      <c r="G345" s="458"/>
      <c r="H345" s="458"/>
      <c r="I345" s="458"/>
      <c r="J345" s="465"/>
      <c r="K345" s="587"/>
      <c r="L345" s="465"/>
      <c r="M345" s="465"/>
      <c r="N345" s="465"/>
      <c r="O345" s="587"/>
      <c r="P345" s="585"/>
      <c r="Q345" s="465"/>
      <c r="R345" s="458"/>
      <c r="S345" s="585"/>
      <c r="T345" s="588"/>
      <c r="U345" s="589"/>
      <c r="V345" s="587"/>
      <c r="W345" s="465"/>
      <c r="X345" s="465"/>
      <c r="Y345" s="590"/>
      <c r="Z345" s="458"/>
      <c r="AA345" s="591"/>
      <c r="AB345" s="465"/>
      <c r="AC345" s="465"/>
      <c r="AD345" s="465"/>
      <c r="AE345" s="465"/>
      <c r="AF345" s="465"/>
      <c r="AG345" s="465"/>
      <c r="AH345" s="465"/>
      <c r="AI345" s="592"/>
      <c r="AJ345" s="465"/>
      <c r="AK345" s="465"/>
      <c r="AL345" s="20"/>
      <c r="AM345" s="20"/>
      <c r="AN345" s="593"/>
      <c r="AO345" s="20"/>
      <c r="AP345" s="276"/>
      <c r="AQ345" s="276"/>
      <c r="AR345" s="276"/>
      <c r="AS345" s="276"/>
      <c r="AT345" s="276"/>
      <c r="AU345" s="276"/>
      <c r="AV345" s="276"/>
      <c r="AW345" s="276"/>
      <c r="AX345" s="276"/>
      <c r="AY345" s="276"/>
      <c r="AZ345" s="276"/>
      <c r="BA345" s="276"/>
      <c r="BB345" s="276"/>
      <c r="BC345" s="276"/>
    </row>
    <row r="346" spans="1:55" ht="12.75" customHeight="1">
      <c r="A346" s="465"/>
      <c r="B346" s="465"/>
      <c r="C346" s="147"/>
      <c r="D346" s="147"/>
      <c r="E346" s="585"/>
      <c r="F346" s="586"/>
      <c r="G346" s="458"/>
      <c r="H346" s="458"/>
      <c r="I346" s="458"/>
      <c r="J346" s="465"/>
      <c r="K346" s="587"/>
      <c r="L346" s="465"/>
      <c r="M346" s="465"/>
      <c r="N346" s="465"/>
      <c r="O346" s="587"/>
      <c r="P346" s="585"/>
      <c r="Q346" s="465"/>
      <c r="R346" s="458"/>
      <c r="S346" s="585"/>
      <c r="T346" s="588"/>
      <c r="U346" s="589"/>
      <c r="V346" s="587"/>
      <c r="W346" s="465"/>
      <c r="X346" s="465"/>
      <c r="Y346" s="590"/>
      <c r="Z346" s="458"/>
      <c r="AA346" s="591"/>
      <c r="AB346" s="465"/>
      <c r="AC346" s="465"/>
      <c r="AD346" s="465"/>
      <c r="AE346" s="465"/>
      <c r="AF346" s="465"/>
      <c r="AG346" s="465"/>
      <c r="AH346" s="465"/>
      <c r="AI346" s="592"/>
      <c r="AJ346" s="465"/>
      <c r="AK346" s="465"/>
      <c r="AL346" s="20"/>
      <c r="AM346" s="20"/>
      <c r="AN346" s="593"/>
      <c r="AO346" s="20"/>
      <c r="AP346" s="276"/>
      <c r="AQ346" s="276"/>
      <c r="AR346" s="276"/>
      <c r="AS346" s="276"/>
      <c r="AT346" s="276"/>
      <c r="AU346" s="276"/>
      <c r="AV346" s="276"/>
      <c r="AW346" s="276"/>
      <c r="AX346" s="276"/>
      <c r="AY346" s="276"/>
      <c r="AZ346" s="276"/>
      <c r="BA346" s="276"/>
      <c r="BB346" s="276"/>
      <c r="BC346" s="276"/>
    </row>
    <row r="347" spans="1:55" ht="12.75" customHeight="1">
      <c r="A347" s="465"/>
      <c r="B347" s="465"/>
      <c r="C347" s="147"/>
      <c r="D347" s="147"/>
      <c r="E347" s="585"/>
      <c r="F347" s="586"/>
      <c r="G347" s="458"/>
      <c r="H347" s="458"/>
      <c r="I347" s="458"/>
      <c r="J347" s="465"/>
      <c r="K347" s="587"/>
      <c r="L347" s="465"/>
      <c r="M347" s="465"/>
      <c r="N347" s="465"/>
      <c r="O347" s="587"/>
      <c r="P347" s="585"/>
      <c r="Q347" s="465"/>
      <c r="R347" s="458"/>
      <c r="S347" s="585"/>
      <c r="T347" s="588"/>
      <c r="U347" s="589"/>
      <c r="V347" s="587"/>
      <c r="W347" s="465"/>
      <c r="X347" s="465"/>
      <c r="Y347" s="590"/>
      <c r="Z347" s="458"/>
      <c r="AA347" s="591"/>
      <c r="AB347" s="465"/>
      <c r="AC347" s="465"/>
      <c r="AD347" s="465"/>
      <c r="AE347" s="465"/>
      <c r="AF347" s="465"/>
      <c r="AG347" s="465"/>
      <c r="AH347" s="465"/>
      <c r="AI347" s="592"/>
      <c r="AJ347" s="465"/>
      <c r="AK347" s="465"/>
      <c r="AL347" s="20"/>
      <c r="AM347" s="20"/>
      <c r="AN347" s="593"/>
      <c r="AO347" s="20"/>
      <c r="AP347" s="276"/>
      <c r="AQ347" s="276"/>
      <c r="AR347" s="276"/>
      <c r="AS347" s="276"/>
      <c r="AT347" s="276"/>
      <c r="AU347" s="276"/>
      <c r="AV347" s="276"/>
      <c r="AW347" s="276"/>
      <c r="AX347" s="276"/>
      <c r="AY347" s="276"/>
      <c r="AZ347" s="276"/>
      <c r="BA347" s="276"/>
      <c r="BB347" s="276"/>
      <c r="BC347" s="276"/>
    </row>
    <row r="348" spans="1:55" ht="12.75" customHeight="1">
      <c r="A348" s="465"/>
      <c r="B348" s="465"/>
      <c r="C348" s="147"/>
      <c r="D348" s="147"/>
      <c r="E348" s="585"/>
      <c r="F348" s="586"/>
      <c r="G348" s="458"/>
      <c r="H348" s="458"/>
      <c r="I348" s="458"/>
      <c r="J348" s="465"/>
      <c r="K348" s="587"/>
      <c r="L348" s="465"/>
      <c r="M348" s="465"/>
      <c r="N348" s="465"/>
      <c r="O348" s="587"/>
      <c r="P348" s="585"/>
      <c r="Q348" s="465"/>
      <c r="R348" s="458"/>
      <c r="S348" s="585"/>
      <c r="T348" s="588"/>
      <c r="U348" s="589"/>
      <c r="V348" s="587"/>
      <c r="W348" s="465"/>
      <c r="X348" s="465"/>
      <c r="Y348" s="590"/>
      <c r="Z348" s="458"/>
      <c r="AA348" s="591"/>
      <c r="AB348" s="465"/>
      <c r="AC348" s="465"/>
      <c r="AD348" s="465"/>
      <c r="AE348" s="465"/>
      <c r="AF348" s="465"/>
      <c r="AG348" s="465"/>
      <c r="AH348" s="465"/>
      <c r="AI348" s="592"/>
      <c r="AJ348" s="465"/>
      <c r="AK348" s="465"/>
      <c r="AL348" s="20"/>
      <c r="AM348" s="20"/>
      <c r="AN348" s="593"/>
      <c r="AO348" s="20"/>
      <c r="AP348" s="276"/>
      <c r="AQ348" s="276"/>
      <c r="AR348" s="276"/>
      <c r="AS348" s="276"/>
      <c r="AT348" s="276"/>
      <c r="AU348" s="276"/>
      <c r="AV348" s="276"/>
      <c r="AW348" s="276"/>
      <c r="AX348" s="276"/>
      <c r="AY348" s="276"/>
      <c r="AZ348" s="276"/>
      <c r="BA348" s="276"/>
      <c r="BB348" s="276"/>
      <c r="BC348" s="276"/>
    </row>
    <row r="349" spans="1:55" ht="12.75" customHeight="1">
      <c r="A349" s="465"/>
      <c r="B349" s="465"/>
      <c r="C349" s="147"/>
      <c r="D349" s="147"/>
      <c r="E349" s="585"/>
      <c r="F349" s="586"/>
      <c r="G349" s="458"/>
      <c r="H349" s="458"/>
      <c r="I349" s="458"/>
      <c r="J349" s="465"/>
      <c r="K349" s="587"/>
      <c r="L349" s="465"/>
      <c r="M349" s="465"/>
      <c r="N349" s="465"/>
      <c r="O349" s="587"/>
      <c r="P349" s="585"/>
      <c r="Q349" s="465"/>
      <c r="R349" s="458"/>
      <c r="S349" s="585"/>
      <c r="T349" s="588"/>
      <c r="U349" s="589"/>
      <c r="V349" s="587"/>
      <c r="W349" s="465"/>
      <c r="X349" s="465"/>
      <c r="Y349" s="590"/>
      <c r="Z349" s="458"/>
      <c r="AA349" s="591"/>
      <c r="AB349" s="465"/>
      <c r="AC349" s="465"/>
      <c r="AD349" s="465"/>
      <c r="AE349" s="465"/>
      <c r="AF349" s="465"/>
      <c r="AG349" s="465"/>
      <c r="AH349" s="465"/>
      <c r="AI349" s="592"/>
      <c r="AJ349" s="465"/>
      <c r="AK349" s="465"/>
      <c r="AL349" s="20"/>
      <c r="AM349" s="20"/>
      <c r="AN349" s="593"/>
      <c r="AO349" s="20"/>
      <c r="AP349" s="276"/>
      <c r="AQ349" s="276"/>
      <c r="AR349" s="276"/>
      <c r="AS349" s="276"/>
      <c r="AT349" s="276"/>
      <c r="AU349" s="276"/>
      <c r="AV349" s="276"/>
      <c r="AW349" s="276"/>
      <c r="AX349" s="276"/>
      <c r="AY349" s="276"/>
      <c r="AZ349" s="276"/>
      <c r="BA349" s="276"/>
      <c r="BB349" s="276"/>
      <c r="BC349" s="276"/>
    </row>
    <row r="350" spans="1:55" ht="12.75" customHeight="1">
      <c r="A350" s="465"/>
      <c r="B350" s="465"/>
      <c r="C350" s="147"/>
      <c r="D350" s="147"/>
      <c r="E350" s="585"/>
      <c r="F350" s="586"/>
      <c r="G350" s="458"/>
      <c r="H350" s="458"/>
      <c r="I350" s="458"/>
      <c r="J350" s="465"/>
      <c r="K350" s="587"/>
      <c r="L350" s="465"/>
      <c r="M350" s="465"/>
      <c r="N350" s="465"/>
      <c r="O350" s="587"/>
      <c r="P350" s="585"/>
      <c r="Q350" s="465"/>
      <c r="R350" s="458"/>
      <c r="S350" s="585"/>
      <c r="T350" s="588"/>
      <c r="U350" s="589"/>
      <c r="V350" s="587"/>
      <c r="W350" s="465"/>
      <c r="X350" s="465"/>
      <c r="Y350" s="590"/>
      <c r="Z350" s="458"/>
      <c r="AA350" s="591"/>
      <c r="AB350" s="465"/>
      <c r="AC350" s="465"/>
      <c r="AD350" s="465"/>
      <c r="AE350" s="465"/>
      <c r="AF350" s="465"/>
      <c r="AG350" s="465"/>
      <c r="AH350" s="465"/>
      <c r="AI350" s="592"/>
      <c r="AJ350" s="465"/>
      <c r="AK350" s="465"/>
      <c r="AL350" s="20"/>
      <c r="AM350" s="20"/>
      <c r="AN350" s="593"/>
      <c r="AO350" s="20"/>
      <c r="AP350" s="276"/>
      <c r="AQ350" s="276"/>
      <c r="AR350" s="276"/>
      <c r="AS350" s="276"/>
      <c r="AT350" s="276"/>
      <c r="AU350" s="276"/>
      <c r="AV350" s="276"/>
      <c r="AW350" s="276"/>
      <c r="AX350" s="276"/>
      <c r="AY350" s="276"/>
      <c r="AZ350" s="276"/>
      <c r="BA350" s="276"/>
      <c r="BB350" s="276"/>
      <c r="BC350" s="276"/>
    </row>
    <row r="351" spans="1:55" ht="12.75" customHeight="1">
      <c r="A351" s="465"/>
      <c r="B351" s="465"/>
      <c r="C351" s="147"/>
      <c r="D351" s="147"/>
      <c r="E351" s="585"/>
      <c r="F351" s="586"/>
      <c r="G351" s="458"/>
      <c r="H351" s="458"/>
      <c r="I351" s="458"/>
      <c r="J351" s="465"/>
      <c r="K351" s="587"/>
      <c r="L351" s="465"/>
      <c r="M351" s="465"/>
      <c r="N351" s="465"/>
      <c r="O351" s="587"/>
      <c r="P351" s="585"/>
      <c r="Q351" s="465"/>
      <c r="R351" s="458"/>
      <c r="S351" s="585"/>
      <c r="T351" s="588"/>
      <c r="U351" s="589"/>
      <c r="V351" s="587"/>
      <c r="W351" s="465"/>
      <c r="X351" s="465"/>
      <c r="Y351" s="590"/>
      <c r="Z351" s="458"/>
      <c r="AA351" s="591"/>
      <c r="AB351" s="465"/>
      <c r="AC351" s="465"/>
      <c r="AD351" s="465"/>
      <c r="AE351" s="465"/>
      <c r="AF351" s="465"/>
      <c r="AG351" s="465"/>
      <c r="AH351" s="465"/>
      <c r="AI351" s="592"/>
      <c r="AJ351" s="465"/>
      <c r="AK351" s="465"/>
      <c r="AL351" s="20"/>
      <c r="AM351" s="20"/>
      <c r="AN351" s="593"/>
      <c r="AO351" s="20"/>
      <c r="AP351" s="276"/>
      <c r="AQ351" s="276"/>
      <c r="AR351" s="276"/>
      <c r="AS351" s="276"/>
      <c r="AT351" s="276"/>
      <c r="AU351" s="276"/>
      <c r="AV351" s="276"/>
      <c r="AW351" s="276"/>
      <c r="AX351" s="276"/>
      <c r="AY351" s="276"/>
      <c r="AZ351" s="276"/>
      <c r="BA351" s="276"/>
      <c r="BB351" s="276"/>
      <c r="BC351" s="276"/>
    </row>
    <row r="352" spans="1:55" ht="12.75" customHeight="1">
      <c r="A352" s="465"/>
      <c r="B352" s="465"/>
      <c r="C352" s="147"/>
      <c r="D352" s="147"/>
      <c r="E352" s="585"/>
      <c r="F352" s="586"/>
      <c r="G352" s="458"/>
      <c r="H352" s="458"/>
      <c r="I352" s="458"/>
      <c r="J352" s="465"/>
      <c r="K352" s="587"/>
      <c r="L352" s="465"/>
      <c r="M352" s="465"/>
      <c r="N352" s="465"/>
      <c r="O352" s="587"/>
      <c r="P352" s="585"/>
      <c r="Q352" s="465"/>
      <c r="R352" s="458"/>
      <c r="S352" s="585"/>
      <c r="T352" s="588"/>
      <c r="U352" s="589"/>
      <c r="V352" s="587"/>
      <c r="W352" s="465"/>
      <c r="X352" s="465"/>
      <c r="Y352" s="590"/>
      <c r="Z352" s="458"/>
      <c r="AA352" s="591"/>
      <c r="AB352" s="465"/>
      <c r="AC352" s="465"/>
      <c r="AD352" s="465"/>
      <c r="AE352" s="465"/>
      <c r="AF352" s="465"/>
      <c r="AG352" s="465"/>
      <c r="AH352" s="465"/>
      <c r="AI352" s="592"/>
      <c r="AJ352" s="465"/>
      <c r="AK352" s="465"/>
      <c r="AL352" s="20"/>
      <c r="AM352" s="20"/>
      <c r="AN352" s="593"/>
      <c r="AO352" s="20"/>
      <c r="AP352" s="276"/>
      <c r="AQ352" s="276"/>
      <c r="AR352" s="276"/>
      <c r="AS352" s="276"/>
      <c r="AT352" s="276"/>
      <c r="AU352" s="276"/>
      <c r="AV352" s="276"/>
      <c r="AW352" s="276"/>
      <c r="AX352" s="276"/>
      <c r="AY352" s="276"/>
      <c r="AZ352" s="276"/>
      <c r="BA352" s="276"/>
      <c r="BB352" s="276"/>
      <c r="BC352" s="276"/>
    </row>
    <row r="353" spans="1:55" ht="12.75" customHeight="1">
      <c r="A353" s="465"/>
      <c r="B353" s="465"/>
      <c r="C353" s="147"/>
      <c r="D353" s="147"/>
      <c r="E353" s="585"/>
      <c r="F353" s="586"/>
      <c r="G353" s="458"/>
      <c r="H353" s="458"/>
      <c r="I353" s="458"/>
      <c r="J353" s="465"/>
      <c r="K353" s="587"/>
      <c r="L353" s="465"/>
      <c r="M353" s="465"/>
      <c r="N353" s="465"/>
      <c r="O353" s="587"/>
      <c r="P353" s="585"/>
      <c r="Q353" s="465"/>
      <c r="R353" s="458"/>
      <c r="S353" s="585"/>
      <c r="T353" s="588"/>
      <c r="U353" s="589"/>
      <c r="V353" s="587"/>
      <c r="W353" s="465"/>
      <c r="X353" s="465"/>
      <c r="Y353" s="590"/>
      <c r="Z353" s="458"/>
      <c r="AA353" s="591"/>
      <c r="AB353" s="465"/>
      <c r="AC353" s="465"/>
      <c r="AD353" s="465"/>
      <c r="AE353" s="465"/>
      <c r="AF353" s="465"/>
      <c r="AG353" s="465"/>
      <c r="AH353" s="465"/>
      <c r="AI353" s="592"/>
      <c r="AJ353" s="465"/>
      <c r="AK353" s="465"/>
      <c r="AL353" s="20"/>
      <c r="AM353" s="20"/>
      <c r="AN353" s="593"/>
      <c r="AO353" s="20"/>
      <c r="AP353" s="276"/>
      <c r="AQ353" s="276"/>
      <c r="AR353" s="276"/>
      <c r="AS353" s="276"/>
      <c r="AT353" s="276"/>
      <c r="AU353" s="276"/>
      <c r="AV353" s="276"/>
      <c r="AW353" s="276"/>
      <c r="AX353" s="276"/>
      <c r="AY353" s="276"/>
      <c r="AZ353" s="276"/>
      <c r="BA353" s="276"/>
      <c r="BB353" s="276"/>
      <c r="BC353" s="276"/>
    </row>
    <row r="354" spans="1:55" ht="12.75" customHeight="1">
      <c r="A354" s="465"/>
      <c r="B354" s="465"/>
      <c r="C354" s="147"/>
      <c r="D354" s="147"/>
      <c r="E354" s="585"/>
      <c r="F354" s="586"/>
      <c r="G354" s="458"/>
      <c r="H354" s="458"/>
      <c r="I354" s="458"/>
      <c r="J354" s="465"/>
      <c r="K354" s="587"/>
      <c r="L354" s="465"/>
      <c r="M354" s="465"/>
      <c r="N354" s="465"/>
      <c r="O354" s="587"/>
      <c r="P354" s="585"/>
      <c r="Q354" s="465"/>
      <c r="R354" s="458"/>
      <c r="S354" s="585"/>
      <c r="T354" s="588"/>
      <c r="U354" s="589"/>
      <c r="V354" s="587"/>
      <c r="W354" s="465"/>
      <c r="X354" s="465"/>
      <c r="Y354" s="590"/>
      <c r="Z354" s="458"/>
      <c r="AA354" s="591"/>
      <c r="AB354" s="465"/>
      <c r="AC354" s="465"/>
      <c r="AD354" s="465"/>
      <c r="AE354" s="465"/>
      <c r="AF354" s="465"/>
      <c r="AG354" s="465"/>
      <c r="AH354" s="465"/>
      <c r="AI354" s="592"/>
      <c r="AJ354" s="465"/>
      <c r="AK354" s="465"/>
      <c r="AL354" s="20"/>
      <c r="AM354" s="20"/>
      <c r="AN354" s="593"/>
      <c r="AO354" s="20"/>
      <c r="AP354" s="276"/>
      <c r="AQ354" s="276"/>
      <c r="AR354" s="276"/>
      <c r="AS354" s="276"/>
      <c r="AT354" s="276"/>
      <c r="AU354" s="276"/>
      <c r="AV354" s="276"/>
      <c r="AW354" s="276"/>
      <c r="AX354" s="276"/>
      <c r="AY354" s="276"/>
      <c r="AZ354" s="276"/>
      <c r="BA354" s="276"/>
      <c r="BB354" s="276"/>
      <c r="BC354" s="276"/>
    </row>
    <row r="355" spans="1:55" ht="12.75" customHeight="1">
      <c r="A355" s="465"/>
      <c r="B355" s="465"/>
      <c r="C355" s="147"/>
      <c r="D355" s="147"/>
      <c r="E355" s="585"/>
      <c r="F355" s="586"/>
      <c r="G355" s="458"/>
      <c r="H355" s="458"/>
      <c r="I355" s="458"/>
      <c r="J355" s="465"/>
      <c r="K355" s="587"/>
      <c r="L355" s="465"/>
      <c r="M355" s="465"/>
      <c r="N355" s="465"/>
      <c r="O355" s="587"/>
      <c r="P355" s="585"/>
      <c r="Q355" s="465"/>
      <c r="R355" s="458"/>
      <c r="S355" s="585"/>
      <c r="T355" s="588"/>
      <c r="U355" s="589"/>
      <c r="V355" s="587"/>
      <c r="W355" s="465"/>
      <c r="X355" s="465"/>
      <c r="Y355" s="590"/>
      <c r="Z355" s="458"/>
      <c r="AA355" s="591"/>
      <c r="AB355" s="465"/>
      <c r="AC355" s="465"/>
      <c r="AD355" s="465"/>
      <c r="AE355" s="465"/>
      <c r="AF355" s="465"/>
      <c r="AG355" s="465"/>
      <c r="AH355" s="465"/>
      <c r="AI355" s="592"/>
      <c r="AJ355" s="465"/>
      <c r="AK355" s="465"/>
      <c r="AL355" s="20"/>
      <c r="AM355" s="20"/>
      <c r="AN355" s="593"/>
      <c r="AO355" s="20"/>
      <c r="AP355" s="276"/>
      <c r="AQ355" s="276"/>
      <c r="AR355" s="276"/>
      <c r="AS355" s="276"/>
      <c r="AT355" s="276"/>
      <c r="AU355" s="276"/>
      <c r="AV355" s="276"/>
      <c r="AW355" s="276"/>
      <c r="AX355" s="276"/>
      <c r="AY355" s="276"/>
      <c r="AZ355" s="276"/>
      <c r="BA355" s="276"/>
      <c r="BB355" s="276"/>
      <c r="BC355" s="276"/>
    </row>
    <row r="356" spans="1:55" ht="12.75" customHeight="1">
      <c r="A356" s="465"/>
      <c r="B356" s="465"/>
      <c r="C356" s="147"/>
      <c r="D356" s="147"/>
      <c r="E356" s="585"/>
      <c r="F356" s="586"/>
      <c r="G356" s="458"/>
      <c r="H356" s="458"/>
      <c r="I356" s="458"/>
      <c r="J356" s="465"/>
      <c r="K356" s="587"/>
      <c r="L356" s="465"/>
      <c r="M356" s="465"/>
      <c r="N356" s="465"/>
      <c r="O356" s="587"/>
      <c r="P356" s="585"/>
      <c r="Q356" s="465"/>
      <c r="R356" s="458"/>
      <c r="S356" s="585"/>
      <c r="T356" s="588"/>
      <c r="U356" s="589"/>
      <c r="V356" s="587"/>
      <c r="W356" s="465"/>
      <c r="X356" s="465"/>
      <c r="Y356" s="590"/>
      <c r="Z356" s="458"/>
      <c r="AA356" s="591"/>
      <c r="AB356" s="465"/>
      <c r="AC356" s="465"/>
      <c r="AD356" s="465"/>
      <c r="AE356" s="465"/>
      <c r="AF356" s="465"/>
      <c r="AG356" s="465"/>
      <c r="AH356" s="465"/>
      <c r="AI356" s="592"/>
      <c r="AJ356" s="465"/>
      <c r="AK356" s="465"/>
      <c r="AL356" s="20"/>
      <c r="AM356" s="20"/>
      <c r="AN356" s="593"/>
      <c r="AO356" s="20"/>
      <c r="AP356" s="276"/>
      <c r="AQ356" s="276"/>
      <c r="AR356" s="276"/>
      <c r="AS356" s="276"/>
      <c r="AT356" s="276"/>
      <c r="AU356" s="276"/>
      <c r="AV356" s="276"/>
      <c r="AW356" s="276"/>
      <c r="AX356" s="276"/>
      <c r="AY356" s="276"/>
      <c r="AZ356" s="276"/>
      <c r="BA356" s="276"/>
      <c r="BB356" s="276"/>
      <c r="BC356" s="276"/>
    </row>
    <row r="357" spans="1:55" ht="12.75" customHeight="1">
      <c r="A357" s="465"/>
      <c r="B357" s="465"/>
      <c r="C357" s="147"/>
      <c r="D357" s="147"/>
      <c r="E357" s="585"/>
      <c r="F357" s="586"/>
      <c r="G357" s="458"/>
      <c r="H357" s="458"/>
      <c r="I357" s="458"/>
      <c r="J357" s="465"/>
      <c r="K357" s="587"/>
      <c r="L357" s="465"/>
      <c r="M357" s="465"/>
      <c r="N357" s="465"/>
      <c r="O357" s="587"/>
      <c r="P357" s="585"/>
      <c r="Q357" s="465"/>
      <c r="R357" s="458"/>
      <c r="S357" s="585"/>
      <c r="T357" s="588"/>
      <c r="U357" s="589"/>
      <c r="V357" s="587"/>
      <c r="W357" s="465"/>
      <c r="X357" s="465"/>
      <c r="Y357" s="590"/>
      <c r="Z357" s="458"/>
      <c r="AA357" s="591"/>
      <c r="AB357" s="465"/>
      <c r="AC357" s="465"/>
      <c r="AD357" s="465"/>
      <c r="AE357" s="465"/>
      <c r="AF357" s="465"/>
      <c r="AG357" s="465"/>
      <c r="AH357" s="465"/>
      <c r="AI357" s="592"/>
      <c r="AJ357" s="465"/>
      <c r="AK357" s="465"/>
      <c r="AL357" s="20"/>
      <c r="AM357" s="20"/>
      <c r="AN357" s="593"/>
      <c r="AO357" s="20"/>
      <c r="AP357" s="276"/>
      <c r="AQ357" s="276"/>
      <c r="AR357" s="276"/>
      <c r="AS357" s="276"/>
      <c r="AT357" s="276"/>
      <c r="AU357" s="276"/>
      <c r="AV357" s="276"/>
      <c r="AW357" s="276"/>
      <c r="AX357" s="276"/>
      <c r="AY357" s="276"/>
      <c r="AZ357" s="276"/>
      <c r="BA357" s="276"/>
      <c r="BB357" s="276"/>
      <c r="BC357" s="276"/>
    </row>
    <row r="358" spans="1:55" ht="12.75" customHeight="1">
      <c r="A358" s="465"/>
      <c r="B358" s="465"/>
      <c r="C358" s="147"/>
      <c r="D358" s="147"/>
      <c r="E358" s="585"/>
      <c r="F358" s="586"/>
      <c r="G358" s="458"/>
      <c r="H358" s="458"/>
      <c r="I358" s="458"/>
      <c r="J358" s="465"/>
      <c r="K358" s="587"/>
      <c r="L358" s="465"/>
      <c r="M358" s="465"/>
      <c r="N358" s="465"/>
      <c r="O358" s="587"/>
      <c r="P358" s="585"/>
      <c r="Q358" s="465"/>
      <c r="R358" s="458"/>
      <c r="S358" s="585"/>
      <c r="T358" s="588"/>
      <c r="U358" s="589"/>
      <c r="V358" s="587"/>
      <c r="W358" s="465"/>
      <c r="X358" s="465"/>
      <c r="Y358" s="590"/>
      <c r="Z358" s="458"/>
      <c r="AA358" s="591"/>
      <c r="AB358" s="465"/>
      <c r="AC358" s="465"/>
      <c r="AD358" s="465"/>
      <c r="AE358" s="465"/>
      <c r="AF358" s="465"/>
      <c r="AG358" s="465"/>
      <c r="AH358" s="465"/>
      <c r="AI358" s="592"/>
      <c r="AJ358" s="465"/>
      <c r="AK358" s="465"/>
      <c r="AL358" s="20"/>
      <c r="AM358" s="20"/>
      <c r="AN358" s="593"/>
      <c r="AO358" s="20"/>
      <c r="AP358" s="276"/>
      <c r="AQ358" s="276"/>
      <c r="AR358" s="276"/>
      <c r="AS358" s="276"/>
      <c r="AT358" s="276"/>
      <c r="AU358" s="276"/>
      <c r="AV358" s="276"/>
      <c r="AW358" s="276"/>
      <c r="AX358" s="276"/>
      <c r="AY358" s="276"/>
      <c r="AZ358" s="276"/>
      <c r="BA358" s="276"/>
      <c r="BB358" s="276"/>
      <c r="BC358" s="276"/>
    </row>
    <row r="359" spans="1:55" ht="12.75" customHeight="1">
      <c r="A359" s="465"/>
      <c r="B359" s="465"/>
      <c r="C359" s="147"/>
      <c r="D359" s="147"/>
      <c r="E359" s="585"/>
      <c r="F359" s="586"/>
      <c r="G359" s="458"/>
      <c r="H359" s="458"/>
      <c r="I359" s="458"/>
      <c r="J359" s="465"/>
      <c r="K359" s="587"/>
      <c r="L359" s="465"/>
      <c r="M359" s="465"/>
      <c r="N359" s="465"/>
      <c r="O359" s="587"/>
      <c r="P359" s="585"/>
      <c r="Q359" s="465"/>
      <c r="R359" s="458"/>
      <c r="S359" s="585"/>
      <c r="T359" s="588"/>
      <c r="U359" s="589"/>
      <c r="V359" s="587"/>
      <c r="W359" s="465"/>
      <c r="X359" s="465"/>
      <c r="Y359" s="590"/>
      <c r="Z359" s="458"/>
      <c r="AA359" s="591"/>
      <c r="AB359" s="465"/>
      <c r="AC359" s="465"/>
      <c r="AD359" s="465"/>
      <c r="AE359" s="465"/>
      <c r="AF359" s="465"/>
      <c r="AG359" s="465"/>
      <c r="AH359" s="465"/>
      <c r="AI359" s="592"/>
      <c r="AJ359" s="465"/>
      <c r="AK359" s="465"/>
      <c r="AL359" s="20"/>
      <c r="AM359" s="20"/>
      <c r="AN359" s="593"/>
      <c r="AO359" s="20"/>
      <c r="AP359" s="276"/>
      <c r="AQ359" s="276"/>
      <c r="AR359" s="276"/>
      <c r="AS359" s="276"/>
      <c r="AT359" s="276"/>
      <c r="AU359" s="276"/>
      <c r="AV359" s="276"/>
      <c r="AW359" s="276"/>
      <c r="AX359" s="276"/>
      <c r="AY359" s="276"/>
      <c r="AZ359" s="276"/>
      <c r="BA359" s="276"/>
      <c r="BB359" s="276"/>
      <c r="BC359" s="276"/>
    </row>
    <row r="360" spans="1:55" ht="12.75" customHeight="1">
      <c r="A360" s="465"/>
      <c r="B360" s="465"/>
      <c r="C360" s="147"/>
      <c r="D360" s="147"/>
      <c r="E360" s="585"/>
      <c r="F360" s="586"/>
      <c r="G360" s="458"/>
      <c r="H360" s="458"/>
      <c r="I360" s="458"/>
      <c r="J360" s="465"/>
      <c r="K360" s="587"/>
      <c r="L360" s="465"/>
      <c r="M360" s="465"/>
      <c r="N360" s="465"/>
      <c r="O360" s="587"/>
      <c r="P360" s="585"/>
      <c r="Q360" s="465"/>
      <c r="R360" s="458"/>
      <c r="S360" s="585"/>
      <c r="T360" s="588"/>
      <c r="U360" s="589"/>
      <c r="V360" s="587"/>
      <c r="W360" s="465"/>
      <c r="X360" s="465"/>
      <c r="Y360" s="590"/>
      <c r="Z360" s="458"/>
      <c r="AA360" s="591"/>
      <c r="AB360" s="465"/>
      <c r="AC360" s="465"/>
      <c r="AD360" s="465"/>
      <c r="AE360" s="465"/>
      <c r="AF360" s="465"/>
      <c r="AG360" s="465"/>
      <c r="AH360" s="465"/>
      <c r="AI360" s="592"/>
      <c r="AJ360" s="465"/>
      <c r="AK360" s="465"/>
      <c r="AL360" s="20"/>
      <c r="AM360" s="20"/>
      <c r="AN360" s="593"/>
      <c r="AO360" s="20"/>
      <c r="AP360" s="276"/>
      <c r="AQ360" s="276"/>
      <c r="AR360" s="276"/>
      <c r="AS360" s="276"/>
      <c r="AT360" s="276"/>
      <c r="AU360" s="276"/>
      <c r="AV360" s="276"/>
      <c r="AW360" s="276"/>
      <c r="AX360" s="276"/>
      <c r="AY360" s="276"/>
      <c r="AZ360" s="276"/>
      <c r="BA360" s="276"/>
      <c r="BB360" s="276"/>
      <c r="BC360" s="276"/>
    </row>
    <row r="361" spans="1:55" ht="12.75" customHeight="1">
      <c r="A361" s="465"/>
      <c r="B361" s="465"/>
      <c r="C361" s="147"/>
      <c r="D361" s="147"/>
      <c r="E361" s="585"/>
      <c r="F361" s="586"/>
      <c r="G361" s="458"/>
      <c r="H361" s="458"/>
      <c r="I361" s="458"/>
      <c r="J361" s="465"/>
      <c r="K361" s="587"/>
      <c r="L361" s="465"/>
      <c r="M361" s="465"/>
      <c r="N361" s="465"/>
      <c r="O361" s="587"/>
      <c r="P361" s="585"/>
      <c r="Q361" s="465"/>
      <c r="R361" s="458"/>
      <c r="S361" s="585"/>
      <c r="T361" s="588"/>
      <c r="U361" s="589"/>
      <c r="V361" s="587"/>
      <c r="W361" s="465"/>
      <c r="X361" s="465"/>
      <c r="Y361" s="590"/>
      <c r="Z361" s="458"/>
      <c r="AA361" s="591"/>
      <c r="AB361" s="465"/>
      <c r="AC361" s="465"/>
      <c r="AD361" s="465"/>
      <c r="AE361" s="465"/>
      <c r="AF361" s="465"/>
      <c r="AG361" s="465"/>
      <c r="AH361" s="465"/>
      <c r="AI361" s="592"/>
      <c r="AJ361" s="465"/>
      <c r="AK361" s="465"/>
      <c r="AL361" s="20"/>
      <c r="AM361" s="20"/>
      <c r="AN361" s="593"/>
      <c r="AO361" s="20"/>
      <c r="AP361" s="276"/>
      <c r="AQ361" s="276"/>
      <c r="AR361" s="276"/>
      <c r="AS361" s="276"/>
      <c r="AT361" s="276"/>
      <c r="AU361" s="276"/>
      <c r="AV361" s="276"/>
      <c r="AW361" s="276"/>
      <c r="AX361" s="276"/>
      <c r="AY361" s="276"/>
      <c r="AZ361" s="276"/>
      <c r="BA361" s="276"/>
      <c r="BB361" s="276"/>
      <c r="BC361" s="276"/>
    </row>
    <row r="362" spans="1:55" ht="12.75" customHeight="1">
      <c r="A362" s="465"/>
      <c r="B362" s="465"/>
      <c r="C362" s="147"/>
      <c r="D362" s="147"/>
      <c r="E362" s="585"/>
      <c r="F362" s="586"/>
      <c r="G362" s="458"/>
      <c r="H362" s="458"/>
      <c r="I362" s="458"/>
      <c r="J362" s="465"/>
      <c r="K362" s="587"/>
      <c r="L362" s="465"/>
      <c r="M362" s="465"/>
      <c r="N362" s="465"/>
      <c r="O362" s="587"/>
      <c r="P362" s="585"/>
      <c r="Q362" s="465"/>
      <c r="R362" s="458"/>
      <c r="S362" s="585"/>
      <c r="T362" s="588"/>
      <c r="U362" s="589"/>
      <c r="V362" s="587"/>
      <c r="W362" s="465"/>
      <c r="X362" s="465"/>
      <c r="Y362" s="590"/>
      <c r="Z362" s="458"/>
      <c r="AA362" s="591"/>
      <c r="AB362" s="465"/>
      <c r="AC362" s="465"/>
      <c r="AD362" s="465"/>
      <c r="AE362" s="465"/>
      <c r="AF362" s="465"/>
      <c r="AG362" s="465"/>
      <c r="AH362" s="465"/>
      <c r="AI362" s="592"/>
      <c r="AJ362" s="465"/>
      <c r="AK362" s="465"/>
      <c r="AL362" s="20"/>
      <c r="AM362" s="20"/>
      <c r="AN362" s="593"/>
      <c r="AO362" s="20"/>
      <c r="AP362" s="276"/>
      <c r="AQ362" s="276"/>
      <c r="AR362" s="276"/>
      <c r="AS362" s="276"/>
      <c r="AT362" s="276"/>
      <c r="AU362" s="276"/>
      <c r="AV362" s="276"/>
      <c r="AW362" s="276"/>
      <c r="AX362" s="276"/>
      <c r="AY362" s="276"/>
      <c r="AZ362" s="276"/>
      <c r="BA362" s="276"/>
      <c r="BB362" s="276"/>
      <c r="BC362" s="276"/>
    </row>
    <row r="363" spans="1:55" ht="12.75" customHeight="1">
      <c r="A363" s="465"/>
      <c r="B363" s="465"/>
      <c r="C363" s="147"/>
      <c r="D363" s="147"/>
      <c r="E363" s="585"/>
      <c r="F363" s="586"/>
      <c r="G363" s="458"/>
      <c r="H363" s="458"/>
      <c r="I363" s="458"/>
      <c r="J363" s="465"/>
      <c r="K363" s="587"/>
      <c r="L363" s="465"/>
      <c r="M363" s="465"/>
      <c r="N363" s="465"/>
      <c r="O363" s="587"/>
      <c r="P363" s="585"/>
      <c r="Q363" s="465"/>
      <c r="R363" s="458"/>
      <c r="S363" s="585"/>
      <c r="T363" s="588"/>
      <c r="U363" s="589"/>
      <c r="V363" s="587"/>
      <c r="W363" s="465"/>
      <c r="X363" s="465"/>
      <c r="Y363" s="590"/>
      <c r="Z363" s="458"/>
      <c r="AA363" s="591"/>
      <c r="AB363" s="465"/>
      <c r="AC363" s="465"/>
      <c r="AD363" s="465"/>
      <c r="AE363" s="465"/>
      <c r="AF363" s="465"/>
      <c r="AG363" s="465"/>
      <c r="AH363" s="465"/>
      <c r="AI363" s="592"/>
      <c r="AJ363" s="465"/>
      <c r="AK363" s="465"/>
      <c r="AL363" s="20"/>
      <c r="AM363" s="20"/>
      <c r="AN363" s="593"/>
      <c r="AO363" s="20"/>
      <c r="AP363" s="276"/>
      <c r="AQ363" s="276"/>
      <c r="AR363" s="276"/>
      <c r="AS363" s="276"/>
      <c r="AT363" s="276"/>
      <c r="AU363" s="276"/>
      <c r="AV363" s="276"/>
      <c r="AW363" s="276"/>
      <c r="AX363" s="276"/>
      <c r="AY363" s="276"/>
      <c r="AZ363" s="276"/>
      <c r="BA363" s="276"/>
      <c r="BB363" s="276"/>
      <c r="BC363" s="276"/>
    </row>
    <row r="364" spans="1:55" ht="12.75" customHeight="1">
      <c r="A364" s="465"/>
      <c r="B364" s="465"/>
      <c r="C364" s="147"/>
      <c r="D364" s="147"/>
      <c r="E364" s="585"/>
      <c r="F364" s="586"/>
      <c r="G364" s="458"/>
      <c r="H364" s="458"/>
      <c r="I364" s="458"/>
      <c r="J364" s="465"/>
      <c r="K364" s="587"/>
      <c r="L364" s="465"/>
      <c r="M364" s="465"/>
      <c r="N364" s="465"/>
      <c r="O364" s="587"/>
      <c r="P364" s="585"/>
      <c r="Q364" s="465"/>
      <c r="R364" s="458"/>
      <c r="S364" s="585"/>
      <c r="T364" s="588"/>
      <c r="U364" s="589"/>
      <c r="V364" s="587"/>
      <c r="W364" s="465"/>
      <c r="X364" s="465"/>
      <c r="Y364" s="590"/>
      <c r="Z364" s="458"/>
      <c r="AA364" s="591"/>
      <c r="AB364" s="465"/>
      <c r="AC364" s="465"/>
      <c r="AD364" s="465"/>
      <c r="AE364" s="465"/>
      <c r="AF364" s="465"/>
      <c r="AG364" s="465"/>
      <c r="AH364" s="465"/>
      <c r="AI364" s="592"/>
      <c r="AJ364" s="465"/>
      <c r="AK364" s="465"/>
      <c r="AL364" s="20"/>
      <c r="AM364" s="20"/>
      <c r="AN364" s="593"/>
      <c r="AO364" s="20"/>
      <c r="AP364" s="276"/>
      <c r="AQ364" s="276"/>
      <c r="AR364" s="276"/>
      <c r="AS364" s="276"/>
      <c r="AT364" s="276"/>
      <c r="AU364" s="276"/>
      <c r="AV364" s="276"/>
      <c r="AW364" s="276"/>
      <c r="AX364" s="276"/>
      <c r="AY364" s="276"/>
      <c r="AZ364" s="276"/>
      <c r="BA364" s="276"/>
      <c r="BB364" s="276"/>
      <c r="BC364" s="276"/>
    </row>
    <row r="365" spans="1:55" ht="12.75" customHeight="1">
      <c r="A365" s="465"/>
      <c r="B365" s="465"/>
      <c r="C365" s="147"/>
      <c r="D365" s="147"/>
      <c r="E365" s="585"/>
      <c r="F365" s="586"/>
      <c r="G365" s="458"/>
      <c r="H365" s="458"/>
      <c r="I365" s="458"/>
      <c r="J365" s="465"/>
      <c r="K365" s="587"/>
      <c r="L365" s="465"/>
      <c r="M365" s="465"/>
      <c r="N365" s="465"/>
      <c r="O365" s="587"/>
      <c r="P365" s="585"/>
      <c r="Q365" s="465"/>
      <c r="R365" s="458"/>
      <c r="S365" s="585"/>
      <c r="T365" s="588"/>
      <c r="U365" s="589"/>
      <c r="V365" s="587"/>
      <c r="W365" s="465"/>
      <c r="X365" s="465"/>
      <c r="Y365" s="590"/>
      <c r="Z365" s="458"/>
      <c r="AA365" s="591"/>
      <c r="AB365" s="465"/>
      <c r="AC365" s="465"/>
      <c r="AD365" s="465"/>
      <c r="AE365" s="465"/>
      <c r="AF365" s="465"/>
      <c r="AG365" s="465"/>
      <c r="AH365" s="465"/>
      <c r="AI365" s="592"/>
      <c r="AJ365" s="465"/>
      <c r="AK365" s="465"/>
      <c r="AL365" s="20"/>
      <c r="AM365" s="20"/>
      <c r="AN365" s="593"/>
      <c r="AO365" s="20"/>
      <c r="AP365" s="276"/>
      <c r="AQ365" s="276"/>
      <c r="AR365" s="276"/>
      <c r="AS365" s="276"/>
      <c r="AT365" s="276"/>
      <c r="AU365" s="276"/>
      <c r="AV365" s="276"/>
      <c r="AW365" s="276"/>
      <c r="AX365" s="276"/>
      <c r="AY365" s="276"/>
      <c r="AZ365" s="276"/>
      <c r="BA365" s="276"/>
      <c r="BB365" s="276"/>
      <c r="BC365" s="276"/>
    </row>
    <row r="366" spans="1:55" ht="12.75" customHeight="1">
      <c r="A366" s="465"/>
      <c r="B366" s="465"/>
      <c r="C366" s="147"/>
      <c r="D366" s="147"/>
      <c r="E366" s="585"/>
      <c r="F366" s="586"/>
      <c r="G366" s="458"/>
      <c r="H366" s="458"/>
      <c r="I366" s="458"/>
      <c r="J366" s="465"/>
      <c r="K366" s="587"/>
      <c r="L366" s="465"/>
      <c r="M366" s="465"/>
      <c r="N366" s="465"/>
      <c r="O366" s="587"/>
      <c r="P366" s="585"/>
      <c r="Q366" s="465"/>
      <c r="R366" s="458"/>
      <c r="S366" s="585"/>
      <c r="T366" s="588"/>
      <c r="U366" s="589"/>
      <c r="V366" s="587"/>
      <c r="W366" s="465"/>
      <c r="X366" s="465"/>
      <c r="Y366" s="590"/>
      <c r="Z366" s="458"/>
      <c r="AA366" s="591"/>
      <c r="AB366" s="465"/>
      <c r="AC366" s="465"/>
      <c r="AD366" s="465"/>
      <c r="AE366" s="465"/>
      <c r="AF366" s="465"/>
      <c r="AG366" s="465"/>
      <c r="AH366" s="465"/>
      <c r="AI366" s="592"/>
      <c r="AJ366" s="465"/>
      <c r="AK366" s="465"/>
      <c r="AL366" s="20"/>
      <c r="AM366" s="20"/>
      <c r="AN366" s="593"/>
      <c r="AO366" s="20"/>
      <c r="AP366" s="276"/>
      <c r="AQ366" s="276"/>
      <c r="AR366" s="276"/>
      <c r="AS366" s="276"/>
      <c r="AT366" s="276"/>
      <c r="AU366" s="276"/>
      <c r="AV366" s="276"/>
      <c r="AW366" s="276"/>
      <c r="AX366" s="276"/>
      <c r="AY366" s="276"/>
      <c r="AZ366" s="276"/>
      <c r="BA366" s="276"/>
      <c r="BB366" s="276"/>
      <c r="BC366" s="276"/>
    </row>
    <row r="367" spans="1:55" ht="12.75" customHeight="1">
      <c r="A367" s="465"/>
      <c r="B367" s="465"/>
      <c r="C367" s="147"/>
      <c r="D367" s="147"/>
      <c r="E367" s="585"/>
      <c r="F367" s="586"/>
      <c r="G367" s="458"/>
      <c r="H367" s="458"/>
      <c r="I367" s="458"/>
      <c r="J367" s="465"/>
      <c r="K367" s="587"/>
      <c r="L367" s="465"/>
      <c r="M367" s="465"/>
      <c r="N367" s="465"/>
      <c r="O367" s="587"/>
      <c r="P367" s="585"/>
      <c r="Q367" s="465"/>
      <c r="R367" s="458"/>
      <c r="S367" s="585"/>
      <c r="T367" s="588"/>
      <c r="U367" s="589"/>
      <c r="V367" s="587"/>
      <c r="W367" s="465"/>
      <c r="X367" s="465"/>
      <c r="Y367" s="590"/>
      <c r="Z367" s="458"/>
      <c r="AA367" s="591"/>
      <c r="AB367" s="465"/>
      <c r="AC367" s="465"/>
      <c r="AD367" s="465"/>
      <c r="AE367" s="465"/>
      <c r="AF367" s="465"/>
      <c r="AG367" s="465"/>
      <c r="AH367" s="465"/>
      <c r="AI367" s="592"/>
      <c r="AJ367" s="465"/>
      <c r="AK367" s="465"/>
      <c r="AL367" s="20"/>
      <c r="AM367" s="20"/>
      <c r="AN367" s="593"/>
      <c r="AO367" s="20"/>
      <c r="AP367" s="276"/>
      <c r="AQ367" s="276"/>
      <c r="AR367" s="276"/>
      <c r="AS367" s="276"/>
      <c r="AT367" s="276"/>
      <c r="AU367" s="276"/>
      <c r="AV367" s="276"/>
      <c r="AW367" s="276"/>
      <c r="AX367" s="276"/>
      <c r="AY367" s="276"/>
      <c r="AZ367" s="276"/>
      <c r="BA367" s="276"/>
      <c r="BB367" s="276"/>
      <c r="BC367" s="276"/>
    </row>
    <row r="368" spans="1:55" ht="12.75" customHeight="1">
      <c r="A368" s="465"/>
      <c r="B368" s="465"/>
      <c r="C368" s="147"/>
      <c r="D368" s="147"/>
      <c r="E368" s="585"/>
      <c r="F368" s="586"/>
      <c r="G368" s="458"/>
      <c r="H368" s="458"/>
      <c r="I368" s="458"/>
      <c r="J368" s="465"/>
      <c r="K368" s="587"/>
      <c r="L368" s="465"/>
      <c r="M368" s="465"/>
      <c r="N368" s="465"/>
      <c r="O368" s="587"/>
      <c r="P368" s="585"/>
      <c r="Q368" s="465"/>
      <c r="R368" s="458"/>
      <c r="S368" s="585"/>
      <c r="T368" s="588"/>
      <c r="U368" s="589"/>
      <c r="V368" s="587"/>
      <c r="W368" s="465"/>
      <c r="X368" s="465"/>
      <c r="Y368" s="590"/>
      <c r="Z368" s="458"/>
      <c r="AA368" s="591"/>
      <c r="AB368" s="465"/>
      <c r="AC368" s="465"/>
      <c r="AD368" s="465"/>
      <c r="AE368" s="465"/>
      <c r="AF368" s="465"/>
      <c r="AG368" s="465"/>
      <c r="AH368" s="465"/>
      <c r="AI368" s="592"/>
      <c r="AJ368" s="465"/>
      <c r="AK368" s="465"/>
      <c r="AL368" s="20"/>
      <c r="AM368" s="20"/>
      <c r="AN368" s="593"/>
      <c r="AO368" s="20"/>
      <c r="AP368" s="276"/>
      <c r="AQ368" s="276"/>
      <c r="AR368" s="276"/>
      <c r="AS368" s="276"/>
      <c r="AT368" s="276"/>
      <c r="AU368" s="276"/>
      <c r="AV368" s="276"/>
      <c r="AW368" s="276"/>
      <c r="AX368" s="276"/>
      <c r="AY368" s="276"/>
      <c r="AZ368" s="276"/>
      <c r="BA368" s="276"/>
      <c r="BB368" s="276"/>
      <c r="BC368" s="276"/>
    </row>
    <row r="369" spans="1:55" ht="12.75" customHeight="1">
      <c r="A369" s="465"/>
      <c r="B369" s="465"/>
      <c r="C369" s="147"/>
      <c r="D369" s="147"/>
      <c r="E369" s="585"/>
      <c r="F369" s="586"/>
      <c r="G369" s="458"/>
      <c r="H369" s="458"/>
      <c r="I369" s="458"/>
      <c r="J369" s="465"/>
      <c r="K369" s="587"/>
      <c r="L369" s="465"/>
      <c r="M369" s="465"/>
      <c r="N369" s="465"/>
      <c r="O369" s="587"/>
      <c r="P369" s="585"/>
      <c r="Q369" s="465"/>
      <c r="R369" s="458"/>
      <c r="S369" s="585"/>
      <c r="T369" s="588"/>
      <c r="U369" s="589"/>
      <c r="V369" s="587"/>
      <c r="W369" s="465"/>
      <c r="X369" s="465"/>
      <c r="Y369" s="590"/>
      <c r="Z369" s="458"/>
      <c r="AA369" s="591"/>
      <c r="AB369" s="465"/>
      <c r="AC369" s="465"/>
      <c r="AD369" s="465"/>
      <c r="AE369" s="465"/>
      <c r="AF369" s="465"/>
      <c r="AG369" s="465"/>
      <c r="AH369" s="465"/>
      <c r="AI369" s="592"/>
      <c r="AJ369" s="465"/>
      <c r="AK369" s="465"/>
      <c r="AL369" s="20"/>
      <c r="AM369" s="20"/>
      <c r="AN369" s="593"/>
      <c r="AO369" s="20"/>
      <c r="AP369" s="276"/>
      <c r="AQ369" s="276"/>
      <c r="AR369" s="276"/>
      <c r="AS369" s="276"/>
      <c r="AT369" s="276"/>
      <c r="AU369" s="276"/>
      <c r="AV369" s="276"/>
      <c r="AW369" s="276"/>
      <c r="AX369" s="276"/>
      <c r="AY369" s="276"/>
      <c r="AZ369" s="276"/>
      <c r="BA369" s="276"/>
      <c r="BB369" s="276"/>
      <c r="BC369" s="276"/>
    </row>
    <row r="370" spans="1:55" ht="12.75" customHeight="1">
      <c r="A370" s="465"/>
      <c r="B370" s="465"/>
      <c r="C370" s="147"/>
      <c r="D370" s="147"/>
      <c r="E370" s="585"/>
      <c r="F370" s="586"/>
      <c r="G370" s="458"/>
      <c r="H370" s="458"/>
      <c r="I370" s="458"/>
      <c r="J370" s="465"/>
      <c r="K370" s="587"/>
      <c r="L370" s="465"/>
      <c r="M370" s="465"/>
      <c r="N370" s="465"/>
      <c r="O370" s="587"/>
      <c r="P370" s="585"/>
      <c r="Q370" s="465"/>
      <c r="R370" s="458"/>
      <c r="S370" s="585"/>
      <c r="T370" s="588"/>
      <c r="U370" s="589"/>
      <c r="V370" s="587"/>
      <c r="W370" s="465"/>
      <c r="X370" s="465"/>
      <c r="Y370" s="590"/>
      <c r="Z370" s="458"/>
      <c r="AA370" s="591"/>
      <c r="AB370" s="465"/>
      <c r="AC370" s="465"/>
      <c r="AD370" s="465"/>
      <c r="AE370" s="465"/>
      <c r="AF370" s="465"/>
      <c r="AG370" s="465"/>
      <c r="AH370" s="465"/>
      <c r="AI370" s="592"/>
      <c r="AJ370" s="465"/>
      <c r="AK370" s="465"/>
      <c r="AL370" s="20"/>
      <c r="AM370" s="20"/>
      <c r="AN370" s="593"/>
      <c r="AO370" s="20"/>
      <c r="AP370" s="276"/>
      <c r="AQ370" s="276"/>
      <c r="AR370" s="276"/>
      <c r="AS370" s="276"/>
      <c r="AT370" s="276"/>
      <c r="AU370" s="276"/>
      <c r="AV370" s="276"/>
      <c r="AW370" s="276"/>
      <c r="AX370" s="276"/>
      <c r="AY370" s="276"/>
      <c r="AZ370" s="276"/>
      <c r="BA370" s="276"/>
      <c r="BB370" s="276"/>
      <c r="BC370" s="276"/>
    </row>
    <row r="371" spans="1:55" ht="12.75" customHeight="1">
      <c r="A371" s="465"/>
      <c r="B371" s="465"/>
      <c r="C371" s="147"/>
      <c r="D371" s="147"/>
      <c r="E371" s="585"/>
      <c r="F371" s="586"/>
      <c r="G371" s="458"/>
      <c r="H371" s="458"/>
      <c r="I371" s="458"/>
      <c r="J371" s="465"/>
      <c r="K371" s="587"/>
      <c r="L371" s="465"/>
      <c r="M371" s="465"/>
      <c r="N371" s="465"/>
      <c r="O371" s="587"/>
      <c r="P371" s="585"/>
      <c r="Q371" s="465"/>
      <c r="R371" s="458"/>
      <c r="S371" s="585"/>
      <c r="T371" s="588"/>
      <c r="U371" s="589"/>
      <c r="V371" s="587"/>
      <c r="W371" s="465"/>
      <c r="X371" s="465"/>
      <c r="Y371" s="590"/>
      <c r="Z371" s="458"/>
      <c r="AA371" s="591"/>
      <c r="AB371" s="465"/>
      <c r="AC371" s="465"/>
      <c r="AD371" s="465"/>
      <c r="AE371" s="465"/>
      <c r="AF371" s="465"/>
      <c r="AG371" s="465"/>
      <c r="AH371" s="465"/>
      <c r="AI371" s="592"/>
      <c r="AJ371" s="465"/>
      <c r="AK371" s="465"/>
      <c r="AL371" s="20"/>
      <c r="AM371" s="20"/>
      <c r="AN371" s="593"/>
      <c r="AO371" s="20"/>
      <c r="AP371" s="276"/>
      <c r="AQ371" s="276"/>
      <c r="AR371" s="276"/>
      <c r="AS371" s="276"/>
      <c r="AT371" s="276"/>
      <c r="AU371" s="276"/>
      <c r="AV371" s="276"/>
      <c r="AW371" s="276"/>
      <c r="AX371" s="276"/>
      <c r="AY371" s="276"/>
      <c r="AZ371" s="276"/>
      <c r="BA371" s="276"/>
      <c r="BB371" s="276"/>
      <c r="BC371" s="276"/>
    </row>
    <row r="372" spans="1:55" ht="12.75" customHeight="1">
      <c r="A372" s="465"/>
      <c r="B372" s="465"/>
      <c r="C372" s="147"/>
      <c r="D372" s="147"/>
      <c r="E372" s="585"/>
      <c r="F372" s="586"/>
      <c r="G372" s="458"/>
      <c r="H372" s="458"/>
      <c r="I372" s="458"/>
      <c r="J372" s="465"/>
      <c r="K372" s="587"/>
      <c r="L372" s="465"/>
      <c r="M372" s="465"/>
      <c r="N372" s="465"/>
      <c r="O372" s="587"/>
      <c r="P372" s="585"/>
      <c r="Q372" s="465"/>
      <c r="R372" s="458"/>
      <c r="S372" s="585"/>
      <c r="T372" s="588"/>
      <c r="U372" s="589"/>
      <c r="V372" s="587"/>
      <c r="W372" s="465"/>
      <c r="X372" s="465"/>
      <c r="Y372" s="590"/>
      <c r="Z372" s="458"/>
      <c r="AA372" s="591"/>
      <c r="AB372" s="465"/>
      <c r="AC372" s="465"/>
      <c r="AD372" s="465"/>
      <c r="AE372" s="465"/>
      <c r="AF372" s="465"/>
      <c r="AG372" s="465"/>
      <c r="AH372" s="465"/>
      <c r="AI372" s="592"/>
      <c r="AJ372" s="465"/>
      <c r="AK372" s="465"/>
      <c r="AL372" s="20"/>
      <c r="AM372" s="20"/>
      <c r="AN372" s="593"/>
      <c r="AO372" s="20"/>
      <c r="AP372" s="276"/>
      <c r="AQ372" s="276"/>
      <c r="AR372" s="276"/>
      <c r="AS372" s="276"/>
      <c r="AT372" s="276"/>
      <c r="AU372" s="276"/>
      <c r="AV372" s="276"/>
      <c r="AW372" s="276"/>
      <c r="AX372" s="276"/>
      <c r="AY372" s="276"/>
      <c r="AZ372" s="276"/>
      <c r="BA372" s="276"/>
      <c r="BB372" s="276"/>
      <c r="BC372" s="276"/>
    </row>
    <row r="373" spans="1:55" ht="12.75" customHeight="1">
      <c r="A373" s="465"/>
      <c r="B373" s="465"/>
      <c r="C373" s="147"/>
      <c r="D373" s="147"/>
      <c r="E373" s="585"/>
      <c r="F373" s="586"/>
      <c r="G373" s="458"/>
      <c r="H373" s="458"/>
      <c r="I373" s="458"/>
      <c r="J373" s="465"/>
      <c r="K373" s="587"/>
      <c r="L373" s="465"/>
      <c r="M373" s="465"/>
      <c r="N373" s="465"/>
      <c r="O373" s="587"/>
      <c r="P373" s="585"/>
      <c r="Q373" s="465"/>
      <c r="R373" s="458"/>
      <c r="S373" s="585"/>
      <c r="T373" s="588"/>
      <c r="U373" s="589"/>
      <c r="V373" s="587"/>
      <c r="W373" s="465"/>
      <c r="X373" s="465"/>
      <c r="Y373" s="590"/>
      <c r="Z373" s="458"/>
      <c r="AA373" s="591"/>
      <c r="AB373" s="465"/>
      <c r="AC373" s="465"/>
      <c r="AD373" s="465"/>
      <c r="AE373" s="465"/>
      <c r="AF373" s="465"/>
      <c r="AG373" s="465"/>
      <c r="AH373" s="465"/>
      <c r="AI373" s="592"/>
      <c r="AJ373" s="465"/>
      <c r="AK373" s="465"/>
      <c r="AL373" s="20"/>
      <c r="AM373" s="20"/>
      <c r="AN373" s="593"/>
      <c r="AO373" s="20"/>
      <c r="AP373" s="276"/>
      <c r="AQ373" s="276"/>
      <c r="AR373" s="276"/>
      <c r="AS373" s="276"/>
      <c r="AT373" s="276"/>
      <c r="AU373" s="276"/>
      <c r="AV373" s="276"/>
      <c r="AW373" s="276"/>
      <c r="AX373" s="276"/>
      <c r="AY373" s="276"/>
      <c r="AZ373" s="276"/>
      <c r="BA373" s="276"/>
      <c r="BB373" s="276"/>
      <c r="BC373" s="276"/>
    </row>
    <row r="374" spans="1:55" ht="12.75" customHeight="1">
      <c r="A374" s="465"/>
      <c r="B374" s="465"/>
      <c r="C374" s="147"/>
      <c r="D374" s="147"/>
      <c r="E374" s="585"/>
      <c r="F374" s="586"/>
      <c r="G374" s="458"/>
      <c r="H374" s="458"/>
      <c r="I374" s="458"/>
      <c r="J374" s="465"/>
      <c r="K374" s="587"/>
      <c r="L374" s="465"/>
      <c r="M374" s="465"/>
      <c r="N374" s="465"/>
      <c r="O374" s="587"/>
      <c r="P374" s="585"/>
      <c r="Q374" s="465"/>
      <c r="R374" s="458"/>
      <c r="S374" s="585"/>
      <c r="T374" s="588"/>
      <c r="U374" s="589"/>
      <c r="V374" s="587"/>
      <c r="W374" s="465"/>
      <c r="X374" s="465"/>
      <c r="Y374" s="590"/>
      <c r="Z374" s="458"/>
      <c r="AA374" s="591"/>
      <c r="AB374" s="465"/>
      <c r="AC374" s="465"/>
      <c r="AD374" s="465"/>
      <c r="AE374" s="465"/>
      <c r="AF374" s="465"/>
      <c r="AG374" s="465"/>
      <c r="AH374" s="465"/>
      <c r="AI374" s="592"/>
      <c r="AJ374" s="465"/>
      <c r="AK374" s="465"/>
      <c r="AL374" s="20"/>
      <c r="AM374" s="20"/>
      <c r="AN374" s="593"/>
      <c r="AO374" s="20"/>
      <c r="AP374" s="276"/>
      <c r="AQ374" s="276"/>
      <c r="AR374" s="276"/>
      <c r="AS374" s="276"/>
      <c r="AT374" s="276"/>
      <c r="AU374" s="276"/>
      <c r="AV374" s="276"/>
      <c r="AW374" s="276"/>
      <c r="AX374" s="276"/>
      <c r="AY374" s="276"/>
      <c r="AZ374" s="276"/>
      <c r="BA374" s="276"/>
      <c r="BB374" s="276"/>
      <c r="BC374" s="276"/>
    </row>
    <row r="375" spans="1:55" ht="12.75" customHeight="1">
      <c r="A375" s="465"/>
      <c r="B375" s="465"/>
      <c r="C375" s="147"/>
      <c r="D375" s="147"/>
      <c r="E375" s="585"/>
      <c r="F375" s="586"/>
      <c r="G375" s="458"/>
      <c r="H375" s="458"/>
      <c r="I375" s="458"/>
      <c r="J375" s="465"/>
      <c r="K375" s="587"/>
      <c r="L375" s="465"/>
      <c r="M375" s="465"/>
      <c r="N375" s="465"/>
      <c r="O375" s="587"/>
      <c r="P375" s="585"/>
      <c r="Q375" s="465"/>
      <c r="R375" s="458"/>
      <c r="S375" s="585"/>
      <c r="T375" s="588"/>
      <c r="U375" s="589"/>
      <c r="V375" s="587"/>
      <c r="W375" s="465"/>
      <c r="X375" s="465"/>
      <c r="Y375" s="590"/>
      <c r="Z375" s="458"/>
      <c r="AA375" s="591"/>
      <c r="AB375" s="465"/>
      <c r="AC375" s="465"/>
      <c r="AD375" s="465"/>
      <c r="AE375" s="465"/>
      <c r="AF375" s="465"/>
      <c r="AG375" s="465"/>
      <c r="AH375" s="465"/>
      <c r="AI375" s="592"/>
      <c r="AJ375" s="465"/>
      <c r="AK375" s="465"/>
      <c r="AL375" s="20"/>
      <c r="AM375" s="20"/>
      <c r="AN375" s="593"/>
      <c r="AO375" s="20"/>
      <c r="AP375" s="276"/>
      <c r="AQ375" s="276"/>
      <c r="AR375" s="276"/>
      <c r="AS375" s="276"/>
      <c r="AT375" s="276"/>
      <c r="AU375" s="276"/>
      <c r="AV375" s="276"/>
      <c r="AW375" s="276"/>
      <c r="AX375" s="276"/>
      <c r="AY375" s="276"/>
      <c r="AZ375" s="276"/>
      <c r="BA375" s="276"/>
      <c r="BB375" s="276"/>
      <c r="BC375" s="276"/>
    </row>
    <row r="376" spans="1:55" ht="12.75" customHeight="1">
      <c r="A376" s="465"/>
      <c r="B376" s="465"/>
      <c r="C376" s="147"/>
      <c r="D376" s="147"/>
      <c r="E376" s="585"/>
      <c r="F376" s="586"/>
      <c r="G376" s="458"/>
      <c r="H376" s="458"/>
      <c r="I376" s="458"/>
      <c r="J376" s="465"/>
      <c r="K376" s="587"/>
      <c r="L376" s="465"/>
      <c r="M376" s="465"/>
      <c r="N376" s="465"/>
      <c r="O376" s="587"/>
      <c r="P376" s="585"/>
      <c r="Q376" s="465"/>
      <c r="R376" s="458"/>
      <c r="S376" s="585"/>
      <c r="T376" s="588"/>
      <c r="U376" s="589"/>
      <c r="V376" s="587"/>
      <c r="W376" s="465"/>
      <c r="X376" s="465"/>
      <c r="Y376" s="590"/>
      <c r="Z376" s="458"/>
      <c r="AA376" s="591"/>
      <c r="AB376" s="465"/>
      <c r="AC376" s="465"/>
      <c r="AD376" s="465"/>
      <c r="AE376" s="465"/>
      <c r="AF376" s="465"/>
      <c r="AG376" s="465"/>
      <c r="AH376" s="465"/>
      <c r="AI376" s="592"/>
      <c r="AJ376" s="465"/>
      <c r="AK376" s="465"/>
      <c r="AL376" s="20"/>
      <c r="AM376" s="20"/>
      <c r="AN376" s="593"/>
      <c r="AO376" s="20"/>
      <c r="AP376" s="276"/>
      <c r="AQ376" s="276"/>
      <c r="AR376" s="276"/>
      <c r="AS376" s="276"/>
      <c r="AT376" s="276"/>
      <c r="AU376" s="276"/>
      <c r="AV376" s="276"/>
      <c r="AW376" s="276"/>
      <c r="AX376" s="276"/>
      <c r="AY376" s="276"/>
      <c r="AZ376" s="276"/>
      <c r="BA376" s="276"/>
      <c r="BB376" s="276"/>
      <c r="BC376" s="276"/>
    </row>
    <row r="377" spans="1:55" ht="12.75" customHeight="1">
      <c r="A377" s="465"/>
      <c r="B377" s="465"/>
      <c r="C377" s="147"/>
      <c r="D377" s="147"/>
      <c r="E377" s="585"/>
      <c r="F377" s="586"/>
      <c r="G377" s="458"/>
      <c r="H377" s="458"/>
      <c r="I377" s="458"/>
      <c r="J377" s="465"/>
      <c r="K377" s="587"/>
      <c r="L377" s="465"/>
      <c r="M377" s="465"/>
      <c r="N377" s="465"/>
      <c r="O377" s="587"/>
      <c r="P377" s="585"/>
      <c r="Q377" s="465"/>
      <c r="R377" s="458"/>
      <c r="S377" s="585"/>
      <c r="T377" s="588"/>
      <c r="U377" s="589"/>
      <c r="V377" s="587"/>
      <c r="W377" s="465"/>
      <c r="X377" s="465"/>
      <c r="Y377" s="590"/>
      <c r="Z377" s="458"/>
      <c r="AA377" s="591"/>
      <c r="AB377" s="465"/>
      <c r="AC377" s="465"/>
      <c r="AD377" s="465"/>
      <c r="AE377" s="465"/>
      <c r="AF377" s="465"/>
      <c r="AG377" s="465"/>
      <c r="AH377" s="465"/>
      <c r="AI377" s="592"/>
      <c r="AJ377" s="465"/>
      <c r="AK377" s="465"/>
      <c r="AL377" s="20"/>
      <c r="AM377" s="20"/>
      <c r="AN377" s="593"/>
      <c r="AO377" s="20"/>
      <c r="AP377" s="276"/>
      <c r="AQ377" s="276"/>
      <c r="AR377" s="276"/>
      <c r="AS377" s="276"/>
      <c r="AT377" s="276"/>
      <c r="AU377" s="276"/>
      <c r="AV377" s="276"/>
      <c r="AW377" s="276"/>
      <c r="AX377" s="276"/>
      <c r="AY377" s="276"/>
      <c r="AZ377" s="276"/>
      <c r="BA377" s="276"/>
      <c r="BB377" s="276"/>
      <c r="BC377" s="276"/>
    </row>
    <row r="378" spans="1:55" ht="12.75" customHeight="1">
      <c r="A378" s="465"/>
      <c r="B378" s="465"/>
      <c r="C378" s="147"/>
      <c r="D378" s="147"/>
      <c r="E378" s="585"/>
      <c r="F378" s="586"/>
      <c r="G378" s="458"/>
      <c r="H378" s="458"/>
      <c r="I378" s="458"/>
      <c r="J378" s="465"/>
      <c r="K378" s="587"/>
      <c r="L378" s="465"/>
      <c r="M378" s="465"/>
      <c r="N378" s="465"/>
      <c r="O378" s="587"/>
      <c r="P378" s="585"/>
      <c r="Q378" s="465"/>
      <c r="R378" s="458"/>
      <c r="S378" s="585"/>
      <c r="T378" s="588"/>
      <c r="U378" s="589"/>
      <c r="V378" s="587"/>
      <c r="W378" s="465"/>
      <c r="X378" s="465"/>
      <c r="Y378" s="590"/>
      <c r="Z378" s="458"/>
      <c r="AA378" s="591"/>
      <c r="AB378" s="465"/>
      <c r="AC378" s="465"/>
      <c r="AD378" s="465"/>
      <c r="AE378" s="465"/>
      <c r="AF378" s="465"/>
      <c r="AG378" s="465"/>
      <c r="AH378" s="465"/>
      <c r="AI378" s="592"/>
      <c r="AJ378" s="465"/>
      <c r="AK378" s="465"/>
      <c r="AL378" s="20"/>
      <c r="AM378" s="20"/>
      <c r="AN378" s="593"/>
      <c r="AO378" s="20"/>
      <c r="AP378" s="276"/>
      <c r="AQ378" s="276"/>
      <c r="AR378" s="276"/>
      <c r="AS378" s="276"/>
      <c r="AT378" s="276"/>
      <c r="AU378" s="276"/>
      <c r="AV378" s="276"/>
      <c r="AW378" s="276"/>
      <c r="AX378" s="276"/>
      <c r="AY378" s="276"/>
      <c r="AZ378" s="276"/>
      <c r="BA378" s="276"/>
      <c r="BB378" s="276"/>
      <c r="BC378" s="276"/>
    </row>
    <row r="379" spans="1:55" ht="12.75" customHeight="1">
      <c r="A379" s="465"/>
      <c r="B379" s="465"/>
      <c r="C379" s="147"/>
      <c r="D379" s="147"/>
      <c r="E379" s="585"/>
      <c r="F379" s="586"/>
      <c r="G379" s="458"/>
      <c r="H379" s="458"/>
      <c r="I379" s="458"/>
      <c r="J379" s="465"/>
      <c r="K379" s="587"/>
      <c r="L379" s="465"/>
      <c r="M379" s="465"/>
      <c r="N379" s="465"/>
      <c r="O379" s="587"/>
      <c r="P379" s="585"/>
      <c r="Q379" s="465"/>
      <c r="R379" s="458"/>
      <c r="S379" s="585"/>
      <c r="T379" s="588"/>
      <c r="U379" s="589"/>
      <c r="V379" s="587"/>
      <c r="W379" s="465"/>
      <c r="X379" s="465"/>
      <c r="Y379" s="590"/>
      <c r="Z379" s="458"/>
      <c r="AA379" s="591"/>
      <c r="AB379" s="465"/>
      <c r="AC379" s="465"/>
      <c r="AD379" s="465"/>
      <c r="AE379" s="465"/>
      <c r="AF379" s="465"/>
      <c r="AG379" s="465"/>
      <c r="AH379" s="465"/>
      <c r="AI379" s="592"/>
      <c r="AJ379" s="465"/>
      <c r="AK379" s="465"/>
      <c r="AL379" s="20"/>
      <c r="AM379" s="20"/>
      <c r="AN379" s="593"/>
      <c r="AO379" s="20"/>
      <c r="AP379" s="276"/>
      <c r="AQ379" s="276"/>
      <c r="AR379" s="276"/>
      <c r="AS379" s="276"/>
      <c r="AT379" s="276"/>
      <c r="AU379" s="276"/>
      <c r="AV379" s="276"/>
      <c r="AW379" s="276"/>
      <c r="AX379" s="276"/>
      <c r="AY379" s="276"/>
      <c r="AZ379" s="276"/>
      <c r="BA379" s="276"/>
      <c r="BB379" s="276"/>
      <c r="BC379" s="276"/>
    </row>
    <row r="380" spans="1:55" ht="12.75" customHeight="1">
      <c r="A380" s="465"/>
      <c r="B380" s="465"/>
      <c r="C380" s="147"/>
      <c r="D380" s="147"/>
      <c r="E380" s="585"/>
      <c r="F380" s="586"/>
      <c r="G380" s="458"/>
      <c r="H380" s="458"/>
      <c r="I380" s="458"/>
      <c r="J380" s="465"/>
      <c r="K380" s="587"/>
      <c r="L380" s="465"/>
      <c r="M380" s="465"/>
      <c r="N380" s="465"/>
      <c r="O380" s="587"/>
      <c r="P380" s="585"/>
      <c r="Q380" s="465"/>
      <c r="R380" s="458"/>
      <c r="S380" s="585"/>
      <c r="T380" s="588"/>
      <c r="U380" s="589"/>
      <c r="V380" s="587"/>
      <c r="W380" s="465"/>
      <c r="X380" s="465"/>
      <c r="Y380" s="590"/>
      <c r="Z380" s="458"/>
      <c r="AA380" s="591"/>
      <c r="AB380" s="465"/>
      <c r="AC380" s="465"/>
      <c r="AD380" s="465"/>
      <c r="AE380" s="465"/>
      <c r="AF380" s="465"/>
      <c r="AG380" s="465"/>
      <c r="AH380" s="465"/>
      <c r="AI380" s="592"/>
      <c r="AJ380" s="465"/>
      <c r="AK380" s="465"/>
      <c r="AL380" s="20"/>
      <c r="AM380" s="20"/>
      <c r="AN380" s="593"/>
      <c r="AO380" s="20"/>
      <c r="AP380" s="276"/>
      <c r="AQ380" s="276"/>
      <c r="AR380" s="276"/>
      <c r="AS380" s="276"/>
      <c r="AT380" s="276"/>
      <c r="AU380" s="276"/>
      <c r="AV380" s="276"/>
      <c r="AW380" s="276"/>
      <c r="AX380" s="276"/>
      <c r="AY380" s="276"/>
      <c r="AZ380" s="276"/>
      <c r="BA380" s="276"/>
      <c r="BB380" s="276"/>
      <c r="BC380" s="276"/>
    </row>
    <row r="381" spans="1:55" ht="12.75" customHeight="1">
      <c r="A381" s="465"/>
      <c r="B381" s="465"/>
      <c r="C381" s="147"/>
      <c r="D381" s="147"/>
      <c r="E381" s="585"/>
      <c r="F381" s="586"/>
      <c r="G381" s="458"/>
      <c r="H381" s="458"/>
      <c r="I381" s="458"/>
      <c r="J381" s="465"/>
      <c r="K381" s="587"/>
      <c r="L381" s="465"/>
      <c r="M381" s="465"/>
      <c r="N381" s="465"/>
      <c r="O381" s="587"/>
      <c r="P381" s="585"/>
      <c r="Q381" s="465"/>
      <c r="R381" s="458"/>
      <c r="S381" s="585"/>
      <c r="T381" s="588"/>
      <c r="U381" s="589"/>
      <c r="V381" s="587"/>
      <c r="W381" s="465"/>
      <c r="X381" s="465"/>
      <c r="Y381" s="590"/>
      <c r="Z381" s="458"/>
      <c r="AA381" s="591"/>
      <c r="AB381" s="465"/>
      <c r="AC381" s="465"/>
      <c r="AD381" s="465"/>
      <c r="AE381" s="465"/>
      <c r="AF381" s="465"/>
      <c r="AG381" s="465"/>
      <c r="AH381" s="465"/>
      <c r="AI381" s="592"/>
      <c r="AJ381" s="465"/>
      <c r="AK381" s="465"/>
      <c r="AL381" s="20"/>
      <c r="AM381" s="20"/>
      <c r="AN381" s="593"/>
      <c r="AO381" s="20"/>
      <c r="AP381" s="276"/>
      <c r="AQ381" s="276"/>
      <c r="AR381" s="276"/>
      <c r="AS381" s="276"/>
      <c r="AT381" s="276"/>
      <c r="AU381" s="276"/>
      <c r="AV381" s="276"/>
      <c r="AW381" s="276"/>
      <c r="AX381" s="276"/>
      <c r="AY381" s="276"/>
      <c r="AZ381" s="276"/>
      <c r="BA381" s="276"/>
      <c r="BB381" s="276"/>
      <c r="BC381" s="276"/>
    </row>
    <row r="382" spans="1:55" ht="12.75" customHeight="1">
      <c r="A382" s="465"/>
      <c r="B382" s="465"/>
      <c r="C382" s="147"/>
      <c r="D382" s="147"/>
      <c r="E382" s="585"/>
      <c r="F382" s="586"/>
      <c r="G382" s="458"/>
      <c r="H382" s="458"/>
      <c r="I382" s="458"/>
      <c r="J382" s="465"/>
      <c r="K382" s="587"/>
      <c r="L382" s="465"/>
      <c r="M382" s="465"/>
      <c r="N382" s="465"/>
      <c r="O382" s="587"/>
      <c r="P382" s="585"/>
      <c r="Q382" s="465"/>
      <c r="R382" s="458"/>
      <c r="S382" s="585"/>
      <c r="T382" s="588"/>
      <c r="U382" s="589"/>
      <c r="V382" s="587"/>
      <c r="W382" s="465"/>
      <c r="X382" s="465"/>
      <c r="Y382" s="590"/>
      <c r="Z382" s="458"/>
      <c r="AA382" s="591"/>
      <c r="AB382" s="465"/>
      <c r="AC382" s="465"/>
      <c r="AD382" s="465"/>
      <c r="AE382" s="465"/>
      <c r="AF382" s="465"/>
      <c r="AG382" s="465"/>
      <c r="AH382" s="465"/>
      <c r="AI382" s="592"/>
      <c r="AJ382" s="465"/>
      <c r="AK382" s="465"/>
      <c r="AL382" s="20"/>
      <c r="AM382" s="20"/>
      <c r="AN382" s="593"/>
      <c r="AO382" s="20"/>
      <c r="AP382" s="276"/>
      <c r="AQ382" s="276"/>
      <c r="AR382" s="276"/>
      <c r="AS382" s="276"/>
      <c r="AT382" s="276"/>
      <c r="AU382" s="276"/>
      <c r="AV382" s="276"/>
      <c r="AW382" s="276"/>
      <c r="AX382" s="276"/>
      <c r="AY382" s="276"/>
      <c r="AZ382" s="276"/>
      <c r="BA382" s="276"/>
      <c r="BB382" s="276"/>
      <c r="BC382" s="276"/>
    </row>
    <row r="383" spans="1:55" ht="12.75" customHeight="1">
      <c r="A383" s="465"/>
      <c r="B383" s="465"/>
      <c r="C383" s="147"/>
      <c r="D383" s="147"/>
      <c r="E383" s="585"/>
      <c r="F383" s="586"/>
      <c r="G383" s="458"/>
      <c r="H383" s="458"/>
      <c r="I383" s="458"/>
      <c r="J383" s="465"/>
      <c r="K383" s="587"/>
      <c r="L383" s="465"/>
      <c r="M383" s="465"/>
      <c r="N383" s="465"/>
      <c r="O383" s="587"/>
      <c r="P383" s="585"/>
      <c r="Q383" s="465"/>
      <c r="R383" s="458"/>
      <c r="S383" s="585"/>
      <c r="T383" s="588"/>
      <c r="U383" s="589"/>
      <c r="V383" s="587"/>
      <c r="W383" s="465"/>
      <c r="X383" s="465"/>
      <c r="Y383" s="590"/>
      <c r="Z383" s="458"/>
      <c r="AA383" s="591"/>
      <c r="AB383" s="465"/>
      <c r="AC383" s="465"/>
      <c r="AD383" s="465"/>
      <c r="AE383" s="465"/>
      <c r="AF383" s="465"/>
      <c r="AG383" s="465"/>
      <c r="AH383" s="465"/>
      <c r="AI383" s="592"/>
      <c r="AJ383" s="465"/>
      <c r="AK383" s="465"/>
      <c r="AL383" s="20"/>
      <c r="AM383" s="20"/>
      <c r="AN383" s="593"/>
      <c r="AO383" s="20"/>
      <c r="AP383" s="276"/>
      <c r="AQ383" s="276"/>
      <c r="AR383" s="276"/>
      <c r="AS383" s="276"/>
      <c r="AT383" s="276"/>
      <c r="AU383" s="276"/>
      <c r="AV383" s="276"/>
      <c r="AW383" s="276"/>
      <c r="AX383" s="276"/>
      <c r="AY383" s="276"/>
      <c r="AZ383" s="276"/>
      <c r="BA383" s="276"/>
      <c r="BB383" s="276"/>
      <c r="BC383" s="276"/>
    </row>
    <row r="384" spans="1:55" ht="12.75" customHeight="1">
      <c r="A384" s="465"/>
      <c r="B384" s="465"/>
      <c r="C384" s="147"/>
      <c r="D384" s="147"/>
      <c r="E384" s="585"/>
      <c r="F384" s="586"/>
      <c r="G384" s="458"/>
      <c r="H384" s="458"/>
      <c r="I384" s="458"/>
      <c r="J384" s="465"/>
      <c r="K384" s="587"/>
      <c r="L384" s="465"/>
      <c r="M384" s="465"/>
      <c r="N384" s="465"/>
      <c r="O384" s="587"/>
      <c r="P384" s="585"/>
      <c r="Q384" s="465"/>
      <c r="R384" s="458"/>
      <c r="S384" s="585"/>
      <c r="T384" s="588"/>
      <c r="U384" s="589"/>
      <c r="V384" s="587"/>
      <c r="W384" s="465"/>
      <c r="X384" s="465"/>
      <c r="Y384" s="590"/>
      <c r="Z384" s="458"/>
      <c r="AA384" s="591"/>
      <c r="AB384" s="465"/>
      <c r="AC384" s="465"/>
      <c r="AD384" s="465"/>
      <c r="AE384" s="465"/>
      <c r="AF384" s="465"/>
      <c r="AG384" s="465"/>
      <c r="AH384" s="465"/>
      <c r="AI384" s="592"/>
      <c r="AJ384" s="465"/>
      <c r="AK384" s="465"/>
      <c r="AL384" s="20"/>
      <c r="AM384" s="20"/>
      <c r="AN384" s="593"/>
      <c r="AO384" s="20"/>
      <c r="AP384" s="276"/>
      <c r="AQ384" s="276"/>
      <c r="AR384" s="276"/>
      <c r="AS384" s="276"/>
      <c r="AT384" s="276"/>
      <c r="AU384" s="276"/>
      <c r="AV384" s="276"/>
      <c r="AW384" s="276"/>
      <c r="AX384" s="276"/>
      <c r="AY384" s="276"/>
      <c r="AZ384" s="276"/>
      <c r="BA384" s="276"/>
      <c r="BB384" s="276"/>
      <c r="BC384" s="276"/>
    </row>
    <row r="385" spans="1:55" ht="12.75" customHeight="1">
      <c r="A385" s="465"/>
      <c r="B385" s="465"/>
      <c r="C385" s="147"/>
      <c r="D385" s="147"/>
      <c r="E385" s="585"/>
      <c r="F385" s="586"/>
      <c r="G385" s="458"/>
      <c r="H385" s="458"/>
      <c r="I385" s="458"/>
      <c r="J385" s="465"/>
      <c r="K385" s="587"/>
      <c r="L385" s="465"/>
      <c r="M385" s="465"/>
      <c r="N385" s="465"/>
      <c r="O385" s="587"/>
      <c r="P385" s="585"/>
      <c r="Q385" s="465"/>
      <c r="R385" s="458"/>
      <c r="S385" s="585"/>
      <c r="T385" s="588"/>
      <c r="U385" s="589"/>
      <c r="V385" s="587"/>
      <c r="W385" s="465"/>
      <c r="X385" s="465"/>
      <c r="Y385" s="590"/>
      <c r="Z385" s="458"/>
      <c r="AA385" s="591"/>
      <c r="AB385" s="465"/>
      <c r="AC385" s="465"/>
      <c r="AD385" s="465"/>
      <c r="AE385" s="465"/>
      <c r="AF385" s="465"/>
      <c r="AG385" s="465"/>
      <c r="AH385" s="465"/>
      <c r="AI385" s="592"/>
      <c r="AJ385" s="465"/>
      <c r="AK385" s="465"/>
      <c r="AL385" s="20"/>
      <c r="AM385" s="20"/>
      <c r="AN385" s="593"/>
      <c r="AO385" s="20"/>
      <c r="AP385" s="276"/>
      <c r="AQ385" s="276"/>
      <c r="AR385" s="276"/>
      <c r="AS385" s="276"/>
      <c r="AT385" s="276"/>
      <c r="AU385" s="276"/>
      <c r="AV385" s="276"/>
      <c r="AW385" s="276"/>
      <c r="AX385" s="276"/>
      <c r="AY385" s="276"/>
      <c r="AZ385" s="276"/>
      <c r="BA385" s="276"/>
      <c r="BB385" s="276"/>
      <c r="BC385" s="276"/>
    </row>
    <row r="386" spans="1:55" ht="12.75" customHeight="1">
      <c r="A386" s="465"/>
      <c r="B386" s="465"/>
      <c r="C386" s="147"/>
      <c r="D386" s="147"/>
      <c r="E386" s="585"/>
      <c r="F386" s="586"/>
      <c r="G386" s="458"/>
      <c r="H386" s="458"/>
      <c r="I386" s="458"/>
      <c r="J386" s="465"/>
      <c r="K386" s="587"/>
      <c r="L386" s="465"/>
      <c r="M386" s="465"/>
      <c r="N386" s="465"/>
      <c r="O386" s="587"/>
      <c r="P386" s="585"/>
      <c r="Q386" s="465"/>
      <c r="R386" s="458"/>
      <c r="S386" s="585"/>
      <c r="T386" s="588"/>
      <c r="U386" s="589"/>
      <c r="V386" s="587"/>
      <c r="W386" s="465"/>
      <c r="X386" s="465"/>
      <c r="Y386" s="590"/>
      <c r="Z386" s="458"/>
      <c r="AA386" s="591"/>
      <c r="AB386" s="465"/>
      <c r="AC386" s="465"/>
      <c r="AD386" s="465"/>
      <c r="AE386" s="465"/>
      <c r="AF386" s="465"/>
      <c r="AG386" s="465"/>
      <c r="AH386" s="465"/>
      <c r="AI386" s="592"/>
      <c r="AJ386" s="465"/>
      <c r="AK386" s="465"/>
      <c r="AL386" s="20"/>
      <c r="AM386" s="20"/>
      <c r="AN386" s="593"/>
      <c r="AO386" s="20"/>
      <c r="AP386" s="276"/>
      <c r="AQ386" s="276"/>
      <c r="AR386" s="276"/>
      <c r="AS386" s="276"/>
      <c r="AT386" s="276"/>
      <c r="AU386" s="276"/>
      <c r="AV386" s="276"/>
      <c r="AW386" s="276"/>
      <c r="AX386" s="276"/>
      <c r="AY386" s="276"/>
      <c r="AZ386" s="276"/>
      <c r="BA386" s="276"/>
      <c r="BB386" s="276"/>
      <c r="BC386" s="276"/>
    </row>
    <row r="387" spans="1:55" ht="12.75" customHeight="1">
      <c r="A387" s="465"/>
      <c r="B387" s="465"/>
      <c r="C387" s="147"/>
      <c r="D387" s="147"/>
      <c r="E387" s="585"/>
      <c r="F387" s="586"/>
      <c r="G387" s="458"/>
      <c r="H387" s="458"/>
      <c r="I387" s="458"/>
      <c r="J387" s="465"/>
      <c r="K387" s="587"/>
      <c r="L387" s="465"/>
      <c r="M387" s="465"/>
      <c r="N387" s="465"/>
      <c r="O387" s="587"/>
      <c r="P387" s="585"/>
      <c r="Q387" s="465"/>
      <c r="R387" s="458"/>
      <c r="S387" s="585"/>
      <c r="T387" s="588"/>
      <c r="U387" s="589"/>
      <c r="V387" s="587"/>
      <c r="W387" s="465"/>
      <c r="X387" s="465"/>
      <c r="Y387" s="590"/>
      <c r="Z387" s="458"/>
      <c r="AA387" s="591"/>
      <c r="AB387" s="465"/>
      <c r="AC387" s="465"/>
      <c r="AD387" s="465"/>
      <c r="AE387" s="465"/>
      <c r="AF387" s="465"/>
      <c r="AG387" s="465"/>
      <c r="AH387" s="465"/>
      <c r="AI387" s="592"/>
      <c r="AJ387" s="465"/>
      <c r="AK387" s="465"/>
      <c r="AL387" s="20"/>
      <c r="AM387" s="20"/>
      <c r="AN387" s="593"/>
      <c r="AO387" s="20"/>
      <c r="AP387" s="276"/>
      <c r="AQ387" s="276"/>
      <c r="AR387" s="276"/>
      <c r="AS387" s="276"/>
      <c r="AT387" s="276"/>
      <c r="AU387" s="276"/>
      <c r="AV387" s="276"/>
      <c r="AW387" s="276"/>
      <c r="AX387" s="276"/>
      <c r="AY387" s="276"/>
      <c r="AZ387" s="276"/>
      <c r="BA387" s="276"/>
      <c r="BB387" s="276"/>
      <c r="BC387" s="276"/>
    </row>
    <row r="388" spans="1:55" ht="12.75" customHeight="1">
      <c r="A388" s="465"/>
      <c r="B388" s="465"/>
      <c r="C388" s="147"/>
      <c r="D388" s="147"/>
      <c r="E388" s="585"/>
      <c r="F388" s="586"/>
      <c r="G388" s="458"/>
      <c r="H388" s="458"/>
      <c r="I388" s="458"/>
      <c r="J388" s="465"/>
      <c r="K388" s="587"/>
      <c r="L388" s="465"/>
      <c r="M388" s="465"/>
      <c r="N388" s="465"/>
      <c r="O388" s="587"/>
      <c r="P388" s="585"/>
      <c r="Q388" s="465"/>
      <c r="R388" s="458"/>
      <c r="S388" s="585"/>
      <c r="T388" s="588"/>
      <c r="U388" s="589"/>
      <c r="V388" s="587"/>
      <c r="W388" s="465"/>
      <c r="X388" s="465"/>
      <c r="Y388" s="590"/>
      <c r="Z388" s="458"/>
      <c r="AA388" s="591"/>
      <c r="AB388" s="465"/>
      <c r="AC388" s="465"/>
      <c r="AD388" s="465"/>
      <c r="AE388" s="465"/>
      <c r="AF388" s="465"/>
      <c r="AG388" s="465"/>
      <c r="AH388" s="465"/>
      <c r="AI388" s="592"/>
      <c r="AJ388" s="465"/>
      <c r="AK388" s="465"/>
      <c r="AL388" s="20"/>
      <c r="AM388" s="20"/>
      <c r="AN388" s="593"/>
      <c r="AO388" s="20"/>
      <c r="AP388" s="276"/>
      <c r="AQ388" s="276"/>
      <c r="AR388" s="276"/>
      <c r="AS388" s="276"/>
      <c r="AT388" s="276"/>
      <c r="AU388" s="276"/>
      <c r="AV388" s="276"/>
      <c r="AW388" s="276"/>
      <c r="AX388" s="276"/>
      <c r="AY388" s="276"/>
      <c r="AZ388" s="276"/>
      <c r="BA388" s="276"/>
      <c r="BB388" s="276"/>
      <c r="BC388" s="276"/>
    </row>
    <row r="389" spans="1:55" ht="12.75" customHeight="1">
      <c r="A389" s="465"/>
      <c r="B389" s="465"/>
      <c r="C389" s="147"/>
      <c r="D389" s="147"/>
      <c r="E389" s="585"/>
      <c r="F389" s="586"/>
      <c r="G389" s="458"/>
      <c r="H389" s="458"/>
      <c r="I389" s="458"/>
      <c r="J389" s="465"/>
      <c r="K389" s="587"/>
      <c r="L389" s="465"/>
      <c r="M389" s="465"/>
      <c r="N389" s="465"/>
      <c r="O389" s="587"/>
      <c r="P389" s="585"/>
      <c r="Q389" s="465"/>
      <c r="R389" s="458"/>
      <c r="S389" s="585"/>
      <c r="T389" s="588"/>
      <c r="U389" s="589"/>
      <c r="V389" s="587"/>
      <c r="W389" s="465"/>
      <c r="X389" s="465"/>
      <c r="Y389" s="590"/>
      <c r="Z389" s="458"/>
      <c r="AA389" s="591"/>
      <c r="AB389" s="465"/>
      <c r="AC389" s="465"/>
      <c r="AD389" s="465"/>
      <c r="AE389" s="465"/>
      <c r="AF389" s="465"/>
      <c r="AG389" s="465"/>
      <c r="AH389" s="465"/>
      <c r="AI389" s="592"/>
      <c r="AJ389" s="465"/>
      <c r="AK389" s="465"/>
      <c r="AL389" s="20"/>
      <c r="AM389" s="20"/>
      <c r="AN389" s="593"/>
      <c r="AO389" s="20"/>
      <c r="AP389" s="276"/>
      <c r="AQ389" s="276"/>
      <c r="AR389" s="276"/>
      <c r="AS389" s="276"/>
      <c r="AT389" s="276"/>
      <c r="AU389" s="276"/>
      <c r="AV389" s="276"/>
      <c r="AW389" s="276"/>
      <c r="AX389" s="276"/>
      <c r="AY389" s="276"/>
      <c r="AZ389" s="276"/>
      <c r="BA389" s="276"/>
      <c r="BB389" s="276"/>
      <c r="BC389" s="276"/>
    </row>
    <row r="390" spans="1:55" ht="12.75" customHeight="1">
      <c r="A390" s="465"/>
      <c r="B390" s="465"/>
      <c r="C390" s="147"/>
      <c r="D390" s="147"/>
      <c r="E390" s="585"/>
      <c r="F390" s="586"/>
      <c r="G390" s="458"/>
      <c r="H390" s="458"/>
      <c r="I390" s="458"/>
      <c r="J390" s="465"/>
      <c r="K390" s="587"/>
      <c r="L390" s="465"/>
      <c r="M390" s="465"/>
      <c r="N390" s="465"/>
      <c r="O390" s="587"/>
      <c r="P390" s="585"/>
      <c r="Q390" s="465"/>
      <c r="R390" s="458"/>
      <c r="S390" s="585"/>
      <c r="T390" s="588"/>
      <c r="U390" s="589"/>
      <c r="V390" s="587"/>
      <c r="W390" s="465"/>
      <c r="X390" s="465"/>
      <c r="Y390" s="590"/>
      <c r="Z390" s="458"/>
      <c r="AA390" s="591"/>
      <c r="AB390" s="465"/>
      <c r="AC390" s="465"/>
      <c r="AD390" s="465"/>
      <c r="AE390" s="465"/>
      <c r="AF390" s="465"/>
      <c r="AG390" s="465"/>
      <c r="AH390" s="465"/>
      <c r="AI390" s="592"/>
      <c r="AJ390" s="465"/>
      <c r="AK390" s="465"/>
      <c r="AL390" s="20"/>
      <c r="AM390" s="20"/>
      <c r="AN390" s="593"/>
      <c r="AO390" s="20"/>
      <c r="AP390" s="276"/>
      <c r="AQ390" s="276"/>
      <c r="AR390" s="276"/>
      <c r="AS390" s="276"/>
      <c r="AT390" s="276"/>
      <c r="AU390" s="276"/>
      <c r="AV390" s="276"/>
      <c r="AW390" s="276"/>
      <c r="AX390" s="276"/>
      <c r="AY390" s="276"/>
      <c r="AZ390" s="276"/>
      <c r="BA390" s="276"/>
      <c r="BB390" s="276"/>
      <c r="BC390" s="276"/>
    </row>
    <row r="391" spans="1:55" ht="12.75" customHeight="1">
      <c r="A391" s="465"/>
      <c r="B391" s="465"/>
      <c r="C391" s="147"/>
      <c r="D391" s="147"/>
      <c r="E391" s="585"/>
      <c r="F391" s="586"/>
      <c r="G391" s="458"/>
      <c r="H391" s="458"/>
      <c r="I391" s="458"/>
      <c r="J391" s="465"/>
      <c r="K391" s="587"/>
      <c r="L391" s="465"/>
      <c r="M391" s="465"/>
      <c r="N391" s="465"/>
      <c r="O391" s="587"/>
      <c r="P391" s="585"/>
      <c r="Q391" s="465"/>
      <c r="R391" s="458"/>
      <c r="S391" s="585"/>
      <c r="T391" s="588"/>
      <c r="U391" s="589"/>
      <c r="V391" s="587"/>
      <c r="W391" s="465"/>
      <c r="X391" s="465"/>
      <c r="Y391" s="590"/>
      <c r="Z391" s="458"/>
      <c r="AA391" s="591"/>
      <c r="AB391" s="465"/>
      <c r="AC391" s="465"/>
      <c r="AD391" s="465"/>
      <c r="AE391" s="465"/>
      <c r="AF391" s="465"/>
      <c r="AG391" s="465"/>
      <c r="AH391" s="465"/>
      <c r="AI391" s="592"/>
      <c r="AJ391" s="465"/>
      <c r="AK391" s="465"/>
      <c r="AL391" s="20"/>
      <c r="AM391" s="20"/>
      <c r="AN391" s="593"/>
      <c r="AO391" s="20"/>
      <c r="AP391" s="276"/>
      <c r="AQ391" s="276"/>
      <c r="AR391" s="276"/>
      <c r="AS391" s="276"/>
      <c r="AT391" s="276"/>
      <c r="AU391" s="276"/>
      <c r="AV391" s="276"/>
      <c r="AW391" s="276"/>
      <c r="AX391" s="276"/>
      <c r="AY391" s="276"/>
      <c r="AZ391" s="276"/>
      <c r="BA391" s="276"/>
      <c r="BB391" s="276"/>
      <c r="BC391" s="276"/>
    </row>
    <row r="392" spans="1:55" ht="12.75" customHeight="1">
      <c r="A392" s="465"/>
      <c r="B392" s="465"/>
      <c r="C392" s="147"/>
      <c r="D392" s="147"/>
      <c r="E392" s="585"/>
      <c r="F392" s="586"/>
      <c r="G392" s="458"/>
      <c r="H392" s="458"/>
      <c r="I392" s="458"/>
      <c r="J392" s="465"/>
      <c r="K392" s="587"/>
      <c r="L392" s="465"/>
      <c r="M392" s="465"/>
      <c r="N392" s="465"/>
      <c r="O392" s="587"/>
      <c r="P392" s="585"/>
      <c r="Q392" s="465"/>
      <c r="R392" s="458"/>
      <c r="S392" s="585"/>
      <c r="T392" s="588"/>
      <c r="U392" s="589"/>
      <c r="V392" s="587"/>
      <c r="W392" s="465"/>
      <c r="X392" s="465"/>
      <c r="Y392" s="590"/>
      <c r="Z392" s="458"/>
      <c r="AA392" s="591"/>
      <c r="AB392" s="465"/>
      <c r="AC392" s="465"/>
      <c r="AD392" s="465"/>
      <c r="AE392" s="465"/>
      <c r="AF392" s="465"/>
      <c r="AG392" s="465"/>
      <c r="AH392" s="465"/>
      <c r="AI392" s="592"/>
      <c r="AJ392" s="465"/>
      <c r="AK392" s="465"/>
      <c r="AL392" s="20"/>
      <c r="AM392" s="20"/>
      <c r="AN392" s="593"/>
      <c r="AO392" s="20"/>
      <c r="AP392" s="276"/>
      <c r="AQ392" s="276"/>
      <c r="AR392" s="276"/>
      <c r="AS392" s="276"/>
      <c r="AT392" s="276"/>
      <c r="AU392" s="276"/>
      <c r="AV392" s="276"/>
      <c r="AW392" s="276"/>
      <c r="AX392" s="276"/>
      <c r="AY392" s="276"/>
      <c r="AZ392" s="276"/>
      <c r="BA392" s="276"/>
      <c r="BB392" s="276"/>
      <c r="BC392" s="276"/>
    </row>
    <row r="393" spans="1:55" ht="12.75" customHeight="1">
      <c r="A393" s="465"/>
      <c r="B393" s="465"/>
      <c r="C393" s="147"/>
      <c r="D393" s="147"/>
      <c r="E393" s="585"/>
      <c r="F393" s="586"/>
      <c r="G393" s="458"/>
      <c r="H393" s="458"/>
      <c r="I393" s="458"/>
      <c r="J393" s="465"/>
      <c r="K393" s="587"/>
      <c r="L393" s="465"/>
      <c r="M393" s="465"/>
      <c r="N393" s="465"/>
      <c r="O393" s="587"/>
      <c r="P393" s="585"/>
      <c r="Q393" s="465"/>
      <c r="R393" s="458"/>
      <c r="S393" s="585"/>
      <c r="T393" s="588"/>
      <c r="U393" s="589"/>
      <c r="V393" s="587"/>
      <c r="W393" s="465"/>
      <c r="X393" s="465"/>
      <c r="Y393" s="590"/>
      <c r="Z393" s="458"/>
      <c r="AA393" s="591"/>
      <c r="AB393" s="465"/>
      <c r="AC393" s="465"/>
      <c r="AD393" s="465"/>
      <c r="AE393" s="465"/>
      <c r="AF393" s="465"/>
      <c r="AG393" s="465"/>
      <c r="AH393" s="465"/>
      <c r="AI393" s="592"/>
      <c r="AJ393" s="465"/>
      <c r="AK393" s="465"/>
      <c r="AL393" s="20"/>
      <c r="AM393" s="20"/>
      <c r="AN393" s="593"/>
      <c r="AO393" s="20"/>
      <c r="AP393" s="276"/>
      <c r="AQ393" s="276"/>
      <c r="AR393" s="276"/>
      <c r="AS393" s="276"/>
      <c r="AT393" s="276"/>
      <c r="AU393" s="276"/>
      <c r="AV393" s="276"/>
      <c r="AW393" s="276"/>
      <c r="AX393" s="276"/>
      <c r="AY393" s="276"/>
      <c r="AZ393" s="276"/>
      <c r="BA393" s="276"/>
      <c r="BB393" s="276"/>
      <c r="BC393" s="276"/>
    </row>
    <row r="394" spans="1:55" ht="12.75" customHeight="1">
      <c r="A394" s="465"/>
      <c r="B394" s="465"/>
      <c r="C394" s="147"/>
      <c r="D394" s="147"/>
      <c r="E394" s="585"/>
      <c r="F394" s="586"/>
      <c r="G394" s="458"/>
      <c r="H394" s="458"/>
      <c r="I394" s="458"/>
      <c r="J394" s="465"/>
      <c r="K394" s="587"/>
      <c r="L394" s="465"/>
      <c r="M394" s="465"/>
      <c r="N394" s="465"/>
      <c r="O394" s="587"/>
      <c r="P394" s="585"/>
      <c r="Q394" s="465"/>
      <c r="R394" s="458"/>
      <c r="S394" s="585"/>
      <c r="T394" s="588"/>
      <c r="U394" s="589"/>
      <c r="V394" s="587"/>
      <c r="W394" s="465"/>
      <c r="X394" s="465"/>
      <c r="Y394" s="590"/>
      <c r="Z394" s="458"/>
      <c r="AA394" s="591"/>
      <c r="AB394" s="465"/>
      <c r="AC394" s="465"/>
      <c r="AD394" s="465"/>
      <c r="AE394" s="465"/>
      <c r="AF394" s="465"/>
      <c r="AG394" s="465"/>
      <c r="AH394" s="465"/>
      <c r="AI394" s="592"/>
      <c r="AJ394" s="465"/>
      <c r="AK394" s="465"/>
      <c r="AL394" s="20"/>
      <c r="AM394" s="20"/>
      <c r="AN394" s="593"/>
      <c r="AO394" s="20"/>
      <c r="AP394" s="276"/>
      <c r="AQ394" s="276"/>
      <c r="AR394" s="276"/>
      <c r="AS394" s="276"/>
      <c r="AT394" s="276"/>
      <c r="AU394" s="276"/>
      <c r="AV394" s="276"/>
      <c r="AW394" s="276"/>
      <c r="AX394" s="276"/>
      <c r="AY394" s="276"/>
      <c r="AZ394" s="276"/>
      <c r="BA394" s="276"/>
      <c r="BB394" s="276"/>
      <c r="BC394" s="276"/>
    </row>
    <row r="395" spans="1:55" ht="12.75" customHeight="1">
      <c r="A395" s="465"/>
      <c r="B395" s="465"/>
      <c r="C395" s="147"/>
      <c r="D395" s="147"/>
      <c r="E395" s="585"/>
      <c r="F395" s="586"/>
      <c r="G395" s="458"/>
      <c r="H395" s="458"/>
      <c r="I395" s="458"/>
      <c r="J395" s="465"/>
      <c r="K395" s="587"/>
      <c r="L395" s="465"/>
      <c r="M395" s="465"/>
      <c r="N395" s="465"/>
      <c r="O395" s="587"/>
      <c r="P395" s="585"/>
      <c r="Q395" s="465"/>
      <c r="R395" s="458"/>
      <c r="S395" s="585"/>
      <c r="T395" s="588"/>
      <c r="U395" s="589"/>
      <c r="V395" s="587"/>
      <c r="W395" s="465"/>
      <c r="X395" s="465"/>
      <c r="Y395" s="590"/>
      <c r="Z395" s="458"/>
      <c r="AA395" s="591"/>
      <c r="AB395" s="465"/>
      <c r="AC395" s="465"/>
      <c r="AD395" s="465"/>
      <c r="AE395" s="465"/>
      <c r="AF395" s="465"/>
      <c r="AG395" s="465"/>
      <c r="AH395" s="465"/>
      <c r="AI395" s="592"/>
      <c r="AJ395" s="465"/>
      <c r="AK395" s="465"/>
      <c r="AL395" s="20"/>
      <c r="AM395" s="20"/>
      <c r="AN395" s="593"/>
      <c r="AO395" s="20"/>
      <c r="AP395" s="276"/>
      <c r="AQ395" s="276"/>
      <c r="AR395" s="276"/>
      <c r="AS395" s="276"/>
      <c r="AT395" s="276"/>
      <c r="AU395" s="276"/>
      <c r="AV395" s="276"/>
      <c r="AW395" s="276"/>
      <c r="AX395" s="276"/>
      <c r="AY395" s="276"/>
      <c r="AZ395" s="276"/>
      <c r="BA395" s="276"/>
      <c r="BB395" s="276"/>
      <c r="BC395" s="276"/>
    </row>
    <row r="396" spans="1:55" ht="12.75" customHeight="1">
      <c r="A396" s="465"/>
      <c r="B396" s="465"/>
      <c r="C396" s="147"/>
      <c r="D396" s="147"/>
      <c r="E396" s="585"/>
      <c r="F396" s="586"/>
      <c r="G396" s="458"/>
      <c r="H396" s="458"/>
      <c r="I396" s="458"/>
      <c r="J396" s="465"/>
      <c r="K396" s="587"/>
      <c r="L396" s="465"/>
      <c r="M396" s="465"/>
      <c r="N396" s="465"/>
      <c r="O396" s="587"/>
      <c r="P396" s="585"/>
      <c r="Q396" s="465"/>
      <c r="R396" s="458"/>
      <c r="S396" s="585"/>
      <c r="T396" s="588"/>
      <c r="U396" s="589"/>
      <c r="V396" s="587"/>
      <c r="W396" s="465"/>
      <c r="X396" s="465"/>
      <c r="Y396" s="590"/>
      <c r="Z396" s="458"/>
      <c r="AA396" s="591"/>
      <c r="AB396" s="465"/>
      <c r="AC396" s="465"/>
      <c r="AD396" s="465"/>
      <c r="AE396" s="465"/>
      <c r="AF396" s="465"/>
      <c r="AG396" s="465"/>
      <c r="AH396" s="465"/>
      <c r="AI396" s="592"/>
      <c r="AJ396" s="465"/>
      <c r="AK396" s="465"/>
      <c r="AL396" s="20"/>
      <c r="AM396" s="20"/>
      <c r="AN396" s="593"/>
      <c r="AO396" s="20"/>
      <c r="AP396" s="276"/>
      <c r="AQ396" s="276"/>
      <c r="AR396" s="276"/>
      <c r="AS396" s="276"/>
      <c r="AT396" s="276"/>
      <c r="AU396" s="276"/>
      <c r="AV396" s="276"/>
      <c r="AW396" s="276"/>
      <c r="AX396" s="276"/>
      <c r="AY396" s="276"/>
      <c r="AZ396" s="276"/>
      <c r="BA396" s="276"/>
      <c r="BB396" s="276"/>
      <c r="BC396" s="276"/>
    </row>
    <row r="397" spans="1:55" ht="12.75" customHeight="1">
      <c r="A397" s="465"/>
      <c r="B397" s="465"/>
      <c r="C397" s="147"/>
      <c r="D397" s="147"/>
      <c r="E397" s="585"/>
      <c r="F397" s="586"/>
      <c r="G397" s="458"/>
      <c r="H397" s="458"/>
      <c r="I397" s="458"/>
      <c r="J397" s="465"/>
      <c r="K397" s="587"/>
      <c r="L397" s="465"/>
      <c r="M397" s="465"/>
      <c r="N397" s="465"/>
      <c r="O397" s="587"/>
      <c r="P397" s="585"/>
      <c r="Q397" s="465"/>
      <c r="R397" s="458"/>
      <c r="S397" s="585"/>
      <c r="T397" s="588"/>
      <c r="U397" s="589"/>
      <c r="V397" s="587"/>
      <c r="W397" s="465"/>
      <c r="X397" s="465"/>
      <c r="Y397" s="590"/>
      <c r="Z397" s="458"/>
      <c r="AA397" s="591"/>
      <c r="AB397" s="465"/>
      <c r="AC397" s="465"/>
      <c r="AD397" s="465"/>
      <c r="AE397" s="465"/>
      <c r="AF397" s="465"/>
      <c r="AG397" s="465"/>
      <c r="AH397" s="465"/>
      <c r="AI397" s="592"/>
      <c r="AJ397" s="465"/>
      <c r="AK397" s="465"/>
      <c r="AL397" s="20"/>
      <c r="AM397" s="20"/>
      <c r="AN397" s="593"/>
      <c r="AO397" s="20"/>
      <c r="AP397" s="276"/>
      <c r="AQ397" s="276"/>
      <c r="AR397" s="276"/>
      <c r="AS397" s="276"/>
      <c r="AT397" s="276"/>
      <c r="AU397" s="276"/>
      <c r="AV397" s="276"/>
      <c r="AW397" s="276"/>
      <c r="AX397" s="276"/>
      <c r="AY397" s="276"/>
      <c r="AZ397" s="276"/>
      <c r="BA397" s="276"/>
      <c r="BB397" s="276"/>
      <c r="BC397" s="276"/>
    </row>
    <row r="398" spans="1:55" ht="12.75" customHeight="1">
      <c r="A398" s="465"/>
      <c r="B398" s="465"/>
      <c r="C398" s="147"/>
      <c r="D398" s="147"/>
      <c r="E398" s="585"/>
      <c r="F398" s="586"/>
      <c r="G398" s="458"/>
      <c r="H398" s="458"/>
      <c r="I398" s="458"/>
      <c r="J398" s="465"/>
      <c r="K398" s="587"/>
      <c r="L398" s="465"/>
      <c r="M398" s="465"/>
      <c r="N398" s="465"/>
      <c r="O398" s="587"/>
      <c r="P398" s="585"/>
      <c r="Q398" s="465"/>
      <c r="R398" s="458"/>
      <c r="S398" s="585"/>
      <c r="T398" s="588"/>
      <c r="U398" s="589"/>
      <c r="V398" s="587"/>
      <c r="W398" s="465"/>
      <c r="X398" s="465"/>
      <c r="Y398" s="590"/>
      <c r="Z398" s="458"/>
      <c r="AA398" s="591"/>
      <c r="AB398" s="465"/>
      <c r="AC398" s="465"/>
      <c r="AD398" s="465"/>
      <c r="AE398" s="465"/>
      <c r="AF398" s="465"/>
      <c r="AG398" s="465"/>
      <c r="AH398" s="465"/>
      <c r="AI398" s="592"/>
      <c r="AJ398" s="465"/>
      <c r="AK398" s="465"/>
      <c r="AL398" s="20"/>
      <c r="AM398" s="20"/>
      <c r="AN398" s="593"/>
      <c r="AO398" s="20"/>
      <c r="AP398" s="276"/>
      <c r="AQ398" s="276"/>
      <c r="AR398" s="276"/>
      <c r="AS398" s="276"/>
      <c r="AT398" s="276"/>
      <c r="AU398" s="276"/>
      <c r="AV398" s="276"/>
      <c r="AW398" s="276"/>
      <c r="AX398" s="276"/>
      <c r="AY398" s="276"/>
      <c r="AZ398" s="276"/>
      <c r="BA398" s="276"/>
      <c r="BB398" s="276"/>
      <c r="BC398" s="276"/>
    </row>
    <row r="399" spans="1:55" ht="12.75" customHeight="1">
      <c r="A399" s="465"/>
      <c r="B399" s="465"/>
      <c r="C399" s="147"/>
      <c r="D399" s="147"/>
      <c r="E399" s="585"/>
      <c r="F399" s="586"/>
      <c r="G399" s="458"/>
      <c r="H399" s="458"/>
      <c r="I399" s="458"/>
      <c r="J399" s="465"/>
      <c r="K399" s="587"/>
      <c r="L399" s="465"/>
      <c r="M399" s="465"/>
      <c r="N399" s="465"/>
      <c r="O399" s="587"/>
      <c r="P399" s="585"/>
      <c r="Q399" s="465"/>
      <c r="R399" s="458"/>
      <c r="S399" s="585"/>
      <c r="T399" s="588"/>
      <c r="U399" s="589"/>
      <c r="V399" s="587"/>
      <c r="W399" s="465"/>
      <c r="X399" s="465"/>
      <c r="Y399" s="590"/>
      <c r="Z399" s="458"/>
      <c r="AA399" s="591"/>
      <c r="AB399" s="465"/>
      <c r="AC399" s="465"/>
      <c r="AD399" s="465"/>
      <c r="AE399" s="465"/>
      <c r="AF399" s="465"/>
      <c r="AG399" s="465"/>
      <c r="AH399" s="465"/>
      <c r="AI399" s="592"/>
      <c r="AJ399" s="465"/>
      <c r="AK399" s="465"/>
      <c r="AL399" s="20"/>
      <c r="AM399" s="20"/>
      <c r="AN399" s="593"/>
      <c r="AO399" s="20"/>
      <c r="AP399" s="276"/>
      <c r="AQ399" s="276"/>
      <c r="AR399" s="276"/>
      <c r="AS399" s="276"/>
      <c r="AT399" s="276"/>
      <c r="AU399" s="276"/>
      <c r="AV399" s="276"/>
      <c r="AW399" s="276"/>
      <c r="AX399" s="276"/>
      <c r="AY399" s="276"/>
      <c r="AZ399" s="276"/>
      <c r="BA399" s="276"/>
      <c r="BB399" s="276"/>
      <c r="BC399" s="276"/>
    </row>
    <row r="400" spans="1:55" ht="12.75" customHeight="1">
      <c r="A400" s="465"/>
      <c r="B400" s="465"/>
      <c r="C400" s="147"/>
      <c r="D400" s="147"/>
      <c r="E400" s="585"/>
      <c r="F400" s="586"/>
      <c r="G400" s="458"/>
      <c r="H400" s="458"/>
      <c r="I400" s="458"/>
      <c r="J400" s="465"/>
      <c r="K400" s="587"/>
      <c r="L400" s="465"/>
      <c r="M400" s="465"/>
      <c r="N400" s="465"/>
      <c r="O400" s="587"/>
      <c r="P400" s="585"/>
      <c r="Q400" s="465"/>
      <c r="R400" s="458"/>
      <c r="S400" s="585"/>
      <c r="T400" s="588"/>
      <c r="U400" s="589"/>
      <c r="V400" s="587"/>
      <c r="W400" s="465"/>
      <c r="X400" s="465"/>
      <c r="Y400" s="590"/>
      <c r="Z400" s="458"/>
      <c r="AA400" s="591"/>
      <c r="AB400" s="465"/>
      <c r="AC400" s="465"/>
      <c r="AD400" s="465"/>
      <c r="AE400" s="465"/>
      <c r="AF400" s="465"/>
      <c r="AG400" s="465"/>
      <c r="AH400" s="465"/>
      <c r="AI400" s="592"/>
      <c r="AJ400" s="465"/>
      <c r="AK400" s="465"/>
      <c r="AL400" s="20"/>
      <c r="AM400" s="20"/>
      <c r="AN400" s="593"/>
      <c r="AO400" s="20"/>
      <c r="AP400" s="276"/>
      <c r="AQ400" s="276"/>
      <c r="AR400" s="276"/>
      <c r="AS400" s="276"/>
      <c r="AT400" s="276"/>
      <c r="AU400" s="276"/>
      <c r="AV400" s="276"/>
      <c r="AW400" s="276"/>
      <c r="AX400" s="276"/>
      <c r="AY400" s="276"/>
      <c r="AZ400" s="276"/>
      <c r="BA400" s="276"/>
      <c r="BB400" s="276"/>
      <c r="BC400" s="276"/>
    </row>
    <row r="401" spans="1:55" ht="12.75" customHeight="1">
      <c r="A401" s="465"/>
      <c r="B401" s="465"/>
      <c r="C401" s="147"/>
      <c r="D401" s="147"/>
      <c r="E401" s="585"/>
      <c r="F401" s="586"/>
      <c r="G401" s="458"/>
      <c r="H401" s="458"/>
      <c r="I401" s="458"/>
      <c r="J401" s="465"/>
      <c r="K401" s="587"/>
      <c r="L401" s="465"/>
      <c r="M401" s="465"/>
      <c r="N401" s="465"/>
      <c r="O401" s="587"/>
      <c r="P401" s="585"/>
      <c r="Q401" s="465"/>
      <c r="R401" s="458"/>
      <c r="S401" s="585"/>
      <c r="T401" s="588"/>
      <c r="U401" s="589"/>
      <c r="V401" s="587"/>
      <c r="W401" s="465"/>
      <c r="X401" s="465"/>
      <c r="Y401" s="590"/>
      <c r="Z401" s="458"/>
      <c r="AA401" s="591"/>
      <c r="AB401" s="465"/>
      <c r="AC401" s="465"/>
      <c r="AD401" s="465"/>
      <c r="AE401" s="465"/>
      <c r="AF401" s="465"/>
      <c r="AG401" s="465"/>
      <c r="AH401" s="465"/>
      <c r="AI401" s="592"/>
      <c r="AJ401" s="465"/>
      <c r="AK401" s="465"/>
      <c r="AL401" s="20"/>
      <c r="AM401" s="20"/>
      <c r="AN401" s="593"/>
      <c r="AO401" s="20"/>
      <c r="AP401" s="276"/>
      <c r="AQ401" s="276"/>
      <c r="AR401" s="276"/>
      <c r="AS401" s="276"/>
      <c r="AT401" s="276"/>
      <c r="AU401" s="276"/>
      <c r="AV401" s="276"/>
      <c r="AW401" s="276"/>
      <c r="AX401" s="276"/>
      <c r="AY401" s="276"/>
      <c r="AZ401" s="276"/>
      <c r="BA401" s="276"/>
      <c r="BB401" s="276"/>
      <c r="BC401" s="276"/>
    </row>
    <row r="402" spans="1:55" ht="12.75" customHeight="1">
      <c r="A402" s="465"/>
      <c r="B402" s="465"/>
      <c r="C402" s="147"/>
      <c r="D402" s="147"/>
      <c r="E402" s="585"/>
      <c r="F402" s="586"/>
      <c r="G402" s="458"/>
      <c r="H402" s="458"/>
      <c r="I402" s="458"/>
      <c r="J402" s="465"/>
      <c r="K402" s="587"/>
      <c r="L402" s="465"/>
      <c r="M402" s="465"/>
      <c r="N402" s="465"/>
      <c r="O402" s="587"/>
      <c r="P402" s="585"/>
      <c r="Q402" s="465"/>
      <c r="R402" s="458"/>
      <c r="S402" s="585"/>
      <c r="T402" s="588"/>
      <c r="U402" s="589"/>
      <c r="V402" s="587"/>
      <c r="W402" s="465"/>
      <c r="X402" s="465"/>
      <c r="Y402" s="590"/>
      <c r="Z402" s="458"/>
      <c r="AA402" s="591"/>
      <c r="AB402" s="465"/>
      <c r="AC402" s="465"/>
      <c r="AD402" s="465"/>
      <c r="AE402" s="465"/>
      <c r="AF402" s="465"/>
      <c r="AG402" s="465"/>
      <c r="AH402" s="465"/>
      <c r="AI402" s="592"/>
      <c r="AJ402" s="465"/>
      <c r="AK402" s="465"/>
      <c r="AL402" s="20"/>
      <c r="AM402" s="20"/>
      <c r="AN402" s="593"/>
      <c r="AO402" s="20"/>
      <c r="AP402" s="276"/>
      <c r="AQ402" s="276"/>
      <c r="AR402" s="276"/>
      <c r="AS402" s="276"/>
      <c r="AT402" s="276"/>
      <c r="AU402" s="276"/>
      <c r="AV402" s="276"/>
      <c r="AW402" s="276"/>
      <c r="AX402" s="276"/>
      <c r="AY402" s="276"/>
      <c r="AZ402" s="276"/>
      <c r="BA402" s="276"/>
      <c r="BB402" s="276"/>
      <c r="BC402" s="276"/>
    </row>
    <row r="403" spans="1:55" ht="12.75" customHeight="1">
      <c r="A403" s="465"/>
      <c r="B403" s="465"/>
      <c r="C403" s="147"/>
      <c r="D403" s="147"/>
      <c r="E403" s="585"/>
      <c r="F403" s="586"/>
      <c r="G403" s="458"/>
      <c r="H403" s="458"/>
      <c r="I403" s="458"/>
      <c r="J403" s="465"/>
      <c r="K403" s="587"/>
      <c r="L403" s="465"/>
      <c r="M403" s="465"/>
      <c r="N403" s="465"/>
      <c r="O403" s="587"/>
      <c r="P403" s="585"/>
      <c r="Q403" s="465"/>
      <c r="R403" s="458"/>
      <c r="S403" s="585"/>
      <c r="T403" s="588"/>
      <c r="U403" s="589"/>
      <c r="V403" s="587"/>
      <c r="W403" s="465"/>
      <c r="X403" s="465"/>
      <c r="Y403" s="590"/>
      <c r="Z403" s="458"/>
      <c r="AA403" s="591"/>
      <c r="AB403" s="465"/>
      <c r="AC403" s="465"/>
      <c r="AD403" s="465"/>
      <c r="AE403" s="465"/>
      <c r="AF403" s="465"/>
      <c r="AG403" s="465"/>
      <c r="AH403" s="465"/>
      <c r="AI403" s="592"/>
      <c r="AJ403" s="465"/>
      <c r="AK403" s="465"/>
      <c r="AL403" s="20"/>
      <c r="AM403" s="20"/>
      <c r="AN403" s="593"/>
      <c r="AO403" s="20"/>
      <c r="AP403" s="276"/>
      <c r="AQ403" s="276"/>
      <c r="AR403" s="276"/>
      <c r="AS403" s="276"/>
      <c r="AT403" s="276"/>
      <c r="AU403" s="276"/>
      <c r="AV403" s="276"/>
      <c r="AW403" s="276"/>
      <c r="AX403" s="276"/>
      <c r="AY403" s="276"/>
      <c r="AZ403" s="276"/>
      <c r="BA403" s="276"/>
      <c r="BB403" s="276"/>
      <c r="BC403" s="276"/>
    </row>
    <row r="404" spans="1:55" ht="12.75" customHeight="1">
      <c r="A404" s="465"/>
      <c r="B404" s="465"/>
      <c r="C404" s="147"/>
      <c r="D404" s="147"/>
      <c r="E404" s="585"/>
      <c r="F404" s="586"/>
      <c r="G404" s="458"/>
      <c r="H404" s="458"/>
      <c r="I404" s="458"/>
      <c r="J404" s="465"/>
      <c r="K404" s="587"/>
      <c r="L404" s="465"/>
      <c r="M404" s="465"/>
      <c r="N404" s="465"/>
      <c r="O404" s="587"/>
      <c r="P404" s="585"/>
      <c r="Q404" s="465"/>
      <c r="R404" s="458"/>
      <c r="S404" s="585"/>
      <c r="T404" s="588"/>
      <c r="U404" s="589"/>
      <c r="V404" s="587"/>
      <c r="W404" s="465"/>
      <c r="X404" s="465"/>
      <c r="Y404" s="590"/>
      <c r="Z404" s="458"/>
      <c r="AA404" s="591"/>
      <c r="AB404" s="465"/>
      <c r="AC404" s="465"/>
      <c r="AD404" s="465"/>
      <c r="AE404" s="465"/>
      <c r="AF404" s="465"/>
      <c r="AG404" s="465"/>
      <c r="AH404" s="465"/>
      <c r="AI404" s="592"/>
      <c r="AJ404" s="465"/>
      <c r="AK404" s="465"/>
      <c r="AL404" s="20"/>
      <c r="AM404" s="20"/>
      <c r="AN404" s="593"/>
      <c r="AO404" s="20"/>
      <c r="AP404" s="276"/>
      <c r="AQ404" s="276"/>
      <c r="AR404" s="276"/>
      <c r="AS404" s="276"/>
      <c r="AT404" s="276"/>
      <c r="AU404" s="276"/>
      <c r="AV404" s="276"/>
      <c r="AW404" s="276"/>
      <c r="AX404" s="276"/>
      <c r="AY404" s="276"/>
      <c r="AZ404" s="276"/>
      <c r="BA404" s="276"/>
      <c r="BB404" s="276"/>
      <c r="BC404" s="276"/>
    </row>
    <row r="405" spans="1:55" ht="12.75" customHeight="1">
      <c r="A405" s="465"/>
      <c r="B405" s="465"/>
      <c r="C405" s="147"/>
      <c r="D405" s="147"/>
      <c r="E405" s="585"/>
      <c r="F405" s="586"/>
      <c r="G405" s="458"/>
      <c r="H405" s="458"/>
      <c r="I405" s="458"/>
      <c r="J405" s="465"/>
      <c r="K405" s="587"/>
      <c r="L405" s="465"/>
      <c r="M405" s="465"/>
      <c r="N405" s="465"/>
      <c r="O405" s="587"/>
      <c r="P405" s="585"/>
      <c r="Q405" s="465"/>
      <c r="R405" s="458"/>
      <c r="S405" s="585"/>
      <c r="T405" s="588"/>
      <c r="U405" s="589"/>
      <c r="V405" s="587"/>
      <c r="W405" s="465"/>
      <c r="X405" s="465"/>
      <c r="Y405" s="590"/>
      <c r="Z405" s="458"/>
      <c r="AA405" s="591"/>
      <c r="AB405" s="465"/>
      <c r="AC405" s="465"/>
      <c r="AD405" s="465"/>
      <c r="AE405" s="465"/>
      <c r="AF405" s="465"/>
      <c r="AG405" s="465"/>
      <c r="AH405" s="465"/>
      <c r="AI405" s="592"/>
      <c r="AJ405" s="465"/>
      <c r="AK405" s="465"/>
      <c r="AL405" s="20"/>
      <c r="AM405" s="20"/>
      <c r="AN405" s="593"/>
      <c r="AO405" s="20"/>
      <c r="AP405" s="276"/>
      <c r="AQ405" s="276"/>
      <c r="AR405" s="276"/>
      <c r="AS405" s="276"/>
      <c r="AT405" s="276"/>
      <c r="AU405" s="276"/>
      <c r="AV405" s="276"/>
      <c r="AW405" s="276"/>
      <c r="AX405" s="276"/>
      <c r="AY405" s="276"/>
      <c r="AZ405" s="276"/>
      <c r="BA405" s="276"/>
      <c r="BB405" s="276"/>
      <c r="BC405" s="276"/>
    </row>
    <row r="406" spans="1:55" ht="12.75" customHeight="1">
      <c r="A406" s="465"/>
      <c r="B406" s="465"/>
      <c r="C406" s="147"/>
      <c r="D406" s="147"/>
      <c r="E406" s="585"/>
      <c r="F406" s="586"/>
      <c r="G406" s="458"/>
      <c r="H406" s="458"/>
      <c r="I406" s="458"/>
      <c r="J406" s="465"/>
      <c r="K406" s="587"/>
      <c r="L406" s="465"/>
      <c r="M406" s="465"/>
      <c r="N406" s="465"/>
      <c r="O406" s="587"/>
      <c r="P406" s="585"/>
      <c r="Q406" s="465"/>
      <c r="R406" s="458"/>
      <c r="S406" s="585"/>
      <c r="T406" s="588"/>
      <c r="U406" s="589"/>
      <c r="V406" s="587"/>
      <c r="W406" s="465"/>
      <c r="X406" s="465"/>
      <c r="Y406" s="590"/>
      <c r="Z406" s="458"/>
      <c r="AA406" s="591"/>
      <c r="AB406" s="465"/>
      <c r="AC406" s="465"/>
      <c r="AD406" s="465"/>
      <c r="AE406" s="465"/>
      <c r="AF406" s="465"/>
      <c r="AG406" s="465"/>
      <c r="AH406" s="465"/>
      <c r="AI406" s="592"/>
      <c r="AJ406" s="465"/>
      <c r="AK406" s="465"/>
      <c r="AL406" s="20"/>
      <c r="AM406" s="20"/>
      <c r="AN406" s="593"/>
      <c r="AO406" s="20"/>
      <c r="AP406" s="276"/>
      <c r="AQ406" s="276"/>
      <c r="AR406" s="276"/>
      <c r="AS406" s="276"/>
      <c r="AT406" s="276"/>
      <c r="AU406" s="276"/>
      <c r="AV406" s="276"/>
      <c r="AW406" s="276"/>
      <c r="AX406" s="276"/>
      <c r="AY406" s="276"/>
      <c r="AZ406" s="276"/>
      <c r="BA406" s="276"/>
      <c r="BB406" s="276"/>
      <c r="BC406" s="276"/>
    </row>
    <row r="407" spans="1:55" ht="12.75" customHeight="1">
      <c r="A407" s="465"/>
      <c r="B407" s="465"/>
      <c r="C407" s="147"/>
      <c r="D407" s="147"/>
      <c r="E407" s="585"/>
      <c r="F407" s="586"/>
      <c r="G407" s="458"/>
      <c r="H407" s="458"/>
      <c r="I407" s="458"/>
      <c r="J407" s="465"/>
      <c r="K407" s="587"/>
      <c r="L407" s="465"/>
      <c r="M407" s="465"/>
      <c r="N407" s="465"/>
      <c r="O407" s="587"/>
      <c r="P407" s="585"/>
      <c r="Q407" s="465"/>
      <c r="R407" s="458"/>
      <c r="S407" s="585"/>
      <c r="T407" s="588"/>
      <c r="U407" s="589"/>
      <c r="V407" s="587"/>
      <c r="W407" s="465"/>
      <c r="X407" s="465"/>
      <c r="Y407" s="590"/>
      <c r="Z407" s="458"/>
      <c r="AA407" s="591"/>
      <c r="AB407" s="465"/>
      <c r="AC407" s="465"/>
      <c r="AD407" s="465"/>
      <c r="AE407" s="465"/>
      <c r="AF407" s="465"/>
      <c r="AG407" s="465"/>
      <c r="AH407" s="465"/>
      <c r="AI407" s="592"/>
      <c r="AJ407" s="465"/>
      <c r="AK407" s="465"/>
      <c r="AL407" s="20"/>
      <c r="AM407" s="20"/>
      <c r="AN407" s="593"/>
      <c r="AO407" s="20"/>
      <c r="AP407" s="276"/>
      <c r="AQ407" s="276"/>
      <c r="AR407" s="276"/>
      <c r="AS407" s="276"/>
      <c r="AT407" s="276"/>
      <c r="AU407" s="276"/>
      <c r="AV407" s="276"/>
      <c r="AW407" s="276"/>
      <c r="AX407" s="276"/>
      <c r="AY407" s="276"/>
      <c r="AZ407" s="276"/>
      <c r="BA407" s="276"/>
      <c r="BB407" s="276"/>
      <c r="BC407" s="276"/>
    </row>
    <row r="408" spans="1:55" ht="12.75" customHeight="1">
      <c r="A408" s="465"/>
      <c r="B408" s="465"/>
      <c r="C408" s="147"/>
      <c r="D408" s="147"/>
      <c r="E408" s="585"/>
      <c r="F408" s="586"/>
      <c r="G408" s="458"/>
      <c r="H408" s="458"/>
      <c r="I408" s="458"/>
      <c r="J408" s="465"/>
      <c r="K408" s="587"/>
      <c r="L408" s="465"/>
      <c r="M408" s="465"/>
      <c r="N408" s="465"/>
      <c r="O408" s="587"/>
      <c r="P408" s="585"/>
      <c r="Q408" s="465"/>
      <c r="R408" s="458"/>
      <c r="S408" s="585"/>
      <c r="T408" s="588"/>
      <c r="U408" s="589"/>
      <c r="V408" s="587"/>
      <c r="W408" s="465"/>
      <c r="X408" s="465"/>
      <c r="Y408" s="590"/>
      <c r="Z408" s="458"/>
      <c r="AA408" s="591"/>
      <c r="AB408" s="465"/>
      <c r="AC408" s="465"/>
      <c r="AD408" s="465"/>
      <c r="AE408" s="465"/>
      <c r="AF408" s="465"/>
      <c r="AG408" s="465"/>
      <c r="AH408" s="465"/>
      <c r="AI408" s="592"/>
      <c r="AJ408" s="465"/>
      <c r="AK408" s="465"/>
      <c r="AL408" s="20"/>
      <c r="AM408" s="20"/>
      <c r="AN408" s="593"/>
      <c r="AO408" s="20"/>
      <c r="AP408" s="276"/>
      <c r="AQ408" s="276"/>
      <c r="AR408" s="276"/>
      <c r="AS408" s="276"/>
      <c r="AT408" s="276"/>
      <c r="AU408" s="276"/>
      <c r="AV408" s="276"/>
      <c r="AW408" s="276"/>
      <c r="AX408" s="276"/>
      <c r="AY408" s="276"/>
      <c r="AZ408" s="276"/>
      <c r="BA408" s="276"/>
      <c r="BB408" s="276"/>
      <c r="BC408" s="276"/>
    </row>
    <row r="409" spans="1:55" ht="12.75" customHeight="1">
      <c r="A409" s="465"/>
      <c r="B409" s="465"/>
      <c r="C409" s="147"/>
      <c r="D409" s="147"/>
      <c r="E409" s="585"/>
      <c r="F409" s="586"/>
      <c r="G409" s="458"/>
      <c r="H409" s="458"/>
      <c r="I409" s="458"/>
      <c r="J409" s="465"/>
      <c r="K409" s="587"/>
      <c r="L409" s="465"/>
      <c r="M409" s="465"/>
      <c r="N409" s="465"/>
      <c r="O409" s="587"/>
      <c r="P409" s="585"/>
      <c r="Q409" s="465"/>
      <c r="R409" s="458"/>
      <c r="S409" s="585"/>
      <c r="T409" s="588"/>
      <c r="U409" s="589"/>
      <c r="V409" s="587"/>
      <c r="W409" s="465"/>
      <c r="X409" s="465"/>
      <c r="Y409" s="590"/>
      <c r="Z409" s="458"/>
      <c r="AA409" s="591"/>
      <c r="AB409" s="465"/>
      <c r="AC409" s="465"/>
      <c r="AD409" s="465"/>
      <c r="AE409" s="465"/>
      <c r="AF409" s="465"/>
      <c r="AG409" s="465"/>
      <c r="AH409" s="465"/>
      <c r="AI409" s="592"/>
      <c r="AJ409" s="465"/>
      <c r="AK409" s="465"/>
      <c r="AL409" s="20"/>
      <c r="AM409" s="20"/>
      <c r="AN409" s="593"/>
      <c r="AO409" s="20"/>
      <c r="AP409" s="276"/>
      <c r="AQ409" s="276"/>
      <c r="AR409" s="276"/>
      <c r="AS409" s="276"/>
      <c r="AT409" s="276"/>
      <c r="AU409" s="276"/>
      <c r="AV409" s="276"/>
      <c r="AW409" s="276"/>
      <c r="AX409" s="276"/>
      <c r="AY409" s="276"/>
      <c r="AZ409" s="276"/>
      <c r="BA409" s="276"/>
      <c r="BB409" s="276"/>
      <c r="BC409" s="276"/>
    </row>
    <row r="410" spans="1:55" ht="12.75" customHeight="1">
      <c r="A410" s="465"/>
      <c r="B410" s="465"/>
      <c r="C410" s="147"/>
      <c r="D410" s="147"/>
      <c r="E410" s="585"/>
      <c r="F410" s="586"/>
      <c r="G410" s="458"/>
      <c r="H410" s="458"/>
      <c r="I410" s="458"/>
      <c r="J410" s="465"/>
      <c r="K410" s="587"/>
      <c r="L410" s="465"/>
      <c r="M410" s="465"/>
      <c r="N410" s="465"/>
      <c r="O410" s="587"/>
      <c r="P410" s="585"/>
      <c r="Q410" s="465"/>
      <c r="R410" s="458"/>
      <c r="S410" s="585"/>
      <c r="T410" s="588"/>
      <c r="U410" s="589"/>
      <c r="V410" s="587"/>
      <c r="W410" s="465"/>
      <c r="X410" s="465"/>
      <c r="Y410" s="590"/>
      <c r="Z410" s="458"/>
      <c r="AA410" s="591"/>
      <c r="AB410" s="465"/>
      <c r="AC410" s="465"/>
      <c r="AD410" s="465"/>
      <c r="AE410" s="465"/>
      <c r="AF410" s="465"/>
      <c r="AG410" s="465"/>
      <c r="AH410" s="465"/>
      <c r="AI410" s="592"/>
      <c r="AJ410" s="465"/>
      <c r="AK410" s="465"/>
      <c r="AL410" s="20"/>
      <c r="AM410" s="20"/>
      <c r="AN410" s="593"/>
      <c r="AO410" s="20"/>
      <c r="AP410" s="276"/>
      <c r="AQ410" s="276"/>
      <c r="AR410" s="276"/>
      <c r="AS410" s="276"/>
      <c r="AT410" s="276"/>
      <c r="AU410" s="276"/>
      <c r="AV410" s="276"/>
      <c r="AW410" s="276"/>
      <c r="AX410" s="276"/>
      <c r="AY410" s="276"/>
      <c r="AZ410" s="276"/>
      <c r="BA410" s="276"/>
      <c r="BB410" s="276"/>
      <c r="BC410" s="276"/>
    </row>
    <row r="411" spans="1:55" ht="12.75" customHeight="1">
      <c r="A411" s="465"/>
      <c r="B411" s="465"/>
      <c r="C411" s="147"/>
      <c r="D411" s="147"/>
      <c r="E411" s="585"/>
      <c r="F411" s="586"/>
      <c r="G411" s="458"/>
      <c r="H411" s="458"/>
      <c r="I411" s="458"/>
      <c r="J411" s="465"/>
      <c r="K411" s="587"/>
      <c r="L411" s="465"/>
      <c r="M411" s="465"/>
      <c r="N411" s="465"/>
      <c r="O411" s="587"/>
      <c r="P411" s="585"/>
      <c r="Q411" s="465"/>
      <c r="R411" s="458"/>
      <c r="S411" s="585"/>
      <c r="T411" s="588"/>
      <c r="U411" s="589"/>
      <c r="V411" s="587"/>
      <c r="W411" s="465"/>
      <c r="X411" s="465"/>
      <c r="Y411" s="590"/>
      <c r="Z411" s="458"/>
      <c r="AA411" s="591"/>
      <c r="AB411" s="465"/>
      <c r="AC411" s="465"/>
      <c r="AD411" s="465"/>
      <c r="AE411" s="465"/>
      <c r="AF411" s="465"/>
      <c r="AG411" s="465"/>
      <c r="AH411" s="465"/>
      <c r="AI411" s="592"/>
      <c r="AJ411" s="465"/>
      <c r="AK411" s="465"/>
      <c r="AL411" s="20"/>
      <c r="AM411" s="20"/>
      <c r="AN411" s="593"/>
      <c r="AO411" s="20"/>
      <c r="AP411" s="276"/>
      <c r="AQ411" s="276"/>
      <c r="AR411" s="276"/>
      <c r="AS411" s="276"/>
      <c r="AT411" s="276"/>
      <c r="AU411" s="276"/>
      <c r="AV411" s="276"/>
      <c r="AW411" s="276"/>
      <c r="AX411" s="276"/>
      <c r="AY411" s="276"/>
      <c r="AZ411" s="276"/>
      <c r="BA411" s="276"/>
      <c r="BB411" s="276"/>
      <c r="BC411" s="276"/>
    </row>
    <row r="412" spans="1:55" ht="12.75" customHeight="1">
      <c r="A412" s="465"/>
      <c r="B412" s="465"/>
      <c r="C412" s="147"/>
      <c r="D412" s="147"/>
      <c r="E412" s="585"/>
      <c r="F412" s="586"/>
      <c r="G412" s="458"/>
      <c r="H412" s="458"/>
      <c r="I412" s="458"/>
      <c r="J412" s="465"/>
      <c r="K412" s="587"/>
      <c r="L412" s="465"/>
      <c r="M412" s="465"/>
      <c r="N412" s="465"/>
      <c r="O412" s="587"/>
      <c r="P412" s="585"/>
      <c r="Q412" s="465"/>
      <c r="R412" s="458"/>
      <c r="S412" s="585"/>
      <c r="T412" s="588"/>
      <c r="U412" s="589"/>
      <c r="V412" s="587"/>
      <c r="W412" s="465"/>
      <c r="X412" s="465"/>
      <c r="Y412" s="590"/>
      <c r="Z412" s="458"/>
      <c r="AA412" s="591"/>
      <c r="AB412" s="465"/>
      <c r="AC412" s="465"/>
      <c r="AD412" s="465"/>
      <c r="AE412" s="465"/>
      <c r="AF412" s="465"/>
      <c r="AG412" s="465"/>
      <c r="AH412" s="465"/>
      <c r="AI412" s="592"/>
      <c r="AJ412" s="465"/>
      <c r="AK412" s="465"/>
      <c r="AL412" s="20"/>
      <c r="AM412" s="20"/>
      <c r="AN412" s="593"/>
      <c r="AO412" s="20"/>
      <c r="AP412" s="276"/>
      <c r="AQ412" s="276"/>
      <c r="AR412" s="276"/>
      <c r="AS412" s="276"/>
      <c r="AT412" s="276"/>
      <c r="AU412" s="276"/>
      <c r="AV412" s="276"/>
      <c r="AW412" s="276"/>
      <c r="AX412" s="276"/>
      <c r="AY412" s="276"/>
      <c r="AZ412" s="276"/>
      <c r="BA412" s="276"/>
      <c r="BB412" s="276"/>
      <c r="BC412" s="276"/>
    </row>
    <row r="413" spans="1:55" ht="12.75" customHeight="1">
      <c r="A413" s="465"/>
      <c r="B413" s="465"/>
      <c r="C413" s="147"/>
      <c r="D413" s="147"/>
      <c r="E413" s="585"/>
      <c r="F413" s="586"/>
      <c r="G413" s="458"/>
      <c r="H413" s="458"/>
      <c r="I413" s="458"/>
      <c r="J413" s="465"/>
      <c r="K413" s="587"/>
      <c r="L413" s="465"/>
      <c r="M413" s="465"/>
      <c r="N413" s="465"/>
      <c r="O413" s="587"/>
      <c r="P413" s="585"/>
      <c r="Q413" s="465"/>
      <c r="R413" s="458"/>
      <c r="S413" s="585"/>
      <c r="T413" s="588"/>
      <c r="U413" s="589"/>
      <c r="V413" s="587"/>
      <c r="W413" s="465"/>
      <c r="X413" s="465"/>
      <c r="Y413" s="590"/>
      <c r="Z413" s="458"/>
      <c r="AA413" s="591"/>
      <c r="AB413" s="465"/>
      <c r="AC413" s="465"/>
      <c r="AD413" s="465"/>
      <c r="AE413" s="465"/>
      <c r="AF413" s="465"/>
      <c r="AG413" s="465"/>
      <c r="AH413" s="465"/>
      <c r="AI413" s="592"/>
      <c r="AJ413" s="465"/>
      <c r="AK413" s="465"/>
      <c r="AL413" s="20"/>
      <c r="AM413" s="20"/>
      <c r="AN413" s="593"/>
      <c r="AO413" s="20"/>
      <c r="AP413" s="276"/>
      <c r="AQ413" s="276"/>
      <c r="AR413" s="276"/>
      <c r="AS413" s="276"/>
      <c r="AT413" s="276"/>
      <c r="AU413" s="276"/>
      <c r="AV413" s="276"/>
      <c r="AW413" s="276"/>
      <c r="AX413" s="276"/>
      <c r="AY413" s="276"/>
      <c r="AZ413" s="276"/>
      <c r="BA413" s="276"/>
      <c r="BB413" s="276"/>
      <c r="BC413" s="276"/>
    </row>
    <row r="414" spans="1:55" ht="12.75" customHeight="1">
      <c r="A414" s="465"/>
      <c r="B414" s="465"/>
      <c r="C414" s="147"/>
      <c r="D414" s="147"/>
      <c r="E414" s="585"/>
      <c r="F414" s="586"/>
      <c r="G414" s="458"/>
      <c r="H414" s="458"/>
      <c r="I414" s="458"/>
      <c r="J414" s="465"/>
      <c r="K414" s="587"/>
      <c r="L414" s="465"/>
      <c r="M414" s="465"/>
      <c r="N414" s="465"/>
      <c r="O414" s="587"/>
      <c r="P414" s="585"/>
      <c r="Q414" s="465"/>
      <c r="R414" s="458"/>
      <c r="S414" s="585"/>
      <c r="T414" s="588"/>
      <c r="U414" s="589"/>
      <c r="V414" s="587"/>
      <c r="W414" s="465"/>
      <c r="X414" s="465"/>
      <c r="Y414" s="590"/>
      <c r="Z414" s="458"/>
      <c r="AA414" s="591"/>
      <c r="AB414" s="465"/>
      <c r="AC414" s="465"/>
      <c r="AD414" s="465"/>
      <c r="AE414" s="465"/>
      <c r="AF414" s="465"/>
      <c r="AG414" s="465"/>
      <c r="AH414" s="465"/>
      <c r="AI414" s="592"/>
      <c r="AJ414" s="465"/>
      <c r="AK414" s="465"/>
      <c r="AL414" s="20"/>
      <c r="AM414" s="20"/>
      <c r="AN414" s="593"/>
      <c r="AO414" s="20"/>
      <c r="AP414" s="276"/>
      <c r="AQ414" s="276"/>
      <c r="AR414" s="276"/>
      <c r="AS414" s="276"/>
      <c r="AT414" s="276"/>
      <c r="AU414" s="276"/>
      <c r="AV414" s="276"/>
      <c r="AW414" s="276"/>
      <c r="AX414" s="276"/>
      <c r="AY414" s="276"/>
      <c r="AZ414" s="276"/>
      <c r="BA414" s="276"/>
      <c r="BB414" s="276"/>
      <c r="BC414" s="276"/>
    </row>
    <row r="415" spans="1:55" ht="12.75" customHeight="1">
      <c r="A415" s="465"/>
      <c r="B415" s="465"/>
      <c r="C415" s="147"/>
      <c r="D415" s="147"/>
      <c r="E415" s="585"/>
      <c r="F415" s="586"/>
      <c r="G415" s="458"/>
      <c r="H415" s="458"/>
      <c r="I415" s="458"/>
      <c r="J415" s="465"/>
      <c r="K415" s="587"/>
      <c r="L415" s="465"/>
      <c r="M415" s="465"/>
      <c r="N415" s="465"/>
      <c r="O415" s="587"/>
      <c r="P415" s="585"/>
      <c r="Q415" s="465"/>
      <c r="R415" s="458"/>
      <c r="S415" s="585"/>
      <c r="T415" s="588"/>
      <c r="U415" s="589"/>
      <c r="V415" s="587"/>
      <c r="W415" s="465"/>
      <c r="X415" s="465"/>
      <c r="Y415" s="590"/>
      <c r="Z415" s="458"/>
      <c r="AA415" s="591"/>
      <c r="AB415" s="465"/>
      <c r="AC415" s="465"/>
      <c r="AD415" s="465"/>
      <c r="AE415" s="465"/>
      <c r="AF415" s="465"/>
      <c r="AG415" s="465"/>
      <c r="AH415" s="465"/>
      <c r="AI415" s="592"/>
      <c r="AJ415" s="465"/>
      <c r="AK415" s="465"/>
      <c r="AL415" s="20"/>
      <c r="AM415" s="20"/>
      <c r="AN415" s="593"/>
      <c r="AO415" s="20"/>
      <c r="AP415" s="276"/>
      <c r="AQ415" s="276"/>
      <c r="AR415" s="276"/>
      <c r="AS415" s="276"/>
      <c r="AT415" s="276"/>
      <c r="AU415" s="276"/>
      <c r="AV415" s="276"/>
      <c r="AW415" s="276"/>
      <c r="AX415" s="276"/>
      <c r="AY415" s="276"/>
      <c r="AZ415" s="276"/>
      <c r="BA415" s="276"/>
      <c r="BB415" s="276"/>
      <c r="BC415" s="276"/>
    </row>
    <row r="416" spans="1:55" ht="12.75" customHeight="1">
      <c r="A416" s="465"/>
      <c r="B416" s="465"/>
      <c r="C416" s="147"/>
      <c r="D416" s="147"/>
      <c r="E416" s="585"/>
      <c r="F416" s="586"/>
      <c r="G416" s="458"/>
      <c r="H416" s="458"/>
      <c r="I416" s="458"/>
      <c r="J416" s="465"/>
      <c r="K416" s="587"/>
      <c r="L416" s="465"/>
      <c r="M416" s="465"/>
      <c r="N416" s="465"/>
      <c r="O416" s="587"/>
      <c r="P416" s="585"/>
      <c r="Q416" s="465"/>
      <c r="R416" s="458"/>
      <c r="S416" s="585"/>
      <c r="T416" s="588"/>
      <c r="U416" s="589"/>
      <c r="V416" s="587"/>
      <c r="W416" s="465"/>
      <c r="X416" s="465"/>
      <c r="Y416" s="590"/>
      <c r="Z416" s="458"/>
      <c r="AA416" s="591"/>
      <c r="AB416" s="465"/>
      <c r="AC416" s="465"/>
      <c r="AD416" s="465"/>
      <c r="AE416" s="465"/>
      <c r="AF416" s="465"/>
      <c r="AG416" s="465"/>
      <c r="AH416" s="465"/>
      <c r="AI416" s="592"/>
      <c r="AJ416" s="465"/>
      <c r="AK416" s="465"/>
      <c r="AL416" s="20"/>
      <c r="AM416" s="20"/>
      <c r="AN416" s="593"/>
      <c r="AO416" s="20"/>
      <c r="AP416" s="276"/>
      <c r="AQ416" s="276"/>
      <c r="AR416" s="276"/>
      <c r="AS416" s="276"/>
      <c r="AT416" s="276"/>
      <c r="AU416" s="276"/>
      <c r="AV416" s="276"/>
      <c r="AW416" s="276"/>
      <c r="AX416" s="276"/>
      <c r="AY416" s="276"/>
      <c r="AZ416" s="276"/>
      <c r="BA416" s="276"/>
      <c r="BB416" s="276"/>
      <c r="BC416" s="276"/>
    </row>
    <row r="417" spans="1:55" ht="12.75" customHeight="1">
      <c r="A417" s="465"/>
      <c r="B417" s="465"/>
      <c r="C417" s="147"/>
      <c r="D417" s="147"/>
      <c r="E417" s="585"/>
      <c r="F417" s="586"/>
      <c r="G417" s="458"/>
      <c r="H417" s="458"/>
      <c r="I417" s="458"/>
      <c r="J417" s="465"/>
      <c r="K417" s="587"/>
      <c r="L417" s="465"/>
      <c r="M417" s="465"/>
      <c r="N417" s="465"/>
      <c r="O417" s="587"/>
      <c r="P417" s="585"/>
      <c r="Q417" s="465"/>
      <c r="R417" s="458"/>
      <c r="S417" s="585"/>
      <c r="T417" s="588"/>
      <c r="U417" s="589"/>
      <c r="V417" s="587"/>
      <c r="W417" s="465"/>
      <c r="X417" s="465"/>
      <c r="Y417" s="590"/>
      <c r="Z417" s="458"/>
      <c r="AA417" s="591"/>
      <c r="AB417" s="465"/>
      <c r="AC417" s="465"/>
      <c r="AD417" s="465"/>
      <c r="AE417" s="465"/>
      <c r="AF417" s="465"/>
      <c r="AG417" s="465"/>
      <c r="AH417" s="465"/>
      <c r="AI417" s="592"/>
      <c r="AJ417" s="465"/>
      <c r="AK417" s="465"/>
      <c r="AL417" s="20"/>
      <c r="AM417" s="20"/>
      <c r="AN417" s="593"/>
      <c r="AO417" s="20"/>
      <c r="AP417" s="276"/>
      <c r="AQ417" s="276"/>
      <c r="AR417" s="276"/>
      <c r="AS417" s="276"/>
      <c r="AT417" s="276"/>
      <c r="AU417" s="276"/>
      <c r="AV417" s="276"/>
      <c r="AW417" s="276"/>
      <c r="AX417" s="276"/>
      <c r="AY417" s="276"/>
      <c r="AZ417" s="276"/>
      <c r="BA417" s="276"/>
      <c r="BB417" s="276"/>
      <c r="BC417" s="276"/>
    </row>
    <row r="418" spans="1:55" ht="12.75" customHeight="1">
      <c r="A418" s="465"/>
      <c r="B418" s="465"/>
      <c r="C418" s="147"/>
      <c r="D418" s="147"/>
      <c r="E418" s="585"/>
      <c r="F418" s="586"/>
      <c r="G418" s="458"/>
      <c r="H418" s="458"/>
      <c r="I418" s="458"/>
      <c r="J418" s="465"/>
      <c r="K418" s="587"/>
      <c r="L418" s="465"/>
      <c r="M418" s="465"/>
      <c r="N418" s="465"/>
      <c r="O418" s="587"/>
      <c r="P418" s="585"/>
      <c r="Q418" s="465"/>
      <c r="R418" s="458"/>
      <c r="S418" s="585"/>
      <c r="T418" s="588"/>
      <c r="U418" s="589"/>
      <c r="V418" s="587"/>
      <c r="W418" s="465"/>
      <c r="X418" s="465"/>
      <c r="Y418" s="590"/>
      <c r="Z418" s="458"/>
      <c r="AA418" s="591"/>
      <c r="AB418" s="465"/>
      <c r="AC418" s="465"/>
      <c r="AD418" s="465"/>
      <c r="AE418" s="465"/>
      <c r="AF418" s="465"/>
      <c r="AG418" s="465"/>
      <c r="AH418" s="465"/>
      <c r="AI418" s="592"/>
      <c r="AJ418" s="465"/>
      <c r="AK418" s="465"/>
      <c r="AL418" s="20"/>
      <c r="AM418" s="20"/>
      <c r="AN418" s="593"/>
      <c r="AO418" s="20"/>
      <c r="AP418" s="276"/>
      <c r="AQ418" s="276"/>
      <c r="AR418" s="276"/>
      <c r="AS418" s="276"/>
      <c r="AT418" s="276"/>
      <c r="AU418" s="276"/>
      <c r="AV418" s="276"/>
      <c r="AW418" s="276"/>
      <c r="AX418" s="276"/>
      <c r="AY418" s="276"/>
      <c r="AZ418" s="276"/>
      <c r="BA418" s="276"/>
      <c r="BB418" s="276"/>
      <c r="BC418" s="276"/>
    </row>
    <row r="419" spans="1:55" ht="12.75" customHeight="1">
      <c r="A419" s="465"/>
      <c r="B419" s="465"/>
      <c r="C419" s="147"/>
      <c r="D419" s="147"/>
      <c r="E419" s="585"/>
      <c r="F419" s="586"/>
      <c r="G419" s="458"/>
      <c r="H419" s="458"/>
      <c r="I419" s="458"/>
      <c r="J419" s="465"/>
      <c r="K419" s="587"/>
      <c r="L419" s="465"/>
      <c r="M419" s="465"/>
      <c r="N419" s="465"/>
      <c r="O419" s="587"/>
      <c r="P419" s="585"/>
      <c r="Q419" s="465"/>
      <c r="R419" s="458"/>
      <c r="S419" s="585"/>
      <c r="T419" s="588"/>
      <c r="U419" s="589"/>
      <c r="V419" s="587"/>
      <c r="W419" s="465"/>
      <c r="X419" s="465"/>
      <c r="Y419" s="590"/>
      <c r="Z419" s="458"/>
      <c r="AA419" s="591"/>
      <c r="AB419" s="465"/>
      <c r="AC419" s="465"/>
      <c r="AD419" s="465"/>
      <c r="AE419" s="465"/>
      <c r="AF419" s="465"/>
      <c r="AG419" s="465"/>
      <c r="AH419" s="465"/>
      <c r="AI419" s="592"/>
      <c r="AJ419" s="465"/>
      <c r="AK419" s="465"/>
      <c r="AL419" s="20"/>
      <c r="AM419" s="20"/>
      <c r="AN419" s="593"/>
      <c r="AO419" s="20"/>
      <c r="AP419" s="276"/>
      <c r="AQ419" s="276"/>
      <c r="AR419" s="276"/>
      <c r="AS419" s="276"/>
      <c r="AT419" s="276"/>
      <c r="AU419" s="276"/>
      <c r="AV419" s="276"/>
      <c r="AW419" s="276"/>
      <c r="AX419" s="276"/>
      <c r="AY419" s="276"/>
      <c r="AZ419" s="276"/>
      <c r="BA419" s="276"/>
      <c r="BB419" s="276"/>
      <c r="BC419" s="276"/>
    </row>
    <row r="420" spans="1:55" ht="12.75" customHeight="1">
      <c r="A420" s="465"/>
      <c r="B420" s="465"/>
      <c r="C420" s="147"/>
      <c r="D420" s="147"/>
      <c r="E420" s="585"/>
      <c r="F420" s="586"/>
      <c r="G420" s="458"/>
      <c r="H420" s="458"/>
      <c r="I420" s="458"/>
      <c r="J420" s="465"/>
      <c r="K420" s="587"/>
      <c r="L420" s="465"/>
      <c r="M420" s="465"/>
      <c r="N420" s="465"/>
      <c r="O420" s="587"/>
      <c r="P420" s="585"/>
      <c r="Q420" s="465"/>
      <c r="R420" s="458"/>
      <c r="S420" s="585"/>
      <c r="T420" s="588"/>
      <c r="U420" s="589"/>
      <c r="V420" s="587"/>
      <c r="W420" s="465"/>
      <c r="X420" s="465"/>
      <c r="Y420" s="590"/>
      <c r="Z420" s="458"/>
      <c r="AA420" s="591"/>
      <c r="AB420" s="465"/>
      <c r="AC420" s="465"/>
      <c r="AD420" s="465"/>
      <c r="AE420" s="465"/>
      <c r="AF420" s="465"/>
      <c r="AG420" s="465"/>
      <c r="AH420" s="465"/>
      <c r="AI420" s="592"/>
      <c r="AJ420" s="465"/>
      <c r="AK420" s="465"/>
      <c r="AL420" s="20"/>
      <c r="AM420" s="20"/>
      <c r="AN420" s="593"/>
      <c r="AO420" s="20"/>
      <c r="AP420" s="276"/>
      <c r="AQ420" s="276"/>
      <c r="AR420" s="276"/>
      <c r="AS420" s="276"/>
      <c r="AT420" s="276"/>
      <c r="AU420" s="276"/>
      <c r="AV420" s="276"/>
      <c r="AW420" s="276"/>
      <c r="AX420" s="276"/>
      <c r="AY420" s="276"/>
      <c r="AZ420" s="276"/>
      <c r="BA420" s="276"/>
      <c r="BB420" s="276"/>
      <c r="BC420" s="276"/>
    </row>
    <row r="421" spans="1:55" ht="12.75" customHeight="1">
      <c r="A421" s="465"/>
      <c r="B421" s="465"/>
      <c r="C421" s="147"/>
      <c r="D421" s="147"/>
      <c r="E421" s="585"/>
      <c r="F421" s="586"/>
      <c r="G421" s="458"/>
      <c r="H421" s="458"/>
      <c r="I421" s="458"/>
      <c r="J421" s="465"/>
      <c r="K421" s="587"/>
      <c r="L421" s="465"/>
      <c r="M421" s="465"/>
      <c r="N421" s="465"/>
      <c r="O421" s="587"/>
      <c r="P421" s="585"/>
      <c r="Q421" s="465"/>
      <c r="R421" s="458"/>
      <c r="S421" s="585"/>
      <c r="T421" s="588"/>
      <c r="U421" s="589"/>
      <c r="V421" s="587"/>
      <c r="W421" s="465"/>
      <c r="X421" s="465"/>
      <c r="Y421" s="590"/>
      <c r="Z421" s="458"/>
      <c r="AA421" s="591"/>
      <c r="AB421" s="465"/>
      <c r="AC421" s="465"/>
      <c r="AD421" s="465"/>
      <c r="AE421" s="465"/>
      <c r="AF421" s="465"/>
      <c r="AG421" s="465"/>
      <c r="AH421" s="465"/>
      <c r="AI421" s="592"/>
      <c r="AJ421" s="465"/>
      <c r="AK421" s="465"/>
      <c r="AL421" s="20"/>
      <c r="AM421" s="20"/>
      <c r="AN421" s="593"/>
      <c r="AO421" s="20"/>
      <c r="AP421" s="276"/>
      <c r="AQ421" s="276"/>
      <c r="AR421" s="276"/>
      <c r="AS421" s="276"/>
      <c r="AT421" s="276"/>
      <c r="AU421" s="276"/>
      <c r="AV421" s="276"/>
      <c r="AW421" s="276"/>
      <c r="AX421" s="276"/>
      <c r="AY421" s="276"/>
      <c r="AZ421" s="276"/>
      <c r="BA421" s="276"/>
      <c r="BB421" s="276"/>
      <c r="BC421" s="276"/>
    </row>
    <row r="422" spans="1:55" ht="12.75" customHeight="1">
      <c r="A422" s="465"/>
      <c r="B422" s="465"/>
      <c r="C422" s="147"/>
      <c r="D422" s="147"/>
      <c r="E422" s="585"/>
      <c r="F422" s="586"/>
      <c r="G422" s="458"/>
      <c r="H422" s="458"/>
      <c r="I422" s="458"/>
      <c r="J422" s="465"/>
      <c r="K422" s="587"/>
      <c r="L422" s="465"/>
      <c r="M422" s="465"/>
      <c r="N422" s="465"/>
      <c r="O422" s="587"/>
      <c r="P422" s="585"/>
      <c r="Q422" s="465"/>
      <c r="R422" s="458"/>
      <c r="S422" s="585"/>
      <c r="T422" s="588"/>
      <c r="U422" s="589"/>
      <c r="V422" s="587"/>
      <c r="W422" s="465"/>
      <c r="X422" s="465"/>
      <c r="Y422" s="590"/>
      <c r="Z422" s="458"/>
      <c r="AA422" s="591"/>
      <c r="AB422" s="465"/>
      <c r="AC422" s="465"/>
      <c r="AD422" s="465"/>
      <c r="AE422" s="465"/>
      <c r="AF422" s="465"/>
      <c r="AG422" s="465"/>
      <c r="AH422" s="465"/>
      <c r="AI422" s="592"/>
      <c r="AJ422" s="465"/>
      <c r="AK422" s="465"/>
      <c r="AL422" s="20"/>
      <c r="AM422" s="20"/>
      <c r="AN422" s="593"/>
      <c r="AO422" s="20"/>
      <c r="AP422" s="276"/>
      <c r="AQ422" s="276"/>
      <c r="AR422" s="276"/>
      <c r="AS422" s="276"/>
      <c r="AT422" s="276"/>
      <c r="AU422" s="276"/>
      <c r="AV422" s="276"/>
      <c r="AW422" s="276"/>
      <c r="AX422" s="276"/>
      <c r="AY422" s="276"/>
      <c r="AZ422" s="276"/>
      <c r="BA422" s="276"/>
      <c r="BB422" s="276"/>
      <c r="BC422" s="276"/>
    </row>
    <row r="423" spans="1:55" ht="12.75" customHeight="1">
      <c r="A423" s="465"/>
      <c r="B423" s="465"/>
      <c r="C423" s="147"/>
      <c r="D423" s="147"/>
      <c r="E423" s="585"/>
      <c r="F423" s="586"/>
      <c r="G423" s="458"/>
      <c r="H423" s="458"/>
      <c r="I423" s="458"/>
      <c r="J423" s="465"/>
      <c r="K423" s="587"/>
      <c r="L423" s="465"/>
      <c r="M423" s="465"/>
      <c r="N423" s="465"/>
      <c r="O423" s="587"/>
      <c r="P423" s="585"/>
      <c r="Q423" s="465"/>
      <c r="R423" s="458"/>
      <c r="S423" s="585"/>
      <c r="T423" s="588"/>
      <c r="U423" s="589"/>
      <c r="V423" s="587"/>
      <c r="W423" s="465"/>
      <c r="X423" s="465"/>
      <c r="Y423" s="590"/>
      <c r="Z423" s="458"/>
      <c r="AA423" s="591"/>
      <c r="AB423" s="465"/>
      <c r="AC423" s="465"/>
      <c r="AD423" s="465"/>
      <c r="AE423" s="465"/>
      <c r="AF423" s="465"/>
      <c r="AG423" s="465"/>
      <c r="AH423" s="465"/>
      <c r="AI423" s="592"/>
      <c r="AJ423" s="465"/>
      <c r="AK423" s="465"/>
      <c r="AL423" s="20"/>
      <c r="AM423" s="20"/>
      <c r="AN423" s="593"/>
      <c r="AO423" s="20"/>
      <c r="AP423" s="276"/>
      <c r="AQ423" s="276"/>
      <c r="AR423" s="276"/>
      <c r="AS423" s="276"/>
      <c r="AT423" s="276"/>
      <c r="AU423" s="276"/>
      <c r="AV423" s="276"/>
      <c r="AW423" s="276"/>
      <c r="AX423" s="276"/>
      <c r="AY423" s="276"/>
      <c r="AZ423" s="276"/>
      <c r="BA423" s="276"/>
      <c r="BB423" s="276"/>
      <c r="BC423" s="276"/>
    </row>
    <row r="424" spans="1:55" ht="12.75" customHeight="1">
      <c r="A424" s="465"/>
      <c r="B424" s="465"/>
      <c r="C424" s="147"/>
      <c r="D424" s="147"/>
      <c r="E424" s="585"/>
      <c r="F424" s="586"/>
      <c r="G424" s="458"/>
      <c r="H424" s="458"/>
      <c r="I424" s="458"/>
      <c r="J424" s="465"/>
      <c r="K424" s="587"/>
      <c r="L424" s="465"/>
      <c r="M424" s="465"/>
      <c r="N424" s="465"/>
      <c r="O424" s="587"/>
      <c r="P424" s="585"/>
      <c r="Q424" s="465"/>
      <c r="R424" s="458"/>
      <c r="S424" s="585"/>
      <c r="T424" s="588"/>
      <c r="U424" s="589"/>
      <c r="V424" s="587"/>
      <c r="W424" s="465"/>
      <c r="X424" s="465"/>
      <c r="Y424" s="590"/>
      <c r="Z424" s="458"/>
      <c r="AA424" s="591"/>
      <c r="AB424" s="465"/>
      <c r="AC424" s="465"/>
      <c r="AD424" s="465"/>
      <c r="AE424" s="465"/>
      <c r="AF424" s="465"/>
      <c r="AG424" s="465"/>
      <c r="AH424" s="465"/>
      <c r="AI424" s="592"/>
      <c r="AJ424" s="465"/>
      <c r="AK424" s="465"/>
      <c r="AL424" s="20"/>
      <c r="AM424" s="20"/>
      <c r="AN424" s="593"/>
      <c r="AO424" s="20"/>
      <c r="AP424" s="276"/>
      <c r="AQ424" s="276"/>
      <c r="AR424" s="276"/>
      <c r="AS424" s="276"/>
      <c r="AT424" s="276"/>
      <c r="AU424" s="276"/>
      <c r="AV424" s="276"/>
      <c r="AW424" s="276"/>
      <c r="AX424" s="276"/>
      <c r="AY424" s="276"/>
      <c r="AZ424" s="276"/>
      <c r="BA424" s="276"/>
      <c r="BB424" s="276"/>
      <c r="BC424" s="276"/>
    </row>
    <row r="425" spans="1:55" ht="12.75" customHeight="1">
      <c r="A425" s="465"/>
      <c r="B425" s="465"/>
      <c r="C425" s="147"/>
      <c r="D425" s="147"/>
      <c r="E425" s="585"/>
      <c r="F425" s="586"/>
      <c r="G425" s="458"/>
      <c r="H425" s="458"/>
      <c r="I425" s="458"/>
      <c r="J425" s="465"/>
      <c r="K425" s="587"/>
      <c r="L425" s="465"/>
      <c r="M425" s="465"/>
      <c r="N425" s="465"/>
      <c r="O425" s="587"/>
      <c r="P425" s="585"/>
      <c r="Q425" s="465"/>
      <c r="R425" s="458"/>
      <c r="S425" s="585"/>
      <c r="T425" s="588"/>
      <c r="U425" s="589"/>
      <c r="V425" s="587"/>
      <c r="W425" s="465"/>
      <c r="X425" s="465"/>
      <c r="Y425" s="590"/>
      <c r="Z425" s="458"/>
      <c r="AA425" s="591"/>
      <c r="AB425" s="465"/>
      <c r="AC425" s="465"/>
      <c r="AD425" s="465"/>
      <c r="AE425" s="465"/>
      <c r="AF425" s="465"/>
      <c r="AG425" s="465"/>
      <c r="AH425" s="465"/>
      <c r="AI425" s="592"/>
      <c r="AJ425" s="465"/>
      <c r="AK425" s="465"/>
      <c r="AL425" s="20"/>
      <c r="AM425" s="20"/>
      <c r="AN425" s="593"/>
      <c r="AO425" s="20"/>
      <c r="AP425" s="276"/>
      <c r="AQ425" s="276"/>
      <c r="AR425" s="276"/>
      <c r="AS425" s="276"/>
      <c r="AT425" s="276"/>
      <c r="AU425" s="276"/>
      <c r="AV425" s="276"/>
      <c r="AW425" s="276"/>
      <c r="AX425" s="276"/>
      <c r="AY425" s="276"/>
      <c r="AZ425" s="276"/>
      <c r="BA425" s="276"/>
      <c r="BB425" s="276"/>
      <c r="BC425" s="276"/>
    </row>
    <row r="426" spans="1:55" ht="12.75" customHeight="1">
      <c r="A426" s="465"/>
      <c r="B426" s="465"/>
      <c r="C426" s="147"/>
      <c r="D426" s="147"/>
      <c r="E426" s="585"/>
      <c r="F426" s="586"/>
      <c r="G426" s="458"/>
      <c r="H426" s="458"/>
      <c r="I426" s="458"/>
      <c r="J426" s="465"/>
      <c r="K426" s="587"/>
      <c r="L426" s="465"/>
      <c r="M426" s="465"/>
      <c r="N426" s="465"/>
      <c r="O426" s="587"/>
      <c r="P426" s="585"/>
      <c r="Q426" s="465"/>
      <c r="R426" s="458"/>
      <c r="S426" s="585"/>
      <c r="T426" s="588"/>
      <c r="U426" s="589"/>
      <c r="V426" s="587"/>
      <c r="W426" s="465"/>
      <c r="X426" s="465"/>
      <c r="Y426" s="590"/>
      <c r="Z426" s="458"/>
      <c r="AA426" s="591"/>
      <c r="AB426" s="465"/>
      <c r="AC426" s="465"/>
      <c r="AD426" s="465"/>
      <c r="AE426" s="465"/>
      <c r="AF426" s="465"/>
      <c r="AG426" s="465"/>
      <c r="AH426" s="465"/>
      <c r="AI426" s="592"/>
      <c r="AJ426" s="465"/>
      <c r="AK426" s="465"/>
      <c r="AL426" s="20"/>
      <c r="AM426" s="20"/>
      <c r="AN426" s="593"/>
      <c r="AO426" s="20"/>
      <c r="AP426" s="276"/>
      <c r="AQ426" s="276"/>
      <c r="AR426" s="276"/>
      <c r="AS426" s="276"/>
      <c r="AT426" s="276"/>
      <c r="AU426" s="276"/>
      <c r="AV426" s="276"/>
      <c r="AW426" s="276"/>
      <c r="AX426" s="276"/>
      <c r="AY426" s="276"/>
      <c r="AZ426" s="276"/>
      <c r="BA426" s="276"/>
      <c r="BB426" s="276"/>
      <c r="BC426" s="276"/>
    </row>
    <row r="427" spans="1:55" ht="12.75" customHeight="1">
      <c r="A427" s="465"/>
      <c r="B427" s="465"/>
      <c r="C427" s="147"/>
      <c r="D427" s="147"/>
      <c r="E427" s="585"/>
      <c r="F427" s="586"/>
      <c r="G427" s="458"/>
      <c r="H427" s="458"/>
      <c r="I427" s="458"/>
      <c r="J427" s="465"/>
      <c r="K427" s="587"/>
      <c r="L427" s="465"/>
      <c r="M427" s="465"/>
      <c r="N427" s="465"/>
      <c r="O427" s="587"/>
      <c r="P427" s="585"/>
      <c r="Q427" s="465"/>
      <c r="R427" s="458"/>
      <c r="S427" s="585"/>
      <c r="T427" s="588"/>
      <c r="U427" s="589"/>
      <c r="V427" s="587"/>
      <c r="W427" s="465"/>
      <c r="X427" s="465"/>
      <c r="Y427" s="590"/>
      <c r="Z427" s="458"/>
      <c r="AA427" s="591"/>
      <c r="AB427" s="465"/>
      <c r="AC427" s="465"/>
      <c r="AD427" s="465"/>
      <c r="AE427" s="465"/>
      <c r="AF427" s="465"/>
      <c r="AG427" s="465"/>
      <c r="AH427" s="465"/>
      <c r="AI427" s="592"/>
      <c r="AJ427" s="465"/>
      <c r="AK427" s="465"/>
      <c r="AL427" s="20"/>
      <c r="AM427" s="20"/>
      <c r="AN427" s="593"/>
      <c r="AO427" s="20"/>
      <c r="AP427" s="276"/>
      <c r="AQ427" s="276"/>
      <c r="AR427" s="276"/>
      <c r="AS427" s="276"/>
      <c r="AT427" s="276"/>
      <c r="AU427" s="276"/>
      <c r="AV427" s="276"/>
      <c r="AW427" s="276"/>
      <c r="AX427" s="276"/>
      <c r="AY427" s="276"/>
      <c r="AZ427" s="276"/>
      <c r="BA427" s="276"/>
      <c r="BB427" s="276"/>
      <c r="BC427" s="276"/>
    </row>
    <row r="428" spans="1:55" ht="12.75" customHeight="1">
      <c r="A428" s="465"/>
      <c r="B428" s="465"/>
      <c r="C428" s="147"/>
      <c r="D428" s="147"/>
      <c r="E428" s="585"/>
      <c r="F428" s="586"/>
      <c r="G428" s="458"/>
      <c r="H428" s="458"/>
      <c r="I428" s="458"/>
      <c r="J428" s="465"/>
      <c r="K428" s="587"/>
      <c r="L428" s="465"/>
      <c r="M428" s="465"/>
      <c r="N428" s="465"/>
      <c r="O428" s="587"/>
      <c r="P428" s="585"/>
      <c r="Q428" s="465"/>
      <c r="R428" s="458"/>
      <c r="S428" s="585"/>
      <c r="T428" s="588"/>
      <c r="U428" s="589"/>
      <c r="V428" s="587"/>
      <c r="W428" s="465"/>
      <c r="X428" s="465"/>
      <c r="Y428" s="590"/>
      <c r="Z428" s="458"/>
      <c r="AA428" s="591"/>
      <c r="AB428" s="465"/>
      <c r="AC428" s="465"/>
      <c r="AD428" s="465"/>
      <c r="AE428" s="465"/>
      <c r="AF428" s="465"/>
      <c r="AG428" s="465"/>
      <c r="AH428" s="465"/>
      <c r="AI428" s="592"/>
      <c r="AJ428" s="465"/>
      <c r="AK428" s="465"/>
      <c r="AL428" s="20"/>
      <c r="AM428" s="20"/>
      <c r="AN428" s="593"/>
      <c r="AO428" s="20"/>
      <c r="AP428" s="276"/>
      <c r="AQ428" s="276"/>
      <c r="AR428" s="276"/>
      <c r="AS428" s="276"/>
      <c r="AT428" s="276"/>
      <c r="AU428" s="276"/>
      <c r="AV428" s="276"/>
      <c r="AW428" s="276"/>
      <c r="AX428" s="276"/>
      <c r="AY428" s="276"/>
      <c r="AZ428" s="276"/>
      <c r="BA428" s="276"/>
      <c r="BB428" s="276"/>
      <c r="BC428" s="276"/>
    </row>
    <row r="429" spans="1:55" ht="12.75" customHeight="1">
      <c r="A429" s="465"/>
      <c r="B429" s="465"/>
      <c r="C429" s="147"/>
      <c r="D429" s="147"/>
      <c r="E429" s="585"/>
      <c r="F429" s="586"/>
      <c r="G429" s="458"/>
      <c r="H429" s="458"/>
      <c r="I429" s="458"/>
      <c r="J429" s="465"/>
      <c r="K429" s="587"/>
      <c r="L429" s="465"/>
      <c r="M429" s="465"/>
      <c r="N429" s="465"/>
      <c r="O429" s="587"/>
      <c r="P429" s="585"/>
      <c r="Q429" s="465"/>
      <c r="R429" s="458"/>
      <c r="S429" s="585"/>
      <c r="T429" s="588"/>
      <c r="U429" s="589"/>
      <c r="V429" s="587"/>
      <c r="W429" s="465"/>
      <c r="X429" s="465"/>
      <c r="Y429" s="590"/>
      <c r="Z429" s="458"/>
      <c r="AA429" s="591"/>
      <c r="AB429" s="465"/>
      <c r="AC429" s="465"/>
      <c r="AD429" s="465"/>
      <c r="AE429" s="465"/>
      <c r="AF429" s="465"/>
      <c r="AG429" s="465"/>
      <c r="AH429" s="465"/>
      <c r="AI429" s="592"/>
      <c r="AJ429" s="465"/>
      <c r="AK429" s="465"/>
      <c r="AL429" s="20"/>
      <c r="AM429" s="20"/>
      <c r="AN429" s="593"/>
      <c r="AO429" s="20"/>
      <c r="AP429" s="276"/>
      <c r="AQ429" s="276"/>
      <c r="AR429" s="276"/>
      <c r="AS429" s="276"/>
      <c r="AT429" s="276"/>
      <c r="AU429" s="276"/>
      <c r="AV429" s="276"/>
      <c r="AW429" s="276"/>
      <c r="AX429" s="276"/>
      <c r="AY429" s="276"/>
      <c r="AZ429" s="276"/>
      <c r="BA429" s="276"/>
      <c r="BB429" s="276"/>
      <c r="BC429" s="276"/>
    </row>
    <row r="430" spans="1:55" ht="12.75" customHeight="1">
      <c r="A430" s="465"/>
      <c r="B430" s="465"/>
      <c r="C430" s="147"/>
      <c r="D430" s="147"/>
      <c r="E430" s="585"/>
      <c r="F430" s="586"/>
      <c r="G430" s="458"/>
      <c r="H430" s="458"/>
      <c r="I430" s="458"/>
      <c r="J430" s="465"/>
      <c r="K430" s="587"/>
      <c r="L430" s="465"/>
      <c r="M430" s="465"/>
      <c r="N430" s="465"/>
      <c r="O430" s="587"/>
      <c r="P430" s="585"/>
      <c r="Q430" s="465"/>
      <c r="R430" s="458"/>
      <c r="S430" s="585"/>
      <c r="T430" s="588"/>
      <c r="U430" s="589"/>
      <c r="V430" s="587"/>
      <c r="W430" s="465"/>
      <c r="X430" s="465"/>
      <c r="Y430" s="590"/>
      <c r="Z430" s="458"/>
      <c r="AA430" s="591"/>
      <c r="AB430" s="465"/>
      <c r="AC430" s="465"/>
      <c r="AD430" s="465"/>
      <c r="AE430" s="465"/>
      <c r="AF430" s="465"/>
      <c r="AG430" s="465"/>
      <c r="AH430" s="465"/>
      <c r="AI430" s="592"/>
      <c r="AJ430" s="465"/>
      <c r="AK430" s="465"/>
      <c r="AL430" s="20"/>
      <c r="AM430" s="20"/>
      <c r="AN430" s="593"/>
      <c r="AO430" s="20"/>
      <c r="AP430" s="276"/>
      <c r="AQ430" s="276"/>
      <c r="AR430" s="276"/>
      <c r="AS430" s="276"/>
      <c r="AT430" s="276"/>
      <c r="AU430" s="276"/>
      <c r="AV430" s="276"/>
      <c r="AW430" s="276"/>
      <c r="AX430" s="276"/>
      <c r="AY430" s="276"/>
      <c r="AZ430" s="276"/>
      <c r="BA430" s="276"/>
      <c r="BB430" s="276"/>
      <c r="BC430" s="276"/>
    </row>
    <row r="431" spans="1:55" ht="12.75" customHeight="1">
      <c r="A431" s="465"/>
      <c r="B431" s="465"/>
      <c r="C431" s="147"/>
      <c r="D431" s="147"/>
      <c r="E431" s="585"/>
      <c r="F431" s="586"/>
      <c r="G431" s="458"/>
      <c r="H431" s="458"/>
      <c r="I431" s="458"/>
      <c r="J431" s="465"/>
      <c r="K431" s="587"/>
      <c r="L431" s="465"/>
      <c r="M431" s="465"/>
      <c r="N431" s="465"/>
      <c r="O431" s="587"/>
      <c r="P431" s="585"/>
      <c r="Q431" s="465"/>
      <c r="R431" s="458"/>
      <c r="S431" s="585"/>
      <c r="T431" s="588"/>
      <c r="U431" s="589"/>
      <c r="V431" s="587"/>
      <c r="W431" s="465"/>
      <c r="X431" s="465"/>
      <c r="Y431" s="590"/>
      <c r="Z431" s="458"/>
      <c r="AA431" s="591"/>
      <c r="AB431" s="465"/>
      <c r="AC431" s="465"/>
      <c r="AD431" s="465"/>
      <c r="AE431" s="465"/>
      <c r="AF431" s="465"/>
      <c r="AG431" s="465"/>
      <c r="AH431" s="465"/>
      <c r="AI431" s="592"/>
      <c r="AJ431" s="465"/>
      <c r="AK431" s="465"/>
      <c r="AL431" s="20"/>
      <c r="AM431" s="20"/>
      <c r="AN431" s="593"/>
      <c r="AO431" s="20"/>
      <c r="AP431" s="276"/>
      <c r="AQ431" s="276"/>
      <c r="AR431" s="276"/>
      <c r="AS431" s="276"/>
      <c r="AT431" s="276"/>
      <c r="AU431" s="276"/>
      <c r="AV431" s="276"/>
      <c r="AW431" s="276"/>
      <c r="AX431" s="276"/>
      <c r="AY431" s="276"/>
      <c r="AZ431" s="276"/>
      <c r="BA431" s="276"/>
      <c r="BB431" s="276"/>
      <c r="BC431" s="276"/>
    </row>
    <row r="432" spans="1:55" ht="12.75" customHeight="1">
      <c r="A432" s="465"/>
      <c r="B432" s="465"/>
      <c r="C432" s="147"/>
      <c r="D432" s="147"/>
      <c r="E432" s="585"/>
      <c r="F432" s="586"/>
      <c r="G432" s="458"/>
      <c r="H432" s="458"/>
      <c r="I432" s="458"/>
      <c r="J432" s="465"/>
      <c r="K432" s="587"/>
      <c r="L432" s="465"/>
      <c r="M432" s="465"/>
      <c r="N432" s="465"/>
      <c r="O432" s="587"/>
      <c r="P432" s="585"/>
      <c r="Q432" s="465"/>
      <c r="R432" s="458"/>
      <c r="S432" s="585"/>
      <c r="T432" s="588"/>
      <c r="U432" s="589"/>
      <c r="V432" s="587"/>
      <c r="W432" s="465"/>
      <c r="X432" s="465"/>
      <c r="Y432" s="590"/>
      <c r="Z432" s="458"/>
      <c r="AA432" s="591"/>
      <c r="AB432" s="465"/>
      <c r="AC432" s="465"/>
      <c r="AD432" s="465"/>
      <c r="AE432" s="465"/>
      <c r="AF432" s="465"/>
      <c r="AG432" s="465"/>
      <c r="AH432" s="465"/>
      <c r="AI432" s="592"/>
      <c r="AJ432" s="465"/>
      <c r="AK432" s="465"/>
      <c r="AL432" s="20"/>
      <c r="AM432" s="20"/>
      <c r="AN432" s="593"/>
      <c r="AO432" s="20"/>
      <c r="AP432" s="276"/>
      <c r="AQ432" s="276"/>
      <c r="AR432" s="276"/>
      <c r="AS432" s="276"/>
      <c r="AT432" s="276"/>
      <c r="AU432" s="276"/>
      <c r="AV432" s="276"/>
      <c r="AW432" s="276"/>
      <c r="AX432" s="276"/>
      <c r="AY432" s="276"/>
      <c r="AZ432" s="276"/>
      <c r="BA432" s="276"/>
      <c r="BB432" s="276"/>
      <c r="BC432" s="276"/>
    </row>
    <row r="433" spans="1:55" ht="12.75" customHeight="1">
      <c r="A433" s="465"/>
      <c r="B433" s="465"/>
      <c r="C433" s="147"/>
      <c r="D433" s="147"/>
      <c r="E433" s="585"/>
      <c r="F433" s="586"/>
      <c r="G433" s="458"/>
      <c r="H433" s="458"/>
      <c r="I433" s="458"/>
      <c r="J433" s="465"/>
      <c r="K433" s="587"/>
      <c r="L433" s="465"/>
      <c r="M433" s="465"/>
      <c r="N433" s="465"/>
      <c r="O433" s="587"/>
      <c r="P433" s="585"/>
      <c r="Q433" s="465"/>
      <c r="R433" s="458"/>
      <c r="S433" s="585"/>
      <c r="T433" s="588"/>
      <c r="U433" s="589"/>
      <c r="V433" s="587"/>
      <c r="W433" s="465"/>
      <c r="X433" s="465"/>
      <c r="Y433" s="590"/>
      <c r="Z433" s="458"/>
      <c r="AA433" s="591"/>
      <c r="AB433" s="465"/>
      <c r="AC433" s="465"/>
      <c r="AD433" s="465"/>
      <c r="AE433" s="465"/>
      <c r="AF433" s="465"/>
      <c r="AG433" s="465"/>
      <c r="AH433" s="465"/>
      <c r="AI433" s="592"/>
      <c r="AJ433" s="465"/>
      <c r="AK433" s="465"/>
      <c r="AL433" s="20"/>
      <c r="AM433" s="20"/>
      <c r="AN433" s="593"/>
      <c r="AO433" s="20"/>
      <c r="AP433" s="276"/>
      <c r="AQ433" s="276"/>
      <c r="AR433" s="276"/>
      <c r="AS433" s="276"/>
      <c r="AT433" s="276"/>
      <c r="AU433" s="276"/>
      <c r="AV433" s="276"/>
      <c r="AW433" s="276"/>
      <c r="AX433" s="276"/>
      <c r="AY433" s="276"/>
      <c r="AZ433" s="276"/>
      <c r="BA433" s="276"/>
      <c r="BB433" s="276"/>
      <c r="BC433" s="276"/>
    </row>
    <row r="434" spans="1:55" ht="12.75" customHeight="1">
      <c r="A434" s="465"/>
      <c r="B434" s="465"/>
      <c r="C434" s="147"/>
      <c r="D434" s="147"/>
      <c r="E434" s="585"/>
      <c r="F434" s="586"/>
      <c r="G434" s="458"/>
      <c r="H434" s="458"/>
      <c r="I434" s="458"/>
      <c r="J434" s="465"/>
      <c r="K434" s="587"/>
      <c r="L434" s="465"/>
      <c r="M434" s="465"/>
      <c r="N434" s="465"/>
      <c r="O434" s="587"/>
      <c r="P434" s="585"/>
      <c r="Q434" s="465"/>
      <c r="R434" s="458"/>
      <c r="S434" s="585"/>
      <c r="T434" s="588"/>
      <c r="U434" s="589"/>
      <c r="V434" s="587"/>
      <c r="W434" s="465"/>
      <c r="X434" s="465"/>
      <c r="Y434" s="590"/>
      <c r="Z434" s="458"/>
      <c r="AA434" s="591"/>
      <c r="AB434" s="465"/>
      <c r="AC434" s="465"/>
      <c r="AD434" s="465"/>
      <c r="AE434" s="465"/>
      <c r="AF434" s="465"/>
      <c r="AG434" s="465"/>
      <c r="AH434" s="465"/>
      <c r="AI434" s="592"/>
      <c r="AJ434" s="465"/>
      <c r="AK434" s="465"/>
      <c r="AL434" s="20"/>
      <c r="AM434" s="20"/>
      <c r="AN434" s="593"/>
      <c r="AO434" s="20"/>
      <c r="AP434" s="276"/>
      <c r="AQ434" s="276"/>
      <c r="AR434" s="276"/>
      <c r="AS434" s="276"/>
      <c r="AT434" s="276"/>
      <c r="AU434" s="276"/>
      <c r="AV434" s="276"/>
      <c r="AW434" s="276"/>
      <c r="AX434" s="276"/>
      <c r="AY434" s="276"/>
      <c r="AZ434" s="276"/>
      <c r="BA434" s="276"/>
      <c r="BB434" s="276"/>
      <c r="BC434" s="276"/>
    </row>
    <row r="435" spans="1:55" ht="12.75" customHeight="1">
      <c r="A435" s="465"/>
      <c r="B435" s="465"/>
      <c r="C435" s="147"/>
      <c r="D435" s="147"/>
      <c r="E435" s="585"/>
      <c r="F435" s="586"/>
      <c r="G435" s="458"/>
      <c r="H435" s="458"/>
      <c r="I435" s="458"/>
      <c r="J435" s="465"/>
      <c r="K435" s="587"/>
      <c r="L435" s="465"/>
      <c r="M435" s="465"/>
      <c r="N435" s="465"/>
      <c r="O435" s="587"/>
      <c r="P435" s="585"/>
      <c r="Q435" s="465"/>
      <c r="R435" s="458"/>
      <c r="S435" s="585"/>
      <c r="T435" s="588"/>
      <c r="U435" s="589"/>
      <c r="V435" s="587"/>
      <c r="W435" s="465"/>
      <c r="X435" s="465"/>
      <c r="Y435" s="590"/>
      <c r="Z435" s="458"/>
      <c r="AA435" s="591"/>
      <c r="AB435" s="465"/>
      <c r="AC435" s="465"/>
      <c r="AD435" s="465"/>
      <c r="AE435" s="465"/>
      <c r="AF435" s="465"/>
      <c r="AG435" s="465"/>
      <c r="AH435" s="465"/>
      <c r="AI435" s="592"/>
      <c r="AJ435" s="465"/>
      <c r="AK435" s="465"/>
      <c r="AL435" s="20"/>
      <c r="AM435" s="20"/>
      <c r="AN435" s="593"/>
      <c r="AO435" s="20"/>
      <c r="AP435" s="276"/>
      <c r="AQ435" s="276"/>
      <c r="AR435" s="276"/>
      <c r="AS435" s="276"/>
      <c r="AT435" s="276"/>
      <c r="AU435" s="276"/>
      <c r="AV435" s="276"/>
      <c r="AW435" s="276"/>
      <c r="AX435" s="276"/>
      <c r="AY435" s="276"/>
      <c r="AZ435" s="276"/>
      <c r="BA435" s="276"/>
      <c r="BB435" s="276"/>
      <c r="BC435" s="276"/>
    </row>
    <row r="436" spans="1:55" ht="12.75" customHeight="1">
      <c r="A436" s="465"/>
      <c r="B436" s="465"/>
      <c r="C436" s="147"/>
      <c r="D436" s="147"/>
      <c r="E436" s="585"/>
      <c r="F436" s="586"/>
      <c r="G436" s="458"/>
      <c r="H436" s="458"/>
      <c r="I436" s="458"/>
      <c r="J436" s="465"/>
      <c r="K436" s="587"/>
      <c r="L436" s="465"/>
      <c r="M436" s="465"/>
      <c r="N436" s="465"/>
      <c r="O436" s="587"/>
      <c r="P436" s="585"/>
      <c r="Q436" s="465"/>
      <c r="R436" s="458"/>
      <c r="S436" s="585"/>
      <c r="T436" s="588"/>
      <c r="U436" s="589"/>
      <c r="V436" s="587"/>
      <c r="W436" s="465"/>
      <c r="X436" s="465"/>
      <c r="Y436" s="590"/>
      <c r="Z436" s="458"/>
      <c r="AA436" s="591"/>
      <c r="AB436" s="465"/>
      <c r="AC436" s="465"/>
      <c r="AD436" s="465"/>
      <c r="AE436" s="465"/>
      <c r="AF436" s="465"/>
      <c r="AG436" s="465"/>
      <c r="AH436" s="465"/>
      <c r="AI436" s="592"/>
      <c r="AJ436" s="465"/>
      <c r="AK436" s="465"/>
      <c r="AL436" s="20"/>
      <c r="AM436" s="20"/>
      <c r="AN436" s="593"/>
      <c r="AO436" s="20"/>
      <c r="AP436" s="276"/>
      <c r="AQ436" s="276"/>
      <c r="AR436" s="276"/>
      <c r="AS436" s="276"/>
      <c r="AT436" s="276"/>
      <c r="AU436" s="276"/>
      <c r="AV436" s="276"/>
      <c r="AW436" s="276"/>
      <c r="AX436" s="276"/>
      <c r="AY436" s="276"/>
      <c r="AZ436" s="276"/>
      <c r="BA436" s="276"/>
      <c r="BB436" s="276"/>
      <c r="BC436" s="276"/>
    </row>
    <row r="437" spans="1:55" ht="12.75" customHeight="1">
      <c r="A437" s="465"/>
      <c r="B437" s="465"/>
      <c r="C437" s="147"/>
      <c r="D437" s="147"/>
      <c r="E437" s="585"/>
      <c r="F437" s="586"/>
      <c r="G437" s="458"/>
      <c r="H437" s="458"/>
      <c r="I437" s="458"/>
      <c r="J437" s="465"/>
      <c r="K437" s="587"/>
      <c r="L437" s="465"/>
      <c r="M437" s="465"/>
      <c r="N437" s="465"/>
      <c r="O437" s="587"/>
      <c r="P437" s="585"/>
      <c r="Q437" s="465"/>
      <c r="R437" s="458"/>
      <c r="S437" s="585"/>
      <c r="T437" s="588"/>
      <c r="U437" s="589"/>
      <c r="V437" s="587"/>
      <c r="W437" s="465"/>
      <c r="X437" s="465"/>
      <c r="Y437" s="590"/>
      <c r="Z437" s="458"/>
      <c r="AA437" s="591"/>
      <c r="AB437" s="465"/>
      <c r="AC437" s="465"/>
      <c r="AD437" s="465"/>
      <c r="AE437" s="465"/>
      <c r="AF437" s="465"/>
      <c r="AG437" s="465"/>
      <c r="AH437" s="465"/>
      <c r="AI437" s="592"/>
      <c r="AJ437" s="465"/>
      <c r="AK437" s="465"/>
      <c r="AL437" s="20"/>
      <c r="AM437" s="20"/>
      <c r="AN437" s="593"/>
      <c r="AO437" s="20"/>
      <c r="AP437" s="276"/>
      <c r="AQ437" s="276"/>
      <c r="AR437" s="276"/>
      <c r="AS437" s="276"/>
      <c r="AT437" s="276"/>
      <c r="AU437" s="276"/>
      <c r="AV437" s="276"/>
      <c r="AW437" s="276"/>
      <c r="AX437" s="276"/>
      <c r="AY437" s="276"/>
      <c r="AZ437" s="276"/>
      <c r="BA437" s="276"/>
      <c r="BB437" s="276"/>
      <c r="BC437" s="276"/>
    </row>
    <row r="438" spans="1:55" ht="12.75" customHeight="1">
      <c r="A438" s="465"/>
      <c r="B438" s="465"/>
      <c r="C438" s="147"/>
      <c r="D438" s="147"/>
      <c r="E438" s="585"/>
      <c r="F438" s="586"/>
      <c r="G438" s="458"/>
      <c r="H438" s="458"/>
      <c r="I438" s="458"/>
      <c r="J438" s="465"/>
      <c r="K438" s="587"/>
      <c r="L438" s="465"/>
      <c r="M438" s="465"/>
      <c r="N438" s="465"/>
      <c r="O438" s="587"/>
      <c r="P438" s="585"/>
      <c r="Q438" s="465"/>
      <c r="R438" s="458"/>
      <c r="S438" s="585"/>
      <c r="T438" s="588"/>
      <c r="U438" s="589"/>
      <c r="V438" s="587"/>
      <c r="W438" s="465"/>
      <c r="X438" s="465"/>
      <c r="Y438" s="590"/>
      <c r="Z438" s="458"/>
      <c r="AA438" s="591"/>
      <c r="AB438" s="465"/>
      <c r="AC438" s="465"/>
      <c r="AD438" s="465"/>
      <c r="AE438" s="465"/>
      <c r="AF438" s="465"/>
      <c r="AG438" s="465"/>
      <c r="AH438" s="465"/>
      <c r="AI438" s="592"/>
      <c r="AJ438" s="465"/>
      <c r="AK438" s="465"/>
      <c r="AL438" s="20"/>
      <c r="AM438" s="20"/>
      <c r="AN438" s="593"/>
      <c r="AO438" s="20"/>
      <c r="AP438" s="276"/>
      <c r="AQ438" s="276"/>
      <c r="AR438" s="276"/>
      <c r="AS438" s="276"/>
      <c r="AT438" s="276"/>
      <c r="AU438" s="276"/>
      <c r="AV438" s="276"/>
      <c r="AW438" s="276"/>
      <c r="AX438" s="276"/>
      <c r="AY438" s="276"/>
      <c r="AZ438" s="276"/>
      <c r="BA438" s="276"/>
      <c r="BB438" s="276"/>
      <c r="BC438" s="276"/>
    </row>
    <row r="439" spans="1:55" ht="12.75" customHeight="1">
      <c r="A439" s="465"/>
      <c r="B439" s="465"/>
      <c r="C439" s="147"/>
      <c r="D439" s="147"/>
      <c r="E439" s="585"/>
      <c r="F439" s="586"/>
      <c r="G439" s="458"/>
      <c r="H439" s="458"/>
      <c r="I439" s="458"/>
      <c r="J439" s="465"/>
      <c r="K439" s="587"/>
      <c r="L439" s="465"/>
      <c r="M439" s="465"/>
      <c r="N439" s="465"/>
      <c r="O439" s="587"/>
      <c r="P439" s="585"/>
      <c r="Q439" s="465"/>
      <c r="R439" s="458"/>
      <c r="S439" s="585"/>
      <c r="T439" s="588"/>
      <c r="U439" s="589"/>
      <c r="V439" s="587"/>
      <c r="W439" s="465"/>
      <c r="X439" s="465"/>
      <c r="Y439" s="590"/>
      <c r="Z439" s="458"/>
      <c r="AA439" s="591"/>
      <c r="AB439" s="465"/>
      <c r="AC439" s="465"/>
      <c r="AD439" s="465"/>
      <c r="AE439" s="465"/>
      <c r="AF439" s="465"/>
      <c r="AG439" s="465"/>
      <c r="AH439" s="465"/>
      <c r="AI439" s="592"/>
      <c r="AJ439" s="465"/>
      <c r="AK439" s="465"/>
      <c r="AL439" s="20"/>
      <c r="AM439" s="20"/>
      <c r="AN439" s="593"/>
      <c r="AO439" s="20"/>
      <c r="AP439" s="276"/>
      <c r="AQ439" s="276"/>
      <c r="AR439" s="276"/>
      <c r="AS439" s="276"/>
      <c r="AT439" s="276"/>
      <c r="AU439" s="276"/>
      <c r="AV439" s="276"/>
      <c r="AW439" s="276"/>
      <c r="AX439" s="276"/>
      <c r="AY439" s="276"/>
      <c r="AZ439" s="276"/>
      <c r="BA439" s="276"/>
      <c r="BB439" s="276"/>
      <c r="BC439" s="276"/>
    </row>
    <row r="440" spans="1:55" ht="12.75" customHeight="1">
      <c r="A440" s="465"/>
      <c r="B440" s="465"/>
      <c r="C440" s="147"/>
      <c r="D440" s="147"/>
      <c r="E440" s="585"/>
      <c r="F440" s="586"/>
      <c r="G440" s="458"/>
      <c r="H440" s="458"/>
      <c r="I440" s="458"/>
      <c r="J440" s="465"/>
      <c r="K440" s="587"/>
      <c r="L440" s="465"/>
      <c r="M440" s="465"/>
      <c r="N440" s="465"/>
      <c r="O440" s="587"/>
      <c r="P440" s="585"/>
      <c r="Q440" s="465"/>
      <c r="R440" s="458"/>
      <c r="S440" s="585"/>
      <c r="T440" s="588"/>
      <c r="U440" s="589"/>
      <c r="V440" s="587"/>
      <c r="W440" s="465"/>
      <c r="X440" s="465"/>
      <c r="Y440" s="590"/>
      <c r="Z440" s="458"/>
      <c r="AA440" s="591"/>
      <c r="AB440" s="465"/>
      <c r="AC440" s="465"/>
      <c r="AD440" s="465"/>
      <c r="AE440" s="465"/>
      <c r="AF440" s="465"/>
      <c r="AG440" s="465"/>
      <c r="AH440" s="465"/>
      <c r="AI440" s="592"/>
      <c r="AJ440" s="465"/>
      <c r="AK440" s="465"/>
      <c r="AL440" s="20"/>
      <c r="AM440" s="20"/>
      <c r="AN440" s="593"/>
      <c r="AO440" s="20"/>
      <c r="AP440" s="276"/>
      <c r="AQ440" s="276"/>
      <c r="AR440" s="276"/>
      <c r="AS440" s="276"/>
      <c r="AT440" s="276"/>
      <c r="AU440" s="276"/>
      <c r="AV440" s="276"/>
      <c r="AW440" s="276"/>
      <c r="AX440" s="276"/>
      <c r="AY440" s="276"/>
      <c r="AZ440" s="276"/>
      <c r="BA440" s="276"/>
      <c r="BB440" s="276"/>
      <c r="BC440" s="276"/>
    </row>
    <row r="441" spans="1:55" ht="12.75" customHeight="1">
      <c r="A441" s="465"/>
      <c r="B441" s="465"/>
      <c r="C441" s="147"/>
      <c r="D441" s="147"/>
      <c r="E441" s="585"/>
      <c r="F441" s="586"/>
      <c r="G441" s="458"/>
      <c r="H441" s="458"/>
      <c r="I441" s="458"/>
      <c r="J441" s="465"/>
      <c r="K441" s="587"/>
      <c r="L441" s="465"/>
      <c r="M441" s="465"/>
      <c r="N441" s="465"/>
      <c r="O441" s="587"/>
      <c r="P441" s="585"/>
      <c r="Q441" s="465"/>
      <c r="R441" s="458"/>
      <c r="S441" s="585"/>
      <c r="T441" s="588"/>
      <c r="U441" s="589"/>
      <c r="V441" s="587"/>
      <c r="W441" s="465"/>
      <c r="X441" s="465"/>
      <c r="Y441" s="590"/>
      <c r="Z441" s="458"/>
      <c r="AA441" s="591"/>
      <c r="AB441" s="465"/>
      <c r="AC441" s="465"/>
      <c r="AD441" s="465"/>
      <c r="AE441" s="465"/>
      <c r="AF441" s="465"/>
      <c r="AG441" s="465"/>
      <c r="AH441" s="465"/>
      <c r="AI441" s="592"/>
      <c r="AJ441" s="465"/>
      <c r="AK441" s="465"/>
      <c r="AL441" s="20"/>
      <c r="AM441" s="20"/>
      <c r="AN441" s="593"/>
      <c r="AO441" s="20"/>
      <c r="AP441" s="276"/>
      <c r="AQ441" s="276"/>
      <c r="AR441" s="276"/>
      <c r="AS441" s="276"/>
      <c r="AT441" s="276"/>
      <c r="AU441" s="276"/>
      <c r="AV441" s="276"/>
      <c r="AW441" s="276"/>
      <c r="AX441" s="276"/>
      <c r="AY441" s="276"/>
      <c r="AZ441" s="276"/>
      <c r="BA441" s="276"/>
      <c r="BB441" s="276"/>
      <c r="BC441" s="276"/>
    </row>
    <row r="442" spans="1:55" ht="12.75" customHeight="1">
      <c r="A442" s="465"/>
      <c r="B442" s="465"/>
      <c r="C442" s="147"/>
      <c r="D442" s="147"/>
      <c r="E442" s="585"/>
      <c r="F442" s="586"/>
      <c r="G442" s="458"/>
      <c r="H442" s="458"/>
      <c r="I442" s="458"/>
      <c r="J442" s="465"/>
      <c r="K442" s="587"/>
      <c r="L442" s="465"/>
      <c r="M442" s="465"/>
      <c r="N442" s="465"/>
      <c r="O442" s="587"/>
      <c r="P442" s="585"/>
      <c r="Q442" s="465"/>
      <c r="R442" s="458"/>
      <c r="S442" s="585"/>
      <c r="T442" s="588"/>
      <c r="U442" s="589"/>
      <c r="V442" s="587"/>
      <c r="W442" s="465"/>
      <c r="X442" s="465"/>
      <c r="Y442" s="590"/>
      <c r="Z442" s="458"/>
      <c r="AA442" s="591"/>
      <c r="AB442" s="465"/>
      <c r="AC442" s="465"/>
      <c r="AD442" s="465"/>
      <c r="AE442" s="465"/>
      <c r="AF442" s="465"/>
      <c r="AG442" s="465"/>
      <c r="AH442" s="465"/>
      <c r="AI442" s="592"/>
      <c r="AJ442" s="465"/>
      <c r="AK442" s="465"/>
      <c r="AL442" s="20"/>
      <c r="AM442" s="20"/>
      <c r="AN442" s="593"/>
      <c r="AO442" s="20"/>
      <c r="AP442" s="276"/>
      <c r="AQ442" s="276"/>
      <c r="AR442" s="276"/>
      <c r="AS442" s="276"/>
      <c r="AT442" s="276"/>
      <c r="AU442" s="276"/>
      <c r="AV442" s="276"/>
      <c r="AW442" s="276"/>
      <c r="AX442" s="276"/>
      <c r="AY442" s="276"/>
      <c r="AZ442" s="276"/>
      <c r="BA442" s="276"/>
      <c r="BB442" s="276"/>
      <c r="BC442" s="276"/>
    </row>
    <row r="443" spans="1:55" ht="12.75" customHeight="1">
      <c r="A443" s="465"/>
      <c r="B443" s="465"/>
      <c r="C443" s="147"/>
      <c r="D443" s="147"/>
      <c r="E443" s="585"/>
      <c r="F443" s="586"/>
      <c r="G443" s="458"/>
      <c r="H443" s="458"/>
      <c r="I443" s="458"/>
      <c r="J443" s="465"/>
      <c r="K443" s="587"/>
      <c r="L443" s="465"/>
      <c r="M443" s="465"/>
      <c r="N443" s="465"/>
      <c r="O443" s="587"/>
      <c r="P443" s="585"/>
      <c r="Q443" s="465"/>
      <c r="R443" s="458"/>
      <c r="S443" s="585"/>
      <c r="T443" s="588"/>
      <c r="U443" s="589"/>
      <c r="V443" s="587"/>
      <c r="W443" s="465"/>
      <c r="X443" s="465"/>
      <c r="Y443" s="590"/>
      <c r="Z443" s="458"/>
      <c r="AA443" s="591"/>
      <c r="AB443" s="465"/>
      <c r="AC443" s="465"/>
      <c r="AD443" s="465"/>
      <c r="AE443" s="465"/>
      <c r="AF443" s="465"/>
      <c r="AG443" s="465"/>
      <c r="AH443" s="465"/>
      <c r="AI443" s="592"/>
      <c r="AJ443" s="465"/>
      <c r="AK443" s="465"/>
      <c r="AL443" s="20"/>
      <c r="AM443" s="20"/>
      <c r="AN443" s="593"/>
      <c r="AO443" s="20"/>
      <c r="AP443" s="276"/>
      <c r="AQ443" s="276"/>
      <c r="AR443" s="276"/>
      <c r="AS443" s="276"/>
      <c r="AT443" s="276"/>
      <c r="AU443" s="276"/>
      <c r="AV443" s="276"/>
      <c r="AW443" s="276"/>
      <c r="AX443" s="276"/>
      <c r="AY443" s="276"/>
      <c r="AZ443" s="276"/>
      <c r="BA443" s="276"/>
      <c r="BB443" s="276"/>
      <c r="BC443" s="276"/>
    </row>
    <row r="444" spans="1:55" ht="12.75" customHeight="1">
      <c r="A444" s="465"/>
      <c r="B444" s="465"/>
      <c r="C444" s="147"/>
      <c r="D444" s="147"/>
      <c r="E444" s="585"/>
      <c r="F444" s="586"/>
      <c r="G444" s="458"/>
      <c r="H444" s="458"/>
      <c r="I444" s="458"/>
      <c r="J444" s="465"/>
      <c r="K444" s="587"/>
      <c r="L444" s="465"/>
      <c r="M444" s="465"/>
      <c r="N444" s="465"/>
      <c r="O444" s="587"/>
      <c r="P444" s="585"/>
      <c r="Q444" s="465"/>
      <c r="R444" s="458"/>
      <c r="S444" s="585"/>
      <c r="T444" s="588"/>
      <c r="U444" s="589"/>
      <c r="V444" s="587"/>
      <c r="W444" s="465"/>
      <c r="X444" s="465"/>
      <c r="Y444" s="590"/>
      <c r="Z444" s="458"/>
      <c r="AA444" s="591"/>
      <c r="AB444" s="465"/>
      <c r="AC444" s="465"/>
      <c r="AD444" s="465"/>
      <c r="AE444" s="465"/>
      <c r="AF444" s="465"/>
      <c r="AG444" s="465"/>
      <c r="AH444" s="465"/>
      <c r="AI444" s="592"/>
      <c r="AJ444" s="465"/>
      <c r="AK444" s="465"/>
      <c r="AL444" s="20"/>
      <c r="AM444" s="20"/>
      <c r="AN444" s="593"/>
      <c r="AO444" s="20"/>
      <c r="AP444" s="276"/>
      <c r="AQ444" s="276"/>
      <c r="AR444" s="276"/>
      <c r="AS444" s="276"/>
      <c r="AT444" s="276"/>
      <c r="AU444" s="276"/>
      <c r="AV444" s="276"/>
      <c r="AW444" s="276"/>
      <c r="AX444" s="276"/>
      <c r="AY444" s="276"/>
      <c r="AZ444" s="276"/>
      <c r="BA444" s="276"/>
      <c r="BB444" s="276"/>
      <c r="BC444" s="276"/>
    </row>
    <row r="445" spans="1:55" ht="12.75" customHeight="1">
      <c r="A445" s="465"/>
      <c r="B445" s="465"/>
      <c r="C445" s="147"/>
      <c r="D445" s="147"/>
      <c r="E445" s="585"/>
      <c r="F445" s="586"/>
      <c r="G445" s="458"/>
      <c r="H445" s="458"/>
      <c r="I445" s="458"/>
      <c r="J445" s="465"/>
      <c r="K445" s="587"/>
      <c r="L445" s="465"/>
      <c r="M445" s="465"/>
      <c r="N445" s="465"/>
      <c r="O445" s="587"/>
      <c r="P445" s="585"/>
      <c r="Q445" s="465"/>
      <c r="R445" s="458"/>
      <c r="S445" s="585"/>
      <c r="T445" s="588"/>
      <c r="U445" s="589"/>
      <c r="V445" s="587"/>
      <c r="W445" s="465"/>
      <c r="X445" s="465"/>
      <c r="Y445" s="590"/>
      <c r="Z445" s="458"/>
      <c r="AA445" s="591"/>
      <c r="AB445" s="465"/>
      <c r="AC445" s="465"/>
      <c r="AD445" s="465"/>
      <c r="AE445" s="465"/>
      <c r="AF445" s="465"/>
      <c r="AG445" s="465"/>
      <c r="AH445" s="465"/>
      <c r="AI445" s="592"/>
      <c r="AJ445" s="465"/>
      <c r="AK445" s="465"/>
      <c r="AL445" s="20"/>
      <c r="AM445" s="20"/>
      <c r="AN445" s="593"/>
      <c r="AO445" s="20"/>
      <c r="AP445" s="276"/>
      <c r="AQ445" s="276"/>
      <c r="AR445" s="276"/>
      <c r="AS445" s="276"/>
      <c r="AT445" s="276"/>
      <c r="AU445" s="276"/>
      <c r="AV445" s="276"/>
      <c r="AW445" s="276"/>
      <c r="AX445" s="276"/>
      <c r="AY445" s="276"/>
      <c r="AZ445" s="276"/>
      <c r="BA445" s="276"/>
      <c r="BB445" s="276"/>
      <c r="BC445" s="276"/>
    </row>
    <row r="446" spans="1:55" ht="12.75" customHeight="1">
      <c r="A446" s="465"/>
      <c r="B446" s="465"/>
      <c r="C446" s="147"/>
      <c r="D446" s="147"/>
      <c r="E446" s="585"/>
      <c r="F446" s="586"/>
      <c r="G446" s="458"/>
      <c r="H446" s="458"/>
      <c r="I446" s="458"/>
      <c r="J446" s="465"/>
      <c r="K446" s="587"/>
      <c r="L446" s="465"/>
      <c r="M446" s="465"/>
      <c r="N446" s="465"/>
      <c r="O446" s="587"/>
      <c r="P446" s="585"/>
      <c r="Q446" s="465"/>
      <c r="R446" s="458"/>
      <c r="S446" s="585"/>
      <c r="T446" s="588"/>
      <c r="U446" s="589"/>
      <c r="V446" s="587"/>
      <c r="W446" s="465"/>
      <c r="X446" s="465"/>
      <c r="Y446" s="590"/>
      <c r="Z446" s="458"/>
      <c r="AA446" s="591"/>
      <c r="AB446" s="465"/>
      <c r="AC446" s="465"/>
      <c r="AD446" s="465"/>
      <c r="AE446" s="465"/>
      <c r="AF446" s="465"/>
      <c r="AG446" s="465"/>
      <c r="AH446" s="465"/>
      <c r="AI446" s="592"/>
      <c r="AJ446" s="465"/>
      <c r="AK446" s="465"/>
      <c r="AL446" s="20"/>
      <c r="AM446" s="20"/>
      <c r="AN446" s="593"/>
      <c r="AO446" s="20"/>
      <c r="AP446" s="276"/>
      <c r="AQ446" s="276"/>
      <c r="AR446" s="276"/>
      <c r="AS446" s="276"/>
      <c r="AT446" s="276"/>
      <c r="AU446" s="276"/>
      <c r="AV446" s="276"/>
      <c r="AW446" s="276"/>
      <c r="AX446" s="276"/>
      <c r="AY446" s="276"/>
      <c r="AZ446" s="276"/>
      <c r="BA446" s="276"/>
      <c r="BB446" s="276"/>
      <c r="BC446" s="276"/>
    </row>
    <row r="447" spans="1:55" ht="12.75" customHeight="1">
      <c r="A447" s="465"/>
      <c r="B447" s="465"/>
      <c r="C447" s="147"/>
      <c r="D447" s="147"/>
      <c r="E447" s="585"/>
      <c r="F447" s="586"/>
      <c r="G447" s="458"/>
      <c r="H447" s="458"/>
      <c r="I447" s="458"/>
      <c r="J447" s="465"/>
      <c r="K447" s="587"/>
      <c r="L447" s="465"/>
      <c r="M447" s="465"/>
      <c r="N447" s="465"/>
      <c r="O447" s="587"/>
      <c r="P447" s="585"/>
      <c r="Q447" s="465"/>
      <c r="R447" s="458"/>
      <c r="S447" s="585"/>
      <c r="T447" s="588"/>
      <c r="U447" s="589"/>
      <c r="V447" s="587"/>
      <c r="W447" s="465"/>
      <c r="X447" s="465"/>
      <c r="Y447" s="590"/>
      <c r="Z447" s="458"/>
      <c r="AA447" s="591"/>
      <c r="AB447" s="465"/>
      <c r="AC447" s="465"/>
      <c r="AD447" s="465"/>
      <c r="AE447" s="465"/>
      <c r="AF447" s="465"/>
      <c r="AG447" s="465"/>
      <c r="AH447" s="465"/>
      <c r="AI447" s="592"/>
      <c r="AJ447" s="465"/>
      <c r="AK447" s="465"/>
      <c r="AL447" s="20"/>
      <c r="AM447" s="20"/>
      <c r="AN447" s="593"/>
      <c r="AO447" s="20"/>
      <c r="AP447" s="276"/>
      <c r="AQ447" s="276"/>
      <c r="AR447" s="276"/>
      <c r="AS447" s="276"/>
      <c r="AT447" s="276"/>
      <c r="AU447" s="276"/>
      <c r="AV447" s="276"/>
      <c r="AW447" s="276"/>
      <c r="AX447" s="276"/>
      <c r="AY447" s="276"/>
      <c r="AZ447" s="276"/>
      <c r="BA447" s="276"/>
      <c r="BB447" s="276"/>
      <c r="BC447" s="276"/>
    </row>
    <row r="448" spans="1:55" ht="12.75" customHeight="1">
      <c r="A448" s="465"/>
      <c r="B448" s="465"/>
      <c r="C448" s="147"/>
      <c r="D448" s="147"/>
      <c r="E448" s="585"/>
      <c r="F448" s="586"/>
      <c r="G448" s="458"/>
      <c r="H448" s="458"/>
      <c r="I448" s="458"/>
      <c r="J448" s="465"/>
      <c r="K448" s="587"/>
      <c r="L448" s="465"/>
      <c r="M448" s="465"/>
      <c r="N448" s="465"/>
      <c r="O448" s="587"/>
      <c r="P448" s="585"/>
      <c r="Q448" s="465"/>
      <c r="R448" s="458"/>
      <c r="S448" s="585"/>
      <c r="T448" s="588"/>
      <c r="U448" s="589"/>
      <c r="V448" s="587"/>
      <c r="W448" s="465"/>
      <c r="X448" s="465"/>
      <c r="Y448" s="590"/>
      <c r="Z448" s="458"/>
      <c r="AA448" s="591"/>
      <c r="AB448" s="465"/>
      <c r="AC448" s="465"/>
      <c r="AD448" s="465"/>
      <c r="AE448" s="465"/>
      <c r="AF448" s="465"/>
      <c r="AG448" s="465"/>
      <c r="AH448" s="465"/>
      <c r="AI448" s="592"/>
      <c r="AJ448" s="465"/>
      <c r="AK448" s="465"/>
      <c r="AL448" s="20"/>
      <c r="AM448" s="20"/>
      <c r="AN448" s="593"/>
      <c r="AO448" s="20"/>
      <c r="AP448" s="276"/>
      <c r="AQ448" s="276"/>
      <c r="AR448" s="276"/>
      <c r="AS448" s="276"/>
      <c r="AT448" s="276"/>
      <c r="AU448" s="276"/>
      <c r="AV448" s="276"/>
      <c r="AW448" s="276"/>
      <c r="AX448" s="276"/>
      <c r="AY448" s="276"/>
      <c r="AZ448" s="276"/>
      <c r="BA448" s="276"/>
      <c r="BB448" s="276"/>
      <c r="BC448" s="276"/>
    </row>
    <row r="449" spans="1:55" ht="12.75" customHeight="1">
      <c r="A449" s="465"/>
      <c r="B449" s="465"/>
      <c r="C449" s="147"/>
      <c r="D449" s="147"/>
      <c r="E449" s="585"/>
      <c r="F449" s="586"/>
      <c r="G449" s="458"/>
      <c r="H449" s="458"/>
      <c r="I449" s="458"/>
      <c r="J449" s="465"/>
      <c r="K449" s="587"/>
      <c r="L449" s="465"/>
      <c r="M449" s="465"/>
      <c r="N449" s="465"/>
      <c r="O449" s="587"/>
      <c r="P449" s="585"/>
      <c r="Q449" s="465"/>
      <c r="R449" s="458"/>
      <c r="S449" s="585"/>
      <c r="T449" s="588"/>
      <c r="U449" s="589"/>
      <c r="V449" s="587"/>
      <c r="W449" s="465"/>
      <c r="X449" s="465"/>
      <c r="Y449" s="590"/>
      <c r="Z449" s="458"/>
      <c r="AA449" s="591"/>
      <c r="AB449" s="465"/>
      <c r="AC449" s="465"/>
      <c r="AD449" s="465"/>
      <c r="AE449" s="465"/>
      <c r="AF449" s="465"/>
      <c r="AG449" s="465"/>
      <c r="AH449" s="465"/>
      <c r="AI449" s="592"/>
      <c r="AJ449" s="465"/>
      <c r="AK449" s="465"/>
      <c r="AL449" s="20"/>
      <c r="AM449" s="20"/>
      <c r="AN449" s="593"/>
      <c r="AO449" s="20"/>
      <c r="AP449" s="276"/>
      <c r="AQ449" s="276"/>
      <c r="AR449" s="276"/>
      <c r="AS449" s="276"/>
      <c r="AT449" s="276"/>
      <c r="AU449" s="276"/>
      <c r="AV449" s="276"/>
      <c r="AW449" s="276"/>
      <c r="AX449" s="276"/>
      <c r="AY449" s="276"/>
      <c r="AZ449" s="276"/>
      <c r="BA449" s="276"/>
      <c r="BB449" s="276"/>
      <c r="BC449" s="276"/>
    </row>
    <row r="450" spans="1:55" ht="12.75" customHeight="1">
      <c r="A450" s="465"/>
      <c r="B450" s="465"/>
      <c r="C450" s="147"/>
      <c r="D450" s="147"/>
      <c r="E450" s="585"/>
      <c r="F450" s="586"/>
      <c r="G450" s="458"/>
      <c r="H450" s="458"/>
      <c r="I450" s="458"/>
      <c r="J450" s="465"/>
      <c r="K450" s="587"/>
      <c r="L450" s="465"/>
      <c r="M450" s="465"/>
      <c r="N450" s="465"/>
      <c r="O450" s="587"/>
      <c r="P450" s="585"/>
      <c r="Q450" s="465"/>
      <c r="R450" s="458"/>
      <c r="S450" s="585"/>
      <c r="T450" s="588"/>
      <c r="U450" s="589"/>
      <c r="V450" s="587"/>
      <c r="W450" s="465"/>
      <c r="X450" s="465"/>
      <c r="Y450" s="590"/>
      <c r="Z450" s="458"/>
      <c r="AA450" s="591"/>
      <c r="AB450" s="465"/>
      <c r="AC450" s="465"/>
      <c r="AD450" s="465"/>
      <c r="AE450" s="465"/>
      <c r="AF450" s="465"/>
      <c r="AG450" s="465"/>
      <c r="AH450" s="465"/>
      <c r="AI450" s="592"/>
      <c r="AJ450" s="465"/>
      <c r="AK450" s="465"/>
      <c r="AL450" s="20"/>
      <c r="AM450" s="20"/>
      <c r="AN450" s="593"/>
      <c r="AO450" s="20"/>
      <c r="AP450" s="276"/>
      <c r="AQ450" s="276"/>
      <c r="AR450" s="276"/>
      <c r="AS450" s="276"/>
      <c r="AT450" s="276"/>
      <c r="AU450" s="276"/>
      <c r="AV450" s="276"/>
      <c r="AW450" s="276"/>
      <c r="AX450" s="276"/>
      <c r="AY450" s="276"/>
      <c r="AZ450" s="276"/>
      <c r="BA450" s="276"/>
      <c r="BB450" s="276"/>
      <c r="BC450" s="276"/>
    </row>
    <row r="451" spans="1:55" ht="12.75" customHeight="1">
      <c r="A451" s="465"/>
      <c r="B451" s="465"/>
      <c r="C451" s="147"/>
      <c r="D451" s="147"/>
      <c r="E451" s="585"/>
      <c r="F451" s="586"/>
      <c r="G451" s="458"/>
      <c r="H451" s="458"/>
      <c r="I451" s="458"/>
      <c r="J451" s="465"/>
      <c r="K451" s="587"/>
      <c r="L451" s="465"/>
      <c r="M451" s="465"/>
      <c r="N451" s="465"/>
      <c r="O451" s="587"/>
      <c r="P451" s="585"/>
      <c r="Q451" s="465"/>
      <c r="R451" s="458"/>
      <c r="S451" s="585"/>
      <c r="T451" s="588"/>
      <c r="U451" s="589"/>
      <c r="V451" s="587"/>
      <c r="W451" s="465"/>
      <c r="X451" s="465"/>
      <c r="Y451" s="590"/>
      <c r="Z451" s="458"/>
      <c r="AA451" s="591"/>
      <c r="AB451" s="465"/>
      <c r="AC451" s="465"/>
      <c r="AD451" s="465"/>
      <c r="AE451" s="465"/>
      <c r="AF451" s="465"/>
      <c r="AG451" s="465"/>
      <c r="AH451" s="465"/>
      <c r="AI451" s="592"/>
      <c r="AJ451" s="465"/>
      <c r="AK451" s="465"/>
      <c r="AL451" s="20"/>
      <c r="AM451" s="20"/>
      <c r="AN451" s="593"/>
      <c r="AO451" s="20"/>
      <c r="AP451" s="276"/>
      <c r="AQ451" s="276"/>
      <c r="AR451" s="276"/>
      <c r="AS451" s="276"/>
      <c r="AT451" s="276"/>
      <c r="AU451" s="276"/>
      <c r="AV451" s="276"/>
      <c r="AW451" s="276"/>
      <c r="AX451" s="276"/>
      <c r="AY451" s="276"/>
      <c r="AZ451" s="276"/>
      <c r="BA451" s="276"/>
      <c r="BB451" s="276"/>
      <c r="BC451" s="276"/>
    </row>
    <row r="452" spans="1:55" ht="12.75" customHeight="1">
      <c r="A452" s="465"/>
      <c r="B452" s="465"/>
      <c r="C452" s="147"/>
      <c r="D452" s="147"/>
      <c r="E452" s="585"/>
      <c r="F452" s="586"/>
      <c r="G452" s="458"/>
      <c r="H452" s="458"/>
      <c r="I452" s="458"/>
      <c r="J452" s="465"/>
      <c r="K452" s="587"/>
      <c r="L452" s="465"/>
      <c r="M452" s="465"/>
      <c r="N452" s="465"/>
      <c r="O452" s="587"/>
      <c r="P452" s="585"/>
      <c r="Q452" s="465"/>
      <c r="R452" s="458"/>
      <c r="S452" s="585"/>
      <c r="T452" s="588"/>
      <c r="U452" s="589"/>
      <c r="V452" s="587"/>
      <c r="W452" s="465"/>
      <c r="X452" s="465"/>
      <c r="Y452" s="590"/>
      <c r="Z452" s="458"/>
      <c r="AA452" s="591"/>
      <c r="AB452" s="465"/>
      <c r="AC452" s="465"/>
      <c r="AD452" s="465"/>
      <c r="AE452" s="465"/>
      <c r="AF452" s="465"/>
      <c r="AG452" s="465"/>
      <c r="AH452" s="465"/>
      <c r="AI452" s="592"/>
      <c r="AJ452" s="465"/>
      <c r="AK452" s="465"/>
      <c r="AL452" s="20"/>
      <c r="AM452" s="20"/>
      <c r="AN452" s="593"/>
      <c r="AO452" s="20"/>
      <c r="AP452" s="276"/>
      <c r="AQ452" s="276"/>
      <c r="AR452" s="276"/>
      <c r="AS452" s="276"/>
      <c r="AT452" s="276"/>
      <c r="AU452" s="276"/>
      <c r="AV452" s="276"/>
      <c r="AW452" s="276"/>
      <c r="AX452" s="276"/>
      <c r="AY452" s="276"/>
      <c r="AZ452" s="276"/>
      <c r="BA452" s="276"/>
      <c r="BB452" s="276"/>
      <c r="BC452" s="276"/>
    </row>
    <row r="453" spans="1:55" ht="12.75" customHeight="1">
      <c r="A453" s="465"/>
      <c r="B453" s="465"/>
      <c r="C453" s="147"/>
      <c r="D453" s="147"/>
      <c r="E453" s="585"/>
      <c r="F453" s="586"/>
      <c r="G453" s="458"/>
      <c r="H453" s="458"/>
      <c r="I453" s="458"/>
      <c r="J453" s="465"/>
      <c r="K453" s="587"/>
      <c r="L453" s="465"/>
      <c r="M453" s="465"/>
      <c r="N453" s="465"/>
      <c r="O453" s="587"/>
      <c r="P453" s="585"/>
      <c r="Q453" s="465"/>
      <c r="R453" s="458"/>
      <c r="S453" s="585"/>
      <c r="T453" s="588"/>
      <c r="U453" s="589"/>
      <c r="V453" s="587"/>
      <c r="W453" s="465"/>
      <c r="X453" s="465"/>
      <c r="Y453" s="590"/>
      <c r="Z453" s="458"/>
      <c r="AA453" s="591"/>
      <c r="AB453" s="465"/>
      <c r="AC453" s="465"/>
      <c r="AD453" s="465"/>
      <c r="AE453" s="465"/>
      <c r="AF453" s="465"/>
      <c r="AG453" s="465"/>
      <c r="AH453" s="465"/>
      <c r="AI453" s="592"/>
      <c r="AJ453" s="465"/>
      <c r="AK453" s="465"/>
      <c r="AL453" s="20"/>
      <c r="AM453" s="20"/>
      <c r="AN453" s="593"/>
      <c r="AO453" s="20"/>
      <c r="AP453" s="276"/>
      <c r="AQ453" s="276"/>
      <c r="AR453" s="276"/>
      <c r="AS453" s="276"/>
      <c r="AT453" s="276"/>
      <c r="AU453" s="276"/>
      <c r="AV453" s="276"/>
      <c r="AW453" s="276"/>
      <c r="AX453" s="276"/>
      <c r="AY453" s="276"/>
      <c r="AZ453" s="276"/>
      <c r="BA453" s="276"/>
      <c r="BB453" s="276"/>
      <c r="BC453" s="276"/>
    </row>
    <row r="454" spans="1:55" ht="12.75" customHeight="1">
      <c r="A454" s="465"/>
      <c r="B454" s="465"/>
      <c r="C454" s="147"/>
      <c r="D454" s="147"/>
      <c r="E454" s="585"/>
      <c r="F454" s="586"/>
      <c r="G454" s="458"/>
      <c r="H454" s="458"/>
      <c r="I454" s="458"/>
      <c r="J454" s="465"/>
      <c r="K454" s="587"/>
      <c r="L454" s="465"/>
      <c r="M454" s="465"/>
      <c r="N454" s="465"/>
      <c r="O454" s="587"/>
      <c r="P454" s="585"/>
      <c r="Q454" s="465"/>
      <c r="R454" s="458"/>
      <c r="S454" s="585"/>
      <c r="T454" s="588"/>
      <c r="U454" s="589"/>
      <c r="V454" s="587"/>
      <c r="W454" s="465"/>
      <c r="X454" s="465"/>
      <c r="Y454" s="590"/>
      <c r="Z454" s="458"/>
      <c r="AA454" s="591"/>
      <c r="AB454" s="465"/>
      <c r="AC454" s="465"/>
      <c r="AD454" s="465"/>
      <c r="AE454" s="465"/>
      <c r="AF454" s="465"/>
      <c r="AG454" s="465"/>
      <c r="AH454" s="465"/>
      <c r="AI454" s="592"/>
      <c r="AJ454" s="465"/>
      <c r="AK454" s="465"/>
      <c r="AL454" s="20"/>
      <c r="AM454" s="20"/>
      <c r="AN454" s="593"/>
      <c r="AO454" s="20"/>
      <c r="AP454" s="276"/>
      <c r="AQ454" s="276"/>
      <c r="AR454" s="276"/>
      <c r="AS454" s="276"/>
      <c r="AT454" s="276"/>
      <c r="AU454" s="276"/>
      <c r="AV454" s="276"/>
      <c r="AW454" s="276"/>
      <c r="AX454" s="276"/>
      <c r="AY454" s="276"/>
      <c r="AZ454" s="276"/>
      <c r="BA454" s="276"/>
      <c r="BB454" s="276"/>
      <c r="BC454" s="276"/>
    </row>
    <row r="455" spans="1:55" ht="12.75" customHeight="1">
      <c r="A455" s="465"/>
      <c r="B455" s="465"/>
      <c r="C455" s="147"/>
      <c r="D455" s="147"/>
      <c r="E455" s="585"/>
      <c r="F455" s="586"/>
      <c r="G455" s="458"/>
      <c r="H455" s="458"/>
      <c r="I455" s="458"/>
      <c r="J455" s="465"/>
      <c r="K455" s="587"/>
      <c r="L455" s="465"/>
      <c r="M455" s="465"/>
      <c r="N455" s="465"/>
      <c r="O455" s="587"/>
      <c r="P455" s="585"/>
      <c r="Q455" s="465"/>
      <c r="R455" s="458"/>
      <c r="S455" s="585"/>
      <c r="T455" s="588"/>
      <c r="U455" s="589"/>
      <c r="V455" s="587"/>
      <c r="W455" s="465"/>
      <c r="X455" s="465"/>
      <c r="Y455" s="590"/>
      <c r="Z455" s="458"/>
      <c r="AA455" s="591"/>
      <c r="AB455" s="465"/>
      <c r="AC455" s="465"/>
      <c r="AD455" s="465"/>
      <c r="AE455" s="465"/>
      <c r="AF455" s="465"/>
      <c r="AG455" s="465"/>
      <c r="AH455" s="465"/>
      <c r="AI455" s="592"/>
      <c r="AJ455" s="465"/>
      <c r="AK455" s="465"/>
      <c r="AL455" s="20"/>
      <c r="AM455" s="20"/>
      <c r="AN455" s="593"/>
      <c r="AO455" s="20"/>
      <c r="AP455" s="276"/>
      <c r="AQ455" s="276"/>
      <c r="AR455" s="276"/>
      <c r="AS455" s="276"/>
      <c r="AT455" s="276"/>
      <c r="AU455" s="276"/>
      <c r="AV455" s="276"/>
      <c r="AW455" s="276"/>
      <c r="AX455" s="276"/>
      <c r="AY455" s="276"/>
      <c r="AZ455" s="276"/>
      <c r="BA455" s="276"/>
      <c r="BB455" s="276"/>
      <c r="BC455" s="276"/>
    </row>
    <row r="456" spans="1:55" ht="12.75" customHeight="1">
      <c r="A456" s="465"/>
      <c r="B456" s="465"/>
      <c r="C456" s="147"/>
      <c r="D456" s="147"/>
      <c r="E456" s="585"/>
      <c r="F456" s="586"/>
      <c r="G456" s="458"/>
      <c r="H456" s="458"/>
      <c r="I456" s="458"/>
      <c r="J456" s="465"/>
      <c r="K456" s="587"/>
      <c r="L456" s="465"/>
      <c r="M456" s="465"/>
      <c r="N456" s="465"/>
      <c r="O456" s="587"/>
      <c r="P456" s="585"/>
      <c r="Q456" s="465"/>
      <c r="R456" s="458"/>
      <c r="S456" s="585"/>
      <c r="T456" s="588"/>
      <c r="U456" s="589"/>
      <c r="V456" s="587"/>
      <c r="W456" s="465"/>
      <c r="X456" s="465"/>
      <c r="Y456" s="590"/>
      <c r="Z456" s="458"/>
      <c r="AA456" s="591"/>
      <c r="AB456" s="465"/>
      <c r="AC456" s="465"/>
      <c r="AD456" s="465"/>
      <c r="AE456" s="465"/>
      <c r="AF456" s="465"/>
      <c r="AG456" s="465"/>
      <c r="AH456" s="465"/>
      <c r="AI456" s="592"/>
      <c r="AJ456" s="465"/>
      <c r="AK456" s="465"/>
      <c r="AL456" s="20"/>
      <c r="AM456" s="20"/>
      <c r="AN456" s="593"/>
      <c r="AO456" s="20"/>
      <c r="AP456" s="276"/>
      <c r="AQ456" s="276"/>
      <c r="AR456" s="276"/>
      <c r="AS456" s="276"/>
      <c r="AT456" s="276"/>
      <c r="AU456" s="276"/>
      <c r="AV456" s="276"/>
      <c r="AW456" s="276"/>
      <c r="AX456" s="276"/>
      <c r="AY456" s="276"/>
      <c r="AZ456" s="276"/>
      <c r="BA456" s="276"/>
      <c r="BB456" s="276"/>
      <c r="BC456" s="276"/>
    </row>
    <row r="457" spans="1:55" ht="12.75" customHeight="1">
      <c r="A457" s="465"/>
      <c r="B457" s="465"/>
      <c r="C457" s="147"/>
      <c r="D457" s="147"/>
      <c r="E457" s="585"/>
      <c r="F457" s="586"/>
      <c r="G457" s="458"/>
      <c r="H457" s="458"/>
      <c r="I457" s="458"/>
      <c r="J457" s="465"/>
      <c r="K457" s="587"/>
      <c r="L457" s="465"/>
      <c r="M457" s="465"/>
      <c r="N457" s="465"/>
      <c r="O457" s="587"/>
      <c r="P457" s="585"/>
      <c r="Q457" s="465"/>
      <c r="R457" s="458"/>
      <c r="S457" s="585"/>
      <c r="T457" s="588"/>
      <c r="U457" s="589"/>
      <c r="V457" s="587"/>
      <c r="W457" s="465"/>
      <c r="X457" s="465"/>
      <c r="Y457" s="590"/>
      <c r="Z457" s="458"/>
      <c r="AA457" s="591"/>
      <c r="AB457" s="465"/>
      <c r="AC457" s="465"/>
      <c r="AD457" s="465"/>
      <c r="AE457" s="465"/>
      <c r="AF457" s="465"/>
      <c r="AG457" s="465"/>
      <c r="AH457" s="465"/>
      <c r="AI457" s="592"/>
      <c r="AJ457" s="465"/>
      <c r="AK457" s="465"/>
      <c r="AL457" s="20"/>
      <c r="AM457" s="20"/>
      <c r="AN457" s="593"/>
      <c r="AO457" s="20"/>
      <c r="AP457" s="276"/>
      <c r="AQ457" s="276"/>
      <c r="AR457" s="276"/>
      <c r="AS457" s="276"/>
      <c r="AT457" s="276"/>
      <c r="AU457" s="276"/>
      <c r="AV457" s="276"/>
      <c r="AW457" s="276"/>
      <c r="AX457" s="276"/>
      <c r="AY457" s="276"/>
      <c r="AZ457" s="276"/>
      <c r="BA457" s="276"/>
      <c r="BB457" s="276"/>
      <c r="BC457" s="276"/>
    </row>
    <row r="458" spans="1:55" ht="12.75" customHeight="1">
      <c r="A458" s="465"/>
      <c r="B458" s="465"/>
      <c r="C458" s="147"/>
      <c r="D458" s="147"/>
      <c r="E458" s="585"/>
      <c r="F458" s="586"/>
      <c r="G458" s="458"/>
      <c r="H458" s="458"/>
      <c r="I458" s="458"/>
      <c r="J458" s="465"/>
      <c r="K458" s="587"/>
      <c r="L458" s="465"/>
      <c r="M458" s="465"/>
      <c r="N458" s="465"/>
      <c r="O458" s="587"/>
      <c r="P458" s="585"/>
      <c r="Q458" s="465"/>
      <c r="R458" s="458"/>
      <c r="S458" s="585"/>
      <c r="T458" s="588"/>
      <c r="U458" s="589"/>
      <c r="V458" s="587"/>
      <c r="W458" s="465"/>
      <c r="X458" s="465"/>
      <c r="Y458" s="590"/>
      <c r="Z458" s="458"/>
      <c r="AA458" s="591"/>
      <c r="AB458" s="465"/>
      <c r="AC458" s="465"/>
      <c r="AD458" s="465"/>
      <c r="AE458" s="465"/>
      <c r="AF458" s="465"/>
      <c r="AG458" s="465"/>
      <c r="AH458" s="465"/>
      <c r="AI458" s="592"/>
      <c r="AJ458" s="465"/>
      <c r="AK458" s="465"/>
      <c r="AL458" s="20"/>
      <c r="AM458" s="20"/>
      <c r="AN458" s="593"/>
      <c r="AO458" s="20"/>
      <c r="AP458" s="276"/>
      <c r="AQ458" s="276"/>
      <c r="AR458" s="276"/>
      <c r="AS458" s="276"/>
      <c r="AT458" s="276"/>
      <c r="AU458" s="276"/>
      <c r="AV458" s="276"/>
      <c r="AW458" s="276"/>
      <c r="AX458" s="276"/>
      <c r="AY458" s="276"/>
      <c r="AZ458" s="276"/>
      <c r="BA458" s="276"/>
      <c r="BB458" s="276"/>
      <c r="BC458" s="276"/>
    </row>
    <row r="459" spans="1:55" ht="12.75" customHeight="1">
      <c r="A459" s="465"/>
      <c r="B459" s="465"/>
      <c r="C459" s="147"/>
      <c r="D459" s="147"/>
      <c r="E459" s="585"/>
      <c r="F459" s="586"/>
      <c r="G459" s="458"/>
      <c r="H459" s="458"/>
      <c r="I459" s="458"/>
      <c r="J459" s="465"/>
      <c r="K459" s="587"/>
      <c r="L459" s="465"/>
      <c r="M459" s="465"/>
      <c r="N459" s="465"/>
      <c r="O459" s="587"/>
      <c r="P459" s="585"/>
      <c r="Q459" s="465"/>
      <c r="R459" s="458"/>
      <c r="S459" s="585"/>
      <c r="T459" s="588"/>
      <c r="U459" s="589"/>
      <c r="V459" s="587"/>
      <c r="W459" s="465"/>
      <c r="X459" s="465"/>
      <c r="Y459" s="590"/>
      <c r="Z459" s="458"/>
      <c r="AA459" s="591"/>
      <c r="AB459" s="465"/>
      <c r="AC459" s="465"/>
      <c r="AD459" s="465"/>
      <c r="AE459" s="465"/>
      <c r="AF459" s="465"/>
      <c r="AG459" s="465"/>
      <c r="AH459" s="465"/>
      <c r="AI459" s="592"/>
      <c r="AJ459" s="465"/>
      <c r="AK459" s="465"/>
      <c r="AL459" s="20"/>
      <c r="AM459" s="20"/>
      <c r="AN459" s="593"/>
      <c r="AO459" s="20"/>
      <c r="AP459" s="276"/>
      <c r="AQ459" s="276"/>
      <c r="AR459" s="276"/>
      <c r="AS459" s="276"/>
      <c r="AT459" s="276"/>
      <c r="AU459" s="276"/>
      <c r="AV459" s="276"/>
      <c r="AW459" s="276"/>
      <c r="AX459" s="276"/>
      <c r="AY459" s="276"/>
      <c r="AZ459" s="276"/>
      <c r="BA459" s="276"/>
      <c r="BB459" s="276"/>
      <c r="BC459" s="276"/>
    </row>
    <row r="460" spans="1:55" ht="12.75" customHeight="1">
      <c r="A460" s="465"/>
      <c r="B460" s="465"/>
      <c r="C460" s="147"/>
      <c r="D460" s="147"/>
      <c r="E460" s="585"/>
      <c r="F460" s="586"/>
      <c r="G460" s="458"/>
      <c r="H460" s="458"/>
      <c r="I460" s="458"/>
      <c r="J460" s="465"/>
      <c r="K460" s="587"/>
      <c r="L460" s="465"/>
      <c r="M460" s="465"/>
      <c r="N460" s="465"/>
      <c r="O460" s="587"/>
      <c r="P460" s="585"/>
      <c r="Q460" s="465"/>
      <c r="R460" s="458"/>
      <c r="S460" s="585"/>
      <c r="T460" s="588"/>
      <c r="U460" s="589"/>
      <c r="V460" s="587"/>
      <c r="W460" s="465"/>
      <c r="X460" s="465"/>
      <c r="Y460" s="590"/>
      <c r="Z460" s="458"/>
      <c r="AA460" s="591"/>
      <c r="AB460" s="465"/>
      <c r="AC460" s="465"/>
      <c r="AD460" s="465"/>
      <c r="AE460" s="465"/>
      <c r="AF460" s="465"/>
      <c r="AG460" s="465"/>
      <c r="AH460" s="465"/>
      <c r="AI460" s="592"/>
      <c r="AJ460" s="465"/>
      <c r="AK460" s="465"/>
      <c r="AL460" s="20"/>
      <c r="AM460" s="20"/>
      <c r="AN460" s="593"/>
      <c r="AO460" s="20"/>
      <c r="AP460" s="276"/>
      <c r="AQ460" s="276"/>
      <c r="AR460" s="276"/>
      <c r="AS460" s="276"/>
      <c r="AT460" s="276"/>
      <c r="AU460" s="276"/>
      <c r="AV460" s="276"/>
      <c r="AW460" s="276"/>
      <c r="AX460" s="276"/>
      <c r="AY460" s="276"/>
      <c r="AZ460" s="276"/>
      <c r="BA460" s="276"/>
      <c r="BB460" s="276"/>
      <c r="BC460" s="276"/>
    </row>
    <row r="461" spans="1:55" ht="12.75" customHeight="1">
      <c r="A461" s="465"/>
      <c r="B461" s="465"/>
      <c r="C461" s="147"/>
      <c r="D461" s="147"/>
      <c r="E461" s="585"/>
      <c r="F461" s="586"/>
      <c r="G461" s="458"/>
      <c r="H461" s="458"/>
      <c r="I461" s="458"/>
      <c r="J461" s="465"/>
      <c r="K461" s="587"/>
      <c r="L461" s="465"/>
      <c r="M461" s="465"/>
      <c r="N461" s="465"/>
      <c r="O461" s="587"/>
      <c r="P461" s="585"/>
      <c r="Q461" s="465"/>
      <c r="R461" s="458"/>
      <c r="S461" s="585"/>
      <c r="T461" s="588"/>
      <c r="U461" s="589"/>
      <c r="V461" s="587"/>
      <c r="W461" s="465"/>
      <c r="X461" s="465"/>
      <c r="Y461" s="590"/>
      <c r="Z461" s="458"/>
      <c r="AA461" s="591"/>
      <c r="AB461" s="465"/>
      <c r="AC461" s="465"/>
      <c r="AD461" s="465"/>
      <c r="AE461" s="465"/>
      <c r="AF461" s="465"/>
      <c r="AG461" s="465"/>
      <c r="AH461" s="465"/>
      <c r="AI461" s="592"/>
      <c r="AJ461" s="465"/>
      <c r="AK461" s="465"/>
      <c r="AL461" s="20"/>
      <c r="AM461" s="20"/>
      <c r="AN461" s="593"/>
      <c r="AO461" s="20"/>
      <c r="AP461" s="276"/>
      <c r="AQ461" s="276"/>
      <c r="AR461" s="276"/>
      <c r="AS461" s="276"/>
      <c r="AT461" s="276"/>
      <c r="AU461" s="276"/>
      <c r="AV461" s="276"/>
      <c r="AW461" s="276"/>
      <c r="AX461" s="276"/>
      <c r="AY461" s="276"/>
      <c r="AZ461" s="276"/>
      <c r="BA461" s="276"/>
      <c r="BB461" s="276"/>
      <c r="BC461" s="276"/>
    </row>
    <row r="462" spans="1:55" ht="12.75" customHeight="1">
      <c r="A462" s="465"/>
      <c r="B462" s="465"/>
      <c r="C462" s="147"/>
      <c r="D462" s="147"/>
      <c r="E462" s="585"/>
      <c r="F462" s="586"/>
      <c r="G462" s="458"/>
      <c r="H462" s="458"/>
      <c r="I462" s="458"/>
      <c r="J462" s="465"/>
      <c r="K462" s="587"/>
      <c r="L462" s="465"/>
      <c r="M462" s="465"/>
      <c r="N462" s="465"/>
      <c r="O462" s="587"/>
      <c r="P462" s="585"/>
      <c r="Q462" s="465"/>
      <c r="R462" s="458"/>
      <c r="S462" s="585"/>
      <c r="T462" s="588"/>
      <c r="U462" s="589"/>
      <c r="V462" s="587"/>
      <c r="W462" s="465"/>
      <c r="X462" s="465"/>
      <c r="Y462" s="590"/>
      <c r="Z462" s="458"/>
      <c r="AA462" s="591"/>
      <c r="AB462" s="465"/>
      <c r="AC462" s="465"/>
      <c r="AD462" s="465"/>
      <c r="AE462" s="465"/>
      <c r="AF462" s="465"/>
      <c r="AG462" s="465"/>
      <c r="AH462" s="465"/>
      <c r="AI462" s="592"/>
      <c r="AJ462" s="465"/>
      <c r="AK462" s="465"/>
      <c r="AL462" s="20"/>
      <c r="AM462" s="20"/>
      <c r="AN462" s="593"/>
      <c r="AO462" s="20"/>
      <c r="AP462" s="276"/>
      <c r="AQ462" s="276"/>
      <c r="AR462" s="276"/>
      <c r="AS462" s="276"/>
      <c r="AT462" s="276"/>
      <c r="AU462" s="276"/>
      <c r="AV462" s="276"/>
      <c r="AW462" s="276"/>
      <c r="AX462" s="276"/>
      <c r="AY462" s="276"/>
      <c r="AZ462" s="276"/>
      <c r="BA462" s="276"/>
      <c r="BB462" s="276"/>
      <c r="BC462" s="276"/>
    </row>
    <row r="463" spans="1:55" ht="12.75" customHeight="1">
      <c r="A463" s="465"/>
      <c r="B463" s="465"/>
      <c r="C463" s="147"/>
      <c r="D463" s="147"/>
      <c r="E463" s="585"/>
      <c r="F463" s="586"/>
      <c r="G463" s="458"/>
      <c r="H463" s="458"/>
      <c r="I463" s="458"/>
      <c r="J463" s="465"/>
      <c r="K463" s="587"/>
      <c r="L463" s="465"/>
      <c r="M463" s="465"/>
      <c r="N463" s="465"/>
      <c r="O463" s="587"/>
      <c r="P463" s="585"/>
      <c r="Q463" s="465"/>
      <c r="R463" s="458"/>
      <c r="S463" s="585"/>
      <c r="T463" s="588"/>
      <c r="U463" s="589"/>
      <c r="V463" s="587"/>
      <c r="W463" s="465"/>
      <c r="X463" s="465"/>
      <c r="Y463" s="590"/>
      <c r="Z463" s="458"/>
      <c r="AA463" s="591"/>
      <c r="AB463" s="465"/>
      <c r="AC463" s="465"/>
      <c r="AD463" s="465"/>
      <c r="AE463" s="465"/>
      <c r="AF463" s="465"/>
      <c r="AG463" s="465"/>
      <c r="AH463" s="465"/>
      <c r="AI463" s="592"/>
      <c r="AJ463" s="465"/>
      <c r="AK463" s="465"/>
      <c r="AL463" s="20"/>
      <c r="AM463" s="20"/>
      <c r="AN463" s="593"/>
      <c r="AO463" s="20"/>
      <c r="AP463" s="276"/>
      <c r="AQ463" s="276"/>
      <c r="AR463" s="276"/>
      <c r="AS463" s="276"/>
      <c r="AT463" s="276"/>
      <c r="AU463" s="276"/>
      <c r="AV463" s="276"/>
      <c r="AW463" s="276"/>
      <c r="AX463" s="276"/>
      <c r="AY463" s="276"/>
      <c r="AZ463" s="276"/>
      <c r="BA463" s="276"/>
      <c r="BB463" s="276"/>
      <c r="BC463" s="276"/>
    </row>
    <row r="464" spans="1:55" ht="12.75" customHeight="1">
      <c r="A464" s="465"/>
      <c r="B464" s="465"/>
      <c r="C464" s="147"/>
      <c r="D464" s="147"/>
      <c r="E464" s="585"/>
      <c r="F464" s="586"/>
      <c r="G464" s="458"/>
      <c r="H464" s="458"/>
      <c r="I464" s="458"/>
      <c r="J464" s="465"/>
      <c r="K464" s="587"/>
      <c r="L464" s="465"/>
      <c r="M464" s="465"/>
      <c r="N464" s="465"/>
      <c r="O464" s="587"/>
      <c r="P464" s="585"/>
      <c r="Q464" s="465"/>
      <c r="R464" s="458"/>
      <c r="S464" s="585"/>
      <c r="T464" s="588"/>
      <c r="U464" s="589"/>
      <c r="V464" s="587"/>
      <c r="W464" s="465"/>
      <c r="X464" s="465"/>
      <c r="Y464" s="590"/>
      <c r="Z464" s="458"/>
      <c r="AA464" s="591"/>
      <c r="AB464" s="465"/>
      <c r="AC464" s="465"/>
      <c r="AD464" s="465"/>
      <c r="AE464" s="465"/>
      <c r="AF464" s="465"/>
      <c r="AG464" s="465"/>
      <c r="AH464" s="465"/>
      <c r="AI464" s="592"/>
      <c r="AJ464" s="465"/>
      <c r="AK464" s="465"/>
      <c r="AL464" s="20"/>
      <c r="AM464" s="20"/>
      <c r="AN464" s="593"/>
      <c r="AO464" s="20"/>
      <c r="AP464" s="276"/>
      <c r="AQ464" s="276"/>
      <c r="AR464" s="276"/>
      <c r="AS464" s="276"/>
      <c r="AT464" s="276"/>
      <c r="AU464" s="276"/>
      <c r="AV464" s="276"/>
      <c r="AW464" s="276"/>
      <c r="AX464" s="276"/>
      <c r="AY464" s="276"/>
      <c r="AZ464" s="276"/>
      <c r="BA464" s="276"/>
      <c r="BB464" s="276"/>
      <c r="BC464" s="276"/>
    </row>
    <row r="465" spans="1:55" ht="12.75" customHeight="1">
      <c r="A465" s="465"/>
      <c r="B465" s="465"/>
      <c r="C465" s="147"/>
      <c r="D465" s="147"/>
      <c r="E465" s="585"/>
      <c r="F465" s="586"/>
      <c r="G465" s="458"/>
      <c r="H465" s="458"/>
      <c r="I465" s="458"/>
      <c r="J465" s="465"/>
      <c r="K465" s="587"/>
      <c r="L465" s="465"/>
      <c r="M465" s="465"/>
      <c r="N465" s="465"/>
      <c r="O465" s="587"/>
      <c r="P465" s="585"/>
      <c r="Q465" s="465"/>
      <c r="R465" s="458"/>
      <c r="S465" s="585"/>
      <c r="T465" s="588"/>
      <c r="U465" s="589"/>
      <c r="V465" s="587"/>
      <c r="W465" s="465"/>
      <c r="X465" s="465"/>
      <c r="Y465" s="590"/>
      <c r="Z465" s="458"/>
      <c r="AA465" s="591"/>
      <c r="AB465" s="465"/>
      <c r="AC465" s="465"/>
      <c r="AD465" s="465"/>
      <c r="AE465" s="465"/>
      <c r="AF465" s="465"/>
      <c r="AG465" s="465"/>
      <c r="AH465" s="465"/>
      <c r="AI465" s="592"/>
      <c r="AJ465" s="465"/>
      <c r="AK465" s="465"/>
      <c r="AL465" s="20"/>
      <c r="AM465" s="20"/>
      <c r="AN465" s="593"/>
      <c r="AO465" s="20"/>
      <c r="AP465" s="276"/>
      <c r="AQ465" s="276"/>
      <c r="AR465" s="276"/>
      <c r="AS465" s="276"/>
      <c r="AT465" s="276"/>
      <c r="AU465" s="276"/>
      <c r="AV465" s="276"/>
      <c r="AW465" s="276"/>
      <c r="AX465" s="276"/>
      <c r="AY465" s="276"/>
      <c r="AZ465" s="276"/>
      <c r="BA465" s="276"/>
      <c r="BB465" s="276"/>
      <c r="BC465" s="276"/>
    </row>
    <row r="466" spans="1:55" ht="12.75" customHeight="1">
      <c r="A466" s="465"/>
      <c r="B466" s="465"/>
      <c r="C466" s="147"/>
      <c r="D466" s="147"/>
      <c r="E466" s="585"/>
      <c r="F466" s="586"/>
      <c r="G466" s="458"/>
      <c r="H466" s="458"/>
      <c r="I466" s="458"/>
      <c r="J466" s="465"/>
      <c r="K466" s="587"/>
      <c r="L466" s="465"/>
      <c r="M466" s="465"/>
      <c r="N466" s="465"/>
      <c r="O466" s="587"/>
      <c r="P466" s="585"/>
      <c r="Q466" s="465"/>
      <c r="R466" s="458"/>
      <c r="S466" s="585"/>
      <c r="T466" s="588"/>
      <c r="U466" s="589"/>
      <c r="V466" s="587"/>
      <c r="W466" s="465"/>
      <c r="X466" s="465"/>
      <c r="Y466" s="590"/>
      <c r="Z466" s="458"/>
      <c r="AA466" s="591"/>
      <c r="AB466" s="465"/>
      <c r="AC466" s="465"/>
      <c r="AD466" s="465"/>
      <c r="AE466" s="465"/>
      <c r="AF466" s="465"/>
      <c r="AG466" s="465"/>
      <c r="AH466" s="465"/>
      <c r="AI466" s="592"/>
      <c r="AJ466" s="465"/>
      <c r="AK466" s="465"/>
      <c r="AL466" s="20"/>
      <c r="AM466" s="20"/>
      <c r="AN466" s="593"/>
      <c r="AO466" s="20"/>
      <c r="AP466" s="276"/>
      <c r="AQ466" s="276"/>
      <c r="AR466" s="276"/>
      <c r="AS466" s="276"/>
      <c r="AT466" s="276"/>
      <c r="AU466" s="276"/>
      <c r="AV466" s="276"/>
      <c r="AW466" s="276"/>
      <c r="AX466" s="276"/>
      <c r="AY466" s="276"/>
      <c r="AZ466" s="276"/>
      <c r="BA466" s="276"/>
      <c r="BB466" s="276"/>
      <c r="BC466" s="276"/>
    </row>
    <row r="467" spans="1:55" ht="12.75" customHeight="1">
      <c r="A467" s="465"/>
      <c r="B467" s="465"/>
      <c r="C467" s="147"/>
      <c r="D467" s="147"/>
      <c r="E467" s="585"/>
      <c r="F467" s="586"/>
      <c r="G467" s="458"/>
      <c r="H467" s="458"/>
      <c r="I467" s="458"/>
      <c r="J467" s="465"/>
      <c r="K467" s="587"/>
      <c r="L467" s="465"/>
      <c r="M467" s="465"/>
      <c r="N467" s="465"/>
      <c r="O467" s="587"/>
      <c r="P467" s="585"/>
      <c r="Q467" s="465"/>
      <c r="R467" s="458"/>
      <c r="S467" s="585"/>
      <c r="T467" s="588"/>
      <c r="U467" s="589"/>
      <c r="V467" s="587"/>
      <c r="W467" s="465"/>
      <c r="X467" s="465"/>
      <c r="Y467" s="590"/>
      <c r="Z467" s="458"/>
      <c r="AA467" s="591"/>
      <c r="AB467" s="465"/>
      <c r="AC467" s="465"/>
      <c r="AD467" s="465"/>
      <c r="AE467" s="465"/>
      <c r="AF467" s="465"/>
      <c r="AG467" s="465"/>
      <c r="AH467" s="465"/>
      <c r="AI467" s="592"/>
      <c r="AJ467" s="465"/>
      <c r="AK467" s="465"/>
      <c r="AL467" s="20"/>
      <c r="AM467" s="20"/>
      <c r="AN467" s="593"/>
      <c r="AO467" s="20"/>
      <c r="AP467" s="276"/>
      <c r="AQ467" s="276"/>
      <c r="AR467" s="276"/>
      <c r="AS467" s="276"/>
      <c r="AT467" s="276"/>
      <c r="AU467" s="276"/>
      <c r="AV467" s="276"/>
      <c r="AW467" s="276"/>
      <c r="AX467" s="276"/>
      <c r="AY467" s="276"/>
      <c r="AZ467" s="276"/>
      <c r="BA467" s="276"/>
      <c r="BB467" s="276"/>
      <c r="BC467" s="276"/>
    </row>
    <row r="468" spans="1:55" ht="12.75" customHeight="1">
      <c r="A468" s="465"/>
      <c r="B468" s="465"/>
      <c r="C468" s="147"/>
      <c r="D468" s="147"/>
      <c r="E468" s="585"/>
      <c r="F468" s="586"/>
      <c r="G468" s="458"/>
      <c r="H468" s="458"/>
      <c r="I468" s="458"/>
      <c r="J468" s="465"/>
      <c r="K468" s="587"/>
      <c r="L468" s="465"/>
      <c r="M468" s="465"/>
      <c r="N468" s="465"/>
      <c r="O468" s="587"/>
      <c r="P468" s="585"/>
      <c r="Q468" s="465"/>
      <c r="R468" s="458"/>
      <c r="S468" s="585"/>
      <c r="T468" s="588"/>
      <c r="U468" s="589"/>
      <c r="V468" s="587"/>
      <c r="W468" s="465"/>
      <c r="X468" s="465"/>
      <c r="Y468" s="590"/>
      <c r="Z468" s="458"/>
      <c r="AA468" s="591"/>
      <c r="AB468" s="465"/>
      <c r="AC468" s="465"/>
      <c r="AD468" s="465"/>
      <c r="AE468" s="465"/>
      <c r="AF468" s="465"/>
      <c r="AG468" s="465"/>
      <c r="AH468" s="465"/>
      <c r="AI468" s="592"/>
      <c r="AJ468" s="465"/>
      <c r="AK468" s="465"/>
      <c r="AL468" s="20"/>
      <c r="AM468" s="20"/>
      <c r="AN468" s="593"/>
      <c r="AO468" s="20"/>
      <c r="AP468" s="276"/>
      <c r="AQ468" s="276"/>
      <c r="AR468" s="276"/>
      <c r="AS468" s="276"/>
      <c r="AT468" s="276"/>
      <c r="AU468" s="276"/>
      <c r="AV468" s="276"/>
      <c r="AW468" s="276"/>
      <c r="AX468" s="276"/>
      <c r="AY468" s="276"/>
      <c r="AZ468" s="276"/>
      <c r="BA468" s="276"/>
      <c r="BB468" s="276"/>
      <c r="BC468" s="276"/>
    </row>
    <row r="469" spans="1:55" ht="12.75" customHeight="1">
      <c r="A469" s="465"/>
      <c r="B469" s="465"/>
      <c r="C469" s="147"/>
      <c r="D469" s="147"/>
      <c r="E469" s="585"/>
      <c r="F469" s="586"/>
      <c r="G469" s="458"/>
      <c r="H469" s="458"/>
      <c r="I469" s="458"/>
      <c r="J469" s="465"/>
      <c r="K469" s="587"/>
      <c r="L469" s="465"/>
      <c r="M469" s="465"/>
      <c r="N469" s="465"/>
      <c r="O469" s="587"/>
      <c r="P469" s="585"/>
      <c r="Q469" s="465"/>
      <c r="R469" s="458"/>
      <c r="S469" s="585"/>
      <c r="T469" s="588"/>
      <c r="U469" s="589"/>
      <c r="V469" s="587"/>
      <c r="W469" s="465"/>
      <c r="X469" s="465"/>
      <c r="Y469" s="590"/>
      <c r="Z469" s="458"/>
      <c r="AA469" s="591"/>
      <c r="AB469" s="465"/>
      <c r="AC469" s="465"/>
      <c r="AD469" s="465"/>
      <c r="AE469" s="465"/>
      <c r="AF469" s="465"/>
      <c r="AG469" s="465"/>
      <c r="AH469" s="465"/>
      <c r="AI469" s="592"/>
      <c r="AJ469" s="465"/>
      <c r="AK469" s="465"/>
      <c r="AL469" s="20"/>
      <c r="AM469" s="20"/>
      <c r="AN469" s="593"/>
      <c r="AO469" s="20"/>
      <c r="AP469" s="276"/>
      <c r="AQ469" s="276"/>
      <c r="AR469" s="276"/>
      <c r="AS469" s="276"/>
      <c r="AT469" s="276"/>
      <c r="AU469" s="276"/>
      <c r="AV469" s="276"/>
      <c r="AW469" s="276"/>
      <c r="AX469" s="276"/>
      <c r="AY469" s="276"/>
      <c r="AZ469" s="276"/>
      <c r="BA469" s="276"/>
      <c r="BB469" s="276"/>
      <c r="BC469" s="276"/>
    </row>
    <row r="470" spans="1:55" ht="12.75" customHeight="1">
      <c r="A470" s="465"/>
      <c r="B470" s="465"/>
      <c r="C470" s="147"/>
      <c r="D470" s="147"/>
      <c r="E470" s="585"/>
      <c r="F470" s="586"/>
      <c r="G470" s="458"/>
      <c r="H470" s="458"/>
      <c r="I470" s="458"/>
      <c r="J470" s="465"/>
      <c r="K470" s="587"/>
      <c r="L470" s="465"/>
      <c r="M470" s="465"/>
      <c r="N470" s="465"/>
      <c r="O470" s="587"/>
      <c r="P470" s="585"/>
      <c r="Q470" s="465"/>
      <c r="R470" s="458"/>
      <c r="S470" s="585"/>
      <c r="T470" s="588"/>
      <c r="U470" s="589"/>
      <c r="V470" s="587"/>
      <c r="W470" s="465"/>
      <c r="X470" s="465"/>
      <c r="Y470" s="590"/>
      <c r="Z470" s="458"/>
      <c r="AA470" s="591"/>
      <c r="AB470" s="465"/>
      <c r="AC470" s="465"/>
      <c r="AD470" s="465"/>
      <c r="AE470" s="465"/>
      <c r="AF470" s="465"/>
      <c r="AG470" s="465"/>
      <c r="AH470" s="465"/>
      <c r="AI470" s="592"/>
      <c r="AJ470" s="465"/>
      <c r="AK470" s="465"/>
      <c r="AL470" s="20"/>
      <c r="AM470" s="20"/>
      <c r="AN470" s="593"/>
      <c r="AO470" s="20"/>
      <c r="AP470" s="276"/>
      <c r="AQ470" s="276"/>
      <c r="AR470" s="276"/>
      <c r="AS470" s="276"/>
      <c r="AT470" s="276"/>
      <c r="AU470" s="276"/>
      <c r="AV470" s="276"/>
      <c r="AW470" s="276"/>
      <c r="AX470" s="276"/>
      <c r="AY470" s="276"/>
      <c r="AZ470" s="276"/>
      <c r="BA470" s="276"/>
      <c r="BB470" s="276"/>
      <c r="BC470" s="276"/>
    </row>
    <row r="471" spans="1:55" ht="12.75" customHeight="1">
      <c r="A471" s="465"/>
      <c r="B471" s="465"/>
      <c r="C471" s="147"/>
      <c r="D471" s="147"/>
      <c r="E471" s="585"/>
      <c r="F471" s="586"/>
      <c r="G471" s="458"/>
      <c r="H471" s="458"/>
      <c r="I471" s="458"/>
      <c r="J471" s="465"/>
      <c r="K471" s="587"/>
      <c r="L471" s="465"/>
      <c r="M471" s="465"/>
      <c r="N471" s="465"/>
      <c r="O471" s="587"/>
      <c r="P471" s="585"/>
      <c r="Q471" s="465"/>
      <c r="R471" s="458"/>
      <c r="S471" s="585"/>
      <c r="T471" s="588"/>
      <c r="U471" s="589"/>
      <c r="V471" s="587"/>
      <c r="W471" s="465"/>
      <c r="X471" s="465"/>
      <c r="Y471" s="590"/>
      <c r="Z471" s="458"/>
      <c r="AA471" s="591"/>
      <c r="AB471" s="465"/>
      <c r="AC471" s="465"/>
      <c r="AD471" s="465"/>
      <c r="AE471" s="465"/>
      <c r="AF471" s="465"/>
      <c r="AG471" s="465"/>
      <c r="AH471" s="465"/>
      <c r="AI471" s="592"/>
      <c r="AJ471" s="465"/>
      <c r="AK471" s="465"/>
      <c r="AL471" s="20"/>
      <c r="AM471" s="20"/>
      <c r="AN471" s="593"/>
      <c r="AO471" s="20"/>
      <c r="AP471" s="276"/>
      <c r="AQ471" s="276"/>
      <c r="AR471" s="276"/>
      <c r="AS471" s="276"/>
      <c r="AT471" s="276"/>
      <c r="AU471" s="276"/>
      <c r="AV471" s="276"/>
      <c r="AW471" s="276"/>
      <c r="AX471" s="276"/>
      <c r="AY471" s="276"/>
      <c r="AZ471" s="276"/>
      <c r="BA471" s="276"/>
      <c r="BB471" s="276"/>
      <c r="BC471" s="276"/>
    </row>
    <row r="472" spans="1:55" ht="12.75" customHeight="1">
      <c r="A472" s="465"/>
      <c r="B472" s="465"/>
      <c r="C472" s="147"/>
      <c r="D472" s="147"/>
      <c r="E472" s="585"/>
      <c r="F472" s="586"/>
      <c r="G472" s="458"/>
      <c r="H472" s="458"/>
      <c r="I472" s="458"/>
      <c r="J472" s="465"/>
      <c r="K472" s="587"/>
      <c r="L472" s="465"/>
      <c r="M472" s="465"/>
      <c r="N472" s="465"/>
      <c r="O472" s="587"/>
      <c r="P472" s="585"/>
      <c r="Q472" s="465"/>
      <c r="R472" s="458"/>
      <c r="S472" s="585"/>
      <c r="T472" s="588"/>
      <c r="U472" s="589"/>
      <c r="V472" s="587"/>
      <c r="W472" s="465"/>
      <c r="X472" s="465"/>
      <c r="Y472" s="590"/>
      <c r="Z472" s="458"/>
      <c r="AA472" s="591"/>
      <c r="AB472" s="465"/>
      <c r="AC472" s="465"/>
      <c r="AD472" s="465"/>
      <c r="AE472" s="465"/>
      <c r="AF472" s="465"/>
      <c r="AG472" s="465"/>
      <c r="AH472" s="465"/>
      <c r="AI472" s="592"/>
      <c r="AJ472" s="465"/>
      <c r="AK472" s="465"/>
      <c r="AL472" s="20"/>
      <c r="AM472" s="20"/>
      <c r="AN472" s="593"/>
      <c r="AO472" s="20"/>
      <c r="AP472" s="276"/>
      <c r="AQ472" s="276"/>
      <c r="AR472" s="276"/>
      <c r="AS472" s="276"/>
      <c r="AT472" s="276"/>
      <c r="AU472" s="276"/>
      <c r="AV472" s="276"/>
      <c r="AW472" s="276"/>
      <c r="AX472" s="276"/>
      <c r="AY472" s="276"/>
      <c r="AZ472" s="276"/>
      <c r="BA472" s="276"/>
      <c r="BB472" s="276"/>
      <c r="BC472" s="276"/>
    </row>
    <row r="473" spans="1:55" ht="12.75" customHeight="1">
      <c r="A473" s="465"/>
      <c r="B473" s="465"/>
      <c r="C473" s="147"/>
      <c r="D473" s="147"/>
      <c r="E473" s="585"/>
      <c r="F473" s="586"/>
      <c r="G473" s="458"/>
      <c r="H473" s="458"/>
      <c r="I473" s="458"/>
      <c r="J473" s="465"/>
      <c r="K473" s="587"/>
      <c r="L473" s="465"/>
      <c r="M473" s="465"/>
      <c r="N473" s="465"/>
      <c r="O473" s="587"/>
      <c r="P473" s="585"/>
      <c r="Q473" s="465"/>
      <c r="R473" s="458"/>
      <c r="S473" s="585"/>
      <c r="T473" s="588"/>
      <c r="U473" s="589"/>
      <c r="V473" s="587"/>
      <c r="W473" s="465"/>
      <c r="X473" s="465"/>
      <c r="Y473" s="590"/>
      <c r="Z473" s="458"/>
      <c r="AA473" s="591"/>
      <c r="AB473" s="465"/>
      <c r="AC473" s="465"/>
      <c r="AD473" s="465"/>
      <c r="AE473" s="465"/>
      <c r="AF473" s="465"/>
      <c r="AG473" s="465"/>
      <c r="AH473" s="465"/>
      <c r="AI473" s="592"/>
      <c r="AJ473" s="465"/>
      <c r="AK473" s="465"/>
      <c r="AL473" s="20"/>
      <c r="AM473" s="20"/>
      <c r="AN473" s="593"/>
      <c r="AO473" s="20"/>
      <c r="AP473" s="276"/>
      <c r="AQ473" s="276"/>
      <c r="AR473" s="276"/>
      <c r="AS473" s="276"/>
      <c r="AT473" s="276"/>
      <c r="AU473" s="276"/>
      <c r="AV473" s="276"/>
      <c r="AW473" s="276"/>
      <c r="AX473" s="276"/>
      <c r="AY473" s="276"/>
      <c r="AZ473" s="276"/>
      <c r="BA473" s="276"/>
      <c r="BB473" s="276"/>
      <c r="BC473" s="276"/>
    </row>
    <row r="474" spans="1:55" ht="12.75" customHeight="1">
      <c r="A474" s="465"/>
      <c r="B474" s="465"/>
      <c r="C474" s="147"/>
      <c r="D474" s="147"/>
      <c r="E474" s="585"/>
      <c r="F474" s="586"/>
      <c r="G474" s="458"/>
      <c r="H474" s="458"/>
      <c r="I474" s="458"/>
      <c r="J474" s="465"/>
      <c r="K474" s="587"/>
      <c r="L474" s="465"/>
      <c r="M474" s="465"/>
      <c r="N474" s="465"/>
      <c r="O474" s="587"/>
      <c r="P474" s="585"/>
      <c r="Q474" s="465"/>
      <c r="R474" s="458"/>
      <c r="S474" s="585"/>
      <c r="T474" s="588"/>
      <c r="U474" s="589"/>
      <c r="V474" s="587"/>
      <c r="W474" s="465"/>
      <c r="X474" s="465"/>
      <c r="Y474" s="590"/>
      <c r="Z474" s="458"/>
      <c r="AA474" s="591"/>
      <c r="AB474" s="465"/>
      <c r="AC474" s="465"/>
      <c r="AD474" s="465"/>
      <c r="AE474" s="465"/>
      <c r="AF474" s="465"/>
      <c r="AG474" s="465"/>
      <c r="AH474" s="465"/>
      <c r="AI474" s="592"/>
      <c r="AJ474" s="465"/>
      <c r="AK474" s="465"/>
      <c r="AL474" s="20"/>
      <c r="AM474" s="20"/>
      <c r="AN474" s="593"/>
      <c r="AO474" s="20"/>
      <c r="AP474" s="276"/>
      <c r="AQ474" s="276"/>
      <c r="AR474" s="276"/>
      <c r="AS474" s="276"/>
      <c r="AT474" s="276"/>
      <c r="AU474" s="276"/>
      <c r="AV474" s="276"/>
      <c r="AW474" s="276"/>
      <c r="AX474" s="276"/>
      <c r="AY474" s="276"/>
      <c r="AZ474" s="276"/>
      <c r="BA474" s="276"/>
      <c r="BB474" s="276"/>
      <c r="BC474" s="276"/>
    </row>
    <row r="475" spans="1:55" ht="12.75" customHeight="1">
      <c r="A475" s="465"/>
      <c r="B475" s="465"/>
      <c r="C475" s="147"/>
      <c r="D475" s="147"/>
      <c r="E475" s="585"/>
      <c r="F475" s="586"/>
      <c r="G475" s="458"/>
      <c r="H475" s="458"/>
      <c r="I475" s="458"/>
      <c r="J475" s="465"/>
      <c r="K475" s="587"/>
      <c r="L475" s="465"/>
      <c r="M475" s="465"/>
      <c r="N475" s="465"/>
      <c r="O475" s="587"/>
      <c r="P475" s="585"/>
      <c r="Q475" s="465"/>
      <c r="R475" s="458"/>
      <c r="S475" s="585"/>
      <c r="T475" s="588"/>
      <c r="U475" s="589"/>
      <c r="V475" s="587"/>
      <c r="W475" s="465"/>
      <c r="X475" s="465"/>
      <c r="Y475" s="590"/>
      <c r="Z475" s="458"/>
      <c r="AA475" s="591"/>
      <c r="AB475" s="465"/>
      <c r="AC475" s="465"/>
      <c r="AD475" s="465"/>
      <c r="AE475" s="465"/>
      <c r="AF475" s="465"/>
      <c r="AG475" s="465"/>
      <c r="AH475" s="465"/>
      <c r="AI475" s="592"/>
      <c r="AJ475" s="465"/>
      <c r="AK475" s="465"/>
      <c r="AL475" s="20"/>
      <c r="AM475" s="20"/>
      <c r="AN475" s="593"/>
      <c r="AO475" s="20"/>
      <c r="AP475" s="276"/>
      <c r="AQ475" s="276"/>
      <c r="AR475" s="276"/>
      <c r="AS475" s="276"/>
      <c r="AT475" s="276"/>
      <c r="AU475" s="276"/>
      <c r="AV475" s="276"/>
      <c r="AW475" s="276"/>
      <c r="AX475" s="276"/>
      <c r="AY475" s="276"/>
      <c r="AZ475" s="276"/>
      <c r="BA475" s="276"/>
      <c r="BB475" s="276"/>
      <c r="BC475" s="276"/>
    </row>
    <row r="476" spans="1:55" ht="12.75" customHeight="1">
      <c r="A476" s="465"/>
      <c r="B476" s="465"/>
      <c r="C476" s="147"/>
      <c r="D476" s="147"/>
      <c r="E476" s="585"/>
      <c r="F476" s="586"/>
      <c r="G476" s="458"/>
      <c r="H476" s="458"/>
      <c r="I476" s="458"/>
      <c r="J476" s="465"/>
      <c r="K476" s="587"/>
      <c r="L476" s="465"/>
      <c r="M476" s="465"/>
      <c r="N476" s="465"/>
      <c r="O476" s="587"/>
      <c r="P476" s="585"/>
      <c r="Q476" s="465"/>
      <c r="R476" s="458"/>
      <c r="S476" s="585"/>
      <c r="T476" s="588"/>
      <c r="U476" s="589"/>
      <c r="V476" s="587"/>
      <c r="W476" s="465"/>
      <c r="X476" s="465"/>
      <c r="Y476" s="590"/>
      <c r="Z476" s="458"/>
      <c r="AA476" s="591"/>
      <c r="AB476" s="465"/>
      <c r="AC476" s="465"/>
      <c r="AD476" s="465"/>
      <c r="AE476" s="465"/>
      <c r="AF476" s="465"/>
      <c r="AG476" s="465"/>
      <c r="AH476" s="465"/>
      <c r="AI476" s="592"/>
      <c r="AJ476" s="465"/>
      <c r="AK476" s="465"/>
      <c r="AL476" s="20"/>
      <c r="AM476" s="20"/>
      <c r="AN476" s="593"/>
      <c r="AO476" s="20"/>
      <c r="AP476" s="276"/>
      <c r="AQ476" s="276"/>
      <c r="AR476" s="276"/>
      <c r="AS476" s="276"/>
      <c r="AT476" s="276"/>
      <c r="AU476" s="276"/>
      <c r="AV476" s="276"/>
      <c r="AW476" s="276"/>
      <c r="AX476" s="276"/>
      <c r="AY476" s="276"/>
      <c r="AZ476" s="276"/>
      <c r="BA476" s="276"/>
      <c r="BB476" s="276"/>
      <c r="BC476" s="276"/>
    </row>
    <row r="477" spans="1:55" ht="12.75" customHeight="1">
      <c r="A477" s="465"/>
      <c r="B477" s="465"/>
      <c r="C477" s="147"/>
      <c r="D477" s="147"/>
      <c r="E477" s="585"/>
      <c r="F477" s="586"/>
      <c r="G477" s="458"/>
      <c r="H477" s="458"/>
      <c r="I477" s="458"/>
      <c r="J477" s="465"/>
      <c r="K477" s="587"/>
      <c r="L477" s="465"/>
      <c r="M477" s="465"/>
      <c r="N477" s="465"/>
      <c r="O477" s="587"/>
      <c r="P477" s="585"/>
      <c r="Q477" s="465"/>
      <c r="R477" s="458"/>
      <c r="S477" s="585"/>
      <c r="T477" s="588"/>
      <c r="U477" s="589"/>
      <c r="V477" s="587"/>
      <c r="W477" s="465"/>
      <c r="X477" s="465"/>
      <c r="Y477" s="590"/>
      <c r="Z477" s="458"/>
      <c r="AA477" s="591"/>
      <c r="AB477" s="465"/>
      <c r="AC477" s="465"/>
      <c r="AD477" s="465"/>
      <c r="AE477" s="465"/>
      <c r="AF477" s="465"/>
      <c r="AG477" s="465"/>
      <c r="AH477" s="465"/>
      <c r="AI477" s="592"/>
      <c r="AJ477" s="465"/>
      <c r="AK477" s="465"/>
      <c r="AL477" s="20"/>
      <c r="AM477" s="20"/>
      <c r="AN477" s="593"/>
      <c r="AO477" s="20"/>
      <c r="AP477" s="276"/>
      <c r="AQ477" s="276"/>
      <c r="AR477" s="276"/>
      <c r="AS477" s="276"/>
      <c r="AT477" s="276"/>
      <c r="AU477" s="276"/>
      <c r="AV477" s="276"/>
      <c r="AW477" s="276"/>
      <c r="AX477" s="276"/>
      <c r="AY477" s="276"/>
      <c r="AZ477" s="276"/>
      <c r="BA477" s="276"/>
      <c r="BB477" s="276"/>
      <c r="BC477" s="276"/>
    </row>
    <row r="478" spans="1:55" ht="12.75" customHeight="1">
      <c r="A478" s="465"/>
      <c r="B478" s="465"/>
      <c r="C478" s="147"/>
      <c r="D478" s="147"/>
      <c r="E478" s="585"/>
      <c r="F478" s="586"/>
      <c r="G478" s="458"/>
      <c r="H478" s="458"/>
      <c r="I478" s="458"/>
      <c r="J478" s="465"/>
      <c r="K478" s="587"/>
      <c r="L478" s="465"/>
      <c r="M478" s="465"/>
      <c r="N478" s="465"/>
      <c r="O478" s="587"/>
      <c r="P478" s="585"/>
      <c r="Q478" s="465"/>
      <c r="R478" s="458"/>
      <c r="S478" s="585"/>
      <c r="T478" s="588"/>
      <c r="U478" s="589"/>
      <c r="V478" s="587"/>
      <c r="W478" s="465"/>
      <c r="X478" s="465"/>
      <c r="Y478" s="590"/>
      <c r="Z478" s="458"/>
      <c r="AA478" s="591"/>
      <c r="AB478" s="465"/>
      <c r="AC478" s="465"/>
      <c r="AD478" s="465"/>
      <c r="AE478" s="465"/>
      <c r="AF478" s="465"/>
      <c r="AG478" s="465"/>
      <c r="AH478" s="465"/>
      <c r="AI478" s="592"/>
      <c r="AJ478" s="465"/>
      <c r="AK478" s="465"/>
      <c r="AL478" s="20"/>
      <c r="AM478" s="20"/>
      <c r="AN478" s="593"/>
      <c r="AO478" s="20"/>
      <c r="AP478" s="276"/>
      <c r="AQ478" s="276"/>
      <c r="AR478" s="276"/>
      <c r="AS478" s="276"/>
      <c r="AT478" s="276"/>
      <c r="AU478" s="276"/>
      <c r="AV478" s="276"/>
      <c r="AW478" s="276"/>
      <c r="AX478" s="276"/>
      <c r="AY478" s="276"/>
      <c r="AZ478" s="276"/>
      <c r="BA478" s="276"/>
      <c r="BB478" s="276"/>
      <c r="BC478" s="276"/>
    </row>
    <row r="479" spans="1:55" ht="12.75" customHeight="1">
      <c r="A479" s="465"/>
      <c r="B479" s="465"/>
      <c r="C479" s="147"/>
      <c r="D479" s="147"/>
      <c r="E479" s="585"/>
      <c r="F479" s="586"/>
      <c r="G479" s="458"/>
      <c r="H479" s="458"/>
      <c r="I479" s="458"/>
      <c r="J479" s="465"/>
      <c r="K479" s="587"/>
      <c r="L479" s="465"/>
      <c r="M479" s="465"/>
      <c r="N479" s="465"/>
      <c r="O479" s="587"/>
      <c r="P479" s="585"/>
      <c r="Q479" s="465"/>
      <c r="R479" s="458"/>
      <c r="S479" s="585"/>
      <c r="T479" s="588"/>
      <c r="U479" s="589"/>
      <c r="V479" s="587"/>
      <c r="W479" s="465"/>
      <c r="X479" s="465"/>
      <c r="Y479" s="590"/>
      <c r="Z479" s="458"/>
      <c r="AA479" s="591"/>
      <c r="AB479" s="465"/>
      <c r="AC479" s="465"/>
      <c r="AD479" s="465"/>
      <c r="AE479" s="465"/>
      <c r="AF479" s="465"/>
      <c r="AG479" s="465"/>
      <c r="AH479" s="465"/>
      <c r="AI479" s="592"/>
      <c r="AJ479" s="465"/>
      <c r="AK479" s="465"/>
      <c r="AL479" s="20"/>
      <c r="AM479" s="20"/>
      <c r="AN479" s="593"/>
      <c r="AO479" s="20"/>
      <c r="AP479" s="276"/>
      <c r="AQ479" s="276"/>
      <c r="AR479" s="276"/>
      <c r="AS479" s="276"/>
      <c r="AT479" s="276"/>
      <c r="AU479" s="276"/>
      <c r="AV479" s="276"/>
      <c r="AW479" s="276"/>
      <c r="AX479" s="276"/>
      <c r="AY479" s="276"/>
      <c r="AZ479" s="276"/>
      <c r="BA479" s="276"/>
      <c r="BB479" s="276"/>
      <c r="BC479" s="276"/>
    </row>
    <row r="480" spans="1:55" ht="12.75" customHeight="1">
      <c r="A480" s="465"/>
      <c r="B480" s="465"/>
      <c r="C480" s="147"/>
      <c r="D480" s="147"/>
      <c r="E480" s="585"/>
      <c r="F480" s="586"/>
      <c r="G480" s="458"/>
      <c r="H480" s="458"/>
      <c r="I480" s="458"/>
      <c r="J480" s="465"/>
      <c r="K480" s="587"/>
      <c r="L480" s="465"/>
      <c r="M480" s="465"/>
      <c r="N480" s="465"/>
      <c r="O480" s="587"/>
      <c r="P480" s="585"/>
      <c r="Q480" s="465"/>
      <c r="R480" s="458"/>
      <c r="S480" s="585"/>
      <c r="T480" s="588"/>
      <c r="U480" s="589"/>
      <c r="V480" s="587"/>
      <c r="W480" s="465"/>
      <c r="X480" s="465"/>
      <c r="Y480" s="590"/>
      <c r="Z480" s="458"/>
      <c r="AA480" s="591"/>
      <c r="AB480" s="465"/>
      <c r="AC480" s="465"/>
      <c r="AD480" s="465"/>
      <c r="AE480" s="465"/>
      <c r="AF480" s="465"/>
      <c r="AG480" s="465"/>
      <c r="AH480" s="465"/>
      <c r="AI480" s="592"/>
      <c r="AJ480" s="465"/>
      <c r="AK480" s="465"/>
      <c r="AL480" s="20"/>
      <c r="AM480" s="20"/>
      <c r="AN480" s="593"/>
      <c r="AO480" s="20"/>
      <c r="AP480" s="276"/>
      <c r="AQ480" s="276"/>
      <c r="AR480" s="276"/>
      <c r="AS480" s="276"/>
      <c r="AT480" s="276"/>
      <c r="AU480" s="276"/>
      <c r="AV480" s="276"/>
      <c r="AW480" s="276"/>
      <c r="AX480" s="276"/>
      <c r="AY480" s="276"/>
      <c r="AZ480" s="276"/>
      <c r="BA480" s="276"/>
      <c r="BB480" s="276"/>
      <c r="BC480" s="276"/>
    </row>
    <row r="481" spans="1:55" ht="12.75" customHeight="1">
      <c r="A481" s="465"/>
      <c r="B481" s="465"/>
      <c r="C481" s="147"/>
      <c r="D481" s="147"/>
      <c r="E481" s="585"/>
      <c r="F481" s="586"/>
      <c r="G481" s="458"/>
      <c r="H481" s="458"/>
      <c r="I481" s="458"/>
      <c r="J481" s="465"/>
      <c r="K481" s="587"/>
      <c r="L481" s="465"/>
      <c r="M481" s="465"/>
      <c r="N481" s="465"/>
      <c r="O481" s="587"/>
      <c r="P481" s="585"/>
      <c r="Q481" s="465"/>
      <c r="R481" s="458"/>
      <c r="S481" s="585"/>
      <c r="T481" s="588"/>
      <c r="U481" s="589"/>
      <c r="V481" s="587"/>
      <c r="W481" s="465"/>
      <c r="X481" s="465"/>
      <c r="Y481" s="590"/>
      <c r="Z481" s="458"/>
      <c r="AA481" s="591"/>
      <c r="AB481" s="465"/>
      <c r="AC481" s="465"/>
      <c r="AD481" s="465"/>
      <c r="AE481" s="465"/>
      <c r="AF481" s="465"/>
      <c r="AG481" s="465"/>
      <c r="AH481" s="465"/>
      <c r="AI481" s="592"/>
      <c r="AJ481" s="465"/>
      <c r="AK481" s="465"/>
      <c r="AL481" s="20"/>
      <c r="AM481" s="20"/>
      <c r="AN481" s="593"/>
      <c r="AO481" s="20"/>
      <c r="AP481" s="276"/>
      <c r="AQ481" s="276"/>
      <c r="AR481" s="276"/>
      <c r="AS481" s="276"/>
      <c r="AT481" s="276"/>
      <c r="AU481" s="276"/>
      <c r="AV481" s="276"/>
      <c r="AW481" s="276"/>
      <c r="AX481" s="276"/>
      <c r="AY481" s="276"/>
      <c r="AZ481" s="276"/>
      <c r="BA481" s="276"/>
      <c r="BB481" s="276"/>
      <c r="BC481" s="276"/>
    </row>
    <row r="482" spans="1:55" ht="12.75" customHeight="1">
      <c r="A482" s="465"/>
      <c r="B482" s="465"/>
      <c r="C482" s="147"/>
      <c r="D482" s="147"/>
      <c r="E482" s="585"/>
      <c r="F482" s="586"/>
      <c r="G482" s="458"/>
      <c r="H482" s="458"/>
      <c r="I482" s="458"/>
      <c r="J482" s="465"/>
      <c r="K482" s="587"/>
      <c r="L482" s="465"/>
      <c r="M482" s="465"/>
      <c r="N482" s="465"/>
      <c r="O482" s="587"/>
      <c r="P482" s="585"/>
      <c r="Q482" s="465"/>
      <c r="R482" s="458"/>
      <c r="S482" s="585"/>
      <c r="T482" s="588"/>
      <c r="U482" s="589"/>
      <c r="V482" s="587"/>
      <c r="W482" s="465"/>
      <c r="X482" s="465"/>
      <c r="Y482" s="590"/>
      <c r="Z482" s="458"/>
      <c r="AA482" s="591"/>
      <c r="AB482" s="465"/>
      <c r="AC482" s="465"/>
      <c r="AD482" s="465"/>
      <c r="AE482" s="465"/>
      <c r="AF482" s="465"/>
      <c r="AG482" s="465"/>
      <c r="AH482" s="465"/>
      <c r="AI482" s="592"/>
      <c r="AJ482" s="465"/>
      <c r="AK482" s="465"/>
      <c r="AL482" s="20"/>
      <c r="AM482" s="20"/>
      <c r="AN482" s="593"/>
      <c r="AO482" s="20"/>
      <c r="AP482" s="276"/>
      <c r="AQ482" s="276"/>
      <c r="AR482" s="276"/>
      <c r="AS482" s="276"/>
      <c r="AT482" s="276"/>
      <c r="AU482" s="276"/>
      <c r="AV482" s="276"/>
      <c r="AW482" s="276"/>
      <c r="AX482" s="276"/>
      <c r="AY482" s="276"/>
      <c r="AZ482" s="276"/>
      <c r="BA482" s="276"/>
      <c r="BB482" s="276"/>
      <c r="BC482" s="276"/>
    </row>
    <row r="483" spans="1:55" ht="12.75" customHeight="1">
      <c r="A483" s="465"/>
      <c r="B483" s="465"/>
      <c r="C483" s="147"/>
      <c r="D483" s="147"/>
      <c r="E483" s="585"/>
      <c r="F483" s="586"/>
      <c r="G483" s="458"/>
      <c r="H483" s="458"/>
      <c r="I483" s="458"/>
      <c r="J483" s="465"/>
      <c r="K483" s="587"/>
      <c r="L483" s="465"/>
      <c r="M483" s="465"/>
      <c r="N483" s="465"/>
      <c r="O483" s="587"/>
      <c r="P483" s="585"/>
      <c r="Q483" s="465"/>
      <c r="R483" s="458"/>
      <c r="S483" s="585"/>
      <c r="T483" s="588"/>
      <c r="U483" s="589"/>
      <c r="V483" s="587"/>
      <c r="W483" s="465"/>
      <c r="X483" s="465"/>
      <c r="Y483" s="590"/>
      <c r="Z483" s="458"/>
      <c r="AA483" s="591"/>
      <c r="AB483" s="465"/>
      <c r="AC483" s="465"/>
      <c r="AD483" s="465"/>
      <c r="AE483" s="465"/>
      <c r="AF483" s="465"/>
      <c r="AG483" s="465"/>
      <c r="AH483" s="465"/>
      <c r="AI483" s="592"/>
      <c r="AJ483" s="465"/>
      <c r="AK483" s="465"/>
      <c r="AL483" s="20"/>
      <c r="AM483" s="20"/>
      <c r="AN483" s="593"/>
      <c r="AO483" s="20"/>
      <c r="AP483" s="276"/>
      <c r="AQ483" s="276"/>
      <c r="AR483" s="276"/>
      <c r="AS483" s="276"/>
      <c r="AT483" s="276"/>
      <c r="AU483" s="276"/>
      <c r="AV483" s="276"/>
      <c r="AW483" s="276"/>
      <c r="AX483" s="276"/>
      <c r="AY483" s="276"/>
      <c r="AZ483" s="276"/>
      <c r="BA483" s="276"/>
      <c r="BB483" s="276"/>
      <c r="BC483" s="276"/>
    </row>
    <row r="484" spans="1:55" ht="12.75" customHeight="1">
      <c r="A484" s="465"/>
      <c r="B484" s="465"/>
      <c r="C484" s="147"/>
      <c r="D484" s="147"/>
      <c r="E484" s="585"/>
      <c r="F484" s="586"/>
      <c r="G484" s="458"/>
      <c r="H484" s="458"/>
      <c r="I484" s="458"/>
      <c r="J484" s="465"/>
      <c r="K484" s="587"/>
      <c r="L484" s="465"/>
      <c r="M484" s="465"/>
      <c r="N484" s="465"/>
      <c r="O484" s="587"/>
      <c r="P484" s="585"/>
      <c r="Q484" s="465"/>
      <c r="R484" s="458"/>
      <c r="S484" s="585"/>
      <c r="T484" s="588"/>
      <c r="U484" s="589"/>
      <c r="V484" s="587"/>
      <c r="W484" s="465"/>
      <c r="X484" s="465"/>
      <c r="Y484" s="590"/>
      <c r="Z484" s="458"/>
      <c r="AA484" s="591"/>
      <c r="AB484" s="465"/>
      <c r="AC484" s="465"/>
      <c r="AD484" s="465"/>
      <c r="AE484" s="465"/>
      <c r="AF484" s="465"/>
      <c r="AG484" s="465"/>
      <c r="AH484" s="465"/>
      <c r="AI484" s="592"/>
      <c r="AJ484" s="465"/>
      <c r="AK484" s="465"/>
      <c r="AL484" s="20"/>
      <c r="AM484" s="20"/>
      <c r="AN484" s="593"/>
      <c r="AO484" s="20"/>
      <c r="AP484" s="276"/>
      <c r="AQ484" s="276"/>
      <c r="AR484" s="276"/>
      <c r="AS484" s="276"/>
      <c r="AT484" s="276"/>
      <c r="AU484" s="276"/>
      <c r="AV484" s="276"/>
      <c r="AW484" s="276"/>
      <c r="AX484" s="276"/>
      <c r="AY484" s="276"/>
      <c r="AZ484" s="276"/>
      <c r="BA484" s="276"/>
      <c r="BB484" s="276"/>
      <c r="BC484" s="276"/>
    </row>
    <row r="485" spans="1:55" ht="12.75" customHeight="1">
      <c r="A485" s="465"/>
      <c r="B485" s="465"/>
      <c r="C485" s="147"/>
      <c r="D485" s="147"/>
      <c r="E485" s="585"/>
      <c r="F485" s="586"/>
      <c r="G485" s="458"/>
      <c r="H485" s="458"/>
      <c r="I485" s="458"/>
      <c r="J485" s="465"/>
      <c r="K485" s="587"/>
      <c r="L485" s="465"/>
      <c r="M485" s="465"/>
      <c r="N485" s="465"/>
      <c r="O485" s="587"/>
      <c r="P485" s="585"/>
      <c r="Q485" s="465"/>
      <c r="R485" s="458"/>
      <c r="S485" s="585"/>
      <c r="T485" s="588"/>
      <c r="U485" s="589"/>
      <c r="V485" s="587"/>
      <c r="W485" s="465"/>
      <c r="X485" s="465"/>
      <c r="Y485" s="590"/>
      <c r="Z485" s="458"/>
      <c r="AA485" s="591"/>
      <c r="AB485" s="465"/>
      <c r="AC485" s="465"/>
      <c r="AD485" s="465"/>
      <c r="AE485" s="465"/>
      <c r="AF485" s="465"/>
      <c r="AG485" s="465"/>
      <c r="AH485" s="465"/>
      <c r="AI485" s="592"/>
      <c r="AJ485" s="465"/>
      <c r="AK485" s="465"/>
      <c r="AL485" s="20"/>
      <c r="AM485" s="20"/>
      <c r="AN485" s="593"/>
      <c r="AO485" s="20"/>
      <c r="AP485" s="276"/>
      <c r="AQ485" s="276"/>
      <c r="AR485" s="276"/>
      <c r="AS485" s="276"/>
      <c r="AT485" s="276"/>
      <c r="AU485" s="276"/>
      <c r="AV485" s="276"/>
      <c r="AW485" s="276"/>
      <c r="AX485" s="276"/>
      <c r="AY485" s="276"/>
      <c r="AZ485" s="276"/>
      <c r="BA485" s="276"/>
      <c r="BB485" s="276"/>
      <c r="BC485" s="276"/>
    </row>
    <row r="486" spans="1:55" ht="12.75" customHeight="1">
      <c r="A486" s="465"/>
      <c r="B486" s="465"/>
      <c r="C486" s="147"/>
      <c r="D486" s="147"/>
      <c r="E486" s="585"/>
      <c r="F486" s="586"/>
      <c r="G486" s="458"/>
      <c r="H486" s="458"/>
      <c r="I486" s="458"/>
      <c r="J486" s="465"/>
      <c r="K486" s="587"/>
      <c r="L486" s="465"/>
      <c r="M486" s="465"/>
      <c r="N486" s="465"/>
      <c r="O486" s="587"/>
      <c r="P486" s="585"/>
      <c r="Q486" s="465"/>
      <c r="R486" s="458"/>
      <c r="S486" s="585"/>
      <c r="T486" s="588"/>
      <c r="U486" s="589"/>
      <c r="V486" s="587"/>
      <c r="W486" s="465"/>
      <c r="X486" s="465"/>
      <c r="Y486" s="590"/>
      <c r="Z486" s="458"/>
      <c r="AA486" s="591"/>
      <c r="AB486" s="465"/>
      <c r="AC486" s="465"/>
      <c r="AD486" s="465"/>
      <c r="AE486" s="465"/>
      <c r="AF486" s="465"/>
      <c r="AG486" s="465"/>
      <c r="AH486" s="465"/>
      <c r="AI486" s="592"/>
      <c r="AJ486" s="465"/>
      <c r="AK486" s="465"/>
      <c r="AL486" s="20"/>
      <c r="AM486" s="20"/>
      <c r="AN486" s="593"/>
      <c r="AO486" s="20"/>
      <c r="AP486" s="276"/>
      <c r="AQ486" s="276"/>
      <c r="AR486" s="276"/>
      <c r="AS486" s="276"/>
      <c r="AT486" s="276"/>
      <c r="AU486" s="276"/>
      <c r="AV486" s="276"/>
      <c r="AW486" s="276"/>
      <c r="AX486" s="276"/>
      <c r="AY486" s="276"/>
      <c r="AZ486" s="276"/>
      <c r="BA486" s="276"/>
      <c r="BB486" s="276"/>
      <c r="BC486" s="276"/>
    </row>
    <row r="487" spans="1:55" ht="12.75" customHeight="1">
      <c r="A487" s="465"/>
      <c r="B487" s="465"/>
      <c r="C487" s="147"/>
      <c r="D487" s="147"/>
      <c r="E487" s="585"/>
      <c r="F487" s="586"/>
      <c r="G487" s="458"/>
      <c r="H487" s="458"/>
      <c r="I487" s="458"/>
      <c r="J487" s="465"/>
      <c r="K487" s="587"/>
      <c r="L487" s="465"/>
      <c r="M487" s="465"/>
      <c r="N487" s="465"/>
      <c r="O487" s="587"/>
      <c r="P487" s="585"/>
      <c r="Q487" s="465"/>
      <c r="R487" s="458"/>
      <c r="S487" s="585"/>
      <c r="T487" s="588"/>
      <c r="U487" s="589"/>
      <c r="V487" s="587"/>
      <c r="W487" s="465"/>
      <c r="X487" s="465"/>
      <c r="Y487" s="590"/>
      <c r="Z487" s="458"/>
      <c r="AA487" s="591"/>
      <c r="AB487" s="465"/>
      <c r="AC487" s="465"/>
      <c r="AD487" s="465"/>
      <c r="AE487" s="465"/>
      <c r="AF487" s="465"/>
      <c r="AG487" s="465"/>
      <c r="AH487" s="465"/>
      <c r="AI487" s="592"/>
      <c r="AJ487" s="465"/>
      <c r="AK487" s="465"/>
      <c r="AL487" s="20"/>
      <c r="AM487" s="20"/>
      <c r="AN487" s="593"/>
      <c r="AO487" s="20"/>
      <c r="AP487" s="276"/>
      <c r="AQ487" s="276"/>
      <c r="AR487" s="276"/>
      <c r="AS487" s="276"/>
      <c r="AT487" s="276"/>
      <c r="AU487" s="276"/>
      <c r="AV487" s="276"/>
      <c r="AW487" s="276"/>
      <c r="AX487" s="276"/>
      <c r="AY487" s="276"/>
      <c r="AZ487" s="276"/>
      <c r="BA487" s="276"/>
      <c r="BB487" s="276"/>
      <c r="BC487" s="276"/>
    </row>
    <row r="488" spans="1:55" ht="12.75" customHeight="1">
      <c r="A488" s="465"/>
      <c r="B488" s="465"/>
      <c r="C488" s="147"/>
      <c r="D488" s="147"/>
      <c r="E488" s="585"/>
      <c r="F488" s="586"/>
      <c r="G488" s="458"/>
      <c r="H488" s="458"/>
      <c r="I488" s="458"/>
      <c r="J488" s="465"/>
      <c r="K488" s="587"/>
      <c r="L488" s="465"/>
      <c r="M488" s="465"/>
      <c r="N488" s="465"/>
      <c r="O488" s="587"/>
      <c r="P488" s="585"/>
      <c r="Q488" s="465"/>
      <c r="R488" s="458"/>
      <c r="S488" s="585"/>
      <c r="T488" s="588"/>
      <c r="U488" s="589"/>
      <c r="V488" s="587"/>
      <c r="W488" s="465"/>
      <c r="X488" s="465"/>
      <c r="Y488" s="590"/>
      <c r="Z488" s="458"/>
      <c r="AA488" s="591"/>
      <c r="AB488" s="465"/>
      <c r="AC488" s="465"/>
      <c r="AD488" s="465"/>
      <c r="AE488" s="465"/>
      <c r="AF488" s="465"/>
      <c r="AG488" s="465"/>
      <c r="AH488" s="465"/>
      <c r="AI488" s="592"/>
      <c r="AJ488" s="465"/>
      <c r="AK488" s="465"/>
      <c r="AL488" s="20"/>
      <c r="AM488" s="20"/>
      <c r="AN488" s="593"/>
      <c r="AO488" s="20"/>
      <c r="AP488" s="276"/>
      <c r="AQ488" s="276"/>
      <c r="AR488" s="276"/>
      <c r="AS488" s="276"/>
      <c r="AT488" s="276"/>
      <c r="AU488" s="276"/>
      <c r="AV488" s="276"/>
      <c r="AW488" s="276"/>
      <c r="AX488" s="276"/>
      <c r="AY488" s="276"/>
      <c r="AZ488" s="276"/>
      <c r="BA488" s="276"/>
      <c r="BB488" s="276"/>
      <c r="BC488" s="276"/>
    </row>
    <row r="489" spans="1:55" ht="12.75" customHeight="1">
      <c r="A489" s="465"/>
      <c r="B489" s="465"/>
      <c r="C489" s="147"/>
      <c r="D489" s="147"/>
      <c r="E489" s="585"/>
      <c r="F489" s="586"/>
      <c r="G489" s="458"/>
      <c r="H489" s="458"/>
      <c r="I489" s="458"/>
      <c r="J489" s="465"/>
      <c r="K489" s="587"/>
      <c r="L489" s="465"/>
      <c r="M489" s="465"/>
      <c r="N489" s="465"/>
      <c r="O489" s="587"/>
      <c r="P489" s="585"/>
      <c r="Q489" s="465"/>
      <c r="R489" s="458"/>
      <c r="S489" s="585"/>
      <c r="T489" s="588"/>
      <c r="U489" s="589"/>
      <c r="V489" s="587"/>
      <c r="W489" s="465"/>
      <c r="X489" s="465"/>
      <c r="Y489" s="590"/>
      <c r="Z489" s="458"/>
      <c r="AA489" s="591"/>
      <c r="AB489" s="465"/>
      <c r="AC489" s="465"/>
      <c r="AD489" s="465"/>
      <c r="AE489" s="465"/>
      <c r="AF489" s="465"/>
      <c r="AG489" s="465"/>
      <c r="AH489" s="465"/>
      <c r="AI489" s="592"/>
      <c r="AJ489" s="465"/>
      <c r="AK489" s="465"/>
      <c r="AL489" s="20"/>
      <c r="AM489" s="20"/>
      <c r="AN489" s="593"/>
      <c r="AO489" s="20"/>
      <c r="AP489" s="276"/>
      <c r="AQ489" s="276"/>
      <c r="AR489" s="276"/>
      <c r="AS489" s="276"/>
      <c r="AT489" s="276"/>
      <c r="AU489" s="276"/>
      <c r="AV489" s="276"/>
      <c r="AW489" s="276"/>
      <c r="AX489" s="276"/>
      <c r="AY489" s="276"/>
      <c r="AZ489" s="276"/>
      <c r="BA489" s="276"/>
      <c r="BB489" s="276"/>
      <c r="BC489" s="276"/>
    </row>
    <row r="490" spans="1:55" ht="12.75" customHeight="1">
      <c r="A490" s="465"/>
      <c r="B490" s="465"/>
      <c r="C490" s="147"/>
      <c r="D490" s="147"/>
      <c r="E490" s="585"/>
      <c r="F490" s="586"/>
      <c r="G490" s="458"/>
      <c r="H490" s="458"/>
      <c r="I490" s="458"/>
      <c r="J490" s="465"/>
      <c r="K490" s="587"/>
      <c r="L490" s="465"/>
      <c r="M490" s="465"/>
      <c r="N490" s="465"/>
      <c r="O490" s="587"/>
      <c r="P490" s="585"/>
      <c r="Q490" s="465"/>
      <c r="R490" s="458"/>
      <c r="S490" s="585"/>
      <c r="T490" s="588"/>
      <c r="U490" s="589"/>
      <c r="V490" s="587"/>
      <c r="W490" s="465"/>
      <c r="X490" s="465"/>
      <c r="Y490" s="590"/>
      <c r="Z490" s="458"/>
      <c r="AA490" s="591"/>
      <c r="AB490" s="465"/>
      <c r="AC490" s="465"/>
      <c r="AD490" s="465"/>
      <c r="AE490" s="465"/>
      <c r="AF490" s="465"/>
      <c r="AG490" s="465"/>
      <c r="AH490" s="465"/>
      <c r="AI490" s="592"/>
      <c r="AJ490" s="465"/>
      <c r="AK490" s="465"/>
      <c r="AL490" s="20"/>
      <c r="AM490" s="20"/>
      <c r="AN490" s="593"/>
      <c r="AO490" s="20"/>
      <c r="AP490" s="276"/>
      <c r="AQ490" s="276"/>
      <c r="AR490" s="276"/>
      <c r="AS490" s="276"/>
      <c r="AT490" s="276"/>
      <c r="AU490" s="276"/>
      <c r="AV490" s="276"/>
      <c r="AW490" s="276"/>
      <c r="AX490" s="276"/>
      <c r="AY490" s="276"/>
      <c r="AZ490" s="276"/>
      <c r="BA490" s="276"/>
      <c r="BB490" s="276"/>
      <c r="BC490" s="276"/>
    </row>
    <row r="491" spans="1:55" ht="12.75" customHeight="1">
      <c r="A491" s="465"/>
      <c r="B491" s="465"/>
      <c r="C491" s="147"/>
      <c r="D491" s="147"/>
      <c r="E491" s="585"/>
      <c r="F491" s="586"/>
      <c r="G491" s="458"/>
      <c r="H491" s="458"/>
      <c r="I491" s="458"/>
      <c r="J491" s="465"/>
      <c r="K491" s="587"/>
      <c r="L491" s="465"/>
      <c r="M491" s="465"/>
      <c r="N491" s="465"/>
      <c r="O491" s="587"/>
      <c r="P491" s="585"/>
      <c r="Q491" s="465"/>
      <c r="R491" s="458"/>
      <c r="S491" s="585"/>
      <c r="T491" s="588"/>
      <c r="U491" s="589"/>
      <c r="V491" s="587"/>
      <c r="W491" s="465"/>
      <c r="X491" s="465"/>
      <c r="Y491" s="590"/>
      <c r="Z491" s="458"/>
      <c r="AA491" s="591"/>
      <c r="AB491" s="465"/>
      <c r="AC491" s="465"/>
      <c r="AD491" s="465"/>
      <c r="AE491" s="465"/>
      <c r="AF491" s="465"/>
      <c r="AG491" s="465"/>
      <c r="AH491" s="465"/>
      <c r="AI491" s="592"/>
      <c r="AJ491" s="465"/>
      <c r="AK491" s="465"/>
      <c r="AL491" s="20"/>
      <c r="AM491" s="20"/>
      <c r="AN491" s="593"/>
      <c r="AO491" s="20"/>
      <c r="AP491" s="276"/>
      <c r="AQ491" s="276"/>
      <c r="AR491" s="276"/>
      <c r="AS491" s="276"/>
      <c r="AT491" s="276"/>
      <c r="AU491" s="276"/>
      <c r="AV491" s="276"/>
      <c r="AW491" s="276"/>
      <c r="AX491" s="276"/>
      <c r="AY491" s="276"/>
      <c r="AZ491" s="276"/>
      <c r="BA491" s="276"/>
      <c r="BB491" s="276"/>
      <c r="BC491" s="276"/>
    </row>
    <row r="492" spans="1:55" ht="12.75" customHeight="1">
      <c r="A492" s="465"/>
      <c r="B492" s="465"/>
      <c r="C492" s="147"/>
      <c r="D492" s="147"/>
      <c r="E492" s="585"/>
      <c r="F492" s="586"/>
      <c r="G492" s="458"/>
      <c r="H492" s="458"/>
      <c r="I492" s="458"/>
      <c r="J492" s="465"/>
      <c r="K492" s="587"/>
      <c r="L492" s="465"/>
      <c r="M492" s="465"/>
      <c r="N492" s="465"/>
      <c r="O492" s="587"/>
      <c r="P492" s="585"/>
      <c r="Q492" s="465"/>
      <c r="R492" s="458"/>
      <c r="S492" s="585"/>
      <c r="T492" s="588"/>
      <c r="U492" s="589"/>
      <c r="V492" s="587"/>
      <c r="W492" s="465"/>
      <c r="X492" s="465"/>
      <c r="Y492" s="590"/>
      <c r="Z492" s="458"/>
      <c r="AA492" s="591"/>
      <c r="AB492" s="465"/>
      <c r="AC492" s="465"/>
      <c r="AD492" s="465"/>
      <c r="AE492" s="465"/>
      <c r="AF492" s="465"/>
      <c r="AG492" s="465"/>
      <c r="AH492" s="465"/>
      <c r="AI492" s="592"/>
      <c r="AJ492" s="465"/>
      <c r="AK492" s="465"/>
      <c r="AL492" s="20"/>
      <c r="AM492" s="20"/>
      <c r="AN492" s="593"/>
      <c r="AO492" s="20"/>
      <c r="AP492" s="276"/>
      <c r="AQ492" s="276"/>
      <c r="AR492" s="276"/>
      <c r="AS492" s="276"/>
      <c r="AT492" s="276"/>
      <c r="AU492" s="276"/>
      <c r="AV492" s="276"/>
      <c r="AW492" s="276"/>
      <c r="AX492" s="276"/>
      <c r="AY492" s="276"/>
      <c r="AZ492" s="276"/>
      <c r="BA492" s="276"/>
      <c r="BB492" s="276"/>
      <c r="BC492" s="276"/>
    </row>
    <row r="493" spans="1:55" ht="12.75" customHeight="1">
      <c r="A493" s="465"/>
      <c r="B493" s="465"/>
      <c r="C493" s="147"/>
      <c r="D493" s="147"/>
      <c r="E493" s="585"/>
      <c r="F493" s="586"/>
      <c r="G493" s="458"/>
      <c r="H493" s="458"/>
      <c r="I493" s="458"/>
      <c r="J493" s="465"/>
      <c r="K493" s="587"/>
      <c r="L493" s="465"/>
      <c r="M493" s="465"/>
      <c r="N493" s="465"/>
      <c r="O493" s="587"/>
      <c r="P493" s="585"/>
      <c r="Q493" s="465"/>
      <c r="R493" s="458"/>
      <c r="S493" s="585"/>
      <c r="T493" s="588"/>
      <c r="U493" s="589"/>
      <c r="V493" s="587"/>
      <c r="W493" s="465"/>
      <c r="X493" s="465"/>
      <c r="Y493" s="590"/>
      <c r="Z493" s="458"/>
      <c r="AA493" s="591"/>
      <c r="AB493" s="465"/>
      <c r="AC493" s="465"/>
      <c r="AD493" s="465"/>
      <c r="AE493" s="465"/>
      <c r="AF493" s="465"/>
      <c r="AG493" s="465"/>
      <c r="AH493" s="465"/>
      <c r="AI493" s="592"/>
      <c r="AJ493" s="465"/>
      <c r="AK493" s="465"/>
      <c r="AL493" s="20"/>
      <c r="AM493" s="20"/>
      <c r="AN493" s="593"/>
      <c r="AO493" s="20"/>
      <c r="AP493" s="276"/>
      <c r="AQ493" s="276"/>
      <c r="AR493" s="276"/>
      <c r="AS493" s="276"/>
      <c r="AT493" s="276"/>
      <c r="AU493" s="276"/>
      <c r="AV493" s="276"/>
      <c r="AW493" s="276"/>
      <c r="AX493" s="276"/>
      <c r="AY493" s="276"/>
      <c r="AZ493" s="276"/>
      <c r="BA493" s="276"/>
      <c r="BB493" s="276"/>
      <c r="BC493" s="276"/>
    </row>
    <row r="494" spans="1:55" ht="12.75" customHeight="1">
      <c r="A494" s="465"/>
      <c r="B494" s="465"/>
      <c r="C494" s="147"/>
      <c r="D494" s="147"/>
      <c r="E494" s="585"/>
      <c r="F494" s="586"/>
      <c r="G494" s="458"/>
      <c r="H494" s="458"/>
      <c r="I494" s="458"/>
      <c r="J494" s="465"/>
      <c r="K494" s="587"/>
      <c r="L494" s="465"/>
      <c r="M494" s="465"/>
      <c r="N494" s="465"/>
      <c r="O494" s="587"/>
      <c r="P494" s="585"/>
      <c r="Q494" s="465"/>
      <c r="R494" s="458"/>
      <c r="S494" s="585"/>
      <c r="T494" s="588"/>
      <c r="U494" s="589"/>
      <c r="V494" s="587"/>
      <c r="W494" s="465"/>
      <c r="X494" s="465"/>
      <c r="Y494" s="590"/>
      <c r="Z494" s="458"/>
      <c r="AA494" s="591"/>
      <c r="AB494" s="465"/>
      <c r="AC494" s="465"/>
      <c r="AD494" s="465"/>
      <c r="AE494" s="465"/>
      <c r="AF494" s="465"/>
      <c r="AG494" s="465"/>
      <c r="AH494" s="465"/>
      <c r="AI494" s="592"/>
      <c r="AJ494" s="465"/>
      <c r="AK494" s="465"/>
      <c r="AL494" s="20"/>
      <c r="AM494" s="20"/>
      <c r="AN494" s="593"/>
      <c r="AO494" s="20"/>
      <c r="AP494" s="276"/>
      <c r="AQ494" s="276"/>
      <c r="AR494" s="276"/>
      <c r="AS494" s="276"/>
      <c r="AT494" s="276"/>
      <c r="AU494" s="276"/>
      <c r="AV494" s="276"/>
      <c r="AW494" s="276"/>
      <c r="AX494" s="276"/>
      <c r="AY494" s="276"/>
      <c r="AZ494" s="276"/>
      <c r="BA494" s="276"/>
      <c r="BB494" s="276"/>
      <c r="BC494" s="276"/>
    </row>
    <row r="495" spans="1:55" ht="12.75" customHeight="1">
      <c r="A495" s="465"/>
      <c r="B495" s="465"/>
      <c r="C495" s="147"/>
      <c r="D495" s="147"/>
      <c r="E495" s="585"/>
      <c r="F495" s="586"/>
      <c r="G495" s="458"/>
      <c r="H495" s="458"/>
      <c r="I495" s="458"/>
      <c r="J495" s="465"/>
      <c r="K495" s="587"/>
      <c r="L495" s="465"/>
      <c r="M495" s="465"/>
      <c r="N495" s="465"/>
      <c r="O495" s="587"/>
      <c r="P495" s="585"/>
      <c r="Q495" s="465"/>
      <c r="R495" s="458"/>
      <c r="S495" s="585"/>
      <c r="T495" s="588"/>
      <c r="U495" s="589"/>
      <c r="V495" s="587"/>
      <c r="W495" s="465"/>
      <c r="X495" s="465"/>
      <c r="Y495" s="590"/>
      <c r="Z495" s="458"/>
      <c r="AA495" s="591"/>
      <c r="AB495" s="465"/>
      <c r="AC495" s="465"/>
      <c r="AD495" s="465"/>
      <c r="AE495" s="465"/>
      <c r="AF495" s="465"/>
      <c r="AG495" s="465"/>
      <c r="AH495" s="465"/>
      <c r="AI495" s="592"/>
      <c r="AJ495" s="465"/>
      <c r="AK495" s="465"/>
      <c r="AL495" s="20"/>
      <c r="AM495" s="20"/>
      <c r="AN495" s="593"/>
      <c r="AO495" s="20"/>
      <c r="AP495" s="276"/>
      <c r="AQ495" s="276"/>
      <c r="AR495" s="276"/>
      <c r="AS495" s="276"/>
      <c r="AT495" s="276"/>
      <c r="AU495" s="276"/>
      <c r="AV495" s="276"/>
      <c r="AW495" s="276"/>
      <c r="AX495" s="276"/>
      <c r="AY495" s="276"/>
      <c r="AZ495" s="276"/>
      <c r="BA495" s="276"/>
      <c r="BB495" s="276"/>
      <c r="BC495" s="276"/>
    </row>
    <row r="496" spans="1:55" ht="12.75" customHeight="1">
      <c r="A496" s="465"/>
      <c r="B496" s="465"/>
      <c r="C496" s="147"/>
      <c r="D496" s="147"/>
      <c r="E496" s="585"/>
      <c r="F496" s="586"/>
      <c r="G496" s="458"/>
      <c r="H496" s="458"/>
      <c r="I496" s="458"/>
      <c r="J496" s="465"/>
      <c r="K496" s="587"/>
      <c r="L496" s="465"/>
      <c r="M496" s="465"/>
      <c r="N496" s="465"/>
      <c r="O496" s="587"/>
      <c r="P496" s="585"/>
      <c r="Q496" s="465"/>
      <c r="R496" s="458"/>
      <c r="S496" s="585"/>
      <c r="T496" s="588"/>
      <c r="U496" s="589"/>
      <c r="V496" s="587"/>
      <c r="W496" s="465"/>
      <c r="X496" s="465"/>
      <c r="Y496" s="590"/>
      <c r="Z496" s="458"/>
      <c r="AA496" s="591"/>
      <c r="AB496" s="465"/>
      <c r="AC496" s="465"/>
      <c r="AD496" s="465"/>
      <c r="AE496" s="465"/>
      <c r="AF496" s="465"/>
      <c r="AG496" s="465"/>
      <c r="AH496" s="465"/>
      <c r="AI496" s="592"/>
      <c r="AJ496" s="465"/>
      <c r="AK496" s="465"/>
      <c r="AL496" s="20"/>
      <c r="AM496" s="20"/>
      <c r="AN496" s="593"/>
      <c r="AO496" s="20"/>
      <c r="AP496" s="276"/>
      <c r="AQ496" s="276"/>
      <c r="AR496" s="276"/>
      <c r="AS496" s="276"/>
      <c r="AT496" s="276"/>
      <c r="AU496" s="276"/>
      <c r="AV496" s="276"/>
      <c r="AW496" s="276"/>
      <c r="AX496" s="276"/>
      <c r="AY496" s="276"/>
      <c r="AZ496" s="276"/>
      <c r="BA496" s="276"/>
      <c r="BB496" s="276"/>
      <c r="BC496" s="276"/>
    </row>
    <row r="497" spans="1:55" ht="12.75" customHeight="1">
      <c r="A497" s="465"/>
      <c r="B497" s="465"/>
      <c r="C497" s="147"/>
      <c r="D497" s="147"/>
      <c r="E497" s="585"/>
      <c r="F497" s="586"/>
      <c r="G497" s="458"/>
      <c r="H497" s="458"/>
      <c r="I497" s="458"/>
      <c r="J497" s="465"/>
      <c r="K497" s="587"/>
      <c r="L497" s="465"/>
      <c r="M497" s="465"/>
      <c r="N497" s="465"/>
      <c r="O497" s="587"/>
      <c r="P497" s="585"/>
      <c r="Q497" s="465"/>
      <c r="R497" s="458"/>
      <c r="S497" s="585"/>
      <c r="T497" s="588"/>
      <c r="U497" s="589"/>
      <c r="V497" s="587"/>
      <c r="W497" s="465"/>
      <c r="X497" s="465"/>
      <c r="Y497" s="590"/>
      <c r="Z497" s="458"/>
      <c r="AA497" s="591"/>
      <c r="AB497" s="465"/>
      <c r="AC497" s="465"/>
      <c r="AD497" s="465"/>
      <c r="AE497" s="465"/>
      <c r="AF497" s="465"/>
      <c r="AG497" s="465"/>
      <c r="AH497" s="465"/>
      <c r="AI497" s="592"/>
      <c r="AJ497" s="465"/>
      <c r="AK497" s="465"/>
      <c r="AL497" s="20"/>
      <c r="AM497" s="20"/>
      <c r="AN497" s="593"/>
      <c r="AO497" s="20"/>
      <c r="AP497" s="276"/>
      <c r="AQ497" s="276"/>
      <c r="AR497" s="276"/>
      <c r="AS497" s="276"/>
      <c r="AT497" s="276"/>
      <c r="AU497" s="276"/>
      <c r="AV497" s="276"/>
      <c r="AW497" s="276"/>
      <c r="AX497" s="276"/>
      <c r="AY497" s="276"/>
      <c r="AZ497" s="276"/>
      <c r="BA497" s="276"/>
      <c r="BB497" s="276"/>
      <c r="BC497" s="276"/>
    </row>
    <row r="498" spans="1:55" ht="12.75" customHeight="1">
      <c r="A498" s="465"/>
      <c r="B498" s="465"/>
      <c r="C498" s="147"/>
      <c r="D498" s="147"/>
      <c r="E498" s="585"/>
      <c r="F498" s="586"/>
      <c r="G498" s="458"/>
      <c r="H498" s="458"/>
      <c r="I498" s="458"/>
      <c r="J498" s="465"/>
      <c r="K498" s="587"/>
      <c r="L498" s="465"/>
      <c r="M498" s="465"/>
      <c r="N498" s="465"/>
      <c r="O498" s="587"/>
      <c r="P498" s="585"/>
      <c r="Q498" s="465"/>
      <c r="R498" s="458"/>
      <c r="S498" s="585"/>
      <c r="T498" s="588"/>
      <c r="U498" s="589"/>
      <c r="V498" s="587"/>
      <c r="W498" s="465"/>
      <c r="X498" s="465"/>
      <c r="Y498" s="590"/>
      <c r="Z498" s="458"/>
      <c r="AA498" s="591"/>
      <c r="AB498" s="465"/>
      <c r="AC498" s="465"/>
      <c r="AD498" s="465"/>
      <c r="AE498" s="465"/>
      <c r="AF498" s="465"/>
      <c r="AG498" s="465"/>
      <c r="AH498" s="465"/>
      <c r="AI498" s="592"/>
      <c r="AJ498" s="465"/>
      <c r="AK498" s="465"/>
      <c r="AL498" s="20"/>
      <c r="AM498" s="20"/>
      <c r="AN498" s="593"/>
      <c r="AO498" s="20"/>
      <c r="AP498" s="276"/>
      <c r="AQ498" s="276"/>
      <c r="AR498" s="276"/>
      <c r="AS498" s="276"/>
      <c r="AT498" s="276"/>
      <c r="AU498" s="276"/>
      <c r="AV498" s="276"/>
      <c r="AW498" s="276"/>
      <c r="AX498" s="276"/>
      <c r="AY498" s="276"/>
      <c r="AZ498" s="276"/>
      <c r="BA498" s="276"/>
      <c r="BB498" s="276"/>
      <c r="BC498" s="276"/>
    </row>
    <row r="499" spans="1:55" ht="12.75" customHeight="1">
      <c r="A499" s="465"/>
      <c r="B499" s="465"/>
      <c r="C499" s="147"/>
      <c r="D499" s="147"/>
      <c r="E499" s="585"/>
      <c r="F499" s="586"/>
      <c r="G499" s="458"/>
      <c r="H499" s="458"/>
      <c r="I499" s="458"/>
      <c r="J499" s="465"/>
      <c r="K499" s="587"/>
      <c r="L499" s="465"/>
      <c r="M499" s="465"/>
      <c r="N499" s="465"/>
      <c r="O499" s="587"/>
      <c r="P499" s="585"/>
      <c r="Q499" s="465"/>
      <c r="R499" s="458"/>
      <c r="S499" s="585"/>
      <c r="T499" s="588"/>
      <c r="U499" s="589"/>
      <c r="V499" s="587"/>
      <c r="W499" s="465"/>
      <c r="X499" s="465"/>
      <c r="Y499" s="590"/>
      <c r="Z499" s="458"/>
      <c r="AA499" s="591"/>
      <c r="AB499" s="465"/>
      <c r="AC499" s="465"/>
      <c r="AD499" s="465"/>
      <c r="AE499" s="465"/>
      <c r="AF499" s="465"/>
      <c r="AG499" s="465"/>
      <c r="AH499" s="465"/>
      <c r="AI499" s="592"/>
      <c r="AJ499" s="465"/>
      <c r="AK499" s="465"/>
      <c r="AL499" s="20"/>
      <c r="AM499" s="20"/>
      <c r="AN499" s="593"/>
      <c r="AO499" s="20"/>
      <c r="AP499" s="276"/>
      <c r="AQ499" s="276"/>
      <c r="AR499" s="276"/>
      <c r="AS499" s="276"/>
      <c r="AT499" s="276"/>
      <c r="AU499" s="276"/>
      <c r="AV499" s="276"/>
      <c r="AW499" s="276"/>
      <c r="AX499" s="276"/>
      <c r="AY499" s="276"/>
      <c r="AZ499" s="276"/>
      <c r="BA499" s="276"/>
      <c r="BB499" s="276"/>
      <c r="BC499" s="276"/>
    </row>
    <row r="500" spans="1:55" ht="12.75" customHeight="1">
      <c r="A500" s="465"/>
      <c r="B500" s="465"/>
      <c r="C500" s="147"/>
      <c r="D500" s="147"/>
      <c r="E500" s="585"/>
      <c r="F500" s="586"/>
      <c r="G500" s="458"/>
      <c r="H500" s="458"/>
      <c r="I500" s="458"/>
      <c r="J500" s="465"/>
      <c r="K500" s="587"/>
      <c r="L500" s="465"/>
      <c r="M500" s="465"/>
      <c r="N500" s="465"/>
      <c r="O500" s="587"/>
      <c r="P500" s="585"/>
      <c r="Q500" s="465"/>
      <c r="R500" s="458"/>
      <c r="S500" s="585"/>
      <c r="T500" s="588"/>
      <c r="U500" s="589"/>
      <c r="V500" s="587"/>
      <c r="W500" s="465"/>
      <c r="X500" s="465"/>
      <c r="Y500" s="590"/>
      <c r="Z500" s="458"/>
      <c r="AA500" s="591"/>
      <c r="AB500" s="465"/>
      <c r="AC500" s="465"/>
      <c r="AD500" s="465"/>
      <c r="AE500" s="465"/>
      <c r="AF500" s="465"/>
      <c r="AG500" s="465"/>
      <c r="AH500" s="465"/>
      <c r="AI500" s="592"/>
      <c r="AJ500" s="465"/>
      <c r="AK500" s="465"/>
      <c r="AL500" s="20"/>
      <c r="AM500" s="20"/>
      <c r="AN500" s="593"/>
      <c r="AO500" s="20"/>
      <c r="AP500" s="276"/>
      <c r="AQ500" s="276"/>
      <c r="AR500" s="276"/>
      <c r="AS500" s="276"/>
      <c r="AT500" s="276"/>
      <c r="AU500" s="276"/>
      <c r="AV500" s="276"/>
      <c r="AW500" s="276"/>
      <c r="AX500" s="276"/>
      <c r="AY500" s="276"/>
      <c r="AZ500" s="276"/>
      <c r="BA500" s="276"/>
      <c r="BB500" s="276"/>
      <c r="BC500" s="276"/>
    </row>
    <row r="501" spans="1:55" ht="12.75" customHeight="1">
      <c r="A501" s="465"/>
      <c r="B501" s="465"/>
      <c r="C501" s="147"/>
      <c r="D501" s="147"/>
      <c r="E501" s="585"/>
      <c r="F501" s="586"/>
      <c r="G501" s="458"/>
      <c r="H501" s="458"/>
      <c r="I501" s="458"/>
      <c r="J501" s="465"/>
      <c r="K501" s="587"/>
      <c r="L501" s="465"/>
      <c r="M501" s="465"/>
      <c r="N501" s="465"/>
      <c r="O501" s="587"/>
      <c r="P501" s="585"/>
      <c r="Q501" s="465"/>
      <c r="R501" s="458"/>
      <c r="S501" s="585"/>
      <c r="T501" s="588"/>
      <c r="U501" s="589"/>
      <c r="V501" s="587"/>
      <c r="W501" s="465"/>
      <c r="X501" s="465"/>
      <c r="Y501" s="590"/>
      <c r="Z501" s="458"/>
      <c r="AA501" s="591"/>
      <c r="AB501" s="465"/>
      <c r="AC501" s="465"/>
      <c r="AD501" s="465"/>
      <c r="AE501" s="465"/>
      <c r="AF501" s="465"/>
      <c r="AG501" s="465"/>
      <c r="AH501" s="465"/>
      <c r="AI501" s="592"/>
      <c r="AJ501" s="465"/>
      <c r="AK501" s="465"/>
      <c r="AL501" s="20"/>
      <c r="AM501" s="20"/>
      <c r="AN501" s="593"/>
      <c r="AO501" s="20"/>
      <c r="AP501" s="276"/>
      <c r="AQ501" s="276"/>
      <c r="AR501" s="276"/>
      <c r="AS501" s="276"/>
      <c r="AT501" s="276"/>
      <c r="AU501" s="276"/>
      <c r="AV501" s="276"/>
      <c r="AW501" s="276"/>
      <c r="AX501" s="276"/>
      <c r="AY501" s="276"/>
      <c r="AZ501" s="276"/>
      <c r="BA501" s="276"/>
      <c r="BB501" s="276"/>
      <c r="BC501" s="276"/>
    </row>
    <row r="502" spans="1:55" ht="12.75" customHeight="1">
      <c r="A502" s="465"/>
      <c r="B502" s="465"/>
      <c r="C502" s="147"/>
      <c r="D502" s="147"/>
      <c r="E502" s="585"/>
      <c r="F502" s="586"/>
      <c r="G502" s="458"/>
      <c r="H502" s="458"/>
      <c r="I502" s="458"/>
      <c r="J502" s="465"/>
      <c r="K502" s="587"/>
      <c r="L502" s="465"/>
      <c r="M502" s="465"/>
      <c r="N502" s="465"/>
      <c r="O502" s="587"/>
      <c r="P502" s="585"/>
      <c r="Q502" s="465"/>
      <c r="R502" s="458"/>
      <c r="S502" s="585"/>
      <c r="T502" s="588"/>
      <c r="U502" s="589"/>
      <c r="V502" s="587"/>
      <c r="W502" s="465"/>
      <c r="X502" s="465"/>
      <c r="Y502" s="590"/>
      <c r="Z502" s="458"/>
      <c r="AA502" s="591"/>
      <c r="AB502" s="465"/>
      <c r="AC502" s="465"/>
      <c r="AD502" s="465"/>
      <c r="AE502" s="465"/>
      <c r="AF502" s="465"/>
      <c r="AG502" s="465"/>
      <c r="AH502" s="465"/>
      <c r="AI502" s="592"/>
      <c r="AJ502" s="465"/>
      <c r="AK502" s="465"/>
      <c r="AL502" s="20"/>
      <c r="AM502" s="20"/>
      <c r="AN502" s="593"/>
      <c r="AO502" s="20"/>
      <c r="AP502" s="276"/>
      <c r="AQ502" s="276"/>
      <c r="AR502" s="276"/>
      <c r="AS502" s="276"/>
      <c r="AT502" s="276"/>
      <c r="AU502" s="276"/>
      <c r="AV502" s="276"/>
      <c r="AW502" s="276"/>
      <c r="AX502" s="276"/>
      <c r="AY502" s="276"/>
      <c r="AZ502" s="276"/>
      <c r="BA502" s="276"/>
      <c r="BB502" s="276"/>
      <c r="BC502" s="276"/>
    </row>
    <row r="503" spans="1:55" ht="12.75" customHeight="1">
      <c r="A503" s="465"/>
      <c r="B503" s="465"/>
      <c r="C503" s="147"/>
      <c r="D503" s="147"/>
      <c r="E503" s="585"/>
      <c r="F503" s="586"/>
      <c r="G503" s="458"/>
      <c r="H503" s="458"/>
      <c r="I503" s="458"/>
      <c r="J503" s="465"/>
      <c r="K503" s="587"/>
      <c r="L503" s="465"/>
      <c r="M503" s="465"/>
      <c r="N503" s="465"/>
      <c r="O503" s="587"/>
      <c r="P503" s="585"/>
      <c r="Q503" s="465"/>
      <c r="R503" s="458"/>
      <c r="S503" s="585"/>
      <c r="T503" s="588"/>
      <c r="U503" s="589"/>
      <c r="V503" s="587"/>
      <c r="W503" s="465"/>
      <c r="X503" s="465"/>
      <c r="Y503" s="590"/>
      <c r="Z503" s="458"/>
      <c r="AA503" s="591"/>
      <c r="AB503" s="465"/>
      <c r="AC503" s="465"/>
      <c r="AD503" s="465"/>
      <c r="AE503" s="465"/>
      <c r="AF503" s="465"/>
      <c r="AG503" s="465"/>
      <c r="AH503" s="465"/>
      <c r="AI503" s="592"/>
      <c r="AJ503" s="465"/>
      <c r="AK503" s="465"/>
      <c r="AL503" s="20"/>
      <c r="AM503" s="20"/>
      <c r="AN503" s="593"/>
      <c r="AO503" s="20"/>
      <c r="AP503" s="276"/>
      <c r="AQ503" s="276"/>
      <c r="AR503" s="276"/>
      <c r="AS503" s="276"/>
      <c r="AT503" s="276"/>
      <c r="AU503" s="276"/>
      <c r="AV503" s="276"/>
      <c r="AW503" s="276"/>
      <c r="AX503" s="276"/>
      <c r="AY503" s="276"/>
      <c r="AZ503" s="276"/>
      <c r="BA503" s="276"/>
      <c r="BB503" s="276"/>
      <c r="BC503" s="276"/>
    </row>
    <row r="504" spans="1:55" ht="12.75" customHeight="1">
      <c r="A504" s="465"/>
      <c r="B504" s="465"/>
      <c r="C504" s="147"/>
      <c r="D504" s="147"/>
      <c r="E504" s="585"/>
      <c r="F504" s="586"/>
      <c r="G504" s="458"/>
      <c r="H504" s="458"/>
      <c r="I504" s="458"/>
      <c r="J504" s="465"/>
      <c r="K504" s="587"/>
      <c r="L504" s="465"/>
      <c r="M504" s="465"/>
      <c r="N504" s="465"/>
      <c r="O504" s="587"/>
      <c r="P504" s="585"/>
      <c r="Q504" s="465"/>
      <c r="R504" s="458"/>
      <c r="S504" s="585"/>
      <c r="T504" s="588"/>
      <c r="U504" s="589"/>
      <c r="V504" s="587"/>
      <c r="W504" s="465"/>
      <c r="X504" s="465"/>
      <c r="Y504" s="590"/>
      <c r="Z504" s="458"/>
      <c r="AA504" s="591"/>
      <c r="AB504" s="465"/>
      <c r="AC504" s="465"/>
      <c r="AD504" s="465"/>
      <c r="AE504" s="465"/>
      <c r="AF504" s="465"/>
      <c r="AG504" s="465"/>
      <c r="AH504" s="465"/>
      <c r="AI504" s="592"/>
      <c r="AJ504" s="465"/>
      <c r="AK504" s="465"/>
      <c r="AL504" s="20"/>
      <c r="AM504" s="20"/>
      <c r="AN504" s="593"/>
      <c r="AO504" s="20"/>
      <c r="AP504" s="276"/>
      <c r="AQ504" s="276"/>
      <c r="AR504" s="276"/>
      <c r="AS504" s="276"/>
      <c r="AT504" s="276"/>
      <c r="AU504" s="276"/>
      <c r="AV504" s="276"/>
      <c r="AW504" s="276"/>
      <c r="AX504" s="276"/>
      <c r="AY504" s="276"/>
      <c r="AZ504" s="276"/>
      <c r="BA504" s="276"/>
      <c r="BB504" s="276"/>
      <c r="BC504" s="276"/>
    </row>
    <row r="505" spans="1:55" ht="12.75" customHeight="1">
      <c r="A505" s="465"/>
      <c r="B505" s="465"/>
      <c r="C505" s="147"/>
      <c r="D505" s="147"/>
      <c r="E505" s="585"/>
      <c r="F505" s="586"/>
      <c r="G505" s="458"/>
      <c r="H505" s="458"/>
      <c r="I505" s="458"/>
      <c r="J505" s="465"/>
      <c r="K505" s="587"/>
      <c r="L505" s="465"/>
      <c r="M505" s="465"/>
      <c r="N505" s="465"/>
      <c r="O505" s="587"/>
      <c r="P505" s="585"/>
      <c r="Q505" s="465"/>
      <c r="R505" s="458"/>
      <c r="S505" s="585"/>
      <c r="T505" s="588"/>
      <c r="U505" s="589"/>
      <c r="V505" s="587"/>
      <c r="W505" s="465"/>
      <c r="X505" s="465"/>
      <c r="Y505" s="590"/>
      <c r="Z505" s="458"/>
      <c r="AA505" s="591"/>
      <c r="AB505" s="465"/>
      <c r="AC505" s="465"/>
      <c r="AD505" s="465"/>
      <c r="AE505" s="465"/>
      <c r="AF505" s="465"/>
      <c r="AG505" s="465"/>
      <c r="AH505" s="465"/>
      <c r="AI505" s="592"/>
      <c r="AJ505" s="465"/>
      <c r="AK505" s="465"/>
      <c r="AL505" s="20"/>
      <c r="AM505" s="20"/>
      <c r="AN505" s="593"/>
      <c r="AO505" s="20"/>
      <c r="AP505" s="276"/>
      <c r="AQ505" s="276"/>
      <c r="AR505" s="276"/>
      <c r="AS505" s="276"/>
      <c r="AT505" s="276"/>
      <c r="AU505" s="276"/>
      <c r="AV505" s="276"/>
      <c r="AW505" s="276"/>
      <c r="AX505" s="276"/>
      <c r="AY505" s="276"/>
      <c r="AZ505" s="276"/>
      <c r="BA505" s="276"/>
      <c r="BB505" s="276"/>
      <c r="BC505" s="276"/>
    </row>
    <row r="506" spans="1:55" ht="12.75" customHeight="1">
      <c r="A506" s="465"/>
      <c r="B506" s="465"/>
      <c r="C506" s="147"/>
      <c r="D506" s="147"/>
      <c r="E506" s="585"/>
      <c r="F506" s="586"/>
      <c r="G506" s="458"/>
      <c r="H506" s="458"/>
      <c r="I506" s="458"/>
      <c r="J506" s="465"/>
      <c r="K506" s="587"/>
      <c r="L506" s="465"/>
      <c r="M506" s="465"/>
      <c r="N506" s="465"/>
      <c r="O506" s="587"/>
      <c r="P506" s="585"/>
      <c r="Q506" s="465"/>
      <c r="R506" s="458"/>
      <c r="S506" s="585"/>
      <c r="T506" s="588"/>
      <c r="U506" s="589"/>
      <c r="V506" s="587"/>
      <c r="W506" s="465"/>
      <c r="X506" s="465"/>
      <c r="Y506" s="590"/>
      <c r="Z506" s="458"/>
      <c r="AA506" s="591"/>
      <c r="AB506" s="465"/>
      <c r="AC506" s="465"/>
      <c r="AD506" s="465"/>
      <c r="AE506" s="465"/>
      <c r="AF506" s="465"/>
      <c r="AG506" s="465"/>
      <c r="AH506" s="465"/>
      <c r="AI506" s="592"/>
      <c r="AJ506" s="465"/>
      <c r="AK506" s="465"/>
      <c r="AL506" s="20"/>
      <c r="AM506" s="20"/>
      <c r="AN506" s="593"/>
      <c r="AO506" s="20"/>
      <c r="AP506" s="276"/>
      <c r="AQ506" s="276"/>
      <c r="AR506" s="276"/>
      <c r="AS506" s="276"/>
      <c r="AT506" s="276"/>
      <c r="AU506" s="276"/>
      <c r="AV506" s="276"/>
      <c r="AW506" s="276"/>
      <c r="AX506" s="276"/>
      <c r="AY506" s="276"/>
      <c r="AZ506" s="276"/>
      <c r="BA506" s="276"/>
      <c r="BB506" s="276"/>
      <c r="BC506" s="276"/>
    </row>
    <row r="507" spans="1:55" ht="12.75" customHeight="1">
      <c r="A507" s="465"/>
      <c r="B507" s="465"/>
      <c r="C507" s="147"/>
      <c r="D507" s="147"/>
      <c r="E507" s="585"/>
      <c r="F507" s="586"/>
      <c r="G507" s="458"/>
      <c r="H507" s="458"/>
      <c r="I507" s="458"/>
      <c r="J507" s="465"/>
      <c r="K507" s="587"/>
      <c r="L507" s="465"/>
      <c r="M507" s="465"/>
      <c r="N507" s="465"/>
      <c r="O507" s="587"/>
      <c r="P507" s="585"/>
      <c r="Q507" s="465"/>
      <c r="R507" s="458"/>
      <c r="S507" s="585"/>
      <c r="T507" s="588"/>
      <c r="U507" s="589"/>
      <c r="V507" s="587"/>
      <c r="W507" s="465"/>
      <c r="X507" s="465"/>
      <c r="Y507" s="590"/>
      <c r="Z507" s="458"/>
      <c r="AA507" s="591"/>
      <c r="AB507" s="465"/>
      <c r="AC507" s="465"/>
      <c r="AD507" s="465"/>
      <c r="AE507" s="465"/>
      <c r="AF507" s="465"/>
      <c r="AG507" s="465"/>
      <c r="AH507" s="465"/>
      <c r="AI507" s="592"/>
      <c r="AJ507" s="465"/>
      <c r="AK507" s="465"/>
      <c r="AL507" s="20"/>
      <c r="AM507" s="20"/>
      <c r="AN507" s="593"/>
      <c r="AO507" s="20"/>
      <c r="AP507" s="276"/>
      <c r="AQ507" s="276"/>
      <c r="AR507" s="276"/>
      <c r="AS507" s="276"/>
      <c r="AT507" s="276"/>
      <c r="AU507" s="276"/>
      <c r="AV507" s="276"/>
      <c r="AW507" s="276"/>
      <c r="AX507" s="276"/>
      <c r="AY507" s="276"/>
      <c r="AZ507" s="276"/>
      <c r="BA507" s="276"/>
      <c r="BB507" s="276"/>
      <c r="BC507" s="276"/>
    </row>
    <row r="508" spans="1:55" ht="12.75" customHeight="1">
      <c r="A508" s="465"/>
      <c r="B508" s="465"/>
      <c r="C508" s="147"/>
      <c r="D508" s="147"/>
      <c r="E508" s="585"/>
      <c r="F508" s="586"/>
      <c r="G508" s="458"/>
      <c r="H508" s="458"/>
      <c r="I508" s="458"/>
      <c r="J508" s="465"/>
      <c r="K508" s="587"/>
      <c r="L508" s="465"/>
      <c r="M508" s="465"/>
      <c r="N508" s="465"/>
      <c r="O508" s="587"/>
      <c r="P508" s="585"/>
      <c r="Q508" s="465"/>
      <c r="R508" s="458"/>
      <c r="S508" s="585"/>
      <c r="T508" s="588"/>
      <c r="U508" s="589"/>
      <c r="V508" s="587"/>
      <c r="W508" s="465"/>
      <c r="X508" s="465"/>
      <c r="Y508" s="590"/>
      <c r="Z508" s="458"/>
      <c r="AA508" s="591"/>
      <c r="AB508" s="465"/>
      <c r="AC508" s="465"/>
      <c r="AD508" s="465"/>
      <c r="AE508" s="465"/>
      <c r="AF508" s="465"/>
      <c r="AG508" s="465"/>
      <c r="AH508" s="465"/>
      <c r="AI508" s="592"/>
      <c r="AJ508" s="465"/>
      <c r="AK508" s="465"/>
      <c r="AL508" s="20"/>
      <c r="AM508" s="20"/>
      <c r="AN508" s="593"/>
      <c r="AO508" s="20"/>
      <c r="AP508" s="276"/>
      <c r="AQ508" s="276"/>
      <c r="AR508" s="276"/>
      <c r="AS508" s="276"/>
      <c r="AT508" s="276"/>
      <c r="AU508" s="276"/>
      <c r="AV508" s="276"/>
      <c r="AW508" s="276"/>
      <c r="AX508" s="276"/>
      <c r="AY508" s="276"/>
      <c r="AZ508" s="276"/>
      <c r="BA508" s="276"/>
      <c r="BB508" s="276"/>
      <c r="BC508" s="276"/>
    </row>
    <row r="509" spans="1:55" ht="12.75" customHeight="1">
      <c r="A509" s="465"/>
      <c r="B509" s="465"/>
      <c r="C509" s="147"/>
      <c r="D509" s="147"/>
      <c r="E509" s="585"/>
      <c r="F509" s="586"/>
      <c r="G509" s="458"/>
      <c r="H509" s="458"/>
      <c r="I509" s="458"/>
      <c r="J509" s="465"/>
      <c r="K509" s="587"/>
      <c r="L509" s="465"/>
      <c r="M509" s="465"/>
      <c r="N509" s="465"/>
      <c r="O509" s="587"/>
      <c r="P509" s="585"/>
      <c r="Q509" s="465"/>
      <c r="R509" s="458"/>
      <c r="S509" s="585"/>
      <c r="T509" s="588"/>
      <c r="U509" s="589"/>
      <c r="V509" s="587"/>
      <c r="W509" s="465"/>
      <c r="X509" s="465"/>
      <c r="Y509" s="590"/>
      <c r="Z509" s="458"/>
      <c r="AA509" s="591"/>
      <c r="AB509" s="465"/>
      <c r="AC509" s="465"/>
      <c r="AD509" s="465"/>
      <c r="AE509" s="465"/>
      <c r="AF509" s="465"/>
      <c r="AG509" s="465"/>
      <c r="AH509" s="465"/>
      <c r="AI509" s="592"/>
      <c r="AJ509" s="465"/>
      <c r="AK509" s="465"/>
      <c r="AL509" s="20"/>
      <c r="AM509" s="20"/>
      <c r="AN509" s="593"/>
      <c r="AO509" s="20"/>
      <c r="AP509" s="276"/>
      <c r="AQ509" s="276"/>
      <c r="AR509" s="276"/>
      <c r="AS509" s="276"/>
      <c r="AT509" s="276"/>
      <c r="AU509" s="276"/>
      <c r="AV509" s="276"/>
      <c r="AW509" s="276"/>
      <c r="AX509" s="276"/>
      <c r="AY509" s="276"/>
      <c r="AZ509" s="276"/>
      <c r="BA509" s="276"/>
      <c r="BB509" s="276"/>
      <c r="BC509" s="276"/>
    </row>
    <row r="510" spans="1:55" ht="12.75" customHeight="1">
      <c r="A510" s="465"/>
      <c r="B510" s="465"/>
      <c r="C510" s="147"/>
      <c r="D510" s="147"/>
      <c r="E510" s="585"/>
      <c r="F510" s="586"/>
      <c r="G510" s="458"/>
      <c r="H510" s="458"/>
      <c r="I510" s="458"/>
      <c r="J510" s="465"/>
      <c r="K510" s="587"/>
      <c r="L510" s="465"/>
      <c r="M510" s="465"/>
      <c r="N510" s="465"/>
      <c r="O510" s="587"/>
      <c r="P510" s="585"/>
      <c r="Q510" s="465"/>
      <c r="R510" s="458"/>
      <c r="S510" s="585"/>
      <c r="T510" s="588"/>
      <c r="U510" s="589"/>
      <c r="V510" s="587"/>
      <c r="W510" s="465"/>
      <c r="X510" s="465"/>
      <c r="Y510" s="590"/>
      <c r="Z510" s="458"/>
      <c r="AA510" s="591"/>
      <c r="AB510" s="465"/>
      <c r="AC510" s="465"/>
      <c r="AD510" s="465"/>
      <c r="AE510" s="465"/>
      <c r="AF510" s="465"/>
      <c r="AG510" s="465"/>
      <c r="AH510" s="465"/>
      <c r="AI510" s="592"/>
      <c r="AJ510" s="465"/>
      <c r="AK510" s="465"/>
      <c r="AL510" s="20"/>
      <c r="AM510" s="20"/>
      <c r="AN510" s="593"/>
      <c r="AO510" s="20"/>
      <c r="AP510" s="276"/>
      <c r="AQ510" s="276"/>
      <c r="AR510" s="276"/>
      <c r="AS510" s="276"/>
      <c r="AT510" s="276"/>
      <c r="AU510" s="276"/>
      <c r="AV510" s="276"/>
      <c r="AW510" s="276"/>
      <c r="AX510" s="276"/>
      <c r="AY510" s="276"/>
      <c r="AZ510" s="276"/>
      <c r="BA510" s="276"/>
      <c r="BB510" s="276"/>
      <c r="BC510" s="276"/>
    </row>
    <row r="511" spans="1:55" ht="12.75" customHeight="1">
      <c r="A511" s="465"/>
      <c r="B511" s="465"/>
      <c r="C511" s="147"/>
      <c r="D511" s="147"/>
      <c r="E511" s="585"/>
      <c r="F511" s="586"/>
      <c r="G511" s="458"/>
      <c r="H511" s="458"/>
      <c r="I511" s="458"/>
      <c r="J511" s="465"/>
      <c r="K511" s="587"/>
      <c r="L511" s="465"/>
      <c r="M511" s="465"/>
      <c r="N511" s="465"/>
      <c r="O511" s="587"/>
      <c r="P511" s="585"/>
      <c r="Q511" s="465"/>
      <c r="R511" s="458"/>
      <c r="S511" s="585"/>
      <c r="T511" s="588"/>
      <c r="U511" s="589"/>
      <c r="V511" s="587"/>
      <c r="W511" s="465"/>
      <c r="X511" s="465"/>
      <c r="Y511" s="590"/>
      <c r="Z511" s="458"/>
      <c r="AA511" s="591"/>
      <c r="AB511" s="465"/>
      <c r="AC511" s="465"/>
      <c r="AD511" s="465"/>
      <c r="AE511" s="465"/>
      <c r="AF511" s="465"/>
      <c r="AG511" s="465"/>
      <c r="AH511" s="465"/>
      <c r="AI511" s="592"/>
      <c r="AJ511" s="465"/>
      <c r="AK511" s="465"/>
      <c r="AL511" s="20"/>
      <c r="AM511" s="20"/>
      <c r="AN511" s="593"/>
      <c r="AO511" s="20"/>
      <c r="AP511" s="276"/>
      <c r="AQ511" s="276"/>
      <c r="AR511" s="276"/>
      <c r="AS511" s="276"/>
      <c r="AT511" s="276"/>
      <c r="AU511" s="276"/>
      <c r="AV511" s="276"/>
      <c r="AW511" s="276"/>
      <c r="AX511" s="276"/>
      <c r="AY511" s="276"/>
      <c r="AZ511" s="276"/>
      <c r="BA511" s="276"/>
      <c r="BB511" s="276"/>
      <c r="BC511" s="276"/>
    </row>
    <row r="512" spans="1:55" ht="12.75" customHeight="1">
      <c r="A512" s="465"/>
      <c r="B512" s="465"/>
      <c r="C512" s="147"/>
      <c r="D512" s="147"/>
      <c r="E512" s="585"/>
      <c r="F512" s="586"/>
      <c r="G512" s="458"/>
      <c r="H512" s="458"/>
      <c r="I512" s="458"/>
      <c r="J512" s="465"/>
      <c r="K512" s="587"/>
      <c r="L512" s="465"/>
      <c r="M512" s="465"/>
      <c r="N512" s="465"/>
      <c r="O512" s="587"/>
      <c r="P512" s="585"/>
      <c r="Q512" s="465"/>
      <c r="R512" s="458"/>
      <c r="S512" s="585"/>
      <c r="T512" s="588"/>
      <c r="U512" s="589"/>
      <c r="V512" s="587"/>
      <c r="W512" s="465"/>
      <c r="X512" s="465"/>
      <c r="Y512" s="590"/>
      <c r="Z512" s="458"/>
      <c r="AA512" s="591"/>
      <c r="AB512" s="465"/>
      <c r="AC512" s="465"/>
      <c r="AD512" s="465"/>
      <c r="AE512" s="465"/>
      <c r="AF512" s="465"/>
      <c r="AG512" s="465"/>
      <c r="AH512" s="465"/>
      <c r="AI512" s="592"/>
      <c r="AJ512" s="465"/>
      <c r="AK512" s="465"/>
      <c r="AL512" s="20"/>
      <c r="AM512" s="20"/>
      <c r="AN512" s="593"/>
      <c r="AO512" s="20"/>
      <c r="AP512" s="276"/>
      <c r="AQ512" s="276"/>
      <c r="AR512" s="276"/>
      <c r="AS512" s="276"/>
      <c r="AT512" s="276"/>
      <c r="AU512" s="276"/>
      <c r="AV512" s="276"/>
      <c r="AW512" s="276"/>
      <c r="AX512" s="276"/>
      <c r="AY512" s="276"/>
      <c r="AZ512" s="276"/>
      <c r="BA512" s="276"/>
      <c r="BB512" s="276"/>
      <c r="BC512" s="276"/>
    </row>
    <row r="513" spans="1:55" ht="12.75" customHeight="1">
      <c r="A513" s="465"/>
      <c r="B513" s="465"/>
      <c r="C513" s="147"/>
      <c r="D513" s="147"/>
      <c r="E513" s="585"/>
      <c r="F513" s="586"/>
      <c r="G513" s="458"/>
      <c r="H513" s="458"/>
      <c r="I513" s="458"/>
      <c r="J513" s="465"/>
      <c r="K513" s="587"/>
      <c r="L513" s="465"/>
      <c r="M513" s="465"/>
      <c r="N513" s="465"/>
      <c r="O513" s="587"/>
      <c r="P513" s="585"/>
      <c r="Q513" s="465"/>
      <c r="R513" s="458"/>
      <c r="S513" s="585"/>
      <c r="T513" s="588"/>
      <c r="U513" s="589"/>
      <c r="V513" s="587"/>
      <c r="W513" s="465"/>
      <c r="X513" s="465"/>
      <c r="Y513" s="590"/>
      <c r="Z513" s="458"/>
      <c r="AA513" s="591"/>
      <c r="AB513" s="465"/>
      <c r="AC513" s="465"/>
      <c r="AD513" s="465"/>
      <c r="AE513" s="465"/>
      <c r="AF513" s="465"/>
      <c r="AG513" s="465"/>
      <c r="AH513" s="465"/>
      <c r="AI513" s="592"/>
      <c r="AJ513" s="465"/>
      <c r="AK513" s="465"/>
      <c r="AL513" s="20"/>
      <c r="AM513" s="20"/>
      <c r="AN513" s="593"/>
      <c r="AO513" s="20"/>
      <c r="AP513" s="276"/>
      <c r="AQ513" s="276"/>
      <c r="AR513" s="276"/>
      <c r="AS513" s="276"/>
      <c r="AT513" s="276"/>
      <c r="AU513" s="276"/>
      <c r="AV513" s="276"/>
      <c r="AW513" s="276"/>
      <c r="AX513" s="276"/>
      <c r="AY513" s="276"/>
      <c r="AZ513" s="276"/>
      <c r="BA513" s="276"/>
      <c r="BB513" s="276"/>
      <c r="BC513" s="276"/>
    </row>
    <row r="514" spans="1:55" ht="12.75" customHeight="1">
      <c r="A514" s="465"/>
      <c r="B514" s="465"/>
      <c r="C514" s="147"/>
      <c r="D514" s="147"/>
      <c r="E514" s="585"/>
      <c r="F514" s="586"/>
      <c r="G514" s="458"/>
      <c r="H514" s="458"/>
      <c r="I514" s="458"/>
      <c r="J514" s="465"/>
      <c r="K514" s="587"/>
      <c r="L514" s="465"/>
      <c r="M514" s="465"/>
      <c r="N514" s="465"/>
      <c r="O514" s="587"/>
      <c r="P514" s="585"/>
      <c r="Q514" s="465"/>
      <c r="R514" s="458"/>
      <c r="S514" s="585"/>
      <c r="T514" s="588"/>
      <c r="U514" s="589"/>
      <c r="V514" s="587"/>
      <c r="W514" s="465"/>
      <c r="X514" s="465"/>
      <c r="Y514" s="590"/>
      <c r="Z514" s="458"/>
      <c r="AA514" s="591"/>
      <c r="AB514" s="465"/>
      <c r="AC514" s="465"/>
      <c r="AD514" s="465"/>
      <c r="AE514" s="465"/>
      <c r="AF514" s="465"/>
      <c r="AG514" s="465"/>
      <c r="AH514" s="465"/>
      <c r="AI514" s="592"/>
      <c r="AJ514" s="465"/>
      <c r="AK514" s="465"/>
      <c r="AL514" s="20"/>
      <c r="AM514" s="20"/>
      <c r="AN514" s="593"/>
      <c r="AO514" s="20"/>
      <c r="AP514" s="276"/>
      <c r="AQ514" s="276"/>
      <c r="AR514" s="276"/>
      <c r="AS514" s="276"/>
      <c r="AT514" s="276"/>
      <c r="AU514" s="276"/>
      <c r="AV514" s="276"/>
      <c r="AW514" s="276"/>
      <c r="AX514" s="276"/>
      <c r="AY514" s="276"/>
      <c r="AZ514" s="276"/>
      <c r="BA514" s="276"/>
      <c r="BB514" s="276"/>
      <c r="BC514" s="276"/>
    </row>
    <row r="515" spans="1:55" ht="12.75" customHeight="1">
      <c r="A515" s="465"/>
      <c r="B515" s="465"/>
      <c r="C515" s="147"/>
      <c r="D515" s="147"/>
      <c r="E515" s="585"/>
      <c r="F515" s="586"/>
      <c r="G515" s="458"/>
      <c r="H515" s="458"/>
      <c r="I515" s="458"/>
      <c r="J515" s="465"/>
      <c r="K515" s="587"/>
      <c r="L515" s="465"/>
      <c r="M515" s="465"/>
      <c r="N515" s="465"/>
      <c r="O515" s="587"/>
      <c r="P515" s="585"/>
      <c r="Q515" s="465"/>
      <c r="R515" s="458"/>
      <c r="S515" s="585"/>
      <c r="T515" s="588"/>
      <c r="U515" s="589"/>
      <c r="V515" s="587"/>
      <c r="W515" s="465"/>
      <c r="X515" s="465"/>
      <c r="Y515" s="590"/>
      <c r="Z515" s="458"/>
      <c r="AA515" s="591"/>
      <c r="AB515" s="465"/>
      <c r="AC515" s="465"/>
      <c r="AD515" s="465"/>
      <c r="AE515" s="465"/>
      <c r="AF515" s="465"/>
      <c r="AG515" s="465"/>
      <c r="AH515" s="465"/>
      <c r="AI515" s="592"/>
      <c r="AJ515" s="465"/>
      <c r="AK515" s="465"/>
      <c r="AL515" s="20"/>
      <c r="AM515" s="20"/>
      <c r="AN515" s="593"/>
      <c r="AO515" s="20"/>
      <c r="AP515" s="276"/>
      <c r="AQ515" s="276"/>
      <c r="AR515" s="276"/>
      <c r="AS515" s="276"/>
      <c r="AT515" s="276"/>
      <c r="AU515" s="276"/>
      <c r="AV515" s="276"/>
      <c r="AW515" s="276"/>
      <c r="AX515" s="276"/>
      <c r="AY515" s="276"/>
      <c r="AZ515" s="276"/>
      <c r="BA515" s="276"/>
      <c r="BB515" s="276"/>
      <c r="BC515" s="276"/>
    </row>
    <row r="516" spans="1:55" ht="12.75" customHeight="1">
      <c r="A516" s="465"/>
      <c r="B516" s="465"/>
      <c r="C516" s="147"/>
      <c r="D516" s="147"/>
      <c r="E516" s="585"/>
      <c r="F516" s="586"/>
      <c r="G516" s="458"/>
      <c r="H516" s="458"/>
      <c r="I516" s="458"/>
      <c r="J516" s="465"/>
      <c r="K516" s="587"/>
      <c r="L516" s="465"/>
      <c r="M516" s="465"/>
      <c r="N516" s="465"/>
      <c r="O516" s="587"/>
      <c r="P516" s="585"/>
      <c r="Q516" s="465"/>
      <c r="R516" s="458"/>
      <c r="S516" s="585"/>
      <c r="T516" s="588"/>
      <c r="U516" s="589"/>
      <c r="V516" s="587"/>
      <c r="W516" s="465"/>
      <c r="X516" s="465"/>
      <c r="Y516" s="590"/>
      <c r="Z516" s="458"/>
      <c r="AA516" s="591"/>
      <c r="AB516" s="465"/>
      <c r="AC516" s="465"/>
      <c r="AD516" s="465"/>
      <c r="AE516" s="465"/>
      <c r="AF516" s="465"/>
      <c r="AG516" s="465"/>
      <c r="AH516" s="465"/>
      <c r="AI516" s="592"/>
      <c r="AJ516" s="465"/>
      <c r="AK516" s="465"/>
      <c r="AL516" s="20"/>
      <c r="AM516" s="20"/>
      <c r="AN516" s="593"/>
      <c r="AO516" s="20"/>
      <c r="AP516" s="276"/>
      <c r="AQ516" s="276"/>
      <c r="AR516" s="276"/>
      <c r="AS516" s="276"/>
      <c r="AT516" s="276"/>
      <c r="AU516" s="276"/>
      <c r="AV516" s="276"/>
      <c r="AW516" s="276"/>
      <c r="AX516" s="276"/>
      <c r="AY516" s="276"/>
      <c r="AZ516" s="276"/>
      <c r="BA516" s="276"/>
      <c r="BB516" s="276"/>
      <c r="BC516" s="276"/>
    </row>
    <row r="517" spans="1:55" ht="12.75" customHeight="1">
      <c r="A517" s="465"/>
      <c r="B517" s="465"/>
      <c r="C517" s="147"/>
      <c r="D517" s="147"/>
      <c r="E517" s="585"/>
      <c r="F517" s="586"/>
      <c r="G517" s="458"/>
      <c r="H517" s="458"/>
      <c r="I517" s="458"/>
      <c r="J517" s="465"/>
      <c r="K517" s="587"/>
      <c r="L517" s="465"/>
      <c r="M517" s="465"/>
      <c r="N517" s="465"/>
      <c r="O517" s="587"/>
      <c r="P517" s="585"/>
      <c r="Q517" s="465"/>
      <c r="R517" s="458"/>
      <c r="S517" s="585"/>
      <c r="T517" s="588"/>
      <c r="U517" s="589"/>
      <c r="V517" s="587"/>
      <c r="W517" s="465"/>
      <c r="X517" s="465"/>
      <c r="Y517" s="590"/>
      <c r="Z517" s="458"/>
      <c r="AA517" s="591"/>
      <c r="AB517" s="465"/>
      <c r="AC517" s="465"/>
      <c r="AD517" s="465"/>
      <c r="AE517" s="465"/>
      <c r="AF517" s="465"/>
      <c r="AG517" s="465"/>
      <c r="AH517" s="465"/>
      <c r="AI517" s="592"/>
      <c r="AJ517" s="465"/>
      <c r="AK517" s="465"/>
      <c r="AL517" s="20"/>
      <c r="AM517" s="20"/>
      <c r="AN517" s="593"/>
      <c r="AO517" s="20"/>
      <c r="AP517" s="276"/>
      <c r="AQ517" s="276"/>
      <c r="AR517" s="276"/>
      <c r="AS517" s="276"/>
      <c r="AT517" s="276"/>
      <c r="AU517" s="276"/>
      <c r="AV517" s="276"/>
      <c r="AW517" s="276"/>
      <c r="AX517" s="276"/>
      <c r="AY517" s="276"/>
      <c r="AZ517" s="276"/>
      <c r="BA517" s="276"/>
      <c r="BB517" s="276"/>
      <c r="BC517" s="276"/>
    </row>
    <row r="518" spans="1:55" ht="12.75" customHeight="1">
      <c r="A518" s="465"/>
      <c r="B518" s="465"/>
      <c r="C518" s="147"/>
      <c r="D518" s="147"/>
      <c r="E518" s="585"/>
      <c r="F518" s="586"/>
      <c r="G518" s="458"/>
      <c r="H518" s="458"/>
      <c r="I518" s="458"/>
      <c r="J518" s="465"/>
      <c r="K518" s="587"/>
      <c r="L518" s="465"/>
      <c r="M518" s="465"/>
      <c r="N518" s="465"/>
      <c r="O518" s="587"/>
      <c r="P518" s="585"/>
      <c r="Q518" s="465"/>
      <c r="R518" s="458"/>
      <c r="S518" s="585"/>
      <c r="T518" s="588"/>
      <c r="U518" s="589"/>
      <c r="V518" s="587"/>
      <c r="W518" s="465"/>
      <c r="X518" s="465"/>
      <c r="Y518" s="590"/>
      <c r="Z518" s="458"/>
      <c r="AA518" s="591"/>
      <c r="AB518" s="465"/>
      <c r="AC518" s="465"/>
      <c r="AD518" s="465"/>
      <c r="AE518" s="465"/>
      <c r="AF518" s="465"/>
      <c r="AG518" s="465"/>
      <c r="AH518" s="465"/>
      <c r="AI518" s="592"/>
      <c r="AJ518" s="465"/>
      <c r="AK518" s="465"/>
      <c r="AL518" s="20"/>
      <c r="AM518" s="20"/>
      <c r="AN518" s="593"/>
      <c r="AO518" s="20"/>
      <c r="AP518" s="276"/>
      <c r="AQ518" s="276"/>
      <c r="AR518" s="276"/>
      <c r="AS518" s="276"/>
      <c r="AT518" s="276"/>
      <c r="AU518" s="276"/>
      <c r="AV518" s="276"/>
      <c r="AW518" s="276"/>
      <c r="AX518" s="276"/>
      <c r="AY518" s="276"/>
      <c r="AZ518" s="276"/>
      <c r="BA518" s="276"/>
      <c r="BB518" s="276"/>
      <c r="BC518" s="276"/>
    </row>
    <row r="519" spans="1:55" ht="12.75" customHeight="1">
      <c r="A519" s="465"/>
      <c r="B519" s="465"/>
      <c r="C519" s="147"/>
      <c r="D519" s="147"/>
      <c r="E519" s="585"/>
      <c r="F519" s="586"/>
      <c r="G519" s="458"/>
      <c r="H519" s="458"/>
      <c r="I519" s="458"/>
      <c r="J519" s="465"/>
      <c r="K519" s="587"/>
      <c r="L519" s="465"/>
      <c r="M519" s="465"/>
      <c r="N519" s="465"/>
      <c r="O519" s="587"/>
      <c r="P519" s="585"/>
      <c r="Q519" s="465"/>
      <c r="R519" s="458"/>
      <c r="S519" s="585"/>
      <c r="T519" s="588"/>
      <c r="U519" s="589"/>
      <c r="V519" s="587"/>
      <c r="W519" s="465"/>
      <c r="X519" s="465"/>
      <c r="Y519" s="590"/>
      <c r="Z519" s="458"/>
      <c r="AA519" s="591"/>
      <c r="AB519" s="465"/>
      <c r="AC519" s="465"/>
      <c r="AD519" s="465"/>
      <c r="AE519" s="465"/>
      <c r="AF519" s="465"/>
      <c r="AG519" s="465"/>
      <c r="AH519" s="465"/>
      <c r="AI519" s="592"/>
      <c r="AJ519" s="465"/>
      <c r="AK519" s="465"/>
      <c r="AL519" s="20"/>
      <c r="AM519" s="20"/>
      <c r="AN519" s="593"/>
      <c r="AO519" s="20"/>
      <c r="AP519" s="276"/>
      <c r="AQ519" s="276"/>
      <c r="AR519" s="276"/>
      <c r="AS519" s="276"/>
      <c r="AT519" s="276"/>
      <c r="AU519" s="276"/>
      <c r="AV519" s="276"/>
      <c r="AW519" s="276"/>
      <c r="AX519" s="276"/>
      <c r="AY519" s="276"/>
      <c r="AZ519" s="276"/>
      <c r="BA519" s="276"/>
      <c r="BB519" s="276"/>
      <c r="BC519" s="276"/>
    </row>
    <row r="520" spans="1:55" ht="12.75" customHeight="1">
      <c r="A520" s="465"/>
      <c r="B520" s="465"/>
      <c r="C520" s="147"/>
      <c r="D520" s="147"/>
      <c r="E520" s="585"/>
      <c r="F520" s="586"/>
      <c r="G520" s="458"/>
      <c r="H520" s="458"/>
      <c r="I520" s="458"/>
      <c r="J520" s="465"/>
      <c r="K520" s="587"/>
      <c r="L520" s="465"/>
      <c r="M520" s="465"/>
      <c r="N520" s="465"/>
      <c r="O520" s="587"/>
      <c r="P520" s="585"/>
      <c r="Q520" s="465"/>
      <c r="R520" s="458"/>
      <c r="S520" s="585"/>
      <c r="T520" s="588"/>
      <c r="U520" s="589"/>
      <c r="V520" s="587"/>
      <c r="W520" s="465"/>
      <c r="X520" s="465"/>
      <c r="Y520" s="590"/>
      <c r="Z520" s="458"/>
      <c r="AA520" s="591"/>
      <c r="AB520" s="465"/>
      <c r="AC520" s="465"/>
      <c r="AD520" s="465"/>
      <c r="AE520" s="465"/>
      <c r="AF520" s="465"/>
      <c r="AG520" s="465"/>
      <c r="AH520" s="465"/>
      <c r="AI520" s="592"/>
      <c r="AJ520" s="465"/>
      <c r="AK520" s="465"/>
      <c r="AL520" s="20"/>
      <c r="AM520" s="20"/>
      <c r="AN520" s="593"/>
      <c r="AO520" s="20"/>
      <c r="AP520" s="276"/>
      <c r="AQ520" s="276"/>
      <c r="AR520" s="276"/>
      <c r="AS520" s="276"/>
      <c r="AT520" s="276"/>
      <c r="AU520" s="276"/>
      <c r="AV520" s="276"/>
      <c r="AW520" s="276"/>
      <c r="AX520" s="276"/>
      <c r="AY520" s="276"/>
      <c r="AZ520" s="276"/>
      <c r="BA520" s="276"/>
      <c r="BB520" s="276"/>
      <c r="BC520" s="276"/>
    </row>
    <row r="521" spans="1:55" ht="12.75" customHeight="1">
      <c r="A521" s="465"/>
      <c r="B521" s="465"/>
      <c r="C521" s="147"/>
      <c r="D521" s="147"/>
      <c r="E521" s="585"/>
      <c r="F521" s="586"/>
      <c r="G521" s="458"/>
      <c r="H521" s="458"/>
      <c r="I521" s="458"/>
      <c r="J521" s="465"/>
      <c r="K521" s="587"/>
      <c r="L521" s="465"/>
      <c r="M521" s="465"/>
      <c r="N521" s="465"/>
      <c r="O521" s="587"/>
      <c r="P521" s="585"/>
      <c r="Q521" s="465"/>
      <c r="R521" s="458"/>
      <c r="S521" s="585"/>
      <c r="T521" s="588"/>
      <c r="U521" s="589"/>
      <c r="V521" s="587"/>
      <c r="W521" s="465"/>
      <c r="X521" s="465"/>
      <c r="Y521" s="590"/>
      <c r="Z521" s="458"/>
      <c r="AA521" s="591"/>
      <c r="AB521" s="465"/>
      <c r="AC521" s="465"/>
      <c r="AD521" s="465"/>
      <c r="AE521" s="465"/>
      <c r="AF521" s="465"/>
      <c r="AG521" s="465"/>
      <c r="AH521" s="465"/>
      <c r="AI521" s="592"/>
      <c r="AJ521" s="465"/>
      <c r="AK521" s="465"/>
      <c r="AL521" s="20"/>
      <c r="AM521" s="20"/>
      <c r="AN521" s="593"/>
      <c r="AO521" s="20"/>
      <c r="AP521" s="276"/>
      <c r="AQ521" s="276"/>
      <c r="AR521" s="276"/>
      <c r="AS521" s="276"/>
      <c r="AT521" s="276"/>
      <c r="AU521" s="276"/>
      <c r="AV521" s="276"/>
      <c r="AW521" s="276"/>
      <c r="AX521" s="276"/>
      <c r="AY521" s="276"/>
      <c r="AZ521" s="276"/>
      <c r="BA521" s="276"/>
      <c r="BB521" s="276"/>
      <c r="BC521" s="276"/>
    </row>
    <row r="522" spans="1:55" ht="12.75" customHeight="1">
      <c r="A522" s="465"/>
      <c r="B522" s="465"/>
      <c r="C522" s="147"/>
      <c r="D522" s="147"/>
      <c r="E522" s="585"/>
      <c r="F522" s="586"/>
      <c r="G522" s="458"/>
      <c r="H522" s="458"/>
      <c r="I522" s="458"/>
      <c r="J522" s="465"/>
      <c r="K522" s="587"/>
      <c r="L522" s="465"/>
      <c r="M522" s="465"/>
      <c r="N522" s="465"/>
      <c r="O522" s="587"/>
      <c r="P522" s="585"/>
      <c r="Q522" s="465"/>
      <c r="R522" s="458"/>
      <c r="S522" s="585"/>
      <c r="T522" s="588"/>
      <c r="U522" s="589"/>
      <c r="V522" s="587"/>
      <c r="W522" s="465"/>
      <c r="X522" s="465"/>
      <c r="Y522" s="590"/>
      <c r="Z522" s="458"/>
      <c r="AA522" s="591"/>
      <c r="AB522" s="465"/>
      <c r="AC522" s="465"/>
      <c r="AD522" s="465"/>
      <c r="AE522" s="465"/>
      <c r="AF522" s="465"/>
      <c r="AG522" s="465"/>
      <c r="AH522" s="465"/>
      <c r="AI522" s="592"/>
      <c r="AJ522" s="465"/>
      <c r="AK522" s="465"/>
      <c r="AL522" s="20"/>
      <c r="AM522" s="20"/>
      <c r="AN522" s="593"/>
      <c r="AO522" s="20"/>
      <c r="AP522" s="276"/>
      <c r="AQ522" s="276"/>
      <c r="AR522" s="276"/>
      <c r="AS522" s="276"/>
      <c r="AT522" s="276"/>
      <c r="AU522" s="276"/>
      <c r="AV522" s="276"/>
      <c r="AW522" s="276"/>
      <c r="AX522" s="276"/>
      <c r="AY522" s="276"/>
      <c r="AZ522" s="276"/>
      <c r="BA522" s="276"/>
      <c r="BB522" s="276"/>
      <c r="BC522" s="276"/>
    </row>
    <row r="523" spans="1:55" ht="12.75" customHeight="1">
      <c r="A523" s="465"/>
      <c r="B523" s="465"/>
      <c r="C523" s="147"/>
      <c r="D523" s="147"/>
      <c r="E523" s="585"/>
      <c r="F523" s="586"/>
      <c r="G523" s="458"/>
      <c r="H523" s="458"/>
      <c r="I523" s="458"/>
      <c r="J523" s="465"/>
      <c r="K523" s="587"/>
      <c r="L523" s="465"/>
      <c r="M523" s="465"/>
      <c r="N523" s="465"/>
      <c r="O523" s="587"/>
      <c r="P523" s="585"/>
      <c r="Q523" s="465"/>
      <c r="R523" s="458"/>
      <c r="S523" s="585"/>
      <c r="T523" s="588"/>
      <c r="U523" s="589"/>
      <c r="V523" s="587"/>
      <c r="W523" s="465"/>
      <c r="X523" s="465"/>
      <c r="Y523" s="590"/>
      <c r="Z523" s="458"/>
      <c r="AA523" s="591"/>
      <c r="AB523" s="465"/>
      <c r="AC523" s="465"/>
      <c r="AD523" s="465"/>
      <c r="AE523" s="465"/>
      <c r="AF523" s="465"/>
      <c r="AG523" s="465"/>
      <c r="AH523" s="465"/>
      <c r="AI523" s="592"/>
      <c r="AJ523" s="465"/>
      <c r="AK523" s="465"/>
      <c r="AL523" s="20"/>
      <c r="AM523" s="20"/>
      <c r="AN523" s="593"/>
      <c r="AO523" s="20"/>
      <c r="AP523" s="276"/>
      <c r="AQ523" s="276"/>
      <c r="AR523" s="276"/>
      <c r="AS523" s="276"/>
      <c r="AT523" s="276"/>
      <c r="AU523" s="276"/>
      <c r="AV523" s="276"/>
      <c r="AW523" s="276"/>
      <c r="AX523" s="276"/>
      <c r="AY523" s="276"/>
      <c r="AZ523" s="276"/>
      <c r="BA523" s="276"/>
      <c r="BB523" s="276"/>
      <c r="BC523" s="276"/>
    </row>
    <row r="524" spans="1:55" ht="12.75" customHeight="1">
      <c r="A524" s="465"/>
      <c r="B524" s="465"/>
      <c r="C524" s="147"/>
      <c r="D524" s="147"/>
      <c r="E524" s="585"/>
      <c r="F524" s="586"/>
      <c r="G524" s="458"/>
      <c r="H524" s="458"/>
      <c r="I524" s="458"/>
      <c r="J524" s="465"/>
      <c r="K524" s="587"/>
      <c r="L524" s="465"/>
      <c r="M524" s="465"/>
      <c r="N524" s="465"/>
      <c r="O524" s="587"/>
      <c r="P524" s="585"/>
      <c r="Q524" s="465"/>
      <c r="R524" s="458"/>
      <c r="S524" s="585"/>
      <c r="T524" s="588"/>
      <c r="U524" s="589"/>
      <c r="V524" s="587"/>
      <c r="W524" s="465"/>
      <c r="X524" s="465"/>
      <c r="Y524" s="590"/>
      <c r="Z524" s="458"/>
      <c r="AA524" s="591"/>
      <c r="AB524" s="465"/>
      <c r="AC524" s="465"/>
      <c r="AD524" s="465"/>
      <c r="AE524" s="465"/>
      <c r="AF524" s="465"/>
      <c r="AG524" s="465"/>
      <c r="AH524" s="465"/>
      <c r="AI524" s="592"/>
      <c r="AJ524" s="465"/>
      <c r="AK524" s="465"/>
      <c r="AL524" s="20"/>
      <c r="AM524" s="20"/>
      <c r="AN524" s="593"/>
      <c r="AO524" s="20"/>
      <c r="AP524" s="276"/>
      <c r="AQ524" s="276"/>
      <c r="AR524" s="276"/>
      <c r="AS524" s="276"/>
      <c r="AT524" s="276"/>
      <c r="AU524" s="276"/>
      <c r="AV524" s="276"/>
      <c r="AW524" s="276"/>
      <c r="AX524" s="276"/>
      <c r="AY524" s="276"/>
      <c r="AZ524" s="276"/>
      <c r="BA524" s="276"/>
      <c r="BB524" s="276"/>
      <c r="BC524" s="276"/>
    </row>
    <row r="525" spans="1:55" ht="12.75" customHeight="1">
      <c r="A525" s="465"/>
      <c r="B525" s="465"/>
      <c r="C525" s="147"/>
      <c r="D525" s="147"/>
      <c r="E525" s="585"/>
      <c r="F525" s="586"/>
      <c r="G525" s="458"/>
      <c r="H525" s="458"/>
      <c r="I525" s="458"/>
      <c r="J525" s="465"/>
      <c r="K525" s="587"/>
      <c r="L525" s="465"/>
      <c r="M525" s="465"/>
      <c r="N525" s="465"/>
      <c r="O525" s="587"/>
      <c r="P525" s="585"/>
      <c r="Q525" s="465"/>
      <c r="R525" s="458"/>
      <c r="S525" s="585"/>
      <c r="T525" s="588"/>
      <c r="U525" s="589"/>
      <c r="V525" s="587"/>
      <c r="W525" s="465"/>
      <c r="X525" s="465"/>
      <c r="Y525" s="590"/>
      <c r="Z525" s="458"/>
      <c r="AA525" s="591"/>
      <c r="AB525" s="465"/>
      <c r="AC525" s="465"/>
      <c r="AD525" s="465"/>
      <c r="AE525" s="465"/>
      <c r="AF525" s="465"/>
      <c r="AG525" s="465"/>
      <c r="AH525" s="465"/>
      <c r="AI525" s="592"/>
      <c r="AJ525" s="465"/>
      <c r="AK525" s="465"/>
      <c r="AL525" s="20"/>
      <c r="AM525" s="20"/>
      <c r="AN525" s="593"/>
      <c r="AO525" s="20"/>
      <c r="AP525" s="276"/>
      <c r="AQ525" s="276"/>
      <c r="AR525" s="276"/>
      <c r="AS525" s="276"/>
      <c r="AT525" s="276"/>
      <c r="AU525" s="276"/>
      <c r="AV525" s="276"/>
      <c r="AW525" s="276"/>
      <c r="AX525" s="276"/>
      <c r="AY525" s="276"/>
      <c r="AZ525" s="276"/>
      <c r="BA525" s="276"/>
      <c r="BB525" s="276"/>
      <c r="BC525" s="276"/>
    </row>
    <row r="526" spans="1:55" ht="12.75" customHeight="1">
      <c r="A526" s="465"/>
      <c r="B526" s="465"/>
      <c r="C526" s="147"/>
      <c r="D526" s="147"/>
      <c r="E526" s="585"/>
      <c r="F526" s="586"/>
      <c r="G526" s="458"/>
      <c r="H526" s="458"/>
      <c r="I526" s="458"/>
      <c r="J526" s="465"/>
      <c r="K526" s="587"/>
      <c r="L526" s="465"/>
      <c r="M526" s="465"/>
      <c r="N526" s="465"/>
      <c r="O526" s="587"/>
      <c r="P526" s="585"/>
      <c r="Q526" s="465"/>
      <c r="R526" s="458"/>
      <c r="S526" s="585"/>
      <c r="T526" s="588"/>
      <c r="U526" s="589"/>
      <c r="V526" s="587"/>
      <c r="W526" s="465"/>
      <c r="X526" s="465"/>
      <c r="Y526" s="590"/>
      <c r="Z526" s="458"/>
      <c r="AA526" s="591"/>
      <c r="AB526" s="465"/>
      <c r="AC526" s="465"/>
      <c r="AD526" s="465"/>
      <c r="AE526" s="465"/>
      <c r="AF526" s="465"/>
      <c r="AG526" s="465"/>
      <c r="AH526" s="465"/>
      <c r="AI526" s="592"/>
      <c r="AJ526" s="465"/>
      <c r="AK526" s="465"/>
      <c r="AL526" s="20"/>
      <c r="AM526" s="20"/>
      <c r="AN526" s="593"/>
      <c r="AO526" s="20"/>
      <c r="AP526" s="276"/>
      <c r="AQ526" s="276"/>
      <c r="AR526" s="276"/>
      <c r="AS526" s="276"/>
      <c r="AT526" s="276"/>
      <c r="AU526" s="276"/>
      <c r="AV526" s="276"/>
      <c r="AW526" s="276"/>
      <c r="AX526" s="276"/>
      <c r="AY526" s="276"/>
      <c r="AZ526" s="276"/>
      <c r="BA526" s="276"/>
      <c r="BB526" s="276"/>
      <c r="BC526" s="276"/>
    </row>
    <row r="527" spans="1:55" ht="12.75" customHeight="1">
      <c r="A527" s="465"/>
      <c r="B527" s="465"/>
      <c r="C527" s="147"/>
      <c r="D527" s="147"/>
      <c r="E527" s="585"/>
      <c r="F527" s="586"/>
      <c r="G527" s="458"/>
      <c r="H527" s="458"/>
      <c r="I527" s="458"/>
      <c r="J527" s="465"/>
      <c r="K527" s="587"/>
      <c r="L527" s="465"/>
      <c r="M527" s="465"/>
      <c r="N527" s="465"/>
      <c r="O527" s="587"/>
      <c r="P527" s="585"/>
      <c r="Q527" s="465"/>
      <c r="R527" s="458"/>
      <c r="S527" s="585"/>
      <c r="T527" s="588"/>
      <c r="U527" s="589"/>
      <c r="V527" s="587"/>
      <c r="W527" s="465"/>
      <c r="X527" s="465"/>
      <c r="Y527" s="590"/>
      <c r="Z527" s="458"/>
      <c r="AA527" s="591"/>
      <c r="AB527" s="465"/>
      <c r="AC527" s="465"/>
      <c r="AD527" s="465"/>
      <c r="AE527" s="465"/>
      <c r="AF527" s="465"/>
      <c r="AG527" s="465"/>
      <c r="AH527" s="465"/>
      <c r="AI527" s="592"/>
      <c r="AJ527" s="465"/>
      <c r="AK527" s="465"/>
      <c r="AL527" s="20"/>
      <c r="AM527" s="20"/>
      <c r="AN527" s="593"/>
      <c r="AO527" s="20"/>
      <c r="AP527" s="276"/>
      <c r="AQ527" s="276"/>
      <c r="AR527" s="276"/>
      <c r="AS527" s="276"/>
      <c r="AT527" s="276"/>
      <c r="AU527" s="276"/>
      <c r="AV527" s="276"/>
      <c r="AW527" s="276"/>
      <c r="AX527" s="276"/>
      <c r="AY527" s="276"/>
      <c r="AZ527" s="276"/>
      <c r="BA527" s="276"/>
      <c r="BB527" s="276"/>
      <c r="BC527" s="276"/>
    </row>
    <row r="528" spans="1:55" ht="12.75" customHeight="1">
      <c r="A528" s="465"/>
      <c r="B528" s="465"/>
      <c r="C528" s="147"/>
      <c r="D528" s="147"/>
      <c r="E528" s="585"/>
      <c r="F528" s="586"/>
      <c r="G528" s="458"/>
      <c r="H528" s="458"/>
      <c r="I528" s="458"/>
      <c r="J528" s="465"/>
      <c r="K528" s="587"/>
      <c r="L528" s="465"/>
      <c r="M528" s="465"/>
      <c r="N528" s="465"/>
      <c r="O528" s="587"/>
      <c r="P528" s="585"/>
      <c r="Q528" s="465"/>
      <c r="R528" s="458"/>
      <c r="S528" s="585"/>
      <c r="T528" s="588"/>
      <c r="U528" s="589"/>
      <c r="V528" s="587"/>
      <c r="W528" s="465"/>
      <c r="X528" s="465"/>
      <c r="Y528" s="590"/>
      <c r="Z528" s="458"/>
      <c r="AA528" s="591"/>
      <c r="AB528" s="465"/>
      <c r="AC528" s="465"/>
      <c r="AD528" s="465"/>
      <c r="AE528" s="465"/>
      <c r="AF528" s="465"/>
      <c r="AG528" s="465"/>
      <c r="AH528" s="465"/>
      <c r="AI528" s="592"/>
      <c r="AJ528" s="465"/>
      <c r="AK528" s="465"/>
      <c r="AL528" s="20"/>
      <c r="AM528" s="20"/>
      <c r="AN528" s="593"/>
      <c r="AO528" s="20"/>
      <c r="AP528" s="276"/>
      <c r="AQ528" s="276"/>
      <c r="AR528" s="276"/>
      <c r="AS528" s="276"/>
      <c r="AT528" s="276"/>
      <c r="AU528" s="276"/>
      <c r="AV528" s="276"/>
      <c r="AW528" s="276"/>
      <c r="AX528" s="276"/>
      <c r="AY528" s="276"/>
      <c r="AZ528" s="276"/>
      <c r="BA528" s="276"/>
      <c r="BB528" s="276"/>
      <c r="BC528" s="276"/>
    </row>
    <row r="529" spans="1:55" ht="12.75" customHeight="1">
      <c r="A529" s="465"/>
      <c r="B529" s="465"/>
      <c r="C529" s="147"/>
      <c r="D529" s="147"/>
      <c r="E529" s="585"/>
      <c r="F529" s="586"/>
      <c r="G529" s="458"/>
      <c r="H529" s="458"/>
      <c r="I529" s="458"/>
      <c r="J529" s="465"/>
      <c r="K529" s="587"/>
      <c r="L529" s="465"/>
      <c r="M529" s="465"/>
      <c r="N529" s="465"/>
      <c r="O529" s="587"/>
      <c r="P529" s="585"/>
      <c r="Q529" s="465"/>
      <c r="R529" s="458"/>
      <c r="S529" s="585"/>
      <c r="T529" s="588"/>
      <c r="U529" s="589"/>
      <c r="V529" s="587"/>
      <c r="W529" s="465"/>
      <c r="X529" s="465"/>
      <c r="Y529" s="590"/>
      <c r="Z529" s="458"/>
      <c r="AA529" s="591"/>
      <c r="AB529" s="465"/>
      <c r="AC529" s="465"/>
      <c r="AD529" s="465"/>
      <c r="AE529" s="465"/>
      <c r="AF529" s="465"/>
      <c r="AG529" s="465"/>
      <c r="AH529" s="465"/>
      <c r="AI529" s="592"/>
      <c r="AJ529" s="465"/>
      <c r="AK529" s="465"/>
      <c r="AL529" s="20"/>
      <c r="AM529" s="20"/>
      <c r="AN529" s="593"/>
      <c r="AO529" s="20"/>
      <c r="AP529" s="276"/>
      <c r="AQ529" s="276"/>
      <c r="AR529" s="276"/>
      <c r="AS529" s="276"/>
      <c r="AT529" s="276"/>
      <c r="AU529" s="276"/>
      <c r="AV529" s="276"/>
      <c r="AW529" s="276"/>
      <c r="AX529" s="276"/>
      <c r="AY529" s="276"/>
      <c r="AZ529" s="276"/>
      <c r="BA529" s="276"/>
      <c r="BB529" s="276"/>
      <c r="BC529" s="276"/>
    </row>
    <row r="530" spans="1:55" ht="12.75" customHeight="1">
      <c r="A530" s="465"/>
      <c r="B530" s="465"/>
      <c r="C530" s="147"/>
      <c r="D530" s="147"/>
      <c r="E530" s="585"/>
      <c r="F530" s="586"/>
      <c r="G530" s="458"/>
      <c r="H530" s="458"/>
      <c r="I530" s="458"/>
      <c r="J530" s="465"/>
      <c r="K530" s="587"/>
      <c r="L530" s="465"/>
      <c r="M530" s="465"/>
      <c r="N530" s="465"/>
      <c r="O530" s="587"/>
      <c r="P530" s="585"/>
      <c r="Q530" s="465"/>
      <c r="R530" s="458"/>
      <c r="S530" s="585"/>
      <c r="T530" s="588"/>
      <c r="U530" s="589"/>
      <c r="V530" s="587"/>
      <c r="W530" s="465"/>
      <c r="X530" s="465"/>
      <c r="Y530" s="590"/>
      <c r="Z530" s="458"/>
      <c r="AA530" s="591"/>
      <c r="AB530" s="465"/>
      <c r="AC530" s="465"/>
      <c r="AD530" s="465"/>
      <c r="AE530" s="465"/>
      <c r="AF530" s="465"/>
      <c r="AG530" s="465"/>
      <c r="AH530" s="465"/>
      <c r="AI530" s="592"/>
      <c r="AJ530" s="465"/>
      <c r="AK530" s="465"/>
      <c r="AL530" s="20"/>
      <c r="AM530" s="20"/>
      <c r="AN530" s="593"/>
      <c r="AO530" s="20"/>
      <c r="AP530" s="276"/>
      <c r="AQ530" s="276"/>
      <c r="AR530" s="276"/>
      <c r="AS530" s="276"/>
      <c r="AT530" s="276"/>
      <c r="AU530" s="276"/>
      <c r="AV530" s="276"/>
      <c r="AW530" s="276"/>
      <c r="AX530" s="276"/>
      <c r="AY530" s="276"/>
      <c r="AZ530" s="276"/>
      <c r="BA530" s="276"/>
      <c r="BB530" s="276"/>
      <c r="BC530" s="276"/>
    </row>
    <row r="531" spans="1:55" ht="12.75" customHeight="1">
      <c r="A531" s="465"/>
      <c r="B531" s="465"/>
      <c r="C531" s="147"/>
      <c r="D531" s="147"/>
      <c r="E531" s="585"/>
      <c r="F531" s="586"/>
      <c r="G531" s="458"/>
      <c r="H531" s="458"/>
      <c r="I531" s="458"/>
      <c r="J531" s="465"/>
      <c r="K531" s="587"/>
      <c r="L531" s="465"/>
      <c r="M531" s="465"/>
      <c r="N531" s="465"/>
      <c r="O531" s="587"/>
      <c r="P531" s="585"/>
      <c r="Q531" s="465"/>
      <c r="R531" s="458"/>
      <c r="S531" s="585"/>
      <c r="T531" s="588"/>
      <c r="U531" s="589"/>
      <c r="V531" s="587"/>
      <c r="W531" s="465"/>
      <c r="X531" s="465"/>
      <c r="Y531" s="590"/>
      <c r="Z531" s="458"/>
      <c r="AA531" s="591"/>
      <c r="AB531" s="465"/>
      <c r="AC531" s="465"/>
      <c r="AD531" s="465"/>
      <c r="AE531" s="465"/>
      <c r="AF531" s="465"/>
      <c r="AG531" s="465"/>
      <c r="AH531" s="465"/>
      <c r="AI531" s="592"/>
      <c r="AJ531" s="465"/>
      <c r="AK531" s="465"/>
      <c r="AL531" s="20"/>
      <c r="AM531" s="20"/>
      <c r="AN531" s="593"/>
      <c r="AO531" s="20"/>
      <c r="AP531" s="276"/>
      <c r="AQ531" s="276"/>
      <c r="AR531" s="276"/>
      <c r="AS531" s="276"/>
      <c r="AT531" s="276"/>
      <c r="AU531" s="276"/>
      <c r="AV531" s="276"/>
      <c r="AW531" s="276"/>
      <c r="AX531" s="276"/>
      <c r="AY531" s="276"/>
      <c r="AZ531" s="276"/>
      <c r="BA531" s="276"/>
      <c r="BB531" s="276"/>
      <c r="BC531" s="276"/>
    </row>
    <row r="532" spans="1:55" ht="12.75" customHeight="1">
      <c r="A532" s="465"/>
      <c r="B532" s="465"/>
      <c r="C532" s="147"/>
      <c r="D532" s="147"/>
      <c r="E532" s="585"/>
      <c r="F532" s="586"/>
      <c r="G532" s="458"/>
      <c r="H532" s="458"/>
      <c r="I532" s="458"/>
      <c r="J532" s="465"/>
      <c r="K532" s="587"/>
      <c r="L532" s="465"/>
      <c r="M532" s="465"/>
      <c r="N532" s="465"/>
      <c r="O532" s="587"/>
      <c r="P532" s="585"/>
      <c r="Q532" s="465"/>
      <c r="R532" s="458"/>
      <c r="S532" s="585"/>
      <c r="T532" s="588"/>
      <c r="U532" s="589"/>
      <c r="V532" s="587"/>
      <c r="W532" s="465"/>
      <c r="X532" s="465"/>
      <c r="Y532" s="590"/>
      <c r="Z532" s="458"/>
      <c r="AA532" s="591"/>
      <c r="AB532" s="465"/>
      <c r="AC532" s="465"/>
      <c r="AD532" s="465"/>
      <c r="AE532" s="465"/>
      <c r="AF532" s="465"/>
      <c r="AG532" s="465"/>
      <c r="AH532" s="465"/>
      <c r="AI532" s="592"/>
      <c r="AJ532" s="465"/>
      <c r="AK532" s="465"/>
      <c r="AL532" s="20"/>
      <c r="AM532" s="20"/>
      <c r="AN532" s="593"/>
      <c r="AO532" s="20"/>
      <c r="AP532" s="276"/>
      <c r="AQ532" s="276"/>
      <c r="AR532" s="276"/>
      <c r="AS532" s="276"/>
      <c r="AT532" s="276"/>
      <c r="AU532" s="276"/>
      <c r="AV532" s="276"/>
      <c r="AW532" s="276"/>
      <c r="AX532" s="276"/>
      <c r="AY532" s="276"/>
      <c r="AZ532" s="276"/>
      <c r="BA532" s="276"/>
      <c r="BB532" s="276"/>
      <c r="BC532" s="276"/>
    </row>
    <row r="533" spans="1:55" ht="12.75" customHeight="1">
      <c r="A533" s="465"/>
      <c r="B533" s="465"/>
      <c r="C533" s="147"/>
      <c r="D533" s="147"/>
      <c r="E533" s="585"/>
      <c r="F533" s="586"/>
      <c r="G533" s="458"/>
      <c r="H533" s="458"/>
      <c r="I533" s="458"/>
      <c r="J533" s="465"/>
      <c r="K533" s="587"/>
      <c r="L533" s="465"/>
      <c r="M533" s="465"/>
      <c r="N533" s="465"/>
      <c r="O533" s="587"/>
      <c r="P533" s="585"/>
      <c r="Q533" s="465"/>
      <c r="R533" s="458"/>
      <c r="S533" s="585"/>
      <c r="T533" s="588"/>
      <c r="U533" s="589"/>
      <c r="V533" s="587"/>
      <c r="W533" s="465"/>
      <c r="X533" s="465"/>
      <c r="Y533" s="590"/>
      <c r="Z533" s="458"/>
      <c r="AA533" s="591"/>
      <c r="AB533" s="465"/>
      <c r="AC533" s="465"/>
      <c r="AD533" s="465"/>
      <c r="AE533" s="465"/>
      <c r="AF533" s="465"/>
      <c r="AG533" s="465"/>
      <c r="AH533" s="465"/>
      <c r="AI533" s="592"/>
      <c r="AJ533" s="465"/>
      <c r="AK533" s="465"/>
      <c r="AL533" s="20"/>
      <c r="AM533" s="20"/>
      <c r="AN533" s="593"/>
      <c r="AO533" s="20"/>
      <c r="AP533" s="276"/>
      <c r="AQ533" s="276"/>
      <c r="AR533" s="276"/>
      <c r="AS533" s="276"/>
      <c r="AT533" s="276"/>
      <c r="AU533" s="276"/>
      <c r="AV533" s="276"/>
      <c r="AW533" s="276"/>
      <c r="AX533" s="276"/>
      <c r="AY533" s="276"/>
      <c r="AZ533" s="276"/>
      <c r="BA533" s="276"/>
      <c r="BB533" s="276"/>
      <c r="BC533" s="276"/>
    </row>
    <row r="534" spans="1:55" ht="12.75" customHeight="1">
      <c r="A534" s="465"/>
      <c r="B534" s="465"/>
      <c r="C534" s="147"/>
      <c r="D534" s="147"/>
      <c r="E534" s="585"/>
      <c r="F534" s="586"/>
      <c r="G534" s="458"/>
      <c r="H534" s="458"/>
      <c r="I534" s="458"/>
      <c r="J534" s="465"/>
      <c r="K534" s="587"/>
      <c r="L534" s="465"/>
      <c r="M534" s="465"/>
      <c r="N534" s="465"/>
      <c r="O534" s="587"/>
      <c r="P534" s="585"/>
      <c r="Q534" s="465"/>
      <c r="R534" s="458"/>
      <c r="S534" s="585"/>
      <c r="T534" s="588"/>
      <c r="U534" s="589"/>
      <c r="V534" s="587"/>
      <c r="W534" s="465"/>
      <c r="X534" s="465"/>
      <c r="Y534" s="590"/>
      <c r="Z534" s="458"/>
      <c r="AA534" s="591"/>
      <c r="AB534" s="465"/>
      <c r="AC534" s="465"/>
      <c r="AD534" s="465"/>
      <c r="AE534" s="465"/>
      <c r="AF534" s="465"/>
      <c r="AG534" s="465"/>
      <c r="AH534" s="465"/>
      <c r="AI534" s="592"/>
      <c r="AJ534" s="465"/>
      <c r="AK534" s="465"/>
      <c r="AL534" s="20"/>
      <c r="AM534" s="20"/>
      <c r="AN534" s="593"/>
      <c r="AO534" s="20"/>
      <c r="AP534" s="276"/>
      <c r="AQ534" s="276"/>
      <c r="AR534" s="276"/>
      <c r="AS534" s="276"/>
      <c r="AT534" s="276"/>
      <c r="AU534" s="276"/>
      <c r="AV534" s="276"/>
      <c r="AW534" s="276"/>
      <c r="AX534" s="276"/>
      <c r="AY534" s="276"/>
      <c r="AZ534" s="276"/>
      <c r="BA534" s="276"/>
      <c r="BB534" s="276"/>
      <c r="BC534" s="276"/>
    </row>
    <row r="535" spans="1:55" ht="12.75" customHeight="1">
      <c r="A535" s="465"/>
      <c r="B535" s="465"/>
      <c r="C535" s="147"/>
      <c r="D535" s="147"/>
      <c r="E535" s="585"/>
      <c r="F535" s="586"/>
      <c r="G535" s="458"/>
      <c r="H535" s="458"/>
      <c r="I535" s="458"/>
      <c r="J535" s="465"/>
      <c r="K535" s="587"/>
      <c r="L535" s="465"/>
      <c r="M535" s="465"/>
      <c r="N535" s="465"/>
      <c r="O535" s="587"/>
      <c r="P535" s="585"/>
      <c r="Q535" s="465"/>
      <c r="R535" s="458"/>
      <c r="S535" s="585"/>
      <c r="T535" s="588"/>
      <c r="U535" s="589"/>
      <c r="V535" s="587"/>
      <c r="W535" s="465"/>
      <c r="X535" s="465"/>
      <c r="Y535" s="590"/>
      <c r="Z535" s="458"/>
      <c r="AA535" s="591"/>
      <c r="AB535" s="465"/>
      <c r="AC535" s="465"/>
      <c r="AD535" s="465"/>
      <c r="AE535" s="465"/>
      <c r="AF535" s="465"/>
      <c r="AG535" s="465"/>
      <c r="AH535" s="465"/>
      <c r="AI535" s="592"/>
      <c r="AJ535" s="465"/>
      <c r="AK535" s="465"/>
      <c r="AL535" s="20"/>
      <c r="AM535" s="20"/>
      <c r="AN535" s="593"/>
      <c r="AO535" s="20"/>
      <c r="AP535" s="276"/>
      <c r="AQ535" s="276"/>
      <c r="AR535" s="276"/>
      <c r="AS535" s="276"/>
      <c r="AT535" s="276"/>
      <c r="AU535" s="276"/>
      <c r="AV535" s="276"/>
      <c r="AW535" s="276"/>
      <c r="AX535" s="276"/>
      <c r="AY535" s="276"/>
      <c r="AZ535" s="276"/>
      <c r="BA535" s="276"/>
      <c r="BB535" s="276"/>
      <c r="BC535" s="276"/>
    </row>
    <row r="536" spans="1:55" ht="12.75" customHeight="1">
      <c r="A536" s="465"/>
      <c r="B536" s="465"/>
      <c r="C536" s="147"/>
      <c r="D536" s="147"/>
      <c r="E536" s="585"/>
      <c r="F536" s="586"/>
      <c r="G536" s="458"/>
      <c r="H536" s="458"/>
      <c r="I536" s="458"/>
      <c r="J536" s="465"/>
      <c r="K536" s="587"/>
      <c r="L536" s="465"/>
      <c r="M536" s="465"/>
      <c r="N536" s="465"/>
      <c r="O536" s="587"/>
      <c r="P536" s="585"/>
      <c r="Q536" s="465"/>
      <c r="R536" s="458"/>
      <c r="S536" s="585"/>
      <c r="T536" s="588"/>
      <c r="U536" s="589"/>
      <c r="V536" s="587"/>
      <c r="W536" s="465"/>
      <c r="X536" s="465"/>
      <c r="Y536" s="590"/>
      <c r="Z536" s="458"/>
      <c r="AA536" s="591"/>
      <c r="AB536" s="465"/>
      <c r="AC536" s="465"/>
      <c r="AD536" s="465"/>
      <c r="AE536" s="465"/>
      <c r="AF536" s="465"/>
      <c r="AG536" s="465"/>
      <c r="AH536" s="465"/>
      <c r="AI536" s="592"/>
      <c r="AJ536" s="465"/>
      <c r="AK536" s="465"/>
      <c r="AL536" s="20"/>
      <c r="AM536" s="20"/>
      <c r="AN536" s="593"/>
      <c r="AO536" s="20"/>
      <c r="AP536" s="276"/>
      <c r="AQ536" s="276"/>
      <c r="AR536" s="276"/>
      <c r="AS536" s="276"/>
      <c r="AT536" s="276"/>
      <c r="AU536" s="276"/>
      <c r="AV536" s="276"/>
      <c r="AW536" s="276"/>
      <c r="AX536" s="276"/>
      <c r="AY536" s="276"/>
      <c r="AZ536" s="276"/>
      <c r="BA536" s="276"/>
      <c r="BB536" s="276"/>
      <c r="BC536" s="276"/>
    </row>
    <row r="537" spans="1:55" ht="12.75" customHeight="1">
      <c r="A537" s="465"/>
      <c r="B537" s="465"/>
      <c r="C537" s="147"/>
      <c r="D537" s="147"/>
      <c r="E537" s="585"/>
      <c r="F537" s="586"/>
      <c r="G537" s="458"/>
      <c r="H537" s="458"/>
      <c r="I537" s="458"/>
      <c r="J537" s="465"/>
      <c r="K537" s="587"/>
      <c r="L537" s="465"/>
      <c r="M537" s="465"/>
      <c r="N537" s="465"/>
      <c r="O537" s="587"/>
      <c r="P537" s="585"/>
      <c r="Q537" s="465"/>
      <c r="R537" s="458"/>
      <c r="S537" s="585"/>
      <c r="T537" s="588"/>
      <c r="U537" s="589"/>
      <c r="V537" s="587"/>
      <c r="W537" s="465"/>
      <c r="X537" s="465"/>
      <c r="Y537" s="590"/>
      <c r="Z537" s="458"/>
      <c r="AA537" s="591"/>
      <c r="AB537" s="465"/>
      <c r="AC537" s="465"/>
      <c r="AD537" s="465"/>
      <c r="AE537" s="465"/>
      <c r="AF537" s="465"/>
      <c r="AG537" s="465"/>
      <c r="AH537" s="465"/>
      <c r="AI537" s="592"/>
      <c r="AJ537" s="465"/>
      <c r="AK537" s="465"/>
      <c r="AL537" s="20"/>
      <c r="AM537" s="20"/>
      <c r="AN537" s="593"/>
      <c r="AO537" s="20"/>
      <c r="AP537" s="276"/>
      <c r="AQ537" s="276"/>
      <c r="AR537" s="276"/>
      <c r="AS537" s="276"/>
      <c r="AT537" s="276"/>
      <c r="AU537" s="276"/>
      <c r="AV537" s="276"/>
      <c r="AW537" s="276"/>
      <c r="AX537" s="276"/>
      <c r="AY537" s="276"/>
      <c r="AZ537" s="276"/>
      <c r="BA537" s="276"/>
      <c r="BB537" s="276"/>
      <c r="BC537" s="276"/>
    </row>
    <row r="538" spans="1:55" ht="12.75" customHeight="1">
      <c r="A538" s="465"/>
      <c r="B538" s="465"/>
      <c r="C538" s="147"/>
      <c r="D538" s="147"/>
      <c r="E538" s="585"/>
      <c r="F538" s="586"/>
      <c r="G538" s="458"/>
      <c r="H538" s="458"/>
      <c r="I538" s="458"/>
      <c r="J538" s="465"/>
      <c r="K538" s="587"/>
      <c r="L538" s="465"/>
      <c r="M538" s="465"/>
      <c r="N538" s="465"/>
      <c r="O538" s="587"/>
      <c r="P538" s="585"/>
      <c r="Q538" s="465"/>
      <c r="R538" s="458"/>
      <c r="S538" s="585"/>
      <c r="T538" s="588"/>
      <c r="U538" s="589"/>
      <c r="V538" s="587"/>
      <c r="W538" s="465"/>
      <c r="X538" s="465"/>
      <c r="Y538" s="590"/>
      <c r="Z538" s="458"/>
      <c r="AA538" s="591"/>
      <c r="AB538" s="465"/>
      <c r="AC538" s="465"/>
      <c r="AD538" s="465"/>
      <c r="AE538" s="465"/>
      <c r="AF538" s="465"/>
      <c r="AG538" s="465"/>
      <c r="AH538" s="465"/>
      <c r="AI538" s="592"/>
      <c r="AJ538" s="465"/>
      <c r="AK538" s="465"/>
      <c r="AL538" s="20"/>
      <c r="AM538" s="20"/>
      <c r="AN538" s="593"/>
      <c r="AO538" s="20"/>
      <c r="AP538" s="276"/>
      <c r="AQ538" s="276"/>
      <c r="AR538" s="276"/>
      <c r="AS538" s="276"/>
      <c r="AT538" s="276"/>
      <c r="AU538" s="276"/>
      <c r="AV538" s="276"/>
      <c r="AW538" s="276"/>
      <c r="AX538" s="276"/>
      <c r="AY538" s="276"/>
      <c r="AZ538" s="276"/>
      <c r="BA538" s="276"/>
      <c r="BB538" s="276"/>
      <c r="BC538" s="276"/>
    </row>
    <row r="539" spans="1:55" ht="12.75" customHeight="1">
      <c r="A539" s="465"/>
      <c r="B539" s="465"/>
      <c r="C539" s="147"/>
      <c r="D539" s="147"/>
      <c r="E539" s="585"/>
      <c r="F539" s="586"/>
      <c r="G539" s="458"/>
      <c r="H539" s="458"/>
      <c r="I539" s="458"/>
      <c r="J539" s="465"/>
      <c r="K539" s="587"/>
      <c r="L539" s="465"/>
      <c r="M539" s="465"/>
      <c r="N539" s="465"/>
      <c r="O539" s="587"/>
      <c r="P539" s="585"/>
      <c r="Q539" s="465"/>
      <c r="R539" s="458"/>
      <c r="S539" s="585"/>
      <c r="T539" s="588"/>
      <c r="U539" s="589"/>
      <c r="V539" s="587"/>
      <c r="W539" s="465"/>
      <c r="X539" s="465"/>
      <c r="Y539" s="590"/>
      <c r="Z539" s="458"/>
      <c r="AA539" s="591"/>
      <c r="AB539" s="465"/>
      <c r="AC539" s="465"/>
      <c r="AD539" s="465"/>
      <c r="AE539" s="465"/>
      <c r="AF539" s="465"/>
      <c r="AG539" s="465"/>
      <c r="AH539" s="465"/>
      <c r="AI539" s="592"/>
      <c r="AJ539" s="465"/>
      <c r="AK539" s="465"/>
      <c r="AL539" s="20"/>
      <c r="AM539" s="20"/>
      <c r="AN539" s="593"/>
      <c r="AO539" s="20"/>
      <c r="AP539" s="276"/>
      <c r="AQ539" s="276"/>
      <c r="AR539" s="276"/>
      <c r="AS539" s="276"/>
      <c r="AT539" s="276"/>
      <c r="AU539" s="276"/>
      <c r="AV539" s="276"/>
      <c r="AW539" s="276"/>
      <c r="AX539" s="276"/>
      <c r="AY539" s="276"/>
      <c r="AZ539" s="276"/>
      <c r="BA539" s="276"/>
      <c r="BB539" s="276"/>
      <c r="BC539" s="276"/>
    </row>
    <row r="540" spans="1:55" ht="12.75" customHeight="1">
      <c r="A540" s="465"/>
      <c r="B540" s="465"/>
      <c r="C540" s="147"/>
      <c r="D540" s="147"/>
      <c r="E540" s="585"/>
      <c r="F540" s="586"/>
      <c r="G540" s="458"/>
      <c r="H540" s="458"/>
      <c r="I540" s="458"/>
      <c r="J540" s="465"/>
      <c r="K540" s="587"/>
      <c r="L540" s="465"/>
      <c r="M540" s="465"/>
      <c r="N540" s="465"/>
      <c r="O540" s="587"/>
      <c r="P540" s="585"/>
      <c r="Q540" s="465"/>
      <c r="R540" s="458"/>
      <c r="S540" s="585"/>
      <c r="T540" s="588"/>
      <c r="U540" s="589"/>
      <c r="V540" s="587"/>
      <c r="W540" s="465"/>
      <c r="X540" s="465"/>
      <c r="Y540" s="590"/>
      <c r="Z540" s="458"/>
      <c r="AA540" s="591"/>
      <c r="AB540" s="465"/>
      <c r="AC540" s="465"/>
      <c r="AD540" s="465"/>
      <c r="AE540" s="465"/>
      <c r="AF540" s="465"/>
      <c r="AG540" s="465"/>
      <c r="AH540" s="465"/>
      <c r="AI540" s="592"/>
      <c r="AJ540" s="465"/>
      <c r="AK540" s="465"/>
      <c r="AL540" s="20"/>
      <c r="AM540" s="20"/>
      <c r="AN540" s="593"/>
      <c r="AO540" s="20"/>
      <c r="AP540" s="276"/>
      <c r="AQ540" s="276"/>
      <c r="AR540" s="276"/>
      <c r="AS540" s="276"/>
      <c r="AT540" s="276"/>
      <c r="AU540" s="276"/>
      <c r="AV540" s="276"/>
      <c r="AW540" s="276"/>
      <c r="AX540" s="276"/>
      <c r="AY540" s="276"/>
      <c r="AZ540" s="276"/>
      <c r="BA540" s="276"/>
      <c r="BB540" s="276"/>
      <c r="BC540" s="276"/>
    </row>
    <row r="541" spans="1:55" ht="12.75" customHeight="1">
      <c r="A541" s="465"/>
      <c r="B541" s="465"/>
      <c r="C541" s="147"/>
      <c r="D541" s="147"/>
      <c r="E541" s="585"/>
      <c r="F541" s="586"/>
      <c r="G541" s="458"/>
      <c r="H541" s="458"/>
      <c r="I541" s="458"/>
      <c r="J541" s="465"/>
      <c r="K541" s="587"/>
      <c r="L541" s="465"/>
      <c r="M541" s="465"/>
      <c r="N541" s="465"/>
      <c r="O541" s="587"/>
      <c r="P541" s="585"/>
      <c r="Q541" s="465"/>
      <c r="R541" s="458"/>
      <c r="S541" s="585"/>
      <c r="T541" s="588"/>
      <c r="U541" s="589"/>
      <c r="V541" s="587"/>
      <c r="W541" s="465"/>
      <c r="X541" s="465"/>
      <c r="Y541" s="590"/>
      <c r="Z541" s="458"/>
      <c r="AA541" s="591"/>
      <c r="AB541" s="465"/>
      <c r="AC541" s="465"/>
      <c r="AD541" s="465"/>
      <c r="AE541" s="465"/>
      <c r="AF541" s="465"/>
      <c r="AG541" s="465"/>
      <c r="AH541" s="465"/>
      <c r="AI541" s="592"/>
      <c r="AJ541" s="465"/>
      <c r="AK541" s="465"/>
      <c r="AL541" s="20"/>
      <c r="AM541" s="20"/>
      <c r="AN541" s="593"/>
      <c r="AO541" s="20"/>
      <c r="AP541" s="276"/>
      <c r="AQ541" s="276"/>
      <c r="AR541" s="276"/>
      <c r="AS541" s="276"/>
      <c r="AT541" s="276"/>
      <c r="AU541" s="276"/>
      <c r="AV541" s="276"/>
      <c r="AW541" s="276"/>
      <c r="AX541" s="276"/>
      <c r="AY541" s="276"/>
      <c r="AZ541" s="276"/>
      <c r="BA541" s="276"/>
      <c r="BB541" s="276"/>
      <c r="BC541" s="276"/>
    </row>
    <row r="542" spans="1:55" ht="12.75" customHeight="1">
      <c r="A542" s="465"/>
      <c r="B542" s="465"/>
      <c r="C542" s="147"/>
      <c r="D542" s="147"/>
      <c r="E542" s="585"/>
      <c r="F542" s="586"/>
      <c r="G542" s="458"/>
      <c r="H542" s="458"/>
      <c r="I542" s="458"/>
      <c r="J542" s="465"/>
      <c r="K542" s="587"/>
      <c r="L542" s="465"/>
      <c r="M542" s="465"/>
      <c r="N542" s="465"/>
      <c r="O542" s="587"/>
      <c r="P542" s="585"/>
      <c r="Q542" s="465"/>
      <c r="R542" s="458"/>
      <c r="S542" s="585"/>
      <c r="T542" s="588"/>
      <c r="U542" s="589"/>
      <c r="V542" s="587"/>
      <c r="W542" s="465"/>
      <c r="X542" s="465"/>
      <c r="Y542" s="590"/>
      <c r="Z542" s="458"/>
      <c r="AA542" s="591"/>
      <c r="AB542" s="465"/>
      <c r="AC542" s="465"/>
      <c r="AD542" s="465"/>
      <c r="AE542" s="465"/>
      <c r="AF542" s="465"/>
      <c r="AG542" s="465"/>
      <c r="AH542" s="465"/>
      <c r="AI542" s="592"/>
      <c r="AJ542" s="465"/>
      <c r="AK542" s="465"/>
      <c r="AL542" s="20"/>
      <c r="AM542" s="20"/>
      <c r="AN542" s="593"/>
      <c r="AO542" s="20"/>
      <c r="AP542" s="276"/>
      <c r="AQ542" s="276"/>
      <c r="AR542" s="276"/>
      <c r="AS542" s="276"/>
      <c r="AT542" s="276"/>
      <c r="AU542" s="276"/>
      <c r="AV542" s="276"/>
      <c r="AW542" s="276"/>
      <c r="AX542" s="276"/>
      <c r="AY542" s="276"/>
      <c r="AZ542" s="276"/>
      <c r="BA542" s="276"/>
      <c r="BB542" s="276"/>
      <c r="BC542" s="276"/>
    </row>
    <row r="543" spans="1:55" ht="12.75" customHeight="1">
      <c r="A543" s="465"/>
      <c r="B543" s="465"/>
      <c r="C543" s="147"/>
      <c r="D543" s="147"/>
      <c r="E543" s="585"/>
      <c r="F543" s="586"/>
      <c r="G543" s="458"/>
      <c r="H543" s="458"/>
      <c r="I543" s="458"/>
      <c r="J543" s="465"/>
      <c r="K543" s="587"/>
      <c r="L543" s="465"/>
      <c r="M543" s="465"/>
      <c r="N543" s="465"/>
      <c r="O543" s="587"/>
      <c r="P543" s="585"/>
      <c r="Q543" s="465"/>
      <c r="R543" s="458"/>
      <c r="S543" s="585"/>
      <c r="T543" s="588"/>
      <c r="U543" s="589"/>
      <c r="V543" s="587"/>
      <c r="W543" s="465"/>
      <c r="X543" s="465"/>
      <c r="Y543" s="590"/>
      <c r="Z543" s="458"/>
      <c r="AA543" s="591"/>
      <c r="AB543" s="465"/>
      <c r="AC543" s="465"/>
      <c r="AD543" s="465"/>
      <c r="AE543" s="465"/>
      <c r="AF543" s="465"/>
      <c r="AG543" s="465"/>
      <c r="AH543" s="465"/>
      <c r="AI543" s="592"/>
      <c r="AJ543" s="465"/>
      <c r="AK543" s="465"/>
      <c r="AL543" s="20"/>
      <c r="AM543" s="20"/>
      <c r="AN543" s="593"/>
      <c r="AO543" s="20"/>
      <c r="AP543" s="276"/>
      <c r="AQ543" s="276"/>
      <c r="AR543" s="276"/>
      <c r="AS543" s="276"/>
      <c r="AT543" s="276"/>
      <c r="AU543" s="276"/>
      <c r="AV543" s="276"/>
      <c r="AW543" s="276"/>
      <c r="AX543" s="276"/>
      <c r="AY543" s="276"/>
      <c r="AZ543" s="276"/>
      <c r="BA543" s="276"/>
      <c r="BB543" s="276"/>
      <c r="BC543" s="276"/>
    </row>
    <row r="544" spans="1:55" ht="12.75" customHeight="1">
      <c r="A544" s="465"/>
      <c r="B544" s="465"/>
      <c r="C544" s="147"/>
      <c r="D544" s="147"/>
      <c r="E544" s="585"/>
      <c r="F544" s="586"/>
      <c r="G544" s="458"/>
      <c r="H544" s="458"/>
      <c r="I544" s="458"/>
      <c r="J544" s="465"/>
      <c r="K544" s="587"/>
      <c r="L544" s="465"/>
      <c r="M544" s="465"/>
      <c r="N544" s="465"/>
      <c r="O544" s="587"/>
      <c r="P544" s="585"/>
      <c r="Q544" s="465"/>
      <c r="R544" s="458"/>
      <c r="S544" s="585"/>
      <c r="T544" s="588"/>
      <c r="U544" s="589"/>
      <c r="V544" s="587"/>
      <c r="W544" s="465"/>
      <c r="X544" s="465"/>
      <c r="Y544" s="590"/>
      <c r="Z544" s="458"/>
      <c r="AA544" s="591"/>
      <c r="AB544" s="465"/>
      <c r="AC544" s="465"/>
      <c r="AD544" s="465"/>
      <c r="AE544" s="465"/>
      <c r="AF544" s="465"/>
      <c r="AG544" s="465"/>
      <c r="AH544" s="465"/>
      <c r="AI544" s="592"/>
      <c r="AJ544" s="465"/>
      <c r="AK544" s="465"/>
      <c r="AL544" s="20"/>
      <c r="AM544" s="20"/>
      <c r="AN544" s="593"/>
      <c r="AO544" s="20"/>
      <c r="AP544" s="276"/>
      <c r="AQ544" s="276"/>
      <c r="AR544" s="276"/>
      <c r="AS544" s="276"/>
      <c r="AT544" s="276"/>
      <c r="AU544" s="276"/>
      <c r="AV544" s="276"/>
      <c r="AW544" s="276"/>
      <c r="AX544" s="276"/>
      <c r="AY544" s="276"/>
      <c r="AZ544" s="276"/>
      <c r="BA544" s="276"/>
      <c r="BB544" s="276"/>
      <c r="BC544" s="276"/>
    </row>
    <row r="545" spans="1:55" ht="12.75" customHeight="1">
      <c r="A545" s="465"/>
      <c r="B545" s="465"/>
      <c r="C545" s="147"/>
      <c r="D545" s="147"/>
      <c r="E545" s="585"/>
      <c r="F545" s="586"/>
      <c r="G545" s="458"/>
      <c r="H545" s="458"/>
      <c r="I545" s="458"/>
      <c r="J545" s="465"/>
      <c r="K545" s="587"/>
      <c r="L545" s="465"/>
      <c r="M545" s="465"/>
      <c r="N545" s="465"/>
      <c r="O545" s="587"/>
      <c r="P545" s="585"/>
      <c r="Q545" s="465"/>
      <c r="R545" s="458"/>
      <c r="S545" s="585"/>
      <c r="T545" s="588"/>
      <c r="U545" s="589"/>
      <c r="V545" s="587"/>
      <c r="W545" s="465"/>
      <c r="X545" s="465"/>
      <c r="Y545" s="590"/>
      <c r="Z545" s="458"/>
      <c r="AA545" s="591"/>
      <c r="AB545" s="465"/>
      <c r="AC545" s="465"/>
      <c r="AD545" s="465"/>
      <c r="AE545" s="465"/>
      <c r="AF545" s="465"/>
      <c r="AG545" s="465"/>
      <c r="AH545" s="465"/>
      <c r="AI545" s="592"/>
      <c r="AJ545" s="465"/>
      <c r="AK545" s="465"/>
      <c r="AL545" s="20"/>
      <c r="AM545" s="20"/>
      <c r="AN545" s="593"/>
      <c r="AO545" s="20"/>
      <c r="AP545" s="276"/>
      <c r="AQ545" s="276"/>
      <c r="AR545" s="276"/>
      <c r="AS545" s="276"/>
      <c r="AT545" s="276"/>
      <c r="AU545" s="276"/>
      <c r="AV545" s="276"/>
      <c r="AW545" s="276"/>
      <c r="AX545" s="276"/>
      <c r="AY545" s="276"/>
      <c r="AZ545" s="276"/>
      <c r="BA545" s="276"/>
      <c r="BB545" s="276"/>
      <c r="BC545" s="276"/>
    </row>
    <row r="546" spans="1:55" ht="12.75" customHeight="1">
      <c r="A546" s="465"/>
      <c r="B546" s="465"/>
      <c r="C546" s="147"/>
      <c r="D546" s="147"/>
      <c r="E546" s="585"/>
      <c r="F546" s="586"/>
      <c r="G546" s="458"/>
      <c r="H546" s="458"/>
      <c r="I546" s="458"/>
      <c r="J546" s="465"/>
      <c r="K546" s="587"/>
      <c r="L546" s="465"/>
      <c r="M546" s="465"/>
      <c r="N546" s="465"/>
      <c r="O546" s="587"/>
      <c r="P546" s="585"/>
      <c r="Q546" s="465"/>
      <c r="R546" s="458"/>
      <c r="S546" s="585"/>
      <c r="T546" s="588"/>
      <c r="U546" s="589"/>
      <c r="V546" s="587"/>
      <c r="W546" s="465"/>
      <c r="X546" s="465"/>
      <c r="Y546" s="590"/>
      <c r="Z546" s="458"/>
      <c r="AA546" s="591"/>
      <c r="AB546" s="465"/>
      <c r="AC546" s="465"/>
      <c r="AD546" s="465"/>
      <c r="AE546" s="465"/>
      <c r="AF546" s="465"/>
      <c r="AG546" s="465"/>
      <c r="AH546" s="465"/>
      <c r="AI546" s="592"/>
      <c r="AJ546" s="465"/>
      <c r="AK546" s="465"/>
      <c r="AL546" s="20"/>
      <c r="AM546" s="20"/>
      <c r="AN546" s="593"/>
      <c r="AO546" s="20"/>
      <c r="AP546" s="276"/>
      <c r="AQ546" s="276"/>
      <c r="AR546" s="276"/>
      <c r="AS546" s="276"/>
      <c r="AT546" s="276"/>
      <c r="AU546" s="276"/>
      <c r="AV546" s="276"/>
      <c r="AW546" s="276"/>
      <c r="AX546" s="276"/>
      <c r="AY546" s="276"/>
      <c r="AZ546" s="276"/>
      <c r="BA546" s="276"/>
      <c r="BB546" s="276"/>
      <c r="BC546" s="276"/>
    </row>
    <row r="547" spans="1:55" ht="12.75" customHeight="1">
      <c r="A547" s="465"/>
      <c r="B547" s="465"/>
      <c r="C547" s="147"/>
      <c r="D547" s="147"/>
      <c r="E547" s="585"/>
      <c r="F547" s="586"/>
      <c r="G547" s="458"/>
      <c r="H547" s="458"/>
      <c r="I547" s="458"/>
      <c r="J547" s="465"/>
      <c r="K547" s="587"/>
      <c r="L547" s="465"/>
      <c r="M547" s="465"/>
      <c r="N547" s="465"/>
      <c r="O547" s="587"/>
      <c r="P547" s="585"/>
      <c r="Q547" s="465"/>
      <c r="R547" s="458"/>
      <c r="S547" s="585"/>
      <c r="T547" s="588"/>
      <c r="U547" s="589"/>
      <c r="V547" s="587"/>
      <c r="W547" s="465"/>
      <c r="X547" s="465"/>
      <c r="Y547" s="590"/>
      <c r="Z547" s="458"/>
      <c r="AA547" s="591"/>
      <c r="AB547" s="465"/>
      <c r="AC547" s="465"/>
      <c r="AD547" s="465"/>
      <c r="AE547" s="465"/>
      <c r="AF547" s="465"/>
      <c r="AG547" s="465"/>
      <c r="AH547" s="465"/>
      <c r="AI547" s="592"/>
      <c r="AJ547" s="465"/>
      <c r="AK547" s="465"/>
      <c r="AL547" s="20"/>
      <c r="AM547" s="20"/>
      <c r="AN547" s="593"/>
      <c r="AO547" s="20"/>
      <c r="AP547" s="276"/>
      <c r="AQ547" s="276"/>
      <c r="AR547" s="276"/>
      <c r="AS547" s="276"/>
      <c r="AT547" s="276"/>
      <c r="AU547" s="276"/>
      <c r="AV547" s="276"/>
      <c r="AW547" s="276"/>
      <c r="AX547" s="276"/>
      <c r="AY547" s="276"/>
      <c r="AZ547" s="276"/>
      <c r="BA547" s="276"/>
      <c r="BB547" s="276"/>
      <c r="BC547" s="276"/>
    </row>
    <row r="548" spans="1:55" ht="12.75" customHeight="1">
      <c r="A548" s="465"/>
      <c r="B548" s="465"/>
      <c r="C548" s="147"/>
      <c r="D548" s="147"/>
      <c r="E548" s="585"/>
      <c r="F548" s="586"/>
      <c r="G548" s="458"/>
      <c r="H548" s="458"/>
      <c r="I548" s="458"/>
      <c r="J548" s="465"/>
      <c r="K548" s="587"/>
      <c r="L548" s="465"/>
      <c r="M548" s="465"/>
      <c r="N548" s="465"/>
      <c r="O548" s="587"/>
      <c r="P548" s="585"/>
      <c r="Q548" s="465"/>
      <c r="R548" s="458"/>
      <c r="S548" s="585"/>
      <c r="T548" s="588"/>
      <c r="U548" s="589"/>
      <c r="V548" s="587"/>
      <c r="W548" s="465"/>
      <c r="X548" s="465"/>
      <c r="Y548" s="590"/>
      <c r="Z548" s="458"/>
      <c r="AA548" s="591"/>
      <c r="AB548" s="465"/>
      <c r="AC548" s="465"/>
      <c r="AD548" s="465"/>
      <c r="AE548" s="465"/>
      <c r="AF548" s="465"/>
      <c r="AG548" s="465"/>
      <c r="AH548" s="465"/>
      <c r="AI548" s="592"/>
      <c r="AJ548" s="465"/>
      <c r="AK548" s="465"/>
      <c r="AL548" s="20"/>
      <c r="AM548" s="20"/>
      <c r="AN548" s="593"/>
      <c r="AO548" s="20"/>
      <c r="AP548" s="276"/>
      <c r="AQ548" s="276"/>
      <c r="AR548" s="276"/>
      <c r="AS548" s="276"/>
      <c r="AT548" s="276"/>
      <c r="AU548" s="276"/>
      <c r="AV548" s="276"/>
      <c r="AW548" s="276"/>
      <c r="AX548" s="276"/>
      <c r="AY548" s="276"/>
      <c r="AZ548" s="276"/>
      <c r="BA548" s="276"/>
      <c r="BB548" s="276"/>
      <c r="BC548" s="276"/>
    </row>
    <row r="549" spans="1:55" ht="12.75" customHeight="1">
      <c r="A549" s="465"/>
      <c r="B549" s="465"/>
      <c r="C549" s="147"/>
      <c r="D549" s="147"/>
      <c r="E549" s="585"/>
      <c r="F549" s="586"/>
      <c r="G549" s="458"/>
      <c r="H549" s="458"/>
      <c r="I549" s="458"/>
      <c r="J549" s="465"/>
      <c r="K549" s="587"/>
      <c r="L549" s="465"/>
      <c r="M549" s="465"/>
      <c r="N549" s="465"/>
      <c r="O549" s="587"/>
      <c r="P549" s="585"/>
      <c r="Q549" s="465"/>
      <c r="R549" s="458"/>
      <c r="S549" s="585"/>
      <c r="T549" s="588"/>
      <c r="U549" s="589"/>
      <c r="V549" s="587"/>
      <c r="W549" s="465"/>
      <c r="X549" s="465"/>
      <c r="Y549" s="590"/>
      <c r="Z549" s="458"/>
      <c r="AA549" s="591"/>
      <c r="AB549" s="465"/>
      <c r="AC549" s="465"/>
      <c r="AD549" s="465"/>
      <c r="AE549" s="465"/>
      <c r="AF549" s="465"/>
      <c r="AG549" s="465"/>
      <c r="AH549" s="465"/>
      <c r="AI549" s="592"/>
      <c r="AJ549" s="465"/>
      <c r="AK549" s="465"/>
      <c r="AL549" s="20"/>
      <c r="AM549" s="20"/>
      <c r="AN549" s="593"/>
      <c r="AO549" s="20"/>
      <c r="AP549" s="276"/>
      <c r="AQ549" s="276"/>
      <c r="AR549" s="276"/>
      <c r="AS549" s="276"/>
      <c r="AT549" s="276"/>
      <c r="AU549" s="276"/>
      <c r="AV549" s="276"/>
      <c r="AW549" s="276"/>
      <c r="AX549" s="276"/>
      <c r="AY549" s="276"/>
      <c r="AZ549" s="276"/>
      <c r="BA549" s="276"/>
      <c r="BB549" s="276"/>
      <c r="BC549" s="276"/>
    </row>
    <row r="550" spans="1:55" ht="12.75" customHeight="1">
      <c r="A550" s="465"/>
      <c r="B550" s="465"/>
      <c r="C550" s="147"/>
      <c r="D550" s="147"/>
      <c r="E550" s="585"/>
      <c r="F550" s="586"/>
      <c r="G550" s="458"/>
      <c r="H550" s="458"/>
      <c r="I550" s="458"/>
      <c r="J550" s="465"/>
      <c r="K550" s="587"/>
      <c r="L550" s="465"/>
      <c r="M550" s="465"/>
      <c r="N550" s="465"/>
      <c r="O550" s="587"/>
      <c r="P550" s="585"/>
      <c r="Q550" s="465"/>
      <c r="R550" s="458"/>
      <c r="S550" s="585"/>
      <c r="T550" s="588"/>
      <c r="U550" s="589"/>
      <c r="V550" s="587"/>
      <c r="W550" s="465"/>
      <c r="X550" s="465"/>
      <c r="Y550" s="590"/>
      <c r="Z550" s="458"/>
      <c r="AA550" s="591"/>
      <c r="AB550" s="465"/>
      <c r="AC550" s="465"/>
      <c r="AD550" s="465"/>
      <c r="AE550" s="465"/>
      <c r="AF550" s="465"/>
      <c r="AG550" s="465"/>
      <c r="AH550" s="465"/>
      <c r="AI550" s="592"/>
      <c r="AJ550" s="465"/>
      <c r="AK550" s="465"/>
      <c r="AL550" s="20"/>
      <c r="AM550" s="20"/>
      <c r="AN550" s="593"/>
      <c r="AO550" s="20"/>
      <c r="AP550" s="276"/>
      <c r="AQ550" s="276"/>
      <c r="AR550" s="276"/>
      <c r="AS550" s="276"/>
      <c r="AT550" s="276"/>
      <c r="AU550" s="276"/>
      <c r="AV550" s="276"/>
      <c r="AW550" s="276"/>
      <c r="AX550" s="276"/>
      <c r="AY550" s="276"/>
      <c r="AZ550" s="276"/>
      <c r="BA550" s="276"/>
      <c r="BB550" s="276"/>
      <c r="BC550" s="276"/>
    </row>
    <row r="551" spans="1:55" ht="12.75" customHeight="1">
      <c r="A551" s="465"/>
      <c r="B551" s="465"/>
      <c r="C551" s="147"/>
      <c r="D551" s="147"/>
      <c r="E551" s="585"/>
      <c r="F551" s="586"/>
      <c r="G551" s="458"/>
      <c r="H551" s="458"/>
      <c r="I551" s="458"/>
      <c r="J551" s="465"/>
      <c r="K551" s="587"/>
      <c r="L551" s="465"/>
      <c r="M551" s="465"/>
      <c r="N551" s="465"/>
      <c r="O551" s="587"/>
      <c r="P551" s="585"/>
      <c r="Q551" s="465"/>
      <c r="R551" s="458"/>
      <c r="S551" s="585"/>
      <c r="T551" s="588"/>
      <c r="U551" s="589"/>
      <c r="V551" s="587"/>
      <c r="W551" s="465"/>
      <c r="X551" s="465"/>
      <c r="Y551" s="590"/>
      <c r="Z551" s="458"/>
      <c r="AA551" s="591"/>
      <c r="AB551" s="465"/>
      <c r="AC551" s="465"/>
      <c r="AD551" s="465"/>
      <c r="AE551" s="465"/>
      <c r="AF551" s="465"/>
      <c r="AG551" s="465"/>
      <c r="AH551" s="465"/>
      <c r="AI551" s="592"/>
      <c r="AJ551" s="465"/>
      <c r="AK551" s="465"/>
      <c r="AL551" s="20"/>
      <c r="AM551" s="20"/>
      <c r="AN551" s="593"/>
      <c r="AO551" s="20"/>
      <c r="AP551" s="276"/>
      <c r="AQ551" s="276"/>
      <c r="AR551" s="276"/>
      <c r="AS551" s="276"/>
      <c r="AT551" s="276"/>
      <c r="AU551" s="276"/>
      <c r="AV551" s="276"/>
      <c r="AW551" s="276"/>
      <c r="AX551" s="276"/>
      <c r="AY551" s="276"/>
      <c r="AZ551" s="276"/>
      <c r="BA551" s="276"/>
      <c r="BB551" s="276"/>
      <c r="BC551" s="276"/>
    </row>
    <row r="552" spans="1:55" ht="12.75" customHeight="1">
      <c r="A552" s="465"/>
      <c r="B552" s="465"/>
      <c r="C552" s="147"/>
      <c r="D552" s="147"/>
      <c r="E552" s="585"/>
      <c r="F552" s="586"/>
      <c r="G552" s="458"/>
      <c r="H552" s="458"/>
      <c r="I552" s="458"/>
      <c r="J552" s="465"/>
      <c r="K552" s="587"/>
      <c r="L552" s="465"/>
      <c r="M552" s="465"/>
      <c r="N552" s="465"/>
      <c r="O552" s="587"/>
      <c r="P552" s="585"/>
      <c r="Q552" s="465"/>
      <c r="R552" s="458"/>
      <c r="S552" s="585"/>
      <c r="T552" s="588"/>
      <c r="U552" s="589"/>
      <c r="V552" s="587"/>
      <c r="W552" s="465"/>
      <c r="X552" s="465"/>
      <c r="Y552" s="590"/>
      <c r="Z552" s="458"/>
      <c r="AA552" s="591"/>
      <c r="AB552" s="465"/>
      <c r="AC552" s="465"/>
      <c r="AD552" s="465"/>
      <c r="AE552" s="465"/>
      <c r="AF552" s="465"/>
      <c r="AG552" s="465"/>
      <c r="AH552" s="465"/>
      <c r="AI552" s="592"/>
      <c r="AJ552" s="465"/>
      <c r="AK552" s="465"/>
      <c r="AL552" s="20"/>
      <c r="AM552" s="20"/>
      <c r="AN552" s="593"/>
      <c r="AO552" s="20"/>
      <c r="AP552" s="276"/>
      <c r="AQ552" s="276"/>
      <c r="AR552" s="276"/>
      <c r="AS552" s="276"/>
      <c r="AT552" s="276"/>
      <c r="AU552" s="276"/>
      <c r="AV552" s="276"/>
      <c r="AW552" s="276"/>
      <c r="AX552" s="276"/>
      <c r="AY552" s="276"/>
      <c r="AZ552" s="276"/>
      <c r="BA552" s="276"/>
      <c r="BB552" s="276"/>
      <c r="BC552" s="276"/>
    </row>
    <row r="553" spans="1:55" ht="12.75" customHeight="1">
      <c r="A553" s="465"/>
      <c r="B553" s="465"/>
      <c r="C553" s="147"/>
      <c r="D553" s="147"/>
      <c r="E553" s="585"/>
      <c r="F553" s="586"/>
      <c r="G553" s="458"/>
      <c r="H553" s="458"/>
      <c r="I553" s="458"/>
      <c r="J553" s="465"/>
      <c r="K553" s="587"/>
      <c r="L553" s="465"/>
      <c r="M553" s="465"/>
      <c r="N553" s="465"/>
      <c r="O553" s="587"/>
      <c r="P553" s="585"/>
      <c r="Q553" s="465"/>
      <c r="R553" s="458"/>
      <c r="S553" s="585"/>
      <c r="T553" s="588"/>
      <c r="U553" s="589"/>
      <c r="V553" s="587"/>
      <c r="W553" s="465"/>
      <c r="X553" s="465"/>
      <c r="Y553" s="590"/>
      <c r="Z553" s="458"/>
      <c r="AA553" s="591"/>
      <c r="AB553" s="465"/>
      <c r="AC553" s="465"/>
      <c r="AD553" s="465"/>
      <c r="AE553" s="465"/>
      <c r="AF553" s="465"/>
      <c r="AG553" s="465"/>
      <c r="AH553" s="465"/>
      <c r="AI553" s="592"/>
      <c r="AJ553" s="465"/>
      <c r="AK553" s="465"/>
      <c r="AL553" s="20"/>
      <c r="AM553" s="20"/>
      <c r="AN553" s="593"/>
      <c r="AO553" s="20"/>
      <c r="AP553" s="276"/>
      <c r="AQ553" s="276"/>
      <c r="AR553" s="276"/>
      <c r="AS553" s="276"/>
      <c r="AT553" s="276"/>
      <c r="AU553" s="276"/>
      <c r="AV553" s="276"/>
      <c r="AW553" s="276"/>
      <c r="AX553" s="276"/>
      <c r="AY553" s="276"/>
      <c r="AZ553" s="276"/>
      <c r="BA553" s="276"/>
      <c r="BB553" s="276"/>
      <c r="BC553" s="276"/>
    </row>
    <row r="554" spans="1:55" ht="12.75" customHeight="1">
      <c r="A554" s="465"/>
      <c r="B554" s="465"/>
      <c r="C554" s="147"/>
      <c r="D554" s="147"/>
      <c r="E554" s="585"/>
      <c r="F554" s="586"/>
      <c r="G554" s="458"/>
      <c r="H554" s="458"/>
      <c r="I554" s="458"/>
      <c r="J554" s="465"/>
      <c r="K554" s="587"/>
      <c r="L554" s="465"/>
      <c r="M554" s="465"/>
      <c r="N554" s="465"/>
      <c r="O554" s="587"/>
      <c r="P554" s="585"/>
      <c r="Q554" s="465"/>
      <c r="R554" s="458"/>
      <c r="S554" s="585"/>
      <c r="T554" s="588"/>
      <c r="U554" s="589"/>
      <c r="V554" s="587"/>
      <c r="W554" s="465"/>
      <c r="X554" s="465"/>
      <c r="Y554" s="590"/>
      <c r="Z554" s="458"/>
      <c r="AA554" s="591"/>
      <c r="AB554" s="465"/>
      <c r="AC554" s="465"/>
      <c r="AD554" s="465"/>
      <c r="AE554" s="465"/>
      <c r="AF554" s="465"/>
      <c r="AG554" s="465"/>
      <c r="AH554" s="465"/>
      <c r="AI554" s="592"/>
      <c r="AJ554" s="465"/>
      <c r="AK554" s="465"/>
      <c r="AL554" s="20"/>
      <c r="AM554" s="20"/>
      <c r="AN554" s="593"/>
      <c r="AO554" s="20"/>
      <c r="AP554" s="276"/>
      <c r="AQ554" s="276"/>
      <c r="AR554" s="276"/>
      <c r="AS554" s="276"/>
      <c r="AT554" s="276"/>
      <c r="AU554" s="276"/>
      <c r="AV554" s="276"/>
      <c r="AW554" s="276"/>
      <c r="AX554" s="276"/>
      <c r="AY554" s="276"/>
      <c r="AZ554" s="276"/>
      <c r="BA554" s="276"/>
      <c r="BB554" s="276"/>
      <c r="BC554" s="276"/>
    </row>
    <row r="555" spans="1:55" ht="12.75" customHeight="1">
      <c r="A555" s="465"/>
      <c r="B555" s="465"/>
      <c r="C555" s="147"/>
      <c r="D555" s="147"/>
      <c r="E555" s="585"/>
      <c r="F555" s="586"/>
      <c r="G555" s="458"/>
      <c r="H555" s="458"/>
      <c r="I555" s="458"/>
      <c r="J555" s="465"/>
      <c r="K555" s="587"/>
      <c r="L555" s="465"/>
      <c r="M555" s="465"/>
      <c r="N555" s="465"/>
      <c r="O555" s="587"/>
      <c r="P555" s="585"/>
      <c r="Q555" s="465"/>
      <c r="R555" s="458"/>
      <c r="S555" s="585"/>
      <c r="T555" s="588"/>
      <c r="U555" s="589"/>
      <c r="V555" s="587"/>
      <c r="W555" s="465"/>
      <c r="X555" s="465"/>
      <c r="Y555" s="590"/>
      <c r="Z555" s="458"/>
      <c r="AA555" s="591"/>
      <c r="AB555" s="465"/>
      <c r="AC555" s="465"/>
      <c r="AD555" s="465"/>
      <c r="AE555" s="465"/>
      <c r="AF555" s="465"/>
      <c r="AG555" s="465"/>
      <c r="AH555" s="465"/>
      <c r="AI555" s="592"/>
      <c r="AJ555" s="465"/>
      <c r="AK555" s="465"/>
      <c r="AL555" s="20"/>
      <c r="AM555" s="20"/>
      <c r="AN555" s="593"/>
      <c r="AO555" s="20"/>
      <c r="AP555" s="276"/>
      <c r="AQ555" s="276"/>
      <c r="AR555" s="276"/>
      <c r="AS555" s="276"/>
      <c r="AT555" s="276"/>
      <c r="AU555" s="276"/>
      <c r="AV555" s="276"/>
      <c r="AW555" s="276"/>
      <c r="AX555" s="276"/>
      <c r="AY555" s="276"/>
      <c r="AZ555" s="276"/>
      <c r="BA555" s="276"/>
      <c r="BB555" s="276"/>
      <c r="BC555" s="276"/>
    </row>
    <row r="556" spans="1:55" ht="12.75" customHeight="1">
      <c r="A556" s="465"/>
      <c r="B556" s="465"/>
      <c r="C556" s="147"/>
      <c r="D556" s="147"/>
      <c r="E556" s="585"/>
      <c r="F556" s="586"/>
      <c r="G556" s="458"/>
      <c r="H556" s="458"/>
      <c r="I556" s="458"/>
      <c r="J556" s="465"/>
      <c r="K556" s="587"/>
      <c r="L556" s="465"/>
      <c r="M556" s="465"/>
      <c r="N556" s="465"/>
      <c r="O556" s="587"/>
      <c r="P556" s="585"/>
      <c r="Q556" s="465"/>
      <c r="R556" s="458"/>
      <c r="S556" s="585"/>
      <c r="T556" s="588"/>
      <c r="U556" s="589"/>
      <c r="V556" s="587"/>
      <c r="W556" s="465"/>
      <c r="X556" s="465"/>
      <c r="Y556" s="590"/>
      <c r="Z556" s="458"/>
      <c r="AA556" s="591"/>
      <c r="AB556" s="465"/>
      <c r="AC556" s="465"/>
      <c r="AD556" s="465"/>
      <c r="AE556" s="465"/>
      <c r="AF556" s="465"/>
      <c r="AG556" s="465"/>
      <c r="AH556" s="465"/>
      <c r="AI556" s="592"/>
      <c r="AJ556" s="465"/>
      <c r="AK556" s="465"/>
      <c r="AL556" s="20"/>
      <c r="AM556" s="20"/>
      <c r="AN556" s="593"/>
      <c r="AO556" s="20"/>
      <c r="AP556" s="276"/>
      <c r="AQ556" s="276"/>
      <c r="AR556" s="276"/>
      <c r="AS556" s="276"/>
      <c r="AT556" s="276"/>
      <c r="AU556" s="276"/>
      <c r="AV556" s="276"/>
      <c r="AW556" s="276"/>
      <c r="AX556" s="276"/>
      <c r="AY556" s="276"/>
      <c r="AZ556" s="276"/>
      <c r="BA556" s="276"/>
      <c r="BB556" s="276"/>
      <c r="BC556" s="276"/>
    </row>
    <row r="557" spans="1:55" ht="12.75" customHeight="1">
      <c r="A557" s="465"/>
      <c r="B557" s="465"/>
      <c r="C557" s="147"/>
      <c r="D557" s="147"/>
      <c r="E557" s="585"/>
      <c r="F557" s="586"/>
      <c r="G557" s="458"/>
      <c r="H557" s="458"/>
      <c r="I557" s="458"/>
      <c r="J557" s="465"/>
      <c r="K557" s="587"/>
      <c r="L557" s="465"/>
      <c r="M557" s="465"/>
      <c r="N557" s="465"/>
      <c r="O557" s="587"/>
      <c r="P557" s="585"/>
      <c r="Q557" s="465"/>
      <c r="R557" s="458"/>
      <c r="S557" s="585"/>
      <c r="T557" s="588"/>
      <c r="U557" s="589"/>
      <c r="V557" s="587"/>
      <c r="W557" s="465"/>
      <c r="X557" s="465"/>
      <c r="Y557" s="590"/>
      <c r="Z557" s="458"/>
      <c r="AA557" s="591"/>
      <c r="AB557" s="465"/>
      <c r="AC557" s="465"/>
      <c r="AD557" s="465"/>
      <c r="AE557" s="465"/>
      <c r="AF557" s="465"/>
      <c r="AG557" s="465"/>
      <c r="AH557" s="465"/>
      <c r="AI557" s="592"/>
      <c r="AJ557" s="465"/>
      <c r="AK557" s="465"/>
      <c r="AL557" s="20"/>
      <c r="AM557" s="20"/>
      <c r="AN557" s="593"/>
      <c r="AO557" s="20"/>
      <c r="AP557" s="276"/>
      <c r="AQ557" s="276"/>
      <c r="AR557" s="276"/>
      <c r="AS557" s="276"/>
      <c r="AT557" s="276"/>
      <c r="AU557" s="276"/>
      <c r="AV557" s="276"/>
      <c r="AW557" s="276"/>
      <c r="AX557" s="276"/>
      <c r="AY557" s="276"/>
      <c r="AZ557" s="276"/>
      <c r="BA557" s="276"/>
      <c r="BB557" s="276"/>
      <c r="BC557" s="276"/>
    </row>
    <row r="558" spans="1:55" ht="12.75" customHeight="1">
      <c r="A558" s="465"/>
      <c r="B558" s="465"/>
      <c r="C558" s="147"/>
      <c r="D558" s="147"/>
      <c r="E558" s="585"/>
      <c r="F558" s="586"/>
      <c r="G558" s="458"/>
      <c r="H558" s="458"/>
      <c r="I558" s="458"/>
      <c r="J558" s="465"/>
      <c r="K558" s="587"/>
      <c r="L558" s="465"/>
      <c r="M558" s="465"/>
      <c r="N558" s="465"/>
      <c r="O558" s="587"/>
      <c r="P558" s="585"/>
      <c r="Q558" s="465"/>
      <c r="R558" s="458"/>
      <c r="S558" s="585"/>
      <c r="T558" s="588"/>
      <c r="U558" s="589"/>
      <c r="V558" s="587"/>
      <c r="W558" s="465"/>
      <c r="X558" s="465"/>
      <c r="Y558" s="590"/>
      <c r="Z558" s="458"/>
      <c r="AA558" s="591"/>
      <c r="AB558" s="465"/>
      <c r="AC558" s="465"/>
      <c r="AD558" s="465"/>
      <c r="AE558" s="465"/>
      <c r="AF558" s="465"/>
      <c r="AG558" s="465"/>
      <c r="AH558" s="465"/>
      <c r="AI558" s="592"/>
      <c r="AJ558" s="465"/>
      <c r="AK558" s="465"/>
      <c r="AL558" s="20"/>
      <c r="AM558" s="20"/>
      <c r="AN558" s="593"/>
      <c r="AO558" s="20"/>
      <c r="AP558" s="276"/>
      <c r="AQ558" s="276"/>
      <c r="AR558" s="276"/>
      <c r="AS558" s="276"/>
      <c r="AT558" s="276"/>
      <c r="AU558" s="276"/>
      <c r="AV558" s="276"/>
      <c r="AW558" s="276"/>
      <c r="AX558" s="276"/>
      <c r="AY558" s="276"/>
      <c r="AZ558" s="276"/>
      <c r="BA558" s="276"/>
      <c r="BB558" s="276"/>
      <c r="BC558" s="276"/>
    </row>
    <row r="559" spans="1:55" ht="12.75" customHeight="1">
      <c r="A559" s="465"/>
      <c r="B559" s="465"/>
      <c r="C559" s="147"/>
      <c r="D559" s="147"/>
      <c r="E559" s="585"/>
      <c r="F559" s="586"/>
      <c r="G559" s="458"/>
      <c r="H559" s="458"/>
      <c r="I559" s="458"/>
      <c r="J559" s="465"/>
      <c r="K559" s="587"/>
      <c r="L559" s="465"/>
      <c r="M559" s="465"/>
      <c r="N559" s="465"/>
      <c r="O559" s="587"/>
      <c r="P559" s="585"/>
      <c r="Q559" s="465"/>
      <c r="R559" s="458"/>
      <c r="S559" s="585"/>
      <c r="T559" s="588"/>
      <c r="U559" s="589"/>
      <c r="V559" s="587"/>
      <c r="W559" s="465"/>
      <c r="X559" s="465"/>
      <c r="Y559" s="590"/>
      <c r="Z559" s="458"/>
      <c r="AA559" s="591"/>
      <c r="AB559" s="465"/>
      <c r="AC559" s="465"/>
      <c r="AD559" s="465"/>
      <c r="AE559" s="465"/>
      <c r="AF559" s="465"/>
      <c r="AG559" s="465"/>
      <c r="AH559" s="465"/>
      <c r="AI559" s="592"/>
      <c r="AJ559" s="465"/>
      <c r="AK559" s="465"/>
      <c r="AL559" s="20"/>
      <c r="AM559" s="20"/>
      <c r="AN559" s="593"/>
      <c r="AO559" s="20"/>
      <c r="AP559" s="276"/>
      <c r="AQ559" s="276"/>
      <c r="AR559" s="276"/>
      <c r="AS559" s="276"/>
      <c r="AT559" s="276"/>
      <c r="AU559" s="276"/>
      <c r="AV559" s="276"/>
      <c r="AW559" s="276"/>
      <c r="AX559" s="276"/>
      <c r="AY559" s="276"/>
      <c r="AZ559" s="276"/>
      <c r="BA559" s="276"/>
      <c r="BB559" s="276"/>
      <c r="BC559" s="276"/>
    </row>
    <row r="560" spans="1:55" ht="12.75" customHeight="1">
      <c r="A560" s="465"/>
      <c r="B560" s="465"/>
      <c r="C560" s="147"/>
      <c r="D560" s="147"/>
      <c r="E560" s="585"/>
      <c r="F560" s="586"/>
      <c r="G560" s="458"/>
      <c r="H560" s="458"/>
      <c r="I560" s="458"/>
      <c r="J560" s="465"/>
      <c r="K560" s="587"/>
      <c r="L560" s="465"/>
      <c r="M560" s="465"/>
      <c r="N560" s="465"/>
      <c r="O560" s="587"/>
      <c r="P560" s="585"/>
      <c r="Q560" s="465"/>
      <c r="R560" s="458"/>
      <c r="S560" s="585"/>
      <c r="T560" s="588"/>
      <c r="U560" s="589"/>
      <c r="V560" s="587"/>
      <c r="W560" s="465"/>
      <c r="X560" s="465"/>
      <c r="Y560" s="590"/>
      <c r="Z560" s="458"/>
      <c r="AA560" s="591"/>
      <c r="AB560" s="465"/>
      <c r="AC560" s="465"/>
      <c r="AD560" s="465"/>
      <c r="AE560" s="465"/>
      <c r="AF560" s="465"/>
      <c r="AG560" s="465"/>
      <c r="AH560" s="465"/>
      <c r="AI560" s="592"/>
      <c r="AJ560" s="465"/>
      <c r="AK560" s="465"/>
      <c r="AL560" s="20"/>
      <c r="AM560" s="20"/>
      <c r="AN560" s="593"/>
      <c r="AO560" s="20"/>
      <c r="AP560" s="276"/>
      <c r="AQ560" s="276"/>
      <c r="AR560" s="276"/>
      <c r="AS560" s="276"/>
      <c r="AT560" s="276"/>
      <c r="AU560" s="276"/>
      <c r="AV560" s="276"/>
      <c r="AW560" s="276"/>
      <c r="AX560" s="276"/>
      <c r="AY560" s="276"/>
      <c r="AZ560" s="276"/>
      <c r="BA560" s="276"/>
      <c r="BB560" s="276"/>
      <c r="BC560" s="276"/>
    </row>
    <row r="561" spans="1:55" ht="12.75" customHeight="1">
      <c r="A561" s="465"/>
      <c r="B561" s="465"/>
      <c r="C561" s="147"/>
      <c r="D561" s="147"/>
      <c r="E561" s="585"/>
      <c r="F561" s="586"/>
      <c r="G561" s="458"/>
      <c r="H561" s="458"/>
      <c r="I561" s="458"/>
      <c r="J561" s="465"/>
      <c r="K561" s="587"/>
      <c r="L561" s="465"/>
      <c r="M561" s="465"/>
      <c r="N561" s="465"/>
      <c r="O561" s="587"/>
      <c r="P561" s="585"/>
      <c r="Q561" s="465"/>
      <c r="R561" s="458"/>
      <c r="S561" s="585"/>
      <c r="T561" s="588"/>
      <c r="U561" s="589"/>
      <c r="V561" s="587"/>
      <c r="W561" s="465"/>
      <c r="X561" s="465"/>
      <c r="Y561" s="590"/>
      <c r="Z561" s="458"/>
      <c r="AA561" s="591"/>
      <c r="AB561" s="465"/>
      <c r="AC561" s="465"/>
      <c r="AD561" s="465"/>
      <c r="AE561" s="465"/>
      <c r="AF561" s="465"/>
      <c r="AG561" s="465"/>
      <c r="AH561" s="465"/>
      <c r="AI561" s="592"/>
      <c r="AJ561" s="465"/>
      <c r="AK561" s="465"/>
      <c r="AL561" s="20"/>
      <c r="AM561" s="20"/>
      <c r="AN561" s="593"/>
      <c r="AO561" s="20"/>
      <c r="AP561" s="276"/>
      <c r="AQ561" s="276"/>
      <c r="AR561" s="276"/>
      <c r="AS561" s="276"/>
      <c r="AT561" s="276"/>
      <c r="AU561" s="276"/>
      <c r="AV561" s="276"/>
      <c r="AW561" s="276"/>
      <c r="AX561" s="276"/>
      <c r="AY561" s="276"/>
      <c r="AZ561" s="276"/>
      <c r="BA561" s="276"/>
      <c r="BB561" s="276"/>
      <c r="BC561" s="276"/>
    </row>
    <row r="562" spans="1:55" ht="12.75" customHeight="1">
      <c r="A562" s="465"/>
      <c r="B562" s="465"/>
      <c r="C562" s="147"/>
      <c r="D562" s="147"/>
      <c r="E562" s="585"/>
      <c r="F562" s="586"/>
      <c r="G562" s="458"/>
      <c r="H562" s="458"/>
      <c r="I562" s="458"/>
      <c r="J562" s="465"/>
      <c r="K562" s="587"/>
      <c r="L562" s="465"/>
      <c r="M562" s="465"/>
      <c r="N562" s="465"/>
      <c r="O562" s="587"/>
      <c r="P562" s="585"/>
      <c r="Q562" s="465"/>
      <c r="R562" s="458"/>
      <c r="S562" s="585"/>
      <c r="T562" s="588"/>
      <c r="U562" s="589"/>
      <c r="V562" s="587"/>
      <c r="W562" s="465"/>
      <c r="X562" s="465"/>
      <c r="Y562" s="590"/>
      <c r="Z562" s="458"/>
      <c r="AA562" s="591"/>
      <c r="AB562" s="465"/>
      <c r="AC562" s="465"/>
      <c r="AD562" s="465"/>
      <c r="AE562" s="465"/>
      <c r="AF562" s="465"/>
      <c r="AG562" s="465"/>
      <c r="AH562" s="465"/>
      <c r="AI562" s="592"/>
      <c r="AJ562" s="465"/>
      <c r="AK562" s="465"/>
      <c r="AL562" s="20"/>
      <c r="AM562" s="20"/>
      <c r="AN562" s="593"/>
      <c r="AO562" s="20"/>
      <c r="AP562" s="276"/>
      <c r="AQ562" s="276"/>
      <c r="AR562" s="276"/>
      <c r="AS562" s="276"/>
      <c r="AT562" s="276"/>
      <c r="AU562" s="276"/>
      <c r="AV562" s="276"/>
      <c r="AW562" s="276"/>
      <c r="AX562" s="276"/>
      <c r="AY562" s="276"/>
      <c r="AZ562" s="276"/>
      <c r="BA562" s="276"/>
      <c r="BB562" s="276"/>
      <c r="BC562" s="276"/>
    </row>
    <row r="563" spans="1:55" ht="12.75" customHeight="1">
      <c r="A563" s="465"/>
      <c r="B563" s="465"/>
      <c r="C563" s="147"/>
      <c r="D563" s="147"/>
      <c r="E563" s="585"/>
      <c r="F563" s="586"/>
      <c r="G563" s="458"/>
      <c r="H563" s="458"/>
      <c r="I563" s="458"/>
      <c r="J563" s="465"/>
      <c r="K563" s="587"/>
      <c r="L563" s="465"/>
      <c r="M563" s="465"/>
      <c r="N563" s="465"/>
      <c r="O563" s="587"/>
      <c r="P563" s="585"/>
      <c r="Q563" s="465"/>
      <c r="R563" s="458"/>
      <c r="S563" s="585"/>
      <c r="T563" s="588"/>
      <c r="U563" s="589"/>
      <c r="V563" s="587"/>
      <c r="W563" s="465"/>
      <c r="X563" s="465"/>
      <c r="Y563" s="590"/>
      <c r="Z563" s="458"/>
      <c r="AA563" s="591"/>
      <c r="AB563" s="465"/>
      <c r="AC563" s="465"/>
      <c r="AD563" s="465"/>
      <c r="AE563" s="465"/>
      <c r="AF563" s="465"/>
      <c r="AG563" s="465"/>
      <c r="AH563" s="465"/>
      <c r="AI563" s="592"/>
      <c r="AJ563" s="465"/>
      <c r="AK563" s="465"/>
      <c r="AL563" s="20"/>
      <c r="AM563" s="20"/>
      <c r="AN563" s="593"/>
      <c r="AO563" s="20"/>
      <c r="AP563" s="276"/>
      <c r="AQ563" s="276"/>
      <c r="AR563" s="276"/>
      <c r="AS563" s="276"/>
      <c r="AT563" s="276"/>
      <c r="AU563" s="276"/>
      <c r="AV563" s="276"/>
      <c r="AW563" s="276"/>
      <c r="AX563" s="276"/>
      <c r="AY563" s="276"/>
      <c r="AZ563" s="276"/>
      <c r="BA563" s="276"/>
      <c r="BB563" s="276"/>
      <c r="BC563" s="276"/>
    </row>
    <row r="564" spans="1:55" ht="12.75" customHeight="1">
      <c r="A564" s="465"/>
      <c r="B564" s="465"/>
      <c r="C564" s="147"/>
      <c r="D564" s="147"/>
      <c r="E564" s="585"/>
      <c r="F564" s="586"/>
      <c r="G564" s="458"/>
      <c r="H564" s="458"/>
      <c r="I564" s="458"/>
      <c r="J564" s="465"/>
      <c r="K564" s="587"/>
      <c r="L564" s="465"/>
      <c r="M564" s="465"/>
      <c r="N564" s="465"/>
      <c r="O564" s="587"/>
      <c r="P564" s="585"/>
      <c r="Q564" s="465"/>
      <c r="R564" s="458"/>
      <c r="S564" s="585"/>
      <c r="T564" s="588"/>
      <c r="U564" s="589"/>
      <c r="V564" s="587"/>
      <c r="W564" s="465"/>
      <c r="X564" s="465"/>
      <c r="Y564" s="590"/>
      <c r="Z564" s="458"/>
      <c r="AA564" s="591"/>
      <c r="AB564" s="465"/>
      <c r="AC564" s="465"/>
      <c r="AD564" s="465"/>
      <c r="AE564" s="465"/>
      <c r="AF564" s="465"/>
      <c r="AG564" s="465"/>
      <c r="AH564" s="465"/>
      <c r="AI564" s="592"/>
      <c r="AJ564" s="465"/>
      <c r="AK564" s="465"/>
      <c r="AL564" s="20"/>
      <c r="AM564" s="20"/>
      <c r="AN564" s="593"/>
      <c r="AO564" s="20"/>
      <c r="AP564" s="276"/>
      <c r="AQ564" s="276"/>
      <c r="AR564" s="276"/>
      <c r="AS564" s="276"/>
      <c r="AT564" s="276"/>
      <c r="AU564" s="276"/>
      <c r="AV564" s="276"/>
      <c r="AW564" s="276"/>
      <c r="AX564" s="276"/>
      <c r="AY564" s="276"/>
      <c r="AZ564" s="276"/>
      <c r="BA564" s="276"/>
      <c r="BB564" s="276"/>
      <c r="BC564" s="276"/>
    </row>
    <row r="565" spans="1:55" ht="12.75" customHeight="1">
      <c r="A565" s="465"/>
      <c r="B565" s="465"/>
      <c r="C565" s="147"/>
      <c r="D565" s="147"/>
      <c r="E565" s="585"/>
      <c r="F565" s="586"/>
      <c r="G565" s="458"/>
      <c r="H565" s="458"/>
      <c r="I565" s="458"/>
      <c r="J565" s="465"/>
      <c r="K565" s="587"/>
      <c r="L565" s="465"/>
      <c r="M565" s="465"/>
      <c r="N565" s="465"/>
      <c r="O565" s="587"/>
      <c r="P565" s="585"/>
      <c r="Q565" s="465"/>
      <c r="R565" s="458"/>
      <c r="S565" s="585"/>
      <c r="T565" s="588"/>
      <c r="U565" s="589"/>
      <c r="V565" s="587"/>
      <c r="W565" s="465"/>
      <c r="X565" s="465"/>
      <c r="Y565" s="590"/>
      <c r="Z565" s="458"/>
      <c r="AA565" s="591"/>
      <c r="AB565" s="465"/>
      <c r="AC565" s="465"/>
      <c r="AD565" s="465"/>
      <c r="AE565" s="465"/>
      <c r="AF565" s="465"/>
      <c r="AG565" s="465"/>
      <c r="AH565" s="465"/>
      <c r="AI565" s="592"/>
      <c r="AJ565" s="465"/>
      <c r="AK565" s="465"/>
      <c r="AL565" s="20"/>
      <c r="AM565" s="20"/>
      <c r="AN565" s="593"/>
      <c r="AO565" s="20"/>
      <c r="AP565" s="276"/>
      <c r="AQ565" s="276"/>
      <c r="AR565" s="276"/>
      <c r="AS565" s="276"/>
      <c r="AT565" s="276"/>
      <c r="AU565" s="276"/>
      <c r="AV565" s="276"/>
      <c r="AW565" s="276"/>
      <c r="AX565" s="276"/>
      <c r="AY565" s="276"/>
      <c r="AZ565" s="276"/>
      <c r="BA565" s="276"/>
      <c r="BB565" s="276"/>
      <c r="BC565" s="276"/>
    </row>
    <row r="566" spans="1:55" ht="12.75" customHeight="1">
      <c r="A566" s="465"/>
      <c r="B566" s="465"/>
      <c r="C566" s="147"/>
      <c r="D566" s="147"/>
      <c r="E566" s="585"/>
      <c r="F566" s="586"/>
      <c r="G566" s="458"/>
      <c r="H566" s="458"/>
      <c r="I566" s="458"/>
      <c r="J566" s="465"/>
      <c r="K566" s="587"/>
      <c r="L566" s="465"/>
      <c r="M566" s="465"/>
      <c r="N566" s="465"/>
      <c r="O566" s="587"/>
      <c r="P566" s="585"/>
      <c r="Q566" s="465"/>
      <c r="R566" s="458"/>
      <c r="S566" s="585"/>
      <c r="T566" s="588"/>
      <c r="U566" s="589"/>
      <c r="V566" s="587"/>
      <c r="W566" s="465"/>
      <c r="X566" s="465"/>
      <c r="Y566" s="590"/>
      <c r="Z566" s="458"/>
      <c r="AA566" s="591"/>
      <c r="AB566" s="465"/>
      <c r="AC566" s="465"/>
      <c r="AD566" s="465"/>
      <c r="AE566" s="465"/>
      <c r="AF566" s="465"/>
      <c r="AG566" s="465"/>
      <c r="AH566" s="465"/>
      <c r="AI566" s="592"/>
      <c r="AJ566" s="465"/>
      <c r="AK566" s="465"/>
      <c r="AL566" s="20"/>
      <c r="AM566" s="20"/>
      <c r="AN566" s="593"/>
      <c r="AO566" s="20"/>
      <c r="AP566" s="276"/>
      <c r="AQ566" s="276"/>
      <c r="AR566" s="276"/>
      <c r="AS566" s="276"/>
      <c r="AT566" s="276"/>
      <c r="AU566" s="276"/>
      <c r="AV566" s="276"/>
      <c r="AW566" s="276"/>
      <c r="AX566" s="276"/>
      <c r="AY566" s="276"/>
      <c r="AZ566" s="276"/>
      <c r="BA566" s="276"/>
      <c r="BB566" s="276"/>
      <c r="BC566" s="276"/>
    </row>
    <row r="567" spans="1:55" ht="12.75" customHeight="1">
      <c r="A567" s="465"/>
      <c r="B567" s="465"/>
      <c r="C567" s="147"/>
      <c r="D567" s="147"/>
      <c r="E567" s="585"/>
      <c r="F567" s="586"/>
      <c r="G567" s="458"/>
      <c r="H567" s="458"/>
      <c r="I567" s="458"/>
      <c r="J567" s="465"/>
      <c r="K567" s="587"/>
      <c r="L567" s="465"/>
      <c r="M567" s="465"/>
      <c r="N567" s="465"/>
      <c r="O567" s="587"/>
      <c r="P567" s="585"/>
      <c r="Q567" s="465"/>
      <c r="R567" s="458"/>
      <c r="S567" s="585"/>
      <c r="T567" s="588"/>
      <c r="U567" s="589"/>
      <c r="V567" s="587"/>
      <c r="W567" s="465"/>
      <c r="X567" s="465"/>
      <c r="Y567" s="590"/>
      <c r="Z567" s="458"/>
      <c r="AA567" s="591"/>
      <c r="AB567" s="465"/>
      <c r="AC567" s="465"/>
      <c r="AD567" s="465"/>
      <c r="AE567" s="465"/>
      <c r="AF567" s="465"/>
      <c r="AG567" s="465"/>
      <c r="AH567" s="465"/>
      <c r="AI567" s="592"/>
      <c r="AJ567" s="465"/>
      <c r="AK567" s="465"/>
      <c r="AL567" s="20"/>
      <c r="AM567" s="20"/>
      <c r="AN567" s="593"/>
      <c r="AO567" s="20"/>
      <c r="AP567" s="276"/>
      <c r="AQ567" s="276"/>
      <c r="AR567" s="276"/>
      <c r="AS567" s="276"/>
      <c r="AT567" s="276"/>
      <c r="AU567" s="276"/>
      <c r="AV567" s="276"/>
      <c r="AW567" s="276"/>
      <c r="AX567" s="276"/>
      <c r="AY567" s="276"/>
      <c r="AZ567" s="276"/>
      <c r="BA567" s="276"/>
      <c r="BB567" s="276"/>
      <c r="BC567" s="276"/>
    </row>
    <row r="568" spans="1:55" ht="12.75" customHeight="1">
      <c r="A568" s="465"/>
      <c r="B568" s="465"/>
      <c r="C568" s="147"/>
      <c r="D568" s="147"/>
      <c r="E568" s="585"/>
      <c r="F568" s="586"/>
      <c r="G568" s="458"/>
      <c r="H568" s="458"/>
      <c r="I568" s="458"/>
      <c r="J568" s="465"/>
      <c r="K568" s="587"/>
      <c r="L568" s="465"/>
      <c r="M568" s="465"/>
      <c r="N568" s="465"/>
      <c r="O568" s="587"/>
      <c r="P568" s="585"/>
      <c r="Q568" s="465"/>
      <c r="R568" s="458"/>
      <c r="S568" s="585"/>
      <c r="T568" s="588"/>
      <c r="U568" s="589"/>
      <c r="V568" s="587"/>
      <c r="W568" s="465"/>
      <c r="X568" s="465"/>
      <c r="Y568" s="590"/>
      <c r="Z568" s="458"/>
      <c r="AA568" s="591"/>
      <c r="AB568" s="465"/>
      <c r="AC568" s="465"/>
      <c r="AD568" s="465"/>
      <c r="AE568" s="465"/>
      <c r="AF568" s="465"/>
      <c r="AG568" s="465"/>
      <c r="AH568" s="465"/>
      <c r="AI568" s="592"/>
      <c r="AJ568" s="465"/>
      <c r="AK568" s="465"/>
      <c r="AL568" s="20"/>
      <c r="AM568" s="20"/>
      <c r="AN568" s="593"/>
      <c r="AO568" s="20"/>
      <c r="AP568" s="276"/>
      <c r="AQ568" s="276"/>
      <c r="AR568" s="276"/>
      <c r="AS568" s="276"/>
      <c r="AT568" s="276"/>
      <c r="AU568" s="276"/>
      <c r="AV568" s="276"/>
      <c r="AW568" s="276"/>
      <c r="AX568" s="276"/>
      <c r="AY568" s="276"/>
      <c r="AZ568" s="276"/>
      <c r="BA568" s="276"/>
      <c r="BB568" s="276"/>
      <c r="BC568" s="276"/>
    </row>
    <row r="569" spans="1:55" ht="12.75" customHeight="1">
      <c r="A569" s="465"/>
      <c r="B569" s="465"/>
      <c r="C569" s="147"/>
      <c r="D569" s="147"/>
      <c r="E569" s="585"/>
      <c r="F569" s="586"/>
      <c r="G569" s="458"/>
      <c r="H569" s="458"/>
      <c r="I569" s="458"/>
      <c r="J569" s="465"/>
      <c r="K569" s="587"/>
      <c r="L569" s="465"/>
      <c r="M569" s="465"/>
      <c r="N569" s="465"/>
      <c r="O569" s="587"/>
      <c r="P569" s="585"/>
      <c r="Q569" s="465"/>
      <c r="R569" s="458"/>
      <c r="S569" s="585"/>
      <c r="T569" s="588"/>
      <c r="U569" s="589"/>
      <c r="V569" s="587"/>
      <c r="W569" s="465"/>
      <c r="X569" s="465"/>
      <c r="Y569" s="590"/>
      <c r="Z569" s="458"/>
      <c r="AA569" s="591"/>
      <c r="AB569" s="465"/>
      <c r="AC569" s="465"/>
      <c r="AD569" s="465"/>
      <c r="AE569" s="465"/>
      <c r="AF569" s="465"/>
      <c r="AG569" s="465"/>
      <c r="AH569" s="465"/>
      <c r="AI569" s="592"/>
      <c r="AJ569" s="465"/>
      <c r="AK569" s="465"/>
      <c r="AL569" s="20"/>
      <c r="AM569" s="20"/>
      <c r="AN569" s="593"/>
      <c r="AO569" s="20"/>
      <c r="AP569" s="276"/>
      <c r="AQ569" s="276"/>
      <c r="AR569" s="276"/>
      <c r="AS569" s="276"/>
      <c r="AT569" s="276"/>
      <c r="AU569" s="276"/>
      <c r="AV569" s="276"/>
      <c r="AW569" s="276"/>
      <c r="AX569" s="276"/>
      <c r="AY569" s="276"/>
      <c r="AZ569" s="276"/>
      <c r="BA569" s="276"/>
      <c r="BB569" s="276"/>
      <c r="BC569" s="276"/>
    </row>
    <row r="570" spans="1:55" ht="12.75" customHeight="1">
      <c r="A570" s="465"/>
      <c r="B570" s="465"/>
      <c r="C570" s="147"/>
      <c r="D570" s="147"/>
      <c r="E570" s="585"/>
      <c r="F570" s="586"/>
      <c r="G570" s="458"/>
      <c r="H570" s="458"/>
      <c r="I570" s="458"/>
      <c r="J570" s="465"/>
      <c r="K570" s="587"/>
      <c r="L570" s="465"/>
      <c r="M570" s="465"/>
      <c r="N570" s="465"/>
      <c r="O570" s="587"/>
      <c r="P570" s="585"/>
      <c r="Q570" s="465"/>
      <c r="R570" s="458"/>
      <c r="S570" s="585"/>
      <c r="T570" s="588"/>
      <c r="U570" s="589"/>
      <c r="V570" s="587"/>
      <c r="W570" s="465"/>
      <c r="X570" s="465"/>
      <c r="Y570" s="590"/>
      <c r="Z570" s="458"/>
      <c r="AA570" s="591"/>
      <c r="AB570" s="465"/>
      <c r="AC570" s="465"/>
      <c r="AD570" s="465"/>
      <c r="AE570" s="465"/>
      <c r="AF570" s="465"/>
      <c r="AG570" s="465"/>
      <c r="AH570" s="465"/>
      <c r="AI570" s="592"/>
      <c r="AJ570" s="465"/>
      <c r="AK570" s="465"/>
      <c r="AL570" s="20"/>
      <c r="AM570" s="20"/>
      <c r="AN570" s="593"/>
      <c r="AO570" s="20"/>
      <c r="AP570" s="276"/>
      <c r="AQ570" s="276"/>
      <c r="AR570" s="276"/>
      <c r="AS570" s="276"/>
      <c r="AT570" s="276"/>
      <c r="AU570" s="276"/>
      <c r="AV570" s="276"/>
      <c r="AW570" s="276"/>
      <c r="AX570" s="276"/>
      <c r="AY570" s="276"/>
      <c r="AZ570" s="276"/>
      <c r="BA570" s="276"/>
      <c r="BB570" s="276"/>
      <c r="BC570" s="276"/>
    </row>
    <row r="571" spans="1:55" ht="12.75" customHeight="1">
      <c r="A571" s="465"/>
      <c r="B571" s="465"/>
      <c r="C571" s="147"/>
      <c r="D571" s="147"/>
      <c r="E571" s="585"/>
      <c r="F571" s="586"/>
      <c r="G571" s="458"/>
      <c r="H571" s="458"/>
      <c r="I571" s="458"/>
      <c r="J571" s="465"/>
      <c r="K571" s="587"/>
      <c r="L571" s="465"/>
      <c r="M571" s="465"/>
      <c r="N571" s="465"/>
      <c r="O571" s="587"/>
      <c r="P571" s="585"/>
      <c r="Q571" s="465"/>
      <c r="R571" s="458"/>
      <c r="S571" s="585"/>
      <c r="T571" s="588"/>
      <c r="U571" s="589"/>
      <c r="V571" s="587"/>
      <c r="W571" s="465"/>
      <c r="X571" s="465"/>
      <c r="Y571" s="590"/>
      <c r="Z571" s="458"/>
      <c r="AA571" s="591"/>
      <c r="AB571" s="465"/>
      <c r="AC571" s="465"/>
      <c r="AD571" s="465"/>
      <c r="AE571" s="465"/>
      <c r="AF571" s="465"/>
      <c r="AG571" s="465"/>
      <c r="AH571" s="465"/>
      <c r="AI571" s="592"/>
      <c r="AJ571" s="465"/>
      <c r="AK571" s="465"/>
      <c r="AL571" s="20"/>
      <c r="AM571" s="20"/>
      <c r="AN571" s="593"/>
      <c r="AO571" s="20"/>
      <c r="AP571" s="276"/>
      <c r="AQ571" s="276"/>
      <c r="AR571" s="276"/>
      <c r="AS571" s="276"/>
      <c r="AT571" s="276"/>
      <c r="AU571" s="276"/>
      <c r="AV571" s="276"/>
      <c r="AW571" s="276"/>
      <c r="AX571" s="276"/>
      <c r="AY571" s="276"/>
      <c r="AZ571" s="276"/>
      <c r="BA571" s="276"/>
      <c r="BB571" s="276"/>
      <c r="BC571" s="276"/>
    </row>
    <row r="572" spans="1:55" ht="12.75" customHeight="1">
      <c r="A572" s="465"/>
      <c r="B572" s="465"/>
      <c r="C572" s="147"/>
      <c r="D572" s="147"/>
      <c r="E572" s="585"/>
      <c r="F572" s="586"/>
      <c r="G572" s="458"/>
      <c r="H572" s="458"/>
      <c r="I572" s="458"/>
      <c r="J572" s="465"/>
      <c r="K572" s="587"/>
      <c r="L572" s="465"/>
      <c r="M572" s="465"/>
      <c r="N572" s="465"/>
      <c r="O572" s="587"/>
      <c r="P572" s="585"/>
      <c r="Q572" s="465"/>
      <c r="R572" s="458"/>
      <c r="S572" s="585"/>
      <c r="T572" s="588"/>
      <c r="U572" s="589"/>
      <c r="V572" s="587"/>
      <c r="W572" s="465"/>
      <c r="X572" s="465"/>
      <c r="Y572" s="590"/>
      <c r="Z572" s="458"/>
      <c r="AA572" s="591"/>
      <c r="AB572" s="465"/>
      <c r="AC572" s="465"/>
      <c r="AD572" s="465"/>
      <c r="AE572" s="465"/>
      <c r="AF572" s="465"/>
      <c r="AG572" s="465"/>
      <c r="AH572" s="465"/>
      <c r="AI572" s="592"/>
      <c r="AJ572" s="465"/>
      <c r="AK572" s="465"/>
      <c r="AL572" s="20"/>
      <c r="AM572" s="20"/>
      <c r="AN572" s="593"/>
      <c r="AO572" s="20"/>
      <c r="AP572" s="276"/>
      <c r="AQ572" s="276"/>
      <c r="AR572" s="276"/>
      <c r="AS572" s="276"/>
      <c r="AT572" s="276"/>
      <c r="AU572" s="276"/>
      <c r="AV572" s="276"/>
      <c r="AW572" s="276"/>
      <c r="AX572" s="276"/>
      <c r="AY572" s="276"/>
      <c r="AZ572" s="276"/>
      <c r="BA572" s="276"/>
      <c r="BB572" s="276"/>
      <c r="BC572" s="276"/>
    </row>
    <row r="573" spans="1:55" ht="12.75" customHeight="1">
      <c r="A573" s="465"/>
      <c r="B573" s="465"/>
      <c r="C573" s="147"/>
      <c r="D573" s="147"/>
      <c r="E573" s="585"/>
      <c r="F573" s="586"/>
      <c r="G573" s="458"/>
      <c r="H573" s="458"/>
      <c r="I573" s="458"/>
      <c r="J573" s="465"/>
      <c r="K573" s="587"/>
      <c r="L573" s="465"/>
      <c r="M573" s="465"/>
      <c r="N573" s="465"/>
      <c r="O573" s="587"/>
      <c r="P573" s="585"/>
      <c r="Q573" s="465"/>
      <c r="R573" s="458"/>
      <c r="S573" s="585"/>
      <c r="T573" s="588"/>
      <c r="U573" s="589"/>
      <c r="V573" s="587"/>
      <c r="W573" s="465"/>
      <c r="X573" s="465"/>
      <c r="Y573" s="590"/>
      <c r="Z573" s="458"/>
      <c r="AA573" s="591"/>
      <c r="AB573" s="465"/>
      <c r="AC573" s="465"/>
      <c r="AD573" s="465"/>
      <c r="AE573" s="465"/>
      <c r="AF573" s="465"/>
      <c r="AG573" s="465"/>
      <c r="AH573" s="465"/>
      <c r="AI573" s="592"/>
      <c r="AJ573" s="465"/>
      <c r="AK573" s="465"/>
      <c r="AL573" s="20"/>
      <c r="AM573" s="20"/>
      <c r="AN573" s="593"/>
      <c r="AO573" s="20"/>
      <c r="AP573" s="276"/>
      <c r="AQ573" s="276"/>
      <c r="AR573" s="276"/>
      <c r="AS573" s="276"/>
      <c r="AT573" s="276"/>
      <c r="AU573" s="276"/>
      <c r="AV573" s="276"/>
      <c r="AW573" s="276"/>
      <c r="AX573" s="276"/>
      <c r="AY573" s="276"/>
      <c r="AZ573" s="276"/>
      <c r="BA573" s="276"/>
      <c r="BB573" s="276"/>
      <c r="BC573" s="276"/>
    </row>
    <row r="574" spans="1:55" ht="12.75" customHeight="1">
      <c r="A574" s="465"/>
      <c r="B574" s="465"/>
      <c r="C574" s="147"/>
      <c r="D574" s="147"/>
      <c r="E574" s="585"/>
      <c r="F574" s="586"/>
      <c r="G574" s="458"/>
      <c r="H574" s="458"/>
      <c r="I574" s="458"/>
      <c r="J574" s="465"/>
      <c r="K574" s="587"/>
      <c r="L574" s="465"/>
      <c r="M574" s="465"/>
      <c r="N574" s="465"/>
      <c r="O574" s="587"/>
      <c r="P574" s="585"/>
      <c r="Q574" s="465"/>
      <c r="R574" s="458"/>
      <c r="S574" s="585"/>
      <c r="T574" s="588"/>
      <c r="U574" s="589"/>
      <c r="V574" s="587"/>
      <c r="W574" s="465"/>
      <c r="X574" s="465"/>
      <c r="Y574" s="590"/>
      <c r="Z574" s="458"/>
      <c r="AA574" s="591"/>
      <c r="AB574" s="465"/>
      <c r="AC574" s="465"/>
      <c r="AD574" s="465"/>
      <c r="AE574" s="465"/>
      <c r="AF574" s="465"/>
      <c r="AG574" s="465"/>
      <c r="AH574" s="465"/>
      <c r="AI574" s="592"/>
      <c r="AJ574" s="465"/>
      <c r="AK574" s="465"/>
      <c r="AL574" s="20"/>
      <c r="AM574" s="20"/>
      <c r="AN574" s="593"/>
      <c r="AO574" s="20"/>
      <c r="AP574" s="276"/>
      <c r="AQ574" s="276"/>
      <c r="AR574" s="276"/>
      <c r="AS574" s="276"/>
      <c r="AT574" s="276"/>
      <c r="AU574" s="276"/>
      <c r="AV574" s="276"/>
      <c r="AW574" s="276"/>
      <c r="AX574" s="276"/>
      <c r="AY574" s="276"/>
      <c r="AZ574" s="276"/>
      <c r="BA574" s="276"/>
      <c r="BB574" s="276"/>
      <c r="BC574" s="276"/>
    </row>
    <row r="575" spans="1:55" ht="12.75" customHeight="1">
      <c r="A575" s="465"/>
      <c r="B575" s="465"/>
      <c r="C575" s="147"/>
      <c r="D575" s="147"/>
      <c r="E575" s="585"/>
      <c r="F575" s="586"/>
      <c r="G575" s="458"/>
      <c r="H575" s="458"/>
      <c r="I575" s="458"/>
      <c r="J575" s="465"/>
      <c r="K575" s="587"/>
      <c r="L575" s="465"/>
      <c r="M575" s="465"/>
      <c r="N575" s="465"/>
      <c r="O575" s="587"/>
      <c r="P575" s="585"/>
      <c r="Q575" s="465"/>
      <c r="R575" s="458"/>
      <c r="S575" s="585"/>
      <c r="T575" s="588"/>
      <c r="U575" s="589"/>
      <c r="V575" s="587"/>
      <c r="W575" s="465"/>
      <c r="X575" s="465"/>
      <c r="Y575" s="590"/>
      <c r="Z575" s="458"/>
      <c r="AA575" s="591"/>
      <c r="AB575" s="465"/>
      <c r="AC575" s="465"/>
      <c r="AD575" s="465"/>
      <c r="AE575" s="465"/>
      <c r="AF575" s="465"/>
      <c r="AG575" s="465"/>
      <c r="AH575" s="465"/>
      <c r="AI575" s="592"/>
      <c r="AJ575" s="465"/>
      <c r="AK575" s="465"/>
      <c r="AL575" s="20"/>
      <c r="AM575" s="20"/>
      <c r="AN575" s="593"/>
      <c r="AO575" s="20"/>
      <c r="AP575" s="276"/>
      <c r="AQ575" s="276"/>
      <c r="AR575" s="276"/>
      <c r="AS575" s="276"/>
      <c r="AT575" s="276"/>
      <c r="AU575" s="276"/>
      <c r="AV575" s="276"/>
      <c r="AW575" s="276"/>
      <c r="AX575" s="276"/>
      <c r="AY575" s="276"/>
      <c r="AZ575" s="276"/>
      <c r="BA575" s="276"/>
      <c r="BB575" s="276"/>
      <c r="BC575" s="276"/>
    </row>
    <row r="576" spans="1:55" ht="12.75" customHeight="1">
      <c r="A576" s="465"/>
      <c r="B576" s="465"/>
      <c r="C576" s="147"/>
      <c r="D576" s="147"/>
      <c r="E576" s="585"/>
      <c r="F576" s="586"/>
      <c r="G576" s="458"/>
      <c r="H576" s="458"/>
      <c r="I576" s="458"/>
      <c r="J576" s="465"/>
      <c r="K576" s="587"/>
      <c r="L576" s="465"/>
      <c r="M576" s="465"/>
      <c r="N576" s="465"/>
      <c r="O576" s="587"/>
      <c r="P576" s="585"/>
      <c r="Q576" s="465"/>
      <c r="R576" s="458"/>
      <c r="S576" s="585"/>
      <c r="T576" s="588"/>
      <c r="U576" s="589"/>
      <c r="V576" s="587"/>
      <c r="W576" s="465"/>
      <c r="X576" s="465"/>
      <c r="Y576" s="590"/>
      <c r="Z576" s="458"/>
      <c r="AA576" s="591"/>
      <c r="AB576" s="465"/>
      <c r="AC576" s="465"/>
      <c r="AD576" s="465"/>
      <c r="AE576" s="465"/>
      <c r="AF576" s="465"/>
      <c r="AG576" s="465"/>
      <c r="AH576" s="465"/>
      <c r="AI576" s="592"/>
      <c r="AJ576" s="465"/>
      <c r="AK576" s="465"/>
      <c r="AL576" s="20"/>
      <c r="AM576" s="20"/>
      <c r="AN576" s="593"/>
      <c r="AO576" s="20"/>
      <c r="AP576" s="276"/>
      <c r="AQ576" s="276"/>
      <c r="AR576" s="276"/>
      <c r="AS576" s="276"/>
      <c r="AT576" s="276"/>
      <c r="AU576" s="276"/>
      <c r="AV576" s="276"/>
      <c r="AW576" s="276"/>
      <c r="AX576" s="276"/>
      <c r="AY576" s="276"/>
      <c r="AZ576" s="276"/>
      <c r="BA576" s="276"/>
      <c r="BB576" s="276"/>
      <c r="BC576" s="276"/>
    </row>
    <row r="577" spans="1:55" ht="12.75" customHeight="1">
      <c r="A577" s="465"/>
      <c r="B577" s="465"/>
      <c r="C577" s="147"/>
      <c r="D577" s="147"/>
      <c r="E577" s="585"/>
      <c r="F577" s="586"/>
      <c r="G577" s="458"/>
      <c r="H577" s="458"/>
      <c r="I577" s="458"/>
      <c r="J577" s="465"/>
      <c r="K577" s="587"/>
      <c r="L577" s="465"/>
      <c r="M577" s="465"/>
      <c r="N577" s="465"/>
      <c r="O577" s="587"/>
      <c r="P577" s="585"/>
      <c r="Q577" s="465"/>
      <c r="R577" s="458"/>
      <c r="S577" s="585"/>
      <c r="T577" s="588"/>
      <c r="U577" s="589"/>
      <c r="V577" s="587"/>
      <c r="W577" s="465"/>
      <c r="X577" s="465"/>
      <c r="Y577" s="590"/>
      <c r="Z577" s="458"/>
      <c r="AA577" s="591"/>
      <c r="AB577" s="465"/>
      <c r="AC577" s="465"/>
      <c r="AD577" s="465"/>
      <c r="AE577" s="465"/>
      <c r="AF577" s="465"/>
      <c r="AG577" s="465"/>
      <c r="AH577" s="465"/>
      <c r="AI577" s="592"/>
      <c r="AJ577" s="465"/>
      <c r="AK577" s="465"/>
      <c r="AL577" s="20"/>
      <c r="AM577" s="20"/>
      <c r="AN577" s="593"/>
      <c r="AO577" s="20"/>
      <c r="AP577" s="276"/>
      <c r="AQ577" s="276"/>
      <c r="AR577" s="276"/>
      <c r="AS577" s="276"/>
      <c r="AT577" s="276"/>
      <c r="AU577" s="276"/>
      <c r="AV577" s="276"/>
      <c r="AW577" s="276"/>
      <c r="AX577" s="276"/>
      <c r="AY577" s="276"/>
      <c r="AZ577" s="276"/>
      <c r="BA577" s="276"/>
      <c r="BB577" s="276"/>
      <c r="BC577" s="276"/>
    </row>
    <row r="578" spans="1:55" ht="12.75" customHeight="1">
      <c r="A578" s="465"/>
      <c r="B578" s="465"/>
      <c r="C578" s="147"/>
      <c r="D578" s="147"/>
      <c r="E578" s="585"/>
      <c r="F578" s="586"/>
      <c r="G578" s="458"/>
      <c r="H578" s="458"/>
      <c r="I578" s="458"/>
      <c r="J578" s="465"/>
      <c r="K578" s="587"/>
      <c r="L578" s="465"/>
      <c r="M578" s="465"/>
      <c r="N578" s="465"/>
      <c r="O578" s="587"/>
      <c r="P578" s="585"/>
      <c r="Q578" s="465"/>
      <c r="R578" s="458"/>
      <c r="S578" s="585"/>
      <c r="T578" s="588"/>
      <c r="U578" s="589"/>
      <c r="V578" s="587"/>
      <c r="W578" s="465"/>
      <c r="X578" s="465"/>
      <c r="Y578" s="590"/>
      <c r="Z578" s="458"/>
      <c r="AA578" s="591"/>
      <c r="AB578" s="465"/>
      <c r="AC578" s="465"/>
      <c r="AD578" s="465"/>
      <c r="AE578" s="465"/>
      <c r="AF578" s="465"/>
      <c r="AG578" s="465"/>
      <c r="AH578" s="465"/>
      <c r="AI578" s="592"/>
      <c r="AJ578" s="465"/>
      <c r="AK578" s="465"/>
      <c r="AL578" s="20"/>
      <c r="AM578" s="20"/>
      <c r="AN578" s="593"/>
      <c r="AO578" s="20"/>
      <c r="AP578" s="276"/>
      <c r="AQ578" s="276"/>
      <c r="AR578" s="276"/>
      <c r="AS578" s="276"/>
      <c r="AT578" s="276"/>
      <c r="AU578" s="276"/>
      <c r="AV578" s="276"/>
      <c r="AW578" s="276"/>
      <c r="AX578" s="276"/>
      <c r="AY578" s="276"/>
      <c r="AZ578" s="276"/>
      <c r="BA578" s="276"/>
      <c r="BB578" s="276"/>
      <c r="BC578" s="276"/>
    </row>
    <row r="579" spans="1:55" ht="12.75" customHeight="1">
      <c r="A579" s="465"/>
      <c r="B579" s="465"/>
      <c r="C579" s="147"/>
      <c r="D579" s="147"/>
      <c r="E579" s="585"/>
      <c r="F579" s="586"/>
      <c r="G579" s="458"/>
      <c r="H579" s="458"/>
      <c r="I579" s="458"/>
      <c r="J579" s="465"/>
      <c r="K579" s="587"/>
      <c r="L579" s="465"/>
      <c r="M579" s="465"/>
      <c r="N579" s="465"/>
      <c r="O579" s="587"/>
      <c r="P579" s="585"/>
      <c r="Q579" s="465"/>
      <c r="R579" s="458"/>
      <c r="S579" s="585"/>
      <c r="T579" s="588"/>
      <c r="U579" s="589"/>
      <c r="V579" s="587"/>
      <c r="W579" s="465"/>
      <c r="X579" s="465"/>
      <c r="Y579" s="590"/>
      <c r="Z579" s="458"/>
      <c r="AA579" s="591"/>
      <c r="AB579" s="465"/>
      <c r="AC579" s="465"/>
      <c r="AD579" s="465"/>
      <c r="AE579" s="465"/>
      <c r="AF579" s="465"/>
      <c r="AG579" s="465"/>
      <c r="AH579" s="465"/>
      <c r="AI579" s="592"/>
      <c r="AJ579" s="465"/>
      <c r="AK579" s="465"/>
      <c r="AL579" s="20"/>
      <c r="AM579" s="20"/>
      <c r="AN579" s="593"/>
      <c r="AO579" s="20"/>
      <c r="AP579" s="276"/>
      <c r="AQ579" s="276"/>
      <c r="AR579" s="276"/>
      <c r="AS579" s="276"/>
      <c r="AT579" s="276"/>
      <c r="AU579" s="276"/>
      <c r="AV579" s="276"/>
      <c r="AW579" s="276"/>
      <c r="AX579" s="276"/>
      <c r="AY579" s="276"/>
      <c r="AZ579" s="276"/>
      <c r="BA579" s="276"/>
      <c r="BB579" s="276"/>
      <c r="BC579" s="276"/>
    </row>
    <row r="580" spans="1:55" ht="12.75" customHeight="1">
      <c r="A580" s="465"/>
      <c r="B580" s="465"/>
      <c r="C580" s="147"/>
      <c r="D580" s="147"/>
      <c r="E580" s="585"/>
      <c r="F580" s="586"/>
      <c r="G580" s="458"/>
      <c r="H580" s="458"/>
      <c r="I580" s="458"/>
      <c r="J580" s="465"/>
      <c r="K580" s="587"/>
      <c r="L580" s="465"/>
      <c r="M580" s="465"/>
      <c r="N580" s="465"/>
      <c r="O580" s="587"/>
      <c r="P580" s="585"/>
      <c r="Q580" s="465"/>
      <c r="R580" s="458"/>
      <c r="S580" s="585"/>
      <c r="T580" s="588"/>
      <c r="U580" s="589"/>
      <c r="V580" s="587"/>
      <c r="W580" s="465"/>
      <c r="X580" s="465"/>
      <c r="Y580" s="590"/>
      <c r="Z580" s="458"/>
      <c r="AA580" s="591"/>
      <c r="AB580" s="465"/>
      <c r="AC580" s="465"/>
      <c r="AD580" s="465"/>
      <c r="AE580" s="465"/>
      <c r="AF580" s="465"/>
      <c r="AG580" s="465"/>
      <c r="AH580" s="465"/>
      <c r="AI580" s="592"/>
      <c r="AJ580" s="465"/>
      <c r="AK580" s="465"/>
      <c r="AL580" s="20"/>
      <c r="AM580" s="20"/>
      <c r="AN580" s="593"/>
      <c r="AO580" s="20"/>
      <c r="AP580" s="276"/>
      <c r="AQ580" s="276"/>
      <c r="AR580" s="276"/>
      <c r="AS580" s="276"/>
      <c r="AT580" s="276"/>
      <c r="AU580" s="276"/>
      <c r="AV580" s="276"/>
      <c r="AW580" s="276"/>
      <c r="AX580" s="276"/>
      <c r="AY580" s="276"/>
      <c r="AZ580" s="276"/>
      <c r="BA580" s="276"/>
      <c r="BB580" s="276"/>
      <c r="BC580" s="276"/>
    </row>
    <row r="581" spans="1:55" ht="12.75" customHeight="1">
      <c r="A581" s="465"/>
      <c r="B581" s="465"/>
      <c r="C581" s="147"/>
      <c r="D581" s="147"/>
      <c r="E581" s="585"/>
      <c r="F581" s="586"/>
      <c r="G581" s="458"/>
      <c r="H581" s="458"/>
      <c r="I581" s="458"/>
      <c r="J581" s="465"/>
      <c r="K581" s="587"/>
      <c r="L581" s="465"/>
      <c r="M581" s="465"/>
      <c r="N581" s="465"/>
      <c r="O581" s="587"/>
      <c r="P581" s="585"/>
      <c r="Q581" s="465"/>
      <c r="R581" s="458"/>
      <c r="S581" s="585"/>
      <c r="T581" s="588"/>
      <c r="U581" s="589"/>
      <c r="V581" s="587"/>
      <c r="W581" s="465"/>
      <c r="X581" s="465"/>
      <c r="Y581" s="590"/>
      <c r="Z581" s="458"/>
      <c r="AA581" s="591"/>
      <c r="AB581" s="465"/>
      <c r="AC581" s="465"/>
      <c r="AD581" s="465"/>
      <c r="AE581" s="465"/>
      <c r="AF581" s="465"/>
      <c r="AG581" s="465"/>
      <c r="AH581" s="465"/>
      <c r="AI581" s="592"/>
      <c r="AJ581" s="465"/>
      <c r="AK581" s="465"/>
      <c r="AL581" s="20"/>
      <c r="AM581" s="20"/>
      <c r="AN581" s="593"/>
      <c r="AO581" s="20"/>
      <c r="AP581" s="276"/>
      <c r="AQ581" s="276"/>
      <c r="AR581" s="276"/>
      <c r="AS581" s="276"/>
      <c r="AT581" s="276"/>
      <c r="AU581" s="276"/>
      <c r="AV581" s="276"/>
      <c r="AW581" s="276"/>
      <c r="AX581" s="276"/>
      <c r="AY581" s="276"/>
      <c r="AZ581" s="276"/>
      <c r="BA581" s="276"/>
      <c r="BB581" s="276"/>
      <c r="BC581" s="276"/>
    </row>
    <row r="582" spans="1:55" ht="12.75" customHeight="1">
      <c r="A582" s="465"/>
      <c r="B582" s="465"/>
      <c r="C582" s="147"/>
      <c r="D582" s="147"/>
      <c r="E582" s="585"/>
      <c r="F582" s="586"/>
      <c r="G582" s="458"/>
      <c r="H582" s="458"/>
      <c r="I582" s="458"/>
      <c r="J582" s="465"/>
      <c r="K582" s="587"/>
      <c r="L582" s="465"/>
      <c r="M582" s="465"/>
      <c r="N582" s="465"/>
      <c r="O582" s="587"/>
      <c r="P582" s="585"/>
      <c r="Q582" s="465"/>
      <c r="R582" s="458"/>
      <c r="S582" s="585"/>
      <c r="T582" s="588"/>
      <c r="U582" s="589"/>
      <c r="V582" s="587"/>
      <c r="W582" s="465"/>
      <c r="X582" s="465"/>
      <c r="Y582" s="590"/>
      <c r="Z582" s="458"/>
      <c r="AA582" s="591"/>
      <c r="AB582" s="465"/>
      <c r="AC582" s="465"/>
      <c r="AD582" s="465"/>
      <c r="AE582" s="465"/>
      <c r="AF582" s="465"/>
      <c r="AG582" s="465"/>
      <c r="AH582" s="465"/>
      <c r="AI582" s="592"/>
      <c r="AJ582" s="465"/>
      <c r="AK582" s="465"/>
      <c r="AL582" s="20"/>
      <c r="AM582" s="20"/>
      <c r="AN582" s="593"/>
      <c r="AO582" s="20"/>
      <c r="AP582" s="276"/>
      <c r="AQ582" s="276"/>
      <c r="AR582" s="276"/>
      <c r="AS582" s="276"/>
      <c r="AT582" s="276"/>
      <c r="AU582" s="276"/>
      <c r="AV582" s="276"/>
      <c r="AW582" s="276"/>
      <c r="AX582" s="276"/>
      <c r="AY582" s="276"/>
      <c r="AZ582" s="276"/>
      <c r="BA582" s="276"/>
      <c r="BB582" s="276"/>
      <c r="BC582" s="276"/>
    </row>
    <row r="583" spans="1:55" ht="12.75" customHeight="1">
      <c r="A583" s="465"/>
      <c r="B583" s="465"/>
      <c r="C583" s="147"/>
      <c r="D583" s="147"/>
      <c r="E583" s="585"/>
      <c r="F583" s="586"/>
      <c r="G583" s="458"/>
      <c r="H583" s="458"/>
      <c r="I583" s="458"/>
      <c r="J583" s="465"/>
      <c r="K583" s="587"/>
      <c r="L583" s="465"/>
      <c r="M583" s="465"/>
      <c r="N583" s="465"/>
      <c r="O583" s="587"/>
      <c r="P583" s="585"/>
      <c r="Q583" s="465"/>
      <c r="R583" s="458"/>
      <c r="S583" s="585"/>
      <c r="T583" s="588"/>
      <c r="U583" s="589"/>
      <c r="V583" s="587"/>
      <c r="W583" s="465"/>
      <c r="X583" s="465"/>
      <c r="Y583" s="590"/>
      <c r="Z583" s="458"/>
      <c r="AA583" s="591"/>
      <c r="AB583" s="465"/>
      <c r="AC583" s="465"/>
      <c r="AD583" s="465"/>
      <c r="AE583" s="465"/>
      <c r="AF583" s="465"/>
      <c r="AG583" s="465"/>
      <c r="AH583" s="465"/>
      <c r="AI583" s="592"/>
      <c r="AJ583" s="465"/>
      <c r="AK583" s="465"/>
      <c r="AL583" s="20"/>
      <c r="AM583" s="20"/>
      <c r="AN583" s="593"/>
      <c r="AO583" s="20"/>
      <c r="AP583" s="276"/>
      <c r="AQ583" s="276"/>
      <c r="AR583" s="276"/>
      <c r="AS583" s="276"/>
      <c r="AT583" s="276"/>
      <c r="AU583" s="276"/>
      <c r="AV583" s="276"/>
      <c r="AW583" s="276"/>
      <c r="AX583" s="276"/>
      <c r="AY583" s="276"/>
      <c r="AZ583" s="276"/>
      <c r="BA583" s="276"/>
      <c r="BB583" s="276"/>
      <c r="BC583" s="276"/>
    </row>
    <row r="584" spans="1:55" ht="12.75" customHeight="1">
      <c r="A584" s="465"/>
      <c r="B584" s="465"/>
      <c r="C584" s="147"/>
      <c r="D584" s="147"/>
      <c r="E584" s="585"/>
      <c r="F584" s="586"/>
      <c r="G584" s="458"/>
      <c r="H584" s="458"/>
      <c r="I584" s="458"/>
      <c r="J584" s="465"/>
      <c r="K584" s="587"/>
      <c r="L584" s="465"/>
      <c r="M584" s="465"/>
      <c r="N584" s="465"/>
      <c r="O584" s="587"/>
      <c r="P584" s="585"/>
      <c r="Q584" s="465"/>
      <c r="R584" s="458"/>
      <c r="S584" s="585"/>
      <c r="T584" s="588"/>
      <c r="U584" s="589"/>
      <c r="V584" s="587"/>
      <c r="W584" s="465"/>
      <c r="X584" s="465"/>
      <c r="Y584" s="590"/>
      <c r="Z584" s="458"/>
      <c r="AA584" s="591"/>
      <c r="AB584" s="465"/>
      <c r="AC584" s="465"/>
      <c r="AD584" s="465"/>
      <c r="AE584" s="465"/>
      <c r="AF584" s="465"/>
      <c r="AG584" s="465"/>
      <c r="AH584" s="465"/>
      <c r="AI584" s="592"/>
      <c r="AJ584" s="465"/>
      <c r="AK584" s="465"/>
      <c r="AL584" s="20"/>
      <c r="AM584" s="20"/>
      <c r="AN584" s="593"/>
      <c r="AO584" s="20"/>
      <c r="AP584" s="276"/>
      <c r="AQ584" s="276"/>
      <c r="AR584" s="276"/>
      <c r="AS584" s="276"/>
      <c r="AT584" s="276"/>
      <c r="AU584" s="276"/>
      <c r="AV584" s="276"/>
      <c r="AW584" s="276"/>
      <c r="AX584" s="276"/>
      <c r="AY584" s="276"/>
      <c r="AZ584" s="276"/>
      <c r="BA584" s="276"/>
      <c r="BB584" s="276"/>
      <c r="BC584" s="276"/>
    </row>
    <row r="585" spans="1:55" ht="12.75" customHeight="1">
      <c r="A585" s="465"/>
      <c r="B585" s="465"/>
      <c r="C585" s="147"/>
      <c r="D585" s="147"/>
      <c r="E585" s="585"/>
      <c r="F585" s="586"/>
      <c r="G585" s="458"/>
      <c r="H585" s="458"/>
      <c r="I585" s="458"/>
      <c r="J585" s="465"/>
      <c r="K585" s="587"/>
      <c r="L585" s="465"/>
      <c r="M585" s="465"/>
      <c r="N585" s="465"/>
      <c r="O585" s="587"/>
      <c r="P585" s="585"/>
      <c r="Q585" s="465"/>
      <c r="R585" s="458"/>
      <c r="S585" s="585"/>
      <c r="T585" s="588"/>
      <c r="U585" s="589"/>
      <c r="V585" s="587"/>
      <c r="W585" s="465"/>
      <c r="X585" s="465"/>
      <c r="Y585" s="590"/>
      <c r="Z585" s="458"/>
      <c r="AA585" s="591"/>
      <c r="AB585" s="465"/>
      <c r="AC585" s="465"/>
      <c r="AD585" s="465"/>
      <c r="AE585" s="465"/>
      <c r="AF585" s="465"/>
      <c r="AG585" s="465"/>
      <c r="AH585" s="465"/>
      <c r="AI585" s="592"/>
      <c r="AJ585" s="465"/>
      <c r="AK585" s="465"/>
      <c r="AL585" s="20"/>
      <c r="AM585" s="20"/>
      <c r="AN585" s="593"/>
      <c r="AO585" s="20"/>
      <c r="AP585" s="276"/>
      <c r="AQ585" s="276"/>
      <c r="AR585" s="276"/>
      <c r="AS585" s="276"/>
      <c r="AT585" s="276"/>
      <c r="AU585" s="276"/>
      <c r="AV585" s="276"/>
      <c r="AW585" s="276"/>
      <c r="AX585" s="276"/>
      <c r="AY585" s="276"/>
      <c r="AZ585" s="276"/>
      <c r="BA585" s="276"/>
      <c r="BB585" s="276"/>
      <c r="BC585" s="276"/>
    </row>
    <row r="586" spans="1:55" ht="12.75" customHeight="1">
      <c r="A586" s="465"/>
      <c r="B586" s="465"/>
      <c r="C586" s="147"/>
      <c r="D586" s="147"/>
      <c r="E586" s="585"/>
      <c r="F586" s="586"/>
      <c r="G586" s="458"/>
      <c r="H586" s="458"/>
      <c r="I586" s="458"/>
      <c r="J586" s="465"/>
      <c r="K586" s="587"/>
      <c r="L586" s="465"/>
      <c r="M586" s="465"/>
      <c r="N586" s="465"/>
      <c r="O586" s="587"/>
      <c r="P586" s="585"/>
      <c r="Q586" s="465"/>
      <c r="R586" s="458"/>
      <c r="S586" s="585"/>
      <c r="T586" s="588"/>
      <c r="U586" s="589"/>
      <c r="V586" s="587"/>
      <c r="W586" s="465"/>
      <c r="X586" s="465"/>
      <c r="Y586" s="590"/>
      <c r="Z586" s="458"/>
      <c r="AA586" s="591"/>
      <c r="AB586" s="465"/>
      <c r="AC586" s="465"/>
      <c r="AD586" s="465"/>
      <c r="AE586" s="465"/>
      <c r="AF586" s="465"/>
      <c r="AG586" s="465"/>
      <c r="AH586" s="465"/>
      <c r="AI586" s="592"/>
      <c r="AJ586" s="465"/>
      <c r="AK586" s="465"/>
      <c r="AL586" s="20"/>
      <c r="AM586" s="20"/>
      <c r="AN586" s="593"/>
      <c r="AO586" s="20"/>
      <c r="AP586" s="276"/>
      <c r="AQ586" s="276"/>
      <c r="AR586" s="276"/>
      <c r="AS586" s="276"/>
      <c r="AT586" s="276"/>
      <c r="AU586" s="276"/>
      <c r="AV586" s="276"/>
      <c r="AW586" s="276"/>
      <c r="AX586" s="276"/>
      <c r="AY586" s="276"/>
      <c r="AZ586" s="276"/>
      <c r="BA586" s="276"/>
      <c r="BB586" s="276"/>
      <c r="BC586" s="276"/>
    </row>
    <row r="587" spans="1:55" ht="12.75" customHeight="1">
      <c r="A587" s="465"/>
      <c r="B587" s="465"/>
      <c r="C587" s="147"/>
      <c r="D587" s="147"/>
      <c r="E587" s="585"/>
      <c r="F587" s="586"/>
      <c r="G587" s="458"/>
      <c r="H587" s="458"/>
      <c r="I587" s="458"/>
      <c r="J587" s="465"/>
      <c r="K587" s="587"/>
      <c r="L587" s="465"/>
      <c r="M587" s="465"/>
      <c r="N587" s="465"/>
      <c r="O587" s="587"/>
      <c r="P587" s="585"/>
      <c r="Q587" s="465"/>
      <c r="R587" s="458"/>
      <c r="S587" s="585"/>
      <c r="T587" s="588"/>
      <c r="U587" s="589"/>
      <c r="V587" s="587"/>
      <c r="W587" s="465"/>
      <c r="X587" s="465"/>
      <c r="Y587" s="590"/>
      <c r="Z587" s="458"/>
      <c r="AA587" s="591"/>
      <c r="AB587" s="465"/>
      <c r="AC587" s="465"/>
      <c r="AD587" s="465"/>
      <c r="AE587" s="465"/>
      <c r="AF587" s="465"/>
      <c r="AG587" s="465"/>
      <c r="AH587" s="465"/>
      <c r="AI587" s="592"/>
      <c r="AJ587" s="465"/>
      <c r="AK587" s="465"/>
      <c r="AL587" s="20"/>
      <c r="AM587" s="20"/>
      <c r="AN587" s="593"/>
      <c r="AO587" s="20"/>
      <c r="AP587" s="276"/>
      <c r="AQ587" s="276"/>
      <c r="AR587" s="276"/>
      <c r="AS587" s="276"/>
      <c r="AT587" s="276"/>
      <c r="AU587" s="276"/>
      <c r="AV587" s="276"/>
      <c r="AW587" s="276"/>
      <c r="AX587" s="276"/>
      <c r="AY587" s="276"/>
      <c r="AZ587" s="276"/>
      <c r="BA587" s="276"/>
      <c r="BB587" s="276"/>
      <c r="BC587" s="276"/>
    </row>
    <row r="588" spans="1:55" ht="12.75" customHeight="1">
      <c r="A588" s="465"/>
      <c r="B588" s="465"/>
      <c r="C588" s="147"/>
      <c r="D588" s="147"/>
      <c r="E588" s="585"/>
      <c r="F588" s="586"/>
      <c r="G588" s="458"/>
      <c r="H588" s="458"/>
      <c r="I588" s="458"/>
      <c r="J588" s="465"/>
      <c r="K588" s="587"/>
      <c r="L588" s="465"/>
      <c r="M588" s="465"/>
      <c r="N588" s="465"/>
      <c r="O588" s="587"/>
      <c r="P588" s="585"/>
      <c r="Q588" s="465"/>
      <c r="R588" s="458"/>
      <c r="S588" s="585"/>
      <c r="T588" s="588"/>
      <c r="U588" s="589"/>
      <c r="V588" s="587"/>
      <c r="W588" s="465"/>
      <c r="X588" s="465"/>
      <c r="Y588" s="590"/>
      <c r="Z588" s="458"/>
      <c r="AA588" s="591"/>
      <c r="AB588" s="465"/>
      <c r="AC588" s="465"/>
      <c r="AD588" s="465"/>
      <c r="AE588" s="465"/>
      <c r="AF588" s="465"/>
      <c r="AG588" s="465"/>
      <c r="AH588" s="465"/>
      <c r="AI588" s="592"/>
      <c r="AJ588" s="465"/>
      <c r="AK588" s="465"/>
      <c r="AL588" s="20"/>
      <c r="AM588" s="20"/>
      <c r="AN588" s="593"/>
      <c r="AO588" s="20"/>
      <c r="AP588" s="276"/>
      <c r="AQ588" s="276"/>
      <c r="AR588" s="276"/>
      <c r="AS588" s="276"/>
      <c r="AT588" s="276"/>
      <c r="AU588" s="276"/>
      <c r="AV588" s="276"/>
      <c r="AW588" s="276"/>
      <c r="AX588" s="276"/>
      <c r="AY588" s="276"/>
      <c r="AZ588" s="276"/>
      <c r="BA588" s="276"/>
      <c r="BB588" s="276"/>
      <c r="BC588" s="276"/>
    </row>
    <row r="589" spans="1:55" ht="12.75" customHeight="1">
      <c r="A589" s="465"/>
      <c r="B589" s="465"/>
      <c r="C589" s="147"/>
      <c r="D589" s="147"/>
      <c r="E589" s="585"/>
      <c r="F589" s="586"/>
      <c r="G589" s="458"/>
      <c r="H589" s="458"/>
      <c r="I589" s="458"/>
      <c r="J589" s="465"/>
      <c r="K589" s="587"/>
      <c r="L589" s="465"/>
      <c r="M589" s="465"/>
      <c r="N589" s="465"/>
      <c r="O589" s="587"/>
      <c r="P589" s="585"/>
      <c r="Q589" s="465"/>
      <c r="R589" s="458"/>
      <c r="S589" s="585"/>
      <c r="T589" s="588"/>
      <c r="U589" s="589"/>
      <c r="V589" s="587"/>
      <c r="W589" s="465"/>
      <c r="X589" s="465"/>
      <c r="Y589" s="590"/>
      <c r="Z589" s="458"/>
      <c r="AA589" s="591"/>
      <c r="AB589" s="465"/>
      <c r="AC589" s="465"/>
      <c r="AD589" s="465"/>
      <c r="AE589" s="465"/>
      <c r="AF589" s="465"/>
      <c r="AG589" s="465"/>
      <c r="AH589" s="465"/>
      <c r="AI589" s="592"/>
      <c r="AJ589" s="465"/>
      <c r="AK589" s="465"/>
      <c r="AL589" s="20"/>
      <c r="AM589" s="20"/>
      <c r="AN589" s="593"/>
      <c r="AO589" s="20"/>
      <c r="AP589" s="276"/>
      <c r="AQ589" s="276"/>
      <c r="AR589" s="276"/>
      <c r="AS589" s="276"/>
      <c r="AT589" s="276"/>
      <c r="AU589" s="276"/>
      <c r="AV589" s="276"/>
      <c r="AW589" s="276"/>
      <c r="AX589" s="276"/>
      <c r="AY589" s="276"/>
      <c r="AZ589" s="276"/>
      <c r="BA589" s="276"/>
      <c r="BB589" s="276"/>
      <c r="BC589" s="276"/>
    </row>
    <row r="590" spans="1:55" ht="12.75" customHeight="1">
      <c r="A590" s="465"/>
      <c r="B590" s="465"/>
      <c r="C590" s="147"/>
      <c r="D590" s="147"/>
      <c r="E590" s="585"/>
      <c r="F590" s="586"/>
      <c r="G590" s="458"/>
      <c r="H590" s="458"/>
      <c r="I590" s="458"/>
      <c r="J590" s="465"/>
      <c r="K590" s="587"/>
      <c r="L590" s="465"/>
      <c r="M590" s="465"/>
      <c r="N590" s="465"/>
      <c r="O590" s="587"/>
      <c r="P590" s="585"/>
      <c r="Q590" s="465"/>
      <c r="R590" s="458"/>
      <c r="S590" s="585"/>
      <c r="T590" s="588"/>
      <c r="U590" s="589"/>
      <c r="V590" s="587"/>
      <c r="W590" s="465"/>
      <c r="X590" s="465"/>
      <c r="Y590" s="590"/>
      <c r="Z590" s="458"/>
      <c r="AA590" s="591"/>
      <c r="AB590" s="465"/>
      <c r="AC590" s="465"/>
      <c r="AD590" s="465"/>
      <c r="AE590" s="465"/>
      <c r="AF590" s="465"/>
      <c r="AG590" s="465"/>
      <c r="AH590" s="465"/>
      <c r="AI590" s="592"/>
      <c r="AJ590" s="465"/>
      <c r="AK590" s="465"/>
      <c r="AL590" s="20"/>
      <c r="AM590" s="20"/>
      <c r="AN590" s="593"/>
      <c r="AO590" s="20"/>
      <c r="AP590" s="276"/>
      <c r="AQ590" s="276"/>
      <c r="AR590" s="276"/>
      <c r="AS590" s="276"/>
      <c r="AT590" s="276"/>
      <c r="AU590" s="276"/>
      <c r="AV590" s="276"/>
      <c r="AW590" s="276"/>
      <c r="AX590" s="276"/>
      <c r="AY590" s="276"/>
      <c r="AZ590" s="276"/>
      <c r="BA590" s="276"/>
      <c r="BB590" s="276"/>
      <c r="BC590" s="276"/>
    </row>
    <row r="591" spans="1:55" ht="12.75" customHeight="1">
      <c r="A591" s="465"/>
      <c r="B591" s="465"/>
      <c r="C591" s="147"/>
      <c r="D591" s="147"/>
      <c r="E591" s="585"/>
      <c r="F591" s="586"/>
      <c r="G591" s="458"/>
      <c r="H591" s="458"/>
      <c r="I591" s="458"/>
      <c r="J591" s="465"/>
      <c r="K591" s="587"/>
      <c r="L591" s="465"/>
      <c r="M591" s="465"/>
      <c r="N591" s="465"/>
      <c r="O591" s="587"/>
      <c r="P591" s="585"/>
      <c r="Q591" s="465"/>
      <c r="R591" s="458"/>
      <c r="S591" s="585"/>
      <c r="T591" s="588"/>
      <c r="U591" s="589"/>
      <c r="V591" s="587"/>
      <c r="W591" s="465"/>
      <c r="X591" s="465"/>
      <c r="Y591" s="590"/>
      <c r="Z591" s="458"/>
      <c r="AA591" s="591"/>
      <c r="AB591" s="465"/>
      <c r="AC591" s="465"/>
      <c r="AD591" s="465"/>
      <c r="AE591" s="465"/>
      <c r="AF591" s="465"/>
      <c r="AG591" s="465"/>
      <c r="AH591" s="465"/>
      <c r="AI591" s="592"/>
      <c r="AJ591" s="465"/>
      <c r="AK591" s="465"/>
      <c r="AL591" s="20"/>
      <c r="AM591" s="20"/>
      <c r="AN591" s="593"/>
      <c r="AO591" s="20"/>
      <c r="AP591" s="276"/>
      <c r="AQ591" s="276"/>
      <c r="AR591" s="276"/>
      <c r="AS591" s="276"/>
      <c r="AT591" s="276"/>
      <c r="AU591" s="276"/>
      <c r="AV591" s="276"/>
      <c r="AW591" s="276"/>
      <c r="AX591" s="276"/>
      <c r="AY591" s="276"/>
      <c r="AZ591" s="276"/>
      <c r="BA591" s="276"/>
      <c r="BB591" s="276"/>
      <c r="BC591" s="276"/>
    </row>
    <row r="592" spans="1:55" ht="12.75" customHeight="1">
      <c r="A592" s="465"/>
      <c r="B592" s="465"/>
      <c r="C592" s="147"/>
      <c r="D592" s="147"/>
      <c r="E592" s="585"/>
      <c r="F592" s="586"/>
      <c r="G592" s="458"/>
      <c r="H592" s="458"/>
      <c r="I592" s="458"/>
      <c r="J592" s="465"/>
      <c r="K592" s="587"/>
      <c r="L592" s="465"/>
      <c r="M592" s="465"/>
      <c r="N592" s="465"/>
      <c r="O592" s="587"/>
      <c r="P592" s="585"/>
      <c r="Q592" s="465"/>
      <c r="R592" s="458"/>
      <c r="S592" s="585"/>
      <c r="T592" s="588"/>
      <c r="U592" s="589"/>
      <c r="V592" s="587"/>
      <c r="W592" s="465"/>
      <c r="X592" s="465"/>
      <c r="Y592" s="590"/>
      <c r="Z592" s="458"/>
      <c r="AA592" s="591"/>
      <c r="AB592" s="465"/>
      <c r="AC592" s="465"/>
      <c r="AD592" s="465"/>
      <c r="AE592" s="465"/>
      <c r="AF592" s="465"/>
      <c r="AG592" s="465"/>
      <c r="AH592" s="465"/>
      <c r="AI592" s="592"/>
      <c r="AJ592" s="465"/>
      <c r="AK592" s="465"/>
      <c r="AL592" s="20"/>
      <c r="AM592" s="20"/>
      <c r="AN592" s="593"/>
      <c r="AO592" s="20"/>
      <c r="AP592" s="276"/>
      <c r="AQ592" s="276"/>
      <c r="AR592" s="276"/>
      <c r="AS592" s="276"/>
      <c r="AT592" s="276"/>
      <c r="AU592" s="276"/>
      <c r="AV592" s="276"/>
      <c r="AW592" s="276"/>
      <c r="AX592" s="276"/>
      <c r="AY592" s="276"/>
      <c r="AZ592" s="276"/>
      <c r="BA592" s="276"/>
      <c r="BB592" s="276"/>
      <c r="BC592" s="276"/>
    </row>
    <row r="593" spans="1:55" ht="12.75" customHeight="1">
      <c r="A593" s="465"/>
      <c r="B593" s="465"/>
      <c r="C593" s="147"/>
      <c r="D593" s="147"/>
      <c r="E593" s="585"/>
      <c r="F593" s="586"/>
      <c r="G593" s="458"/>
      <c r="H593" s="458"/>
      <c r="I593" s="458"/>
      <c r="J593" s="465"/>
      <c r="K593" s="587"/>
      <c r="L593" s="465"/>
      <c r="M593" s="465"/>
      <c r="N593" s="465"/>
      <c r="O593" s="587"/>
      <c r="P593" s="585"/>
      <c r="Q593" s="465"/>
      <c r="R593" s="458"/>
      <c r="S593" s="585"/>
      <c r="T593" s="588"/>
      <c r="U593" s="589"/>
      <c r="V593" s="587"/>
      <c r="W593" s="465"/>
      <c r="X593" s="465"/>
      <c r="Y593" s="590"/>
      <c r="Z593" s="458"/>
      <c r="AA593" s="591"/>
      <c r="AB593" s="465"/>
      <c r="AC593" s="465"/>
      <c r="AD593" s="465"/>
      <c r="AE593" s="465"/>
      <c r="AF593" s="465"/>
      <c r="AG593" s="465"/>
      <c r="AH593" s="465"/>
      <c r="AI593" s="592"/>
      <c r="AJ593" s="465"/>
      <c r="AK593" s="465"/>
      <c r="AL593" s="20"/>
      <c r="AM593" s="20"/>
      <c r="AN593" s="593"/>
      <c r="AO593" s="20"/>
      <c r="AP593" s="276"/>
      <c r="AQ593" s="276"/>
      <c r="AR593" s="276"/>
      <c r="AS593" s="276"/>
      <c r="AT593" s="276"/>
      <c r="AU593" s="276"/>
      <c r="AV593" s="276"/>
      <c r="AW593" s="276"/>
      <c r="AX593" s="276"/>
      <c r="AY593" s="276"/>
      <c r="AZ593" s="276"/>
      <c r="BA593" s="276"/>
      <c r="BB593" s="276"/>
      <c r="BC593" s="276"/>
    </row>
    <row r="594" spans="1:55" ht="12.75" customHeight="1">
      <c r="A594" s="465"/>
      <c r="B594" s="465"/>
      <c r="C594" s="147"/>
      <c r="D594" s="147"/>
      <c r="E594" s="585"/>
      <c r="F594" s="586"/>
      <c r="G594" s="458"/>
      <c r="H594" s="458"/>
      <c r="I594" s="458"/>
      <c r="J594" s="465"/>
      <c r="K594" s="587"/>
      <c r="L594" s="465"/>
      <c r="M594" s="465"/>
      <c r="N594" s="465"/>
      <c r="O594" s="587"/>
      <c r="P594" s="585"/>
      <c r="Q594" s="465"/>
      <c r="R594" s="458"/>
      <c r="S594" s="585"/>
      <c r="T594" s="588"/>
      <c r="U594" s="589"/>
      <c r="V594" s="587"/>
      <c r="W594" s="465"/>
      <c r="X594" s="465"/>
      <c r="Y594" s="590"/>
      <c r="Z594" s="458"/>
      <c r="AA594" s="591"/>
      <c r="AB594" s="465"/>
      <c r="AC594" s="465"/>
      <c r="AD594" s="465"/>
      <c r="AE594" s="465"/>
      <c r="AF594" s="465"/>
      <c r="AG594" s="465"/>
      <c r="AH594" s="465"/>
      <c r="AI594" s="592"/>
      <c r="AJ594" s="465"/>
      <c r="AK594" s="465"/>
      <c r="AL594" s="20"/>
      <c r="AM594" s="20"/>
      <c r="AN594" s="593"/>
      <c r="AO594" s="20"/>
      <c r="AP594" s="276"/>
      <c r="AQ594" s="276"/>
      <c r="AR594" s="276"/>
      <c r="AS594" s="276"/>
      <c r="AT594" s="276"/>
      <c r="AU594" s="276"/>
      <c r="AV594" s="276"/>
      <c r="AW594" s="276"/>
      <c r="AX594" s="276"/>
      <c r="AY594" s="276"/>
      <c r="AZ594" s="276"/>
      <c r="BA594" s="276"/>
      <c r="BB594" s="276"/>
      <c r="BC594" s="276"/>
    </row>
    <row r="595" spans="1:55" ht="12.75" customHeight="1">
      <c r="A595" s="465"/>
      <c r="B595" s="465"/>
      <c r="C595" s="147"/>
      <c r="D595" s="147"/>
      <c r="E595" s="585"/>
      <c r="F595" s="586"/>
      <c r="G595" s="458"/>
      <c r="H595" s="458"/>
      <c r="I595" s="458"/>
      <c r="J595" s="465"/>
      <c r="K595" s="587"/>
      <c r="L595" s="465"/>
      <c r="M595" s="465"/>
      <c r="N595" s="465"/>
      <c r="O595" s="587"/>
      <c r="P595" s="585"/>
      <c r="Q595" s="465"/>
      <c r="R595" s="458"/>
      <c r="S595" s="585"/>
      <c r="T595" s="588"/>
      <c r="U595" s="589"/>
      <c r="V595" s="587"/>
      <c r="W595" s="465"/>
      <c r="X595" s="465"/>
      <c r="Y595" s="590"/>
      <c r="Z595" s="458"/>
      <c r="AA595" s="591"/>
      <c r="AB595" s="465"/>
      <c r="AC595" s="465"/>
      <c r="AD595" s="465"/>
      <c r="AE595" s="465"/>
      <c r="AF595" s="465"/>
      <c r="AG595" s="465"/>
      <c r="AH595" s="465"/>
      <c r="AI595" s="592"/>
      <c r="AJ595" s="465"/>
      <c r="AK595" s="465"/>
      <c r="AL595" s="20"/>
      <c r="AM595" s="20"/>
      <c r="AN595" s="593"/>
      <c r="AO595" s="20"/>
      <c r="AP595" s="276"/>
      <c r="AQ595" s="276"/>
      <c r="AR595" s="276"/>
      <c r="AS595" s="276"/>
      <c r="AT595" s="276"/>
      <c r="AU595" s="276"/>
      <c r="AV595" s="276"/>
      <c r="AW595" s="276"/>
      <c r="AX595" s="276"/>
      <c r="AY595" s="276"/>
      <c r="AZ595" s="276"/>
      <c r="BA595" s="276"/>
      <c r="BB595" s="276"/>
      <c r="BC595" s="276"/>
    </row>
    <row r="596" spans="1:55" ht="12.75" customHeight="1">
      <c r="A596" s="465"/>
      <c r="B596" s="465"/>
      <c r="C596" s="147"/>
      <c r="D596" s="147"/>
      <c r="E596" s="585"/>
      <c r="F596" s="586"/>
      <c r="G596" s="458"/>
      <c r="H596" s="458"/>
      <c r="I596" s="458"/>
      <c r="J596" s="465"/>
      <c r="K596" s="587"/>
      <c r="L596" s="465"/>
      <c r="M596" s="465"/>
      <c r="N596" s="465"/>
      <c r="O596" s="587"/>
      <c r="P596" s="585"/>
      <c r="Q596" s="465"/>
      <c r="R596" s="458"/>
      <c r="S596" s="585"/>
      <c r="T596" s="588"/>
      <c r="U596" s="589"/>
      <c r="V596" s="587"/>
      <c r="W596" s="465"/>
      <c r="X596" s="465"/>
      <c r="Y596" s="590"/>
      <c r="Z596" s="458"/>
      <c r="AA596" s="591"/>
      <c r="AB596" s="465"/>
      <c r="AC596" s="465"/>
      <c r="AD596" s="465"/>
      <c r="AE596" s="465"/>
      <c r="AF596" s="465"/>
      <c r="AG596" s="465"/>
      <c r="AH596" s="465"/>
      <c r="AI596" s="592"/>
      <c r="AJ596" s="465"/>
      <c r="AK596" s="465"/>
      <c r="AL596" s="20"/>
      <c r="AM596" s="20"/>
      <c r="AN596" s="593"/>
      <c r="AO596" s="20"/>
      <c r="AP596" s="276"/>
      <c r="AQ596" s="276"/>
      <c r="AR596" s="276"/>
      <c r="AS596" s="276"/>
      <c r="AT596" s="276"/>
      <c r="AU596" s="276"/>
      <c r="AV596" s="276"/>
      <c r="AW596" s="276"/>
      <c r="AX596" s="276"/>
      <c r="AY596" s="276"/>
      <c r="AZ596" s="276"/>
      <c r="BA596" s="276"/>
      <c r="BB596" s="276"/>
      <c r="BC596" s="276"/>
    </row>
    <row r="597" spans="1:55" ht="12.75" customHeight="1">
      <c r="A597" s="465"/>
      <c r="B597" s="465"/>
      <c r="C597" s="147"/>
      <c r="D597" s="147"/>
      <c r="E597" s="585"/>
      <c r="F597" s="586"/>
      <c r="G597" s="458"/>
      <c r="H597" s="458"/>
      <c r="I597" s="458"/>
      <c r="J597" s="465"/>
      <c r="K597" s="587"/>
      <c r="L597" s="465"/>
      <c r="M597" s="465"/>
      <c r="N597" s="465"/>
      <c r="O597" s="587"/>
      <c r="P597" s="585"/>
      <c r="Q597" s="465"/>
      <c r="R597" s="458"/>
      <c r="S597" s="585"/>
      <c r="T597" s="588"/>
      <c r="U597" s="589"/>
      <c r="V597" s="587"/>
      <c r="W597" s="465"/>
      <c r="X597" s="465"/>
      <c r="Y597" s="590"/>
      <c r="Z597" s="458"/>
      <c r="AA597" s="591"/>
      <c r="AB597" s="465"/>
      <c r="AC597" s="465"/>
      <c r="AD597" s="465"/>
      <c r="AE597" s="465"/>
      <c r="AF597" s="465"/>
      <c r="AG597" s="465"/>
      <c r="AH597" s="465"/>
      <c r="AI597" s="592"/>
      <c r="AJ597" s="465"/>
      <c r="AK597" s="465"/>
      <c r="AL597" s="20"/>
      <c r="AM597" s="20"/>
      <c r="AN597" s="593"/>
      <c r="AO597" s="20"/>
      <c r="AP597" s="276"/>
      <c r="AQ597" s="276"/>
      <c r="AR597" s="276"/>
      <c r="AS597" s="276"/>
      <c r="AT597" s="276"/>
      <c r="AU597" s="276"/>
      <c r="AV597" s="276"/>
      <c r="AW597" s="276"/>
      <c r="AX597" s="276"/>
      <c r="AY597" s="276"/>
      <c r="AZ597" s="276"/>
      <c r="BA597" s="276"/>
      <c r="BB597" s="276"/>
      <c r="BC597" s="276"/>
    </row>
    <row r="598" spans="1:55" ht="12.75" customHeight="1">
      <c r="A598" s="465"/>
      <c r="B598" s="465"/>
      <c r="C598" s="147"/>
      <c r="D598" s="147"/>
      <c r="E598" s="585"/>
      <c r="F598" s="586"/>
      <c r="G598" s="458"/>
      <c r="H598" s="458"/>
      <c r="I598" s="458"/>
      <c r="J598" s="465"/>
      <c r="K598" s="587"/>
      <c r="L598" s="465"/>
      <c r="M598" s="465"/>
      <c r="N598" s="465"/>
      <c r="O598" s="587"/>
      <c r="P598" s="585"/>
      <c r="Q598" s="465"/>
      <c r="R598" s="458"/>
      <c r="S598" s="585"/>
      <c r="T598" s="588"/>
      <c r="U598" s="589"/>
      <c r="V598" s="587"/>
      <c r="W598" s="465"/>
      <c r="X598" s="465"/>
      <c r="Y598" s="590"/>
      <c r="Z598" s="458"/>
      <c r="AA598" s="591"/>
      <c r="AB598" s="465"/>
      <c r="AC598" s="465"/>
      <c r="AD598" s="465"/>
      <c r="AE598" s="465"/>
      <c r="AF598" s="465"/>
      <c r="AG598" s="465"/>
      <c r="AH598" s="465"/>
      <c r="AI598" s="592"/>
      <c r="AJ598" s="465"/>
      <c r="AK598" s="465"/>
      <c r="AL598" s="20"/>
      <c r="AM598" s="20"/>
      <c r="AN598" s="593"/>
      <c r="AO598" s="20"/>
      <c r="AP598" s="276"/>
      <c r="AQ598" s="276"/>
      <c r="AR598" s="276"/>
      <c r="AS598" s="276"/>
      <c r="AT598" s="276"/>
      <c r="AU598" s="276"/>
      <c r="AV598" s="276"/>
      <c r="AW598" s="276"/>
      <c r="AX598" s="276"/>
      <c r="AY598" s="276"/>
      <c r="AZ598" s="276"/>
      <c r="BA598" s="276"/>
      <c r="BB598" s="276"/>
      <c r="BC598" s="276"/>
    </row>
    <row r="599" spans="1:55" ht="12.75" customHeight="1">
      <c r="A599" s="465"/>
      <c r="B599" s="465"/>
      <c r="C599" s="147"/>
      <c r="D599" s="147"/>
      <c r="E599" s="585"/>
      <c r="F599" s="586"/>
      <c r="G599" s="458"/>
      <c r="H599" s="458"/>
      <c r="I599" s="458"/>
      <c r="J599" s="465"/>
      <c r="K599" s="587"/>
      <c r="L599" s="465"/>
      <c r="M599" s="465"/>
      <c r="N599" s="465"/>
      <c r="O599" s="587"/>
      <c r="P599" s="585"/>
      <c r="Q599" s="465"/>
      <c r="R599" s="458"/>
      <c r="S599" s="585"/>
      <c r="T599" s="588"/>
      <c r="U599" s="589"/>
      <c r="V599" s="587"/>
      <c r="W599" s="465"/>
      <c r="X599" s="465"/>
      <c r="Y599" s="590"/>
      <c r="Z599" s="458"/>
      <c r="AA599" s="591"/>
      <c r="AB599" s="465"/>
      <c r="AC599" s="465"/>
      <c r="AD599" s="465"/>
      <c r="AE599" s="465"/>
      <c r="AF599" s="465"/>
      <c r="AG599" s="465"/>
      <c r="AH599" s="465"/>
      <c r="AI599" s="592"/>
      <c r="AJ599" s="465"/>
      <c r="AK599" s="465"/>
      <c r="AL599" s="20"/>
      <c r="AM599" s="20"/>
      <c r="AN599" s="593"/>
      <c r="AO599" s="20"/>
      <c r="AP599" s="276"/>
      <c r="AQ599" s="276"/>
      <c r="AR599" s="276"/>
      <c r="AS599" s="276"/>
      <c r="AT599" s="276"/>
      <c r="AU599" s="276"/>
      <c r="AV599" s="276"/>
      <c r="AW599" s="276"/>
      <c r="AX599" s="276"/>
      <c r="AY599" s="276"/>
      <c r="AZ599" s="276"/>
      <c r="BA599" s="276"/>
      <c r="BB599" s="276"/>
      <c r="BC599" s="276"/>
    </row>
    <row r="600" spans="1:55" ht="12.75" customHeight="1">
      <c r="A600" s="465"/>
      <c r="B600" s="465"/>
      <c r="C600" s="147"/>
      <c r="D600" s="147"/>
      <c r="E600" s="585"/>
      <c r="F600" s="586"/>
      <c r="G600" s="458"/>
      <c r="H600" s="458"/>
      <c r="I600" s="458"/>
      <c r="J600" s="465"/>
      <c r="K600" s="587"/>
      <c r="L600" s="465"/>
      <c r="M600" s="465"/>
      <c r="N600" s="465"/>
      <c r="O600" s="587"/>
      <c r="P600" s="585"/>
      <c r="Q600" s="465"/>
      <c r="R600" s="458"/>
      <c r="S600" s="585"/>
      <c r="T600" s="588"/>
      <c r="U600" s="589"/>
      <c r="V600" s="587"/>
      <c r="W600" s="465"/>
      <c r="X600" s="465"/>
      <c r="Y600" s="590"/>
      <c r="Z600" s="458"/>
      <c r="AA600" s="591"/>
      <c r="AB600" s="465"/>
      <c r="AC600" s="465"/>
      <c r="AD600" s="465"/>
      <c r="AE600" s="465"/>
      <c r="AF600" s="465"/>
      <c r="AG600" s="465"/>
      <c r="AH600" s="465"/>
      <c r="AI600" s="592"/>
      <c r="AJ600" s="465"/>
      <c r="AK600" s="465"/>
      <c r="AL600" s="20"/>
      <c r="AM600" s="20"/>
      <c r="AN600" s="593"/>
      <c r="AO600" s="20"/>
      <c r="AP600" s="276"/>
      <c r="AQ600" s="276"/>
      <c r="AR600" s="276"/>
      <c r="AS600" s="276"/>
      <c r="AT600" s="276"/>
      <c r="AU600" s="276"/>
      <c r="AV600" s="276"/>
      <c r="AW600" s="276"/>
      <c r="AX600" s="276"/>
      <c r="AY600" s="276"/>
      <c r="AZ600" s="276"/>
      <c r="BA600" s="276"/>
      <c r="BB600" s="276"/>
      <c r="BC600" s="276"/>
    </row>
    <row r="601" spans="1:55" ht="12.75" customHeight="1">
      <c r="A601" s="465"/>
      <c r="B601" s="465"/>
      <c r="C601" s="147"/>
      <c r="D601" s="147"/>
      <c r="E601" s="585"/>
      <c r="F601" s="586"/>
      <c r="G601" s="458"/>
      <c r="H601" s="458"/>
      <c r="I601" s="458"/>
      <c r="J601" s="465"/>
      <c r="K601" s="587"/>
      <c r="L601" s="465"/>
      <c r="M601" s="465"/>
      <c r="N601" s="465"/>
      <c r="O601" s="587"/>
      <c r="P601" s="585"/>
      <c r="Q601" s="465"/>
      <c r="R601" s="458"/>
      <c r="S601" s="585"/>
      <c r="T601" s="588"/>
      <c r="U601" s="589"/>
      <c r="V601" s="587"/>
      <c r="W601" s="465"/>
      <c r="X601" s="465"/>
      <c r="Y601" s="590"/>
      <c r="Z601" s="458"/>
      <c r="AA601" s="591"/>
      <c r="AB601" s="465"/>
      <c r="AC601" s="465"/>
      <c r="AD601" s="465"/>
      <c r="AE601" s="465"/>
      <c r="AF601" s="465"/>
      <c r="AG601" s="465"/>
      <c r="AH601" s="465"/>
      <c r="AI601" s="592"/>
      <c r="AJ601" s="465"/>
      <c r="AK601" s="465"/>
      <c r="AL601" s="20"/>
      <c r="AM601" s="20"/>
      <c r="AN601" s="593"/>
      <c r="AO601" s="20"/>
      <c r="AP601" s="276"/>
      <c r="AQ601" s="276"/>
      <c r="AR601" s="276"/>
      <c r="AS601" s="276"/>
      <c r="AT601" s="276"/>
      <c r="AU601" s="276"/>
      <c r="AV601" s="276"/>
      <c r="AW601" s="276"/>
      <c r="AX601" s="276"/>
      <c r="AY601" s="276"/>
      <c r="AZ601" s="276"/>
      <c r="BA601" s="276"/>
      <c r="BB601" s="276"/>
      <c r="BC601" s="276"/>
    </row>
    <row r="602" spans="1:55" ht="12.75" customHeight="1">
      <c r="A602" s="465"/>
      <c r="B602" s="465"/>
      <c r="C602" s="147"/>
      <c r="D602" s="147"/>
      <c r="E602" s="585"/>
      <c r="F602" s="586"/>
      <c r="G602" s="458"/>
      <c r="H602" s="458"/>
      <c r="I602" s="458"/>
      <c r="J602" s="465"/>
      <c r="K602" s="587"/>
      <c r="L602" s="465"/>
      <c r="M602" s="465"/>
      <c r="N602" s="465"/>
      <c r="O602" s="587"/>
      <c r="P602" s="585"/>
      <c r="Q602" s="465"/>
      <c r="R602" s="458"/>
      <c r="S602" s="585"/>
      <c r="T602" s="588"/>
      <c r="U602" s="589"/>
      <c r="V602" s="587"/>
      <c r="W602" s="465"/>
      <c r="X602" s="465"/>
      <c r="Y602" s="590"/>
      <c r="Z602" s="458"/>
      <c r="AA602" s="591"/>
      <c r="AB602" s="465"/>
      <c r="AC602" s="465"/>
      <c r="AD602" s="465"/>
      <c r="AE602" s="465"/>
      <c r="AF602" s="465"/>
      <c r="AG602" s="465"/>
      <c r="AH602" s="465"/>
      <c r="AI602" s="592"/>
      <c r="AJ602" s="465"/>
      <c r="AK602" s="465"/>
      <c r="AL602" s="20"/>
      <c r="AM602" s="20"/>
      <c r="AN602" s="593"/>
      <c r="AO602" s="20"/>
      <c r="AP602" s="276"/>
      <c r="AQ602" s="276"/>
      <c r="AR602" s="276"/>
      <c r="AS602" s="276"/>
      <c r="AT602" s="276"/>
      <c r="AU602" s="276"/>
      <c r="AV602" s="276"/>
      <c r="AW602" s="276"/>
      <c r="AX602" s="276"/>
      <c r="AY602" s="276"/>
      <c r="AZ602" s="276"/>
      <c r="BA602" s="276"/>
      <c r="BB602" s="276"/>
      <c r="BC602" s="276"/>
    </row>
    <row r="603" spans="1:55" ht="12.75" customHeight="1">
      <c r="A603" s="465"/>
      <c r="B603" s="465"/>
      <c r="C603" s="147"/>
      <c r="D603" s="147"/>
      <c r="E603" s="585"/>
      <c r="F603" s="586"/>
      <c r="G603" s="458"/>
      <c r="H603" s="458"/>
      <c r="I603" s="458"/>
      <c r="J603" s="465"/>
      <c r="K603" s="587"/>
      <c r="L603" s="465"/>
      <c r="M603" s="465"/>
      <c r="N603" s="465"/>
      <c r="O603" s="587"/>
      <c r="P603" s="585"/>
      <c r="Q603" s="465"/>
      <c r="R603" s="458"/>
      <c r="S603" s="585"/>
      <c r="T603" s="588"/>
      <c r="U603" s="589"/>
      <c r="V603" s="587"/>
      <c r="W603" s="465"/>
      <c r="X603" s="465"/>
      <c r="Y603" s="590"/>
      <c r="Z603" s="458"/>
      <c r="AA603" s="591"/>
      <c r="AB603" s="465"/>
      <c r="AC603" s="465"/>
      <c r="AD603" s="465"/>
      <c r="AE603" s="465"/>
      <c r="AF603" s="465"/>
      <c r="AG603" s="465"/>
      <c r="AH603" s="465"/>
      <c r="AI603" s="592"/>
      <c r="AJ603" s="465"/>
      <c r="AK603" s="465"/>
      <c r="AL603" s="20"/>
      <c r="AM603" s="20"/>
      <c r="AN603" s="593"/>
      <c r="AO603" s="20"/>
      <c r="AP603" s="276"/>
      <c r="AQ603" s="276"/>
      <c r="AR603" s="276"/>
      <c r="AS603" s="276"/>
      <c r="AT603" s="276"/>
      <c r="AU603" s="276"/>
      <c r="AV603" s="276"/>
      <c r="AW603" s="276"/>
      <c r="AX603" s="276"/>
      <c r="AY603" s="276"/>
      <c r="AZ603" s="276"/>
      <c r="BA603" s="276"/>
      <c r="BB603" s="276"/>
      <c r="BC603" s="276"/>
    </row>
    <row r="604" spans="1:55" ht="12.75" customHeight="1">
      <c r="A604" s="465"/>
      <c r="B604" s="465"/>
      <c r="C604" s="147"/>
      <c r="D604" s="147"/>
      <c r="E604" s="585"/>
      <c r="F604" s="586"/>
      <c r="G604" s="458"/>
      <c r="H604" s="458"/>
      <c r="I604" s="458"/>
      <c r="J604" s="465"/>
      <c r="K604" s="587"/>
      <c r="L604" s="465"/>
      <c r="M604" s="465"/>
      <c r="N604" s="465"/>
      <c r="O604" s="587"/>
      <c r="P604" s="585"/>
      <c r="Q604" s="465"/>
      <c r="R604" s="458"/>
      <c r="S604" s="585"/>
      <c r="T604" s="588"/>
      <c r="U604" s="589"/>
      <c r="V604" s="587"/>
      <c r="W604" s="465"/>
      <c r="X604" s="465"/>
      <c r="Y604" s="590"/>
      <c r="Z604" s="458"/>
      <c r="AA604" s="591"/>
      <c r="AB604" s="465"/>
      <c r="AC604" s="465"/>
      <c r="AD604" s="465"/>
      <c r="AE604" s="465"/>
      <c r="AF604" s="465"/>
      <c r="AG604" s="465"/>
      <c r="AH604" s="465"/>
      <c r="AI604" s="592"/>
      <c r="AJ604" s="465"/>
      <c r="AK604" s="465"/>
      <c r="AL604" s="20"/>
      <c r="AM604" s="20"/>
      <c r="AN604" s="593"/>
      <c r="AO604" s="20"/>
      <c r="AP604" s="276"/>
      <c r="AQ604" s="276"/>
      <c r="AR604" s="276"/>
      <c r="AS604" s="276"/>
      <c r="AT604" s="276"/>
      <c r="AU604" s="276"/>
      <c r="AV604" s="276"/>
      <c r="AW604" s="276"/>
      <c r="AX604" s="276"/>
      <c r="AY604" s="276"/>
      <c r="AZ604" s="276"/>
      <c r="BA604" s="276"/>
      <c r="BB604" s="276"/>
      <c r="BC604" s="276"/>
    </row>
    <row r="605" spans="1:55" ht="12.75" customHeight="1">
      <c r="A605" s="465"/>
      <c r="B605" s="465"/>
      <c r="C605" s="147"/>
      <c r="D605" s="147"/>
      <c r="E605" s="585"/>
      <c r="F605" s="586"/>
      <c r="G605" s="458"/>
      <c r="H605" s="458"/>
      <c r="I605" s="458"/>
      <c r="J605" s="465"/>
      <c r="K605" s="587"/>
      <c r="L605" s="465"/>
      <c r="M605" s="465"/>
      <c r="N605" s="465"/>
      <c r="O605" s="587"/>
      <c r="P605" s="585"/>
      <c r="Q605" s="465"/>
      <c r="R605" s="458"/>
      <c r="S605" s="585"/>
      <c r="T605" s="588"/>
      <c r="U605" s="589"/>
      <c r="V605" s="587"/>
      <c r="W605" s="465"/>
      <c r="X605" s="465"/>
      <c r="Y605" s="590"/>
      <c r="Z605" s="458"/>
      <c r="AA605" s="591"/>
      <c r="AB605" s="465"/>
      <c r="AC605" s="465"/>
      <c r="AD605" s="465"/>
      <c r="AE605" s="465"/>
      <c r="AF605" s="465"/>
      <c r="AG605" s="465"/>
      <c r="AH605" s="465"/>
      <c r="AI605" s="592"/>
      <c r="AJ605" s="465"/>
      <c r="AK605" s="465"/>
      <c r="AL605" s="20"/>
      <c r="AM605" s="20"/>
      <c r="AN605" s="593"/>
      <c r="AO605" s="20"/>
      <c r="AP605" s="276"/>
      <c r="AQ605" s="276"/>
      <c r="AR605" s="276"/>
      <c r="AS605" s="276"/>
      <c r="AT605" s="276"/>
      <c r="AU605" s="276"/>
      <c r="AV605" s="276"/>
      <c r="AW605" s="276"/>
      <c r="AX605" s="276"/>
      <c r="AY605" s="276"/>
      <c r="AZ605" s="276"/>
      <c r="BA605" s="276"/>
      <c r="BB605" s="276"/>
      <c r="BC605" s="276"/>
    </row>
    <row r="606" spans="1:55" ht="12.75" customHeight="1">
      <c r="A606" s="465"/>
      <c r="B606" s="465"/>
      <c r="C606" s="147"/>
      <c r="D606" s="147"/>
      <c r="E606" s="585"/>
      <c r="F606" s="586"/>
      <c r="G606" s="458"/>
      <c r="H606" s="458"/>
      <c r="I606" s="458"/>
      <c r="J606" s="465"/>
      <c r="K606" s="587"/>
      <c r="L606" s="465"/>
      <c r="M606" s="465"/>
      <c r="N606" s="465"/>
      <c r="O606" s="587"/>
      <c r="P606" s="585"/>
      <c r="Q606" s="465"/>
      <c r="R606" s="458"/>
      <c r="S606" s="585"/>
      <c r="T606" s="588"/>
      <c r="U606" s="589"/>
      <c r="V606" s="587"/>
      <c r="W606" s="465"/>
      <c r="X606" s="465"/>
      <c r="Y606" s="590"/>
      <c r="Z606" s="458"/>
      <c r="AA606" s="591"/>
      <c r="AB606" s="465"/>
      <c r="AC606" s="465"/>
      <c r="AD606" s="465"/>
      <c r="AE606" s="465"/>
      <c r="AF606" s="465"/>
      <c r="AG606" s="465"/>
      <c r="AH606" s="465"/>
      <c r="AI606" s="592"/>
      <c r="AJ606" s="465"/>
      <c r="AK606" s="465"/>
      <c r="AL606" s="20"/>
      <c r="AM606" s="20"/>
      <c r="AN606" s="593"/>
      <c r="AO606" s="20"/>
      <c r="AP606" s="276"/>
      <c r="AQ606" s="276"/>
      <c r="AR606" s="276"/>
      <c r="AS606" s="276"/>
      <c r="AT606" s="276"/>
      <c r="AU606" s="276"/>
      <c r="AV606" s="276"/>
      <c r="AW606" s="276"/>
      <c r="AX606" s="276"/>
      <c r="AY606" s="276"/>
      <c r="AZ606" s="276"/>
      <c r="BA606" s="276"/>
      <c r="BB606" s="276"/>
      <c r="BC606" s="276"/>
    </row>
    <row r="607" spans="1:55" ht="12.75" customHeight="1">
      <c r="A607" s="465"/>
      <c r="B607" s="465"/>
      <c r="C607" s="147"/>
      <c r="D607" s="147"/>
      <c r="E607" s="585"/>
      <c r="F607" s="586"/>
      <c r="G607" s="458"/>
      <c r="H607" s="458"/>
      <c r="I607" s="458"/>
      <c r="J607" s="465"/>
      <c r="K607" s="587"/>
      <c r="L607" s="465"/>
      <c r="M607" s="465"/>
      <c r="N607" s="465"/>
      <c r="O607" s="587"/>
      <c r="P607" s="585"/>
      <c r="Q607" s="465"/>
      <c r="R607" s="458"/>
      <c r="S607" s="585"/>
      <c r="T607" s="588"/>
      <c r="U607" s="589"/>
      <c r="V607" s="587"/>
      <c r="W607" s="465"/>
      <c r="X607" s="465"/>
      <c r="Y607" s="590"/>
      <c r="Z607" s="458"/>
      <c r="AA607" s="591"/>
      <c r="AB607" s="465"/>
      <c r="AC607" s="465"/>
      <c r="AD607" s="465"/>
      <c r="AE607" s="465"/>
      <c r="AF607" s="465"/>
      <c r="AG607" s="465"/>
      <c r="AH607" s="465"/>
      <c r="AI607" s="592"/>
      <c r="AJ607" s="465"/>
      <c r="AK607" s="465"/>
      <c r="AL607" s="20"/>
      <c r="AM607" s="20"/>
      <c r="AN607" s="593"/>
      <c r="AO607" s="20"/>
      <c r="AP607" s="276"/>
      <c r="AQ607" s="276"/>
      <c r="AR607" s="276"/>
      <c r="AS607" s="276"/>
      <c r="AT607" s="276"/>
      <c r="AU607" s="276"/>
      <c r="AV607" s="276"/>
      <c r="AW607" s="276"/>
      <c r="AX607" s="276"/>
      <c r="AY607" s="276"/>
      <c r="AZ607" s="276"/>
      <c r="BA607" s="276"/>
      <c r="BB607" s="276"/>
      <c r="BC607" s="276"/>
    </row>
    <row r="608" spans="1:55" ht="12.75" customHeight="1">
      <c r="A608" s="465"/>
      <c r="B608" s="465"/>
      <c r="C608" s="147"/>
      <c r="D608" s="147"/>
      <c r="E608" s="585"/>
      <c r="F608" s="586"/>
      <c r="G608" s="458"/>
      <c r="H608" s="458"/>
      <c r="I608" s="458"/>
      <c r="J608" s="465"/>
      <c r="K608" s="587"/>
      <c r="L608" s="465"/>
      <c r="M608" s="465"/>
      <c r="N608" s="465"/>
      <c r="O608" s="587"/>
      <c r="P608" s="585"/>
      <c r="Q608" s="465"/>
      <c r="R608" s="458"/>
      <c r="S608" s="585"/>
      <c r="T608" s="588"/>
      <c r="U608" s="589"/>
      <c r="V608" s="587"/>
      <c r="W608" s="465"/>
      <c r="X608" s="465"/>
      <c r="Y608" s="590"/>
      <c r="Z608" s="458"/>
      <c r="AA608" s="591"/>
      <c r="AB608" s="465"/>
      <c r="AC608" s="465"/>
      <c r="AD608" s="465"/>
      <c r="AE608" s="465"/>
      <c r="AF608" s="465"/>
      <c r="AG608" s="465"/>
      <c r="AH608" s="465"/>
      <c r="AI608" s="592"/>
      <c r="AJ608" s="465"/>
      <c r="AK608" s="465"/>
      <c r="AL608" s="20"/>
      <c r="AM608" s="20"/>
      <c r="AN608" s="593"/>
      <c r="AO608" s="20"/>
      <c r="AP608" s="276"/>
      <c r="AQ608" s="276"/>
      <c r="AR608" s="276"/>
      <c r="AS608" s="276"/>
      <c r="AT608" s="276"/>
      <c r="AU608" s="276"/>
      <c r="AV608" s="276"/>
      <c r="AW608" s="276"/>
      <c r="AX608" s="276"/>
      <c r="AY608" s="276"/>
      <c r="AZ608" s="276"/>
      <c r="BA608" s="276"/>
      <c r="BB608" s="276"/>
      <c r="BC608" s="276"/>
    </row>
    <row r="609" spans="1:55" ht="12.75" customHeight="1">
      <c r="A609" s="465"/>
      <c r="B609" s="465"/>
      <c r="C609" s="147"/>
      <c r="D609" s="147"/>
      <c r="E609" s="585"/>
      <c r="F609" s="586"/>
      <c r="G609" s="458"/>
      <c r="H609" s="458"/>
      <c r="I609" s="458"/>
      <c r="J609" s="465"/>
      <c r="K609" s="587"/>
      <c r="L609" s="465"/>
      <c r="M609" s="465"/>
      <c r="N609" s="465"/>
      <c r="O609" s="587"/>
      <c r="P609" s="585"/>
      <c r="Q609" s="465"/>
      <c r="R609" s="458"/>
      <c r="S609" s="585"/>
      <c r="T609" s="588"/>
      <c r="U609" s="589"/>
      <c r="V609" s="587"/>
      <c r="W609" s="465"/>
      <c r="X609" s="465"/>
      <c r="Y609" s="590"/>
      <c r="Z609" s="458"/>
      <c r="AA609" s="591"/>
      <c r="AB609" s="465"/>
      <c r="AC609" s="465"/>
      <c r="AD609" s="465"/>
      <c r="AE609" s="465"/>
      <c r="AF609" s="465"/>
      <c r="AG609" s="465"/>
      <c r="AH609" s="465"/>
      <c r="AI609" s="592"/>
      <c r="AJ609" s="465"/>
      <c r="AK609" s="465"/>
      <c r="AL609" s="20"/>
      <c r="AM609" s="20"/>
      <c r="AN609" s="593"/>
      <c r="AO609" s="20"/>
      <c r="AP609" s="276"/>
      <c r="AQ609" s="276"/>
      <c r="AR609" s="276"/>
      <c r="AS609" s="276"/>
      <c r="AT609" s="276"/>
      <c r="AU609" s="276"/>
      <c r="AV609" s="276"/>
      <c r="AW609" s="276"/>
      <c r="AX609" s="276"/>
      <c r="AY609" s="276"/>
      <c r="AZ609" s="276"/>
      <c r="BA609" s="276"/>
      <c r="BB609" s="276"/>
      <c r="BC609" s="276"/>
    </row>
    <row r="610" spans="1:55" ht="12.75" customHeight="1">
      <c r="A610" s="465"/>
      <c r="B610" s="465"/>
      <c r="C610" s="147"/>
      <c r="D610" s="147"/>
      <c r="E610" s="585"/>
      <c r="F610" s="586"/>
      <c r="G610" s="458"/>
      <c r="H610" s="458"/>
      <c r="I610" s="458"/>
      <c r="J610" s="465"/>
      <c r="K610" s="587"/>
      <c r="L610" s="465"/>
      <c r="M610" s="465"/>
      <c r="N610" s="465"/>
      <c r="O610" s="587"/>
      <c r="P610" s="585"/>
      <c r="Q610" s="465"/>
      <c r="R610" s="458"/>
      <c r="S610" s="585"/>
      <c r="T610" s="588"/>
      <c r="U610" s="589"/>
      <c r="V610" s="587"/>
      <c r="W610" s="465"/>
      <c r="X610" s="465"/>
      <c r="Y610" s="590"/>
      <c r="Z610" s="458"/>
      <c r="AA610" s="591"/>
      <c r="AB610" s="465"/>
      <c r="AC610" s="465"/>
      <c r="AD610" s="465"/>
      <c r="AE610" s="465"/>
      <c r="AF610" s="465"/>
      <c r="AG610" s="465"/>
      <c r="AH610" s="465"/>
      <c r="AI610" s="592"/>
      <c r="AJ610" s="465"/>
      <c r="AK610" s="465"/>
      <c r="AL610" s="20"/>
      <c r="AM610" s="20"/>
      <c r="AN610" s="593"/>
      <c r="AO610" s="20"/>
      <c r="AP610" s="276"/>
      <c r="AQ610" s="276"/>
      <c r="AR610" s="276"/>
      <c r="AS610" s="276"/>
      <c r="AT610" s="276"/>
      <c r="AU610" s="276"/>
      <c r="AV610" s="276"/>
      <c r="AW610" s="276"/>
      <c r="AX610" s="276"/>
      <c r="AY610" s="276"/>
      <c r="AZ610" s="276"/>
      <c r="BA610" s="276"/>
      <c r="BB610" s="276"/>
      <c r="BC610" s="276"/>
    </row>
    <row r="611" spans="1:55" ht="12.75" customHeight="1">
      <c r="A611" s="465"/>
      <c r="B611" s="465"/>
      <c r="C611" s="147"/>
      <c r="D611" s="147"/>
      <c r="E611" s="585"/>
      <c r="F611" s="586"/>
      <c r="G611" s="458"/>
      <c r="H611" s="458"/>
      <c r="I611" s="458"/>
      <c r="J611" s="465"/>
      <c r="K611" s="587"/>
      <c r="L611" s="465"/>
      <c r="M611" s="465"/>
      <c r="N611" s="465"/>
      <c r="O611" s="587"/>
      <c r="P611" s="585"/>
      <c r="Q611" s="465"/>
      <c r="R611" s="458"/>
      <c r="S611" s="585"/>
      <c r="T611" s="588"/>
      <c r="U611" s="589"/>
      <c r="V611" s="587"/>
      <c r="W611" s="465"/>
      <c r="X611" s="465"/>
      <c r="Y611" s="590"/>
      <c r="Z611" s="458"/>
      <c r="AA611" s="591"/>
      <c r="AB611" s="465"/>
      <c r="AC611" s="465"/>
      <c r="AD611" s="465"/>
      <c r="AE611" s="465"/>
      <c r="AF611" s="465"/>
      <c r="AG611" s="465"/>
      <c r="AH611" s="465"/>
      <c r="AI611" s="592"/>
      <c r="AJ611" s="465"/>
      <c r="AK611" s="465"/>
      <c r="AL611" s="20"/>
      <c r="AM611" s="20"/>
      <c r="AN611" s="593"/>
      <c r="AO611" s="20"/>
      <c r="AP611" s="276"/>
      <c r="AQ611" s="276"/>
      <c r="AR611" s="276"/>
      <c r="AS611" s="276"/>
      <c r="AT611" s="276"/>
      <c r="AU611" s="276"/>
      <c r="AV611" s="276"/>
      <c r="AW611" s="276"/>
      <c r="AX611" s="276"/>
      <c r="AY611" s="276"/>
      <c r="AZ611" s="276"/>
      <c r="BA611" s="276"/>
      <c r="BB611" s="276"/>
      <c r="BC611" s="276"/>
    </row>
    <row r="612" spans="1:55" ht="12.75" customHeight="1">
      <c r="A612" s="465"/>
      <c r="B612" s="465"/>
      <c r="C612" s="147"/>
      <c r="D612" s="147"/>
      <c r="E612" s="585"/>
      <c r="F612" s="586"/>
      <c r="G612" s="458"/>
      <c r="H612" s="458"/>
      <c r="I612" s="458"/>
      <c r="J612" s="465"/>
      <c r="K612" s="587"/>
      <c r="L612" s="465"/>
      <c r="M612" s="465"/>
      <c r="N612" s="465"/>
      <c r="O612" s="587"/>
      <c r="P612" s="585"/>
      <c r="Q612" s="465"/>
      <c r="R612" s="458"/>
      <c r="S612" s="585"/>
      <c r="T612" s="588"/>
      <c r="U612" s="589"/>
      <c r="V612" s="587"/>
      <c r="W612" s="465"/>
      <c r="X612" s="465"/>
      <c r="Y612" s="590"/>
      <c r="Z612" s="458"/>
      <c r="AA612" s="591"/>
      <c r="AB612" s="465"/>
      <c r="AC612" s="465"/>
      <c r="AD612" s="465"/>
      <c r="AE612" s="465"/>
      <c r="AF612" s="465"/>
      <c r="AG612" s="465"/>
      <c r="AH612" s="465"/>
      <c r="AI612" s="592"/>
      <c r="AJ612" s="465"/>
      <c r="AK612" s="465"/>
      <c r="AL612" s="20"/>
      <c r="AM612" s="20"/>
      <c r="AN612" s="593"/>
      <c r="AO612" s="20"/>
      <c r="AP612" s="276"/>
      <c r="AQ612" s="276"/>
      <c r="AR612" s="276"/>
      <c r="AS612" s="276"/>
      <c r="AT612" s="276"/>
      <c r="AU612" s="276"/>
      <c r="AV612" s="276"/>
      <c r="AW612" s="276"/>
      <c r="AX612" s="276"/>
      <c r="AY612" s="276"/>
      <c r="AZ612" s="276"/>
      <c r="BA612" s="276"/>
      <c r="BB612" s="276"/>
      <c r="BC612" s="276"/>
    </row>
    <row r="613" spans="1:55" ht="12.75" customHeight="1">
      <c r="A613" s="465"/>
      <c r="B613" s="465"/>
      <c r="C613" s="147"/>
      <c r="D613" s="147"/>
      <c r="E613" s="585"/>
      <c r="F613" s="586"/>
      <c r="G613" s="458"/>
      <c r="H613" s="458"/>
      <c r="I613" s="458"/>
      <c r="J613" s="465"/>
      <c r="K613" s="587"/>
      <c r="L613" s="465"/>
      <c r="M613" s="465"/>
      <c r="N613" s="465"/>
      <c r="O613" s="587"/>
      <c r="P613" s="585"/>
      <c r="Q613" s="465"/>
      <c r="R613" s="458"/>
      <c r="S613" s="585"/>
      <c r="T613" s="588"/>
      <c r="U613" s="589"/>
      <c r="V613" s="587"/>
      <c r="W613" s="465"/>
      <c r="X613" s="465"/>
      <c r="Y613" s="590"/>
      <c r="Z613" s="458"/>
      <c r="AA613" s="591"/>
      <c r="AB613" s="465"/>
      <c r="AC613" s="465"/>
      <c r="AD613" s="465"/>
      <c r="AE613" s="465"/>
      <c r="AF613" s="465"/>
      <c r="AG613" s="465"/>
      <c r="AH613" s="465"/>
      <c r="AI613" s="592"/>
      <c r="AJ613" s="465"/>
      <c r="AK613" s="465"/>
      <c r="AL613" s="20"/>
      <c r="AM613" s="20"/>
      <c r="AN613" s="593"/>
      <c r="AO613" s="20"/>
      <c r="AP613" s="276"/>
      <c r="AQ613" s="276"/>
      <c r="AR613" s="276"/>
      <c r="AS613" s="276"/>
      <c r="AT613" s="276"/>
      <c r="AU613" s="276"/>
      <c r="AV613" s="276"/>
      <c r="AW613" s="276"/>
      <c r="AX613" s="276"/>
      <c r="AY613" s="276"/>
      <c r="AZ613" s="276"/>
      <c r="BA613" s="276"/>
      <c r="BB613" s="276"/>
      <c r="BC613" s="276"/>
    </row>
    <row r="614" spans="1:55" ht="12.75" customHeight="1">
      <c r="A614" s="465"/>
      <c r="B614" s="465"/>
      <c r="C614" s="147"/>
      <c r="D614" s="147"/>
      <c r="E614" s="585"/>
      <c r="F614" s="586"/>
      <c r="G614" s="458"/>
      <c r="H614" s="458"/>
      <c r="I614" s="458"/>
      <c r="J614" s="465"/>
      <c r="K614" s="587"/>
      <c r="L614" s="465"/>
      <c r="M614" s="465"/>
      <c r="N614" s="465"/>
      <c r="O614" s="587"/>
      <c r="P614" s="585"/>
      <c r="Q614" s="465"/>
      <c r="R614" s="458"/>
      <c r="S614" s="585"/>
      <c r="T614" s="588"/>
      <c r="U614" s="589"/>
      <c r="V614" s="587"/>
      <c r="W614" s="465"/>
      <c r="X614" s="465"/>
      <c r="Y614" s="590"/>
      <c r="Z614" s="458"/>
      <c r="AA614" s="591"/>
      <c r="AB614" s="465"/>
      <c r="AC614" s="465"/>
      <c r="AD614" s="465"/>
      <c r="AE614" s="465"/>
      <c r="AF614" s="465"/>
      <c r="AG614" s="465"/>
      <c r="AH614" s="465"/>
      <c r="AI614" s="592"/>
      <c r="AJ614" s="465"/>
      <c r="AK614" s="465"/>
      <c r="AL614" s="20"/>
      <c r="AM614" s="20"/>
      <c r="AN614" s="593"/>
      <c r="AO614" s="20"/>
      <c r="AP614" s="276"/>
      <c r="AQ614" s="276"/>
      <c r="AR614" s="276"/>
      <c r="AS614" s="276"/>
      <c r="AT614" s="276"/>
      <c r="AU614" s="276"/>
      <c r="AV614" s="276"/>
      <c r="AW614" s="276"/>
      <c r="AX614" s="276"/>
      <c r="AY614" s="276"/>
      <c r="AZ614" s="276"/>
      <c r="BA614" s="276"/>
      <c r="BB614" s="276"/>
      <c r="BC614" s="276"/>
    </row>
    <row r="615" spans="1:55" ht="12.75" customHeight="1">
      <c r="A615" s="465"/>
      <c r="B615" s="465"/>
      <c r="C615" s="147"/>
      <c r="D615" s="147"/>
      <c r="E615" s="585"/>
      <c r="F615" s="586"/>
      <c r="G615" s="458"/>
      <c r="H615" s="458"/>
      <c r="I615" s="458"/>
      <c r="J615" s="465"/>
      <c r="K615" s="587"/>
      <c r="L615" s="465"/>
      <c r="M615" s="465"/>
      <c r="N615" s="465"/>
      <c r="O615" s="587"/>
      <c r="P615" s="585"/>
      <c r="Q615" s="465"/>
      <c r="R615" s="458"/>
      <c r="S615" s="585"/>
      <c r="T615" s="588"/>
      <c r="U615" s="589"/>
      <c r="V615" s="587"/>
      <c r="W615" s="465"/>
      <c r="X615" s="465"/>
      <c r="Y615" s="590"/>
      <c r="Z615" s="458"/>
      <c r="AA615" s="591"/>
      <c r="AB615" s="465"/>
      <c r="AC615" s="465"/>
      <c r="AD615" s="465"/>
      <c r="AE615" s="465"/>
      <c r="AF615" s="465"/>
      <c r="AG615" s="465"/>
      <c r="AH615" s="465"/>
      <c r="AI615" s="592"/>
      <c r="AJ615" s="465"/>
      <c r="AK615" s="465"/>
      <c r="AL615" s="20"/>
      <c r="AM615" s="20"/>
      <c r="AN615" s="593"/>
      <c r="AO615" s="20"/>
      <c r="AP615" s="276"/>
      <c r="AQ615" s="276"/>
      <c r="AR615" s="276"/>
      <c r="AS615" s="276"/>
      <c r="AT615" s="276"/>
      <c r="AU615" s="276"/>
      <c r="AV615" s="276"/>
      <c r="AW615" s="276"/>
      <c r="AX615" s="276"/>
      <c r="AY615" s="276"/>
      <c r="AZ615" s="276"/>
      <c r="BA615" s="276"/>
      <c r="BB615" s="276"/>
      <c r="BC615" s="276"/>
    </row>
    <row r="616" spans="1:55" ht="12.75" customHeight="1">
      <c r="A616" s="465"/>
      <c r="B616" s="465"/>
      <c r="C616" s="147"/>
      <c r="D616" s="147"/>
      <c r="E616" s="585"/>
      <c r="F616" s="586"/>
      <c r="G616" s="458"/>
      <c r="H616" s="458"/>
      <c r="I616" s="458"/>
      <c r="J616" s="465"/>
      <c r="K616" s="587"/>
      <c r="L616" s="465"/>
      <c r="M616" s="465"/>
      <c r="N616" s="465"/>
      <c r="O616" s="587"/>
      <c r="P616" s="585"/>
      <c r="Q616" s="465"/>
      <c r="R616" s="458"/>
      <c r="S616" s="585"/>
      <c r="T616" s="588"/>
      <c r="U616" s="589"/>
      <c r="V616" s="587"/>
      <c r="W616" s="465"/>
      <c r="X616" s="465"/>
      <c r="Y616" s="590"/>
      <c r="Z616" s="458"/>
      <c r="AA616" s="591"/>
      <c r="AB616" s="465"/>
      <c r="AC616" s="465"/>
      <c r="AD616" s="465"/>
      <c r="AE616" s="465"/>
      <c r="AF616" s="465"/>
      <c r="AG616" s="465"/>
      <c r="AH616" s="465"/>
      <c r="AI616" s="592"/>
      <c r="AJ616" s="465"/>
      <c r="AK616" s="465"/>
      <c r="AL616" s="20"/>
      <c r="AM616" s="20"/>
      <c r="AN616" s="593"/>
      <c r="AO616" s="20"/>
      <c r="AP616" s="276"/>
      <c r="AQ616" s="276"/>
      <c r="AR616" s="276"/>
      <c r="AS616" s="276"/>
      <c r="AT616" s="276"/>
      <c r="AU616" s="276"/>
      <c r="AV616" s="276"/>
      <c r="AW616" s="276"/>
      <c r="AX616" s="276"/>
      <c r="AY616" s="276"/>
      <c r="AZ616" s="276"/>
      <c r="BA616" s="276"/>
      <c r="BB616" s="276"/>
      <c r="BC616" s="276"/>
    </row>
    <row r="617" spans="1:55" ht="12.75" customHeight="1">
      <c r="A617" s="465"/>
      <c r="B617" s="465"/>
      <c r="C617" s="147"/>
      <c r="D617" s="147"/>
      <c r="E617" s="585"/>
      <c r="F617" s="586"/>
      <c r="G617" s="458"/>
      <c r="H617" s="458"/>
      <c r="I617" s="458"/>
      <c r="J617" s="465"/>
      <c r="K617" s="587"/>
      <c r="L617" s="465"/>
      <c r="M617" s="465"/>
      <c r="N617" s="465"/>
      <c r="O617" s="587"/>
      <c r="P617" s="585"/>
      <c r="Q617" s="465"/>
      <c r="R617" s="458"/>
      <c r="S617" s="585"/>
      <c r="T617" s="588"/>
      <c r="U617" s="589"/>
      <c r="V617" s="587"/>
      <c r="W617" s="465"/>
      <c r="X617" s="465"/>
      <c r="Y617" s="590"/>
      <c r="Z617" s="458"/>
      <c r="AA617" s="591"/>
      <c r="AB617" s="465"/>
      <c r="AC617" s="465"/>
      <c r="AD617" s="465"/>
      <c r="AE617" s="465"/>
      <c r="AF617" s="465"/>
      <c r="AG617" s="465"/>
      <c r="AH617" s="465"/>
      <c r="AI617" s="592"/>
      <c r="AJ617" s="465"/>
      <c r="AK617" s="465"/>
      <c r="AL617" s="20"/>
      <c r="AM617" s="20"/>
      <c r="AN617" s="593"/>
      <c r="AO617" s="20"/>
      <c r="AP617" s="276"/>
      <c r="AQ617" s="276"/>
      <c r="AR617" s="276"/>
      <c r="AS617" s="276"/>
      <c r="AT617" s="276"/>
      <c r="AU617" s="276"/>
      <c r="AV617" s="276"/>
      <c r="AW617" s="276"/>
      <c r="AX617" s="276"/>
      <c r="AY617" s="276"/>
      <c r="AZ617" s="276"/>
      <c r="BA617" s="276"/>
      <c r="BB617" s="276"/>
      <c r="BC617" s="276"/>
    </row>
    <row r="618" spans="1:55" ht="12.75" customHeight="1">
      <c r="A618" s="465"/>
      <c r="B618" s="465"/>
      <c r="C618" s="147"/>
      <c r="D618" s="147"/>
      <c r="E618" s="585"/>
      <c r="F618" s="586"/>
      <c r="G618" s="458"/>
      <c r="H618" s="458"/>
      <c r="I618" s="458"/>
      <c r="J618" s="465"/>
      <c r="K618" s="587"/>
      <c r="L618" s="465"/>
      <c r="M618" s="465"/>
      <c r="N618" s="465"/>
      <c r="O618" s="587"/>
      <c r="P618" s="585"/>
      <c r="Q618" s="465"/>
      <c r="R618" s="458"/>
      <c r="S618" s="585"/>
      <c r="T618" s="588"/>
      <c r="U618" s="589"/>
      <c r="V618" s="587"/>
      <c r="W618" s="465"/>
      <c r="X618" s="465"/>
      <c r="Y618" s="590"/>
      <c r="Z618" s="458"/>
      <c r="AA618" s="591"/>
      <c r="AB618" s="465"/>
      <c r="AC618" s="465"/>
      <c r="AD618" s="465"/>
      <c r="AE618" s="465"/>
      <c r="AF618" s="465"/>
      <c r="AG618" s="465"/>
      <c r="AH618" s="465"/>
      <c r="AI618" s="592"/>
      <c r="AJ618" s="465"/>
      <c r="AK618" s="465"/>
      <c r="AL618" s="20"/>
      <c r="AM618" s="20"/>
      <c r="AN618" s="593"/>
      <c r="AO618" s="20"/>
      <c r="AP618" s="276"/>
      <c r="AQ618" s="276"/>
      <c r="AR618" s="276"/>
      <c r="AS618" s="276"/>
      <c r="AT618" s="276"/>
      <c r="AU618" s="276"/>
      <c r="AV618" s="276"/>
      <c r="AW618" s="276"/>
      <c r="AX618" s="276"/>
      <c r="AY618" s="276"/>
      <c r="AZ618" s="276"/>
      <c r="BA618" s="276"/>
      <c r="BB618" s="276"/>
      <c r="BC618" s="276"/>
    </row>
    <row r="619" spans="1:55" ht="12.75" customHeight="1">
      <c r="A619" s="465"/>
      <c r="B619" s="465"/>
      <c r="C619" s="147"/>
      <c r="D619" s="147"/>
      <c r="E619" s="585"/>
      <c r="F619" s="586"/>
      <c r="G619" s="458"/>
      <c r="H619" s="458"/>
      <c r="I619" s="458"/>
      <c r="J619" s="465"/>
      <c r="K619" s="587"/>
      <c r="L619" s="465"/>
      <c r="M619" s="465"/>
      <c r="N619" s="465"/>
      <c r="O619" s="587"/>
      <c r="P619" s="585"/>
      <c r="Q619" s="465"/>
      <c r="R619" s="458"/>
      <c r="S619" s="585"/>
      <c r="T619" s="588"/>
      <c r="U619" s="589"/>
      <c r="V619" s="587"/>
      <c r="W619" s="465"/>
      <c r="X619" s="465"/>
      <c r="Y619" s="590"/>
      <c r="Z619" s="458"/>
      <c r="AA619" s="591"/>
      <c r="AB619" s="465"/>
      <c r="AC619" s="465"/>
      <c r="AD619" s="465"/>
      <c r="AE619" s="465"/>
      <c r="AF619" s="465"/>
      <c r="AG619" s="465"/>
      <c r="AH619" s="465"/>
      <c r="AI619" s="592"/>
      <c r="AJ619" s="465"/>
      <c r="AK619" s="465"/>
      <c r="AL619" s="20"/>
      <c r="AM619" s="20"/>
      <c r="AN619" s="593"/>
      <c r="AO619" s="20"/>
      <c r="AP619" s="276"/>
      <c r="AQ619" s="276"/>
      <c r="AR619" s="276"/>
      <c r="AS619" s="276"/>
      <c r="AT619" s="276"/>
      <c r="AU619" s="276"/>
      <c r="AV619" s="276"/>
      <c r="AW619" s="276"/>
      <c r="AX619" s="276"/>
      <c r="AY619" s="276"/>
      <c r="AZ619" s="276"/>
      <c r="BA619" s="276"/>
      <c r="BB619" s="276"/>
      <c r="BC619" s="276"/>
    </row>
    <row r="620" spans="1:55" ht="12.75" customHeight="1">
      <c r="A620" s="465"/>
      <c r="B620" s="465"/>
      <c r="C620" s="147"/>
      <c r="D620" s="147"/>
      <c r="E620" s="585"/>
      <c r="F620" s="586"/>
      <c r="G620" s="458"/>
      <c r="H620" s="458"/>
      <c r="I620" s="458"/>
      <c r="J620" s="465"/>
      <c r="K620" s="587"/>
      <c r="L620" s="465"/>
      <c r="M620" s="465"/>
      <c r="N620" s="465"/>
      <c r="O620" s="587"/>
      <c r="P620" s="585"/>
      <c r="Q620" s="465"/>
      <c r="R620" s="458"/>
      <c r="S620" s="585"/>
      <c r="T620" s="588"/>
      <c r="U620" s="589"/>
      <c r="V620" s="587"/>
      <c r="W620" s="465"/>
      <c r="X620" s="465"/>
      <c r="Y620" s="590"/>
      <c r="Z620" s="458"/>
      <c r="AA620" s="591"/>
      <c r="AB620" s="465"/>
      <c r="AC620" s="465"/>
      <c r="AD620" s="465"/>
      <c r="AE620" s="465"/>
      <c r="AF620" s="465"/>
      <c r="AG620" s="465"/>
      <c r="AH620" s="465"/>
      <c r="AI620" s="592"/>
      <c r="AJ620" s="465"/>
      <c r="AK620" s="465"/>
      <c r="AL620" s="20"/>
      <c r="AM620" s="20"/>
      <c r="AN620" s="593"/>
      <c r="AO620" s="20"/>
      <c r="AP620" s="276"/>
      <c r="AQ620" s="276"/>
      <c r="AR620" s="276"/>
      <c r="AS620" s="276"/>
      <c r="AT620" s="276"/>
      <c r="AU620" s="276"/>
      <c r="AV620" s="276"/>
      <c r="AW620" s="276"/>
      <c r="AX620" s="276"/>
      <c r="AY620" s="276"/>
      <c r="AZ620" s="276"/>
      <c r="BA620" s="276"/>
      <c r="BB620" s="276"/>
      <c r="BC620" s="276"/>
    </row>
    <row r="621" spans="1:55" ht="12.75" customHeight="1">
      <c r="A621" s="465"/>
      <c r="B621" s="465"/>
      <c r="C621" s="147"/>
      <c r="D621" s="147"/>
      <c r="E621" s="585"/>
      <c r="F621" s="586"/>
      <c r="G621" s="458"/>
      <c r="H621" s="458"/>
      <c r="I621" s="458"/>
      <c r="J621" s="465"/>
      <c r="K621" s="587"/>
      <c r="L621" s="465"/>
      <c r="M621" s="465"/>
      <c r="N621" s="465"/>
      <c r="O621" s="587"/>
      <c r="P621" s="585"/>
      <c r="Q621" s="465"/>
      <c r="R621" s="458"/>
      <c r="S621" s="585"/>
      <c r="T621" s="588"/>
      <c r="U621" s="589"/>
      <c r="V621" s="587"/>
      <c r="W621" s="465"/>
      <c r="X621" s="465"/>
      <c r="Y621" s="590"/>
      <c r="Z621" s="458"/>
      <c r="AA621" s="591"/>
      <c r="AB621" s="465"/>
      <c r="AC621" s="465"/>
      <c r="AD621" s="465"/>
      <c r="AE621" s="465"/>
      <c r="AF621" s="465"/>
      <c r="AG621" s="465"/>
      <c r="AH621" s="465"/>
      <c r="AI621" s="592"/>
      <c r="AJ621" s="465"/>
      <c r="AK621" s="465"/>
      <c r="AL621" s="20"/>
      <c r="AM621" s="20"/>
      <c r="AN621" s="593"/>
      <c r="AO621" s="20"/>
      <c r="AP621" s="276"/>
      <c r="AQ621" s="276"/>
      <c r="AR621" s="276"/>
      <c r="AS621" s="276"/>
      <c r="AT621" s="276"/>
      <c r="AU621" s="276"/>
      <c r="AV621" s="276"/>
      <c r="AW621" s="276"/>
      <c r="AX621" s="276"/>
      <c r="AY621" s="276"/>
      <c r="AZ621" s="276"/>
      <c r="BA621" s="276"/>
      <c r="BB621" s="276"/>
      <c r="BC621" s="276"/>
    </row>
    <row r="622" spans="1:55" ht="12.75" customHeight="1">
      <c r="A622" s="465"/>
      <c r="B622" s="465"/>
      <c r="C622" s="147"/>
      <c r="D622" s="147"/>
      <c r="E622" s="585"/>
      <c r="F622" s="586"/>
      <c r="G622" s="458"/>
      <c r="H622" s="458"/>
      <c r="I622" s="458"/>
      <c r="J622" s="465"/>
      <c r="K622" s="587"/>
      <c r="L622" s="465"/>
      <c r="M622" s="465"/>
      <c r="N622" s="465"/>
      <c r="O622" s="587"/>
      <c r="P622" s="585"/>
      <c r="Q622" s="465"/>
      <c r="R622" s="458"/>
      <c r="S622" s="585"/>
      <c r="T622" s="588"/>
      <c r="U622" s="589"/>
      <c r="V622" s="587"/>
      <c r="W622" s="465"/>
      <c r="X622" s="465"/>
      <c r="Y622" s="590"/>
      <c r="Z622" s="458"/>
      <c r="AA622" s="591"/>
      <c r="AB622" s="465"/>
      <c r="AC622" s="465"/>
      <c r="AD622" s="465"/>
      <c r="AE622" s="465"/>
      <c r="AF622" s="465"/>
      <c r="AG622" s="465"/>
      <c r="AH622" s="465"/>
      <c r="AI622" s="592"/>
      <c r="AJ622" s="465"/>
      <c r="AK622" s="465"/>
      <c r="AL622" s="20"/>
      <c r="AM622" s="20"/>
      <c r="AN622" s="593"/>
      <c r="AO622" s="20"/>
      <c r="AP622" s="276"/>
      <c r="AQ622" s="276"/>
      <c r="AR622" s="276"/>
      <c r="AS622" s="276"/>
      <c r="AT622" s="276"/>
      <c r="AU622" s="276"/>
      <c r="AV622" s="276"/>
      <c r="AW622" s="276"/>
      <c r="AX622" s="276"/>
      <c r="AY622" s="276"/>
      <c r="AZ622" s="276"/>
      <c r="BA622" s="276"/>
      <c r="BB622" s="276"/>
      <c r="BC622" s="276"/>
    </row>
    <row r="623" spans="1:55" ht="12.75" customHeight="1">
      <c r="A623" s="465"/>
      <c r="B623" s="465"/>
      <c r="C623" s="147"/>
      <c r="D623" s="147"/>
      <c r="E623" s="585"/>
      <c r="F623" s="586"/>
      <c r="G623" s="458"/>
      <c r="H623" s="458"/>
      <c r="I623" s="458"/>
      <c r="J623" s="465"/>
      <c r="K623" s="587"/>
      <c r="L623" s="465"/>
      <c r="M623" s="465"/>
      <c r="N623" s="465"/>
      <c r="O623" s="587"/>
      <c r="P623" s="585"/>
      <c r="Q623" s="465"/>
      <c r="R623" s="458"/>
      <c r="S623" s="585"/>
      <c r="T623" s="588"/>
      <c r="U623" s="589"/>
      <c r="V623" s="587"/>
      <c r="W623" s="465"/>
      <c r="X623" s="465"/>
      <c r="Y623" s="590"/>
      <c r="Z623" s="458"/>
      <c r="AA623" s="591"/>
      <c r="AB623" s="465"/>
      <c r="AC623" s="465"/>
      <c r="AD623" s="465"/>
      <c r="AE623" s="465"/>
      <c r="AF623" s="465"/>
      <c r="AG623" s="465"/>
      <c r="AH623" s="465"/>
      <c r="AI623" s="592"/>
      <c r="AJ623" s="465"/>
      <c r="AK623" s="465"/>
      <c r="AL623" s="20"/>
      <c r="AM623" s="20"/>
      <c r="AN623" s="593"/>
      <c r="AO623" s="20"/>
      <c r="AP623" s="276"/>
      <c r="AQ623" s="276"/>
      <c r="AR623" s="276"/>
      <c r="AS623" s="276"/>
      <c r="AT623" s="276"/>
      <c r="AU623" s="276"/>
      <c r="AV623" s="276"/>
      <c r="AW623" s="276"/>
      <c r="AX623" s="276"/>
      <c r="AY623" s="276"/>
      <c r="AZ623" s="276"/>
      <c r="BA623" s="276"/>
      <c r="BB623" s="276"/>
      <c r="BC623" s="276"/>
    </row>
    <row r="624" spans="1:55" ht="12.75" customHeight="1">
      <c r="A624" s="465"/>
      <c r="B624" s="465"/>
      <c r="C624" s="147"/>
      <c r="D624" s="147"/>
      <c r="E624" s="585"/>
      <c r="F624" s="586"/>
      <c r="G624" s="458"/>
      <c r="H624" s="458"/>
      <c r="I624" s="458"/>
      <c r="J624" s="465"/>
      <c r="K624" s="587"/>
      <c r="L624" s="465"/>
      <c r="M624" s="465"/>
      <c r="N624" s="465"/>
      <c r="O624" s="587"/>
      <c r="P624" s="585"/>
      <c r="Q624" s="465"/>
      <c r="R624" s="458"/>
      <c r="S624" s="585"/>
      <c r="T624" s="588"/>
      <c r="U624" s="589"/>
      <c r="V624" s="587"/>
      <c r="W624" s="465"/>
      <c r="X624" s="465"/>
      <c r="Y624" s="590"/>
      <c r="Z624" s="458"/>
      <c r="AA624" s="591"/>
      <c r="AB624" s="465"/>
      <c r="AC624" s="465"/>
      <c r="AD624" s="465"/>
      <c r="AE624" s="465"/>
      <c r="AF624" s="465"/>
      <c r="AG624" s="465"/>
      <c r="AH624" s="465"/>
      <c r="AI624" s="592"/>
      <c r="AJ624" s="465"/>
      <c r="AK624" s="465"/>
      <c r="AL624" s="20"/>
      <c r="AM624" s="20"/>
      <c r="AN624" s="593"/>
      <c r="AO624" s="20"/>
      <c r="AP624" s="276"/>
      <c r="AQ624" s="276"/>
      <c r="AR624" s="276"/>
      <c r="AS624" s="276"/>
      <c r="AT624" s="276"/>
      <c r="AU624" s="276"/>
      <c r="AV624" s="276"/>
      <c r="AW624" s="276"/>
      <c r="AX624" s="276"/>
      <c r="AY624" s="276"/>
      <c r="AZ624" s="276"/>
      <c r="BA624" s="276"/>
      <c r="BB624" s="276"/>
      <c r="BC624" s="276"/>
    </row>
    <row r="625" spans="1:55" ht="12.75" customHeight="1">
      <c r="A625" s="465"/>
      <c r="B625" s="465"/>
      <c r="C625" s="147"/>
      <c r="D625" s="147"/>
      <c r="E625" s="585"/>
      <c r="F625" s="586"/>
      <c r="G625" s="458"/>
      <c r="H625" s="458"/>
      <c r="I625" s="458"/>
      <c r="J625" s="465"/>
      <c r="K625" s="587"/>
      <c r="L625" s="465"/>
      <c r="M625" s="465"/>
      <c r="N625" s="465"/>
      <c r="O625" s="587"/>
      <c r="P625" s="585"/>
      <c r="Q625" s="465"/>
      <c r="R625" s="458"/>
      <c r="S625" s="585"/>
      <c r="T625" s="588"/>
      <c r="U625" s="589"/>
      <c r="V625" s="587"/>
      <c r="W625" s="465"/>
      <c r="X625" s="465"/>
      <c r="Y625" s="590"/>
      <c r="Z625" s="458"/>
      <c r="AA625" s="591"/>
      <c r="AB625" s="465"/>
      <c r="AC625" s="465"/>
      <c r="AD625" s="465"/>
      <c r="AE625" s="465"/>
      <c r="AF625" s="465"/>
      <c r="AG625" s="465"/>
      <c r="AH625" s="465"/>
      <c r="AI625" s="592"/>
      <c r="AJ625" s="465"/>
      <c r="AK625" s="465"/>
      <c r="AL625" s="20"/>
      <c r="AM625" s="20"/>
      <c r="AN625" s="593"/>
      <c r="AO625" s="20"/>
      <c r="AP625" s="276"/>
      <c r="AQ625" s="276"/>
      <c r="AR625" s="276"/>
      <c r="AS625" s="276"/>
      <c r="AT625" s="276"/>
      <c r="AU625" s="276"/>
      <c r="AV625" s="276"/>
      <c r="AW625" s="276"/>
      <c r="AX625" s="276"/>
      <c r="AY625" s="276"/>
      <c r="AZ625" s="276"/>
      <c r="BA625" s="276"/>
      <c r="BB625" s="276"/>
      <c r="BC625" s="276"/>
    </row>
    <row r="626" spans="1:55" ht="12.75" customHeight="1">
      <c r="A626" s="465"/>
      <c r="B626" s="465"/>
      <c r="C626" s="147"/>
      <c r="D626" s="147"/>
      <c r="E626" s="585"/>
      <c r="F626" s="586"/>
      <c r="G626" s="458"/>
      <c r="H626" s="458"/>
      <c r="I626" s="458"/>
      <c r="J626" s="465"/>
      <c r="K626" s="587"/>
      <c r="L626" s="465"/>
      <c r="M626" s="465"/>
      <c r="N626" s="465"/>
      <c r="O626" s="587"/>
      <c r="P626" s="585"/>
      <c r="Q626" s="465"/>
      <c r="R626" s="458"/>
      <c r="S626" s="585"/>
      <c r="T626" s="588"/>
      <c r="U626" s="589"/>
      <c r="V626" s="587"/>
      <c r="W626" s="465"/>
      <c r="X626" s="465"/>
      <c r="Y626" s="590"/>
      <c r="Z626" s="458"/>
      <c r="AA626" s="591"/>
      <c r="AB626" s="465"/>
      <c r="AC626" s="465"/>
      <c r="AD626" s="465"/>
      <c r="AE626" s="465"/>
      <c r="AF626" s="465"/>
      <c r="AG626" s="465"/>
      <c r="AH626" s="465"/>
      <c r="AI626" s="592"/>
      <c r="AJ626" s="465"/>
      <c r="AK626" s="465"/>
      <c r="AL626" s="20"/>
      <c r="AM626" s="20"/>
      <c r="AN626" s="593"/>
      <c r="AO626" s="20"/>
      <c r="AP626" s="276"/>
      <c r="AQ626" s="276"/>
      <c r="AR626" s="276"/>
      <c r="AS626" s="276"/>
      <c r="AT626" s="276"/>
      <c r="AU626" s="276"/>
      <c r="AV626" s="276"/>
      <c r="AW626" s="276"/>
      <c r="AX626" s="276"/>
      <c r="AY626" s="276"/>
      <c r="AZ626" s="276"/>
      <c r="BA626" s="276"/>
      <c r="BB626" s="276"/>
      <c r="BC626" s="276"/>
    </row>
    <row r="627" spans="1:55" ht="12.75" customHeight="1">
      <c r="A627" s="465"/>
      <c r="B627" s="465"/>
      <c r="C627" s="147"/>
      <c r="D627" s="147"/>
      <c r="E627" s="585"/>
      <c r="F627" s="586"/>
      <c r="G627" s="458"/>
      <c r="H627" s="458"/>
      <c r="I627" s="458"/>
      <c r="J627" s="465"/>
      <c r="K627" s="587"/>
      <c r="L627" s="465"/>
      <c r="M627" s="465"/>
      <c r="N627" s="465"/>
      <c r="O627" s="587"/>
      <c r="P627" s="585"/>
      <c r="Q627" s="465"/>
      <c r="R627" s="458"/>
      <c r="S627" s="585"/>
      <c r="T627" s="588"/>
      <c r="U627" s="589"/>
      <c r="V627" s="587"/>
      <c r="W627" s="465"/>
      <c r="X627" s="465"/>
      <c r="Y627" s="590"/>
      <c r="Z627" s="458"/>
      <c r="AA627" s="591"/>
      <c r="AB627" s="465"/>
      <c r="AC627" s="465"/>
      <c r="AD627" s="465"/>
      <c r="AE627" s="465"/>
      <c r="AF627" s="465"/>
      <c r="AG627" s="465"/>
      <c r="AH627" s="465"/>
      <c r="AI627" s="592"/>
      <c r="AJ627" s="465"/>
      <c r="AK627" s="465"/>
      <c r="AL627" s="20"/>
      <c r="AM627" s="20"/>
      <c r="AN627" s="593"/>
      <c r="AO627" s="20"/>
      <c r="AP627" s="276"/>
      <c r="AQ627" s="276"/>
      <c r="AR627" s="276"/>
      <c r="AS627" s="276"/>
      <c r="AT627" s="276"/>
      <c r="AU627" s="276"/>
      <c r="AV627" s="276"/>
      <c r="AW627" s="276"/>
      <c r="AX627" s="276"/>
      <c r="AY627" s="276"/>
      <c r="AZ627" s="276"/>
      <c r="BA627" s="276"/>
      <c r="BB627" s="276"/>
      <c r="BC627" s="276"/>
    </row>
    <row r="628" spans="1:55" ht="12.75" customHeight="1">
      <c r="A628" s="465"/>
      <c r="B628" s="465"/>
      <c r="C628" s="147"/>
      <c r="D628" s="147"/>
      <c r="E628" s="585"/>
      <c r="F628" s="586"/>
      <c r="G628" s="458"/>
      <c r="H628" s="458"/>
      <c r="I628" s="458"/>
      <c r="J628" s="465"/>
      <c r="K628" s="587"/>
      <c r="L628" s="465"/>
      <c r="M628" s="465"/>
      <c r="N628" s="465"/>
      <c r="O628" s="587"/>
      <c r="P628" s="585"/>
      <c r="Q628" s="465"/>
      <c r="R628" s="458"/>
      <c r="S628" s="585"/>
      <c r="T628" s="588"/>
      <c r="U628" s="589"/>
      <c r="V628" s="587"/>
      <c r="W628" s="465"/>
      <c r="X628" s="465"/>
      <c r="Y628" s="590"/>
      <c r="Z628" s="458"/>
      <c r="AA628" s="591"/>
      <c r="AB628" s="465"/>
      <c r="AC628" s="465"/>
      <c r="AD628" s="465"/>
      <c r="AE628" s="465"/>
      <c r="AF628" s="465"/>
      <c r="AG628" s="465"/>
      <c r="AH628" s="465"/>
      <c r="AI628" s="592"/>
      <c r="AJ628" s="465"/>
      <c r="AK628" s="465"/>
      <c r="AL628" s="20"/>
      <c r="AM628" s="20"/>
      <c r="AN628" s="593"/>
      <c r="AO628" s="20"/>
      <c r="AP628" s="276"/>
      <c r="AQ628" s="276"/>
      <c r="AR628" s="276"/>
      <c r="AS628" s="276"/>
      <c r="AT628" s="276"/>
      <c r="AU628" s="276"/>
      <c r="AV628" s="276"/>
      <c r="AW628" s="276"/>
      <c r="AX628" s="276"/>
      <c r="AY628" s="276"/>
      <c r="AZ628" s="276"/>
      <c r="BA628" s="276"/>
      <c r="BB628" s="276"/>
      <c r="BC628" s="276"/>
    </row>
    <row r="629" spans="1:55" ht="12.75" customHeight="1">
      <c r="A629" s="465"/>
      <c r="B629" s="465"/>
      <c r="C629" s="147"/>
      <c r="D629" s="147"/>
      <c r="E629" s="585"/>
      <c r="F629" s="586"/>
      <c r="G629" s="458"/>
      <c r="H629" s="458"/>
      <c r="I629" s="458"/>
      <c r="J629" s="465"/>
      <c r="K629" s="587"/>
      <c r="L629" s="465"/>
      <c r="M629" s="465"/>
      <c r="N629" s="465"/>
      <c r="O629" s="587"/>
      <c r="P629" s="585"/>
      <c r="Q629" s="465"/>
      <c r="R629" s="458"/>
      <c r="S629" s="585"/>
      <c r="T629" s="588"/>
      <c r="U629" s="589"/>
      <c r="V629" s="587"/>
      <c r="W629" s="465"/>
      <c r="X629" s="465"/>
      <c r="Y629" s="590"/>
      <c r="Z629" s="458"/>
      <c r="AA629" s="591"/>
      <c r="AB629" s="465"/>
      <c r="AC629" s="465"/>
      <c r="AD629" s="465"/>
      <c r="AE629" s="465"/>
      <c r="AF629" s="465"/>
      <c r="AG629" s="465"/>
      <c r="AH629" s="465"/>
      <c r="AI629" s="592"/>
      <c r="AJ629" s="465"/>
      <c r="AK629" s="465"/>
      <c r="AL629" s="20"/>
      <c r="AM629" s="20"/>
      <c r="AN629" s="593"/>
      <c r="AO629" s="20"/>
      <c r="AP629" s="276"/>
      <c r="AQ629" s="276"/>
      <c r="AR629" s="276"/>
      <c r="AS629" s="276"/>
      <c r="AT629" s="276"/>
      <c r="AU629" s="276"/>
      <c r="AV629" s="276"/>
      <c r="AW629" s="276"/>
      <c r="AX629" s="276"/>
      <c r="AY629" s="276"/>
      <c r="AZ629" s="276"/>
      <c r="BA629" s="276"/>
      <c r="BB629" s="276"/>
      <c r="BC629" s="276"/>
    </row>
    <row r="630" spans="1:55" ht="12.75" customHeight="1">
      <c r="A630" s="465"/>
      <c r="B630" s="465"/>
      <c r="C630" s="147"/>
      <c r="D630" s="147"/>
      <c r="E630" s="585"/>
      <c r="F630" s="586"/>
      <c r="G630" s="458"/>
      <c r="H630" s="458"/>
      <c r="I630" s="458"/>
      <c r="J630" s="465"/>
      <c r="K630" s="587"/>
      <c r="L630" s="465"/>
      <c r="M630" s="465"/>
      <c r="N630" s="465"/>
      <c r="O630" s="587"/>
      <c r="P630" s="585"/>
      <c r="Q630" s="465"/>
      <c r="R630" s="458"/>
      <c r="S630" s="585"/>
      <c r="T630" s="588"/>
      <c r="U630" s="589"/>
      <c r="V630" s="587"/>
      <c r="W630" s="465"/>
      <c r="X630" s="465"/>
      <c r="Y630" s="590"/>
      <c r="Z630" s="458"/>
      <c r="AA630" s="591"/>
      <c r="AB630" s="465"/>
      <c r="AC630" s="465"/>
      <c r="AD630" s="465"/>
      <c r="AE630" s="465"/>
      <c r="AF630" s="465"/>
      <c r="AG630" s="465"/>
      <c r="AH630" s="465"/>
      <c r="AI630" s="592"/>
      <c r="AJ630" s="465"/>
      <c r="AK630" s="465"/>
      <c r="AL630" s="20"/>
      <c r="AM630" s="20"/>
      <c r="AN630" s="593"/>
      <c r="AO630" s="20"/>
      <c r="AP630" s="276"/>
      <c r="AQ630" s="276"/>
      <c r="AR630" s="276"/>
      <c r="AS630" s="276"/>
      <c r="AT630" s="276"/>
      <c r="AU630" s="276"/>
      <c r="AV630" s="276"/>
      <c r="AW630" s="276"/>
      <c r="AX630" s="276"/>
      <c r="AY630" s="276"/>
      <c r="AZ630" s="276"/>
      <c r="BA630" s="276"/>
      <c r="BB630" s="276"/>
      <c r="BC630" s="276"/>
    </row>
    <row r="631" spans="1:55" ht="12.75" customHeight="1">
      <c r="A631" s="465"/>
      <c r="B631" s="465"/>
      <c r="C631" s="147"/>
      <c r="D631" s="147"/>
      <c r="E631" s="585"/>
      <c r="F631" s="586"/>
      <c r="G631" s="458"/>
      <c r="H631" s="458"/>
      <c r="I631" s="458"/>
      <c r="J631" s="465"/>
      <c r="K631" s="587"/>
      <c r="L631" s="465"/>
      <c r="M631" s="465"/>
      <c r="N631" s="465"/>
      <c r="O631" s="587"/>
      <c r="P631" s="585"/>
      <c r="Q631" s="465"/>
      <c r="R631" s="458"/>
      <c r="S631" s="585"/>
      <c r="T631" s="588"/>
      <c r="U631" s="589"/>
      <c r="V631" s="587"/>
      <c r="W631" s="465"/>
      <c r="X631" s="465"/>
      <c r="Y631" s="590"/>
      <c r="Z631" s="458"/>
      <c r="AA631" s="591"/>
      <c r="AB631" s="465"/>
      <c r="AC631" s="465"/>
      <c r="AD631" s="465"/>
      <c r="AE631" s="465"/>
      <c r="AF631" s="465"/>
      <c r="AG631" s="465"/>
      <c r="AH631" s="465"/>
      <c r="AI631" s="592"/>
      <c r="AJ631" s="465"/>
      <c r="AK631" s="465"/>
      <c r="AL631" s="20"/>
      <c r="AM631" s="20"/>
      <c r="AN631" s="593"/>
      <c r="AO631" s="20"/>
      <c r="AP631" s="276"/>
      <c r="AQ631" s="276"/>
      <c r="AR631" s="276"/>
      <c r="AS631" s="276"/>
      <c r="AT631" s="276"/>
      <c r="AU631" s="276"/>
      <c r="AV631" s="276"/>
      <c r="AW631" s="276"/>
      <c r="AX631" s="276"/>
      <c r="AY631" s="276"/>
      <c r="AZ631" s="276"/>
      <c r="BA631" s="276"/>
      <c r="BB631" s="276"/>
      <c r="BC631" s="276"/>
    </row>
    <row r="632" spans="1:55" ht="12.75" customHeight="1">
      <c r="A632" s="465"/>
      <c r="B632" s="465"/>
      <c r="C632" s="147"/>
      <c r="D632" s="147"/>
      <c r="E632" s="585"/>
      <c r="F632" s="586"/>
      <c r="G632" s="458"/>
      <c r="H632" s="458"/>
      <c r="I632" s="458"/>
      <c r="J632" s="465"/>
      <c r="K632" s="587"/>
      <c r="L632" s="465"/>
      <c r="M632" s="465"/>
      <c r="N632" s="465"/>
      <c r="O632" s="587"/>
      <c r="P632" s="585"/>
      <c r="Q632" s="465"/>
      <c r="R632" s="458"/>
      <c r="S632" s="585"/>
      <c r="T632" s="588"/>
      <c r="U632" s="589"/>
      <c r="V632" s="587"/>
      <c r="W632" s="465"/>
      <c r="X632" s="465"/>
      <c r="Y632" s="590"/>
      <c r="Z632" s="458"/>
      <c r="AA632" s="591"/>
      <c r="AB632" s="465"/>
      <c r="AC632" s="465"/>
      <c r="AD632" s="465"/>
      <c r="AE632" s="465"/>
      <c r="AF632" s="465"/>
      <c r="AG632" s="465"/>
      <c r="AH632" s="465"/>
      <c r="AI632" s="592"/>
      <c r="AJ632" s="465"/>
      <c r="AK632" s="465"/>
      <c r="AL632" s="20"/>
      <c r="AM632" s="20"/>
      <c r="AN632" s="593"/>
      <c r="AO632" s="20"/>
      <c r="AP632" s="276"/>
      <c r="AQ632" s="276"/>
      <c r="AR632" s="276"/>
      <c r="AS632" s="276"/>
      <c r="AT632" s="276"/>
      <c r="AU632" s="276"/>
      <c r="AV632" s="276"/>
      <c r="AW632" s="276"/>
      <c r="AX632" s="276"/>
      <c r="AY632" s="276"/>
      <c r="AZ632" s="276"/>
      <c r="BA632" s="276"/>
      <c r="BB632" s="276"/>
      <c r="BC632" s="276"/>
    </row>
    <row r="633" spans="1:55" ht="12.75" customHeight="1">
      <c r="A633" s="465"/>
      <c r="B633" s="465"/>
      <c r="C633" s="147"/>
      <c r="D633" s="147"/>
      <c r="E633" s="585"/>
      <c r="F633" s="586"/>
      <c r="G633" s="458"/>
      <c r="H633" s="458"/>
      <c r="I633" s="458"/>
      <c r="J633" s="465"/>
      <c r="K633" s="587"/>
      <c r="L633" s="465"/>
      <c r="M633" s="465"/>
      <c r="N633" s="465"/>
      <c r="O633" s="587"/>
      <c r="P633" s="585"/>
      <c r="Q633" s="465"/>
      <c r="R633" s="458"/>
      <c r="S633" s="585"/>
      <c r="T633" s="588"/>
      <c r="U633" s="589"/>
      <c r="V633" s="587"/>
      <c r="W633" s="465"/>
      <c r="X633" s="465"/>
      <c r="Y633" s="590"/>
      <c r="Z633" s="458"/>
      <c r="AA633" s="591"/>
      <c r="AB633" s="465"/>
      <c r="AC633" s="465"/>
      <c r="AD633" s="465"/>
      <c r="AE633" s="465"/>
      <c r="AF633" s="465"/>
      <c r="AG633" s="465"/>
      <c r="AH633" s="465"/>
      <c r="AI633" s="592"/>
      <c r="AJ633" s="465"/>
      <c r="AK633" s="465"/>
      <c r="AL633" s="20"/>
      <c r="AM633" s="20"/>
      <c r="AN633" s="593"/>
      <c r="AO633" s="20"/>
      <c r="AP633" s="276"/>
      <c r="AQ633" s="276"/>
      <c r="AR633" s="276"/>
      <c r="AS633" s="276"/>
      <c r="AT633" s="276"/>
      <c r="AU633" s="276"/>
      <c r="AV633" s="276"/>
      <c r="AW633" s="276"/>
      <c r="AX633" s="276"/>
      <c r="AY633" s="276"/>
      <c r="AZ633" s="276"/>
      <c r="BA633" s="276"/>
      <c r="BB633" s="276"/>
      <c r="BC633" s="276"/>
    </row>
    <row r="634" spans="1:55" ht="12.75" customHeight="1">
      <c r="A634" s="465"/>
      <c r="B634" s="465"/>
      <c r="C634" s="147"/>
      <c r="D634" s="147"/>
      <c r="E634" s="585"/>
      <c r="F634" s="586"/>
      <c r="G634" s="458"/>
      <c r="H634" s="458"/>
      <c r="I634" s="458"/>
      <c r="J634" s="465"/>
      <c r="K634" s="587"/>
      <c r="L634" s="465"/>
      <c r="M634" s="465"/>
      <c r="N634" s="465"/>
      <c r="O634" s="587"/>
      <c r="P634" s="585"/>
      <c r="Q634" s="465"/>
      <c r="R634" s="458"/>
      <c r="S634" s="585"/>
      <c r="T634" s="588"/>
      <c r="U634" s="589"/>
      <c r="V634" s="587"/>
      <c r="W634" s="465"/>
      <c r="X634" s="465"/>
      <c r="Y634" s="590"/>
      <c r="Z634" s="458"/>
      <c r="AA634" s="591"/>
      <c r="AB634" s="465"/>
      <c r="AC634" s="465"/>
      <c r="AD634" s="465"/>
      <c r="AE634" s="465"/>
      <c r="AF634" s="465"/>
      <c r="AG634" s="465"/>
      <c r="AH634" s="465"/>
      <c r="AI634" s="592"/>
      <c r="AJ634" s="465"/>
      <c r="AK634" s="465"/>
      <c r="AL634" s="20"/>
      <c r="AM634" s="20"/>
      <c r="AN634" s="593"/>
      <c r="AO634" s="20"/>
      <c r="AP634" s="276"/>
      <c r="AQ634" s="276"/>
      <c r="AR634" s="276"/>
      <c r="AS634" s="276"/>
      <c r="AT634" s="276"/>
      <c r="AU634" s="276"/>
      <c r="AV634" s="276"/>
      <c r="AW634" s="276"/>
      <c r="AX634" s="276"/>
      <c r="AY634" s="276"/>
      <c r="AZ634" s="276"/>
      <c r="BA634" s="276"/>
      <c r="BB634" s="276"/>
      <c r="BC634" s="276"/>
    </row>
    <row r="635" spans="1:55" ht="12.75" customHeight="1">
      <c r="A635" s="465"/>
      <c r="B635" s="465"/>
      <c r="C635" s="147"/>
      <c r="D635" s="147"/>
      <c r="E635" s="585"/>
      <c r="F635" s="586"/>
      <c r="G635" s="458"/>
      <c r="H635" s="458"/>
      <c r="I635" s="458"/>
      <c r="J635" s="465"/>
      <c r="K635" s="587"/>
      <c r="L635" s="465"/>
      <c r="M635" s="465"/>
      <c r="N635" s="465"/>
      <c r="O635" s="587"/>
      <c r="P635" s="585"/>
      <c r="Q635" s="465"/>
      <c r="R635" s="458"/>
      <c r="S635" s="585"/>
      <c r="T635" s="588"/>
      <c r="U635" s="589"/>
      <c r="V635" s="587"/>
      <c r="W635" s="465"/>
      <c r="X635" s="465"/>
      <c r="Y635" s="590"/>
      <c r="Z635" s="458"/>
      <c r="AA635" s="591"/>
      <c r="AB635" s="465"/>
      <c r="AC635" s="465"/>
      <c r="AD635" s="465"/>
      <c r="AE635" s="465"/>
      <c r="AF635" s="465"/>
      <c r="AG635" s="465"/>
      <c r="AH635" s="465"/>
      <c r="AI635" s="592"/>
      <c r="AJ635" s="465"/>
      <c r="AK635" s="465"/>
      <c r="AL635" s="20"/>
      <c r="AM635" s="20"/>
      <c r="AN635" s="593"/>
      <c r="AO635" s="20"/>
      <c r="AP635" s="276"/>
      <c r="AQ635" s="276"/>
      <c r="AR635" s="276"/>
      <c r="AS635" s="276"/>
      <c r="AT635" s="276"/>
      <c r="AU635" s="276"/>
      <c r="AV635" s="276"/>
      <c r="AW635" s="276"/>
      <c r="AX635" s="276"/>
      <c r="AY635" s="276"/>
      <c r="AZ635" s="276"/>
      <c r="BA635" s="276"/>
      <c r="BB635" s="276"/>
      <c r="BC635" s="276"/>
    </row>
    <row r="636" spans="1:55" ht="12.75" customHeight="1">
      <c r="A636" s="465"/>
      <c r="B636" s="465"/>
      <c r="C636" s="147"/>
      <c r="D636" s="147"/>
      <c r="E636" s="585"/>
      <c r="F636" s="586"/>
      <c r="G636" s="458"/>
      <c r="H636" s="458"/>
      <c r="I636" s="458"/>
      <c r="J636" s="465"/>
      <c r="K636" s="587"/>
      <c r="L636" s="465"/>
      <c r="M636" s="465"/>
      <c r="N636" s="465"/>
      <c r="O636" s="587"/>
      <c r="P636" s="585"/>
      <c r="Q636" s="465"/>
      <c r="R636" s="458"/>
      <c r="S636" s="585"/>
      <c r="T636" s="588"/>
      <c r="U636" s="589"/>
      <c r="V636" s="587"/>
      <c r="W636" s="465"/>
      <c r="X636" s="465"/>
      <c r="Y636" s="590"/>
      <c r="Z636" s="458"/>
      <c r="AA636" s="591"/>
      <c r="AB636" s="465"/>
      <c r="AC636" s="465"/>
      <c r="AD636" s="465"/>
      <c r="AE636" s="465"/>
      <c r="AF636" s="465"/>
      <c r="AG636" s="465"/>
      <c r="AH636" s="465"/>
      <c r="AI636" s="592"/>
      <c r="AJ636" s="465"/>
      <c r="AK636" s="465"/>
      <c r="AL636" s="20"/>
      <c r="AM636" s="20"/>
      <c r="AN636" s="593"/>
      <c r="AO636" s="20"/>
      <c r="AP636" s="276"/>
      <c r="AQ636" s="276"/>
      <c r="AR636" s="276"/>
      <c r="AS636" s="276"/>
      <c r="AT636" s="276"/>
      <c r="AU636" s="276"/>
      <c r="AV636" s="276"/>
      <c r="AW636" s="276"/>
      <c r="AX636" s="276"/>
      <c r="AY636" s="276"/>
      <c r="AZ636" s="276"/>
      <c r="BA636" s="276"/>
      <c r="BB636" s="276"/>
      <c r="BC636" s="276"/>
    </row>
    <row r="637" spans="1:55" ht="12.75" customHeight="1">
      <c r="A637" s="465"/>
      <c r="B637" s="465"/>
      <c r="C637" s="147"/>
      <c r="D637" s="147"/>
      <c r="E637" s="585"/>
      <c r="F637" s="586"/>
      <c r="G637" s="458"/>
      <c r="H637" s="458"/>
      <c r="I637" s="458"/>
      <c r="J637" s="465"/>
      <c r="K637" s="587"/>
      <c r="L637" s="465"/>
      <c r="M637" s="465"/>
      <c r="N637" s="465"/>
      <c r="O637" s="587"/>
      <c r="P637" s="585"/>
      <c r="Q637" s="465"/>
      <c r="R637" s="458"/>
      <c r="S637" s="585"/>
      <c r="T637" s="588"/>
      <c r="U637" s="589"/>
      <c r="V637" s="587"/>
      <c r="W637" s="465"/>
      <c r="X637" s="465"/>
      <c r="Y637" s="590"/>
      <c r="Z637" s="458"/>
      <c r="AA637" s="591"/>
      <c r="AB637" s="465"/>
      <c r="AC637" s="465"/>
      <c r="AD637" s="465"/>
      <c r="AE637" s="465"/>
      <c r="AF637" s="465"/>
      <c r="AG637" s="465"/>
      <c r="AH637" s="465"/>
      <c r="AI637" s="592"/>
      <c r="AJ637" s="465"/>
      <c r="AK637" s="465"/>
      <c r="AL637" s="20"/>
      <c r="AM637" s="20"/>
      <c r="AN637" s="593"/>
      <c r="AO637" s="20"/>
      <c r="AP637" s="276"/>
      <c r="AQ637" s="276"/>
      <c r="AR637" s="276"/>
      <c r="AS637" s="276"/>
      <c r="AT637" s="276"/>
      <c r="AU637" s="276"/>
      <c r="AV637" s="276"/>
      <c r="AW637" s="276"/>
      <c r="AX637" s="276"/>
      <c r="AY637" s="276"/>
      <c r="AZ637" s="276"/>
      <c r="BA637" s="276"/>
      <c r="BB637" s="276"/>
      <c r="BC637" s="276"/>
    </row>
    <row r="638" spans="1:55" ht="12.75" customHeight="1">
      <c r="A638" s="465"/>
      <c r="B638" s="465"/>
      <c r="C638" s="147"/>
      <c r="D638" s="147"/>
      <c r="E638" s="585"/>
      <c r="F638" s="586"/>
      <c r="G638" s="458"/>
      <c r="H638" s="458"/>
      <c r="I638" s="458"/>
      <c r="J638" s="465"/>
      <c r="K638" s="587"/>
      <c r="L638" s="465"/>
      <c r="M638" s="465"/>
      <c r="N638" s="465"/>
      <c r="O638" s="587"/>
      <c r="P638" s="585"/>
      <c r="Q638" s="465"/>
      <c r="R638" s="458"/>
      <c r="S638" s="585"/>
      <c r="T638" s="588"/>
      <c r="U638" s="589"/>
      <c r="V638" s="587"/>
      <c r="W638" s="465"/>
      <c r="X638" s="465"/>
      <c r="Y638" s="590"/>
      <c r="Z638" s="458"/>
      <c r="AA638" s="591"/>
      <c r="AB638" s="465"/>
      <c r="AC638" s="465"/>
      <c r="AD638" s="465"/>
      <c r="AE638" s="465"/>
      <c r="AF638" s="465"/>
      <c r="AG638" s="465"/>
      <c r="AH638" s="465"/>
      <c r="AI638" s="592"/>
      <c r="AJ638" s="465"/>
      <c r="AK638" s="465"/>
      <c r="AL638" s="20"/>
      <c r="AM638" s="20"/>
      <c r="AN638" s="593"/>
      <c r="AO638" s="20"/>
      <c r="AP638" s="276"/>
      <c r="AQ638" s="276"/>
      <c r="AR638" s="276"/>
      <c r="AS638" s="276"/>
      <c r="AT638" s="276"/>
      <c r="AU638" s="276"/>
      <c r="AV638" s="276"/>
      <c r="AW638" s="276"/>
      <c r="AX638" s="276"/>
      <c r="AY638" s="276"/>
      <c r="AZ638" s="276"/>
      <c r="BA638" s="276"/>
      <c r="BB638" s="276"/>
      <c r="BC638" s="276"/>
    </row>
    <row r="639" spans="1:55" ht="12.75" customHeight="1">
      <c r="A639" s="465"/>
      <c r="B639" s="465"/>
      <c r="C639" s="147"/>
      <c r="D639" s="147"/>
      <c r="E639" s="585"/>
      <c r="F639" s="586"/>
      <c r="G639" s="458"/>
      <c r="H639" s="458"/>
      <c r="I639" s="458"/>
      <c r="J639" s="465"/>
      <c r="K639" s="587"/>
      <c r="L639" s="465"/>
      <c r="M639" s="465"/>
      <c r="N639" s="465"/>
      <c r="O639" s="587"/>
      <c r="P639" s="585"/>
      <c r="Q639" s="465"/>
      <c r="R639" s="458"/>
      <c r="S639" s="585"/>
      <c r="T639" s="588"/>
      <c r="U639" s="589"/>
      <c r="V639" s="587"/>
      <c r="W639" s="465"/>
      <c r="X639" s="465"/>
      <c r="Y639" s="590"/>
      <c r="Z639" s="458"/>
      <c r="AA639" s="591"/>
      <c r="AB639" s="465"/>
      <c r="AC639" s="465"/>
      <c r="AD639" s="465"/>
      <c r="AE639" s="465"/>
      <c r="AF639" s="465"/>
      <c r="AG639" s="465"/>
      <c r="AH639" s="465"/>
      <c r="AI639" s="592"/>
      <c r="AJ639" s="465"/>
      <c r="AK639" s="465"/>
      <c r="AL639" s="20"/>
      <c r="AM639" s="20"/>
      <c r="AN639" s="593"/>
      <c r="AO639" s="20"/>
      <c r="AP639" s="276"/>
      <c r="AQ639" s="276"/>
      <c r="AR639" s="276"/>
      <c r="AS639" s="276"/>
      <c r="AT639" s="276"/>
      <c r="AU639" s="276"/>
      <c r="AV639" s="276"/>
      <c r="AW639" s="276"/>
      <c r="AX639" s="276"/>
      <c r="AY639" s="276"/>
      <c r="AZ639" s="276"/>
      <c r="BA639" s="276"/>
      <c r="BB639" s="276"/>
      <c r="BC639" s="276"/>
    </row>
    <row r="640" spans="1:55" ht="12.75" customHeight="1">
      <c r="A640" s="465"/>
      <c r="B640" s="465"/>
      <c r="C640" s="147"/>
      <c r="D640" s="147"/>
      <c r="E640" s="585"/>
      <c r="F640" s="586"/>
      <c r="G640" s="458"/>
      <c r="H640" s="458"/>
      <c r="I640" s="458"/>
      <c r="J640" s="465"/>
      <c r="K640" s="587"/>
      <c r="L640" s="465"/>
      <c r="M640" s="465"/>
      <c r="N640" s="465"/>
      <c r="O640" s="587"/>
      <c r="P640" s="585"/>
      <c r="Q640" s="465"/>
      <c r="R640" s="458"/>
      <c r="S640" s="585"/>
      <c r="T640" s="588"/>
      <c r="U640" s="589"/>
      <c r="V640" s="587"/>
      <c r="W640" s="465"/>
      <c r="X640" s="465"/>
      <c r="Y640" s="590"/>
      <c r="Z640" s="458"/>
      <c r="AA640" s="591"/>
      <c r="AB640" s="465"/>
      <c r="AC640" s="465"/>
      <c r="AD640" s="465"/>
      <c r="AE640" s="465"/>
      <c r="AF640" s="465"/>
      <c r="AG640" s="465"/>
      <c r="AH640" s="465"/>
      <c r="AI640" s="592"/>
      <c r="AJ640" s="465"/>
      <c r="AK640" s="465"/>
      <c r="AL640" s="20"/>
      <c r="AM640" s="20"/>
      <c r="AN640" s="593"/>
      <c r="AO640" s="20"/>
      <c r="AP640" s="276"/>
      <c r="AQ640" s="276"/>
      <c r="AR640" s="276"/>
      <c r="AS640" s="276"/>
      <c r="AT640" s="276"/>
      <c r="AU640" s="276"/>
      <c r="AV640" s="276"/>
      <c r="AW640" s="276"/>
      <c r="AX640" s="276"/>
      <c r="AY640" s="276"/>
      <c r="AZ640" s="276"/>
      <c r="BA640" s="276"/>
      <c r="BB640" s="276"/>
      <c r="BC640" s="276"/>
    </row>
    <row r="641" spans="1:55" ht="12.75" customHeight="1">
      <c r="A641" s="465"/>
      <c r="B641" s="465"/>
      <c r="C641" s="147"/>
      <c r="D641" s="147"/>
      <c r="E641" s="585"/>
      <c r="F641" s="586"/>
      <c r="G641" s="458"/>
      <c r="H641" s="458"/>
      <c r="I641" s="458"/>
      <c r="J641" s="465"/>
      <c r="K641" s="587"/>
      <c r="L641" s="465"/>
      <c r="M641" s="465"/>
      <c r="N641" s="465"/>
      <c r="O641" s="587"/>
      <c r="P641" s="585"/>
      <c r="Q641" s="465"/>
      <c r="R641" s="458"/>
      <c r="S641" s="585"/>
      <c r="T641" s="588"/>
      <c r="U641" s="589"/>
      <c r="V641" s="587"/>
      <c r="W641" s="465"/>
      <c r="X641" s="465"/>
      <c r="Y641" s="590"/>
      <c r="Z641" s="458"/>
      <c r="AA641" s="591"/>
      <c r="AB641" s="465"/>
      <c r="AC641" s="465"/>
      <c r="AD641" s="465"/>
      <c r="AE641" s="465"/>
      <c r="AF641" s="465"/>
      <c r="AG641" s="465"/>
      <c r="AH641" s="465"/>
      <c r="AI641" s="592"/>
      <c r="AJ641" s="465"/>
      <c r="AK641" s="465"/>
      <c r="AL641" s="20"/>
      <c r="AM641" s="20"/>
      <c r="AN641" s="593"/>
      <c r="AO641" s="20"/>
      <c r="AP641" s="276"/>
      <c r="AQ641" s="276"/>
      <c r="AR641" s="276"/>
      <c r="AS641" s="276"/>
      <c r="AT641" s="276"/>
      <c r="AU641" s="276"/>
      <c r="AV641" s="276"/>
      <c r="AW641" s="276"/>
      <c r="AX641" s="276"/>
      <c r="AY641" s="276"/>
      <c r="AZ641" s="276"/>
      <c r="BA641" s="276"/>
      <c r="BB641" s="276"/>
      <c r="BC641" s="276"/>
    </row>
    <row r="642" spans="1:55" ht="12.75" customHeight="1">
      <c r="A642" s="465"/>
      <c r="B642" s="465"/>
      <c r="C642" s="147"/>
      <c r="D642" s="147"/>
      <c r="E642" s="585"/>
      <c r="F642" s="586"/>
      <c r="G642" s="458"/>
      <c r="H642" s="458"/>
      <c r="I642" s="458"/>
      <c r="J642" s="465"/>
      <c r="K642" s="587"/>
      <c r="L642" s="465"/>
      <c r="M642" s="465"/>
      <c r="N642" s="465"/>
      <c r="O642" s="587"/>
      <c r="P642" s="585"/>
      <c r="Q642" s="465"/>
      <c r="R642" s="458"/>
      <c r="S642" s="585"/>
      <c r="T642" s="588"/>
      <c r="U642" s="589"/>
      <c r="V642" s="587"/>
      <c r="W642" s="465"/>
      <c r="X642" s="465"/>
      <c r="Y642" s="590"/>
      <c r="Z642" s="458"/>
      <c r="AA642" s="591"/>
      <c r="AB642" s="465"/>
      <c r="AC642" s="465"/>
      <c r="AD642" s="465"/>
      <c r="AE642" s="465"/>
      <c r="AF642" s="465"/>
      <c r="AG642" s="465"/>
      <c r="AH642" s="465"/>
      <c r="AI642" s="592"/>
      <c r="AJ642" s="465"/>
      <c r="AK642" s="465"/>
      <c r="AL642" s="20"/>
      <c r="AM642" s="20"/>
      <c r="AN642" s="593"/>
      <c r="AO642" s="20"/>
      <c r="AP642" s="276"/>
      <c r="AQ642" s="276"/>
      <c r="AR642" s="276"/>
      <c r="AS642" s="276"/>
      <c r="AT642" s="276"/>
      <c r="AU642" s="276"/>
      <c r="AV642" s="276"/>
      <c r="AW642" s="276"/>
      <c r="AX642" s="276"/>
      <c r="AY642" s="276"/>
      <c r="AZ642" s="276"/>
      <c r="BA642" s="276"/>
      <c r="BB642" s="276"/>
      <c r="BC642" s="276"/>
    </row>
    <row r="643" spans="1:55" ht="12.75" customHeight="1">
      <c r="A643" s="465"/>
      <c r="B643" s="465"/>
      <c r="C643" s="147"/>
      <c r="D643" s="147"/>
      <c r="E643" s="585"/>
      <c r="F643" s="586"/>
      <c r="G643" s="458"/>
      <c r="H643" s="458"/>
      <c r="I643" s="458"/>
      <c r="J643" s="465"/>
      <c r="K643" s="587"/>
      <c r="L643" s="465"/>
      <c r="M643" s="465"/>
      <c r="N643" s="465"/>
      <c r="O643" s="587"/>
      <c r="P643" s="585"/>
      <c r="Q643" s="465"/>
      <c r="R643" s="458"/>
      <c r="S643" s="585"/>
      <c r="T643" s="588"/>
      <c r="U643" s="589"/>
      <c r="V643" s="587"/>
      <c r="W643" s="465"/>
      <c r="X643" s="465"/>
      <c r="Y643" s="590"/>
      <c r="Z643" s="458"/>
      <c r="AA643" s="591"/>
      <c r="AB643" s="465"/>
      <c r="AC643" s="465"/>
      <c r="AD643" s="465"/>
      <c r="AE643" s="465"/>
      <c r="AF643" s="465"/>
      <c r="AG643" s="465"/>
      <c r="AH643" s="465"/>
      <c r="AI643" s="592"/>
      <c r="AJ643" s="465"/>
      <c r="AK643" s="465"/>
      <c r="AL643" s="20"/>
      <c r="AM643" s="20"/>
      <c r="AN643" s="593"/>
      <c r="AO643" s="20"/>
      <c r="AP643" s="276"/>
      <c r="AQ643" s="276"/>
      <c r="AR643" s="276"/>
      <c r="AS643" s="276"/>
      <c r="AT643" s="276"/>
      <c r="AU643" s="276"/>
      <c r="AV643" s="276"/>
      <c r="AW643" s="276"/>
      <c r="AX643" s="276"/>
      <c r="AY643" s="276"/>
      <c r="AZ643" s="276"/>
      <c r="BA643" s="276"/>
      <c r="BB643" s="276"/>
      <c r="BC643" s="276"/>
    </row>
    <row r="644" spans="1:55" ht="12.75" customHeight="1">
      <c r="A644" s="465"/>
      <c r="B644" s="465"/>
      <c r="C644" s="147"/>
      <c r="D644" s="147"/>
      <c r="E644" s="585"/>
      <c r="F644" s="586"/>
      <c r="G644" s="458"/>
      <c r="H644" s="458"/>
      <c r="I644" s="458"/>
      <c r="J644" s="465"/>
      <c r="K644" s="587"/>
      <c r="L644" s="465"/>
      <c r="M644" s="465"/>
      <c r="N644" s="465"/>
      <c r="O644" s="587"/>
      <c r="P644" s="585"/>
      <c r="Q644" s="465"/>
      <c r="R644" s="458"/>
      <c r="S644" s="585"/>
      <c r="T644" s="588"/>
      <c r="U644" s="589"/>
      <c r="V644" s="587"/>
      <c r="W644" s="465"/>
      <c r="X644" s="465"/>
      <c r="Y644" s="590"/>
      <c r="Z644" s="458"/>
      <c r="AA644" s="591"/>
      <c r="AB644" s="465"/>
      <c r="AC644" s="465"/>
      <c r="AD644" s="465"/>
      <c r="AE644" s="465"/>
      <c r="AF644" s="465"/>
      <c r="AG644" s="465"/>
      <c r="AH644" s="465"/>
      <c r="AI644" s="592"/>
      <c r="AJ644" s="465"/>
      <c r="AK644" s="465"/>
      <c r="AL644" s="20"/>
      <c r="AM644" s="20"/>
      <c r="AN644" s="593"/>
      <c r="AO644" s="20"/>
      <c r="AP644" s="276"/>
      <c r="AQ644" s="276"/>
      <c r="AR644" s="276"/>
      <c r="AS644" s="276"/>
      <c r="AT644" s="276"/>
      <c r="AU644" s="276"/>
      <c r="AV644" s="276"/>
      <c r="AW644" s="276"/>
      <c r="AX644" s="276"/>
      <c r="AY644" s="276"/>
      <c r="AZ644" s="276"/>
      <c r="BA644" s="276"/>
      <c r="BB644" s="276"/>
      <c r="BC644" s="276"/>
    </row>
    <row r="645" spans="1:55" ht="12.75" customHeight="1">
      <c r="A645" s="465"/>
      <c r="B645" s="465"/>
      <c r="C645" s="147"/>
      <c r="D645" s="147"/>
      <c r="E645" s="585"/>
      <c r="F645" s="586"/>
      <c r="G645" s="458"/>
      <c r="H645" s="458"/>
      <c r="I645" s="458"/>
      <c r="J645" s="465"/>
      <c r="K645" s="587"/>
      <c r="L645" s="465"/>
      <c r="M645" s="465"/>
      <c r="N645" s="465"/>
      <c r="O645" s="587"/>
      <c r="P645" s="585"/>
      <c r="Q645" s="465"/>
      <c r="R645" s="458"/>
      <c r="S645" s="585"/>
      <c r="T645" s="588"/>
      <c r="U645" s="589"/>
      <c r="V645" s="587"/>
      <c r="W645" s="465"/>
      <c r="X645" s="465"/>
      <c r="Y645" s="590"/>
      <c r="Z645" s="458"/>
      <c r="AA645" s="591"/>
      <c r="AB645" s="465"/>
      <c r="AC645" s="465"/>
      <c r="AD645" s="465"/>
      <c r="AE645" s="465"/>
      <c r="AF645" s="465"/>
      <c r="AG645" s="465"/>
      <c r="AH645" s="465"/>
      <c r="AI645" s="592"/>
      <c r="AJ645" s="465"/>
      <c r="AK645" s="465"/>
      <c r="AL645" s="20"/>
      <c r="AM645" s="20"/>
      <c r="AN645" s="593"/>
      <c r="AO645" s="20"/>
      <c r="AP645" s="276"/>
      <c r="AQ645" s="276"/>
      <c r="AR645" s="276"/>
      <c r="AS645" s="276"/>
      <c r="AT645" s="276"/>
      <c r="AU645" s="276"/>
      <c r="AV645" s="276"/>
      <c r="AW645" s="276"/>
      <c r="AX645" s="276"/>
      <c r="AY645" s="276"/>
      <c r="AZ645" s="276"/>
      <c r="BA645" s="276"/>
      <c r="BB645" s="276"/>
      <c r="BC645" s="276"/>
    </row>
    <row r="646" spans="1:55" ht="12.75" customHeight="1">
      <c r="A646" s="465"/>
      <c r="B646" s="465"/>
      <c r="C646" s="147"/>
      <c r="D646" s="147"/>
      <c r="E646" s="585"/>
      <c r="F646" s="586"/>
      <c r="G646" s="458"/>
      <c r="H646" s="458"/>
      <c r="I646" s="458"/>
      <c r="J646" s="465"/>
      <c r="K646" s="587"/>
      <c r="L646" s="465"/>
      <c r="M646" s="465"/>
      <c r="N646" s="465"/>
      <c r="O646" s="587"/>
      <c r="P646" s="585"/>
      <c r="Q646" s="465"/>
      <c r="R646" s="458"/>
      <c r="S646" s="585"/>
      <c r="T646" s="588"/>
      <c r="U646" s="589"/>
      <c r="V646" s="587"/>
      <c r="W646" s="465"/>
      <c r="X646" s="465"/>
      <c r="Y646" s="590"/>
      <c r="Z646" s="458"/>
      <c r="AA646" s="591"/>
      <c r="AB646" s="465"/>
      <c r="AC646" s="465"/>
      <c r="AD646" s="465"/>
      <c r="AE646" s="465"/>
      <c r="AF646" s="465"/>
      <c r="AG646" s="465"/>
      <c r="AH646" s="465"/>
      <c r="AI646" s="592"/>
      <c r="AJ646" s="465"/>
      <c r="AK646" s="465"/>
      <c r="AL646" s="20"/>
      <c r="AM646" s="20"/>
      <c r="AN646" s="593"/>
      <c r="AO646" s="20"/>
      <c r="AP646" s="276"/>
      <c r="AQ646" s="276"/>
      <c r="AR646" s="276"/>
      <c r="AS646" s="276"/>
      <c r="AT646" s="276"/>
      <c r="AU646" s="276"/>
      <c r="AV646" s="276"/>
      <c r="AW646" s="276"/>
      <c r="AX646" s="276"/>
      <c r="AY646" s="276"/>
      <c r="AZ646" s="276"/>
      <c r="BA646" s="276"/>
      <c r="BB646" s="276"/>
      <c r="BC646" s="276"/>
    </row>
    <row r="647" spans="1:55" ht="12.75" customHeight="1">
      <c r="A647" s="465"/>
      <c r="B647" s="465"/>
      <c r="C647" s="147"/>
      <c r="D647" s="147"/>
      <c r="E647" s="585"/>
      <c r="F647" s="586"/>
      <c r="G647" s="458"/>
      <c r="H647" s="458"/>
      <c r="I647" s="458"/>
      <c r="J647" s="465"/>
      <c r="K647" s="587"/>
      <c r="L647" s="465"/>
      <c r="M647" s="465"/>
      <c r="N647" s="465"/>
      <c r="O647" s="587"/>
      <c r="P647" s="585"/>
      <c r="Q647" s="465"/>
      <c r="R647" s="458"/>
      <c r="S647" s="585"/>
      <c r="T647" s="588"/>
      <c r="U647" s="589"/>
      <c r="V647" s="587"/>
      <c r="W647" s="465"/>
      <c r="X647" s="465"/>
      <c r="Y647" s="590"/>
      <c r="Z647" s="458"/>
      <c r="AA647" s="591"/>
      <c r="AB647" s="465"/>
      <c r="AC647" s="465"/>
      <c r="AD647" s="465"/>
      <c r="AE647" s="465"/>
      <c r="AF647" s="465"/>
      <c r="AG647" s="465"/>
      <c r="AH647" s="465"/>
      <c r="AI647" s="592"/>
      <c r="AJ647" s="465"/>
      <c r="AK647" s="465"/>
      <c r="AL647" s="20"/>
      <c r="AM647" s="20"/>
      <c r="AN647" s="593"/>
      <c r="AO647" s="20"/>
      <c r="AP647" s="276"/>
      <c r="AQ647" s="276"/>
      <c r="AR647" s="276"/>
      <c r="AS647" s="276"/>
      <c r="AT647" s="276"/>
      <c r="AU647" s="276"/>
      <c r="AV647" s="276"/>
      <c r="AW647" s="276"/>
      <c r="AX647" s="276"/>
      <c r="AY647" s="276"/>
      <c r="AZ647" s="276"/>
      <c r="BA647" s="276"/>
      <c r="BB647" s="276"/>
      <c r="BC647" s="276"/>
    </row>
    <row r="648" spans="1:55" ht="12.75" customHeight="1">
      <c r="A648" s="465"/>
      <c r="B648" s="465"/>
      <c r="C648" s="147"/>
      <c r="D648" s="147"/>
      <c r="E648" s="585"/>
      <c r="F648" s="586"/>
      <c r="G648" s="458"/>
      <c r="H648" s="458"/>
      <c r="I648" s="458"/>
      <c r="J648" s="465"/>
      <c r="K648" s="587"/>
      <c r="L648" s="465"/>
      <c r="M648" s="465"/>
      <c r="N648" s="465"/>
      <c r="O648" s="587"/>
      <c r="P648" s="585"/>
      <c r="Q648" s="465"/>
      <c r="R648" s="458"/>
      <c r="S648" s="585"/>
      <c r="T648" s="588"/>
      <c r="U648" s="589"/>
      <c r="V648" s="587"/>
      <c r="W648" s="465"/>
      <c r="X648" s="465"/>
      <c r="Y648" s="590"/>
      <c r="Z648" s="458"/>
      <c r="AA648" s="591"/>
      <c r="AB648" s="465"/>
      <c r="AC648" s="465"/>
      <c r="AD648" s="465"/>
      <c r="AE648" s="465"/>
      <c r="AF648" s="465"/>
      <c r="AG648" s="465"/>
      <c r="AH648" s="465"/>
      <c r="AI648" s="592"/>
      <c r="AJ648" s="465"/>
      <c r="AK648" s="465"/>
      <c r="AL648" s="20"/>
      <c r="AM648" s="20"/>
      <c r="AN648" s="593"/>
      <c r="AO648" s="20"/>
      <c r="AP648" s="276"/>
      <c r="AQ648" s="276"/>
      <c r="AR648" s="276"/>
      <c r="AS648" s="276"/>
      <c r="AT648" s="276"/>
      <c r="AU648" s="276"/>
      <c r="AV648" s="276"/>
      <c r="AW648" s="276"/>
      <c r="AX648" s="276"/>
      <c r="AY648" s="276"/>
      <c r="AZ648" s="276"/>
      <c r="BA648" s="276"/>
      <c r="BB648" s="276"/>
      <c r="BC648" s="276"/>
    </row>
    <row r="649" spans="1:55" ht="12.75" customHeight="1">
      <c r="A649" s="465"/>
      <c r="B649" s="465"/>
      <c r="C649" s="147"/>
      <c r="D649" s="147"/>
      <c r="E649" s="585"/>
      <c r="F649" s="586"/>
      <c r="G649" s="458"/>
      <c r="H649" s="458"/>
      <c r="I649" s="458"/>
      <c r="J649" s="465"/>
      <c r="K649" s="587"/>
      <c r="L649" s="465"/>
      <c r="M649" s="465"/>
      <c r="N649" s="465"/>
      <c r="O649" s="587"/>
      <c r="P649" s="585"/>
      <c r="Q649" s="465"/>
      <c r="R649" s="458"/>
      <c r="S649" s="585"/>
      <c r="T649" s="588"/>
      <c r="U649" s="589"/>
      <c r="V649" s="587"/>
      <c r="W649" s="465"/>
      <c r="X649" s="465"/>
      <c r="Y649" s="590"/>
      <c r="Z649" s="458"/>
      <c r="AA649" s="591"/>
      <c r="AB649" s="465"/>
      <c r="AC649" s="465"/>
      <c r="AD649" s="465"/>
      <c r="AE649" s="465"/>
      <c r="AF649" s="465"/>
      <c r="AG649" s="465"/>
      <c r="AH649" s="465"/>
      <c r="AI649" s="592"/>
      <c r="AJ649" s="465"/>
      <c r="AK649" s="465"/>
      <c r="AL649" s="20"/>
      <c r="AM649" s="20"/>
      <c r="AN649" s="593"/>
      <c r="AO649" s="20"/>
      <c r="AP649" s="276"/>
      <c r="AQ649" s="276"/>
      <c r="AR649" s="276"/>
      <c r="AS649" s="276"/>
      <c r="AT649" s="276"/>
      <c r="AU649" s="276"/>
      <c r="AV649" s="276"/>
      <c r="AW649" s="276"/>
      <c r="AX649" s="276"/>
      <c r="AY649" s="276"/>
      <c r="AZ649" s="276"/>
      <c r="BA649" s="276"/>
      <c r="BB649" s="276"/>
      <c r="BC649" s="276"/>
    </row>
    <row r="650" spans="1:55" ht="12.75" customHeight="1">
      <c r="A650" s="465"/>
      <c r="B650" s="465"/>
      <c r="C650" s="147"/>
      <c r="D650" s="147"/>
      <c r="E650" s="585"/>
      <c r="F650" s="586"/>
      <c r="G650" s="458"/>
      <c r="H650" s="458"/>
      <c r="I650" s="458"/>
      <c r="J650" s="465"/>
      <c r="K650" s="587"/>
      <c r="L650" s="465"/>
      <c r="M650" s="465"/>
      <c r="N650" s="465"/>
      <c r="O650" s="587"/>
      <c r="P650" s="585"/>
      <c r="Q650" s="465"/>
      <c r="R650" s="458"/>
      <c r="S650" s="585"/>
      <c r="T650" s="588"/>
      <c r="U650" s="589"/>
      <c r="V650" s="587"/>
      <c r="W650" s="465"/>
      <c r="X650" s="465"/>
      <c r="Y650" s="590"/>
      <c r="Z650" s="458"/>
      <c r="AA650" s="591"/>
      <c r="AB650" s="465"/>
      <c r="AC650" s="465"/>
      <c r="AD650" s="465"/>
      <c r="AE650" s="465"/>
      <c r="AF650" s="465"/>
      <c r="AG650" s="465"/>
      <c r="AH650" s="465"/>
      <c r="AI650" s="592"/>
      <c r="AJ650" s="465"/>
      <c r="AK650" s="465"/>
      <c r="AL650" s="20"/>
      <c r="AM650" s="20"/>
      <c r="AN650" s="593"/>
      <c r="AO650" s="20"/>
      <c r="AP650" s="276"/>
      <c r="AQ650" s="276"/>
      <c r="AR650" s="276"/>
      <c r="AS650" s="276"/>
      <c r="AT650" s="276"/>
      <c r="AU650" s="276"/>
      <c r="AV650" s="276"/>
      <c r="AW650" s="276"/>
      <c r="AX650" s="276"/>
      <c r="AY650" s="276"/>
      <c r="AZ650" s="276"/>
      <c r="BA650" s="276"/>
      <c r="BB650" s="276"/>
      <c r="BC650" s="276"/>
    </row>
    <row r="651" spans="1:55" ht="12.75" customHeight="1">
      <c r="A651" s="465"/>
      <c r="B651" s="465"/>
      <c r="C651" s="147"/>
      <c r="D651" s="147"/>
      <c r="E651" s="585"/>
      <c r="F651" s="586"/>
      <c r="G651" s="458"/>
      <c r="H651" s="458"/>
      <c r="I651" s="458"/>
      <c r="J651" s="465"/>
      <c r="K651" s="587"/>
      <c r="L651" s="465"/>
      <c r="M651" s="465"/>
      <c r="N651" s="465"/>
      <c r="O651" s="587"/>
      <c r="P651" s="585"/>
      <c r="Q651" s="465"/>
      <c r="R651" s="458"/>
      <c r="S651" s="585"/>
      <c r="T651" s="588"/>
      <c r="U651" s="589"/>
      <c r="V651" s="587"/>
      <c r="W651" s="465"/>
      <c r="X651" s="465"/>
      <c r="Y651" s="590"/>
      <c r="Z651" s="458"/>
      <c r="AA651" s="591"/>
      <c r="AB651" s="465"/>
      <c r="AC651" s="465"/>
      <c r="AD651" s="465"/>
      <c r="AE651" s="465"/>
      <c r="AF651" s="465"/>
      <c r="AG651" s="465"/>
      <c r="AH651" s="465"/>
      <c r="AI651" s="592"/>
      <c r="AJ651" s="465"/>
      <c r="AK651" s="465"/>
      <c r="AL651" s="20"/>
      <c r="AM651" s="20"/>
      <c r="AN651" s="593"/>
      <c r="AO651" s="20"/>
      <c r="AP651" s="276"/>
      <c r="AQ651" s="276"/>
      <c r="AR651" s="276"/>
      <c r="AS651" s="276"/>
      <c r="AT651" s="276"/>
      <c r="AU651" s="276"/>
      <c r="AV651" s="276"/>
      <c r="AW651" s="276"/>
      <c r="AX651" s="276"/>
      <c r="AY651" s="276"/>
      <c r="AZ651" s="276"/>
      <c r="BA651" s="276"/>
      <c r="BB651" s="276"/>
      <c r="BC651" s="276"/>
    </row>
    <row r="652" spans="1:55" ht="12.75" customHeight="1">
      <c r="A652" s="465"/>
      <c r="B652" s="465"/>
      <c r="C652" s="147"/>
      <c r="D652" s="147"/>
      <c r="E652" s="585"/>
      <c r="F652" s="586"/>
      <c r="G652" s="458"/>
      <c r="H652" s="458"/>
      <c r="I652" s="458"/>
      <c r="J652" s="465"/>
      <c r="K652" s="587"/>
      <c r="L652" s="465"/>
      <c r="M652" s="465"/>
      <c r="N652" s="465"/>
      <c r="O652" s="587"/>
      <c r="P652" s="585"/>
      <c r="Q652" s="465"/>
      <c r="R652" s="458"/>
      <c r="S652" s="585"/>
      <c r="T652" s="588"/>
      <c r="U652" s="589"/>
      <c r="V652" s="587"/>
      <c r="W652" s="465"/>
      <c r="X652" s="465"/>
      <c r="Y652" s="590"/>
      <c r="Z652" s="458"/>
      <c r="AA652" s="591"/>
      <c r="AB652" s="465"/>
      <c r="AC652" s="465"/>
      <c r="AD652" s="465"/>
      <c r="AE652" s="465"/>
      <c r="AF652" s="465"/>
      <c r="AG652" s="465"/>
      <c r="AH652" s="465"/>
      <c r="AI652" s="592"/>
      <c r="AJ652" s="465"/>
      <c r="AK652" s="465"/>
      <c r="AL652" s="20"/>
      <c r="AM652" s="20"/>
      <c r="AN652" s="593"/>
      <c r="AO652" s="20"/>
      <c r="AP652" s="276"/>
      <c r="AQ652" s="276"/>
      <c r="AR652" s="276"/>
      <c r="AS652" s="276"/>
      <c r="AT652" s="276"/>
      <c r="AU652" s="276"/>
      <c r="AV652" s="276"/>
      <c r="AW652" s="276"/>
      <c r="AX652" s="276"/>
      <c r="AY652" s="276"/>
      <c r="AZ652" s="276"/>
      <c r="BA652" s="276"/>
      <c r="BB652" s="276"/>
      <c r="BC652" s="276"/>
    </row>
    <row r="653" spans="1:55" ht="12.75" customHeight="1">
      <c r="A653" s="465"/>
      <c r="B653" s="465"/>
      <c r="C653" s="147"/>
      <c r="D653" s="147"/>
      <c r="E653" s="585"/>
      <c r="F653" s="586"/>
      <c r="G653" s="458"/>
      <c r="H653" s="458"/>
      <c r="I653" s="458"/>
      <c r="J653" s="465"/>
      <c r="K653" s="587"/>
      <c r="L653" s="465"/>
      <c r="M653" s="465"/>
      <c r="N653" s="465"/>
      <c r="O653" s="587"/>
      <c r="P653" s="585"/>
      <c r="Q653" s="465"/>
      <c r="R653" s="458"/>
      <c r="S653" s="585"/>
      <c r="T653" s="588"/>
      <c r="U653" s="589"/>
      <c r="V653" s="587"/>
      <c r="W653" s="465"/>
      <c r="X653" s="465"/>
      <c r="Y653" s="590"/>
      <c r="Z653" s="458"/>
      <c r="AA653" s="591"/>
      <c r="AB653" s="465"/>
      <c r="AC653" s="465"/>
      <c r="AD653" s="465"/>
      <c r="AE653" s="465"/>
      <c r="AF653" s="465"/>
      <c r="AG653" s="465"/>
      <c r="AH653" s="465"/>
      <c r="AI653" s="592"/>
      <c r="AJ653" s="465"/>
      <c r="AK653" s="465"/>
      <c r="AL653" s="20"/>
      <c r="AM653" s="20"/>
      <c r="AN653" s="593"/>
      <c r="AO653" s="20"/>
      <c r="AP653" s="276"/>
      <c r="AQ653" s="276"/>
      <c r="AR653" s="276"/>
      <c r="AS653" s="276"/>
      <c r="AT653" s="276"/>
      <c r="AU653" s="276"/>
      <c r="AV653" s="276"/>
      <c r="AW653" s="276"/>
      <c r="AX653" s="276"/>
      <c r="AY653" s="276"/>
      <c r="AZ653" s="276"/>
      <c r="BA653" s="276"/>
      <c r="BB653" s="276"/>
      <c r="BC653" s="276"/>
    </row>
    <row r="654" spans="1:55" ht="12.75" customHeight="1">
      <c r="A654" s="465"/>
      <c r="B654" s="465"/>
      <c r="C654" s="147"/>
      <c r="D654" s="147"/>
      <c r="E654" s="585"/>
      <c r="F654" s="586"/>
      <c r="G654" s="458"/>
      <c r="H654" s="458"/>
      <c r="I654" s="458"/>
      <c r="J654" s="465"/>
      <c r="K654" s="587"/>
      <c r="L654" s="465"/>
      <c r="M654" s="465"/>
      <c r="N654" s="465"/>
      <c r="O654" s="587"/>
      <c r="P654" s="585"/>
      <c r="Q654" s="465"/>
      <c r="R654" s="458"/>
      <c r="S654" s="585"/>
      <c r="T654" s="588"/>
      <c r="U654" s="589"/>
      <c r="V654" s="587"/>
      <c r="W654" s="465"/>
      <c r="X654" s="465"/>
      <c r="Y654" s="590"/>
      <c r="Z654" s="458"/>
      <c r="AA654" s="591"/>
      <c r="AB654" s="465"/>
      <c r="AC654" s="465"/>
      <c r="AD654" s="465"/>
      <c r="AE654" s="465"/>
      <c r="AF654" s="465"/>
      <c r="AG654" s="465"/>
      <c r="AH654" s="465"/>
      <c r="AI654" s="592"/>
      <c r="AJ654" s="465"/>
      <c r="AK654" s="465"/>
      <c r="AL654" s="20"/>
      <c r="AM654" s="20"/>
      <c r="AN654" s="593"/>
      <c r="AO654" s="20"/>
      <c r="AP654" s="276"/>
      <c r="AQ654" s="276"/>
      <c r="AR654" s="276"/>
      <c r="AS654" s="276"/>
      <c r="AT654" s="276"/>
      <c r="AU654" s="276"/>
      <c r="AV654" s="276"/>
      <c r="AW654" s="276"/>
      <c r="AX654" s="276"/>
      <c r="AY654" s="276"/>
      <c r="AZ654" s="276"/>
      <c r="BA654" s="276"/>
      <c r="BB654" s="276"/>
      <c r="BC654" s="276"/>
    </row>
    <row r="655" spans="1:55" ht="12.75" customHeight="1">
      <c r="A655" s="465"/>
      <c r="B655" s="465"/>
      <c r="C655" s="147"/>
      <c r="D655" s="147"/>
      <c r="E655" s="585"/>
      <c r="F655" s="586"/>
      <c r="G655" s="458"/>
      <c r="H655" s="458"/>
      <c r="I655" s="458"/>
      <c r="J655" s="465"/>
      <c r="K655" s="587"/>
      <c r="L655" s="465"/>
      <c r="M655" s="465"/>
      <c r="N655" s="465"/>
      <c r="O655" s="587"/>
      <c r="P655" s="585"/>
      <c r="Q655" s="465"/>
      <c r="R655" s="458"/>
      <c r="S655" s="585"/>
      <c r="T655" s="588"/>
      <c r="U655" s="589"/>
      <c r="V655" s="587"/>
      <c r="W655" s="465"/>
      <c r="X655" s="465"/>
      <c r="Y655" s="590"/>
      <c r="Z655" s="458"/>
      <c r="AA655" s="591"/>
      <c r="AB655" s="465"/>
      <c r="AC655" s="465"/>
      <c r="AD655" s="465"/>
      <c r="AE655" s="465"/>
      <c r="AF655" s="465"/>
      <c r="AG655" s="465"/>
      <c r="AH655" s="465"/>
      <c r="AI655" s="592"/>
      <c r="AJ655" s="465"/>
      <c r="AK655" s="465"/>
      <c r="AL655" s="20"/>
      <c r="AM655" s="20"/>
      <c r="AN655" s="593"/>
      <c r="AO655" s="20"/>
      <c r="AP655" s="276"/>
      <c r="AQ655" s="276"/>
      <c r="AR655" s="276"/>
      <c r="AS655" s="276"/>
      <c r="AT655" s="276"/>
      <c r="AU655" s="276"/>
      <c r="AV655" s="276"/>
      <c r="AW655" s="276"/>
      <c r="AX655" s="276"/>
      <c r="AY655" s="276"/>
      <c r="AZ655" s="276"/>
      <c r="BA655" s="276"/>
      <c r="BB655" s="276"/>
      <c r="BC655" s="276"/>
    </row>
    <row r="656" spans="1:55" ht="12.75" customHeight="1">
      <c r="A656" s="465"/>
      <c r="B656" s="465"/>
      <c r="C656" s="147"/>
      <c r="D656" s="147"/>
      <c r="E656" s="585"/>
      <c r="F656" s="586"/>
      <c r="G656" s="458"/>
      <c r="H656" s="458"/>
      <c r="I656" s="458"/>
      <c r="J656" s="465"/>
      <c r="K656" s="587"/>
      <c r="L656" s="465"/>
      <c r="M656" s="465"/>
      <c r="N656" s="465"/>
      <c r="O656" s="587"/>
      <c r="P656" s="585"/>
      <c r="Q656" s="465"/>
      <c r="R656" s="458"/>
      <c r="S656" s="585"/>
      <c r="T656" s="588"/>
      <c r="U656" s="589"/>
      <c r="V656" s="587"/>
      <c r="W656" s="465"/>
      <c r="X656" s="465"/>
      <c r="Y656" s="590"/>
      <c r="Z656" s="458"/>
      <c r="AA656" s="591"/>
      <c r="AB656" s="465"/>
      <c r="AC656" s="465"/>
      <c r="AD656" s="465"/>
      <c r="AE656" s="465"/>
      <c r="AF656" s="465"/>
      <c r="AG656" s="465"/>
      <c r="AH656" s="465"/>
      <c r="AI656" s="592"/>
      <c r="AJ656" s="465"/>
      <c r="AK656" s="465"/>
      <c r="AL656" s="20"/>
      <c r="AM656" s="20"/>
      <c r="AN656" s="593"/>
      <c r="AO656" s="20"/>
      <c r="AP656" s="276"/>
      <c r="AQ656" s="276"/>
      <c r="AR656" s="276"/>
      <c r="AS656" s="276"/>
      <c r="AT656" s="276"/>
      <c r="AU656" s="276"/>
      <c r="AV656" s="276"/>
      <c r="AW656" s="276"/>
      <c r="AX656" s="276"/>
      <c r="AY656" s="276"/>
      <c r="AZ656" s="276"/>
      <c r="BA656" s="276"/>
      <c r="BB656" s="276"/>
      <c r="BC656" s="276"/>
    </row>
    <row r="657" spans="1:55" ht="12.75" customHeight="1">
      <c r="A657" s="465"/>
      <c r="B657" s="465"/>
      <c r="C657" s="147"/>
      <c r="D657" s="147"/>
      <c r="E657" s="585"/>
      <c r="F657" s="586"/>
      <c r="G657" s="458"/>
      <c r="H657" s="458"/>
      <c r="I657" s="458"/>
      <c r="J657" s="465"/>
      <c r="K657" s="587"/>
      <c r="L657" s="465"/>
      <c r="M657" s="465"/>
      <c r="N657" s="465"/>
      <c r="O657" s="587"/>
      <c r="P657" s="585"/>
      <c r="Q657" s="465"/>
      <c r="R657" s="458"/>
      <c r="S657" s="585"/>
      <c r="T657" s="588"/>
      <c r="U657" s="589"/>
      <c r="V657" s="587"/>
      <c r="W657" s="465"/>
      <c r="X657" s="465"/>
      <c r="Y657" s="590"/>
      <c r="Z657" s="458"/>
      <c r="AA657" s="591"/>
      <c r="AB657" s="465"/>
      <c r="AC657" s="465"/>
      <c r="AD657" s="465"/>
      <c r="AE657" s="465"/>
      <c r="AF657" s="465"/>
      <c r="AG657" s="465"/>
      <c r="AH657" s="465"/>
      <c r="AI657" s="592"/>
      <c r="AJ657" s="465"/>
      <c r="AK657" s="465"/>
      <c r="AL657" s="20"/>
      <c r="AM657" s="20"/>
      <c r="AN657" s="593"/>
      <c r="AO657" s="20"/>
      <c r="AP657" s="276"/>
      <c r="AQ657" s="276"/>
      <c r="AR657" s="276"/>
      <c r="AS657" s="276"/>
      <c r="AT657" s="276"/>
      <c r="AU657" s="276"/>
      <c r="AV657" s="276"/>
      <c r="AW657" s="276"/>
      <c r="AX657" s="276"/>
      <c r="AY657" s="276"/>
      <c r="AZ657" s="276"/>
      <c r="BA657" s="276"/>
      <c r="BB657" s="276"/>
      <c r="BC657" s="276"/>
    </row>
    <row r="658" spans="1:55" ht="12.75" customHeight="1">
      <c r="A658" s="465"/>
      <c r="B658" s="465"/>
      <c r="C658" s="147"/>
      <c r="D658" s="147"/>
      <c r="E658" s="585"/>
      <c r="F658" s="586"/>
      <c r="G658" s="458"/>
      <c r="H658" s="458"/>
      <c r="I658" s="458"/>
      <c r="J658" s="465"/>
      <c r="K658" s="587"/>
      <c r="L658" s="465"/>
      <c r="M658" s="465"/>
      <c r="N658" s="465"/>
      <c r="O658" s="587"/>
      <c r="P658" s="585"/>
      <c r="Q658" s="465"/>
      <c r="R658" s="458"/>
      <c r="S658" s="585"/>
      <c r="T658" s="588"/>
      <c r="U658" s="589"/>
      <c r="V658" s="587"/>
      <c r="W658" s="465"/>
      <c r="X658" s="465"/>
      <c r="Y658" s="590"/>
      <c r="Z658" s="458"/>
      <c r="AA658" s="591"/>
      <c r="AB658" s="465"/>
      <c r="AC658" s="465"/>
      <c r="AD658" s="465"/>
      <c r="AE658" s="465"/>
      <c r="AF658" s="465"/>
      <c r="AG658" s="465"/>
      <c r="AH658" s="465"/>
      <c r="AI658" s="592"/>
      <c r="AJ658" s="465"/>
      <c r="AK658" s="465"/>
      <c r="AL658" s="20"/>
      <c r="AM658" s="20"/>
      <c r="AN658" s="593"/>
      <c r="AO658" s="20"/>
      <c r="AP658" s="276"/>
      <c r="AQ658" s="276"/>
      <c r="AR658" s="276"/>
      <c r="AS658" s="276"/>
      <c r="AT658" s="276"/>
      <c r="AU658" s="276"/>
      <c r="AV658" s="276"/>
      <c r="AW658" s="276"/>
      <c r="AX658" s="276"/>
      <c r="AY658" s="276"/>
      <c r="AZ658" s="276"/>
      <c r="BA658" s="276"/>
      <c r="BB658" s="276"/>
      <c r="BC658" s="276"/>
    </row>
    <row r="659" spans="1:55" ht="12.75" customHeight="1">
      <c r="A659" s="465"/>
      <c r="B659" s="465"/>
      <c r="C659" s="147"/>
      <c r="D659" s="147"/>
      <c r="E659" s="585"/>
      <c r="F659" s="586"/>
      <c r="G659" s="458"/>
      <c r="H659" s="458"/>
      <c r="I659" s="458"/>
      <c r="J659" s="465"/>
      <c r="K659" s="587"/>
      <c r="L659" s="465"/>
      <c r="M659" s="465"/>
      <c r="N659" s="465"/>
      <c r="O659" s="587"/>
      <c r="P659" s="585"/>
      <c r="Q659" s="465"/>
      <c r="R659" s="458"/>
      <c r="S659" s="585"/>
      <c r="T659" s="588"/>
      <c r="U659" s="589"/>
      <c r="V659" s="587"/>
      <c r="W659" s="465"/>
      <c r="X659" s="465"/>
      <c r="Y659" s="590"/>
      <c r="Z659" s="458"/>
      <c r="AA659" s="591"/>
      <c r="AB659" s="465"/>
      <c r="AC659" s="465"/>
      <c r="AD659" s="465"/>
      <c r="AE659" s="465"/>
      <c r="AF659" s="465"/>
      <c r="AG659" s="465"/>
      <c r="AH659" s="465"/>
      <c r="AI659" s="592"/>
      <c r="AJ659" s="465"/>
      <c r="AK659" s="465"/>
      <c r="AL659" s="20"/>
      <c r="AM659" s="20"/>
      <c r="AN659" s="593"/>
      <c r="AO659" s="20"/>
      <c r="AP659" s="276"/>
      <c r="AQ659" s="276"/>
      <c r="AR659" s="276"/>
      <c r="AS659" s="276"/>
      <c r="AT659" s="276"/>
      <c r="AU659" s="276"/>
      <c r="AV659" s="276"/>
      <c r="AW659" s="276"/>
      <c r="AX659" s="276"/>
      <c r="AY659" s="276"/>
      <c r="AZ659" s="276"/>
      <c r="BA659" s="276"/>
      <c r="BB659" s="276"/>
      <c r="BC659" s="276"/>
    </row>
    <row r="660" spans="1:55" ht="12.75" customHeight="1">
      <c r="A660" s="465"/>
      <c r="B660" s="465"/>
      <c r="C660" s="147"/>
      <c r="D660" s="147"/>
      <c r="E660" s="585"/>
      <c r="F660" s="586"/>
      <c r="G660" s="458"/>
      <c r="H660" s="458"/>
      <c r="I660" s="458"/>
      <c r="J660" s="465"/>
      <c r="K660" s="587"/>
      <c r="L660" s="465"/>
      <c r="M660" s="465"/>
      <c r="N660" s="465"/>
      <c r="O660" s="587"/>
      <c r="P660" s="585"/>
      <c r="Q660" s="465"/>
      <c r="R660" s="458"/>
      <c r="S660" s="585"/>
      <c r="T660" s="588"/>
      <c r="U660" s="589"/>
      <c r="V660" s="587"/>
      <c r="W660" s="465"/>
      <c r="X660" s="465"/>
      <c r="Y660" s="590"/>
      <c r="Z660" s="458"/>
      <c r="AA660" s="591"/>
      <c r="AB660" s="465"/>
      <c r="AC660" s="465"/>
      <c r="AD660" s="465"/>
      <c r="AE660" s="465"/>
      <c r="AF660" s="465"/>
      <c r="AG660" s="465"/>
      <c r="AH660" s="465"/>
      <c r="AI660" s="592"/>
      <c r="AJ660" s="465"/>
      <c r="AK660" s="465"/>
      <c r="AL660" s="20"/>
      <c r="AM660" s="20"/>
      <c r="AN660" s="593"/>
      <c r="AO660" s="20"/>
      <c r="AP660" s="276"/>
      <c r="AQ660" s="276"/>
      <c r="AR660" s="276"/>
      <c r="AS660" s="276"/>
      <c r="AT660" s="276"/>
      <c r="AU660" s="276"/>
      <c r="AV660" s="276"/>
      <c r="AW660" s="276"/>
      <c r="AX660" s="276"/>
      <c r="AY660" s="276"/>
      <c r="AZ660" s="276"/>
      <c r="BA660" s="276"/>
      <c r="BB660" s="276"/>
      <c r="BC660" s="276"/>
    </row>
    <row r="661" spans="1:55" ht="12.75" customHeight="1">
      <c r="A661" s="465"/>
      <c r="B661" s="465"/>
      <c r="C661" s="147"/>
      <c r="D661" s="147"/>
      <c r="E661" s="585"/>
      <c r="F661" s="586"/>
      <c r="G661" s="458"/>
      <c r="H661" s="458"/>
      <c r="I661" s="458"/>
      <c r="J661" s="465"/>
      <c r="K661" s="587"/>
      <c r="L661" s="465"/>
      <c r="M661" s="465"/>
      <c r="N661" s="465"/>
      <c r="O661" s="587"/>
      <c r="P661" s="585"/>
      <c r="Q661" s="465"/>
      <c r="R661" s="458"/>
      <c r="S661" s="585"/>
      <c r="T661" s="588"/>
      <c r="U661" s="589"/>
      <c r="V661" s="587"/>
      <c r="W661" s="465"/>
      <c r="X661" s="465"/>
      <c r="Y661" s="590"/>
      <c r="Z661" s="458"/>
      <c r="AA661" s="591"/>
      <c r="AB661" s="465"/>
      <c r="AC661" s="465"/>
      <c r="AD661" s="465"/>
      <c r="AE661" s="465"/>
      <c r="AF661" s="465"/>
      <c r="AG661" s="465"/>
      <c r="AH661" s="465"/>
      <c r="AI661" s="592"/>
      <c r="AJ661" s="465"/>
      <c r="AK661" s="465"/>
      <c r="AL661" s="20"/>
      <c r="AM661" s="20"/>
      <c r="AN661" s="593"/>
      <c r="AO661" s="20"/>
      <c r="AP661" s="276"/>
      <c r="AQ661" s="276"/>
      <c r="AR661" s="276"/>
      <c r="AS661" s="276"/>
      <c r="AT661" s="276"/>
      <c r="AU661" s="276"/>
      <c r="AV661" s="276"/>
      <c r="AW661" s="276"/>
      <c r="AX661" s="276"/>
      <c r="AY661" s="276"/>
      <c r="AZ661" s="276"/>
      <c r="BA661" s="276"/>
      <c r="BB661" s="276"/>
      <c r="BC661" s="276"/>
    </row>
    <row r="662" spans="1:55" ht="12.75" customHeight="1">
      <c r="A662" s="465"/>
      <c r="B662" s="465"/>
      <c r="C662" s="147"/>
      <c r="D662" s="147"/>
      <c r="E662" s="585"/>
      <c r="F662" s="586"/>
      <c r="G662" s="458"/>
      <c r="H662" s="458"/>
      <c r="I662" s="458"/>
      <c r="J662" s="465"/>
      <c r="K662" s="587"/>
      <c r="L662" s="465"/>
      <c r="M662" s="465"/>
      <c r="N662" s="465"/>
      <c r="O662" s="587"/>
      <c r="P662" s="585"/>
      <c r="Q662" s="465"/>
      <c r="R662" s="458"/>
      <c r="S662" s="585"/>
      <c r="T662" s="588"/>
      <c r="U662" s="589"/>
      <c r="V662" s="587"/>
      <c r="W662" s="465"/>
      <c r="X662" s="465"/>
      <c r="Y662" s="590"/>
      <c r="Z662" s="458"/>
      <c r="AA662" s="591"/>
      <c r="AB662" s="465"/>
      <c r="AC662" s="465"/>
      <c r="AD662" s="465"/>
      <c r="AE662" s="465"/>
      <c r="AF662" s="465"/>
      <c r="AG662" s="465"/>
      <c r="AH662" s="465"/>
      <c r="AI662" s="592"/>
      <c r="AJ662" s="465"/>
      <c r="AK662" s="465"/>
      <c r="AL662" s="20"/>
      <c r="AM662" s="20"/>
      <c r="AN662" s="593"/>
      <c r="AO662" s="20"/>
      <c r="AP662" s="276"/>
      <c r="AQ662" s="276"/>
      <c r="AR662" s="276"/>
      <c r="AS662" s="276"/>
      <c r="AT662" s="276"/>
      <c r="AU662" s="276"/>
      <c r="AV662" s="276"/>
      <c r="AW662" s="276"/>
      <c r="AX662" s="276"/>
      <c r="AY662" s="276"/>
      <c r="AZ662" s="276"/>
      <c r="BA662" s="276"/>
      <c r="BB662" s="276"/>
      <c r="BC662" s="276"/>
    </row>
    <row r="663" spans="1:55" ht="12.75" customHeight="1">
      <c r="A663" s="465"/>
      <c r="B663" s="465"/>
      <c r="C663" s="147"/>
      <c r="D663" s="147"/>
      <c r="E663" s="585"/>
      <c r="F663" s="586"/>
      <c r="G663" s="458"/>
      <c r="H663" s="458"/>
      <c r="I663" s="458"/>
      <c r="J663" s="465"/>
      <c r="K663" s="587"/>
      <c r="L663" s="465"/>
      <c r="M663" s="465"/>
      <c r="N663" s="465"/>
      <c r="O663" s="587"/>
      <c r="P663" s="585"/>
      <c r="Q663" s="465"/>
      <c r="R663" s="458"/>
      <c r="S663" s="585"/>
      <c r="T663" s="588"/>
      <c r="U663" s="589"/>
      <c r="V663" s="587"/>
      <c r="W663" s="465"/>
      <c r="X663" s="465"/>
      <c r="Y663" s="590"/>
      <c r="Z663" s="458"/>
      <c r="AA663" s="591"/>
      <c r="AB663" s="465"/>
      <c r="AC663" s="465"/>
      <c r="AD663" s="465"/>
      <c r="AE663" s="465"/>
      <c r="AF663" s="465"/>
      <c r="AG663" s="465"/>
      <c r="AH663" s="465"/>
      <c r="AI663" s="592"/>
      <c r="AJ663" s="465"/>
      <c r="AK663" s="465"/>
      <c r="AL663" s="20"/>
      <c r="AM663" s="20"/>
      <c r="AN663" s="593"/>
      <c r="AO663" s="20"/>
      <c r="AP663" s="276"/>
      <c r="AQ663" s="276"/>
      <c r="AR663" s="276"/>
      <c r="AS663" s="276"/>
      <c r="AT663" s="276"/>
      <c r="AU663" s="276"/>
      <c r="AV663" s="276"/>
      <c r="AW663" s="276"/>
      <c r="AX663" s="276"/>
      <c r="AY663" s="276"/>
      <c r="AZ663" s="276"/>
      <c r="BA663" s="276"/>
      <c r="BB663" s="276"/>
      <c r="BC663" s="276"/>
    </row>
    <row r="664" spans="1:55" ht="12.75" customHeight="1">
      <c r="A664" s="465"/>
      <c r="B664" s="465"/>
      <c r="C664" s="147"/>
      <c r="D664" s="147"/>
      <c r="E664" s="585"/>
      <c r="F664" s="586"/>
      <c r="G664" s="458"/>
      <c r="H664" s="458"/>
      <c r="I664" s="458"/>
      <c r="J664" s="465"/>
      <c r="K664" s="587"/>
      <c r="L664" s="465"/>
      <c r="M664" s="465"/>
      <c r="N664" s="465"/>
      <c r="O664" s="587"/>
      <c r="P664" s="585"/>
      <c r="Q664" s="465"/>
      <c r="R664" s="458"/>
      <c r="S664" s="585"/>
      <c r="T664" s="588"/>
      <c r="U664" s="589"/>
      <c r="V664" s="587"/>
      <c r="W664" s="465"/>
      <c r="X664" s="465"/>
      <c r="Y664" s="590"/>
      <c r="Z664" s="458"/>
      <c r="AA664" s="591"/>
      <c r="AB664" s="465"/>
      <c r="AC664" s="465"/>
      <c r="AD664" s="465"/>
      <c r="AE664" s="465"/>
      <c r="AF664" s="465"/>
      <c r="AG664" s="465"/>
      <c r="AH664" s="465"/>
      <c r="AI664" s="592"/>
      <c r="AJ664" s="465"/>
      <c r="AK664" s="465"/>
      <c r="AL664" s="20"/>
      <c r="AM664" s="20"/>
      <c r="AN664" s="593"/>
      <c r="AO664" s="20"/>
      <c r="AP664" s="276"/>
      <c r="AQ664" s="276"/>
      <c r="AR664" s="276"/>
      <c r="AS664" s="276"/>
      <c r="AT664" s="276"/>
      <c r="AU664" s="276"/>
      <c r="AV664" s="276"/>
      <c r="AW664" s="276"/>
      <c r="AX664" s="276"/>
      <c r="AY664" s="276"/>
      <c r="AZ664" s="276"/>
      <c r="BA664" s="276"/>
      <c r="BB664" s="276"/>
      <c r="BC664" s="276"/>
    </row>
    <row r="665" spans="1:55" ht="12.75" customHeight="1">
      <c r="A665" s="465"/>
      <c r="B665" s="465"/>
      <c r="C665" s="147"/>
      <c r="D665" s="147"/>
      <c r="E665" s="585"/>
      <c r="F665" s="586"/>
      <c r="G665" s="458"/>
      <c r="H665" s="458"/>
      <c r="I665" s="458"/>
      <c r="J665" s="465"/>
      <c r="K665" s="587"/>
      <c r="L665" s="465"/>
      <c r="M665" s="465"/>
      <c r="N665" s="465"/>
      <c r="O665" s="587"/>
      <c r="P665" s="585"/>
      <c r="Q665" s="465"/>
      <c r="R665" s="458"/>
      <c r="S665" s="585"/>
      <c r="T665" s="588"/>
      <c r="U665" s="589"/>
      <c r="V665" s="587"/>
      <c r="W665" s="465"/>
      <c r="X665" s="465"/>
      <c r="Y665" s="590"/>
      <c r="Z665" s="458"/>
      <c r="AA665" s="591"/>
      <c r="AB665" s="465"/>
      <c r="AC665" s="465"/>
      <c r="AD665" s="465"/>
      <c r="AE665" s="465"/>
      <c r="AF665" s="465"/>
      <c r="AG665" s="465"/>
      <c r="AH665" s="465"/>
      <c r="AI665" s="592"/>
      <c r="AJ665" s="465"/>
      <c r="AK665" s="465"/>
      <c r="AL665" s="20"/>
      <c r="AM665" s="20"/>
      <c r="AN665" s="593"/>
      <c r="AO665" s="20"/>
      <c r="AP665" s="276"/>
      <c r="AQ665" s="276"/>
      <c r="AR665" s="276"/>
      <c r="AS665" s="276"/>
      <c r="AT665" s="276"/>
      <c r="AU665" s="276"/>
      <c r="AV665" s="276"/>
      <c r="AW665" s="276"/>
      <c r="AX665" s="276"/>
      <c r="AY665" s="276"/>
      <c r="AZ665" s="276"/>
      <c r="BA665" s="276"/>
      <c r="BB665" s="276"/>
      <c r="BC665" s="276"/>
    </row>
    <row r="666" spans="1:55" ht="12.75" customHeight="1">
      <c r="A666" s="465"/>
      <c r="B666" s="465"/>
      <c r="C666" s="147"/>
      <c r="D666" s="147"/>
      <c r="E666" s="585"/>
      <c r="F666" s="586"/>
      <c r="G666" s="458"/>
      <c r="H666" s="458"/>
      <c r="I666" s="458"/>
      <c r="J666" s="465"/>
      <c r="K666" s="587"/>
      <c r="L666" s="465"/>
      <c r="M666" s="465"/>
      <c r="N666" s="465"/>
      <c r="O666" s="587"/>
      <c r="P666" s="585"/>
      <c r="Q666" s="465"/>
      <c r="R666" s="458"/>
      <c r="S666" s="585"/>
      <c r="T666" s="588"/>
      <c r="U666" s="589"/>
      <c r="V666" s="587"/>
      <c r="W666" s="465"/>
      <c r="X666" s="465"/>
      <c r="Y666" s="590"/>
      <c r="Z666" s="458"/>
      <c r="AA666" s="591"/>
      <c r="AB666" s="465"/>
      <c r="AC666" s="465"/>
      <c r="AD666" s="465"/>
      <c r="AE666" s="465"/>
      <c r="AF666" s="465"/>
      <c r="AG666" s="465"/>
      <c r="AH666" s="465"/>
      <c r="AI666" s="592"/>
      <c r="AJ666" s="465"/>
      <c r="AK666" s="465"/>
      <c r="AL666" s="20"/>
      <c r="AM666" s="20"/>
      <c r="AN666" s="593"/>
      <c r="AO666" s="20"/>
      <c r="AP666" s="276"/>
      <c r="AQ666" s="276"/>
      <c r="AR666" s="276"/>
      <c r="AS666" s="276"/>
      <c r="AT666" s="276"/>
      <c r="AU666" s="276"/>
      <c r="AV666" s="276"/>
      <c r="AW666" s="276"/>
      <c r="AX666" s="276"/>
      <c r="AY666" s="276"/>
      <c r="AZ666" s="276"/>
      <c r="BA666" s="276"/>
      <c r="BB666" s="276"/>
      <c r="BC666" s="276"/>
    </row>
    <row r="667" spans="1:55" ht="12.75" customHeight="1">
      <c r="A667" s="465"/>
      <c r="B667" s="465"/>
      <c r="C667" s="147"/>
      <c r="D667" s="147"/>
      <c r="E667" s="585"/>
      <c r="F667" s="586"/>
      <c r="G667" s="458"/>
      <c r="H667" s="458"/>
      <c r="I667" s="458"/>
      <c r="J667" s="465"/>
      <c r="K667" s="587"/>
      <c r="L667" s="465"/>
      <c r="M667" s="465"/>
      <c r="N667" s="465"/>
      <c r="O667" s="587"/>
      <c r="P667" s="585"/>
      <c r="Q667" s="465"/>
      <c r="R667" s="458"/>
      <c r="S667" s="585"/>
      <c r="T667" s="588"/>
      <c r="U667" s="589"/>
      <c r="V667" s="587"/>
      <c r="W667" s="465"/>
      <c r="X667" s="465"/>
      <c r="Y667" s="590"/>
      <c r="Z667" s="458"/>
      <c r="AA667" s="591"/>
      <c r="AB667" s="465"/>
      <c r="AC667" s="465"/>
      <c r="AD667" s="465"/>
      <c r="AE667" s="465"/>
      <c r="AF667" s="465"/>
      <c r="AG667" s="465"/>
      <c r="AH667" s="465"/>
      <c r="AI667" s="592"/>
      <c r="AJ667" s="465"/>
      <c r="AK667" s="465"/>
      <c r="AL667" s="20"/>
      <c r="AM667" s="20"/>
      <c r="AN667" s="593"/>
      <c r="AO667" s="20"/>
      <c r="AP667" s="276"/>
      <c r="AQ667" s="276"/>
      <c r="AR667" s="276"/>
      <c r="AS667" s="276"/>
      <c r="AT667" s="276"/>
      <c r="AU667" s="276"/>
      <c r="AV667" s="276"/>
      <c r="AW667" s="276"/>
      <c r="AX667" s="276"/>
      <c r="AY667" s="276"/>
      <c r="AZ667" s="276"/>
      <c r="BA667" s="276"/>
      <c r="BB667" s="276"/>
      <c r="BC667" s="276"/>
    </row>
    <row r="668" spans="1:55" ht="12.75" customHeight="1">
      <c r="A668" s="465"/>
      <c r="B668" s="465"/>
      <c r="C668" s="147"/>
      <c r="D668" s="147"/>
      <c r="E668" s="585"/>
      <c r="F668" s="586"/>
      <c r="G668" s="458"/>
      <c r="H668" s="458"/>
      <c r="I668" s="458"/>
      <c r="J668" s="465"/>
      <c r="K668" s="587"/>
      <c r="L668" s="465"/>
      <c r="M668" s="465"/>
      <c r="N668" s="465"/>
      <c r="O668" s="587"/>
      <c r="P668" s="585"/>
      <c r="Q668" s="465"/>
      <c r="R668" s="458"/>
      <c r="S668" s="585"/>
      <c r="T668" s="588"/>
      <c r="U668" s="589"/>
      <c r="V668" s="587"/>
      <c r="W668" s="465"/>
      <c r="X668" s="465"/>
      <c r="Y668" s="590"/>
      <c r="Z668" s="458"/>
      <c r="AA668" s="591"/>
      <c r="AB668" s="465"/>
      <c r="AC668" s="465"/>
      <c r="AD668" s="465"/>
      <c r="AE668" s="465"/>
      <c r="AF668" s="465"/>
      <c r="AG668" s="465"/>
      <c r="AH668" s="465"/>
      <c r="AI668" s="592"/>
      <c r="AJ668" s="465"/>
      <c r="AK668" s="465"/>
      <c r="AL668" s="20"/>
      <c r="AM668" s="20"/>
      <c r="AN668" s="593"/>
      <c r="AO668" s="20"/>
      <c r="AP668" s="276"/>
      <c r="AQ668" s="276"/>
      <c r="AR668" s="276"/>
      <c r="AS668" s="276"/>
      <c r="AT668" s="276"/>
      <c r="AU668" s="276"/>
      <c r="AV668" s="276"/>
      <c r="AW668" s="276"/>
      <c r="AX668" s="276"/>
      <c r="AY668" s="276"/>
      <c r="AZ668" s="276"/>
      <c r="BA668" s="276"/>
      <c r="BB668" s="276"/>
      <c r="BC668" s="276"/>
    </row>
    <row r="669" spans="1:55" ht="12.75" customHeight="1">
      <c r="A669" s="465"/>
      <c r="B669" s="465"/>
      <c r="C669" s="147"/>
      <c r="D669" s="147"/>
      <c r="E669" s="585"/>
      <c r="F669" s="586"/>
      <c r="G669" s="458"/>
      <c r="H669" s="458"/>
      <c r="I669" s="458"/>
      <c r="J669" s="465"/>
      <c r="K669" s="587"/>
      <c r="L669" s="465"/>
      <c r="M669" s="465"/>
      <c r="N669" s="465"/>
      <c r="O669" s="587"/>
      <c r="P669" s="585"/>
      <c r="Q669" s="465"/>
      <c r="R669" s="458"/>
      <c r="S669" s="585"/>
      <c r="T669" s="588"/>
      <c r="U669" s="589"/>
      <c r="V669" s="587"/>
      <c r="W669" s="465"/>
      <c r="X669" s="465"/>
      <c r="Y669" s="590"/>
      <c r="Z669" s="458"/>
      <c r="AA669" s="591"/>
      <c r="AB669" s="465"/>
      <c r="AC669" s="465"/>
      <c r="AD669" s="465"/>
      <c r="AE669" s="465"/>
      <c r="AF669" s="465"/>
      <c r="AG669" s="465"/>
      <c r="AH669" s="465"/>
      <c r="AI669" s="592"/>
      <c r="AJ669" s="465"/>
      <c r="AK669" s="465"/>
      <c r="AL669" s="20"/>
      <c r="AM669" s="20"/>
      <c r="AN669" s="593"/>
      <c r="AO669" s="20"/>
      <c r="AP669" s="276"/>
      <c r="AQ669" s="276"/>
      <c r="AR669" s="276"/>
      <c r="AS669" s="276"/>
      <c r="AT669" s="276"/>
      <c r="AU669" s="276"/>
      <c r="AV669" s="276"/>
      <c r="AW669" s="276"/>
      <c r="AX669" s="276"/>
      <c r="AY669" s="276"/>
      <c r="AZ669" s="276"/>
      <c r="BA669" s="276"/>
      <c r="BB669" s="276"/>
      <c r="BC669" s="276"/>
    </row>
    <row r="670" spans="1:55" ht="12.75" customHeight="1">
      <c r="A670" s="465"/>
      <c r="B670" s="465"/>
      <c r="C670" s="147"/>
      <c r="D670" s="147"/>
      <c r="E670" s="585"/>
      <c r="F670" s="586"/>
      <c r="G670" s="458"/>
      <c r="H670" s="458"/>
      <c r="I670" s="458"/>
      <c r="J670" s="465"/>
      <c r="K670" s="587"/>
      <c r="L670" s="465"/>
      <c r="M670" s="465"/>
      <c r="N670" s="465"/>
      <c r="O670" s="587"/>
      <c r="P670" s="585"/>
      <c r="Q670" s="465"/>
      <c r="R670" s="458"/>
      <c r="S670" s="585"/>
      <c r="T670" s="588"/>
      <c r="U670" s="589"/>
      <c r="V670" s="587"/>
      <c r="W670" s="465"/>
      <c r="X670" s="465"/>
      <c r="Y670" s="590"/>
      <c r="Z670" s="458"/>
      <c r="AA670" s="591"/>
      <c r="AB670" s="465"/>
      <c r="AC670" s="465"/>
      <c r="AD670" s="465"/>
      <c r="AE670" s="465"/>
      <c r="AF670" s="465"/>
      <c r="AG670" s="465"/>
      <c r="AH670" s="465"/>
      <c r="AI670" s="592"/>
      <c r="AJ670" s="465"/>
      <c r="AK670" s="465"/>
      <c r="AL670" s="20"/>
      <c r="AM670" s="20"/>
      <c r="AN670" s="593"/>
      <c r="AO670" s="20"/>
      <c r="AP670" s="276"/>
      <c r="AQ670" s="276"/>
      <c r="AR670" s="276"/>
      <c r="AS670" s="276"/>
      <c r="AT670" s="276"/>
      <c r="AU670" s="276"/>
      <c r="AV670" s="276"/>
      <c r="AW670" s="276"/>
      <c r="AX670" s="276"/>
      <c r="AY670" s="276"/>
      <c r="AZ670" s="276"/>
      <c r="BA670" s="276"/>
      <c r="BB670" s="276"/>
      <c r="BC670" s="276"/>
    </row>
    <row r="671" spans="1:55" ht="12.75" customHeight="1">
      <c r="A671" s="465"/>
      <c r="B671" s="465"/>
      <c r="C671" s="147"/>
      <c r="D671" s="147"/>
      <c r="E671" s="585"/>
      <c r="F671" s="586"/>
      <c r="G671" s="458"/>
      <c r="H671" s="458"/>
      <c r="I671" s="458"/>
      <c r="J671" s="465"/>
      <c r="K671" s="587"/>
      <c r="L671" s="465"/>
      <c r="M671" s="465"/>
      <c r="N671" s="465"/>
      <c r="O671" s="587"/>
      <c r="P671" s="585"/>
      <c r="Q671" s="465"/>
      <c r="R671" s="458"/>
      <c r="S671" s="585"/>
      <c r="T671" s="588"/>
      <c r="U671" s="589"/>
      <c r="V671" s="587"/>
      <c r="W671" s="465"/>
      <c r="X671" s="465"/>
      <c r="Y671" s="590"/>
      <c r="Z671" s="458"/>
      <c r="AA671" s="591"/>
      <c r="AB671" s="465"/>
      <c r="AC671" s="465"/>
      <c r="AD671" s="465"/>
      <c r="AE671" s="465"/>
      <c r="AF671" s="465"/>
      <c r="AG671" s="465"/>
      <c r="AH671" s="465"/>
      <c r="AI671" s="592"/>
      <c r="AJ671" s="465"/>
      <c r="AK671" s="465"/>
      <c r="AL671" s="20"/>
      <c r="AM671" s="20"/>
      <c r="AN671" s="593"/>
      <c r="AO671" s="20"/>
      <c r="AP671" s="276"/>
      <c r="AQ671" s="276"/>
      <c r="AR671" s="276"/>
      <c r="AS671" s="276"/>
      <c r="AT671" s="276"/>
      <c r="AU671" s="276"/>
      <c r="AV671" s="276"/>
      <c r="AW671" s="276"/>
      <c r="AX671" s="276"/>
      <c r="AY671" s="276"/>
      <c r="AZ671" s="276"/>
      <c r="BA671" s="276"/>
      <c r="BB671" s="276"/>
      <c r="BC671" s="276"/>
    </row>
    <row r="672" spans="1:55" ht="12.75" customHeight="1">
      <c r="A672" s="465"/>
      <c r="B672" s="465"/>
      <c r="C672" s="147"/>
      <c r="D672" s="147"/>
      <c r="E672" s="585"/>
      <c r="F672" s="586"/>
      <c r="G672" s="458"/>
      <c r="H672" s="458"/>
      <c r="I672" s="458"/>
      <c r="J672" s="465"/>
      <c r="K672" s="587"/>
      <c r="L672" s="465"/>
      <c r="M672" s="465"/>
      <c r="N672" s="465"/>
      <c r="O672" s="587"/>
      <c r="P672" s="585"/>
      <c r="Q672" s="465"/>
      <c r="R672" s="458"/>
      <c r="S672" s="585"/>
      <c r="T672" s="588"/>
      <c r="U672" s="589"/>
      <c r="V672" s="587"/>
      <c r="W672" s="465"/>
      <c r="X672" s="465"/>
      <c r="Y672" s="590"/>
      <c r="Z672" s="458"/>
      <c r="AA672" s="591"/>
      <c r="AB672" s="465"/>
      <c r="AC672" s="465"/>
      <c r="AD672" s="465"/>
      <c r="AE672" s="465"/>
      <c r="AF672" s="465"/>
      <c r="AG672" s="465"/>
      <c r="AH672" s="465"/>
      <c r="AI672" s="592"/>
      <c r="AJ672" s="465"/>
      <c r="AK672" s="465"/>
      <c r="AL672" s="20"/>
      <c r="AM672" s="20"/>
      <c r="AN672" s="593"/>
      <c r="AO672" s="20"/>
      <c r="AP672" s="276"/>
      <c r="AQ672" s="276"/>
      <c r="AR672" s="276"/>
      <c r="AS672" s="276"/>
      <c r="AT672" s="276"/>
      <c r="AU672" s="276"/>
      <c r="AV672" s="276"/>
      <c r="AW672" s="276"/>
      <c r="AX672" s="276"/>
      <c r="AY672" s="276"/>
      <c r="AZ672" s="276"/>
      <c r="BA672" s="276"/>
      <c r="BB672" s="276"/>
      <c r="BC672" s="276"/>
    </row>
    <row r="673" spans="1:55" ht="12.75" customHeight="1">
      <c r="A673" s="465"/>
      <c r="B673" s="465"/>
      <c r="C673" s="147"/>
      <c r="D673" s="147"/>
      <c r="E673" s="585"/>
      <c r="F673" s="586"/>
      <c r="G673" s="458"/>
      <c r="H673" s="458"/>
      <c r="I673" s="458"/>
      <c r="J673" s="465"/>
      <c r="K673" s="587"/>
      <c r="L673" s="465"/>
      <c r="M673" s="465"/>
      <c r="N673" s="465"/>
      <c r="O673" s="587"/>
      <c r="P673" s="585"/>
      <c r="Q673" s="465"/>
      <c r="R673" s="458"/>
      <c r="S673" s="585"/>
      <c r="T673" s="588"/>
      <c r="U673" s="589"/>
      <c r="V673" s="587"/>
      <c r="W673" s="465"/>
      <c r="X673" s="465"/>
      <c r="Y673" s="590"/>
      <c r="Z673" s="458"/>
      <c r="AA673" s="591"/>
      <c r="AB673" s="465"/>
      <c r="AC673" s="465"/>
      <c r="AD673" s="465"/>
      <c r="AE673" s="465"/>
      <c r="AF673" s="465"/>
      <c r="AG673" s="465"/>
      <c r="AH673" s="465"/>
      <c r="AI673" s="592"/>
      <c r="AJ673" s="465"/>
      <c r="AK673" s="465"/>
      <c r="AL673" s="20"/>
      <c r="AM673" s="20"/>
      <c r="AN673" s="593"/>
      <c r="AO673" s="20"/>
      <c r="AP673" s="276"/>
      <c r="AQ673" s="276"/>
      <c r="AR673" s="276"/>
      <c r="AS673" s="276"/>
      <c r="AT673" s="276"/>
      <c r="AU673" s="276"/>
      <c r="AV673" s="276"/>
      <c r="AW673" s="276"/>
      <c r="AX673" s="276"/>
      <c r="AY673" s="276"/>
      <c r="AZ673" s="276"/>
      <c r="BA673" s="276"/>
      <c r="BB673" s="276"/>
      <c r="BC673" s="276"/>
    </row>
    <row r="674" spans="1:55" ht="12.75" customHeight="1">
      <c r="A674" s="465"/>
      <c r="B674" s="465"/>
      <c r="C674" s="147"/>
      <c r="D674" s="147"/>
      <c r="E674" s="585"/>
      <c r="F674" s="586"/>
      <c r="G674" s="458"/>
      <c r="H674" s="458"/>
      <c r="I674" s="458"/>
      <c r="J674" s="465"/>
      <c r="K674" s="587"/>
      <c r="L674" s="465"/>
      <c r="M674" s="465"/>
      <c r="N674" s="465"/>
      <c r="O674" s="587"/>
      <c r="P674" s="585"/>
      <c r="Q674" s="465"/>
      <c r="R674" s="458"/>
      <c r="S674" s="585"/>
      <c r="T674" s="588"/>
      <c r="U674" s="589"/>
      <c r="V674" s="587"/>
      <c r="W674" s="465"/>
      <c r="X674" s="465"/>
      <c r="Y674" s="590"/>
      <c r="Z674" s="458"/>
      <c r="AA674" s="591"/>
      <c r="AB674" s="465"/>
      <c r="AC674" s="465"/>
      <c r="AD674" s="465"/>
      <c r="AE674" s="465"/>
      <c r="AF674" s="465"/>
      <c r="AG674" s="465"/>
      <c r="AH674" s="465"/>
      <c r="AI674" s="592"/>
      <c r="AJ674" s="465"/>
      <c r="AK674" s="465"/>
      <c r="AL674" s="20"/>
      <c r="AM674" s="20"/>
      <c r="AN674" s="593"/>
      <c r="AO674" s="20"/>
      <c r="AP674" s="276"/>
      <c r="AQ674" s="276"/>
      <c r="AR674" s="276"/>
      <c r="AS674" s="276"/>
      <c r="AT674" s="276"/>
      <c r="AU674" s="276"/>
      <c r="AV674" s="276"/>
      <c r="AW674" s="276"/>
      <c r="AX674" s="276"/>
      <c r="AY674" s="276"/>
      <c r="AZ674" s="276"/>
      <c r="BA674" s="276"/>
      <c r="BB674" s="276"/>
      <c r="BC674" s="276"/>
    </row>
    <row r="675" spans="1:55" ht="12.75" customHeight="1">
      <c r="A675" s="465"/>
      <c r="B675" s="465"/>
      <c r="C675" s="147"/>
      <c r="D675" s="147"/>
      <c r="E675" s="585"/>
      <c r="F675" s="586"/>
      <c r="G675" s="458"/>
      <c r="H675" s="458"/>
      <c r="I675" s="458"/>
      <c r="J675" s="465"/>
      <c r="K675" s="587"/>
      <c r="L675" s="465"/>
      <c r="M675" s="465"/>
      <c r="N675" s="465"/>
      <c r="O675" s="587"/>
      <c r="P675" s="585"/>
      <c r="Q675" s="465"/>
      <c r="R675" s="458"/>
      <c r="S675" s="585"/>
      <c r="T675" s="588"/>
      <c r="U675" s="589"/>
      <c r="V675" s="587"/>
      <c r="W675" s="465"/>
      <c r="X675" s="465"/>
      <c r="Y675" s="590"/>
      <c r="Z675" s="458"/>
      <c r="AA675" s="591"/>
      <c r="AB675" s="465"/>
      <c r="AC675" s="465"/>
      <c r="AD675" s="465"/>
      <c r="AE675" s="465"/>
      <c r="AF675" s="465"/>
      <c r="AG675" s="465"/>
      <c r="AH675" s="465"/>
      <c r="AI675" s="592"/>
      <c r="AJ675" s="465"/>
      <c r="AK675" s="465"/>
      <c r="AL675" s="20"/>
      <c r="AM675" s="20"/>
      <c r="AN675" s="593"/>
      <c r="AO675" s="20"/>
      <c r="AP675" s="276"/>
      <c r="AQ675" s="276"/>
      <c r="AR675" s="276"/>
      <c r="AS675" s="276"/>
      <c r="AT675" s="276"/>
      <c r="AU675" s="276"/>
      <c r="AV675" s="276"/>
      <c r="AW675" s="276"/>
      <c r="AX675" s="276"/>
      <c r="AY675" s="276"/>
      <c r="AZ675" s="276"/>
      <c r="BA675" s="276"/>
      <c r="BB675" s="276"/>
      <c r="BC675" s="276"/>
    </row>
    <row r="676" spans="1:55" ht="12.75" customHeight="1">
      <c r="A676" s="465"/>
      <c r="B676" s="465"/>
      <c r="C676" s="147"/>
      <c r="D676" s="147"/>
      <c r="E676" s="585"/>
      <c r="F676" s="586"/>
      <c r="G676" s="458"/>
      <c r="H676" s="458"/>
      <c r="I676" s="458"/>
      <c r="J676" s="465"/>
      <c r="K676" s="587"/>
      <c r="L676" s="465"/>
      <c r="M676" s="465"/>
      <c r="N676" s="465"/>
      <c r="O676" s="587"/>
      <c r="P676" s="585"/>
      <c r="Q676" s="465"/>
      <c r="R676" s="458"/>
      <c r="S676" s="585"/>
      <c r="T676" s="588"/>
      <c r="U676" s="589"/>
      <c r="V676" s="587"/>
      <c r="W676" s="465"/>
      <c r="X676" s="465"/>
      <c r="Y676" s="590"/>
      <c r="Z676" s="458"/>
      <c r="AA676" s="591"/>
      <c r="AB676" s="465"/>
      <c r="AC676" s="465"/>
      <c r="AD676" s="465"/>
      <c r="AE676" s="465"/>
      <c r="AF676" s="465"/>
      <c r="AG676" s="465"/>
      <c r="AH676" s="465"/>
      <c r="AI676" s="592"/>
      <c r="AJ676" s="465"/>
      <c r="AK676" s="465"/>
      <c r="AL676" s="20"/>
      <c r="AM676" s="20"/>
      <c r="AN676" s="593"/>
      <c r="AO676" s="20"/>
      <c r="AP676" s="276"/>
      <c r="AQ676" s="276"/>
      <c r="AR676" s="276"/>
      <c r="AS676" s="276"/>
      <c r="AT676" s="276"/>
      <c r="AU676" s="276"/>
      <c r="AV676" s="276"/>
      <c r="AW676" s="276"/>
      <c r="AX676" s="276"/>
      <c r="AY676" s="276"/>
      <c r="AZ676" s="276"/>
      <c r="BA676" s="276"/>
      <c r="BB676" s="276"/>
      <c r="BC676" s="276"/>
    </row>
    <row r="677" spans="1:55" ht="12.75" customHeight="1">
      <c r="A677" s="465"/>
      <c r="B677" s="465"/>
      <c r="C677" s="147"/>
      <c r="D677" s="147"/>
      <c r="E677" s="585"/>
      <c r="F677" s="586"/>
      <c r="G677" s="458"/>
      <c r="H677" s="458"/>
      <c r="I677" s="458"/>
      <c r="J677" s="465"/>
      <c r="K677" s="587"/>
      <c r="L677" s="465"/>
      <c r="M677" s="465"/>
      <c r="N677" s="465"/>
      <c r="O677" s="587"/>
      <c r="P677" s="585"/>
      <c r="Q677" s="465"/>
      <c r="R677" s="458"/>
      <c r="S677" s="585"/>
      <c r="T677" s="588"/>
      <c r="U677" s="589"/>
      <c r="V677" s="587"/>
      <c r="W677" s="465"/>
      <c r="X677" s="465"/>
      <c r="Y677" s="590"/>
      <c r="Z677" s="458"/>
      <c r="AA677" s="591"/>
      <c r="AB677" s="465"/>
      <c r="AC677" s="465"/>
      <c r="AD677" s="465"/>
      <c r="AE677" s="465"/>
      <c r="AF677" s="465"/>
      <c r="AG677" s="465"/>
      <c r="AH677" s="465"/>
      <c r="AI677" s="592"/>
      <c r="AJ677" s="465"/>
      <c r="AK677" s="465"/>
      <c r="AL677" s="20"/>
      <c r="AM677" s="20"/>
      <c r="AN677" s="593"/>
      <c r="AO677" s="20"/>
      <c r="AP677" s="276"/>
      <c r="AQ677" s="276"/>
      <c r="AR677" s="276"/>
      <c r="AS677" s="276"/>
      <c r="AT677" s="276"/>
      <c r="AU677" s="276"/>
      <c r="AV677" s="276"/>
      <c r="AW677" s="276"/>
      <c r="AX677" s="276"/>
      <c r="AY677" s="276"/>
      <c r="AZ677" s="276"/>
      <c r="BA677" s="276"/>
      <c r="BB677" s="276"/>
      <c r="BC677" s="276"/>
    </row>
    <row r="678" spans="1:55" ht="12.75" customHeight="1">
      <c r="A678" s="465"/>
      <c r="B678" s="465"/>
      <c r="C678" s="147"/>
      <c r="D678" s="147"/>
      <c r="E678" s="585"/>
      <c r="F678" s="586"/>
      <c r="G678" s="458"/>
      <c r="H678" s="458"/>
      <c r="I678" s="458"/>
      <c r="J678" s="465"/>
      <c r="K678" s="587"/>
      <c r="L678" s="465"/>
      <c r="M678" s="465"/>
      <c r="N678" s="465"/>
      <c r="O678" s="587"/>
      <c r="P678" s="585"/>
      <c r="Q678" s="465"/>
      <c r="R678" s="458"/>
      <c r="S678" s="585"/>
      <c r="T678" s="588"/>
      <c r="U678" s="589"/>
      <c r="V678" s="587"/>
      <c r="W678" s="465"/>
      <c r="X678" s="465"/>
      <c r="Y678" s="590"/>
      <c r="Z678" s="458"/>
      <c r="AA678" s="591"/>
      <c r="AB678" s="465"/>
      <c r="AC678" s="465"/>
      <c r="AD678" s="465"/>
      <c r="AE678" s="465"/>
      <c r="AF678" s="465"/>
      <c r="AG678" s="465"/>
      <c r="AH678" s="465"/>
      <c r="AI678" s="592"/>
      <c r="AJ678" s="465"/>
      <c r="AK678" s="465"/>
      <c r="AL678" s="20"/>
      <c r="AM678" s="20"/>
      <c r="AN678" s="593"/>
      <c r="AO678" s="20"/>
      <c r="AP678" s="276"/>
      <c r="AQ678" s="276"/>
      <c r="AR678" s="276"/>
      <c r="AS678" s="276"/>
      <c r="AT678" s="276"/>
      <c r="AU678" s="276"/>
      <c r="AV678" s="276"/>
      <c r="AW678" s="276"/>
      <c r="AX678" s="276"/>
      <c r="AY678" s="276"/>
      <c r="AZ678" s="276"/>
      <c r="BA678" s="276"/>
      <c r="BB678" s="276"/>
      <c r="BC678" s="276"/>
    </row>
    <row r="679" spans="1:55" ht="12.75" customHeight="1">
      <c r="A679" s="465"/>
      <c r="B679" s="465"/>
      <c r="C679" s="147"/>
      <c r="D679" s="147"/>
      <c r="E679" s="585"/>
      <c r="F679" s="586"/>
      <c r="G679" s="458"/>
      <c r="H679" s="458"/>
      <c r="I679" s="458"/>
      <c r="J679" s="465"/>
      <c r="K679" s="587"/>
      <c r="L679" s="465"/>
      <c r="M679" s="465"/>
      <c r="N679" s="465"/>
      <c r="O679" s="587"/>
      <c r="P679" s="585"/>
      <c r="Q679" s="465"/>
      <c r="R679" s="458"/>
      <c r="S679" s="585"/>
      <c r="T679" s="588"/>
      <c r="U679" s="589"/>
      <c r="V679" s="587"/>
      <c r="W679" s="465"/>
      <c r="X679" s="465"/>
      <c r="Y679" s="590"/>
      <c r="Z679" s="458"/>
      <c r="AA679" s="591"/>
      <c r="AB679" s="465"/>
      <c r="AC679" s="465"/>
      <c r="AD679" s="465"/>
      <c r="AE679" s="465"/>
      <c r="AF679" s="465"/>
      <c r="AG679" s="465"/>
      <c r="AH679" s="465"/>
      <c r="AI679" s="592"/>
      <c r="AJ679" s="465"/>
      <c r="AK679" s="465"/>
      <c r="AL679" s="20"/>
      <c r="AM679" s="20"/>
      <c r="AN679" s="593"/>
      <c r="AO679" s="20"/>
      <c r="AP679" s="276"/>
      <c r="AQ679" s="276"/>
      <c r="AR679" s="276"/>
      <c r="AS679" s="276"/>
      <c r="AT679" s="276"/>
      <c r="AU679" s="276"/>
      <c r="AV679" s="276"/>
      <c r="AW679" s="276"/>
      <c r="AX679" s="276"/>
      <c r="AY679" s="276"/>
      <c r="AZ679" s="276"/>
      <c r="BA679" s="276"/>
      <c r="BB679" s="276"/>
      <c r="BC679" s="276"/>
    </row>
    <row r="680" spans="1:55" ht="12.75" customHeight="1">
      <c r="A680" s="465"/>
      <c r="B680" s="465"/>
      <c r="C680" s="147"/>
      <c r="D680" s="147"/>
      <c r="E680" s="585"/>
      <c r="F680" s="586"/>
      <c r="G680" s="458"/>
      <c r="H680" s="458"/>
      <c r="I680" s="458"/>
      <c r="J680" s="465"/>
      <c r="K680" s="587"/>
      <c r="L680" s="465"/>
      <c r="M680" s="465"/>
      <c r="N680" s="465"/>
      <c r="O680" s="587"/>
      <c r="P680" s="585"/>
      <c r="Q680" s="465"/>
      <c r="R680" s="458"/>
      <c r="S680" s="585"/>
      <c r="T680" s="588"/>
      <c r="U680" s="589"/>
      <c r="V680" s="587"/>
      <c r="W680" s="465"/>
      <c r="X680" s="465"/>
      <c r="Y680" s="590"/>
      <c r="Z680" s="458"/>
      <c r="AA680" s="591"/>
      <c r="AB680" s="465"/>
      <c r="AC680" s="465"/>
      <c r="AD680" s="465"/>
      <c r="AE680" s="465"/>
      <c r="AF680" s="465"/>
      <c r="AG680" s="465"/>
      <c r="AH680" s="465"/>
      <c r="AI680" s="592"/>
      <c r="AJ680" s="465"/>
      <c r="AK680" s="465"/>
      <c r="AL680" s="20"/>
      <c r="AM680" s="20"/>
      <c r="AN680" s="593"/>
      <c r="AO680" s="20"/>
      <c r="AP680" s="276"/>
      <c r="AQ680" s="276"/>
      <c r="AR680" s="276"/>
      <c r="AS680" s="276"/>
      <c r="AT680" s="276"/>
      <c r="AU680" s="276"/>
      <c r="AV680" s="276"/>
      <c r="AW680" s="276"/>
      <c r="AX680" s="276"/>
      <c r="AY680" s="276"/>
      <c r="AZ680" s="276"/>
      <c r="BA680" s="276"/>
      <c r="BB680" s="276"/>
      <c r="BC680" s="276"/>
    </row>
    <row r="681" spans="1:55" ht="12.75" customHeight="1">
      <c r="A681" s="465"/>
      <c r="B681" s="465"/>
      <c r="C681" s="147"/>
      <c r="D681" s="147"/>
      <c r="E681" s="585"/>
      <c r="F681" s="586"/>
      <c r="G681" s="458"/>
      <c r="H681" s="458"/>
      <c r="I681" s="458"/>
      <c r="J681" s="465"/>
      <c r="K681" s="587"/>
      <c r="L681" s="465"/>
      <c r="M681" s="465"/>
      <c r="N681" s="465"/>
      <c r="O681" s="587"/>
      <c r="P681" s="585"/>
      <c r="Q681" s="465"/>
      <c r="R681" s="458"/>
      <c r="S681" s="585"/>
      <c r="T681" s="588"/>
      <c r="U681" s="589"/>
      <c r="V681" s="587"/>
      <c r="W681" s="465"/>
      <c r="X681" s="465"/>
      <c r="Y681" s="590"/>
      <c r="Z681" s="458"/>
      <c r="AA681" s="591"/>
      <c r="AB681" s="465"/>
      <c r="AC681" s="465"/>
      <c r="AD681" s="465"/>
      <c r="AE681" s="465"/>
      <c r="AF681" s="465"/>
      <c r="AG681" s="465"/>
      <c r="AH681" s="465"/>
      <c r="AI681" s="592"/>
      <c r="AJ681" s="465"/>
      <c r="AK681" s="465"/>
      <c r="AL681" s="20"/>
      <c r="AM681" s="20"/>
      <c r="AN681" s="593"/>
      <c r="AO681" s="20"/>
      <c r="AP681" s="276"/>
      <c r="AQ681" s="276"/>
      <c r="AR681" s="276"/>
      <c r="AS681" s="276"/>
      <c r="AT681" s="276"/>
      <c r="AU681" s="276"/>
      <c r="AV681" s="276"/>
      <c r="AW681" s="276"/>
      <c r="AX681" s="276"/>
      <c r="AY681" s="276"/>
      <c r="AZ681" s="276"/>
      <c r="BA681" s="276"/>
      <c r="BB681" s="276"/>
      <c r="BC681" s="276"/>
    </row>
    <row r="682" spans="1:55" ht="12.75" customHeight="1">
      <c r="A682" s="465"/>
      <c r="B682" s="465"/>
      <c r="C682" s="147"/>
      <c r="D682" s="147"/>
      <c r="E682" s="585"/>
      <c r="F682" s="586"/>
      <c r="G682" s="458"/>
      <c r="H682" s="458"/>
      <c r="I682" s="458"/>
      <c r="J682" s="465"/>
      <c r="K682" s="587"/>
      <c r="L682" s="465"/>
      <c r="M682" s="465"/>
      <c r="N682" s="465"/>
      <c r="O682" s="587"/>
      <c r="P682" s="585"/>
      <c r="Q682" s="465"/>
      <c r="R682" s="458"/>
      <c r="S682" s="585"/>
      <c r="T682" s="588"/>
      <c r="U682" s="589"/>
      <c r="V682" s="587"/>
      <c r="W682" s="465"/>
      <c r="X682" s="465"/>
      <c r="Y682" s="590"/>
      <c r="Z682" s="458"/>
      <c r="AA682" s="591"/>
      <c r="AB682" s="465"/>
      <c r="AC682" s="465"/>
      <c r="AD682" s="465"/>
      <c r="AE682" s="465"/>
      <c r="AF682" s="465"/>
      <c r="AG682" s="465"/>
      <c r="AH682" s="465"/>
      <c r="AI682" s="592"/>
      <c r="AJ682" s="465"/>
      <c r="AK682" s="465"/>
      <c r="AL682" s="20"/>
      <c r="AM682" s="20"/>
      <c r="AN682" s="593"/>
      <c r="AO682" s="20"/>
      <c r="AP682" s="276"/>
      <c r="AQ682" s="276"/>
      <c r="AR682" s="276"/>
      <c r="AS682" s="276"/>
      <c r="AT682" s="276"/>
      <c r="AU682" s="276"/>
      <c r="AV682" s="276"/>
      <c r="AW682" s="276"/>
      <c r="AX682" s="276"/>
      <c r="AY682" s="276"/>
      <c r="AZ682" s="276"/>
      <c r="BA682" s="276"/>
      <c r="BB682" s="276"/>
      <c r="BC682" s="276"/>
    </row>
    <row r="683" spans="1:55" ht="12.75" customHeight="1">
      <c r="A683" s="465"/>
      <c r="B683" s="465"/>
      <c r="C683" s="147"/>
      <c r="D683" s="147"/>
      <c r="E683" s="585"/>
      <c r="F683" s="586"/>
      <c r="G683" s="458"/>
      <c r="H683" s="458"/>
      <c r="I683" s="458"/>
      <c r="J683" s="465"/>
      <c r="K683" s="587"/>
      <c r="L683" s="465"/>
      <c r="M683" s="465"/>
      <c r="N683" s="465"/>
      <c r="O683" s="587"/>
      <c r="P683" s="585"/>
      <c r="Q683" s="465"/>
      <c r="R683" s="458"/>
      <c r="S683" s="585"/>
      <c r="T683" s="588"/>
      <c r="U683" s="589"/>
      <c r="V683" s="587"/>
      <c r="W683" s="465"/>
      <c r="X683" s="465"/>
      <c r="Y683" s="590"/>
      <c r="Z683" s="458"/>
      <c r="AA683" s="591"/>
      <c r="AB683" s="465"/>
      <c r="AC683" s="465"/>
      <c r="AD683" s="465"/>
      <c r="AE683" s="465"/>
      <c r="AF683" s="465"/>
      <c r="AG683" s="465"/>
      <c r="AH683" s="465"/>
      <c r="AI683" s="592"/>
      <c r="AJ683" s="465"/>
      <c r="AK683" s="465"/>
      <c r="AL683" s="20"/>
      <c r="AM683" s="20"/>
      <c r="AN683" s="593"/>
      <c r="AO683" s="20"/>
      <c r="AP683" s="276"/>
      <c r="AQ683" s="276"/>
      <c r="AR683" s="276"/>
      <c r="AS683" s="276"/>
      <c r="AT683" s="276"/>
      <c r="AU683" s="276"/>
      <c r="AV683" s="276"/>
      <c r="AW683" s="276"/>
      <c r="AX683" s="276"/>
      <c r="AY683" s="276"/>
      <c r="AZ683" s="276"/>
      <c r="BA683" s="276"/>
      <c r="BB683" s="276"/>
      <c r="BC683" s="276"/>
    </row>
    <row r="684" spans="1:55" ht="12.75" customHeight="1">
      <c r="A684" s="465"/>
      <c r="B684" s="465"/>
      <c r="C684" s="147"/>
      <c r="D684" s="147"/>
      <c r="E684" s="585"/>
      <c r="F684" s="586"/>
      <c r="G684" s="458"/>
      <c r="H684" s="458"/>
      <c r="I684" s="458"/>
      <c r="J684" s="465"/>
      <c r="K684" s="587"/>
      <c r="L684" s="465"/>
      <c r="M684" s="465"/>
      <c r="N684" s="465"/>
      <c r="O684" s="587"/>
      <c r="P684" s="585"/>
      <c r="Q684" s="465"/>
      <c r="R684" s="458"/>
      <c r="S684" s="585"/>
      <c r="T684" s="588"/>
      <c r="U684" s="589"/>
      <c r="V684" s="587"/>
      <c r="W684" s="465"/>
      <c r="X684" s="465"/>
      <c r="Y684" s="590"/>
      <c r="Z684" s="458"/>
      <c r="AA684" s="591"/>
      <c r="AB684" s="465"/>
      <c r="AC684" s="465"/>
      <c r="AD684" s="465"/>
      <c r="AE684" s="465"/>
      <c r="AF684" s="465"/>
      <c r="AG684" s="465"/>
      <c r="AH684" s="465"/>
      <c r="AI684" s="592"/>
      <c r="AJ684" s="465"/>
      <c r="AK684" s="465"/>
      <c r="AL684" s="20"/>
      <c r="AM684" s="20"/>
      <c r="AN684" s="593"/>
      <c r="AO684" s="20"/>
      <c r="AP684" s="276"/>
      <c r="AQ684" s="276"/>
      <c r="AR684" s="276"/>
      <c r="AS684" s="276"/>
      <c r="AT684" s="276"/>
      <c r="AU684" s="276"/>
      <c r="AV684" s="276"/>
      <c r="AW684" s="276"/>
      <c r="AX684" s="276"/>
      <c r="AY684" s="276"/>
      <c r="AZ684" s="276"/>
      <c r="BA684" s="276"/>
      <c r="BB684" s="276"/>
      <c r="BC684" s="276"/>
    </row>
    <row r="685" spans="1:55" ht="12.75" customHeight="1">
      <c r="A685" s="465"/>
      <c r="B685" s="465"/>
      <c r="C685" s="147"/>
      <c r="D685" s="147"/>
      <c r="E685" s="585"/>
      <c r="F685" s="586"/>
      <c r="G685" s="458"/>
      <c r="H685" s="458"/>
      <c r="I685" s="458"/>
      <c r="J685" s="465"/>
      <c r="K685" s="587"/>
      <c r="L685" s="465"/>
      <c r="M685" s="465"/>
      <c r="N685" s="465"/>
      <c r="O685" s="587"/>
      <c r="P685" s="585"/>
      <c r="Q685" s="465"/>
      <c r="R685" s="458"/>
      <c r="S685" s="585"/>
      <c r="T685" s="588"/>
      <c r="U685" s="589"/>
      <c r="V685" s="587"/>
      <c r="W685" s="465"/>
      <c r="X685" s="465"/>
      <c r="Y685" s="590"/>
      <c r="Z685" s="458"/>
      <c r="AA685" s="591"/>
      <c r="AB685" s="465"/>
      <c r="AC685" s="465"/>
      <c r="AD685" s="465"/>
      <c r="AE685" s="465"/>
      <c r="AF685" s="465"/>
      <c r="AG685" s="465"/>
      <c r="AH685" s="465"/>
      <c r="AI685" s="592"/>
      <c r="AJ685" s="465"/>
      <c r="AK685" s="465"/>
      <c r="AL685" s="20"/>
      <c r="AM685" s="20"/>
      <c r="AN685" s="593"/>
      <c r="AO685" s="20"/>
      <c r="AP685" s="276"/>
      <c r="AQ685" s="276"/>
      <c r="AR685" s="276"/>
      <c r="AS685" s="276"/>
      <c r="AT685" s="276"/>
      <c r="AU685" s="276"/>
      <c r="AV685" s="276"/>
      <c r="AW685" s="276"/>
      <c r="AX685" s="276"/>
      <c r="AY685" s="276"/>
      <c r="AZ685" s="276"/>
      <c r="BA685" s="276"/>
      <c r="BB685" s="276"/>
      <c r="BC685" s="276"/>
    </row>
    <row r="686" spans="1:55" ht="12.75" customHeight="1">
      <c r="A686" s="465"/>
      <c r="B686" s="465"/>
      <c r="C686" s="147"/>
      <c r="D686" s="147"/>
      <c r="E686" s="585"/>
      <c r="F686" s="586"/>
      <c r="G686" s="458"/>
      <c r="H686" s="458"/>
      <c r="I686" s="458"/>
      <c r="J686" s="465"/>
      <c r="K686" s="587"/>
      <c r="L686" s="465"/>
      <c r="M686" s="465"/>
      <c r="N686" s="465"/>
      <c r="O686" s="587"/>
      <c r="P686" s="585"/>
      <c r="Q686" s="465"/>
      <c r="R686" s="458"/>
      <c r="S686" s="585"/>
      <c r="T686" s="588"/>
      <c r="U686" s="589"/>
      <c r="V686" s="587"/>
      <c r="W686" s="465"/>
      <c r="X686" s="465"/>
      <c r="Y686" s="590"/>
      <c r="Z686" s="458"/>
      <c r="AA686" s="591"/>
      <c r="AB686" s="465"/>
      <c r="AC686" s="465"/>
      <c r="AD686" s="465"/>
      <c r="AE686" s="465"/>
      <c r="AF686" s="465"/>
      <c r="AG686" s="465"/>
      <c r="AH686" s="465"/>
      <c r="AI686" s="592"/>
      <c r="AJ686" s="465"/>
      <c r="AK686" s="465"/>
      <c r="AL686" s="20"/>
      <c r="AM686" s="20"/>
      <c r="AN686" s="593"/>
      <c r="AO686" s="20"/>
      <c r="AP686" s="276"/>
      <c r="AQ686" s="276"/>
      <c r="AR686" s="276"/>
      <c r="AS686" s="276"/>
      <c r="AT686" s="276"/>
      <c r="AU686" s="276"/>
      <c r="AV686" s="276"/>
      <c r="AW686" s="276"/>
      <c r="AX686" s="276"/>
      <c r="AY686" s="276"/>
      <c r="AZ686" s="276"/>
      <c r="BA686" s="276"/>
      <c r="BB686" s="276"/>
      <c r="BC686" s="276"/>
    </row>
    <row r="687" spans="1:55" ht="12.75" customHeight="1">
      <c r="A687" s="465"/>
      <c r="B687" s="465"/>
      <c r="C687" s="147"/>
      <c r="D687" s="147"/>
      <c r="E687" s="585"/>
      <c r="F687" s="586"/>
      <c r="G687" s="458"/>
      <c r="H687" s="458"/>
      <c r="I687" s="458"/>
      <c r="J687" s="465"/>
      <c r="K687" s="587"/>
      <c r="L687" s="465"/>
      <c r="M687" s="465"/>
      <c r="N687" s="465"/>
      <c r="O687" s="587"/>
      <c r="P687" s="585"/>
      <c r="Q687" s="465"/>
      <c r="R687" s="458"/>
      <c r="S687" s="585"/>
      <c r="T687" s="588"/>
      <c r="U687" s="589"/>
      <c r="V687" s="587"/>
      <c r="W687" s="465"/>
      <c r="X687" s="465"/>
      <c r="Y687" s="590"/>
      <c r="Z687" s="458"/>
      <c r="AA687" s="591"/>
      <c r="AB687" s="465"/>
      <c r="AC687" s="465"/>
      <c r="AD687" s="465"/>
      <c r="AE687" s="465"/>
      <c r="AF687" s="465"/>
      <c r="AG687" s="465"/>
      <c r="AH687" s="465"/>
      <c r="AI687" s="592"/>
      <c r="AJ687" s="465"/>
      <c r="AK687" s="465"/>
      <c r="AL687" s="20"/>
      <c r="AM687" s="20"/>
      <c r="AN687" s="593"/>
      <c r="AO687" s="20"/>
      <c r="AP687" s="276"/>
      <c r="AQ687" s="276"/>
      <c r="AR687" s="276"/>
      <c r="AS687" s="276"/>
      <c r="AT687" s="276"/>
      <c r="AU687" s="276"/>
      <c r="AV687" s="276"/>
      <c r="AW687" s="276"/>
      <c r="AX687" s="276"/>
      <c r="AY687" s="276"/>
      <c r="AZ687" s="276"/>
      <c r="BA687" s="276"/>
      <c r="BB687" s="276"/>
      <c r="BC687" s="276"/>
    </row>
    <row r="688" spans="1:55" ht="12.75" customHeight="1">
      <c r="A688" s="465"/>
      <c r="B688" s="465"/>
      <c r="C688" s="147"/>
      <c r="D688" s="147"/>
      <c r="E688" s="585"/>
      <c r="F688" s="586"/>
      <c r="G688" s="458"/>
      <c r="H688" s="458"/>
      <c r="I688" s="458"/>
      <c r="J688" s="465"/>
      <c r="K688" s="587"/>
      <c r="L688" s="465"/>
      <c r="M688" s="465"/>
      <c r="N688" s="465"/>
      <c r="O688" s="587"/>
      <c r="P688" s="585"/>
      <c r="Q688" s="465"/>
      <c r="R688" s="458"/>
      <c r="S688" s="585"/>
      <c r="T688" s="588"/>
      <c r="U688" s="589"/>
      <c r="V688" s="587"/>
      <c r="W688" s="465"/>
      <c r="X688" s="465"/>
      <c r="Y688" s="590"/>
      <c r="Z688" s="458"/>
      <c r="AA688" s="591"/>
      <c r="AB688" s="465"/>
      <c r="AC688" s="465"/>
      <c r="AD688" s="465"/>
      <c r="AE688" s="465"/>
      <c r="AF688" s="465"/>
      <c r="AG688" s="465"/>
      <c r="AH688" s="465"/>
      <c r="AI688" s="592"/>
      <c r="AJ688" s="465"/>
      <c r="AK688" s="465"/>
      <c r="AL688" s="20"/>
      <c r="AM688" s="20"/>
      <c r="AN688" s="593"/>
      <c r="AO688" s="20"/>
      <c r="AP688" s="276"/>
      <c r="AQ688" s="276"/>
      <c r="AR688" s="276"/>
      <c r="AS688" s="276"/>
      <c r="AT688" s="276"/>
      <c r="AU688" s="276"/>
      <c r="AV688" s="276"/>
      <c r="AW688" s="276"/>
      <c r="AX688" s="276"/>
      <c r="AY688" s="276"/>
      <c r="AZ688" s="276"/>
      <c r="BA688" s="276"/>
      <c r="BB688" s="276"/>
      <c r="BC688" s="276"/>
    </row>
    <row r="689" spans="1:55" ht="12.75" customHeight="1">
      <c r="A689" s="465"/>
      <c r="B689" s="465"/>
      <c r="C689" s="147"/>
      <c r="D689" s="147"/>
      <c r="E689" s="585"/>
      <c r="F689" s="586"/>
      <c r="G689" s="458"/>
      <c r="H689" s="458"/>
      <c r="I689" s="458"/>
      <c r="J689" s="465"/>
      <c r="K689" s="587"/>
      <c r="L689" s="465"/>
      <c r="M689" s="465"/>
      <c r="N689" s="465"/>
      <c r="O689" s="587"/>
      <c r="P689" s="585"/>
      <c r="Q689" s="465"/>
      <c r="R689" s="458"/>
      <c r="S689" s="585"/>
      <c r="T689" s="588"/>
      <c r="U689" s="589"/>
      <c r="V689" s="587"/>
      <c r="W689" s="465"/>
      <c r="X689" s="465"/>
      <c r="Y689" s="590"/>
      <c r="Z689" s="458"/>
      <c r="AA689" s="591"/>
      <c r="AB689" s="465"/>
      <c r="AC689" s="465"/>
      <c r="AD689" s="465"/>
      <c r="AE689" s="465"/>
      <c r="AF689" s="465"/>
      <c r="AG689" s="465"/>
      <c r="AH689" s="465"/>
      <c r="AI689" s="592"/>
      <c r="AJ689" s="465"/>
      <c r="AK689" s="465"/>
      <c r="AL689" s="20"/>
      <c r="AM689" s="20"/>
      <c r="AN689" s="593"/>
      <c r="AO689" s="20"/>
      <c r="AP689" s="276"/>
      <c r="AQ689" s="276"/>
      <c r="AR689" s="276"/>
      <c r="AS689" s="276"/>
      <c r="AT689" s="276"/>
      <c r="AU689" s="276"/>
      <c r="AV689" s="276"/>
      <c r="AW689" s="276"/>
      <c r="AX689" s="276"/>
      <c r="AY689" s="276"/>
      <c r="AZ689" s="276"/>
      <c r="BA689" s="276"/>
      <c r="BB689" s="276"/>
      <c r="BC689" s="276"/>
    </row>
    <row r="690" spans="1:55" ht="12.75" customHeight="1">
      <c r="A690" s="465"/>
      <c r="B690" s="465"/>
      <c r="C690" s="147"/>
      <c r="D690" s="147"/>
      <c r="E690" s="585"/>
      <c r="F690" s="586"/>
      <c r="G690" s="458"/>
      <c r="H690" s="458"/>
      <c r="I690" s="458"/>
      <c r="J690" s="465"/>
      <c r="K690" s="587"/>
      <c r="L690" s="465"/>
      <c r="M690" s="465"/>
      <c r="N690" s="465"/>
      <c r="O690" s="587"/>
      <c r="P690" s="585"/>
      <c r="Q690" s="465"/>
      <c r="R690" s="458"/>
      <c r="S690" s="585"/>
      <c r="T690" s="588"/>
      <c r="U690" s="589"/>
      <c r="V690" s="587"/>
      <c r="W690" s="465"/>
      <c r="X690" s="465"/>
      <c r="Y690" s="590"/>
      <c r="Z690" s="458"/>
      <c r="AA690" s="591"/>
      <c r="AB690" s="465"/>
      <c r="AC690" s="465"/>
      <c r="AD690" s="465"/>
      <c r="AE690" s="465"/>
      <c r="AF690" s="465"/>
      <c r="AG690" s="465"/>
      <c r="AH690" s="465"/>
      <c r="AI690" s="592"/>
      <c r="AJ690" s="465"/>
      <c r="AK690" s="465"/>
      <c r="AL690" s="20"/>
      <c r="AM690" s="20"/>
      <c r="AN690" s="593"/>
      <c r="AO690" s="20"/>
      <c r="AP690" s="276"/>
      <c r="AQ690" s="276"/>
      <c r="AR690" s="276"/>
      <c r="AS690" s="276"/>
      <c r="AT690" s="276"/>
      <c r="AU690" s="276"/>
      <c r="AV690" s="276"/>
      <c r="AW690" s="276"/>
      <c r="AX690" s="276"/>
      <c r="AY690" s="276"/>
      <c r="AZ690" s="276"/>
      <c r="BA690" s="276"/>
      <c r="BB690" s="276"/>
      <c r="BC690" s="276"/>
    </row>
    <row r="691" spans="1:55" ht="12.75" customHeight="1">
      <c r="A691" s="465"/>
      <c r="B691" s="465"/>
      <c r="C691" s="147"/>
      <c r="D691" s="147"/>
      <c r="E691" s="585"/>
      <c r="F691" s="586"/>
      <c r="G691" s="458"/>
      <c r="H691" s="458"/>
      <c r="I691" s="458"/>
      <c r="J691" s="465"/>
      <c r="K691" s="587"/>
      <c r="L691" s="465"/>
      <c r="M691" s="465"/>
      <c r="N691" s="465"/>
      <c r="O691" s="587"/>
      <c r="P691" s="585"/>
      <c r="Q691" s="465"/>
      <c r="R691" s="458"/>
      <c r="S691" s="585"/>
      <c r="T691" s="588"/>
      <c r="U691" s="589"/>
      <c r="V691" s="587"/>
      <c r="W691" s="465"/>
      <c r="X691" s="465"/>
      <c r="Y691" s="590"/>
      <c r="Z691" s="458"/>
      <c r="AA691" s="591"/>
      <c r="AB691" s="465"/>
      <c r="AC691" s="465"/>
      <c r="AD691" s="465"/>
      <c r="AE691" s="465"/>
      <c r="AF691" s="465"/>
      <c r="AG691" s="465"/>
      <c r="AH691" s="465"/>
      <c r="AI691" s="592"/>
      <c r="AJ691" s="465"/>
      <c r="AK691" s="465"/>
      <c r="AL691" s="20"/>
      <c r="AM691" s="20"/>
      <c r="AN691" s="593"/>
      <c r="AO691" s="20"/>
      <c r="AP691" s="276"/>
      <c r="AQ691" s="276"/>
      <c r="AR691" s="276"/>
      <c r="AS691" s="276"/>
      <c r="AT691" s="276"/>
      <c r="AU691" s="276"/>
      <c r="AV691" s="276"/>
      <c r="AW691" s="276"/>
      <c r="AX691" s="276"/>
      <c r="AY691" s="276"/>
      <c r="AZ691" s="276"/>
      <c r="BA691" s="276"/>
      <c r="BB691" s="276"/>
      <c r="BC691" s="276"/>
    </row>
    <row r="692" spans="1:55" ht="12.75" customHeight="1">
      <c r="A692" s="465"/>
      <c r="B692" s="465"/>
      <c r="C692" s="147"/>
      <c r="D692" s="147"/>
      <c r="E692" s="585"/>
      <c r="F692" s="586"/>
      <c r="G692" s="458"/>
      <c r="H692" s="458"/>
      <c r="I692" s="458"/>
      <c r="J692" s="465"/>
      <c r="K692" s="587"/>
      <c r="L692" s="465"/>
      <c r="M692" s="465"/>
      <c r="N692" s="465"/>
      <c r="O692" s="587"/>
      <c r="P692" s="585"/>
      <c r="Q692" s="465"/>
      <c r="R692" s="458"/>
      <c r="S692" s="585"/>
      <c r="T692" s="588"/>
      <c r="U692" s="589"/>
      <c r="V692" s="587"/>
      <c r="W692" s="465"/>
      <c r="X692" s="465"/>
      <c r="Y692" s="590"/>
      <c r="Z692" s="458"/>
      <c r="AA692" s="591"/>
      <c r="AB692" s="465"/>
      <c r="AC692" s="465"/>
      <c r="AD692" s="465"/>
      <c r="AE692" s="465"/>
      <c r="AF692" s="465"/>
      <c r="AG692" s="465"/>
      <c r="AH692" s="465"/>
      <c r="AI692" s="592"/>
      <c r="AJ692" s="465"/>
      <c r="AK692" s="465"/>
      <c r="AL692" s="20"/>
      <c r="AM692" s="20"/>
      <c r="AN692" s="593"/>
      <c r="AO692" s="20"/>
      <c r="AP692" s="276"/>
      <c r="AQ692" s="276"/>
      <c r="AR692" s="276"/>
      <c r="AS692" s="276"/>
      <c r="AT692" s="276"/>
      <c r="AU692" s="276"/>
      <c r="AV692" s="276"/>
      <c r="AW692" s="276"/>
      <c r="AX692" s="276"/>
      <c r="AY692" s="276"/>
      <c r="AZ692" s="276"/>
      <c r="BA692" s="276"/>
      <c r="BB692" s="276"/>
      <c r="BC692" s="276"/>
    </row>
    <row r="693" spans="1:55" ht="12.75" customHeight="1">
      <c r="A693" s="465"/>
      <c r="B693" s="465"/>
      <c r="C693" s="147"/>
      <c r="D693" s="147"/>
      <c r="E693" s="585"/>
      <c r="F693" s="586"/>
      <c r="G693" s="458"/>
      <c r="H693" s="458"/>
      <c r="I693" s="458"/>
      <c r="J693" s="465"/>
      <c r="K693" s="587"/>
      <c r="L693" s="465"/>
      <c r="M693" s="465"/>
      <c r="N693" s="465"/>
      <c r="O693" s="587"/>
      <c r="P693" s="585"/>
      <c r="Q693" s="465"/>
      <c r="R693" s="458"/>
      <c r="S693" s="585"/>
      <c r="T693" s="588"/>
      <c r="U693" s="589"/>
      <c r="V693" s="587"/>
      <c r="W693" s="465"/>
      <c r="X693" s="465"/>
      <c r="Y693" s="590"/>
      <c r="Z693" s="458"/>
      <c r="AA693" s="591"/>
      <c r="AB693" s="465"/>
      <c r="AC693" s="465"/>
      <c r="AD693" s="465"/>
      <c r="AE693" s="465"/>
      <c r="AF693" s="465"/>
      <c r="AG693" s="465"/>
      <c r="AH693" s="465"/>
      <c r="AI693" s="592"/>
      <c r="AJ693" s="465"/>
      <c r="AK693" s="465"/>
      <c r="AL693" s="20"/>
      <c r="AM693" s="20"/>
      <c r="AN693" s="593"/>
      <c r="AO693" s="20"/>
      <c r="AP693" s="276"/>
      <c r="AQ693" s="276"/>
      <c r="AR693" s="276"/>
      <c r="AS693" s="276"/>
      <c r="AT693" s="276"/>
      <c r="AU693" s="276"/>
      <c r="AV693" s="276"/>
      <c r="AW693" s="276"/>
      <c r="AX693" s="276"/>
      <c r="AY693" s="276"/>
      <c r="AZ693" s="276"/>
      <c r="BA693" s="276"/>
      <c r="BB693" s="276"/>
      <c r="BC693" s="276"/>
    </row>
    <row r="694" spans="1:55" ht="12.75" customHeight="1">
      <c r="A694" s="465"/>
      <c r="B694" s="465"/>
      <c r="C694" s="147"/>
      <c r="D694" s="147"/>
      <c r="E694" s="585"/>
      <c r="F694" s="586"/>
      <c r="G694" s="458"/>
      <c r="H694" s="458"/>
      <c r="I694" s="458"/>
      <c r="J694" s="465"/>
      <c r="K694" s="587"/>
      <c r="L694" s="465"/>
      <c r="M694" s="465"/>
      <c r="N694" s="465"/>
      <c r="O694" s="587"/>
      <c r="P694" s="585"/>
      <c r="Q694" s="465"/>
      <c r="R694" s="458"/>
      <c r="S694" s="585"/>
      <c r="T694" s="588"/>
      <c r="U694" s="589"/>
      <c r="V694" s="587"/>
      <c r="W694" s="465"/>
      <c r="X694" s="465"/>
      <c r="Y694" s="590"/>
      <c r="Z694" s="458"/>
      <c r="AA694" s="591"/>
      <c r="AB694" s="465"/>
      <c r="AC694" s="465"/>
      <c r="AD694" s="465"/>
      <c r="AE694" s="465"/>
      <c r="AF694" s="465"/>
      <c r="AG694" s="465"/>
      <c r="AH694" s="465"/>
      <c r="AI694" s="592"/>
      <c r="AJ694" s="465"/>
      <c r="AK694" s="465"/>
      <c r="AL694" s="20"/>
      <c r="AM694" s="20"/>
      <c r="AN694" s="593"/>
      <c r="AO694" s="20"/>
      <c r="AP694" s="276"/>
      <c r="AQ694" s="276"/>
      <c r="AR694" s="276"/>
      <c r="AS694" s="276"/>
      <c r="AT694" s="276"/>
      <c r="AU694" s="276"/>
      <c r="AV694" s="276"/>
      <c r="AW694" s="276"/>
      <c r="AX694" s="276"/>
      <c r="AY694" s="276"/>
      <c r="AZ694" s="276"/>
      <c r="BA694" s="276"/>
      <c r="BB694" s="276"/>
      <c r="BC694" s="276"/>
    </row>
    <row r="695" spans="1:55" ht="12.75" customHeight="1">
      <c r="A695" s="465"/>
      <c r="B695" s="465"/>
      <c r="C695" s="147"/>
      <c r="D695" s="147"/>
      <c r="E695" s="585"/>
      <c r="F695" s="586"/>
      <c r="G695" s="458"/>
      <c r="H695" s="458"/>
      <c r="I695" s="458"/>
      <c r="J695" s="465"/>
      <c r="K695" s="587"/>
      <c r="L695" s="465"/>
      <c r="M695" s="465"/>
      <c r="N695" s="465"/>
      <c r="O695" s="587"/>
      <c r="P695" s="585"/>
      <c r="Q695" s="465"/>
      <c r="R695" s="458"/>
      <c r="S695" s="585"/>
      <c r="T695" s="588"/>
      <c r="U695" s="589"/>
      <c r="V695" s="587"/>
      <c r="W695" s="465"/>
      <c r="X695" s="465"/>
      <c r="Y695" s="590"/>
      <c r="Z695" s="458"/>
      <c r="AA695" s="591"/>
      <c r="AB695" s="465"/>
      <c r="AC695" s="465"/>
      <c r="AD695" s="465"/>
      <c r="AE695" s="465"/>
      <c r="AF695" s="465"/>
      <c r="AG695" s="465"/>
      <c r="AH695" s="465"/>
      <c r="AI695" s="592"/>
      <c r="AJ695" s="465"/>
      <c r="AK695" s="465"/>
      <c r="AL695" s="20"/>
      <c r="AM695" s="20"/>
      <c r="AN695" s="593"/>
      <c r="AO695" s="20"/>
      <c r="AP695" s="276"/>
      <c r="AQ695" s="276"/>
      <c r="AR695" s="276"/>
      <c r="AS695" s="276"/>
      <c r="AT695" s="276"/>
      <c r="AU695" s="276"/>
      <c r="AV695" s="276"/>
      <c r="AW695" s="276"/>
      <c r="AX695" s="276"/>
      <c r="AY695" s="276"/>
      <c r="AZ695" s="276"/>
      <c r="BA695" s="276"/>
      <c r="BB695" s="276"/>
      <c r="BC695" s="276"/>
    </row>
    <row r="696" spans="1:55" ht="12.75" customHeight="1">
      <c r="A696" s="465"/>
      <c r="B696" s="465"/>
      <c r="C696" s="147"/>
      <c r="D696" s="147"/>
      <c r="E696" s="585"/>
      <c r="F696" s="586"/>
      <c r="G696" s="458"/>
      <c r="H696" s="458"/>
      <c r="I696" s="458"/>
      <c r="J696" s="465"/>
      <c r="K696" s="587"/>
      <c r="L696" s="465"/>
      <c r="M696" s="465"/>
      <c r="N696" s="465"/>
      <c r="O696" s="587"/>
      <c r="P696" s="585"/>
      <c r="Q696" s="465"/>
      <c r="R696" s="458"/>
      <c r="S696" s="585"/>
      <c r="T696" s="588"/>
      <c r="U696" s="589"/>
      <c r="V696" s="587"/>
      <c r="W696" s="465"/>
      <c r="X696" s="465"/>
      <c r="Y696" s="590"/>
      <c r="Z696" s="458"/>
      <c r="AA696" s="591"/>
      <c r="AB696" s="465"/>
      <c r="AC696" s="465"/>
      <c r="AD696" s="465"/>
      <c r="AE696" s="465"/>
      <c r="AF696" s="465"/>
      <c r="AG696" s="465"/>
      <c r="AH696" s="465"/>
      <c r="AI696" s="592"/>
      <c r="AJ696" s="465"/>
      <c r="AK696" s="465"/>
      <c r="AL696" s="20"/>
      <c r="AM696" s="20"/>
      <c r="AN696" s="593"/>
      <c r="AO696" s="20"/>
      <c r="AP696" s="276"/>
      <c r="AQ696" s="276"/>
      <c r="AR696" s="276"/>
      <c r="AS696" s="276"/>
      <c r="AT696" s="276"/>
      <c r="AU696" s="276"/>
      <c r="AV696" s="276"/>
      <c r="AW696" s="276"/>
      <c r="AX696" s="276"/>
      <c r="AY696" s="276"/>
      <c r="AZ696" s="276"/>
      <c r="BA696" s="276"/>
      <c r="BB696" s="276"/>
      <c r="BC696" s="276"/>
    </row>
    <row r="697" spans="1:55" ht="12.75" customHeight="1">
      <c r="A697" s="465"/>
      <c r="B697" s="465"/>
      <c r="C697" s="147"/>
      <c r="D697" s="147"/>
      <c r="E697" s="585"/>
      <c r="F697" s="586"/>
      <c r="G697" s="458"/>
      <c r="H697" s="458"/>
      <c r="I697" s="458"/>
      <c r="J697" s="465"/>
      <c r="K697" s="587"/>
      <c r="L697" s="465"/>
      <c r="M697" s="465"/>
      <c r="N697" s="465"/>
      <c r="O697" s="587"/>
      <c r="P697" s="585"/>
      <c r="Q697" s="465"/>
      <c r="R697" s="458"/>
      <c r="S697" s="585"/>
      <c r="T697" s="588"/>
      <c r="U697" s="589"/>
      <c r="V697" s="587"/>
      <c r="W697" s="465"/>
      <c r="X697" s="465"/>
      <c r="Y697" s="590"/>
      <c r="Z697" s="458"/>
      <c r="AA697" s="591"/>
      <c r="AB697" s="465"/>
      <c r="AC697" s="465"/>
      <c r="AD697" s="465"/>
      <c r="AE697" s="465"/>
      <c r="AF697" s="465"/>
      <c r="AG697" s="465"/>
      <c r="AH697" s="465"/>
      <c r="AI697" s="592"/>
      <c r="AJ697" s="465"/>
      <c r="AK697" s="465"/>
      <c r="AL697" s="20"/>
      <c r="AM697" s="20"/>
      <c r="AN697" s="593"/>
      <c r="AO697" s="20"/>
      <c r="AP697" s="276"/>
      <c r="AQ697" s="276"/>
      <c r="AR697" s="276"/>
      <c r="AS697" s="276"/>
      <c r="AT697" s="276"/>
      <c r="AU697" s="276"/>
      <c r="AV697" s="276"/>
      <c r="AW697" s="276"/>
      <c r="AX697" s="276"/>
      <c r="AY697" s="276"/>
      <c r="AZ697" s="276"/>
      <c r="BA697" s="276"/>
      <c r="BB697" s="276"/>
      <c r="BC697" s="276"/>
    </row>
    <row r="698" spans="1:55" ht="12.75" customHeight="1">
      <c r="A698" s="465"/>
      <c r="B698" s="465"/>
      <c r="C698" s="147"/>
      <c r="D698" s="147"/>
      <c r="E698" s="585"/>
      <c r="F698" s="586"/>
      <c r="G698" s="458"/>
      <c r="H698" s="458"/>
      <c r="I698" s="458"/>
      <c r="J698" s="465"/>
      <c r="K698" s="587"/>
      <c r="L698" s="465"/>
      <c r="M698" s="465"/>
      <c r="N698" s="465"/>
      <c r="O698" s="587"/>
      <c r="P698" s="585"/>
      <c r="Q698" s="465"/>
      <c r="R698" s="458"/>
      <c r="S698" s="585"/>
      <c r="T698" s="588"/>
      <c r="U698" s="589"/>
      <c r="V698" s="587"/>
      <c r="W698" s="465"/>
      <c r="X698" s="465"/>
      <c r="Y698" s="590"/>
      <c r="Z698" s="458"/>
      <c r="AA698" s="591"/>
      <c r="AB698" s="465"/>
      <c r="AC698" s="465"/>
      <c r="AD698" s="465"/>
      <c r="AE698" s="465"/>
      <c r="AF698" s="465"/>
      <c r="AG698" s="465"/>
      <c r="AH698" s="465"/>
      <c r="AI698" s="592"/>
      <c r="AJ698" s="465"/>
      <c r="AK698" s="465"/>
      <c r="AL698" s="20"/>
      <c r="AM698" s="20"/>
      <c r="AN698" s="593"/>
      <c r="AO698" s="20"/>
      <c r="AP698" s="276"/>
      <c r="AQ698" s="276"/>
      <c r="AR698" s="276"/>
      <c r="AS698" s="276"/>
      <c r="AT698" s="276"/>
      <c r="AU698" s="276"/>
      <c r="AV698" s="276"/>
      <c r="AW698" s="276"/>
      <c r="AX698" s="276"/>
      <c r="AY698" s="276"/>
      <c r="AZ698" s="276"/>
      <c r="BA698" s="276"/>
      <c r="BB698" s="276"/>
      <c r="BC698" s="276"/>
    </row>
    <row r="699" spans="1:55" ht="12.75" customHeight="1">
      <c r="A699" s="465"/>
      <c r="B699" s="465"/>
      <c r="C699" s="147"/>
      <c r="D699" s="147"/>
      <c r="E699" s="585"/>
      <c r="F699" s="586"/>
      <c r="G699" s="458"/>
      <c r="H699" s="458"/>
      <c r="I699" s="458"/>
      <c r="J699" s="465"/>
      <c r="K699" s="587"/>
      <c r="L699" s="465"/>
      <c r="M699" s="465"/>
      <c r="N699" s="465"/>
      <c r="O699" s="587"/>
      <c r="P699" s="585"/>
      <c r="Q699" s="465"/>
      <c r="R699" s="458"/>
      <c r="S699" s="585"/>
      <c r="T699" s="588"/>
      <c r="U699" s="589"/>
      <c r="V699" s="587"/>
      <c r="W699" s="465"/>
      <c r="X699" s="465"/>
      <c r="Y699" s="590"/>
      <c r="Z699" s="458"/>
      <c r="AA699" s="591"/>
      <c r="AB699" s="465"/>
      <c r="AC699" s="465"/>
      <c r="AD699" s="465"/>
      <c r="AE699" s="465"/>
      <c r="AF699" s="465"/>
      <c r="AG699" s="465"/>
      <c r="AH699" s="465"/>
      <c r="AI699" s="592"/>
      <c r="AJ699" s="465"/>
      <c r="AK699" s="465"/>
      <c r="AL699" s="20"/>
      <c r="AM699" s="20"/>
      <c r="AN699" s="593"/>
      <c r="AO699" s="20"/>
      <c r="AP699" s="276"/>
      <c r="AQ699" s="276"/>
      <c r="AR699" s="276"/>
      <c r="AS699" s="276"/>
      <c r="AT699" s="276"/>
      <c r="AU699" s="276"/>
      <c r="AV699" s="276"/>
      <c r="AW699" s="276"/>
      <c r="AX699" s="276"/>
      <c r="AY699" s="276"/>
      <c r="AZ699" s="276"/>
      <c r="BA699" s="276"/>
      <c r="BB699" s="276"/>
      <c r="BC699" s="276"/>
    </row>
    <row r="700" spans="1:55" ht="12.75" customHeight="1">
      <c r="A700" s="465"/>
      <c r="B700" s="465"/>
      <c r="C700" s="147"/>
      <c r="D700" s="147"/>
      <c r="E700" s="585"/>
      <c r="F700" s="586"/>
      <c r="G700" s="458"/>
      <c r="H700" s="458"/>
      <c r="I700" s="458"/>
      <c r="J700" s="465"/>
      <c r="K700" s="587"/>
      <c r="L700" s="465"/>
      <c r="M700" s="465"/>
      <c r="N700" s="465"/>
      <c r="O700" s="587"/>
      <c r="P700" s="585"/>
      <c r="Q700" s="465"/>
      <c r="R700" s="458"/>
      <c r="S700" s="585"/>
      <c r="T700" s="588"/>
      <c r="U700" s="589"/>
      <c r="V700" s="587"/>
      <c r="W700" s="465"/>
      <c r="X700" s="465"/>
      <c r="Y700" s="590"/>
      <c r="Z700" s="458"/>
      <c r="AA700" s="591"/>
      <c r="AB700" s="465"/>
      <c r="AC700" s="465"/>
      <c r="AD700" s="465"/>
      <c r="AE700" s="465"/>
      <c r="AF700" s="465"/>
      <c r="AG700" s="465"/>
      <c r="AH700" s="465"/>
      <c r="AI700" s="592"/>
      <c r="AJ700" s="465"/>
      <c r="AK700" s="465"/>
      <c r="AL700" s="20"/>
      <c r="AM700" s="20"/>
      <c r="AN700" s="593"/>
      <c r="AO700" s="20"/>
      <c r="AP700" s="276"/>
      <c r="AQ700" s="276"/>
      <c r="AR700" s="276"/>
      <c r="AS700" s="276"/>
      <c r="AT700" s="276"/>
      <c r="AU700" s="276"/>
      <c r="AV700" s="276"/>
      <c r="AW700" s="276"/>
      <c r="AX700" s="276"/>
      <c r="AY700" s="276"/>
      <c r="AZ700" s="276"/>
      <c r="BA700" s="276"/>
      <c r="BB700" s="276"/>
      <c r="BC700" s="276"/>
    </row>
    <row r="701" spans="1:55" ht="12.75" customHeight="1">
      <c r="A701" s="465"/>
      <c r="B701" s="465"/>
      <c r="C701" s="147"/>
      <c r="D701" s="147"/>
      <c r="E701" s="585"/>
      <c r="F701" s="586"/>
      <c r="G701" s="458"/>
      <c r="H701" s="458"/>
      <c r="I701" s="458"/>
      <c r="J701" s="465"/>
      <c r="K701" s="587"/>
      <c r="L701" s="465"/>
      <c r="M701" s="465"/>
      <c r="N701" s="465"/>
      <c r="O701" s="587"/>
      <c r="P701" s="585"/>
      <c r="Q701" s="465"/>
      <c r="R701" s="458"/>
      <c r="S701" s="585"/>
      <c r="T701" s="588"/>
      <c r="U701" s="589"/>
      <c r="V701" s="587"/>
      <c r="W701" s="465"/>
      <c r="X701" s="465"/>
      <c r="Y701" s="590"/>
      <c r="Z701" s="458"/>
      <c r="AA701" s="591"/>
      <c r="AB701" s="465"/>
      <c r="AC701" s="465"/>
      <c r="AD701" s="465"/>
      <c r="AE701" s="465"/>
      <c r="AF701" s="465"/>
      <c r="AG701" s="465"/>
      <c r="AH701" s="465"/>
      <c r="AI701" s="592"/>
      <c r="AJ701" s="465"/>
      <c r="AK701" s="465"/>
      <c r="AL701" s="20"/>
      <c r="AM701" s="20"/>
      <c r="AN701" s="593"/>
      <c r="AO701" s="20"/>
      <c r="AP701" s="276"/>
      <c r="AQ701" s="276"/>
      <c r="AR701" s="276"/>
      <c r="AS701" s="276"/>
      <c r="AT701" s="276"/>
      <c r="AU701" s="276"/>
      <c r="AV701" s="276"/>
      <c r="AW701" s="276"/>
      <c r="AX701" s="276"/>
      <c r="AY701" s="276"/>
      <c r="AZ701" s="276"/>
      <c r="BA701" s="276"/>
      <c r="BB701" s="276"/>
      <c r="BC701" s="276"/>
    </row>
    <row r="702" spans="1:55" ht="12.75" customHeight="1">
      <c r="A702" s="465"/>
      <c r="B702" s="465"/>
      <c r="C702" s="147"/>
      <c r="D702" s="147"/>
      <c r="E702" s="585"/>
      <c r="F702" s="586"/>
      <c r="G702" s="458"/>
      <c r="H702" s="458"/>
      <c r="I702" s="458"/>
      <c r="J702" s="465"/>
      <c r="K702" s="587"/>
      <c r="L702" s="465"/>
      <c r="M702" s="465"/>
      <c r="N702" s="465"/>
      <c r="O702" s="587"/>
      <c r="P702" s="585"/>
      <c r="Q702" s="465"/>
      <c r="R702" s="458"/>
      <c r="S702" s="585"/>
      <c r="T702" s="588"/>
      <c r="U702" s="589"/>
      <c r="V702" s="587"/>
      <c r="W702" s="465"/>
      <c r="X702" s="465"/>
      <c r="Y702" s="590"/>
      <c r="Z702" s="458"/>
      <c r="AA702" s="591"/>
      <c r="AB702" s="465"/>
      <c r="AC702" s="465"/>
      <c r="AD702" s="465"/>
      <c r="AE702" s="465"/>
      <c r="AF702" s="465"/>
      <c r="AG702" s="465"/>
      <c r="AH702" s="465"/>
      <c r="AI702" s="592"/>
      <c r="AJ702" s="465"/>
      <c r="AK702" s="465"/>
      <c r="AL702" s="20"/>
      <c r="AM702" s="20"/>
      <c r="AN702" s="593"/>
      <c r="AO702" s="20"/>
      <c r="AP702" s="276"/>
      <c r="AQ702" s="276"/>
      <c r="AR702" s="276"/>
      <c r="AS702" s="276"/>
      <c r="AT702" s="276"/>
      <c r="AU702" s="276"/>
      <c r="AV702" s="276"/>
      <c r="AW702" s="276"/>
      <c r="AX702" s="276"/>
      <c r="AY702" s="276"/>
      <c r="AZ702" s="276"/>
      <c r="BA702" s="276"/>
      <c r="BB702" s="276"/>
      <c r="BC702" s="276"/>
    </row>
    <row r="703" spans="1:55" ht="12.75" customHeight="1">
      <c r="A703" s="465"/>
      <c r="B703" s="465"/>
      <c r="C703" s="147"/>
      <c r="D703" s="147"/>
      <c r="E703" s="585"/>
      <c r="F703" s="586"/>
      <c r="G703" s="458"/>
      <c r="H703" s="458"/>
      <c r="I703" s="458"/>
      <c r="J703" s="465"/>
      <c r="K703" s="587"/>
      <c r="L703" s="465"/>
      <c r="M703" s="465"/>
      <c r="N703" s="465"/>
      <c r="O703" s="587"/>
      <c r="P703" s="585"/>
      <c r="Q703" s="465"/>
      <c r="R703" s="458"/>
      <c r="S703" s="585"/>
      <c r="T703" s="588"/>
      <c r="U703" s="589"/>
      <c r="V703" s="587"/>
      <c r="W703" s="465"/>
      <c r="X703" s="465"/>
      <c r="Y703" s="590"/>
      <c r="Z703" s="458"/>
      <c r="AA703" s="591"/>
      <c r="AB703" s="465"/>
      <c r="AC703" s="465"/>
      <c r="AD703" s="465"/>
      <c r="AE703" s="465"/>
      <c r="AF703" s="465"/>
      <c r="AG703" s="465"/>
      <c r="AH703" s="465"/>
      <c r="AI703" s="592"/>
      <c r="AJ703" s="465"/>
      <c r="AK703" s="465"/>
      <c r="AL703" s="20"/>
      <c r="AM703" s="20"/>
      <c r="AN703" s="593"/>
      <c r="AO703" s="20"/>
      <c r="AP703" s="276"/>
      <c r="AQ703" s="276"/>
      <c r="AR703" s="276"/>
      <c r="AS703" s="276"/>
      <c r="AT703" s="276"/>
      <c r="AU703" s="276"/>
      <c r="AV703" s="276"/>
      <c r="AW703" s="276"/>
      <c r="AX703" s="276"/>
      <c r="AY703" s="276"/>
      <c r="AZ703" s="276"/>
      <c r="BA703" s="276"/>
      <c r="BB703" s="276"/>
      <c r="BC703" s="276"/>
    </row>
    <row r="704" spans="1:55" ht="12.75" customHeight="1">
      <c r="A704" s="465"/>
      <c r="B704" s="465"/>
      <c r="C704" s="147"/>
      <c r="D704" s="147"/>
      <c r="E704" s="585"/>
      <c r="F704" s="586"/>
      <c r="G704" s="458"/>
      <c r="H704" s="458"/>
      <c r="I704" s="458"/>
      <c r="J704" s="465"/>
      <c r="K704" s="587"/>
      <c r="L704" s="465"/>
      <c r="M704" s="465"/>
      <c r="N704" s="465"/>
      <c r="O704" s="587"/>
      <c r="P704" s="585"/>
      <c r="Q704" s="465"/>
      <c r="R704" s="458"/>
      <c r="S704" s="585"/>
      <c r="T704" s="588"/>
      <c r="U704" s="589"/>
      <c r="V704" s="587"/>
      <c r="W704" s="465"/>
      <c r="X704" s="465"/>
      <c r="Y704" s="590"/>
      <c r="Z704" s="458"/>
      <c r="AA704" s="591"/>
      <c r="AB704" s="465"/>
      <c r="AC704" s="465"/>
      <c r="AD704" s="465"/>
      <c r="AE704" s="465"/>
      <c r="AF704" s="465"/>
      <c r="AG704" s="465"/>
      <c r="AH704" s="465"/>
      <c r="AI704" s="592"/>
      <c r="AJ704" s="465"/>
      <c r="AK704" s="465"/>
      <c r="AL704" s="20"/>
      <c r="AM704" s="20"/>
      <c r="AN704" s="593"/>
      <c r="AO704" s="20"/>
      <c r="AP704" s="276"/>
      <c r="AQ704" s="276"/>
      <c r="AR704" s="276"/>
      <c r="AS704" s="276"/>
      <c r="AT704" s="276"/>
      <c r="AU704" s="276"/>
      <c r="AV704" s="276"/>
      <c r="AW704" s="276"/>
      <c r="AX704" s="276"/>
      <c r="AY704" s="276"/>
      <c r="AZ704" s="276"/>
      <c r="BA704" s="276"/>
      <c r="BB704" s="276"/>
      <c r="BC704" s="276"/>
    </row>
    <row r="705" spans="1:55" ht="12.75" customHeight="1">
      <c r="A705" s="465"/>
      <c r="B705" s="465"/>
      <c r="C705" s="147"/>
      <c r="D705" s="147"/>
      <c r="E705" s="585"/>
      <c r="F705" s="586"/>
      <c r="G705" s="458"/>
      <c r="H705" s="458"/>
      <c r="I705" s="458"/>
      <c r="J705" s="465"/>
      <c r="K705" s="587"/>
      <c r="L705" s="465"/>
      <c r="M705" s="465"/>
      <c r="N705" s="465"/>
      <c r="O705" s="587"/>
      <c r="P705" s="585"/>
      <c r="Q705" s="465"/>
      <c r="R705" s="458"/>
      <c r="S705" s="585"/>
      <c r="T705" s="588"/>
      <c r="U705" s="589"/>
      <c r="V705" s="587"/>
      <c r="W705" s="465"/>
      <c r="X705" s="465"/>
      <c r="Y705" s="590"/>
      <c r="Z705" s="458"/>
      <c r="AA705" s="591"/>
      <c r="AB705" s="465"/>
      <c r="AC705" s="465"/>
      <c r="AD705" s="465"/>
      <c r="AE705" s="465"/>
      <c r="AF705" s="465"/>
      <c r="AG705" s="465"/>
      <c r="AH705" s="465"/>
      <c r="AI705" s="592"/>
      <c r="AJ705" s="465"/>
      <c r="AK705" s="465"/>
      <c r="AL705" s="20"/>
      <c r="AM705" s="20"/>
      <c r="AN705" s="593"/>
      <c r="AO705" s="20"/>
      <c r="AP705" s="276"/>
      <c r="AQ705" s="276"/>
      <c r="AR705" s="276"/>
      <c r="AS705" s="276"/>
      <c r="AT705" s="276"/>
      <c r="AU705" s="276"/>
      <c r="AV705" s="276"/>
      <c r="AW705" s="276"/>
      <c r="AX705" s="276"/>
      <c r="AY705" s="276"/>
      <c r="AZ705" s="276"/>
      <c r="BA705" s="276"/>
      <c r="BB705" s="276"/>
      <c r="BC705" s="276"/>
    </row>
    <row r="706" spans="1:55" ht="12.75" customHeight="1">
      <c r="A706" s="465"/>
      <c r="B706" s="465"/>
      <c r="C706" s="147"/>
      <c r="D706" s="147"/>
      <c r="E706" s="585"/>
      <c r="F706" s="586"/>
      <c r="G706" s="458"/>
      <c r="H706" s="458"/>
      <c r="I706" s="458"/>
      <c r="J706" s="465"/>
      <c r="K706" s="587"/>
      <c r="L706" s="465"/>
      <c r="M706" s="465"/>
      <c r="N706" s="465"/>
      <c r="O706" s="587"/>
      <c r="P706" s="585"/>
      <c r="Q706" s="465"/>
      <c r="R706" s="458"/>
      <c r="S706" s="585"/>
      <c r="T706" s="588"/>
      <c r="U706" s="589"/>
      <c r="V706" s="587"/>
      <c r="W706" s="465"/>
      <c r="X706" s="465"/>
      <c r="Y706" s="590"/>
      <c r="Z706" s="458"/>
      <c r="AA706" s="591"/>
      <c r="AB706" s="465"/>
      <c r="AC706" s="465"/>
      <c r="AD706" s="465"/>
      <c r="AE706" s="465"/>
      <c r="AF706" s="465"/>
      <c r="AG706" s="465"/>
      <c r="AH706" s="465"/>
      <c r="AI706" s="592"/>
      <c r="AJ706" s="465"/>
      <c r="AK706" s="465"/>
      <c r="AL706" s="20"/>
      <c r="AM706" s="20"/>
      <c r="AN706" s="593"/>
      <c r="AO706" s="20"/>
      <c r="AP706" s="276"/>
      <c r="AQ706" s="276"/>
      <c r="AR706" s="276"/>
      <c r="AS706" s="276"/>
      <c r="AT706" s="276"/>
      <c r="AU706" s="276"/>
      <c r="AV706" s="276"/>
      <c r="AW706" s="276"/>
      <c r="AX706" s="276"/>
      <c r="AY706" s="276"/>
      <c r="AZ706" s="276"/>
      <c r="BA706" s="276"/>
      <c r="BB706" s="276"/>
      <c r="BC706" s="276"/>
    </row>
    <row r="707" spans="1:55" ht="12.75" customHeight="1">
      <c r="A707" s="465"/>
      <c r="B707" s="465"/>
      <c r="C707" s="147"/>
      <c r="D707" s="147"/>
      <c r="E707" s="585"/>
      <c r="F707" s="586"/>
      <c r="G707" s="458"/>
      <c r="H707" s="458"/>
      <c r="I707" s="458"/>
      <c r="J707" s="465"/>
      <c r="K707" s="587"/>
      <c r="L707" s="465"/>
      <c r="M707" s="465"/>
      <c r="N707" s="465"/>
      <c r="O707" s="587"/>
      <c r="P707" s="585"/>
      <c r="Q707" s="465"/>
      <c r="R707" s="458"/>
      <c r="S707" s="585"/>
      <c r="T707" s="588"/>
      <c r="U707" s="589"/>
      <c r="V707" s="587"/>
      <c r="W707" s="465"/>
      <c r="X707" s="465"/>
      <c r="Y707" s="590"/>
      <c r="Z707" s="458"/>
      <c r="AA707" s="591"/>
      <c r="AB707" s="465"/>
      <c r="AC707" s="465"/>
      <c r="AD707" s="465"/>
      <c r="AE707" s="465"/>
      <c r="AF707" s="465"/>
      <c r="AG707" s="465"/>
      <c r="AH707" s="465"/>
      <c r="AI707" s="592"/>
      <c r="AJ707" s="465"/>
      <c r="AK707" s="465"/>
      <c r="AL707" s="20"/>
      <c r="AM707" s="20"/>
      <c r="AN707" s="593"/>
      <c r="AO707" s="20"/>
      <c r="AP707" s="276"/>
      <c r="AQ707" s="276"/>
      <c r="AR707" s="276"/>
      <c r="AS707" s="276"/>
      <c r="AT707" s="276"/>
      <c r="AU707" s="276"/>
      <c r="AV707" s="276"/>
      <c r="AW707" s="276"/>
      <c r="AX707" s="276"/>
      <c r="AY707" s="276"/>
      <c r="AZ707" s="276"/>
      <c r="BA707" s="276"/>
      <c r="BB707" s="276"/>
      <c r="BC707" s="276"/>
    </row>
    <row r="708" spans="1:55" ht="12.75" customHeight="1">
      <c r="A708" s="465"/>
      <c r="B708" s="465"/>
      <c r="C708" s="147"/>
      <c r="D708" s="147"/>
      <c r="E708" s="585"/>
      <c r="F708" s="586"/>
      <c r="G708" s="458"/>
      <c r="H708" s="458"/>
      <c r="I708" s="458"/>
      <c r="J708" s="465"/>
      <c r="K708" s="587"/>
      <c r="L708" s="465"/>
      <c r="M708" s="465"/>
      <c r="N708" s="465"/>
      <c r="O708" s="587"/>
      <c r="P708" s="585"/>
      <c r="Q708" s="465"/>
      <c r="R708" s="458"/>
      <c r="S708" s="585"/>
      <c r="T708" s="588"/>
      <c r="U708" s="589"/>
      <c r="V708" s="587"/>
      <c r="W708" s="465"/>
      <c r="X708" s="465"/>
      <c r="Y708" s="590"/>
      <c r="Z708" s="458"/>
      <c r="AA708" s="591"/>
      <c r="AB708" s="465"/>
      <c r="AC708" s="465"/>
      <c r="AD708" s="465"/>
      <c r="AE708" s="465"/>
      <c r="AF708" s="465"/>
      <c r="AG708" s="465"/>
      <c r="AH708" s="465"/>
      <c r="AI708" s="592"/>
      <c r="AJ708" s="465"/>
      <c r="AK708" s="465"/>
      <c r="AL708" s="20"/>
      <c r="AM708" s="20"/>
      <c r="AN708" s="593"/>
      <c r="AO708" s="20"/>
      <c r="AP708" s="276"/>
      <c r="AQ708" s="276"/>
      <c r="AR708" s="276"/>
      <c r="AS708" s="276"/>
      <c r="AT708" s="276"/>
      <c r="AU708" s="276"/>
      <c r="AV708" s="276"/>
      <c r="AW708" s="276"/>
      <c r="AX708" s="276"/>
      <c r="AY708" s="276"/>
      <c r="AZ708" s="276"/>
      <c r="BA708" s="276"/>
      <c r="BB708" s="276"/>
      <c r="BC708" s="276"/>
    </row>
    <row r="709" spans="1:55" ht="12.75" customHeight="1">
      <c r="A709" s="465"/>
      <c r="B709" s="465"/>
      <c r="C709" s="147"/>
      <c r="D709" s="147"/>
      <c r="E709" s="585"/>
      <c r="F709" s="586"/>
      <c r="G709" s="458"/>
      <c r="H709" s="458"/>
      <c r="I709" s="458"/>
      <c r="J709" s="465"/>
      <c r="K709" s="587"/>
      <c r="L709" s="465"/>
      <c r="M709" s="465"/>
      <c r="N709" s="465"/>
      <c r="O709" s="587"/>
      <c r="P709" s="585"/>
      <c r="Q709" s="465"/>
      <c r="R709" s="458"/>
      <c r="S709" s="585"/>
      <c r="T709" s="588"/>
      <c r="U709" s="589"/>
      <c r="V709" s="587"/>
      <c r="W709" s="465"/>
      <c r="X709" s="465"/>
      <c r="Y709" s="590"/>
      <c r="Z709" s="458"/>
      <c r="AA709" s="591"/>
      <c r="AB709" s="465"/>
      <c r="AC709" s="465"/>
      <c r="AD709" s="465"/>
      <c r="AE709" s="465"/>
      <c r="AF709" s="465"/>
      <c r="AG709" s="465"/>
      <c r="AH709" s="465"/>
      <c r="AI709" s="592"/>
      <c r="AJ709" s="465"/>
      <c r="AK709" s="465"/>
      <c r="AL709" s="20"/>
      <c r="AM709" s="20"/>
      <c r="AN709" s="593"/>
      <c r="AO709" s="20"/>
      <c r="AP709" s="276"/>
      <c r="AQ709" s="276"/>
      <c r="AR709" s="276"/>
      <c r="AS709" s="276"/>
      <c r="AT709" s="276"/>
      <c r="AU709" s="276"/>
      <c r="AV709" s="276"/>
      <c r="AW709" s="276"/>
      <c r="AX709" s="276"/>
      <c r="AY709" s="276"/>
      <c r="AZ709" s="276"/>
      <c r="BA709" s="276"/>
      <c r="BB709" s="276"/>
      <c r="BC709" s="276"/>
    </row>
    <row r="710" spans="1:55" ht="12.75" customHeight="1">
      <c r="A710" s="465"/>
      <c r="B710" s="465"/>
      <c r="C710" s="147"/>
      <c r="D710" s="147"/>
      <c r="E710" s="585"/>
      <c r="F710" s="586"/>
      <c r="G710" s="458"/>
      <c r="H710" s="458"/>
      <c r="I710" s="458"/>
      <c r="J710" s="465"/>
      <c r="K710" s="587"/>
      <c r="L710" s="465"/>
      <c r="M710" s="465"/>
      <c r="N710" s="465"/>
      <c r="O710" s="587"/>
      <c r="P710" s="585"/>
      <c r="Q710" s="465"/>
      <c r="R710" s="458"/>
      <c r="S710" s="585"/>
      <c r="T710" s="588"/>
      <c r="U710" s="589"/>
      <c r="V710" s="587"/>
      <c r="W710" s="465"/>
      <c r="X710" s="465"/>
      <c r="Y710" s="590"/>
      <c r="Z710" s="458"/>
      <c r="AA710" s="591"/>
      <c r="AB710" s="465"/>
      <c r="AC710" s="465"/>
      <c r="AD710" s="465"/>
      <c r="AE710" s="465"/>
      <c r="AF710" s="465"/>
      <c r="AG710" s="465"/>
      <c r="AH710" s="465"/>
      <c r="AI710" s="592"/>
      <c r="AJ710" s="465"/>
      <c r="AK710" s="465"/>
      <c r="AL710" s="20"/>
      <c r="AM710" s="20"/>
      <c r="AN710" s="593"/>
      <c r="AO710" s="20"/>
      <c r="AP710" s="276"/>
      <c r="AQ710" s="276"/>
      <c r="AR710" s="276"/>
      <c r="AS710" s="276"/>
      <c r="AT710" s="276"/>
      <c r="AU710" s="276"/>
      <c r="AV710" s="276"/>
      <c r="AW710" s="276"/>
      <c r="AX710" s="276"/>
      <c r="AY710" s="276"/>
      <c r="AZ710" s="276"/>
      <c r="BA710" s="276"/>
      <c r="BB710" s="276"/>
      <c r="BC710" s="276"/>
    </row>
    <row r="711" spans="1:55" ht="12.75" customHeight="1">
      <c r="A711" s="465"/>
      <c r="B711" s="465"/>
      <c r="C711" s="147"/>
      <c r="D711" s="147"/>
      <c r="E711" s="585"/>
      <c r="F711" s="586"/>
      <c r="G711" s="458"/>
      <c r="H711" s="458"/>
      <c r="I711" s="458"/>
      <c r="J711" s="465"/>
      <c r="K711" s="587"/>
      <c r="L711" s="465"/>
      <c r="M711" s="465"/>
      <c r="N711" s="465"/>
      <c r="O711" s="587"/>
      <c r="P711" s="585"/>
      <c r="Q711" s="465"/>
      <c r="R711" s="458"/>
      <c r="S711" s="585"/>
      <c r="T711" s="588"/>
      <c r="U711" s="589"/>
      <c r="V711" s="587"/>
      <c r="W711" s="465"/>
      <c r="X711" s="465"/>
      <c r="Y711" s="590"/>
      <c r="Z711" s="458"/>
      <c r="AA711" s="591"/>
      <c r="AB711" s="465"/>
      <c r="AC711" s="465"/>
      <c r="AD711" s="465"/>
      <c r="AE711" s="465"/>
      <c r="AF711" s="465"/>
      <c r="AG711" s="465"/>
      <c r="AH711" s="465"/>
      <c r="AI711" s="592"/>
      <c r="AJ711" s="465"/>
      <c r="AK711" s="465"/>
      <c r="AL711" s="20"/>
      <c r="AM711" s="20"/>
      <c r="AN711" s="593"/>
      <c r="AO711" s="20"/>
      <c r="AP711" s="276"/>
      <c r="AQ711" s="276"/>
      <c r="AR711" s="276"/>
      <c r="AS711" s="276"/>
      <c r="AT711" s="276"/>
      <c r="AU711" s="276"/>
      <c r="AV711" s="276"/>
      <c r="AW711" s="276"/>
      <c r="AX711" s="276"/>
      <c r="AY711" s="276"/>
      <c r="AZ711" s="276"/>
      <c r="BA711" s="276"/>
      <c r="BB711" s="276"/>
      <c r="BC711" s="276"/>
    </row>
    <row r="712" spans="1:55" ht="12.75" customHeight="1">
      <c r="A712" s="465"/>
      <c r="B712" s="465"/>
      <c r="C712" s="147"/>
      <c r="D712" s="147"/>
      <c r="E712" s="585"/>
      <c r="F712" s="586"/>
      <c r="G712" s="458"/>
      <c r="H712" s="458"/>
      <c r="I712" s="458"/>
      <c r="J712" s="465"/>
      <c r="K712" s="587"/>
      <c r="L712" s="465"/>
      <c r="M712" s="465"/>
      <c r="N712" s="465"/>
      <c r="O712" s="587"/>
      <c r="P712" s="585"/>
      <c r="Q712" s="465"/>
      <c r="R712" s="458"/>
      <c r="S712" s="585"/>
      <c r="T712" s="588"/>
      <c r="U712" s="589"/>
      <c r="V712" s="587"/>
      <c r="W712" s="465"/>
      <c r="X712" s="465"/>
      <c r="Y712" s="590"/>
      <c r="Z712" s="458"/>
      <c r="AA712" s="591"/>
      <c r="AB712" s="465"/>
      <c r="AC712" s="465"/>
      <c r="AD712" s="465"/>
      <c r="AE712" s="465"/>
      <c r="AF712" s="465"/>
      <c r="AG712" s="465"/>
      <c r="AH712" s="465"/>
      <c r="AI712" s="592"/>
      <c r="AJ712" s="465"/>
      <c r="AK712" s="465"/>
      <c r="AL712" s="20"/>
      <c r="AM712" s="20"/>
      <c r="AN712" s="593"/>
      <c r="AO712" s="20"/>
      <c r="AP712" s="276"/>
      <c r="AQ712" s="276"/>
      <c r="AR712" s="276"/>
      <c r="AS712" s="276"/>
      <c r="AT712" s="276"/>
      <c r="AU712" s="276"/>
      <c r="AV712" s="276"/>
      <c r="AW712" s="276"/>
      <c r="AX712" s="276"/>
      <c r="AY712" s="276"/>
      <c r="AZ712" s="276"/>
      <c r="BA712" s="276"/>
      <c r="BB712" s="276"/>
      <c r="BC712" s="276"/>
    </row>
    <row r="713" spans="1:55" ht="12.75" customHeight="1">
      <c r="A713" s="465"/>
      <c r="B713" s="465"/>
      <c r="C713" s="147"/>
      <c r="D713" s="147"/>
      <c r="E713" s="585"/>
      <c r="F713" s="586"/>
      <c r="G713" s="458"/>
      <c r="H713" s="458"/>
      <c r="I713" s="458"/>
      <c r="J713" s="465"/>
      <c r="K713" s="587"/>
      <c r="L713" s="465"/>
      <c r="M713" s="465"/>
      <c r="N713" s="465"/>
      <c r="O713" s="587"/>
      <c r="P713" s="585"/>
      <c r="Q713" s="465"/>
      <c r="R713" s="458"/>
      <c r="S713" s="585"/>
      <c r="T713" s="588"/>
      <c r="U713" s="589"/>
      <c r="V713" s="587"/>
      <c r="W713" s="465"/>
      <c r="X713" s="465"/>
      <c r="Y713" s="590"/>
      <c r="Z713" s="458"/>
      <c r="AA713" s="591"/>
      <c r="AB713" s="465"/>
      <c r="AC713" s="465"/>
      <c r="AD713" s="465"/>
      <c r="AE713" s="465"/>
      <c r="AF713" s="465"/>
      <c r="AG713" s="465"/>
      <c r="AH713" s="465"/>
      <c r="AI713" s="592"/>
      <c r="AJ713" s="465"/>
      <c r="AK713" s="465"/>
      <c r="AL713" s="20"/>
      <c r="AM713" s="20"/>
      <c r="AN713" s="593"/>
      <c r="AO713" s="20"/>
      <c r="AP713" s="276"/>
      <c r="AQ713" s="276"/>
      <c r="AR713" s="276"/>
      <c r="AS713" s="276"/>
      <c r="AT713" s="276"/>
      <c r="AU713" s="276"/>
      <c r="AV713" s="276"/>
      <c r="AW713" s="276"/>
      <c r="AX713" s="276"/>
      <c r="AY713" s="276"/>
      <c r="AZ713" s="276"/>
      <c r="BA713" s="276"/>
      <c r="BB713" s="276"/>
      <c r="BC713" s="276"/>
    </row>
    <row r="714" spans="1:55" ht="12.75" customHeight="1">
      <c r="A714" s="465"/>
      <c r="B714" s="465"/>
      <c r="C714" s="147"/>
      <c r="D714" s="147"/>
      <c r="E714" s="585"/>
      <c r="F714" s="586"/>
      <c r="G714" s="458"/>
      <c r="H714" s="458"/>
      <c r="I714" s="458"/>
      <c r="J714" s="465"/>
      <c r="K714" s="587"/>
      <c r="L714" s="465"/>
      <c r="M714" s="465"/>
      <c r="N714" s="465"/>
      <c r="O714" s="587"/>
      <c r="P714" s="585"/>
      <c r="Q714" s="465"/>
      <c r="R714" s="458"/>
      <c r="S714" s="585"/>
      <c r="T714" s="588"/>
      <c r="U714" s="589"/>
      <c r="V714" s="587"/>
      <c r="W714" s="465"/>
      <c r="X714" s="465"/>
      <c r="Y714" s="590"/>
      <c r="Z714" s="458"/>
      <c r="AA714" s="591"/>
      <c r="AB714" s="465"/>
      <c r="AC714" s="465"/>
      <c r="AD714" s="465"/>
      <c r="AE714" s="465"/>
      <c r="AF714" s="465"/>
      <c r="AG714" s="465"/>
      <c r="AH714" s="465"/>
      <c r="AI714" s="592"/>
      <c r="AJ714" s="465"/>
      <c r="AK714" s="465"/>
      <c r="AL714" s="20"/>
      <c r="AM714" s="20"/>
      <c r="AN714" s="593"/>
      <c r="AO714" s="20"/>
      <c r="AP714" s="276"/>
      <c r="AQ714" s="276"/>
      <c r="AR714" s="276"/>
      <c r="AS714" s="276"/>
      <c r="AT714" s="276"/>
      <c r="AU714" s="276"/>
      <c r="AV714" s="276"/>
      <c r="AW714" s="276"/>
      <c r="AX714" s="276"/>
      <c r="AY714" s="276"/>
      <c r="AZ714" s="276"/>
      <c r="BA714" s="276"/>
      <c r="BB714" s="276"/>
      <c r="BC714" s="276"/>
    </row>
    <row r="715" spans="1:55" ht="12.75" customHeight="1">
      <c r="A715" s="465"/>
      <c r="B715" s="465"/>
      <c r="C715" s="147"/>
      <c r="D715" s="147"/>
      <c r="E715" s="585"/>
      <c r="F715" s="586"/>
      <c r="G715" s="458"/>
      <c r="H715" s="458"/>
      <c r="I715" s="458"/>
      <c r="J715" s="465"/>
      <c r="K715" s="587"/>
      <c r="L715" s="465"/>
      <c r="M715" s="465"/>
      <c r="N715" s="465"/>
      <c r="O715" s="587"/>
      <c r="P715" s="585"/>
      <c r="Q715" s="465"/>
      <c r="R715" s="458"/>
      <c r="S715" s="585"/>
      <c r="T715" s="588"/>
      <c r="U715" s="589"/>
      <c r="V715" s="587"/>
      <c r="W715" s="465"/>
      <c r="X715" s="465"/>
      <c r="Y715" s="590"/>
      <c r="Z715" s="458"/>
      <c r="AA715" s="591"/>
      <c r="AB715" s="465"/>
      <c r="AC715" s="465"/>
      <c r="AD715" s="465"/>
      <c r="AE715" s="465"/>
      <c r="AF715" s="465"/>
      <c r="AG715" s="465"/>
      <c r="AH715" s="465"/>
      <c r="AI715" s="592"/>
      <c r="AJ715" s="465"/>
      <c r="AK715" s="465"/>
      <c r="AL715" s="20"/>
      <c r="AM715" s="20"/>
      <c r="AN715" s="593"/>
      <c r="AO715" s="20"/>
      <c r="AP715" s="276"/>
      <c r="AQ715" s="276"/>
      <c r="AR715" s="276"/>
      <c r="AS715" s="276"/>
      <c r="AT715" s="276"/>
      <c r="AU715" s="276"/>
      <c r="AV715" s="276"/>
      <c r="AW715" s="276"/>
      <c r="AX715" s="276"/>
      <c r="AY715" s="276"/>
      <c r="AZ715" s="276"/>
      <c r="BA715" s="276"/>
      <c r="BB715" s="276"/>
      <c r="BC715" s="276"/>
    </row>
    <row r="716" spans="1:55" ht="12.75" customHeight="1">
      <c r="A716" s="465"/>
      <c r="B716" s="465"/>
      <c r="C716" s="147"/>
      <c r="D716" s="147"/>
      <c r="E716" s="585"/>
      <c r="F716" s="586"/>
      <c r="G716" s="458"/>
      <c r="H716" s="458"/>
      <c r="I716" s="458"/>
      <c r="J716" s="465"/>
      <c r="K716" s="587"/>
      <c r="L716" s="465"/>
      <c r="M716" s="465"/>
      <c r="N716" s="465"/>
      <c r="O716" s="587"/>
      <c r="P716" s="585"/>
      <c r="Q716" s="465"/>
      <c r="R716" s="458"/>
      <c r="S716" s="585"/>
      <c r="T716" s="588"/>
      <c r="U716" s="589"/>
      <c r="V716" s="587"/>
      <c r="W716" s="465"/>
      <c r="X716" s="465"/>
      <c r="Y716" s="590"/>
      <c r="Z716" s="458"/>
      <c r="AA716" s="591"/>
      <c r="AB716" s="465"/>
      <c r="AC716" s="465"/>
      <c r="AD716" s="465"/>
      <c r="AE716" s="465"/>
      <c r="AF716" s="465"/>
      <c r="AG716" s="465"/>
      <c r="AH716" s="465"/>
      <c r="AI716" s="592"/>
      <c r="AJ716" s="465"/>
      <c r="AK716" s="465"/>
      <c r="AL716" s="20"/>
      <c r="AM716" s="20"/>
      <c r="AN716" s="593"/>
      <c r="AO716" s="20"/>
      <c r="AP716" s="276"/>
      <c r="AQ716" s="276"/>
      <c r="AR716" s="276"/>
      <c r="AS716" s="276"/>
      <c r="AT716" s="276"/>
      <c r="AU716" s="276"/>
      <c r="AV716" s="276"/>
      <c r="AW716" s="276"/>
      <c r="AX716" s="276"/>
      <c r="AY716" s="276"/>
      <c r="AZ716" s="276"/>
      <c r="BA716" s="276"/>
      <c r="BB716" s="276"/>
      <c r="BC716" s="276"/>
    </row>
    <row r="717" spans="1:55" ht="12.75" customHeight="1">
      <c r="A717" s="465"/>
      <c r="B717" s="465"/>
      <c r="C717" s="147"/>
      <c r="D717" s="147"/>
      <c r="E717" s="585"/>
      <c r="F717" s="586"/>
      <c r="G717" s="458"/>
      <c r="H717" s="458"/>
      <c r="I717" s="458"/>
      <c r="J717" s="465"/>
      <c r="K717" s="587"/>
      <c r="L717" s="465"/>
      <c r="M717" s="465"/>
      <c r="N717" s="465"/>
      <c r="O717" s="587"/>
      <c r="P717" s="585"/>
      <c r="Q717" s="465"/>
      <c r="R717" s="458"/>
      <c r="S717" s="585"/>
      <c r="T717" s="588"/>
      <c r="U717" s="589"/>
      <c r="V717" s="587"/>
      <c r="W717" s="465"/>
      <c r="X717" s="465"/>
      <c r="Y717" s="590"/>
      <c r="Z717" s="458"/>
      <c r="AA717" s="591"/>
      <c r="AB717" s="465"/>
      <c r="AC717" s="465"/>
      <c r="AD717" s="465"/>
      <c r="AE717" s="465"/>
      <c r="AF717" s="465"/>
      <c r="AG717" s="465"/>
      <c r="AH717" s="465"/>
      <c r="AI717" s="592"/>
      <c r="AJ717" s="465"/>
      <c r="AK717" s="465"/>
      <c r="AL717" s="20"/>
      <c r="AM717" s="20"/>
      <c r="AN717" s="593"/>
      <c r="AO717" s="20"/>
      <c r="AP717" s="276"/>
      <c r="AQ717" s="276"/>
      <c r="AR717" s="276"/>
      <c r="AS717" s="276"/>
      <c r="AT717" s="276"/>
      <c r="AU717" s="276"/>
      <c r="AV717" s="276"/>
      <c r="AW717" s="276"/>
      <c r="AX717" s="276"/>
      <c r="AY717" s="276"/>
      <c r="AZ717" s="276"/>
      <c r="BA717" s="276"/>
      <c r="BB717" s="276"/>
      <c r="BC717" s="276"/>
    </row>
    <row r="718" spans="1:55" ht="12.75" customHeight="1">
      <c r="A718" s="465"/>
      <c r="B718" s="465"/>
      <c r="C718" s="147"/>
      <c r="D718" s="147"/>
      <c r="E718" s="585"/>
      <c r="F718" s="586"/>
      <c r="G718" s="458"/>
      <c r="H718" s="458"/>
      <c r="I718" s="458"/>
      <c r="J718" s="465"/>
      <c r="K718" s="587"/>
      <c r="L718" s="465"/>
      <c r="M718" s="465"/>
      <c r="N718" s="465"/>
      <c r="O718" s="587"/>
      <c r="P718" s="585"/>
      <c r="Q718" s="465"/>
      <c r="R718" s="458"/>
      <c r="S718" s="585"/>
      <c r="T718" s="588"/>
      <c r="U718" s="589"/>
      <c r="V718" s="587"/>
      <c r="W718" s="465"/>
      <c r="X718" s="465"/>
      <c r="Y718" s="590"/>
      <c r="Z718" s="458"/>
      <c r="AA718" s="591"/>
      <c r="AB718" s="465"/>
      <c r="AC718" s="465"/>
      <c r="AD718" s="465"/>
      <c r="AE718" s="465"/>
      <c r="AF718" s="465"/>
      <c r="AG718" s="465"/>
      <c r="AH718" s="465"/>
      <c r="AI718" s="592"/>
      <c r="AJ718" s="465"/>
      <c r="AK718" s="465"/>
      <c r="AL718" s="20"/>
      <c r="AM718" s="20"/>
      <c r="AN718" s="593"/>
      <c r="AO718" s="20"/>
      <c r="AP718" s="276"/>
      <c r="AQ718" s="276"/>
      <c r="AR718" s="276"/>
      <c r="AS718" s="276"/>
      <c r="AT718" s="276"/>
      <c r="AU718" s="276"/>
      <c r="AV718" s="276"/>
      <c r="AW718" s="276"/>
      <c r="AX718" s="276"/>
      <c r="AY718" s="276"/>
      <c r="AZ718" s="276"/>
      <c r="BA718" s="276"/>
      <c r="BB718" s="276"/>
      <c r="BC718" s="276"/>
    </row>
    <row r="719" spans="1:55" ht="12.75" customHeight="1">
      <c r="A719" s="465"/>
      <c r="B719" s="465"/>
      <c r="C719" s="147"/>
      <c r="D719" s="147"/>
      <c r="E719" s="585"/>
      <c r="F719" s="586"/>
      <c r="G719" s="458"/>
      <c r="H719" s="458"/>
      <c r="I719" s="458"/>
      <c r="J719" s="465"/>
      <c r="K719" s="587"/>
      <c r="L719" s="465"/>
      <c r="M719" s="465"/>
      <c r="N719" s="465"/>
      <c r="O719" s="587"/>
      <c r="P719" s="585"/>
      <c r="Q719" s="465"/>
      <c r="R719" s="458"/>
      <c r="S719" s="585"/>
      <c r="T719" s="588"/>
      <c r="U719" s="589"/>
      <c r="V719" s="587"/>
      <c r="W719" s="465"/>
      <c r="X719" s="465"/>
      <c r="Y719" s="590"/>
      <c r="Z719" s="458"/>
      <c r="AA719" s="591"/>
      <c r="AB719" s="465"/>
      <c r="AC719" s="465"/>
      <c r="AD719" s="465"/>
      <c r="AE719" s="465"/>
      <c r="AF719" s="465"/>
      <c r="AG719" s="465"/>
      <c r="AH719" s="465"/>
      <c r="AI719" s="592"/>
      <c r="AJ719" s="465"/>
      <c r="AK719" s="465"/>
      <c r="AL719" s="20"/>
      <c r="AM719" s="20"/>
      <c r="AN719" s="593"/>
      <c r="AO719" s="20"/>
      <c r="AP719" s="276"/>
      <c r="AQ719" s="276"/>
      <c r="AR719" s="276"/>
      <c r="AS719" s="276"/>
      <c r="AT719" s="276"/>
      <c r="AU719" s="276"/>
      <c r="AV719" s="276"/>
      <c r="AW719" s="276"/>
      <c r="AX719" s="276"/>
      <c r="AY719" s="276"/>
      <c r="AZ719" s="276"/>
      <c r="BA719" s="276"/>
      <c r="BB719" s="276"/>
      <c r="BC719" s="276"/>
    </row>
    <row r="720" spans="1:55" ht="12.75" customHeight="1">
      <c r="A720" s="465"/>
      <c r="B720" s="465"/>
      <c r="C720" s="147"/>
      <c r="D720" s="147"/>
      <c r="E720" s="585"/>
      <c r="F720" s="586"/>
      <c r="G720" s="458"/>
      <c r="H720" s="458"/>
      <c r="I720" s="458"/>
      <c r="J720" s="465"/>
      <c r="K720" s="587"/>
      <c r="L720" s="465"/>
      <c r="M720" s="465"/>
      <c r="N720" s="465"/>
      <c r="O720" s="587"/>
      <c r="P720" s="585"/>
      <c r="Q720" s="465"/>
      <c r="R720" s="458"/>
      <c r="S720" s="585"/>
      <c r="T720" s="588"/>
      <c r="U720" s="589"/>
      <c r="V720" s="587"/>
      <c r="W720" s="465"/>
      <c r="X720" s="465"/>
      <c r="Y720" s="590"/>
      <c r="Z720" s="458"/>
      <c r="AA720" s="591"/>
      <c r="AB720" s="465"/>
      <c r="AC720" s="465"/>
      <c r="AD720" s="465"/>
      <c r="AE720" s="465"/>
      <c r="AF720" s="465"/>
      <c r="AG720" s="465"/>
      <c r="AH720" s="465"/>
      <c r="AI720" s="592"/>
      <c r="AJ720" s="465"/>
      <c r="AK720" s="465"/>
      <c r="AL720" s="20"/>
      <c r="AM720" s="20"/>
      <c r="AN720" s="593"/>
      <c r="AO720" s="20"/>
      <c r="AP720" s="276"/>
      <c r="AQ720" s="276"/>
      <c r="AR720" s="276"/>
      <c r="AS720" s="276"/>
      <c r="AT720" s="276"/>
      <c r="AU720" s="276"/>
      <c r="AV720" s="276"/>
      <c r="AW720" s="276"/>
      <c r="AX720" s="276"/>
      <c r="AY720" s="276"/>
      <c r="AZ720" s="276"/>
      <c r="BA720" s="276"/>
      <c r="BB720" s="276"/>
      <c r="BC720" s="276"/>
    </row>
    <row r="721" spans="1:55" ht="12.75" customHeight="1">
      <c r="A721" s="465"/>
      <c r="B721" s="465"/>
      <c r="C721" s="147"/>
      <c r="D721" s="147"/>
      <c r="E721" s="585"/>
      <c r="F721" s="586"/>
      <c r="G721" s="458"/>
      <c r="H721" s="458"/>
      <c r="I721" s="458"/>
      <c r="J721" s="465"/>
      <c r="K721" s="587"/>
      <c r="L721" s="465"/>
      <c r="M721" s="465"/>
      <c r="N721" s="465"/>
      <c r="O721" s="587"/>
      <c r="P721" s="585"/>
      <c r="Q721" s="465"/>
      <c r="R721" s="458"/>
      <c r="S721" s="585"/>
      <c r="T721" s="588"/>
      <c r="U721" s="589"/>
      <c r="V721" s="587"/>
      <c r="W721" s="465"/>
      <c r="X721" s="465"/>
      <c r="Y721" s="590"/>
      <c r="Z721" s="458"/>
      <c r="AA721" s="591"/>
      <c r="AB721" s="465"/>
      <c r="AC721" s="465"/>
      <c r="AD721" s="465"/>
      <c r="AE721" s="465"/>
      <c r="AF721" s="465"/>
      <c r="AG721" s="465"/>
      <c r="AH721" s="465"/>
      <c r="AI721" s="592"/>
      <c r="AJ721" s="465"/>
      <c r="AK721" s="465"/>
      <c r="AL721" s="20"/>
      <c r="AM721" s="20"/>
      <c r="AN721" s="593"/>
      <c r="AO721" s="20"/>
      <c r="AP721" s="276"/>
      <c r="AQ721" s="276"/>
      <c r="AR721" s="276"/>
      <c r="AS721" s="276"/>
      <c r="AT721" s="276"/>
      <c r="AU721" s="276"/>
      <c r="AV721" s="276"/>
      <c r="AW721" s="276"/>
      <c r="AX721" s="276"/>
      <c r="AY721" s="276"/>
      <c r="AZ721" s="276"/>
      <c r="BA721" s="276"/>
      <c r="BB721" s="276"/>
      <c r="BC721" s="276"/>
    </row>
    <row r="722" spans="1:55" ht="12.75" customHeight="1">
      <c r="A722" s="465"/>
      <c r="B722" s="465"/>
      <c r="C722" s="147"/>
      <c r="D722" s="147"/>
      <c r="E722" s="585"/>
      <c r="F722" s="586"/>
      <c r="G722" s="458"/>
      <c r="H722" s="458"/>
      <c r="I722" s="458"/>
      <c r="J722" s="465"/>
      <c r="K722" s="587"/>
      <c r="L722" s="465"/>
      <c r="M722" s="465"/>
      <c r="N722" s="465"/>
      <c r="O722" s="587"/>
      <c r="P722" s="585"/>
      <c r="Q722" s="465"/>
      <c r="R722" s="458"/>
      <c r="S722" s="585"/>
      <c r="T722" s="588"/>
      <c r="U722" s="589"/>
      <c r="V722" s="587"/>
      <c r="W722" s="465"/>
      <c r="X722" s="465"/>
      <c r="Y722" s="590"/>
      <c r="Z722" s="458"/>
      <c r="AA722" s="591"/>
      <c r="AB722" s="465"/>
      <c r="AC722" s="465"/>
      <c r="AD722" s="465"/>
      <c r="AE722" s="465"/>
      <c r="AF722" s="465"/>
      <c r="AG722" s="465"/>
      <c r="AH722" s="465"/>
      <c r="AI722" s="592"/>
      <c r="AJ722" s="465"/>
      <c r="AK722" s="465"/>
      <c r="AL722" s="20"/>
      <c r="AM722" s="20"/>
      <c r="AN722" s="593"/>
      <c r="AO722" s="20"/>
      <c r="AP722" s="276"/>
      <c r="AQ722" s="276"/>
      <c r="AR722" s="276"/>
      <c r="AS722" s="276"/>
      <c r="AT722" s="276"/>
      <c r="AU722" s="276"/>
      <c r="AV722" s="276"/>
      <c r="AW722" s="276"/>
      <c r="AX722" s="276"/>
      <c r="AY722" s="276"/>
      <c r="AZ722" s="276"/>
      <c r="BA722" s="276"/>
      <c r="BB722" s="276"/>
      <c r="BC722" s="276"/>
    </row>
    <row r="723" spans="1:55" ht="12.75" customHeight="1">
      <c r="A723" s="465"/>
      <c r="B723" s="465"/>
      <c r="C723" s="147"/>
      <c r="D723" s="147"/>
      <c r="E723" s="585"/>
      <c r="F723" s="586"/>
      <c r="G723" s="458"/>
      <c r="H723" s="458"/>
      <c r="I723" s="458"/>
      <c r="J723" s="465"/>
      <c r="K723" s="587"/>
      <c r="L723" s="465"/>
      <c r="M723" s="465"/>
      <c r="N723" s="465"/>
      <c r="O723" s="587"/>
      <c r="P723" s="585"/>
      <c r="Q723" s="465"/>
      <c r="R723" s="458"/>
      <c r="S723" s="585"/>
      <c r="T723" s="588"/>
      <c r="U723" s="589"/>
      <c r="V723" s="587"/>
      <c r="W723" s="465"/>
      <c r="X723" s="465"/>
      <c r="Y723" s="590"/>
      <c r="Z723" s="458"/>
      <c r="AA723" s="591"/>
      <c r="AB723" s="465"/>
      <c r="AC723" s="465"/>
      <c r="AD723" s="465"/>
      <c r="AE723" s="465"/>
      <c r="AF723" s="465"/>
      <c r="AG723" s="465"/>
      <c r="AH723" s="465"/>
      <c r="AI723" s="592"/>
      <c r="AJ723" s="465"/>
      <c r="AK723" s="465"/>
      <c r="AL723" s="20"/>
      <c r="AM723" s="20"/>
      <c r="AN723" s="593"/>
      <c r="AO723" s="20"/>
      <c r="AP723" s="276"/>
      <c r="AQ723" s="276"/>
      <c r="AR723" s="276"/>
      <c r="AS723" s="276"/>
      <c r="AT723" s="276"/>
      <c r="AU723" s="276"/>
      <c r="AV723" s="276"/>
      <c r="AW723" s="276"/>
      <c r="AX723" s="276"/>
      <c r="AY723" s="276"/>
      <c r="AZ723" s="276"/>
      <c r="BA723" s="276"/>
      <c r="BB723" s="276"/>
      <c r="BC723" s="276"/>
    </row>
    <row r="724" spans="1:55" ht="12.75" customHeight="1">
      <c r="A724" s="465"/>
      <c r="B724" s="465"/>
      <c r="C724" s="147"/>
      <c r="D724" s="147"/>
      <c r="E724" s="585"/>
      <c r="F724" s="586"/>
      <c r="G724" s="458"/>
      <c r="H724" s="458"/>
      <c r="I724" s="458"/>
      <c r="J724" s="465"/>
      <c r="K724" s="587"/>
      <c r="L724" s="465"/>
      <c r="M724" s="465"/>
      <c r="N724" s="465"/>
      <c r="O724" s="587"/>
      <c r="P724" s="585"/>
      <c r="Q724" s="465"/>
      <c r="R724" s="458"/>
      <c r="S724" s="585"/>
      <c r="T724" s="588"/>
      <c r="U724" s="589"/>
      <c r="V724" s="587"/>
      <c r="W724" s="465"/>
      <c r="X724" s="465"/>
      <c r="Y724" s="590"/>
      <c r="Z724" s="458"/>
      <c r="AA724" s="591"/>
      <c r="AB724" s="465"/>
      <c r="AC724" s="465"/>
      <c r="AD724" s="465"/>
      <c r="AE724" s="465"/>
      <c r="AF724" s="465"/>
      <c r="AG724" s="465"/>
      <c r="AH724" s="465"/>
      <c r="AI724" s="592"/>
      <c r="AJ724" s="465"/>
      <c r="AK724" s="465"/>
      <c r="AL724" s="20"/>
      <c r="AM724" s="20"/>
      <c r="AN724" s="593"/>
      <c r="AO724" s="20"/>
      <c r="AP724" s="276"/>
      <c r="AQ724" s="276"/>
      <c r="AR724" s="276"/>
      <c r="AS724" s="276"/>
      <c r="AT724" s="276"/>
      <c r="AU724" s="276"/>
      <c r="AV724" s="276"/>
      <c r="AW724" s="276"/>
      <c r="AX724" s="276"/>
      <c r="AY724" s="276"/>
      <c r="AZ724" s="276"/>
      <c r="BA724" s="276"/>
      <c r="BB724" s="276"/>
      <c r="BC724" s="276"/>
    </row>
    <row r="725" spans="1:55" ht="12.75" customHeight="1">
      <c r="A725" s="465"/>
      <c r="B725" s="465"/>
      <c r="C725" s="147"/>
      <c r="D725" s="147"/>
      <c r="E725" s="585"/>
      <c r="F725" s="586"/>
      <c r="G725" s="458"/>
      <c r="H725" s="458"/>
      <c r="I725" s="458"/>
      <c r="J725" s="465"/>
      <c r="K725" s="587"/>
      <c r="L725" s="465"/>
      <c r="M725" s="465"/>
      <c r="N725" s="465"/>
      <c r="O725" s="587"/>
      <c r="P725" s="585"/>
      <c r="Q725" s="465"/>
      <c r="R725" s="458"/>
      <c r="S725" s="585"/>
      <c r="T725" s="588"/>
      <c r="U725" s="589"/>
      <c r="V725" s="587"/>
      <c r="W725" s="465"/>
      <c r="X725" s="465"/>
      <c r="Y725" s="590"/>
      <c r="Z725" s="458"/>
      <c r="AA725" s="591"/>
      <c r="AB725" s="465"/>
      <c r="AC725" s="465"/>
      <c r="AD725" s="465"/>
      <c r="AE725" s="465"/>
      <c r="AF725" s="465"/>
      <c r="AG725" s="465"/>
      <c r="AH725" s="465"/>
      <c r="AI725" s="592"/>
      <c r="AJ725" s="465"/>
      <c r="AK725" s="465"/>
      <c r="AL725" s="20"/>
      <c r="AM725" s="20"/>
      <c r="AN725" s="593"/>
      <c r="AO725" s="20"/>
      <c r="AP725" s="276"/>
      <c r="AQ725" s="276"/>
      <c r="AR725" s="276"/>
      <c r="AS725" s="276"/>
      <c r="AT725" s="276"/>
      <c r="AU725" s="276"/>
      <c r="AV725" s="276"/>
      <c r="AW725" s="276"/>
      <c r="AX725" s="276"/>
      <c r="AY725" s="276"/>
      <c r="AZ725" s="276"/>
      <c r="BA725" s="276"/>
      <c r="BB725" s="276"/>
      <c r="BC725" s="276"/>
    </row>
    <row r="726" spans="1:55" ht="12.75" customHeight="1">
      <c r="A726" s="465"/>
      <c r="B726" s="465"/>
      <c r="C726" s="147"/>
      <c r="D726" s="147"/>
      <c r="E726" s="585"/>
      <c r="F726" s="586"/>
      <c r="G726" s="458"/>
      <c r="H726" s="458"/>
      <c r="I726" s="458"/>
      <c r="J726" s="465"/>
      <c r="K726" s="587"/>
      <c r="L726" s="465"/>
      <c r="M726" s="465"/>
      <c r="N726" s="465"/>
      <c r="O726" s="587"/>
      <c r="P726" s="585"/>
      <c r="Q726" s="465"/>
      <c r="R726" s="458"/>
      <c r="S726" s="585"/>
      <c r="T726" s="588"/>
      <c r="U726" s="589"/>
      <c r="V726" s="587"/>
      <c r="W726" s="465"/>
      <c r="X726" s="465"/>
      <c r="Y726" s="590"/>
      <c r="Z726" s="458"/>
      <c r="AA726" s="591"/>
      <c r="AB726" s="465"/>
      <c r="AC726" s="465"/>
      <c r="AD726" s="465"/>
      <c r="AE726" s="465"/>
      <c r="AF726" s="465"/>
      <c r="AG726" s="465"/>
      <c r="AH726" s="465"/>
      <c r="AI726" s="592"/>
      <c r="AJ726" s="465"/>
      <c r="AK726" s="465"/>
      <c r="AL726" s="20"/>
      <c r="AM726" s="20"/>
      <c r="AN726" s="593"/>
      <c r="AO726" s="20"/>
      <c r="AP726" s="276"/>
      <c r="AQ726" s="276"/>
      <c r="AR726" s="276"/>
      <c r="AS726" s="276"/>
      <c r="AT726" s="276"/>
      <c r="AU726" s="276"/>
      <c r="AV726" s="276"/>
      <c r="AW726" s="276"/>
      <c r="AX726" s="276"/>
      <c r="AY726" s="276"/>
      <c r="AZ726" s="276"/>
      <c r="BA726" s="276"/>
      <c r="BB726" s="276"/>
      <c r="BC726" s="276"/>
    </row>
    <row r="727" spans="1:55" ht="12.75" customHeight="1">
      <c r="A727" s="465"/>
      <c r="B727" s="465"/>
      <c r="C727" s="147"/>
      <c r="D727" s="147"/>
      <c r="E727" s="585"/>
      <c r="F727" s="586"/>
      <c r="G727" s="458"/>
      <c r="H727" s="458"/>
      <c r="I727" s="458"/>
      <c r="J727" s="465"/>
      <c r="K727" s="587"/>
      <c r="L727" s="465"/>
      <c r="M727" s="465"/>
      <c r="N727" s="465"/>
      <c r="O727" s="587"/>
      <c r="P727" s="585"/>
      <c r="Q727" s="465"/>
      <c r="R727" s="458"/>
      <c r="S727" s="585"/>
      <c r="T727" s="588"/>
      <c r="U727" s="589"/>
      <c r="V727" s="587"/>
      <c r="W727" s="465"/>
      <c r="X727" s="465"/>
      <c r="Y727" s="590"/>
      <c r="Z727" s="458"/>
      <c r="AA727" s="591"/>
      <c r="AB727" s="465"/>
      <c r="AC727" s="465"/>
      <c r="AD727" s="465"/>
      <c r="AE727" s="465"/>
      <c r="AF727" s="465"/>
      <c r="AG727" s="465"/>
      <c r="AH727" s="465"/>
      <c r="AI727" s="592"/>
      <c r="AJ727" s="465"/>
      <c r="AK727" s="465"/>
      <c r="AL727" s="20"/>
      <c r="AM727" s="20"/>
      <c r="AN727" s="593"/>
      <c r="AO727" s="20"/>
      <c r="AP727" s="276"/>
      <c r="AQ727" s="276"/>
      <c r="AR727" s="276"/>
      <c r="AS727" s="276"/>
      <c r="AT727" s="276"/>
      <c r="AU727" s="276"/>
      <c r="AV727" s="276"/>
      <c r="AW727" s="276"/>
      <c r="AX727" s="276"/>
      <c r="AY727" s="276"/>
      <c r="AZ727" s="276"/>
      <c r="BA727" s="276"/>
      <c r="BB727" s="276"/>
      <c r="BC727" s="276"/>
    </row>
    <row r="728" spans="1:55" ht="12.75" customHeight="1">
      <c r="A728" s="465"/>
      <c r="B728" s="465"/>
      <c r="C728" s="147"/>
      <c r="D728" s="147"/>
      <c r="E728" s="585"/>
      <c r="F728" s="586"/>
      <c r="G728" s="458"/>
      <c r="H728" s="458"/>
      <c r="I728" s="458"/>
      <c r="J728" s="465"/>
      <c r="K728" s="587"/>
      <c r="L728" s="465"/>
      <c r="M728" s="465"/>
      <c r="N728" s="465"/>
      <c r="O728" s="587"/>
      <c r="P728" s="585"/>
      <c r="Q728" s="465"/>
      <c r="R728" s="458"/>
      <c r="S728" s="585"/>
      <c r="T728" s="588"/>
      <c r="U728" s="589"/>
      <c r="V728" s="587"/>
      <c r="W728" s="465"/>
      <c r="X728" s="465"/>
      <c r="Y728" s="590"/>
      <c r="Z728" s="458"/>
      <c r="AA728" s="591"/>
      <c r="AB728" s="465"/>
      <c r="AC728" s="465"/>
      <c r="AD728" s="465"/>
      <c r="AE728" s="465"/>
      <c r="AF728" s="465"/>
      <c r="AG728" s="465"/>
      <c r="AH728" s="465"/>
      <c r="AI728" s="592"/>
      <c r="AJ728" s="465"/>
      <c r="AK728" s="465"/>
      <c r="AL728" s="20"/>
      <c r="AM728" s="20"/>
      <c r="AN728" s="593"/>
      <c r="AO728" s="20"/>
      <c r="AP728" s="276"/>
      <c r="AQ728" s="276"/>
      <c r="AR728" s="276"/>
      <c r="AS728" s="276"/>
      <c r="AT728" s="276"/>
      <c r="AU728" s="276"/>
      <c r="AV728" s="276"/>
      <c r="AW728" s="276"/>
      <c r="AX728" s="276"/>
      <c r="AY728" s="276"/>
      <c r="AZ728" s="276"/>
      <c r="BA728" s="276"/>
      <c r="BB728" s="276"/>
      <c r="BC728" s="276"/>
    </row>
    <row r="729" spans="1:55" ht="12.75" customHeight="1">
      <c r="A729" s="465"/>
      <c r="B729" s="465"/>
      <c r="C729" s="147"/>
      <c r="D729" s="147"/>
      <c r="E729" s="585"/>
      <c r="F729" s="586"/>
      <c r="G729" s="458"/>
      <c r="H729" s="458"/>
      <c r="I729" s="458"/>
      <c r="J729" s="465"/>
      <c r="K729" s="587"/>
      <c r="L729" s="465"/>
      <c r="M729" s="465"/>
      <c r="N729" s="465"/>
      <c r="O729" s="587"/>
      <c r="P729" s="585"/>
      <c r="Q729" s="465"/>
      <c r="R729" s="458"/>
      <c r="S729" s="585"/>
      <c r="T729" s="588"/>
      <c r="U729" s="589"/>
      <c r="V729" s="587"/>
      <c r="W729" s="465"/>
      <c r="X729" s="465"/>
      <c r="Y729" s="590"/>
      <c r="Z729" s="458"/>
      <c r="AA729" s="591"/>
      <c r="AB729" s="465"/>
      <c r="AC729" s="465"/>
      <c r="AD729" s="465"/>
      <c r="AE729" s="465"/>
      <c r="AF729" s="465"/>
      <c r="AG729" s="465"/>
      <c r="AH729" s="465"/>
      <c r="AI729" s="592"/>
      <c r="AJ729" s="465"/>
      <c r="AK729" s="465"/>
      <c r="AL729" s="20"/>
      <c r="AM729" s="20"/>
      <c r="AN729" s="593"/>
      <c r="AO729" s="20"/>
      <c r="AP729" s="276"/>
      <c r="AQ729" s="276"/>
      <c r="AR729" s="276"/>
      <c r="AS729" s="276"/>
      <c r="AT729" s="276"/>
      <c r="AU729" s="276"/>
      <c r="AV729" s="276"/>
      <c r="AW729" s="276"/>
      <c r="AX729" s="276"/>
      <c r="AY729" s="276"/>
      <c r="AZ729" s="276"/>
      <c r="BA729" s="276"/>
      <c r="BB729" s="276"/>
      <c r="BC729" s="276"/>
    </row>
    <row r="730" spans="1:55" ht="12.75" customHeight="1">
      <c r="A730" s="465"/>
      <c r="B730" s="465"/>
      <c r="C730" s="147"/>
      <c r="D730" s="147"/>
      <c r="E730" s="585"/>
      <c r="F730" s="586"/>
      <c r="G730" s="458"/>
      <c r="H730" s="458"/>
      <c r="I730" s="458"/>
      <c r="J730" s="465"/>
      <c r="K730" s="587"/>
      <c r="L730" s="465"/>
      <c r="M730" s="465"/>
      <c r="N730" s="465"/>
      <c r="O730" s="587"/>
      <c r="P730" s="585"/>
      <c r="Q730" s="465"/>
      <c r="R730" s="458"/>
      <c r="S730" s="585"/>
      <c r="T730" s="588"/>
      <c r="U730" s="589"/>
      <c r="V730" s="587"/>
      <c r="W730" s="465"/>
      <c r="X730" s="465"/>
      <c r="Y730" s="590"/>
      <c r="Z730" s="458"/>
      <c r="AA730" s="591"/>
      <c r="AB730" s="465"/>
      <c r="AC730" s="465"/>
      <c r="AD730" s="465"/>
      <c r="AE730" s="465"/>
      <c r="AF730" s="465"/>
      <c r="AG730" s="465"/>
      <c r="AH730" s="465"/>
      <c r="AI730" s="592"/>
      <c r="AJ730" s="465"/>
      <c r="AK730" s="465"/>
      <c r="AL730" s="20"/>
      <c r="AM730" s="20"/>
      <c r="AN730" s="593"/>
      <c r="AO730" s="20"/>
      <c r="AP730" s="276"/>
      <c r="AQ730" s="276"/>
      <c r="AR730" s="276"/>
      <c r="AS730" s="276"/>
      <c r="AT730" s="276"/>
      <c r="AU730" s="276"/>
      <c r="AV730" s="276"/>
      <c r="AW730" s="276"/>
      <c r="AX730" s="276"/>
      <c r="AY730" s="276"/>
      <c r="AZ730" s="276"/>
      <c r="BA730" s="276"/>
      <c r="BB730" s="276"/>
      <c r="BC730" s="276"/>
    </row>
    <row r="731" spans="1:55" ht="12.75" customHeight="1">
      <c r="A731" s="465"/>
      <c r="B731" s="465"/>
      <c r="C731" s="147"/>
      <c r="D731" s="147"/>
      <c r="E731" s="585"/>
      <c r="F731" s="586"/>
      <c r="G731" s="458"/>
      <c r="H731" s="458"/>
      <c r="I731" s="458"/>
      <c r="J731" s="465"/>
      <c r="K731" s="587"/>
      <c r="L731" s="465"/>
      <c r="M731" s="465"/>
      <c r="N731" s="465"/>
      <c r="O731" s="587"/>
      <c r="P731" s="585"/>
      <c r="Q731" s="465"/>
      <c r="R731" s="458"/>
      <c r="S731" s="585"/>
      <c r="T731" s="588"/>
      <c r="U731" s="589"/>
      <c r="V731" s="587"/>
      <c r="W731" s="465"/>
      <c r="X731" s="465"/>
      <c r="Y731" s="590"/>
      <c r="Z731" s="458"/>
      <c r="AA731" s="591"/>
      <c r="AB731" s="465"/>
      <c r="AC731" s="465"/>
      <c r="AD731" s="465"/>
      <c r="AE731" s="465"/>
      <c r="AF731" s="465"/>
      <c r="AG731" s="465"/>
      <c r="AH731" s="465"/>
      <c r="AI731" s="592"/>
      <c r="AJ731" s="465"/>
      <c r="AK731" s="465"/>
      <c r="AL731" s="20"/>
      <c r="AM731" s="20"/>
      <c r="AN731" s="593"/>
      <c r="AO731" s="20"/>
      <c r="AP731" s="276"/>
      <c r="AQ731" s="276"/>
      <c r="AR731" s="276"/>
      <c r="AS731" s="276"/>
      <c r="AT731" s="276"/>
      <c r="AU731" s="276"/>
      <c r="AV731" s="276"/>
      <c r="AW731" s="276"/>
      <c r="AX731" s="276"/>
      <c r="AY731" s="276"/>
      <c r="AZ731" s="276"/>
      <c r="BA731" s="276"/>
      <c r="BB731" s="276"/>
      <c r="BC731" s="276"/>
    </row>
    <row r="732" spans="1:55" ht="12.75" customHeight="1">
      <c r="A732" s="465"/>
      <c r="B732" s="465"/>
      <c r="C732" s="147"/>
      <c r="D732" s="147"/>
      <c r="E732" s="585"/>
      <c r="F732" s="586"/>
      <c r="G732" s="458"/>
      <c r="H732" s="458"/>
      <c r="I732" s="458"/>
      <c r="J732" s="465"/>
      <c r="K732" s="587"/>
      <c r="L732" s="465"/>
      <c r="M732" s="465"/>
      <c r="N732" s="465"/>
      <c r="O732" s="587"/>
      <c r="P732" s="585"/>
      <c r="Q732" s="465"/>
      <c r="R732" s="458"/>
      <c r="S732" s="585"/>
      <c r="T732" s="588"/>
      <c r="U732" s="589"/>
      <c r="V732" s="587"/>
      <c r="W732" s="465"/>
      <c r="X732" s="465"/>
      <c r="Y732" s="590"/>
      <c r="Z732" s="458"/>
      <c r="AA732" s="591"/>
      <c r="AB732" s="465"/>
      <c r="AC732" s="465"/>
      <c r="AD732" s="465"/>
      <c r="AE732" s="465"/>
      <c r="AF732" s="465"/>
      <c r="AG732" s="465"/>
      <c r="AH732" s="465"/>
      <c r="AI732" s="592"/>
      <c r="AJ732" s="465"/>
      <c r="AK732" s="465"/>
      <c r="AL732" s="20"/>
      <c r="AM732" s="20"/>
      <c r="AN732" s="593"/>
      <c r="AO732" s="20"/>
      <c r="AP732" s="276"/>
      <c r="AQ732" s="276"/>
      <c r="AR732" s="276"/>
      <c r="AS732" s="276"/>
      <c r="AT732" s="276"/>
      <c r="AU732" s="276"/>
      <c r="AV732" s="276"/>
      <c r="AW732" s="276"/>
      <c r="AX732" s="276"/>
      <c r="AY732" s="276"/>
      <c r="AZ732" s="276"/>
      <c r="BA732" s="276"/>
      <c r="BB732" s="276"/>
      <c r="BC732" s="276"/>
    </row>
    <row r="733" spans="1:55" ht="12.75" customHeight="1">
      <c r="A733" s="465"/>
      <c r="B733" s="465"/>
      <c r="C733" s="147"/>
      <c r="D733" s="147"/>
      <c r="E733" s="585"/>
      <c r="F733" s="586"/>
      <c r="G733" s="458"/>
      <c r="H733" s="458"/>
      <c r="I733" s="458"/>
      <c r="J733" s="465"/>
      <c r="K733" s="587"/>
      <c r="L733" s="465"/>
      <c r="M733" s="465"/>
      <c r="N733" s="465"/>
      <c r="O733" s="587"/>
      <c r="P733" s="585"/>
      <c r="Q733" s="465"/>
      <c r="R733" s="458"/>
      <c r="S733" s="585"/>
      <c r="T733" s="588"/>
      <c r="U733" s="589"/>
      <c r="V733" s="587"/>
      <c r="W733" s="465"/>
      <c r="X733" s="465"/>
      <c r="Y733" s="590"/>
      <c r="Z733" s="458"/>
      <c r="AA733" s="591"/>
      <c r="AB733" s="465"/>
      <c r="AC733" s="465"/>
      <c r="AD733" s="465"/>
      <c r="AE733" s="465"/>
      <c r="AF733" s="465"/>
      <c r="AG733" s="465"/>
      <c r="AH733" s="465"/>
      <c r="AI733" s="592"/>
      <c r="AJ733" s="465"/>
      <c r="AK733" s="465"/>
      <c r="AL733" s="20"/>
      <c r="AM733" s="20"/>
      <c r="AN733" s="593"/>
      <c r="AO733" s="20"/>
      <c r="AP733" s="276"/>
      <c r="AQ733" s="276"/>
      <c r="AR733" s="276"/>
      <c r="AS733" s="276"/>
      <c r="AT733" s="276"/>
      <c r="AU733" s="276"/>
      <c r="AV733" s="276"/>
      <c r="AW733" s="276"/>
      <c r="AX733" s="276"/>
      <c r="AY733" s="276"/>
      <c r="AZ733" s="276"/>
      <c r="BA733" s="276"/>
      <c r="BB733" s="276"/>
      <c r="BC733" s="276"/>
    </row>
    <row r="734" spans="1:55" ht="12.75" customHeight="1">
      <c r="A734" s="465"/>
      <c r="B734" s="465"/>
      <c r="C734" s="147"/>
      <c r="D734" s="147"/>
      <c r="E734" s="585"/>
      <c r="F734" s="586"/>
      <c r="G734" s="458"/>
      <c r="H734" s="458"/>
      <c r="I734" s="458"/>
      <c r="J734" s="465"/>
      <c r="K734" s="587"/>
      <c r="L734" s="465"/>
      <c r="M734" s="465"/>
      <c r="N734" s="465"/>
      <c r="O734" s="587"/>
      <c r="P734" s="585"/>
      <c r="Q734" s="465"/>
      <c r="R734" s="458"/>
      <c r="S734" s="585"/>
      <c r="T734" s="588"/>
      <c r="U734" s="589"/>
      <c r="V734" s="587"/>
      <c r="W734" s="465"/>
      <c r="X734" s="465"/>
      <c r="Y734" s="590"/>
      <c r="Z734" s="458"/>
      <c r="AA734" s="591"/>
      <c r="AB734" s="465"/>
      <c r="AC734" s="465"/>
      <c r="AD734" s="465"/>
      <c r="AE734" s="465"/>
      <c r="AF734" s="465"/>
      <c r="AG734" s="465"/>
      <c r="AH734" s="465"/>
      <c r="AI734" s="592"/>
      <c r="AJ734" s="465"/>
      <c r="AK734" s="465"/>
      <c r="AL734" s="20"/>
      <c r="AM734" s="20"/>
      <c r="AN734" s="593"/>
      <c r="AO734" s="20"/>
      <c r="AP734" s="276"/>
      <c r="AQ734" s="276"/>
      <c r="AR734" s="276"/>
      <c r="AS734" s="276"/>
      <c r="AT734" s="276"/>
      <c r="AU734" s="276"/>
      <c r="AV734" s="276"/>
      <c r="AW734" s="276"/>
      <c r="AX734" s="276"/>
      <c r="AY734" s="276"/>
      <c r="AZ734" s="276"/>
      <c r="BA734" s="276"/>
      <c r="BB734" s="276"/>
      <c r="BC734" s="276"/>
    </row>
    <row r="735" spans="1:55" ht="12.75" customHeight="1">
      <c r="A735" s="465"/>
      <c r="B735" s="465"/>
      <c r="C735" s="147"/>
      <c r="D735" s="147"/>
      <c r="E735" s="585"/>
      <c r="F735" s="586"/>
      <c r="G735" s="458"/>
      <c r="H735" s="458"/>
      <c r="I735" s="458"/>
      <c r="J735" s="465"/>
      <c r="K735" s="587"/>
      <c r="L735" s="465"/>
      <c r="M735" s="465"/>
      <c r="N735" s="465"/>
      <c r="O735" s="587"/>
      <c r="P735" s="585"/>
      <c r="Q735" s="465"/>
      <c r="R735" s="458"/>
      <c r="S735" s="585"/>
      <c r="T735" s="588"/>
      <c r="U735" s="589"/>
      <c r="V735" s="587"/>
      <c r="W735" s="465"/>
      <c r="X735" s="465"/>
      <c r="Y735" s="590"/>
      <c r="Z735" s="458"/>
      <c r="AA735" s="591"/>
      <c r="AB735" s="465"/>
      <c r="AC735" s="465"/>
      <c r="AD735" s="465"/>
      <c r="AE735" s="465"/>
      <c r="AF735" s="465"/>
      <c r="AG735" s="465"/>
      <c r="AH735" s="465"/>
      <c r="AI735" s="592"/>
      <c r="AJ735" s="465"/>
      <c r="AK735" s="465"/>
      <c r="AL735" s="20"/>
      <c r="AM735" s="20"/>
      <c r="AN735" s="593"/>
      <c r="AO735" s="20"/>
      <c r="AP735" s="276"/>
      <c r="AQ735" s="276"/>
      <c r="AR735" s="276"/>
      <c r="AS735" s="276"/>
      <c r="AT735" s="276"/>
      <c r="AU735" s="276"/>
      <c r="AV735" s="276"/>
      <c r="AW735" s="276"/>
      <c r="AX735" s="276"/>
      <c r="AY735" s="276"/>
      <c r="AZ735" s="276"/>
      <c r="BA735" s="276"/>
      <c r="BB735" s="276"/>
      <c r="BC735" s="276"/>
    </row>
    <row r="736" spans="1:55" ht="12.75" customHeight="1">
      <c r="A736" s="465"/>
      <c r="B736" s="465"/>
      <c r="C736" s="147"/>
      <c r="D736" s="147"/>
      <c r="E736" s="585"/>
      <c r="F736" s="586"/>
      <c r="G736" s="458"/>
      <c r="H736" s="458"/>
      <c r="I736" s="458"/>
      <c r="J736" s="465"/>
      <c r="K736" s="587"/>
      <c r="L736" s="465"/>
      <c r="M736" s="465"/>
      <c r="N736" s="465"/>
      <c r="O736" s="587"/>
      <c r="P736" s="585"/>
      <c r="Q736" s="465"/>
      <c r="R736" s="458"/>
      <c r="S736" s="585"/>
      <c r="T736" s="588"/>
      <c r="U736" s="589"/>
      <c r="V736" s="587"/>
      <c r="W736" s="465"/>
      <c r="X736" s="465"/>
      <c r="Y736" s="590"/>
      <c r="Z736" s="458"/>
      <c r="AA736" s="591"/>
      <c r="AB736" s="465"/>
      <c r="AC736" s="465"/>
      <c r="AD736" s="465"/>
      <c r="AE736" s="465"/>
      <c r="AF736" s="465"/>
      <c r="AG736" s="465"/>
      <c r="AH736" s="465"/>
      <c r="AI736" s="592"/>
      <c r="AJ736" s="465"/>
      <c r="AK736" s="465"/>
      <c r="AL736" s="20"/>
      <c r="AM736" s="20"/>
      <c r="AN736" s="593"/>
      <c r="AO736" s="20"/>
      <c r="AP736" s="276"/>
      <c r="AQ736" s="276"/>
      <c r="AR736" s="276"/>
      <c r="AS736" s="276"/>
      <c r="AT736" s="276"/>
      <c r="AU736" s="276"/>
      <c r="AV736" s="276"/>
      <c r="AW736" s="276"/>
      <c r="AX736" s="276"/>
      <c r="AY736" s="276"/>
      <c r="AZ736" s="276"/>
      <c r="BA736" s="276"/>
      <c r="BB736" s="276"/>
      <c r="BC736" s="276"/>
    </row>
    <row r="737" spans="1:55" ht="12.75" customHeight="1">
      <c r="A737" s="465"/>
      <c r="B737" s="465"/>
      <c r="C737" s="147"/>
      <c r="D737" s="147"/>
      <c r="E737" s="585"/>
      <c r="F737" s="586"/>
      <c r="G737" s="458"/>
      <c r="H737" s="458"/>
      <c r="I737" s="458"/>
      <c r="J737" s="465"/>
      <c r="K737" s="587"/>
      <c r="L737" s="465"/>
      <c r="M737" s="465"/>
      <c r="N737" s="465"/>
      <c r="O737" s="587"/>
      <c r="P737" s="585"/>
      <c r="Q737" s="465"/>
      <c r="R737" s="458"/>
      <c r="S737" s="585"/>
      <c r="T737" s="588"/>
      <c r="U737" s="589"/>
      <c r="V737" s="587"/>
      <c r="W737" s="465"/>
      <c r="X737" s="465"/>
      <c r="Y737" s="590"/>
      <c r="Z737" s="458"/>
      <c r="AA737" s="591"/>
      <c r="AB737" s="465"/>
      <c r="AC737" s="465"/>
      <c r="AD737" s="465"/>
      <c r="AE737" s="465"/>
      <c r="AF737" s="465"/>
      <c r="AG737" s="465"/>
      <c r="AH737" s="465"/>
      <c r="AI737" s="592"/>
      <c r="AJ737" s="465"/>
      <c r="AK737" s="465"/>
      <c r="AL737" s="20"/>
      <c r="AM737" s="20"/>
      <c r="AN737" s="593"/>
      <c r="AO737" s="20"/>
      <c r="AP737" s="276"/>
      <c r="AQ737" s="276"/>
      <c r="AR737" s="276"/>
      <c r="AS737" s="276"/>
      <c r="AT737" s="276"/>
      <c r="AU737" s="276"/>
      <c r="AV737" s="276"/>
      <c r="AW737" s="276"/>
      <c r="AX737" s="276"/>
      <c r="AY737" s="276"/>
      <c r="AZ737" s="276"/>
      <c r="BA737" s="276"/>
      <c r="BB737" s="276"/>
      <c r="BC737" s="276"/>
    </row>
    <row r="738" spans="1:55" ht="12.75" customHeight="1">
      <c r="A738" s="465"/>
      <c r="B738" s="465"/>
      <c r="C738" s="147"/>
      <c r="D738" s="147"/>
      <c r="E738" s="585"/>
      <c r="F738" s="586"/>
      <c r="G738" s="458"/>
      <c r="H738" s="458"/>
      <c r="I738" s="458"/>
      <c r="J738" s="465"/>
      <c r="K738" s="587"/>
      <c r="L738" s="465"/>
      <c r="M738" s="465"/>
      <c r="N738" s="465"/>
      <c r="O738" s="587"/>
      <c r="P738" s="585"/>
      <c r="Q738" s="465"/>
      <c r="R738" s="458"/>
      <c r="S738" s="585"/>
      <c r="T738" s="588"/>
      <c r="U738" s="589"/>
      <c r="V738" s="587"/>
      <c r="W738" s="465"/>
      <c r="X738" s="465"/>
      <c r="Y738" s="590"/>
      <c r="Z738" s="458"/>
      <c r="AA738" s="591"/>
      <c r="AB738" s="465"/>
      <c r="AC738" s="465"/>
      <c r="AD738" s="465"/>
      <c r="AE738" s="465"/>
      <c r="AF738" s="465"/>
      <c r="AG738" s="465"/>
      <c r="AH738" s="465"/>
      <c r="AI738" s="592"/>
      <c r="AJ738" s="465"/>
      <c r="AK738" s="465"/>
      <c r="AL738" s="20"/>
      <c r="AM738" s="20"/>
      <c r="AN738" s="593"/>
      <c r="AO738" s="20"/>
      <c r="AP738" s="276"/>
      <c r="AQ738" s="276"/>
      <c r="AR738" s="276"/>
      <c r="AS738" s="276"/>
      <c r="AT738" s="276"/>
      <c r="AU738" s="276"/>
      <c r="AV738" s="276"/>
      <c r="AW738" s="276"/>
      <c r="AX738" s="276"/>
      <c r="AY738" s="276"/>
      <c r="AZ738" s="276"/>
      <c r="BA738" s="276"/>
      <c r="BB738" s="276"/>
      <c r="BC738" s="276"/>
    </row>
    <row r="739" spans="1:55" ht="12.75" customHeight="1">
      <c r="A739" s="465"/>
      <c r="B739" s="465"/>
      <c r="C739" s="147"/>
      <c r="D739" s="147"/>
      <c r="E739" s="585"/>
      <c r="F739" s="586"/>
      <c r="G739" s="458"/>
      <c r="H739" s="458"/>
      <c r="I739" s="458"/>
      <c r="J739" s="465"/>
      <c r="K739" s="587"/>
      <c r="L739" s="465"/>
      <c r="M739" s="465"/>
      <c r="N739" s="465"/>
      <c r="O739" s="587"/>
      <c r="P739" s="585"/>
      <c r="Q739" s="465"/>
      <c r="R739" s="458"/>
      <c r="S739" s="585"/>
      <c r="T739" s="588"/>
      <c r="U739" s="589"/>
      <c r="V739" s="587"/>
      <c r="W739" s="465"/>
      <c r="X739" s="465"/>
      <c r="Y739" s="590"/>
      <c r="Z739" s="458"/>
      <c r="AA739" s="591"/>
      <c r="AB739" s="465"/>
      <c r="AC739" s="465"/>
      <c r="AD739" s="465"/>
      <c r="AE739" s="465"/>
      <c r="AF739" s="465"/>
      <c r="AG739" s="465"/>
      <c r="AH739" s="465"/>
      <c r="AI739" s="592"/>
      <c r="AJ739" s="465"/>
      <c r="AK739" s="465"/>
      <c r="AL739" s="20"/>
      <c r="AM739" s="20"/>
      <c r="AN739" s="593"/>
      <c r="AO739" s="20"/>
      <c r="AP739" s="276"/>
      <c r="AQ739" s="276"/>
      <c r="AR739" s="276"/>
      <c r="AS739" s="276"/>
      <c r="AT739" s="276"/>
      <c r="AU739" s="276"/>
      <c r="AV739" s="276"/>
      <c r="AW739" s="276"/>
      <c r="AX739" s="276"/>
      <c r="AY739" s="276"/>
      <c r="AZ739" s="276"/>
      <c r="BA739" s="276"/>
      <c r="BB739" s="276"/>
      <c r="BC739" s="276"/>
    </row>
    <row r="740" spans="1:55" ht="12.75" customHeight="1">
      <c r="A740" s="465"/>
      <c r="B740" s="465"/>
      <c r="C740" s="147"/>
      <c r="D740" s="147"/>
      <c r="E740" s="585"/>
      <c r="F740" s="586"/>
      <c r="G740" s="458"/>
      <c r="H740" s="458"/>
      <c r="I740" s="458"/>
      <c r="J740" s="465"/>
      <c r="K740" s="587"/>
      <c r="L740" s="465"/>
      <c r="M740" s="465"/>
      <c r="N740" s="465"/>
      <c r="O740" s="587"/>
      <c r="P740" s="585"/>
      <c r="Q740" s="465"/>
      <c r="R740" s="458"/>
      <c r="S740" s="585"/>
      <c r="T740" s="588"/>
      <c r="U740" s="589"/>
      <c r="V740" s="587"/>
      <c r="W740" s="465"/>
      <c r="X740" s="465"/>
      <c r="Y740" s="590"/>
      <c r="Z740" s="458"/>
      <c r="AA740" s="591"/>
      <c r="AB740" s="465"/>
      <c r="AC740" s="465"/>
      <c r="AD740" s="465"/>
      <c r="AE740" s="465"/>
      <c r="AF740" s="465"/>
      <c r="AG740" s="465"/>
      <c r="AH740" s="465"/>
      <c r="AI740" s="592"/>
      <c r="AJ740" s="465"/>
      <c r="AK740" s="465"/>
      <c r="AL740" s="20"/>
      <c r="AM740" s="20"/>
      <c r="AN740" s="593"/>
      <c r="AO740" s="20"/>
      <c r="AP740" s="276"/>
      <c r="AQ740" s="276"/>
      <c r="AR740" s="276"/>
      <c r="AS740" s="276"/>
      <c r="AT740" s="276"/>
      <c r="AU740" s="276"/>
      <c r="AV740" s="276"/>
      <c r="AW740" s="276"/>
      <c r="AX740" s="276"/>
      <c r="AY740" s="276"/>
      <c r="AZ740" s="276"/>
      <c r="BA740" s="276"/>
      <c r="BB740" s="276"/>
      <c r="BC740" s="276"/>
    </row>
    <row r="741" spans="1:55" ht="12.75" customHeight="1">
      <c r="A741" s="465"/>
      <c r="B741" s="465"/>
      <c r="C741" s="147"/>
      <c r="D741" s="147"/>
      <c r="E741" s="585"/>
      <c r="F741" s="586"/>
      <c r="G741" s="458"/>
      <c r="H741" s="458"/>
      <c r="I741" s="458"/>
      <c r="J741" s="465"/>
      <c r="K741" s="587"/>
      <c r="L741" s="465"/>
      <c r="M741" s="465"/>
      <c r="N741" s="465"/>
      <c r="O741" s="587"/>
      <c r="P741" s="585"/>
      <c r="Q741" s="465"/>
      <c r="R741" s="458"/>
      <c r="S741" s="585"/>
      <c r="T741" s="588"/>
      <c r="U741" s="589"/>
      <c r="V741" s="587"/>
      <c r="W741" s="465"/>
      <c r="X741" s="465"/>
      <c r="Y741" s="590"/>
      <c r="Z741" s="458"/>
      <c r="AA741" s="591"/>
      <c r="AB741" s="465"/>
      <c r="AC741" s="465"/>
      <c r="AD741" s="465"/>
      <c r="AE741" s="465"/>
      <c r="AF741" s="465"/>
      <c r="AG741" s="465"/>
      <c r="AH741" s="465"/>
      <c r="AI741" s="592"/>
      <c r="AJ741" s="465"/>
      <c r="AK741" s="465"/>
      <c r="AL741" s="20"/>
      <c r="AM741" s="20"/>
      <c r="AN741" s="593"/>
      <c r="AO741" s="20"/>
      <c r="AP741" s="276"/>
      <c r="AQ741" s="276"/>
      <c r="AR741" s="276"/>
      <c r="AS741" s="276"/>
      <c r="AT741" s="276"/>
      <c r="AU741" s="276"/>
      <c r="AV741" s="276"/>
      <c r="AW741" s="276"/>
      <c r="AX741" s="276"/>
      <c r="AY741" s="276"/>
      <c r="AZ741" s="276"/>
      <c r="BA741" s="276"/>
      <c r="BB741" s="276"/>
      <c r="BC741" s="276"/>
    </row>
    <row r="742" spans="1:55" ht="12.75" customHeight="1">
      <c r="A742" s="465"/>
      <c r="B742" s="465"/>
      <c r="C742" s="147"/>
      <c r="D742" s="147"/>
      <c r="E742" s="585"/>
      <c r="F742" s="586"/>
      <c r="G742" s="458"/>
      <c r="H742" s="458"/>
      <c r="I742" s="458"/>
      <c r="J742" s="465"/>
      <c r="K742" s="587"/>
      <c r="L742" s="465"/>
      <c r="M742" s="465"/>
      <c r="N742" s="465"/>
      <c r="O742" s="587"/>
      <c r="P742" s="585"/>
      <c r="Q742" s="465"/>
      <c r="R742" s="458"/>
      <c r="S742" s="585"/>
      <c r="T742" s="588"/>
      <c r="U742" s="589"/>
      <c r="V742" s="587"/>
      <c r="W742" s="465"/>
      <c r="X742" s="465"/>
      <c r="Y742" s="590"/>
      <c r="Z742" s="458"/>
      <c r="AA742" s="591"/>
      <c r="AB742" s="465"/>
      <c r="AC742" s="465"/>
      <c r="AD742" s="465"/>
      <c r="AE742" s="465"/>
      <c r="AF742" s="465"/>
      <c r="AG742" s="465"/>
      <c r="AH742" s="465"/>
      <c r="AI742" s="592"/>
      <c r="AJ742" s="465"/>
      <c r="AK742" s="465"/>
      <c r="AL742" s="20"/>
      <c r="AM742" s="20"/>
      <c r="AN742" s="593"/>
      <c r="AO742" s="20"/>
      <c r="AP742" s="276"/>
      <c r="AQ742" s="276"/>
      <c r="AR742" s="276"/>
      <c r="AS742" s="276"/>
      <c r="AT742" s="276"/>
      <c r="AU742" s="276"/>
      <c r="AV742" s="276"/>
      <c r="AW742" s="276"/>
      <c r="AX742" s="276"/>
      <c r="AY742" s="276"/>
      <c r="AZ742" s="276"/>
      <c r="BA742" s="276"/>
      <c r="BB742" s="276"/>
      <c r="BC742" s="276"/>
    </row>
    <row r="743" spans="1:55" ht="12.75" customHeight="1">
      <c r="A743" s="465"/>
      <c r="B743" s="465"/>
      <c r="C743" s="147"/>
      <c r="D743" s="147"/>
      <c r="E743" s="585"/>
      <c r="F743" s="586"/>
      <c r="G743" s="458"/>
      <c r="H743" s="458"/>
      <c r="I743" s="458"/>
      <c r="J743" s="465"/>
      <c r="K743" s="587"/>
      <c r="L743" s="465"/>
      <c r="M743" s="465"/>
      <c r="N743" s="465"/>
      <c r="O743" s="587"/>
      <c r="P743" s="585"/>
      <c r="Q743" s="465"/>
      <c r="R743" s="458"/>
      <c r="S743" s="585"/>
      <c r="T743" s="588"/>
      <c r="U743" s="589"/>
      <c r="V743" s="587"/>
      <c r="W743" s="465"/>
      <c r="X743" s="465"/>
      <c r="Y743" s="590"/>
      <c r="Z743" s="458"/>
      <c r="AA743" s="591"/>
      <c r="AB743" s="465"/>
      <c r="AC743" s="465"/>
      <c r="AD743" s="465"/>
      <c r="AE743" s="465"/>
      <c r="AF743" s="465"/>
      <c r="AG743" s="465"/>
      <c r="AH743" s="465"/>
      <c r="AI743" s="592"/>
      <c r="AJ743" s="465"/>
      <c r="AK743" s="465"/>
      <c r="AL743" s="20"/>
      <c r="AM743" s="20"/>
      <c r="AN743" s="593"/>
      <c r="AO743" s="20"/>
      <c r="AP743" s="276"/>
      <c r="AQ743" s="276"/>
      <c r="AR743" s="276"/>
      <c r="AS743" s="276"/>
      <c r="AT743" s="276"/>
      <c r="AU743" s="276"/>
      <c r="AV743" s="276"/>
      <c r="AW743" s="276"/>
      <c r="AX743" s="276"/>
      <c r="AY743" s="276"/>
      <c r="AZ743" s="276"/>
      <c r="BA743" s="276"/>
      <c r="BB743" s="276"/>
      <c r="BC743" s="276"/>
    </row>
    <row r="744" spans="1:55" ht="12.75" customHeight="1">
      <c r="A744" s="465"/>
      <c r="B744" s="465"/>
      <c r="C744" s="147"/>
      <c r="D744" s="147"/>
      <c r="E744" s="585"/>
      <c r="F744" s="586"/>
      <c r="G744" s="458"/>
      <c r="H744" s="458"/>
      <c r="I744" s="458"/>
      <c r="J744" s="465"/>
      <c r="K744" s="587"/>
      <c r="L744" s="465"/>
      <c r="M744" s="465"/>
      <c r="N744" s="465"/>
      <c r="O744" s="587"/>
      <c r="P744" s="585"/>
      <c r="Q744" s="465"/>
      <c r="R744" s="458"/>
      <c r="S744" s="585"/>
      <c r="T744" s="588"/>
      <c r="U744" s="589"/>
      <c r="V744" s="587"/>
      <c r="W744" s="465"/>
      <c r="X744" s="465"/>
      <c r="Y744" s="590"/>
      <c r="Z744" s="458"/>
      <c r="AA744" s="591"/>
      <c r="AB744" s="465"/>
      <c r="AC744" s="465"/>
      <c r="AD744" s="465"/>
      <c r="AE744" s="465"/>
      <c r="AF744" s="465"/>
      <c r="AG744" s="465"/>
      <c r="AH744" s="465"/>
      <c r="AI744" s="592"/>
      <c r="AJ744" s="465"/>
      <c r="AK744" s="465"/>
      <c r="AL744" s="20"/>
      <c r="AM744" s="20"/>
      <c r="AN744" s="593"/>
      <c r="AO744" s="20"/>
      <c r="AP744" s="276"/>
      <c r="AQ744" s="276"/>
      <c r="AR744" s="276"/>
      <c r="AS744" s="276"/>
      <c r="AT744" s="276"/>
      <c r="AU744" s="276"/>
      <c r="AV744" s="276"/>
      <c r="AW744" s="276"/>
      <c r="AX744" s="276"/>
      <c r="AY744" s="276"/>
      <c r="AZ744" s="276"/>
      <c r="BA744" s="276"/>
      <c r="BB744" s="276"/>
      <c r="BC744" s="276"/>
    </row>
    <row r="745" spans="1:55" ht="12.75" customHeight="1">
      <c r="A745" s="465"/>
      <c r="B745" s="465"/>
      <c r="C745" s="147"/>
      <c r="D745" s="147"/>
      <c r="E745" s="585"/>
      <c r="F745" s="586"/>
      <c r="G745" s="458"/>
      <c r="H745" s="458"/>
      <c r="I745" s="458"/>
      <c r="J745" s="465"/>
      <c r="K745" s="587"/>
      <c r="L745" s="465"/>
      <c r="M745" s="465"/>
      <c r="N745" s="465"/>
      <c r="O745" s="587"/>
      <c r="P745" s="585"/>
      <c r="Q745" s="465"/>
      <c r="R745" s="458"/>
      <c r="S745" s="585"/>
      <c r="T745" s="588"/>
      <c r="U745" s="589"/>
      <c r="V745" s="587"/>
      <c r="W745" s="465"/>
      <c r="X745" s="465"/>
      <c r="Y745" s="590"/>
      <c r="Z745" s="458"/>
      <c r="AA745" s="591"/>
      <c r="AB745" s="465"/>
      <c r="AC745" s="465"/>
      <c r="AD745" s="465"/>
      <c r="AE745" s="465"/>
      <c r="AF745" s="465"/>
      <c r="AG745" s="465"/>
      <c r="AH745" s="465"/>
      <c r="AI745" s="592"/>
      <c r="AJ745" s="465"/>
      <c r="AK745" s="465"/>
      <c r="AL745" s="20"/>
      <c r="AM745" s="20"/>
      <c r="AN745" s="593"/>
      <c r="AO745" s="20"/>
      <c r="AP745" s="276"/>
      <c r="AQ745" s="276"/>
      <c r="AR745" s="276"/>
      <c r="AS745" s="276"/>
      <c r="AT745" s="276"/>
      <c r="AU745" s="276"/>
      <c r="AV745" s="276"/>
      <c r="AW745" s="276"/>
      <c r="AX745" s="276"/>
      <c r="AY745" s="276"/>
      <c r="AZ745" s="276"/>
      <c r="BA745" s="276"/>
      <c r="BB745" s="276"/>
      <c r="BC745" s="276"/>
    </row>
    <row r="746" spans="1:55" ht="12.75" customHeight="1">
      <c r="A746" s="465"/>
      <c r="B746" s="465"/>
      <c r="C746" s="147"/>
      <c r="D746" s="147"/>
      <c r="E746" s="585"/>
      <c r="F746" s="586"/>
      <c r="G746" s="458"/>
      <c r="H746" s="458"/>
      <c r="I746" s="458"/>
      <c r="J746" s="465"/>
      <c r="K746" s="587"/>
      <c r="L746" s="465"/>
      <c r="M746" s="465"/>
      <c r="N746" s="465"/>
      <c r="O746" s="587"/>
      <c r="P746" s="585"/>
      <c r="Q746" s="465"/>
      <c r="R746" s="458"/>
      <c r="S746" s="585"/>
      <c r="T746" s="588"/>
      <c r="U746" s="589"/>
      <c r="V746" s="587"/>
      <c r="W746" s="465"/>
      <c r="X746" s="465"/>
      <c r="Y746" s="590"/>
      <c r="Z746" s="458"/>
      <c r="AA746" s="591"/>
      <c r="AB746" s="465"/>
      <c r="AC746" s="465"/>
      <c r="AD746" s="465"/>
      <c r="AE746" s="465"/>
      <c r="AF746" s="465"/>
      <c r="AG746" s="465"/>
      <c r="AH746" s="465"/>
      <c r="AI746" s="592"/>
      <c r="AJ746" s="465"/>
      <c r="AK746" s="465"/>
      <c r="AL746" s="20"/>
      <c r="AM746" s="20"/>
      <c r="AN746" s="593"/>
      <c r="AO746" s="20"/>
      <c r="AP746" s="276"/>
      <c r="AQ746" s="276"/>
      <c r="AR746" s="276"/>
      <c r="AS746" s="276"/>
      <c r="AT746" s="276"/>
      <c r="AU746" s="276"/>
      <c r="AV746" s="276"/>
      <c r="AW746" s="276"/>
      <c r="AX746" s="276"/>
      <c r="AY746" s="276"/>
      <c r="AZ746" s="276"/>
      <c r="BA746" s="276"/>
      <c r="BB746" s="276"/>
      <c r="BC746" s="276"/>
    </row>
    <row r="747" spans="1:55" ht="12.75" customHeight="1">
      <c r="A747" s="465"/>
      <c r="B747" s="465"/>
      <c r="C747" s="147"/>
      <c r="D747" s="147"/>
      <c r="E747" s="585"/>
      <c r="F747" s="586"/>
      <c r="G747" s="458"/>
      <c r="H747" s="458"/>
      <c r="I747" s="458"/>
      <c r="J747" s="465"/>
      <c r="K747" s="587"/>
      <c r="L747" s="465"/>
      <c r="M747" s="465"/>
      <c r="N747" s="465"/>
      <c r="O747" s="587"/>
      <c r="P747" s="585"/>
      <c r="Q747" s="465"/>
      <c r="R747" s="458"/>
      <c r="S747" s="585"/>
      <c r="T747" s="588"/>
      <c r="U747" s="589"/>
      <c r="V747" s="587"/>
      <c r="W747" s="465"/>
      <c r="X747" s="465"/>
      <c r="Y747" s="590"/>
      <c r="Z747" s="458"/>
      <c r="AA747" s="591"/>
      <c r="AB747" s="465"/>
      <c r="AC747" s="465"/>
      <c r="AD747" s="465"/>
      <c r="AE747" s="465"/>
      <c r="AF747" s="465"/>
      <c r="AG747" s="465"/>
      <c r="AH747" s="465"/>
      <c r="AI747" s="592"/>
      <c r="AJ747" s="465"/>
      <c r="AK747" s="465"/>
      <c r="AL747" s="20"/>
      <c r="AM747" s="20"/>
      <c r="AN747" s="593"/>
      <c r="AO747" s="20"/>
      <c r="AP747" s="276"/>
      <c r="AQ747" s="276"/>
      <c r="AR747" s="276"/>
      <c r="AS747" s="276"/>
      <c r="AT747" s="276"/>
      <c r="AU747" s="276"/>
      <c r="AV747" s="276"/>
      <c r="AW747" s="276"/>
      <c r="AX747" s="276"/>
      <c r="AY747" s="276"/>
      <c r="AZ747" s="276"/>
      <c r="BA747" s="276"/>
      <c r="BB747" s="276"/>
      <c r="BC747" s="276"/>
    </row>
    <row r="748" spans="1:55" ht="12.75" customHeight="1">
      <c r="A748" s="465"/>
      <c r="B748" s="465"/>
      <c r="C748" s="147"/>
      <c r="D748" s="147"/>
      <c r="E748" s="585"/>
      <c r="F748" s="586"/>
      <c r="G748" s="458"/>
      <c r="H748" s="458"/>
      <c r="I748" s="458"/>
      <c r="J748" s="465"/>
      <c r="K748" s="587"/>
      <c r="L748" s="465"/>
      <c r="M748" s="465"/>
      <c r="N748" s="465"/>
      <c r="O748" s="587"/>
      <c r="P748" s="585"/>
      <c r="Q748" s="465"/>
      <c r="R748" s="458"/>
      <c r="S748" s="585"/>
      <c r="T748" s="588"/>
      <c r="U748" s="589"/>
      <c r="V748" s="587"/>
      <c r="W748" s="465"/>
      <c r="X748" s="465"/>
      <c r="Y748" s="590"/>
      <c r="Z748" s="458"/>
      <c r="AA748" s="591"/>
      <c r="AB748" s="465"/>
      <c r="AC748" s="465"/>
      <c r="AD748" s="465"/>
      <c r="AE748" s="465"/>
      <c r="AF748" s="465"/>
      <c r="AG748" s="465"/>
      <c r="AH748" s="465"/>
      <c r="AI748" s="592"/>
      <c r="AJ748" s="465"/>
      <c r="AK748" s="465"/>
      <c r="AL748" s="20"/>
      <c r="AM748" s="20"/>
      <c r="AN748" s="593"/>
      <c r="AO748" s="20"/>
      <c r="AP748" s="276"/>
      <c r="AQ748" s="276"/>
      <c r="AR748" s="276"/>
      <c r="AS748" s="276"/>
      <c r="AT748" s="276"/>
      <c r="AU748" s="276"/>
      <c r="AV748" s="276"/>
      <c r="AW748" s="276"/>
      <c r="AX748" s="276"/>
      <c r="AY748" s="276"/>
      <c r="AZ748" s="276"/>
      <c r="BA748" s="276"/>
      <c r="BB748" s="276"/>
      <c r="BC748" s="276"/>
    </row>
    <row r="749" spans="1:55" ht="12.75" customHeight="1">
      <c r="A749" s="465"/>
      <c r="B749" s="465"/>
      <c r="C749" s="147"/>
      <c r="D749" s="147"/>
      <c r="E749" s="585"/>
      <c r="F749" s="586"/>
      <c r="G749" s="458"/>
      <c r="H749" s="458"/>
      <c r="I749" s="458"/>
      <c r="J749" s="465"/>
      <c r="K749" s="587"/>
      <c r="L749" s="465"/>
      <c r="M749" s="465"/>
      <c r="N749" s="465"/>
      <c r="O749" s="587"/>
      <c r="P749" s="585"/>
      <c r="Q749" s="465"/>
      <c r="R749" s="458"/>
      <c r="S749" s="585"/>
      <c r="T749" s="588"/>
      <c r="U749" s="589"/>
      <c r="V749" s="587"/>
      <c r="W749" s="465"/>
      <c r="X749" s="465"/>
      <c r="Y749" s="590"/>
      <c r="Z749" s="458"/>
      <c r="AA749" s="591"/>
      <c r="AB749" s="465"/>
      <c r="AC749" s="465"/>
      <c r="AD749" s="465"/>
      <c r="AE749" s="465"/>
      <c r="AF749" s="465"/>
      <c r="AG749" s="465"/>
      <c r="AH749" s="465"/>
      <c r="AI749" s="592"/>
      <c r="AJ749" s="465"/>
      <c r="AK749" s="465"/>
      <c r="AL749" s="20"/>
      <c r="AM749" s="20"/>
      <c r="AN749" s="593"/>
      <c r="AO749" s="20"/>
      <c r="AP749" s="276"/>
      <c r="AQ749" s="276"/>
      <c r="AR749" s="276"/>
      <c r="AS749" s="276"/>
      <c r="AT749" s="276"/>
      <c r="AU749" s="276"/>
      <c r="AV749" s="276"/>
      <c r="AW749" s="276"/>
      <c r="AX749" s="276"/>
      <c r="AY749" s="276"/>
      <c r="AZ749" s="276"/>
      <c r="BA749" s="276"/>
      <c r="BB749" s="276"/>
      <c r="BC749" s="276"/>
    </row>
    <row r="750" spans="1:55" ht="12.75" customHeight="1">
      <c r="A750" s="465"/>
      <c r="B750" s="465"/>
      <c r="C750" s="147"/>
      <c r="D750" s="147"/>
      <c r="E750" s="585"/>
      <c r="F750" s="586"/>
      <c r="G750" s="458"/>
      <c r="H750" s="458"/>
      <c r="I750" s="458"/>
      <c r="J750" s="465"/>
      <c r="K750" s="587"/>
      <c r="L750" s="465"/>
      <c r="M750" s="465"/>
      <c r="N750" s="465"/>
      <c r="O750" s="587"/>
      <c r="P750" s="585"/>
      <c r="Q750" s="465"/>
      <c r="R750" s="458"/>
      <c r="S750" s="585"/>
      <c r="T750" s="588"/>
      <c r="U750" s="589"/>
      <c r="V750" s="587"/>
      <c r="W750" s="465"/>
      <c r="X750" s="465"/>
      <c r="Y750" s="590"/>
      <c r="Z750" s="458"/>
      <c r="AA750" s="591"/>
      <c r="AB750" s="465"/>
      <c r="AC750" s="465"/>
      <c r="AD750" s="465"/>
      <c r="AE750" s="465"/>
      <c r="AF750" s="465"/>
      <c r="AG750" s="465"/>
      <c r="AH750" s="465"/>
      <c r="AI750" s="592"/>
      <c r="AJ750" s="465"/>
      <c r="AK750" s="465"/>
      <c r="AL750" s="20"/>
      <c r="AM750" s="20"/>
      <c r="AN750" s="593"/>
      <c r="AO750" s="20"/>
      <c r="AP750" s="276"/>
      <c r="AQ750" s="276"/>
      <c r="AR750" s="276"/>
      <c r="AS750" s="276"/>
      <c r="AT750" s="276"/>
      <c r="AU750" s="276"/>
      <c r="AV750" s="276"/>
      <c r="AW750" s="276"/>
      <c r="AX750" s="276"/>
      <c r="AY750" s="276"/>
      <c r="AZ750" s="276"/>
      <c r="BA750" s="276"/>
      <c r="BB750" s="276"/>
      <c r="BC750" s="276"/>
    </row>
    <row r="751" spans="1:55" ht="12.75" customHeight="1">
      <c r="A751" s="465"/>
      <c r="B751" s="465"/>
      <c r="C751" s="147"/>
      <c r="D751" s="147"/>
      <c r="E751" s="585"/>
      <c r="F751" s="586"/>
      <c r="G751" s="458"/>
      <c r="H751" s="458"/>
      <c r="I751" s="458"/>
      <c r="J751" s="465"/>
      <c r="K751" s="587"/>
      <c r="L751" s="465"/>
      <c r="M751" s="465"/>
      <c r="N751" s="465"/>
      <c r="O751" s="587"/>
      <c r="P751" s="585"/>
      <c r="Q751" s="465"/>
      <c r="R751" s="458"/>
      <c r="S751" s="585"/>
      <c r="T751" s="588"/>
      <c r="U751" s="589"/>
      <c r="V751" s="587"/>
      <c r="W751" s="465"/>
      <c r="X751" s="465"/>
      <c r="Y751" s="590"/>
      <c r="Z751" s="458"/>
      <c r="AA751" s="591"/>
      <c r="AB751" s="465"/>
      <c r="AC751" s="465"/>
      <c r="AD751" s="465"/>
      <c r="AE751" s="465"/>
      <c r="AF751" s="465"/>
      <c r="AG751" s="465"/>
      <c r="AH751" s="465"/>
      <c r="AI751" s="592"/>
      <c r="AJ751" s="465"/>
      <c r="AK751" s="465"/>
      <c r="AL751" s="20"/>
      <c r="AM751" s="20"/>
      <c r="AN751" s="593"/>
      <c r="AO751" s="20"/>
      <c r="AP751" s="276"/>
      <c r="AQ751" s="276"/>
      <c r="AR751" s="276"/>
      <c r="AS751" s="276"/>
      <c r="AT751" s="276"/>
      <c r="AU751" s="276"/>
      <c r="AV751" s="276"/>
      <c r="AW751" s="276"/>
      <c r="AX751" s="276"/>
      <c r="AY751" s="276"/>
      <c r="AZ751" s="276"/>
      <c r="BA751" s="276"/>
      <c r="BB751" s="276"/>
      <c r="BC751" s="276"/>
    </row>
    <row r="752" spans="1:55" ht="12.75" customHeight="1">
      <c r="A752" s="465"/>
      <c r="B752" s="465"/>
      <c r="C752" s="147"/>
      <c r="D752" s="147"/>
      <c r="E752" s="585"/>
      <c r="F752" s="586"/>
      <c r="G752" s="458"/>
      <c r="H752" s="458"/>
      <c r="I752" s="458"/>
      <c r="J752" s="465"/>
      <c r="K752" s="587"/>
      <c r="L752" s="465"/>
      <c r="M752" s="465"/>
      <c r="N752" s="465"/>
      <c r="O752" s="587"/>
      <c r="P752" s="585"/>
      <c r="Q752" s="465"/>
      <c r="R752" s="458"/>
      <c r="S752" s="585"/>
      <c r="T752" s="588"/>
      <c r="U752" s="589"/>
      <c r="V752" s="587"/>
      <c r="W752" s="465"/>
      <c r="X752" s="465"/>
      <c r="Y752" s="590"/>
      <c r="Z752" s="458"/>
      <c r="AA752" s="591"/>
      <c r="AB752" s="465"/>
      <c r="AC752" s="465"/>
      <c r="AD752" s="465"/>
      <c r="AE752" s="465"/>
      <c r="AF752" s="465"/>
      <c r="AG752" s="465"/>
      <c r="AH752" s="465"/>
      <c r="AI752" s="592"/>
      <c r="AJ752" s="465"/>
      <c r="AK752" s="465"/>
      <c r="AL752" s="20"/>
      <c r="AM752" s="20"/>
      <c r="AN752" s="593"/>
      <c r="AO752" s="20"/>
      <c r="AP752" s="276"/>
      <c r="AQ752" s="276"/>
      <c r="AR752" s="276"/>
      <c r="AS752" s="276"/>
      <c r="AT752" s="276"/>
      <c r="AU752" s="276"/>
      <c r="AV752" s="276"/>
      <c r="AW752" s="276"/>
      <c r="AX752" s="276"/>
      <c r="AY752" s="276"/>
      <c r="AZ752" s="276"/>
      <c r="BA752" s="276"/>
      <c r="BB752" s="276"/>
      <c r="BC752" s="276"/>
    </row>
    <row r="753" spans="1:55" ht="12.75" customHeight="1">
      <c r="A753" s="465"/>
      <c r="B753" s="465"/>
      <c r="C753" s="147"/>
      <c r="D753" s="147"/>
      <c r="E753" s="585"/>
      <c r="F753" s="586"/>
      <c r="G753" s="458"/>
      <c r="H753" s="458"/>
      <c r="I753" s="458"/>
      <c r="J753" s="465"/>
      <c r="K753" s="587"/>
      <c r="L753" s="465"/>
      <c r="M753" s="465"/>
      <c r="N753" s="465"/>
      <c r="O753" s="587"/>
      <c r="P753" s="585"/>
      <c r="Q753" s="465"/>
      <c r="R753" s="458"/>
      <c r="S753" s="585"/>
      <c r="T753" s="588"/>
      <c r="U753" s="589"/>
      <c r="V753" s="587"/>
      <c r="W753" s="465"/>
      <c r="X753" s="465"/>
      <c r="Y753" s="590"/>
      <c r="Z753" s="458"/>
      <c r="AA753" s="591"/>
      <c r="AB753" s="465"/>
      <c r="AC753" s="465"/>
      <c r="AD753" s="465"/>
      <c r="AE753" s="465"/>
      <c r="AF753" s="465"/>
      <c r="AG753" s="465"/>
      <c r="AH753" s="465"/>
      <c r="AI753" s="592"/>
      <c r="AJ753" s="465"/>
      <c r="AK753" s="465"/>
      <c r="AL753" s="20"/>
      <c r="AM753" s="20"/>
      <c r="AN753" s="593"/>
      <c r="AO753" s="20"/>
      <c r="AP753" s="276"/>
      <c r="AQ753" s="276"/>
      <c r="AR753" s="276"/>
      <c r="AS753" s="276"/>
      <c r="AT753" s="276"/>
      <c r="AU753" s="276"/>
      <c r="AV753" s="276"/>
      <c r="AW753" s="276"/>
      <c r="AX753" s="276"/>
      <c r="AY753" s="276"/>
      <c r="AZ753" s="276"/>
      <c r="BA753" s="276"/>
      <c r="BB753" s="276"/>
      <c r="BC753" s="276"/>
    </row>
    <row r="754" spans="1:55" ht="12.75" customHeight="1">
      <c r="A754" s="465"/>
      <c r="B754" s="465"/>
      <c r="C754" s="147"/>
      <c r="D754" s="147"/>
      <c r="E754" s="585"/>
      <c r="F754" s="586"/>
      <c r="G754" s="458"/>
      <c r="H754" s="458"/>
      <c r="I754" s="458"/>
      <c r="J754" s="465"/>
      <c r="K754" s="587"/>
      <c r="L754" s="465"/>
      <c r="M754" s="465"/>
      <c r="N754" s="465"/>
      <c r="O754" s="587"/>
      <c r="P754" s="585"/>
      <c r="Q754" s="465"/>
      <c r="R754" s="458"/>
      <c r="S754" s="585"/>
      <c r="T754" s="588"/>
      <c r="U754" s="589"/>
      <c r="V754" s="587"/>
      <c r="W754" s="465"/>
      <c r="X754" s="465"/>
      <c r="Y754" s="590"/>
      <c r="Z754" s="458"/>
      <c r="AA754" s="591"/>
      <c r="AB754" s="465"/>
      <c r="AC754" s="465"/>
      <c r="AD754" s="465"/>
      <c r="AE754" s="465"/>
      <c r="AF754" s="465"/>
      <c r="AG754" s="465"/>
      <c r="AH754" s="465"/>
      <c r="AI754" s="592"/>
      <c r="AJ754" s="465"/>
      <c r="AK754" s="465"/>
      <c r="AL754" s="20"/>
      <c r="AM754" s="20"/>
      <c r="AN754" s="593"/>
      <c r="AO754" s="20"/>
      <c r="AP754" s="276"/>
      <c r="AQ754" s="276"/>
      <c r="AR754" s="276"/>
      <c r="AS754" s="276"/>
      <c r="AT754" s="276"/>
      <c r="AU754" s="276"/>
      <c r="AV754" s="276"/>
      <c r="AW754" s="276"/>
      <c r="AX754" s="276"/>
      <c r="AY754" s="276"/>
      <c r="AZ754" s="276"/>
      <c r="BA754" s="276"/>
      <c r="BB754" s="276"/>
      <c r="BC754" s="276"/>
    </row>
    <row r="755" spans="1:55" ht="12.75" customHeight="1">
      <c r="A755" s="465"/>
      <c r="B755" s="465"/>
      <c r="C755" s="147"/>
      <c r="D755" s="147"/>
      <c r="E755" s="585"/>
      <c r="F755" s="586"/>
      <c r="G755" s="458"/>
      <c r="H755" s="458"/>
      <c r="I755" s="458"/>
      <c r="J755" s="465"/>
      <c r="K755" s="587"/>
      <c r="L755" s="465"/>
      <c r="M755" s="465"/>
      <c r="N755" s="465"/>
      <c r="O755" s="587"/>
      <c r="P755" s="585"/>
      <c r="Q755" s="465"/>
      <c r="R755" s="458"/>
      <c r="S755" s="585"/>
      <c r="T755" s="588"/>
      <c r="U755" s="589"/>
      <c r="V755" s="587"/>
      <c r="W755" s="465"/>
      <c r="X755" s="465"/>
      <c r="Y755" s="590"/>
      <c r="Z755" s="458"/>
      <c r="AA755" s="591"/>
      <c r="AB755" s="465"/>
      <c r="AC755" s="465"/>
      <c r="AD755" s="465"/>
      <c r="AE755" s="465"/>
      <c r="AF755" s="465"/>
      <c r="AG755" s="465"/>
      <c r="AH755" s="465"/>
      <c r="AI755" s="592"/>
      <c r="AJ755" s="465"/>
      <c r="AK755" s="465"/>
      <c r="AL755" s="20"/>
      <c r="AM755" s="20"/>
      <c r="AN755" s="593"/>
      <c r="AO755" s="20"/>
      <c r="AP755" s="276"/>
      <c r="AQ755" s="276"/>
      <c r="AR755" s="276"/>
      <c r="AS755" s="276"/>
      <c r="AT755" s="276"/>
      <c r="AU755" s="276"/>
      <c r="AV755" s="276"/>
      <c r="AW755" s="276"/>
      <c r="AX755" s="276"/>
      <c r="AY755" s="276"/>
      <c r="AZ755" s="276"/>
      <c r="BA755" s="276"/>
      <c r="BB755" s="276"/>
      <c r="BC755" s="276"/>
    </row>
    <row r="756" spans="1:55" ht="12.75" customHeight="1">
      <c r="A756" s="465"/>
      <c r="B756" s="465"/>
      <c r="C756" s="147"/>
      <c r="D756" s="147"/>
      <c r="E756" s="585"/>
      <c r="F756" s="586"/>
      <c r="G756" s="458"/>
      <c r="H756" s="458"/>
      <c r="I756" s="458"/>
      <c r="J756" s="465"/>
      <c r="K756" s="587"/>
      <c r="L756" s="465"/>
      <c r="M756" s="465"/>
      <c r="N756" s="465"/>
      <c r="O756" s="587"/>
      <c r="P756" s="585"/>
      <c r="Q756" s="465"/>
      <c r="R756" s="458"/>
      <c r="S756" s="585"/>
      <c r="T756" s="588"/>
      <c r="U756" s="589"/>
      <c r="V756" s="587"/>
      <c r="W756" s="465"/>
      <c r="X756" s="465"/>
      <c r="Y756" s="590"/>
      <c r="Z756" s="458"/>
      <c r="AA756" s="591"/>
      <c r="AB756" s="465"/>
      <c r="AC756" s="465"/>
      <c r="AD756" s="465"/>
      <c r="AE756" s="465"/>
      <c r="AF756" s="465"/>
      <c r="AG756" s="465"/>
      <c r="AH756" s="465"/>
      <c r="AI756" s="592"/>
      <c r="AJ756" s="465"/>
      <c r="AK756" s="465"/>
      <c r="AL756" s="20"/>
      <c r="AM756" s="20"/>
      <c r="AN756" s="593"/>
      <c r="AO756" s="20"/>
      <c r="AP756" s="276"/>
      <c r="AQ756" s="276"/>
      <c r="AR756" s="276"/>
      <c r="AS756" s="276"/>
      <c r="AT756" s="276"/>
      <c r="AU756" s="276"/>
      <c r="AV756" s="276"/>
      <c r="AW756" s="276"/>
      <c r="AX756" s="276"/>
      <c r="AY756" s="276"/>
      <c r="AZ756" s="276"/>
      <c r="BA756" s="276"/>
      <c r="BB756" s="276"/>
      <c r="BC756" s="276"/>
    </row>
    <row r="757" spans="1:55" ht="12.75" customHeight="1">
      <c r="A757" s="465"/>
      <c r="B757" s="465"/>
      <c r="C757" s="147"/>
      <c r="D757" s="147"/>
      <c r="E757" s="585"/>
      <c r="F757" s="586"/>
      <c r="G757" s="458"/>
      <c r="H757" s="458"/>
      <c r="I757" s="458"/>
      <c r="J757" s="465"/>
      <c r="K757" s="587"/>
      <c r="L757" s="465"/>
      <c r="M757" s="465"/>
      <c r="N757" s="465"/>
      <c r="O757" s="587"/>
      <c r="P757" s="585"/>
      <c r="Q757" s="465"/>
      <c r="R757" s="458"/>
      <c r="S757" s="585"/>
      <c r="T757" s="588"/>
      <c r="U757" s="589"/>
      <c r="V757" s="587"/>
      <c r="W757" s="465"/>
      <c r="X757" s="465"/>
      <c r="Y757" s="590"/>
      <c r="Z757" s="458"/>
      <c r="AA757" s="591"/>
      <c r="AB757" s="465"/>
      <c r="AC757" s="465"/>
      <c r="AD757" s="465"/>
      <c r="AE757" s="465"/>
      <c r="AF757" s="465"/>
      <c r="AG757" s="465"/>
      <c r="AH757" s="465"/>
      <c r="AI757" s="592"/>
      <c r="AJ757" s="465"/>
      <c r="AK757" s="465"/>
      <c r="AL757" s="20"/>
      <c r="AM757" s="20"/>
      <c r="AN757" s="593"/>
      <c r="AO757" s="20"/>
      <c r="AP757" s="276"/>
      <c r="AQ757" s="276"/>
      <c r="AR757" s="276"/>
      <c r="AS757" s="276"/>
      <c r="AT757" s="276"/>
      <c r="AU757" s="276"/>
      <c r="AV757" s="276"/>
      <c r="AW757" s="276"/>
      <c r="AX757" s="276"/>
      <c r="AY757" s="276"/>
      <c r="AZ757" s="276"/>
      <c r="BA757" s="276"/>
      <c r="BB757" s="276"/>
      <c r="BC757" s="276"/>
    </row>
    <row r="758" spans="1:55" ht="12.75" customHeight="1">
      <c r="A758" s="465"/>
      <c r="B758" s="465"/>
      <c r="C758" s="147"/>
      <c r="D758" s="147"/>
      <c r="E758" s="585"/>
      <c r="F758" s="586"/>
      <c r="G758" s="458"/>
      <c r="H758" s="458"/>
      <c r="I758" s="458"/>
      <c r="J758" s="465"/>
      <c r="K758" s="587"/>
      <c r="L758" s="465"/>
      <c r="M758" s="465"/>
      <c r="N758" s="465"/>
      <c r="O758" s="587"/>
      <c r="P758" s="585"/>
      <c r="Q758" s="465"/>
      <c r="R758" s="458"/>
      <c r="S758" s="585"/>
      <c r="T758" s="588"/>
      <c r="U758" s="589"/>
      <c r="V758" s="587"/>
      <c r="W758" s="465"/>
      <c r="X758" s="465"/>
      <c r="Y758" s="590"/>
      <c r="Z758" s="458"/>
      <c r="AA758" s="591"/>
      <c r="AB758" s="465"/>
      <c r="AC758" s="465"/>
      <c r="AD758" s="465"/>
      <c r="AE758" s="465"/>
      <c r="AF758" s="465"/>
      <c r="AG758" s="465"/>
      <c r="AH758" s="465"/>
      <c r="AI758" s="592"/>
      <c r="AJ758" s="465"/>
      <c r="AK758" s="465"/>
      <c r="AL758" s="20"/>
      <c r="AM758" s="20"/>
      <c r="AN758" s="593"/>
      <c r="AO758" s="20"/>
      <c r="AP758" s="276"/>
      <c r="AQ758" s="276"/>
      <c r="AR758" s="276"/>
      <c r="AS758" s="276"/>
      <c r="AT758" s="276"/>
      <c r="AU758" s="276"/>
      <c r="AV758" s="276"/>
      <c r="AW758" s="276"/>
      <c r="AX758" s="276"/>
      <c r="AY758" s="276"/>
      <c r="AZ758" s="276"/>
      <c r="BA758" s="276"/>
      <c r="BB758" s="276"/>
      <c r="BC758" s="276"/>
    </row>
    <row r="759" spans="1:55" ht="12.75" customHeight="1">
      <c r="A759" s="465"/>
      <c r="B759" s="465"/>
      <c r="C759" s="147"/>
      <c r="D759" s="147"/>
      <c r="E759" s="585"/>
      <c r="F759" s="586"/>
      <c r="G759" s="458"/>
      <c r="H759" s="458"/>
      <c r="I759" s="458"/>
      <c r="J759" s="465"/>
      <c r="K759" s="587"/>
      <c r="L759" s="465"/>
      <c r="M759" s="465"/>
      <c r="N759" s="465"/>
      <c r="O759" s="587"/>
      <c r="P759" s="585"/>
      <c r="Q759" s="465"/>
      <c r="R759" s="458"/>
      <c r="S759" s="585"/>
      <c r="T759" s="588"/>
      <c r="U759" s="589"/>
      <c r="V759" s="587"/>
      <c r="W759" s="465"/>
      <c r="X759" s="465"/>
      <c r="Y759" s="590"/>
      <c r="Z759" s="458"/>
      <c r="AA759" s="591"/>
      <c r="AB759" s="465"/>
      <c r="AC759" s="465"/>
      <c r="AD759" s="465"/>
      <c r="AE759" s="465"/>
      <c r="AF759" s="465"/>
      <c r="AG759" s="465"/>
      <c r="AH759" s="465"/>
      <c r="AI759" s="592"/>
      <c r="AJ759" s="465"/>
      <c r="AK759" s="465"/>
      <c r="AL759" s="20"/>
      <c r="AM759" s="20"/>
      <c r="AN759" s="593"/>
      <c r="AO759" s="20"/>
      <c r="AP759" s="276"/>
      <c r="AQ759" s="276"/>
      <c r="AR759" s="276"/>
      <c r="AS759" s="276"/>
      <c r="AT759" s="276"/>
      <c r="AU759" s="276"/>
      <c r="AV759" s="276"/>
      <c r="AW759" s="276"/>
      <c r="AX759" s="276"/>
      <c r="AY759" s="276"/>
      <c r="AZ759" s="276"/>
      <c r="BA759" s="276"/>
      <c r="BB759" s="276"/>
      <c r="BC759" s="276"/>
    </row>
    <row r="760" spans="1:55" ht="12.75" customHeight="1">
      <c r="A760" s="465"/>
      <c r="B760" s="465"/>
      <c r="C760" s="147"/>
      <c r="D760" s="147"/>
      <c r="E760" s="585"/>
      <c r="F760" s="586"/>
      <c r="G760" s="458"/>
      <c r="H760" s="458"/>
      <c r="I760" s="458"/>
      <c r="J760" s="465"/>
      <c r="K760" s="587"/>
      <c r="L760" s="465"/>
      <c r="M760" s="465"/>
      <c r="N760" s="465"/>
      <c r="O760" s="587"/>
      <c r="P760" s="585"/>
      <c r="Q760" s="465"/>
      <c r="R760" s="458"/>
      <c r="S760" s="585"/>
      <c r="T760" s="588"/>
      <c r="U760" s="589"/>
      <c r="V760" s="587"/>
      <c r="W760" s="465"/>
      <c r="X760" s="465"/>
      <c r="Y760" s="590"/>
      <c r="Z760" s="458"/>
      <c r="AA760" s="591"/>
      <c r="AB760" s="465"/>
      <c r="AC760" s="465"/>
      <c r="AD760" s="465"/>
      <c r="AE760" s="465"/>
      <c r="AF760" s="465"/>
      <c r="AG760" s="465"/>
      <c r="AH760" s="465"/>
      <c r="AI760" s="592"/>
      <c r="AJ760" s="465"/>
      <c r="AK760" s="465"/>
      <c r="AL760" s="20"/>
      <c r="AM760" s="20"/>
      <c r="AN760" s="593"/>
      <c r="AO760" s="20"/>
      <c r="AP760" s="276"/>
      <c r="AQ760" s="276"/>
      <c r="AR760" s="276"/>
      <c r="AS760" s="276"/>
      <c r="AT760" s="276"/>
      <c r="AU760" s="276"/>
      <c r="AV760" s="276"/>
      <c r="AW760" s="276"/>
      <c r="AX760" s="276"/>
      <c r="AY760" s="276"/>
      <c r="AZ760" s="276"/>
      <c r="BA760" s="276"/>
      <c r="BB760" s="276"/>
      <c r="BC760" s="276"/>
    </row>
    <row r="761" spans="1:55" ht="12.75" customHeight="1">
      <c r="A761" s="465"/>
      <c r="B761" s="465"/>
      <c r="C761" s="147"/>
      <c r="D761" s="147"/>
      <c r="E761" s="585"/>
      <c r="F761" s="586"/>
      <c r="G761" s="458"/>
      <c r="H761" s="458"/>
      <c r="I761" s="458"/>
      <c r="J761" s="465"/>
      <c r="K761" s="587"/>
      <c r="L761" s="465"/>
      <c r="M761" s="465"/>
      <c r="N761" s="465"/>
      <c r="O761" s="587"/>
      <c r="P761" s="585"/>
      <c r="Q761" s="465"/>
      <c r="R761" s="458"/>
      <c r="S761" s="585"/>
      <c r="T761" s="588"/>
      <c r="U761" s="589"/>
      <c r="V761" s="587"/>
      <c r="W761" s="465"/>
      <c r="X761" s="465"/>
      <c r="Y761" s="590"/>
      <c r="Z761" s="458"/>
      <c r="AA761" s="591"/>
      <c r="AB761" s="465"/>
      <c r="AC761" s="465"/>
      <c r="AD761" s="465"/>
      <c r="AE761" s="465"/>
      <c r="AF761" s="465"/>
      <c r="AG761" s="465"/>
      <c r="AH761" s="465"/>
      <c r="AI761" s="592"/>
      <c r="AJ761" s="465"/>
      <c r="AK761" s="465"/>
      <c r="AL761" s="20"/>
      <c r="AM761" s="20"/>
      <c r="AN761" s="593"/>
      <c r="AO761" s="20"/>
      <c r="AP761" s="276"/>
      <c r="AQ761" s="276"/>
      <c r="AR761" s="276"/>
      <c r="AS761" s="276"/>
      <c r="AT761" s="276"/>
      <c r="AU761" s="276"/>
      <c r="AV761" s="276"/>
      <c r="AW761" s="276"/>
      <c r="AX761" s="276"/>
      <c r="AY761" s="276"/>
      <c r="AZ761" s="276"/>
      <c r="BA761" s="276"/>
      <c r="BB761" s="276"/>
      <c r="BC761" s="276"/>
    </row>
    <row r="762" spans="1:55" ht="12.75" customHeight="1">
      <c r="A762" s="465"/>
      <c r="B762" s="465"/>
      <c r="C762" s="147"/>
      <c r="D762" s="147"/>
      <c r="E762" s="585"/>
      <c r="F762" s="586"/>
      <c r="G762" s="458"/>
      <c r="H762" s="458"/>
      <c r="I762" s="458"/>
      <c r="J762" s="465"/>
      <c r="K762" s="587"/>
      <c r="L762" s="465"/>
      <c r="M762" s="465"/>
      <c r="N762" s="465"/>
      <c r="O762" s="587"/>
      <c r="P762" s="585"/>
      <c r="Q762" s="465"/>
      <c r="R762" s="458"/>
      <c r="S762" s="585"/>
      <c r="T762" s="588"/>
      <c r="U762" s="589"/>
      <c r="V762" s="587"/>
      <c r="W762" s="465"/>
      <c r="X762" s="465"/>
      <c r="Y762" s="590"/>
      <c r="Z762" s="458"/>
      <c r="AA762" s="591"/>
      <c r="AB762" s="465"/>
      <c r="AC762" s="465"/>
      <c r="AD762" s="465"/>
      <c r="AE762" s="465"/>
      <c r="AF762" s="465"/>
      <c r="AG762" s="465"/>
      <c r="AH762" s="465"/>
      <c r="AI762" s="592"/>
      <c r="AJ762" s="465"/>
      <c r="AK762" s="465"/>
      <c r="AL762" s="20"/>
      <c r="AM762" s="20"/>
      <c r="AN762" s="593"/>
      <c r="AO762" s="20"/>
      <c r="AP762" s="276"/>
      <c r="AQ762" s="276"/>
      <c r="AR762" s="276"/>
      <c r="AS762" s="276"/>
      <c r="AT762" s="276"/>
      <c r="AU762" s="276"/>
      <c r="AV762" s="276"/>
      <c r="AW762" s="276"/>
      <c r="AX762" s="276"/>
      <c r="AY762" s="276"/>
      <c r="AZ762" s="276"/>
      <c r="BA762" s="276"/>
      <c r="BB762" s="276"/>
      <c r="BC762" s="276"/>
    </row>
    <row r="763" spans="1:55" ht="12.75" customHeight="1">
      <c r="A763" s="465"/>
      <c r="B763" s="465"/>
      <c r="C763" s="147"/>
      <c r="D763" s="147"/>
      <c r="E763" s="585"/>
      <c r="F763" s="586"/>
      <c r="G763" s="458"/>
      <c r="H763" s="458"/>
      <c r="I763" s="458"/>
      <c r="J763" s="465"/>
      <c r="K763" s="587"/>
      <c r="L763" s="465"/>
      <c r="M763" s="465"/>
      <c r="N763" s="465"/>
      <c r="O763" s="587"/>
      <c r="P763" s="585"/>
      <c r="Q763" s="465"/>
      <c r="R763" s="458"/>
      <c r="S763" s="585"/>
      <c r="T763" s="588"/>
      <c r="U763" s="589"/>
      <c r="V763" s="587"/>
      <c r="W763" s="465"/>
      <c r="X763" s="465"/>
      <c r="Y763" s="590"/>
      <c r="Z763" s="458"/>
      <c r="AA763" s="591"/>
      <c r="AB763" s="465"/>
      <c r="AC763" s="465"/>
      <c r="AD763" s="465"/>
      <c r="AE763" s="465"/>
      <c r="AF763" s="465"/>
      <c r="AG763" s="465"/>
      <c r="AH763" s="465"/>
      <c r="AI763" s="592"/>
      <c r="AJ763" s="465"/>
      <c r="AK763" s="465"/>
      <c r="AL763" s="20"/>
      <c r="AM763" s="20"/>
      <c r="AN763" s="593"/>
      <c r="AO763" s="20"/>
      <c r="AP763" s="276"/>
      <c r="AQ763" s="276"/>
      <c r="AR763" s="276"/>
      <c r="AS763" s="276"/>
      <c r="AT763" s="276"/>
      <c r="AU763" s="276"/>
      <c r="AV763" s="276"/>
      <c r="AW763" s="276"/>
      <c r="AX763" s="276"/>
      <c r="AY763" s="276"/>
      <c r="AZ763" s="276"/>
      <c r="BA763" s="276"/>
      <c r="BB763" s="276"/>
      <c r="BC763" s="276"/>
    </row>
    <row r="764" spans="1:55" ht="12.75" customHeight="1">
      <c r="A764" s="465"/>
      <c r="B764" s="465"/>
      <c r="C764" s="147"/>
      <c r="D764" s="147"/>
      <c r="E764" s="585"/>
      <c r="F764" s="586"/>
      <c r="G764" s="458"/>
      <c r="H764" s="458"/>
      <c r="I764" s="458"/>
      <c r="J764" s="465"/>
      <c r="K764" s="587"/>
      <c r="L764" s="465"/>
      <c r="M764" s="465"/>
      <c r="N764" s="465"/>
      <c r="O764" s="587"/>
      <c r="P764" s="585"/>
      <c r="Q764" s="465"/>
      <c r="R764" s="458"/>
      <c r="S764" s="585"/>
      <c r="T764" s="588"/>
      <c r="U764" s="589"/>
      <c r="V764" s="587"/>
      <c r="W764" s="465"/>
      <c r="X764" s="465"/>
      <c r="Y764" s="590"/>
      <c r="Z764" s="458"/>
      <c r="AA764" s="591"/>
      <c r="AB764" s="465"/>
      <c r="AC764" s="465"/>
      <c r="AD764" s="465"/>
      <c r="AE764" s="465"/>
      <c r="AF764" s="465"/>
      <c r="AG764" s="465"/>
      <c r="AH764" s="465"/>
      <c r="AI764" s="592"/>
      <c r="AJ764" s="465"/>
      <c r="AK764" s="465"/>
      <c r="AL764" s="20"/>
      <c r="AM764" s="20"/>
      <c r="AN764" s="593"/>
      <c r="AO764" s="20"/>
      <c r="AP764" s="276"/>
      <c r="AQ764" s="276"/>
      <c r="AR764" s="276"/>
      <c r="AS764" s="276"/>
      <c r="AT764" s="276"/>
      <c r="AU764" s="276"/>
      <c r="AV764" s="276"/>
      <c r="AW764" s="276"/>
      <c r="AX764" s="276"/>
      <c r="AY764" s="276"/>
      <c r="AZ764" s="276"/>
      <c r="BA764" s="276"/>
      <c r="BB764" s="276"/>
      <c r="BC764" s="276"/>
    </row>
    <row r="765" spans="1:55" ht="12.75" customHeight="1">
      <c r="A765" s="465"/>
      <c r="B765" s="465"/>
      <c r="C765" s="147"/>
      <c r="D765" s="147"/>
      <c r="E765" s="585"/>
      <c r="F765" s="586"/>
      <c r="G765" s="458"/>
      <c r="H765" s="458"/>
      <c r="I765" s="458"/>
      <c r="J765" s="465"/>
      <c r="K765" s="587"/>
      <c r="L765" s="465"/>
      <c r="M765" s="465"/>
      <c r="N765" s="465"/>
      <c r="O765" s="587"/>
      <c r="P765" s="585"/>
      <c r="Q765" s="465"/>
      <c r="R765" s="458"/>
      <c r="S765" s="585"/>
      <c r="T765" s="588"/>
      <c r="U765" s="589"/>
      <c r="V765" s="587"/>
      <c r="W765" s="465"/>
      <c r="X765" s="465"/>
      <c r="Y765" s="590"/>
      <c r="Z765" s="458"/>
      <c r="AA765" s="591"/>
      <c r="AB765" s="465"/>
      <c r="AC765" s="465"/>
      <c r="AD765" s="465"/>
      <c r="AE765" s="465"/>
      <c r="AF765" s="465"/>
      <c r="AG765" s="465"/>
      <c r="AH765" s="465"/>
      <c r="AI765" s="592"/>
      <c r="AJ765" s="465"/>
      <c r="AK765" s="465"/>
      <c r="AL765" s="20"/>
      <c r="AM765" s="20"/>
      <c r="AN765" s="593"/>
      <c r="AO765" s="20"/>
      <c r="AP765" s="276"/>
      <c r="AQ765" s="276"/>
      <c r="AR765" s="276"/>
      <c r="AS765" s="276"/>
      <c r="AT765" s="276"/>
      <c r="AU765" s="276"/>
      <c r="AV765" s="276"/>
      <c r="AW765" s="276"/>
      <c r="AX765" s="276"/>
      <c r="AY765" s="276"/>
      <c r="AZ765" s="276"/>
      <c r="BA765" s="276"/>
      <c r="BB765" s="276"/>
      <c r="BC765" s="276"/>
    </row>
    <row r="766" spans="1:55" ht="12.75" customHeight="1">
      <c r="A766" s="465"/>
      <c r="B766" s="465"/>
      <c r="C766" s="147"/>
      <c r="D766" s="147"/>
      <c r="E766" s="585"/>
      <c r="F766" s="586"/>
      <c r="G766" s="458"/>
      <c r="H766" s="458"/>
      <c r="I766" s="458"/>
      <c r="J766" s="465"/>
      <c r="K766" s="587"/>
      <c r="L766" s="465"/>
      <c r="M766" s="465"/>
      <c r="N766" s="465"/>
      <c r="O766" s="587"/>
      <c r="P766" s="585"/>
      <c r="Q766" s="465"/>
      <c r="R766" s="458"/>
      <c r="S766" s="585"/>
      <c r="T766" s="588"/>
      <c r="U766" s="589"/>
      <c r="V766" s="587"/>
      <c r="W766" s="465"/>
      <c r="X766" s="465"/>
      <c r="Y766" s="590"/>
      <c r="Z766" s="458"/>
      <c r="AA766" s="591"/>
      <c r="AB766" s="465"/>
      <c r="AC766" s="465"/>
      <c r="AD766" s="465"/>
      <c r="AE766" s="465"/>
      <c r="AF766" s="465"/>
      <c r="AG766" s="465"/>
      <c r="AH766" s="465"/>
      <c r="AI766" s="592"/>
      <c r="AJ766" s="465"/>
      <c r="AK766" s="465"/>
      <c r="AL766" s="20"/>
      <c r="AM766" s="20"/>
      <c r="AN766" s="593"/>
      <c r="AO766" s="20"/>
      <c r="AP766" s="276"/>
      <c r="AQ766" s="276"/>
      <c r="AR766" s="276"/>
      <c r="AS766" s="276"/>
      <c r="AT766" s="276"/>
      <c r="AU766" s="276"/>
      <c r="AV766" s="276"/>
      <c r="AW766" s="276"/>
      <c r="AX766" s="276"/>
      <c r="AY766" s="276"/>
      <c r="AZ766" s="276"/>
      <c r="BA766" s="276"/>
      <c r="BB766" s="276"/>
      <c r="BC766" s="276"/>
    </row>
    <row r="767" spans="1:55" ht="12.75" customHeight="1">
      <c r="A767" s="465"/>
      <c r="B767" s="465"/>
      <c r="C767" s="147"/>
      <c r="D767" s="147"/>
      <c r="E767" s="585"/>
      <c r="F767" s="586"/>
      <c r="G767" s="458"/>
      <c r="H767" s="458"/>
      <c r="I767" s="458"/>
      <c r="J767" s="465"/>
      <c r="K767" s="587"/>
      <c r="L767" s="465"/>
      <c r="M767" s="465"/>
      <c r="N767" s="465"/>
      <c r="O767" s="587"/>
      <c r="P767" s="585"/>
      <c r="Q767" s="465"/>
      <c r="R767" s="458"/>
      <c r="S767" s="585"/>
      <c r="T767" s="588"/>
      <c r="U767" s="589"/>
      <c r="V767" s="587"/>
      <c r="W767" s="465"/>
      <c r="X767" s="465"/>
      <c r="Y767" s="590"/>
      <c r="Z767" s="458"/>
      <c r="AA767" s="591"/>
      <c r="AB767" s="465"/>
      <c r="AC767" s="465"/>
      <c r="AD767" s="465"/>
      <c r="AE767" s="465"/>
      <c r="AF767" s="465"/>
      <c r="AG767" s="465"/>
      <c r="AH767" s="465"/>
      <c r="AI767" s="592"/>
      <c r="AJ767" s="465"/>
      <c r="AK767" s="465"/>
      <c r="AL767" s="20"/>
      <c r="AM767" s="20"/>
      <c r="AN767" s="593"/>
      <c r="AO767" s="20"/>
      <c r="AP767" s="276"/>
      <c r="AQ767" s="276"/>
      <c r="AR767" s="276"/>
      <c r="AS767" s="276"/>
      <c r="AT767" s="276"/>
      <c r="AU767" s="276"/>
      <c r="AV767" s="276"/>
      <c r="AW767" s="276"/>
      <c r="AX767" s="276"/>
      <c r="AY767" s="276"/>
      <c r="AZ767" s="276"/>
      <c r="BA767" s="276"/>
      <c r="BB767" s="276"/>
      <c r="BC767" s="276"/>
    </row>
    <row r="768" spans="1:55" ht="12.75" customHeight="1">
      <c r="A768" s="465"/>
      <c r="B768" s="465"/>
      <c r="C768" s="147"/>
      <c r="D768" s="147"/>
      <c r="E768" s="585"/>
      <c r="F768" s="586"/>
      <c r="G768" s="458"/>
      <c r="H768" s="458"/>
      <c r="I768" s="458"/>
      <c r="J768" s="465"/>
      <c r="K768" s="587"/>
      <c r="L768" s="465"/>
      <c r="M768" s="465"/>
      <c r="N768" s="465"/>
      <c r="O768" s="587"/>
      <c r="P768" s="585"/>
      <c r="Q768" s="465"/>
      <c r="R768" s="458"/>
      <c r="S768" s="585"/>
      <c r="T768" s="588"/>
      <c r="U768" s="589"/>
      <c r="V768" s="587"/>
      <c r="W768" s="465"/>
      <c r="X768" s="465"/>
      <c r="Y768" s="590"/>
      <c r="Z768" s="458"/>
      <c r="AA768" s="591"/>
      <c r="AB768" s="465"/>
      <c r="AC768" s="465"/>
      <c r="AD768" s="465"/>
      <c r="AE768" s="465"/>
      <c r="AF768" s="465"/>
      <c r="AG768" s="465"/>
      <c r="AH768" s="465"/>
      <c r="AI768" s="592"/>
      <c r="AJ768" s="465"/>
      <c r="AK768" s="465"/>
      <c r="AL768" s="20"/>
      <c r="AM768" s="20"/>
      <c r="AN768" s="593"/>
      <c r="AO768" s="20"/>
      <c r="AP768" s="276"/>
      <c r="AQ768" s="276"/>
      <c r="AR768" s="276"/>
      <c r="AS768" s="276"/>
      <c r="AT768" s="276"/>
      <c r="AU768" s="276"/>
      <c r="AV768" s="276"/>
      <c r="AW768" s="276"/>
      <c r="AX768" s="276"/>
      <c r="AY768" s="276"/>
      <c r="AZ768" s="276"/>
      <c r="BA768" s="276"/>
      <c r="BB768" s="276"/>
      <c r="BC768" s="276"/>
    </row>
    <row r="769" spans="1:55" ht="12.75" customHeight="1">
      <c r="A769" s="465"/>
      <c r="B769" s="465"/>
      <c r="C769" s="147"/>
      <c r="D769" s="147"/>
      <c r="E769" s="585"/>
      <c r="F769" s="586"/>
      <c r="G769" s="458"/>
      <c r="H769" s="458"/>
      <c r="I769" s="458"/>
      <c r="J769" s="465"/>
      <c r="K769" s="587"/>
      <c r="L769" s="465"/>
      <c r="M769" s="465"/>
      <c r="N769" s="465"/>
      <c r="O769" s="587"/>
      <c r="P769" s="585"/>
      <c r="Q769" s="465"/>
      <c r="R769" s="458"/>
      <c r="S769" s="585"/>
      <c r="T769" s="588"/>
      <c r="U769" s="589"/>
      <c r="V769" s="587"/>
      <c r="W769" s="465"/>
      <c r="X769" s="465"/>
      <c r="Y769" s="590"/>
      <c r="Z769" s="458"/>
      <c r="AA769" s="591"/>
      <c r="AB769" s="465"/>
      <c r="AC769" s="465"/>
      <c r="AD769" s="465"/>
      <c r="AE769" s="465"/>
      <c r="AF769" s="465"/>
      <c r="AG769" s="465"/>
      <c r="AH769" s="465"/>
      <c r="AI769" s="592"/>
      <c r="AJ769" s="465"/>
      <c r="AK769" s="465"/>
      <c r="AL769" s="20"/>
      <c r="AM769" s="20"/>
      <c r="AN769" s="593"/>
      <c r="AO769" s="20"/>
      <c r="AP769" s="276"/>
      <c r="AQ769" s="276"/>
      <c r="AR769" s="276"/>
      <c r="AS769" s="276"/>
      <c r="AT769" s="276"/>
      <c r="AU769" s="276"/>
      <c r="AV769" s="276"/>
      <c r="AW769" s="276"/>
      <c r="AX769" s="276"/>
      <c r="AY769" s="276"/>
      <c r="AZ769" s="276"/>
      <c r="BA769" s="276"/>
      <c r="BB769" s="276"/>
      <c r="BC769" s="276"/>
    </row>
    <row r="770" spans="1:55" ht="12.75" customHeight="1">
      <c r="A770" s="465"/>
      <c r="B770" s="465"/>
      <c r="C770" s="147"/>
      <c r="D770" s="147"/>
      <c r="E770" s="585"/>
      <c r="F770" s="586"/>
      <c r="G770" s="458"/>
      <c r="H770" s="458"/>
      <c r="I770" s="458"/>
      <c r="J770" s="465"/>
      <c r="K770" s="587"/>
      <c r="L770" s="465"/>
      <c r="M770" s="465"/>
      <c r="N770" s="465"/>
      <c r="O770" s="587"/>
      <c r="P770" s="585"/>
      <c r="Q770" s="465"/>
      <c r="R770" s="458"/>
      <c r="S770" s="585"/>
      <c r="T770" s="588"/>
      <c r="U770" s="589"/>
      <c r="V770" s="587"/>
      <c r="W770" s="465"/>
      <c r="X770" s="465"/>
      <c r="Y770" s="590"/>
      <c r="Z770" s="458"/>
      <c r="AA770" s="591"/>
      <c r="AB770" s="465"/>
      <c r="AC770" s="465"/>
      <c r="AD770" s="465"/>
      <c r="AE770" s="465"/>
      <c r="AF770" s="465"/>
      <c r="AG770" s="465"/>
      <c r="AH770" s="465"/>
      <c r="AI770" s="592"/>
      <c r="AJ770" s="465"/>
      <c r="AK770" s="465"/>
      <c r="AL770" s="20"/>
      <c r="AM770" s="20"/>
      <c r="AN770" s="593"/>
      <c r="AO770" s="20"/>
      <c r="AP770" s="276"/>
      <c r="AQ770" s="276"/>
      <c r="AR770" s="276"/>
      <c r="AS770" s="276"/>
      <c r="AT770" s="276"/>
      <c r="AU770" s="276"/>
      <c r="AV770" s="276"/>
      <c r="AW770" s="276"/>
      <c r="AX770" s="276"/>
      <c r="AY770" s="276"/>
      <c r="AZ770" s="276"/>
      <c r="BA770" s="276"/>
      <c r="BB770" s="276"/>
      <c r="BC770" s="276"/>
    </row>
    <row r="771" spans="1:55" ht="12.75" customHeight="1">
      <c r="A771" s="465"/>
      <c r="B771" s="465"/>
      <c r="C771" s="147"/>
      <c r="D771" s="147"/>
      <c r="E771" s="585"/>
      <c r="F771" s="586"/>
      <c r="G771" s="458"/>
      <c r="H771" s="458"/>
      <c r="I771" s="458"/>
      <c r="J771" s="465"/>
      <c r="K771" s="587"/>
      <c r="L771" s="465"/>
      <c r="M771" s="465"/>
      <c r="N771" s="465"/>
      <c r="O771" s="587"/>
      <c r="P771" s="585"/>
      <c r="Q771" s="465"/>
      <c r="R771" s="458"/>
      <c r="S771" s="585"/>
      <c r="T771" s="588"/>
      <c r="U771" s="589"/>
      <c r="V771" s="587"/>
      <c r="W771" s="465"/>
      <c r="X771" s="465"/>
      <c r="Y771" s="590"/>
      <c r="Z771" s="458"/>
      <c r="AA771" s="591"/>
      <c r="AB771" s="465"/>
      <c r="AC771" s="465"/>
      <c r="AD771" s="465"/>
      <c r="AE771" s="465"/>
      <c r="AF771" s="465"/>
      <c r="AG771" s="465"/>
      <c r="AH771" s="465"/>
      <c r="AI771" s="592"/>
      <c r="AJ771" s="465"/>
      <c r="AK771" s="465"/>
      <c r="AL771" s="20"/>
      <c r="AM771" s="20"/>
      <c r="AN771" s="593"/>
      <c r="AO771" s="20"/>
      <c r="AP771" s="276"/>
      <c r="AQ771" s="276"/>
      <c r="AR771" s="276"/>
      <c r="AS771" s="276"/>
      <c r="AT771" s="276"/>
      <c r="AU771" s="276"/>
      <c r="AV771" s="276"/>
      <c r="AW771" s="276"/>
      <c r="AX771" s="276"/>
      <c r="AY771" s="276"/>
      <c r="AZ771" s="276"/>
      <c r="BA771" s="276"/>
      <c r="BB771" s="276"/>
      <c r="BC771" s="276"/>
    </row>
    <row r="772" spans="1:55" ht="12.75" customHeight="1">
      <c r="A772" s="465"/>
      <c r="B772" s="465"/>
      <c r="C772" s="147"/>
      <c r="D772" s="147"/>
      <c r="E772" s="585"/>
      <c r="F772" s="586"/>
      <c r="G772" s="458"/>
      <c r="H772" s="458"/>
      <c r="I772" s="458"/>
      <c r="J772" s="465"/>
      <c r="K772" s="587"/>
      <c r="L772" s="465"/>
      <c r="M772" s="465"/>
      <c r="N772" s="465"/>
      <c r="O772" s="587"/>
      <c r="P772" s="585"/>
      <c r="Q772" s="465"/>
      <c r="R772" s="458"/>
      <c r="S772" s="585"/>
      <c r="T772" s="588"/>
      <c r="U772" s="589"/>
      <c r="V772" s="587"/>
      <c r="W772" s="465"/>
      <c r="X772" s="465"/>
      <c r="Y772" s="590"/>
      <c r="Z772" s="458"/>
      <c r="AA772" s="591"/>
      <c r="AB772" s="465"/>
      <c r="AC772" s="465"/>
      <c r="AD772" s="465"/>
      <c r="AE772" s="465"/>
      <c r="AF772" s="465"/>
      <c r="AG772" s="465"/>
      <c r="AH772" s="465"/>
      <c r="AI772" s="592"/>
      <c r="AJ772" s="465"/>
      <c r="AK772" s="465"/>
      <c r="AL772" s="20"/>
      <c r="AM772" s="20"/>
      <c r="AN772" s="593"/>
      <c r="AO772" s="20"/>
      <c r="AP772" s="276"/>
      <c r="AQ772" s="276"/>
      <c r="AR772" s="276"/>
      <c r="AS772" s="276"/>
      <c r="AT772" s="276"/>
      <c r="AU772" s="276"/>
      <c r="AV772" s="276"/>
      <c r="AW772" s="276"/>
      <c r="AX772" s="276"/>
      <c r="AY772" s="276"/>
      <c r="AZ772" s="276"/>
      <c r="BA772" s="276"/>
      <c r="BB772" s="276"/>
      <c r="BC772" s="276"/>
    </row>
    <row r="773" spans="1:55" ht="12.75" customHeight="1">
      <c r="A773" s="465"/>
      <c r="B773" s="465"/>
      <c r="C773" s="147"/>
      <c r="D773" s="147"/>
      <c r="E773" s="585"/>
      <c r="F773" s="586"/>
      <c r="G773" s="458"/>
      <c r="H773" s="458"/>
      <c r="I773" s="458"/>
      <c r="J773" s="465"/>
      <c r="K773" s="587"/>
      <c r="L773" s="465"/>
      <c r="M773" s="465"/>
      <c r="N773" s="465"/>
      <c r="O773" s="587"/>
      <c r="P773" s="585"/>
      <c r="Q773" s="465"/>
      <c r="R773" s="458"/>
      <c r="S773" s="585"/>
      <c r="T773" s="588"/>
      <c r="U773" s="589"/>
      <c r="V773" s="587"/>
      <c r="W773" s="465"/>
      <c r="X773" s="465"/>
      <c r="Y773" s="590"/>
      <c r="Z773" s="458"/>
      <c r="AA773" s="591"/>
      <c r="AB773" s="465"/>
      <c r="AC773" s="465"/>
      <c r="AD773" s="465"/>
      <c r="AE773" s="465"/>
      <c r="AF773" s="465"/>
      <c r="AG773" s="465"/>
      <c r="AH773" s="465"/>
      <c r="AI773" s="592"/>
      <c r="AJ773" s="465"/>
      <c r="AK773" s="465"/>
      <c r="AL773" s="20"/>
      <c r="AM773" s="20"/>
      <c r="AN773" s="593"/>
      <c r="AO773" s="20"/>
      <c r="AP773" s="276"/>
      <c r="AQ773" s="276"/>
      <c r="AR773" s="276"/>
      <c r="AS773" s="276"/>
      <c r="AT773" s="276"/>
      <c r="AU773" s="276"/>
      <c r="AV773" s="276"/>
      <c r="AW773" s="276"/>
      <c r="AX773" s="276"/>
      <c r="AY773" s="276"/>
      <c r="AZ773" s="276"/>
      <c r="BA773" s="276"/>
      <c r="BB773" s="276"/>
      <c r="BC773" s="276"/>
    </row>
    <row r="774" spans="1:55" ht="12.75" customHeight="1">
      <c r="A774" s="465"/>
      <c r="B774" s="465"/>
      <c r="C774" s="147"/>
      <c r="D774" s="147"/>
      <c r="E774" s="585"/>
      <c r="F774" s="586"/>
      <c r="G774" s="458"/>
      <c r="H774" s="458"/>
      <c r="I774" s="458"/>
      <c r="J774" s="465"/>
      <c r="K774" s="587"/>
      <c r="L774" s="465"/>
      <c r="M774" s="465"/>
      <c r="N774" s="465"/>
      <c r="O774" s="587"/>
      <c r="P774" s="585"/>
      <c r="Q774" s="465"/>
      <c r="R774" s="458"/>
      <c r="S774" s="585"/>
      <c r="T774" s="588"/>
      <c r="U774" s="589"/>
      <c r="V774" s="587"/>
      <c r="W774" s="465"/>
      <c r="X774" s="465"/>
      <c r="Y774" s="590"/>
      <c r="Z774" s="458"/>
      <c r="AA774" s="591"/>
      <c r="AB774" s="465"/>
      <c r="AC774" s="465"/>
      <c r="AD774" s="465"/>
      <c r="AE774" s="465"/>
      <c r="AF774" s="465"/>
      <c r="AG774" s="465"/>
      <c r="AH774" s="465"/>
      <c r="AI774" s="592"/>
      <c r="AJ774" s="465"/>
      <c r="AK774" s="465"/>
      <c r="AL774" s="20"/>
      <c r="AM774" s="20"/>
      <c r="AN774" s="593"/>
      <c r="AO774" s="20"/>
      <c r="AP774" s="276"/>
      <c r="AQ774" s="276"/>
      <c r="AR774" s="276"/>
      <c r="AS774" s="276"/>
      <c r="AT774" s="276"/>
      <c r="AU774" s="276"/>
      <c r="AV774" s="276"/>
      <c r="AW774" s="276"/>
      <c r="AX774" s="276"/>
      <c r="AY774" s="276"/>
      <c r="AZ774" s="276"/>
      <c r="BA774" s="276"/>
      <c r="BB774" s="276"/>
      <c r="BC774" s="276"/>
    </row>
    <row r="775" spans="1:55" ht="12.75" customHeight="1">
      <c r="A775" s="465"/>
      <c r="B775" s="465"/>
      <c r="C775" s="147"/>
      <c r="D775" s="147"/>
      <c r="E775" s="585"/>
      <c r="F775" s="586"/>
      <c r="G775" s="458"/>
      <c r="H775" s="458"/>
      <c r="I775" s="458"/>
      <c r="J775" s="465"/>
      <c r="K775" s="587"/>
      <c r="L775" s="465"/>
      <c r="M775" s="465"/>
      <c r="N775" s="465"/>
      <c r="O775" s="587"/>
      <c r="P775" s="585"/>
      <c r="Q775" s="465"/>
      <c r="R775" s="458"/>
      <c r="S775" s="585"/>
      <c r="T775" s="588"/>
      <c r="U775" s="589"/>
      <c r="V775" s="587"/>
      <c r="W775" s="465"/>
      <c r="X775" s="465"/>
      <c r="Y775" s="590"/>
      <c r="Z775" s="458"/>
      <c r="AA775" s="591"/>
      <c r="AB775" s="465"/>
      <c r="AC775" s="465"/>
      <c r="AD775" s="465"/>
      <c r="AE775" s="465"/>
      <c r="AF775" s="465"/>
      <c r="AG775" s="465"/>
      <c r="AH775" s="465"/>
      <c r="AI775" s="592"/>
      <c r="AJ775" s="465"/>
      <c r="AK775" s="465"/>
      <c r="AL775" s="20"/>
      <c r="AM775" s="20"/>
      <c r="AN775" s="593"/>
      <c r="AO775" s="20"/>
      <c r="AP775" s="276"/>
      <c r="AQ775" s="276"/>
      <c r="AR775" s="276"/>
      <c r="AS775" s="276"/>
      <c r="AT775" s="276"/>
      <c r="AU775" s="276"/>
      <c r="AV775" s="276"/>
      <c r="AW775" s="276"/>
      <c r="AX775" s="276"/>
      <c r="AY775" s="276"/>
      <c r="AZ775" s="276"/>
      <c r="BA775" s="276"/>
      <c r="BB775" s="276"/>
      <c r="BC775" s="276"/>
    </row>
    <row r="776" spans="1:55" ht="12.75" customHeight="1">
      <c r="A776" s="465"/>
      <c r="B776" s="465"/>
      <c r="C776" s="147"/>
      <c r="D776" s="147"/>
      <c r="E776" s="585"/>
      <c r="F776" s="586"/>
      <c r="G776" s="458"/>
      <c r="H776" s="458"/>
      <c r="I776" s="458"/>
      <c r="J776" s="465"/>
      <c r="K776" s="587"/>
      <c r="L776" s="465"/>
      <c r="M776" s="465"/>
      <c r="N776" s="465"/>
      <c r="O776" s="587"/>
      <c r="P776" s="585"/>
      <c r="Q776" s="465"/>
      <c r="R776" s="458"/>
      <c r="S776" s="585"/>
      <c r="T776" s="588"/>
      <c r="U776" s="589"/>
      <c r="V776" s="587"/>
      <c r="W776" s="465"/>
      <c r="X776" s="465"/>
      <c r="Y776" s="590"/>
      <c r="Z776" s="458"/>
      <c r="AA776" s="591"/>
      <c r="AB776" s="465"/>
      <c r="AC776" s="465"/>
      <c r="AD776" s="465"/>
      <c r="AE776" s="465"/>
      <c r="AF776" s="465"/>
      <c r="AG776" s="465"/>
      <c r="AH776" s="465"/>
      <c r="AI776" s="592"/>
      <c r="AJ776" s="465"/>
      <c r="AK776" s="465"/>
      <c r="AL776" s="20"/>
      <c r="AM776" s="20"/>
      <c r="AN776" s="593"/>
      <c r="AO776" s="20"/>
      <c r="AP776" s="276"/>
      <c r="AQ776" s="276"/>
      <c r="AR776" s="276"/>
      <c r="AS776" s="276"/>
      <c r="AT776" s="276"/>
      <c r="AU776" s="276"/>
      <c r="AV776" s="276"/>
      <c r="AW776" s="276"/>
      <c r="AX776" s="276"/>
      <c r="AY776" s="276"/>
      <c r="AZ776" s="276"/>
      <c r="BA776" s="276"/>
      <c r="BB776" s="276"/>
      <c r="BC776" s="276"/>
    </row>
    <row r="777" spans="1:55" ht="12.75" customHeight="1">
      <c r="A777" s="465"/>
      <c r="B777" s="465"/>
      <c r="C777" s="147"/>
      <c r="D777" s="147"/>
      <c r="E777" s="585"/>
      <c r="F777" s="586"/>
      <c r="G777" s="458"/>
      <c r="H777" s="458"/>
      <c r="I777" s="458"/>
      <c r="J777" s="465"/>
      <c r="K777" s="587"/>
      <c r="L777" s="465"/>
      <c r="M777" s="465"/>
      <c r="N777" s="465"/>
      <c r="O777" s="587"/>
      <c r="P777" s="585"/>
      <c r="Q777" s="465"/>
      <c r="R777" s="458"/>
      <c r="S777" s="585"/>
      <c r="T777" s="588"/>
      <c r="U777" s="589"/>
      <c r="V777" s="587"/>
      <c r="W777" s="465"/>
      <c r="X777" s="465"/>
      <c r="Y777" s="590"/>
      <c r="Z777" s="458"/>
      <c r="AA777" s="591"/>
      <c r="AB777" s="465"/>
      <c r="AC777" s="465"/>
      <c r="AD777" s="465"/>
      <c r="AE777" s="465"/>
      <c r="AF777" s="465"/>
      <c r="AG777" s="465"/>
      <c r="AH777" s="465"/>
      <c r="AI777" s="592"/>
      <c r="AJ777" s="465"/>
      <c r="AK777" s="465"/>
      <c r="AL777" s="20"/>
      <c r="AM777" s="20"/>
      <c r="AN777" s="593"/>
      <c r="AO777" s="20"/>
      <c r="AP777" s="276"/>
      <c r="AQ777" s="276"/>
      <c r="AR777" s="276"/>
      <c r="AS777" s="276"/>
      <c r="AT777" s="276"/>
      <c r="AU777" s="276"/>
      <c r="AV777" s="276"/>
      <c r="AW777" s="276"/>
      <c r="AX777" s="276"/>
      <c r="AY777" s="276"/>
      <c r="AZ777" s="276"/>
      <c r="BA777" s="276"/>
      <c r="BB777" s="276"/>
      <c r="BC777" s="276"/>
    </row>
    <row r="778" spans="1:55" ht="12.75" customHeight="1">
      <c r="A778" s="465"/>
      <c r="B778" s="465"/>
      <c r="C778" s="147"/>
      <c r="D778" s="147"/>
      <c r="E778" s="585"/>
      <c r="F778" s="586"/>
      <c r="G778" s="458"/>
      <c r="H778" s="458"/>
      <c r="I778" s="458"/>
      <c r="J778" s="465"/>
      <c r="K778" s="587"/>
      <c r="L778" s="465"/>
      <c r="M778" s="465"/>
      <c r="N778" s="465"/>
      <c r="O778" s="587"/>
      <c r="P778" s="585"/>
      <c r="Q778" s="465"/>
      <c r="R778" s="458"/>
      <c r="S778" s="585"/>
      <c r="T778" s="588"/>
      <c r="U778" s="589"/>
      <c r="V778" s="587"/>
      <c r="W778" s="465"/>
      <c r="X778" s="465"/>
      <c r="Y778" s="590"/>
      <c r="Z778" s="458"/>
      <c r="AA778" s="591"/>
      <c r="AB778" s="465"/>
      <c r="AC778" s="465"/>
      <c r="AD778" s="465"/>
      <c r="AE778" s="465"/>
      <c r="AF778" s="465"/>
      <c r="AG778" s="465"/>
      <c r="AH778" s="465"/>
      <c r="AI778" s="592"/>
      <c r="AJ778" s="465"/>
      <c r="AK778" s="465"/>
      <c r="AL778" s="20"/>
      <c r="AM778" s="20"/>
      <c r="AN778" s="593"/>
      <c r="AO778" s="20"/>
      <c r="AP778" s="276"/>
      <c r="AQ778" s="276"/>
      <c r="AR778" s="276"/>
      <c r="AS778" s="276"/>
      <c r="AT778" s="276"/>
      <c r="AU778" s="276"/>
      <c r="AV778" s="276"/>
      <c r="AW778" s="276"/>
      <c r="AX778" s="276"/>
      <c r="AY778" s="276"/>
      <c r="AZ778" s="276"/>
      <c r="BA778" s="276"/>
      <c r="BB778" s="276"/>
      <c r="BC778" s="276"/>
    </row>
    <row r="779" spans="1:55" ht="12.75" customHeight="1">
      <c r="A779" s="465"/>
      <c r="B779" s="465"/>
      <c r="C779" s="147"/>
      <c r="D779" s="147"/>
      <c r="E779" s="585"/>
      <c r="F779" s="586"/>
      <c r="G779" s="458"/>
      <c r="H779" s="458"/>
      <c r="I779" s="458"/>
      <c r="J779" s="465"/>
      <c r="K779" s="587"/>
      <c r="L779" s="465"/>
      <c r="M779" s="465"/>
      <c r="N779" s="465"/>
      <c r="O779" s="587"/>
      <c r="P779" s="585"/>
      <c r="Q779" s="465"/>
      <c r="R779" s="458"/>
      <c r="S779" s="585"/>
      <c r="T779" s="588"/>
      <c r="U779" s="589"/>
      <c r="V779" s="587"/>
      <c r="W779" s="465"/>
      <c r="X779" s="465"/>
      <c r="Y779" s="590"/>
      <c r="Z779" s="458"/>
      <c r="AA779" s="591"/>
      <c r="AB779" s="465"/>
      <c r="AC779" s="465"/>
      <c r="AD779" s="465"/>
      <c r="AE779" s="465"/>
      <c r="AF779" s="465"/>
      <c r="AG779" s="465"/>
      <c r="AH779" s="465"/>
      <c r="AI779" s="592"/>
      <c r="AJ779" s="465"/>
      <c r="AK779" s="465"/>
      <c r="AL779" s="20"/>
      <c r="AM779" s="20"/>
      <c r="AN779" s="593"/>
      <c r="AO779" s="20"/>
      <c r="AP779" s="276"/>
      <c r="AQ779" s="276"/>
      <c r="AR779" s="276"/>
      <c r="AS779" s="276"/>
      <c r="AT779" s="276"/>
      <c r="AU779" s="276"/>
      <c r="AV779" s="276"/>
      <c r="AW779" s="276"/>
      <c r="AX779" s="276"/>
      <c r="AY779" s="276"/>
      <c r="AZ779" s="276"/>
      <c r="BA779" s="276"/>
      <c r="BB779" s="276"/>
      <c r="BC779" s="276"/>
    </row>
    <row r="780" spans="1:55" ht="12.75" customHeight="1">
      <c r="A780" s="465"/>
      <c r="B780" s="465"/>
      <c r="C780" s="147"/>
      <c r="D780" s="147"/>
      <c r="E780" s="585"/>
      <c r="F780" s="586"/>
      <c r="G780" s="458"/>
      <c r="H780" s="458"/>
      <c r="I780" s="458"/>
      <c r="J780" s="465"/>
      <c r="K780" s="587"/>
      <c r="L780" s="465"/>
      <c r="M780" s="465"/>
      <c r="N780" s="465"/>
      <c r="O780" s="587"/>
      <c r="P780" s="585"/>
      <c r="Q780" s="465"/>
      <c r="R780" s="458"/>
      <c r="S780" s="585"/>
      <c r="T780" s="588"/>
      <c r="U780" s="589"/>
      <c r="V780" s="587"/>
      <c r="W780" s="465"/>
      <c r="X780" s="465"/>
      <c r="Y780" s="590"/>
      <c r="Z780" s="458"/>
      <c r="AA780" s="591"/>
      <c r="AB780" s="465"/>
      <c r="AC780" s="465"/>
      <c r="AD780" s="465"/>
      <c r="AE780" s="465"/>
      <c r="AF780" s="465"/>
      <c r="AG780" s="465"/>
      <c r="AH780" s="465"/>
      <c r="AI780" s="592"/>
      <c r="AJ780" s="465"/>
      <c r="AK780" s="465"/>
      <c r="AL780" s="20"/>
      <c r="AM780" s="20"/>
      <c r="AN780" s="593"/>
      <c r="AO780" s="20"/>
      <c r="AP780" s="276"/>
      <c r="AQ780" s="276"/>
      <c r="AR780" s="276"/>
      <c r="AS780" s="276"/>
      <c r="AT780" s="276"/>
      <c r="AU780" s="276"/>
      <c r="AV780" s="276"/>
      <c r="AW780" s="276"/>
      <c r="AX780" s="276"/>
      <c r="AY780" s="276"/>
      <c r="AZ780" s="276"/>
      <c r="BA780" s="276"/>
      <c r="BB780" s="276"/>
      <c r="BC780" s="276"/>
    </row>
    <row r="781" spans="1:55" ht="12.75" customHeight="1">
      <c r="A781" s="465"/>
      <c r="B781" s="465"/>
      <c r="C781" s="147"/>
      <c r="D781" s="147"/>
      <c r="E781" s="585"/>
      <c r="F781" s="586"/>
      <c r="G781" s="458"/>
      <c r="H781" s="458"/>
      <c r="I781" s="458"/>
      <c r="J781" s="465"/>
      <c r="K781" s="587"/>
      <c r="L781" s="465"/>
      <c r="M781" s="465"/>
      <c r="N781" s="465"/>
      <c r="O781" s="587"/>
      <c r="P781" s="585"/>
      <c r="Q781" s="465"/>
      <c r="R781" s="458"/>
      <c r="S781" s="585"/>
      <c r="T781" s="588"/>
      <c r="U781" s="589"/>
      <c r="V781" s="587"/>
      <c r="W781" s="465"/>
      <c r="X781" s="465"/>
      <c r="Y781" s="590"/>
      <c r="Z781" s="458"/>
      <c r="AA781" s="591"/>
      <c r="AB781" s="465"/>
      <c r="AC781" s="465"/>
      <c r="AD781" s="465"/>
      <c r="AE781" s="465"/>
      <c r="AF781" s="465"/>
      <c r="AG781" s="465"/>
      <c r="AH781" s="465"/>
      <c r="AI781" s="592"/>
      <c r="AJ781" s="465"/>
      <c r="AK781" s="465"/>
      <c r="AL781" s="20"/>
      <c r="AM781" s="20"/>
      <c r="AN781" s="593"/>
      <c r="AO781" s="20"/>
      <c r="AP781" s="276"/>
      <c r="AQ781" s="276"/>
      <c r="AR781" s="276"/>
      <c r="AS781" s="276"/>
      <c r="AT781" s="276"/>
      <c r="AU781" s="276"/>
      <c r="AV781" s="276"/>
      <c r="AW781" s="276"/>
      <c r="AX781" s="276"/>
      <c r="AY781" s="276"/>
      <c r="AZ781" s="276"/>
      <c r="BA781" s="276"/>
      <c r="BB781" s="276"/>
      <c r="BC781" s="276"/>
    </row>
    <row r="782" spans="1:55" ht="12.75" customHeight="1">
      <c r="A782" s="465"/>
      <c r="B782" s="465"/>
      <c r="C782" s="147"/>
      <c r="D782" s="147"/>
      <c r="E782" s="585"/>
      <c r="F782" s="586"/>
      <c r="G782" s="458"/>
      <c r="H782" s="458"/>
      <c r="I782" s="458"/>
      <c r="J782" s="465"/>
      <c r="K782" s="587"/>
      <c r="L782" s="465"/>
      <c r="M782" s="465"/>
      <c r="N782" s="465"/>
      <c r="O782" s="587"/>
      <c r="P782" s="585"/>
      <c r="Q782" s="465"/>
      <c r="R782" s="458"/>
      <c r="S782" s="585"/>
      <c r="T782" s="588"/>
      <c r="U782" s="589"/>
      <c r="V782" s="587"/>
      <c r="W782" s="465"/>
      <c r="X782" s="465"/>
      <c r="Y782" s="590"/>
      <c r="Z782" s="458"/>
      <c r="AA782" s="591"/>
      <c r="AB782" s="465"/>
      <c r="AC782" s="465"/>
      <c r="AD782" s="465"/>
      <c r="AE782" s="465"/>
      <c r="AF782" s="465"/>
      <c r="AG782" s="465"/>
      <c r="AH782" s="465"/>
      <c r="AI782" s="592"/>
      <c r="AJ782" s="465"/>
      <c r="AK782" s="465"/>
      <c r="AL782" s="20"/>
      <c r="AM782" s="20"/>
      <c r="AN782" s="593"/>
      <c r="AO782" s="20"/>
      <c r="AP782" s="276"/>
      <c r="AQ782" s="276"/>
      <c r="AR782" s="276"/>
      <c r="AS782" s="276"/>
      <c r="AT782" s="276"/>
      <c r="AU782" s="276"/>
      <c r="AV782" s="276"/>
      <c r="AW782" s="276"/>
      <c r="AX782" s="276"/>
      <c r="AY782" s="276"/>
      <c r="AZ782" s="276"/>
      <c r="BA782" s="276"/>
      <c r="BB782" s="276"/>
      <c r="BC782" s="276"/>
    </row>
    <row r="783" spans="1:55" ht="12.75" customHeight="1">
      <c r="A783" s="465"/>
      <c r="B783" s="465"/>
      <c r="C783" s="147"/>
      <c r="D783" s="147"/>
      <c r="E783" s="585"/>
      <c r="F783" s="586"/>
      <c r="G783" s="458"/>
      <c r="H783" s="458"/>
      <c r="I783" s="458"/>
      <c r="J783" s="465"/>
      <c r="K783" s="587"/>
      <c r="L783" s="465"/>
      <c r="M783" s="465"/>
      <c r="N783" s="465"/>
      <c r="O783" s="587"/>
      <c r="P783" s="585"/>
      <c r="Q783" s="465"/>
      <c r="R783" s="458"/>
      <c r="S783" s="585"/>
      <c r="T783" s="588"/>
      <c r="U783" s="589"/>
      <c r="V783" s="587"/>
      <c r="W783" s="465"/>
      <c r="X783" s="465"/>
      <c r="Y783" s="590"/>
      <c r="Z783" s="458"/>
      <c r="AA783" s="591"/>
      <c r="AB783" s="465"/>
      <c r="AC783" s="465"/>
      <c r="AD783" s="465"/>
      <c r="AE783" s="465"/>
      <c r="AF783" s="465"/>
      <c r="AG783" s="465"/>
      <c r="AH783" s="465"/>
      <c r="AI783" s="592"/>
      <c r="AJ783" s="465"/>
      <c r="AK783" s="465"/>
      <c r="AL783" s="20"/>
      <c r="AM783" s="20"/>
      <c r="AN783" s="593"/>
      <c r="AO783" s="20"/>
      <c r="AP783" s="276"/>
      <c r="AQ783" s="276"/>
      <c r="AR783" s="276"/>
      <c r="AS783" s="276"/>
      <c r="AT783" s="276"/>
      <c r="AU783" s="276"/>
      <c r="AV783" s="276"/>
      <c r="AW783" s="276"/>
      <c r="AX783" s="276"/>
      <c r="AY783" s="276"/>
      <c r="AZ783" s="276"/>
      <c r="BA783" s="276"/>
      <c r="BB783" s="276"/>
      <c r="BC783" s="276"/>
    </row>
    <row r="784" spans="1:55" ht="12.75" customHeight="1">
      <c r="A784" s="465"/>
      <c r="B784" s="465"/>
      <c r="C784" s="147"/>
      <c r="D784" s="147"/>
      <c r="E784" s="585"/>
      <c r="F784" s="586"/>
      <c r="G784" s="458"/>
      <c r="H784" s="458"/>
      <c r="I784" s="458"/>
      <c r="J784" s="465"/>
      <c r="K784" s="587"/>
      <c r="L784" s="465"/>
      <c r="M784" s="465"/>
      <c r="N784" s="465"/>
      <c r="O784" s="587"/>
      <c r="P784" s="585"/>
      <c r="Q784" s="465"/>
      <c r="R784" s="458"/>
      <c r="S784" s="585"/>
      <c r="T784" s="588"/>
      <c r="U784" s="589"/>
      <c r="V784" s="587"/>
      <c r="W784" s="465"/>
      <c r="X784" s="465"/>
      <c r="Y784" s="590"/>
      <c r="Z784" s="458"/>
      <c r="AA784" s="591"/>
      <c r="AB784" s="465"/>
      <c r="AC784" s="465"/>
      <c r="AD784" s="465"/>
      <c r="AE784" s="465"/>
      <c r="AF784" s="465"/>
      <c r="AG784" s="465"/>
      <c r="AH784" s="465"/>
      <c r="AI784" s="592"/>
      <c r="AJ784" s="465"/>
      <c r="AK784" s="465"/>
      <c r="AL784" s="20"/>
      <c r="AM784" s="20"/>
      <c r="AN784" s="593"/>
      <c r="AO784" s="20"/>
      <c r="AP784" s="276"/>
      <c r="AQ784" s="276"/>
      <c r="AR784" s="276"/>
      <c r="AS784" s="276"/>
      <c r="AT784" s="276"/>
      <c r="AU784" s="276"/>
      <c r="AV784" s="276"/>
      <c r="AW784" s="276"/>
      <c r="AX784" s="276"/>
      <c r="AY784" s="276"/>
      <c r="AZ784" s="276"/>
      <c r="BA784" s="276"/>
      <c r="BB784" s="276"/>
      <c r="BC784" s="276"/>
    </row>
    <row r="785" spans="1:55" ht="12.75" customHeight="1">
      <c r="A785" s="465"/>
      <c r="B785" s="465"/>
      <c r="C785" s="147"/>
      <c r="D785" s="147"/>
      <c r="E785" s="585"/>
      <c r="F785" s="586"/>
      <c r="G785" s="458"/>
      <c r="H785" s="458"/>
      <c r="I785" s="458"/>
      <c r="J785" s="465"/>
      <c r="K785" s="587"/>
      <c r="L785" s="465"/>
      <c r="M785" s="465"/>
      <c r="N785" s="465"/>
      <c r="O785" s="587"/>
      <c r="P785" s="585"/>
      <c r="Q785" s="465"/>
      <c r="R785" s="458"/>
      <c r="S785" s="585"/>
      <c r="T785" s="588"/>
      <c r="U785" s="589"/>
      <c r="V785" s="587"/>
      <c r="W785" s="465"/>
      <c r="X785" s="465"/>
      <c r="Y785" s="590"/>
      <c r="Z785" s="458"/>
      <c r="AA785" s="591"/>
      <c r="AB785" s="465"/>
      <c r="AC785" s="465"/>
      <c r="AD785" s="465"/>
      <c r="AE785" s="465"/>
      <c r="AF785" s="465"/>
      <c r="AG785" s="465"/>
      <c r="AH785" s="465"/>
      <c r="AI785" s="592"/>
      <c r="AJ785" s="465"/>
      <c r="AK785" s="465"/>
      <c r="AL785" s="20"/>
      <c r="AM785" s="20"/>
      <c r="AN785" s="593"/>
      <c r="AO785" s="20"/>
      <c r="AP785" s="276"/>
      <c r="AQ785" s="276"/>
      <c r="AR785" s="276"/>
      <c r="AS785" s="276"/>
      <c r="AT785" s="276"/>
      <c r="AU785" s="276"/>
      <c r="AV785" s="276"/>
      <c r="AW785" s="276"/>
      <c r="AX785" s="276"/>
      <c r="AY785" s="276"/>
      <c r="AZ785" s="276"/>
      <c r="BA785" s="276"/>
      <c r="BB785" s="276"/>
      <c r="BC785" s="276"/>
    </row>
    <row r="786" spans="1:55" ht="12.75" customHeight="1">
      <c r="A786" s="465"/>
      <c r="B786" s="465"/>
      <c r="C786" s="147"/>
      <c r="D786" s="147"/>
      <c r="E786" s="585"/>
      <c r="F786" s="586"/>
      <c r="G786" s="458"/>
      <c r="H786" s="458"/>
      <c r="I786" s="458"/>
      <c r="J786" s="465"/>
      <c r="K786" s="587"/>
      <c r="L786" s="465"/>
      <c r="M786" s="465"/>
      <c r="N786" s="465"/>
      <c r="O786" s="587"/>
      <c r="P786" s="585"/>
      <c r="Q786" s="465"/>
      <c r="R786" s="458"/>
      <c r="S786" s="585"/>
      <c r="T786" s="588"/>
      <c r="U786" s="589"/>
      <c r="V786" s="587"/>
      <c r="W786" s="465"/>
      <c r="X786" s="465"/>
      <c r="Y786" s="590"/>
      <c r="Z786" s="458"/>
      <c r="AA786" s="591"/>
      <c r="AB786" s="465"/>
      <c r="AC786" s="465"/>
      <c r="AD786" s="465"/>
      <c r="AE786" s="465"/>
      <c r="AF786" s="465"/>
      <c r="AG786" s="465"/>
      <c r="AH786" s="465"/>
      <c r="AI786" s="592"/>
      <c r="AJ786" s="465"/>
      <c r="AK786" s="465"/>
      <c r="AL786" s="20"/>
      <c r="AM786" s="20"/>
      <c r="AN786" s="593"/>
      <c r="AO786" s="20"/>
      <c r="AP786" s="276"/>
      <c r="AQ786" s="276"/>
      <c r="AR786" s="276"/>
      <c r="AS786" s="276"/>
      <c r="AT786" s="276"/>
      <c r="AU786" s="276"/>
      <c r="AV786" s="276"/>
      <c r="AW786" s="276"/>
      <c r="AX786" s="276"/>
      <c r="AY786" s="276"/>
      <c r="AZ786" s="276"/>
      <c r="BA786" s="276"/>
      <c r="BB786" s="276"/>
      <c r="BC786" s="276"/>
    </row>
    <row r="787" spans="1:55" ht="12.75" customHeight="1">
      <c r="A787" s="465"/>
      <c r="B787" s="465"/>
      <c r="C787" s="147"/>
      <c r="D787" s="147"/>
      <c r="E787" s="585"/>
      <c r="F787" s="586"/>
      <c r="G787" s="458"/>
      <c r="H787" s="458"/>
      <c r="I787" s="458"/>
      <c r="J787" s="465"/>
      <c r="K787" s="587"/>
      <c r="L787" s="465"/>
      <c r="M787" s="465"/>
      <c r="N787" s="465"/>
      <c r="O787" s="587"/>
      <c r="P787" s="585"/>
      <c r="Q787" s="465"/>
      <c r="R787" s="458"/>
      <c r="S787" s="585"/>
      <c r="T787" s="588"/>
      <c r="U787" s="589"/>
      <c r="V787" s="587"/>
      <c r="W787" s="465"/>
      <c r="X787" s="465"/>
      <c r="Y787" s="590"/>
      <c r="Z787" s="458"/>
      <c r="AA787" s="591"/>
      <c r="AB787" s="465"/>
      <c r="AC787" s="465"/>
      <c r="AD787" s="465"/>
      <c r="AE787" s="465"/>
      <c r="AF787" s="465"/>
      <c r="AG787" s="465"/>
      <c r="AH787" s="465"/>
      <c r="AI787" s="592"/>
      <c r="AJ787" s="465"/>
      <c r="AK787" s="465"/>
      <c r="AL787" s="20"/>
      <c r="AM787" s="20"/>
      <c r="AN787" s="593"/>
      <c r="AO787" s="20"/>
      <c r="AP787" s="276"/>
      <c r="AQ787" s="276"/>
      <c r="AR787" s="276"/>
      <c r="AS787" s="276"/>
      <c r="AT787" s="276"/>
      <c r="AU787" s="276"/>
      <c r="AV787" s="276"/>
      <c r="AW787" s="276"/>
      <c r="AX787" s="276"/>
      <c r="AY787" s="276"/>
      <c r="AZ787" s="276"/>
      <c r="BA787" s="276"/>
      <c r="BB787" s="276"/>
      <c r="BC787" s="276"/>
    </row>
    <row r="788" spans="1:55" ht="12.75" customHeight="1">
      <c r="A788" s="465"/>
      <c r="B788" s="465"/>
      <c r="C788" s="147"/>
      <c r="D788" s="147"/>
      <c r="E788" s="585"/>
      <c r="F788" s="586"/>
      <c r="G788" s="458"/>
      <c r="H788" s="458"/>
      <c r="I788" s="458"/>
      <c r="J788" s="465"/>
      <c r="K788" s="587"/>
      <c r="L788" s="465"/>
      <c r="M788" s="465"/>
      <c r="N788" s="465"/>
      <c r="O788" s="587"/>
      <c r="P788" s="585"/>
      <c r="Q788" s="465"/>
      <c r="R788" s="458"/>
      <c r="S788" s="585"/>
      <c r="T788" s="588"/>
      <c r="U788" s="589"/>
      <c r="V788" s="587"/>
      <c r="W788" s="465"/>
      <c r="X788" s="465"/>
      <c r="Y788" s="590"/>
      <c r="Z788" s="458"/>
      <c r="AA788" s="591"/>
      <c r="AB788" s="465"/>
      <c r="AC788" s="465"/>
      <c r="AD788" s="465"/>
      <c r="AE788" s="465"/>
      <c r="AF788" s="465"/>
      <c r="AG788" s="465"/>
      <c r="AH788" s="465"/>
      <c r="AI788" s="592"/>
      <c r="AJ788" s="465"/>
      <c r="AK788" s="465"/>
      <c r="AL788" s="20"/>
      <c r="AM788" s="20"/>
      <c r="AN788" s="593"/>
      <c r="AO788" s="20"/>
      <c r="AP788" s="276"/>
      <c r="AQ788" s="276"/>
      <c r="AR788" s="276"/>
      <c r="AS788" s="276"/>
      <c r="AT788" s="276"/>
      <c r="AU788" s="276"/>
      <c r="AV788" s="276"/>
      <c r="AW788" s="276"/>
      <c r="AX788" s="276"/>
      <c r="AY788" s="276"/>
      <c r="AZ788" s="276"/>
      <c r="BA788" s="276"/>
      <c r="BB788" s="276"/>
      <c r="BC788" s="276"/>
    </row>
    <row r="789" spans="1:55" ht="12.75" customHeight="1">
      <c r="A789" s="465"/>
      <c r="B789" s="465"/>
      <c r="C789" s="147"/>
      <c r="D789" s="147"/>
      <c r="E789" s="585"/>
      <c r="F789" s="586"/>
      <c r="G789" s="458"/>
      <c r="H789" s="458"/>
      <c r="I789" s="458"/>
      <c r="J789" s="465"/>
      <c r="K789" s="587"/>
      <c r="L789" s="465"/>
      <c r="M789" s="465"/>
      <c r="N789" s="465"/>
      <c r="O789" s="587"/>
      <c r="P789" s="585"/>
      <c r="Q789" s="465"/>
      <c r="R789" s="458"/>
      <c r="S789" s="585"/>
      <c r="T789" s="588"/>
      <c r="U789" s="589"/>
      <c r="V789" s="587"/>
      <c r="W789" s="465"/>
      <c r="X789" s="465"/>
      <c r="Y789" s="590"/>
      <c r="Z789" s="458"/>
      <c r="AA789" s="591"/>
      <c r="AB789" s="465"/>
      <c r="AC789" s="465"/>
      <c r="AD789" s="465"/>
      <c r="AE789" s="465"/>
      <c r="AF789" s="465"/>
      <c r="AG789" s="465"/>
      <c r="AH789" s="465"/>
      <c r="AI789" s="592"/>
      <c r="AJ789" s="465"/>
      <c r="AK789" s="465"/>
      <c r="AL789" s="20"/>
      <c r="AM789" s="20"/>
      <c r="AN789" s="593"/>
      <c r="AO789" s="20"/>
      <c r="AP789" s="276"/>
      <c r="AQ789" s="276"/>
      <c r="AR789" s="276"/>
      <c r="AS789" s="276"/>
      <c r="AT789" s="276"/>
      <c r="AU789" s="276"/>
      <c r="AV789" s="276"/>
      <c r="AW789" s="276"/>
      <c r="AX789" s="276"/>
      <c r="AY789" s="276"/>
      <c r="AZ789" s="276"/>
      <c r="BA789" s="276"/>
      <c r="BB789" s="276"/>
      <c r="BC789" s="276"/>
    </row>
    <row r="790" spans="1:55" ht="12.75" customHeight="1">
      <c r="A790" s="465"/>
      <c r="B790" s="465"/>
      <c r="C790" s="147"/>
      <c r="D790" s="147"/>
      <c r="E790" s="585"/>
      <c r="F790" s="586"/>
      <c r="G790" s="458"/>
      <c r="H790" s="458"/>
      <c r="I790" s="458"/>
      <c r="J790" s="465"/>
      <c r="K790" s="587"/>
      <c r="L790" s="465"/>
      <c r="M790" s="465"/>
      <c r="N790" s="465"/>
      <c r="O790" s="587"/>
      <c r="P790" s="585"/>
      <c r="Q790" s="465"/>
      <c r="R790" s="458"/>
      <c r="S790" s="585"/>
      <c r="T790" s="588"/>
      <c r="U790" s="589"/>
      <c r="V790" s="587"/>
      <c r="W790" s="465"/>
      <c r="X790" s="465"/>
      <c r="Y790" s="590"/>
      <c r="Z790" s="458"/>
      <c r="AA790" s="591"/>
      <c r="AB790" s="465"/>
      <c r="AC790" s="465"/>
      <c r="AD790" s="465"/>
      <c r="AE790" s="465"/>
      <c r="AF790" s="465"/>
      <c r="AG790" s="465"/>
      <c r="AH790" s="465"/>
      <c r="AI790" s="592"/>
      <c r="AJ790" s="465"/>
      <c r="AK790" s="465"/>
      <c r="AL790" s="20"/>
      <c r="AM790" s="20"/>
      <c r="AN790" s="593"/>
      <c r="AO790" s="20"/>
      <c r="AP790" s="276"/>
      <c r="AQ790" s="276"/>
      <c r="AR790" s="276"/>
      <c r="AS790" s="276"/>
      <c r="AT790" s="276"/>
      <c r="AU790" s="276"/>
      <c r="AV790" s="276"/>
      <c r="AW790" s="276"/>
      <c r="AX790" s="276"/>
      <c r="AY790" s="276"/>
      <c r="AZ790" s="276"/>
      <c r="BA790" s="276"/>
      <c r="BB790" s="276"/>
      <c r="BC790" s="276"/>
    </row>
    <row r="791" spans="1:55" ht="12.75" customHeight="1">
      <c r="A791" s="465"/>
      <c r="B791" s="465"/>
      <c r="C791" s="147"/>
      <c r="D791" s="147"/>
      <c r="E791" s="585"/>
      <c r="F791" s="586"/>
      <c r="G791" s="458"/>
      <c r="H791" s="458"/>
      <c r="I791" s="458"/>
      <c r="J791" s="465"/>
      <c r="K791" s="587"/>
      <c r="L791" s="465"/>
      <c r="M791" s="465"/>
      <c r="N791" s="465"/>
      <c r="O791" s="587"/>
      <c r="P791" s="585"/>
      <c r="Q791" s="465"/>
      <c r="R791" s="458"/>
      <c r="S791" s="585"/>
      <c r="T791" s="588"/>
      <c r="U791" s="589"/>
      <c r="V791" s="587"/>
      <c r="W791" s="465"/>
      <c r="X791" s="465"/>
      <c r="Y791" s="590"/>
      <c r="Z791" s="458"/>
      <c r="AA791" s="591"/>
      <c r="AB791" s="465"/>
      <c r="AC791" s="465"/>
      <c r="AD791" s="465"/>
      <c r="AE791" s="465"/>
      <c r="AF791" s="465"/>
      <c r="AG791" s="465"/>
      <c r="AH791" s="465"/>
      <c r="AI791" s="592"/>
      <c r="AJ791" s="465"/>
      <c r="AK791" s="465"/>
      <c r="AL791" s="20"/>
      <c r="AM791" s="20"/>
      <c r="AN791" s="593"/>
      <c r="AO791" s="20"/>
      <c r="AP791" s="276"/>
      <c r="AQ791" s="276"/>
      <c r="AR791" s="276"/>
      <c r="AS791" s="276"/>
      <c r="AT791" s="276"/>
      <c r="AU791" s="276"/>
      <c r="AV791" s="276"/>
      <c r="AW791" s="276"/>
      <c r="AX791" s="276"/>
      <c r="AY791" s="276"/>
      <c r="AZ791" s="276"/>
      <c r="BA791" s="276"/>
      <c r="BB791" s="276"/>
      <c r="BC791" s="276"/>
    </row>
    <row r="792" spans="1:55" ht="12.75" customHeight="1">
      <c r="A792" s="465"/>
      <c r="B792" s="465"/>
      <c r="C792" s="147"/>
      <c r="D792" s="147"/>
      <c r="E792" s="585"/>
      <c r="F792" s="586"/>
      <c r="G792" s="458"/>
      <c r="H792" s="458"/>
      <c r="I792" s="458"/>
      <c r="J792" s="465"/>
      <c r="K792" s="587"/>
      <c r="L792" s="465"/>
      <c r="M792" s="465"/>
      <c r="N792" s="465"/>
      <c r="O792" s="587"/>
      <c r="P792" s="585"/>
      <c r="Q792" s="465"/>
      <c r="R792" s="458"/>
      <c r="S792" s="585"/>
      <c r="T792" s="588"/>
      <c r="U792" s="589"/>
      <c r="V792" s="587"/>
      <c r="W792" s="465"/>
      <c r="X792" s="465"/>
      <c r="Y792" s="590"/>
      <c r="Z792" s="458"/>
      <c r="AA792" s="591"/>
      <c r="AB792" s="465"/>
      <c r="AC792" s="465"/>
      <c r="AD792" s="465"/>
      <c r="AE792" s="465"/>
      <c r="AF792" s="465"/>
      <c r="AG792" s="465"/>
      <c r="AH792" s="465"/>
      <c r="AI792" s="592"/>
      <c r="AJ792" s="465"/>
      <c r="AK792" s="465"/>
      <c r="AL792" s="20"/>
      <c r="AM792" s="20"/>
      <c r="AN792" s="593"/>
      <c r="AO792" s="20"/>
      <c r="AP792" s="276"/>
      <c r="AQ792" s="276"/>
      <c r="AR792" s="276"/>
      <c r="AS792" s="276"/>
      <c r="AT792" s="276"/>
      <c r="AU792" s="276"/>
      <c r="AV792" s="276"/>
      <c r="AW792" s="276"/>
      <c r="AX792" s="276"/>
      <c r="AY792" s="276"/>
      <c r="AZ792" s="276"/>
      <c r="BA792" s="276"/>
      <c r="BB792" s="276"/>
      <c r="BC792" s="276"/>
    </row>
    <row r="793" spans="1:55" ht="12.75" customHeight="1">
      <c r="A793" s="465"/>
      <c r="B793" s="465"/>
      <c r="C793" s="147"/>
      <c r="D793" s="147"/>
      <c r="E793" s="585"/>
      <c r="F793" s="586"/>
      <c r="G793" s="458"/>
      <c r="H793" s="458"/>
      <c r="I793" s="458"/>
      <c r="J793" s="465"/>
      <c r="K793" s="587"/>
      <c r="L793" s="465"/>
      <c r="M793" s="465"/>
      <c r="N793" s="465"/>
      <c r="O793" s="587"/>
      <c r="P793" s="585"/>
      <c r="Q793" s="465"/>
      <c r="R793" s="458"/>
      <c r="S793" s="585"/>
      <c r="T793" s="588"/>
      <c r="U793" s="589"/>
      <c r="V793" s="587"/>
      <c r="W793" s="465"/>
      <c r="X793" s="465"/>
      <c r="Y793" s="590"/>
      <c r="Z793" s="458"/>
      <c r="AA793" s="591"/>
      <c r="AB793" s="465"/>
      <c r="AC793" s="465"/>
      <c r="AD793" s="465"/>
      <c r="AE793" s="465"/>
      <c r="AF793" s="465"/>
      <c r="AG793" s="465"/>
      <c r="AH793" s="465"/>
      <c r="AI793" s="592"/>
      <c r="AJ793" s="465"/>
      <c r="AK793" s="465"/>
      <c r="AL793" s="20"/>
      <c r="AM793" s="20"/>
      <c r="AN793" s="593"/>
      <c r="AO793" s="20"/>
      <c r="AP793" s="276"/>
      <c r="AQ793" s="276"/>
      <c r="AR793" s="276"/>
      <c r="AS793" s="276"/>
      <c r="AT793" s="276"/>
      <c r="AU793" s="276"/>
      <c r="AV793" s="276"/>
      <c r="AW793" s="276"/>
      <c r="AX793" s="276"/>
      <c r="AY793" s="276"/>
      <c r="AZ793" s="276"/>
      <c r="BA793" s="276"/>
      <c r="BB793" s="276"/>
      <c r="BC793" s="276"/>
    </row>
    <row r="794" spans="1:55" ht="12.75" customHeight="1">
      <c r="A794" s="465"/>
      <c r="B794" s="465"/>
      <c r="C794" s="147"/>
      <c r="D794" s="147"/>
      <c r="E794" s="585"/>
      <c r="F794" s="586"/>
      <c r="G794" s="458"/>
      <c r="H794" s="458"/>
      <c r="I794" s="458"/>
      <c r="J794" s="465"/>
      <c r="K794" s="587"/>
      <c r="L794" s="465"/>
      <c r="M794" s="465"/>
      <c r="N794" s="465"/>
      <c r="O794" s="587"/>
      <c r="P794" s="585"/>
      <c r="Q794" s="465"/>
      <c r="R794" s="458"/>
      <c r="S794" s="585"/>
      <c r="T794" s="588"/>
      <c r="U794" s="589"/>
      <c r="V794" s="587"/>
      <c r="W794" s="465"/>
      <c r="X794" s="465"/>
      <c r="Y794" s="590"/>
      <c r="Z794" s="458"/>
      <c r="AA794" s="591"/>
      <c r="AB794" s="465"/>
      <c r="AC794" s="465"/>
      <c r="AD794" s="465"/>
      <c r="AE794" s="465"/>
      <c r="AF794" s="465"/>
      <c r="AG794" s="465"/>
      <c r="AH794" s="465"/>
      <c r="AI794" s="592"/>
      <c r="AJ794" s="465"/>
      <c r="AK794" s="465"/>
      <c r="AL794" s="20"/>
      <c r="AM794" s="20"/>
      <c r="AN794" s="593"/>
      <c r="AO794" s="20"/>
      <c r="AP794" s="276"/>
      <c r="AQ794" s="276"/>
      <c r="AR794" s="276"/>
      <c r="AS794" s="276"/>
      <c r="AT794" s="276"/>
      <c r="AU794" s="276"/>
      <c r="AV794" s="276"/>
      <c r="AW794" s="276"/>
      <c r="AX794" s="276"/>
      <c r="AY794" s="276"/>
      <c r="AZ794" s="276"/>
      <c r="BA794" s="276"/>
      <c r="BB794" s="276"/>
      <c r="BC794" s="276"/>
    </row>
    <row r="795" spans="1:55" ht="12.75" customHeight="1">
      <c r="A795" s="465"/>
      <c r="B795" s="465"/>
      <c r="C795" s="147"/>
      <c r="D795" s="147"/>
      <c r="E795" s="585"/>
      <c r="F795" s="586"/>
      <c r="G795" s="458"/>
      <c r="H795" s="458"/>
      <c r="I795" s="458"/>
      <c r="J795" s="465"/>
      <c r="K795" s="587"/>
      <c r="L795" s="465"/>
      <c r="M795" s="465"/>
      <c r="N795" s="465"/>
      <c r="O795" s="587"/>
      <c r="P795" s="585"/>
      <c r="Q795" s="465"/>
      <c r="R795" s="458"/>
      <c r="S795" s="585"/>
      <c r="T795" s="588"/>
      <c r="U795" s="589"/>
      <c r="V795" s="587"/>
      <c r="W795" s="465"/>
      <c r="X795" s="465"/>
      <c r="Y795" s="590"/>
      <c r="Z795" s="458"/>
      <c r="AA795" s="591"/>
      <c r="AB795" s="465"/>
      <c r="AC795" s="465"/>
      <c r="AD795" s="465"/>
      <c r="AE795" s="465"/>
      <c r="AF795" s="465"/>
      <c r="AG795" s="465"/>
      <c r="AH795" s="465"/>
      <c r="AI795" s="592"/>
      <c r="AJ795" s="465"/>
      <c r="AK795" s="465"/>
      <c r="AL795" s="20"/>
      <c r="AM795" s="20"/>
      <c r="AN795" s="593"/>
      <c r="AO795" s="20"/>
      <c r="AP795" s="276"/>
      <c r="AQ795" s="276"/>
      <c r="AR795" s="276"/>
      <c r="AS795" s="276"/>
      <c r="AT795" s="276"/>
      <c r="AU795" s="276"/>
      <c r="AV795" s="276"/>
      <c r="AW795" s="276"/>
      <c r="AX795" s="276"/>
      <c r="AY795" s="276"/>
      <c r="AZ795" s="276"/>
      <c r="BA795" s="276"/>
      <c r="BB795" s="276"/>
      <c r="BC795" s="276"/>
    </row>
    <row r="796" spans="1:55" ht="12.75" customHeight="1">
      <c r="A796" s="465"/>
      <c r="B796" s="465"/>
      <c r="C796" s="147"/>
      <c r="D796" s="147"/>
      <c r="E796" s="585"/>
      <c r="F796" s="586"/>
      <c r="G796" s="458"/>
      <c r="H796" s="458"/>
      <c r="I796" s="458"/>
      <c r="J796" s="465"/>
      <c r="K796" s="587"/>
      <c r="L796" s="465"/>
      <c r="M796" s="465"/>
      <c r="N796" s="465"/>
      <c r="O796" s="587"/>
      <c r="P796" s="585"/>
      <c r="Q796" s="465"/>
      <c r="R796" s="458"/>
      <c r="S796" s="585"/>
      <c r="T796" s="588"/>
      <c r="U796" s="589"/>
      <c r="V796" s="587"/>
      <c r="W796" s="465"/>
      <c r="X796" s="465"/>
      <c r="Y796" s="590"/>
      <c r="Z796" s="458"/>
      <c r="AA796" s="591"/>
      <c r="AB796" s="465"/>
      <c r="AC796" s="465"/>
      <c r="AD796" s="465"/>
      <c r="AE796" s="465"/>
      <c r="AF796" s="465"/>
      <c r="AG796" s="465"/>
      <c r="AH796" s="465"/>
      <c r="AI796" s="592"/>
      <c r="AJ796" s="465"/>
      <c r="AK796" s="465"/>
      <c r="AL796" s="20"/>
      <c r="AM796" s="20"/>
      <c r="AN796" s="593"/>
      <c r="AO796" s="20"/>
      <c r="AP796" s="276"/>
      <c r="AQ796" s="276"/>
      <c r="AR796" s="276"/>
      <c r="AS796" s="276"/>
      <c r="AT796" s="276"/>
      <c r="AU796" s="276"/>
      <c r="AV796" s="276"/>
      <c r="AW796" s="276"/>
      <c r="AX796" s="276"/>
      <c r="AY796" s="276"/>
      <c r="AZ796" s="276"/>
      <c r="BA796" s="276"/>
      <c r="BB796" s="276"/>
      <c r="BC796" s="276"/>
    </row>
    <row r="797" spans="1:55" ht="12.75" customHeight="1">
      <c r="A797" s="465"/>
      <c r="B797" s="465"/>
      <c r="C797" s="147"/>
      <c r="D797" s="147"/>
      <c r="E797" s="585"/>
      <c r="F797" s="586"/>
      <c r="G797" s="458"/>
      <c r="H797" s="458"/>
      <c r="I797" s="458"/>
      <c r="J797" s="465"/>
      <c r="K797" s="587"/>
      <c r="L797" s="465"/>
      <c r="M797" s="465"/>
      <c r="N797" s="465"/>
      <c r="O797" s="587"/>
      <c r="P797" s="585"/>
      <c r="Q797" s="465"/>
      <c r="R797" s="458"/>
      <c r="S797" s="585"/>
      <c r="T797" s="588"/>
      <c r="U797" s="589"/>
      <c r="V797" s="587"/>
      <c r="W797" s="465"/>
      <c r="X797" s="465"/>
      <c r="Y797" s="590"/>
      <c r="Z797" s="458"/>
      <c r="AA797" s="591"/>
      <c r="AB797" s="465"/>
      <c r="AC797" s="465"/>
      <c r="AD797" s="465"/>
      <c r="AE797" s="465"/>
      <c r="AF797" s="465"/>
      <c r="AG797" s="465"/>
      <c r="AH797" s="465"/>
      <c r="AI797" s="592"/>
      <c r="AJ797" s="465"/>
      <c r="AK797" s="465"/>
      <c r="AL797" s="20"/>
      <c r="AM797" s="20"/>
      <c r="AN797" s="593"/>
      <c r="AO797" s="20"/>
      <c r="AP797" s="276"/>
      <c r="AQ797" s="276"/>
      <c r="AR797" s="276"/>
      <c r="AS797" s="276"/>
      <c r="AT797" s="276"/>
      <c r="AU797" s="276"/>
      <c r="AV797" s="276"/>
      <c r="AW797" s="276"/>
      <c r="AX797" s="276"/>
      <c r="AY797" s="276"/>
      <c r="AZ797" s="276"/>
      <c r="BA797" s="276"/>
      <c r="BB797" s="276"/>
      <c r="BC797" s="276"/>
    </row>
    <row r="798" spans="1:55" ht="12.75" customHeight="1">
      <c r="A798" s="465"/>
      <c r="B798" s="465"/>
      <c r="C798" s="147"/>
      <c r="D798" s="147"/>
      <c r="E798" s="585"/>
      <c r="F798" s="586"/>
      <c r="G798" s="458"/>
      <c r="H798" s="458"/>
      <c r="I798" s="458"/>
      <c r="J798" s="465"/>
      <c r="K798" s="587"/>
      <c r="L798" s="465"/>
      <c r="M798" s="465"/>
      <c r="N798" s="465"/>
      <c r="O798" s="587"/>
      <c r="P798" s="585"/>
      <c r="Q798" s="465"/>
      <c r="R798" s="458"/>
      <c r="S798" s="585"/>
      <c r="T798" s="588"/>
      <c r="U798" s="589"/>
      <c r="V798" s="587"/>
      <c r="W798" s="465"/>
      <c r="X798" s="465"/>
      <c r="Y798" s="590"/>
      <c r="Z798" s="458"/>
      <c r="AA798" s="591"/>
      <c r="AB798" s="465"/>
      <c r="AC798" s="465"/>
      <c r="AD798" s="465"/>
      <c r="AE798" s="465"/>
      <c r="AF798" s="465"/>
      <c r="AG798" s="465"/>
      <c r="AH798" s="465"/>
      <c r="AI798" s="592"/>
      <c r="AJ798" s="465"/>
      <c r="AK798" s="465"/>
      <c r="AL798" s="20"/>
      <c r="AM798" s="20"/>
      <c r="AN798" s="593"/>
      <c r="AO798" s="20"/>
      <c r="AP798" s="276"/>
      <c r="AQ798" s="276"/>
      <c r="AR798" s="276"/>
      <c r="AS798" s="276"/>
      <c r="AT798" s="276"/>
      <c r="AU798" s="276"/>
      <c r="AV798" s="276"/>
      <c r="AW798" s="276"/>
      <c r="AX798" s="276"/>
      <c r="AY798" s="276"/>
      <c r="AZ798" s="276"/>
      <c r="BA798" s="276"/>
      <c r="BB798" s="276"/>
      <c r="BC798" s="276"/>
    </row>
    <row r="799" spans="1:55" ht="12.75" customHeight="1">
      <c r="A799" s="465"/>
      <c r="B799" s="465"/>
      <c r="C799" s="147"/>
      <c r="D799" s="147"/>
      <c r="E799" s="585"/>
      <c r="F799" s="586"/>
      <c r="G799" s="458"/>
      <c r="H799" s="458"/>
      <c r="I799" s="458"/>
      <c r="J799" s="465"/>
      <c r="K799" s="587"/>
      <c r="L799" s="465"/>
      <c r="M799" s="465"/>
      <c r="N799" s="465"/>
      <c r="O799" s="587"/>
      <c r="P799" s="585"/>
      <c r="Q799" s="465"/>
      <c r="R799" s="458"/>
      <c r="S799" s="585"/>
      <c r="T799" s="588"/>
      <c r="U799" s="589"/>
      <c r="V799" s="587"/>
      <c r="W799" s="465"/>
      <c r="X799" s="465"/>
      <c r="Y799" s="590"/>
      <c r="Z799" s="458"/>
      <c r="AA799" s="591"/>
      <c r="AB799" s="465"/>
      <c r="AC799" s="465"/>
      <c r="AD799" s="465"/>
      <c r="AE799" s="465"/>
      <c r="AF799" s="465"/>
      <c r="AG799" s="465"/>
      <c r="AH799" s="465"/>
      <c r="AI799" s="592"/>
      <c r="AJ799" s="465"/>
      <c r="AK799" s="465"/>
      <c r="AL799" s="20"/>
      <c r="AM799" s="20"/>
      <c r="AN799" s="593"/>
      <c r="AO799" s="20"/>
      <c r="AP799" s="276"/>
      <c r="AQ799" s="276"/>
      <c r="AR799" s="276"/>
      <c r="AS799" s="276"/>
      <c r="AT799" s="276"/>
      <c r="AU799" s="276"/>
      <c r="AV799" s="276"/>
      <c r="AW799" s="276"/>
      <c r="AX799" s="276"/>
      <c r="AY799" s="276"/>
      <c r="AZ799" s="276"/>
      <c r="BA799" s="276"/>
      <c r="BB799" s="276"/>
      <c r="BC799" s="276"/>
    </row>
    <row r="800" spans="1:55" ht="12.75" customHeight="1">
      <c r="A800" s="465"/>
      <c r="B800" s="465"/>
      <c r="C800" s="147"/>
      <c r="D800" s="147"/>
      <c r="E800" s="585"/>
      <c r="F800" s="586"/>
      <c r="G800" s="458"/>
      <c r="H800" s="458"/>
      <c r="I800" s="458"/>
      <c r="J800" s="465"/>
      <c r="K800" s="587"/>
      <c r="L800" s="465"/>
      <c r="M800" s="465"/>
      <c r="N800" s="465"/>
      <c r="O800" s="587"/>
      <c r="P800" s="585"/>
      <c r="Q800" s="465"/>
      <c r="R800" s="458"/>
      <c r="S800" s="585"/>
      <c r="T800" s="588"/>
      <c r="U800" s="589"/>
      <c r="V800" s="587"/>
      <c r="W800" s="465"/>
      <c r="X800" s="465"/>
      <c r="Y800" s="590"/>
      <c r="Z800" s="458"/>
      <c r="AA800" s="591"/>
      <c r="AB800" s="465"/>
      <c r="AC800" s="465"/>
      <c r="AD800" s="465"/>
      <c r="AE800" s="465"/>
      <c r="AF800" s="465"/>
      <c r="AG800" s="465"/>
      <c r="AH800" s="465"/>
      <c r="AI800" s="592"/>
      <c r="AJ800" s="465"/>
      <c r="AK800" s="465"/>
      <c r="AL800" s="20"/>
      <c r="AM800" s="20"/>
      <c r="AN800" s="593"/>
      <c r="AO800" s="20"/>
      <c r="AP800" s="276"/>
      <c r="AQ800" s="276"/>
      <c r="AR800" s="276"/>
      <c r="AS800" s="276"/>
      <c r="AT800" s="276"/>
      <c r="AU800" s="276"/>
      <c r="AV800" s="276"/>
      <c r="AW800" s="276"/>
      <c r="AX800" s="276"/>
      <c r="AY800" s="276"/>
      <c r="AZ800" s="276"/>
      <c r="BA800" s="276"/>
      <c r="BB800" s="276"/>
      <c r="BC800" s="276"/>
    </row>
    <row r="801" spans="1:55" ht="12.75" customHeight="1">
      <c r="A801" s="465"/>
      <c r="B801" s="465"/>
      <c r="C801" s="147"/>
      <c r="D801" s="147"/>
      <c r="E801" s="585"/>
      <c r="F801" s="586"/>
      <c r="G801" s="458"/>
      <c r="H801" s="458"/>
      <c r="I801" s="458"/>
      <c r="J801" s="465"/>
      <c r="K801" s="587"/>
      <c r="L801" s="465"/>
      <c r="M801" s="465"/>
      <c r="N801" s="465"/>
      <c r="O801" s="587"/>
      <c r="P801" s="585"/>
      <c r="Q801" s="465"/>
      <c r="R801" s="458"/>
      <c r="S801" s="585"/>
      <c r="T801" s="588"/>
      <c r="U801" s="589"/>
      <c r="V801" s="587"/>
      <c r="W801" s="465"/>
      <c r="X801" s="465"/>
      <c r="Y801" s="590"/>
      <c r="Z801" s="458"/>
      <c r="AA801" s="591"/>
      <c r="AB801" s="465"/>
      <c r="AC801" s="465"/>
      <c r="AD801" s="465"/>
      <c r="AE801" s="465"/>
      <c r="AF801" s="465"/>
      <c r="AG801" s="465"/>
      <c r="AH801" s="465"/>
      <c r="AI801" s="592"/>
      <c r="AJ801" s="465"/>
      <c r="AK801" s="465"/>
      <c r="AL801" s="20"/>
      <c r="AM801" s="20"/>
      <c r="AN801" s="593"/>
      <c r="AO801" s="20"/>
      <c r="AP801" s="276"/>
      <c r="AQ801" s="276"/>
      <c r="AR801" s="276"/>
      <c r="AS801" s="276"/>
      <c r="AT801" s="276"/>
      <c r="AU801" s="276"/>
      <c r="AV801" s="276"/>
      <c r="AW801" s="276"/>
      <c r="AX801" s="276"/>
      <c r="AY801" s="276"/>
      <c r="AZ801" s="276"/>
      <c r="BA801" s="276"/>
      <c r="BB801" s="276"/>
      <c r="BC801" s="276"/>
    </row>
    <row r="802" spans="1:55" ht="12.75" customHeight="1">
      <c r="A802" s="465"/>
      <c r="B802" s="465"/>
      <c r="C802" s="147"/>
      <c r="D802" s="147"/>
      <c r="E802" s="585"/>
      <c r="F802" s="586"/>
      <c r="G802" s="458"/>
      <c r="H802" s="458"/>
      <c r="I802" s="458"/>
      <c r="J802" s="465"/>
      <c r="K802" s="587"/>
      <c r="L802" s="465"/>
      <c r="M802" s="465"/>
      <c r="N802" s="465"/>
      <c r="O802" s="587"/>
      <c r="P802" s="585"/>
      <c r="Q802" s="465"/>
      <c r="R802" s="458"/>
      <c r="S802" s="585"/>
      <c r="T802" s="588"/>
      <c r="U802" s="589"/>
      <c r="V802" s="587"/>
      <c r="W802" s="465"/>
      <c r="X802" s="465"/>
      <c r="Y802" s="590"/>
      <c r="Z802" s="458"/>
      <c r="AA802" s="591"/>
      <c r="AB802" s="465"/>
      <c r="AC802" s="465"/>
      <c r="AD802" s="465"/>
      <c r="AE802" s="465"/>
      <c r="AF802" s="465"/>
      <c r="AG802" s="465"/>
      <c r="AH802" s="465"/>
      <c r="AI802" s="592"/>
      <c r="AJ802" s="465"/>
      <c r="AK802" s="465"/>
      <c r="AL802" s="20"/>
      <c r="AM802" s="20"/>
      <c r="AN802" s="593"/>
      <c r="AO802" s="20"/>
      <c r="AP802" s="276"/>
      <c r="AQ802" s="276"/>
      <c r="AR802" s="276"/>
      <c r="AS802" s="276"/>
      <c r="AT802" s="276"/>
      <c r="AU802" s="276"/>
      <c r="AV802" s="276"/>
      <c r="AW802" s="276"/>
      <c r="AX802" s="276"/>
      <c r="AY802" s="276"/>
      <c r="AZ802" s="276"/>
      <c r="BA802" s="276"/>
      <c r="BB802" s="276"/>
      <c r="BC802" s="276"/>
    </row>
    <row r="803" spans="1:55" ht="12.75" customHeight="1">
      <c r="A803" s="465"/>
      <c r="B803" s="465"/>
      <c r="C803" s="147"/>
      <c r="D803" s="147"/>
      <c r="E803" s="585"/>
      <c r="F803" s="586"/>
      <c r="G803" s="458"/>
      <c r="H803" s="458"/>
      <c r="I803" s="458"/>
      <c r="J803" s="465"/>
      <c r="K803" s="587"/>
      <c r="L803" s="465"/>
      <c r="M803" s="465"/>
      <c r="N803" s="465"/>
      <c r="O803" s="587"/>
      <c r="P803" s="585"/>
      <c r="Q803" s="465"/>
      <c r="R803" s="458"/>
      <c r="S803" s="585"/>
      <c r="T803" s="588"/>
      <c r="U803" s="589"/>
      <c r="V803" s="587"/>
      <c r="W803" s="465"/>
      <c r="X803" s="465"/>
      <c r="Y803" s="590"/>
      <c r="Z803" s="458"/>
      <c r="AA803" s="591"/>
      <c r="AB803" s="465"/>
      <c r="AC803" s="465"/>
      <c r="AD803" s="465"/>
      <c r="AE803" s="465"/>
      <c r="AF803" s="465"/>
      <c r="AG803" s="465"/>
      <c r="AH803" s="465"/>
      <c r="AI803" s="592"/>
      <c r="AJ803" s="465"/>
      <c r="AK803" s="465"/>
      <c r="AL803" s="20"/>
      <c r="AM803" s="20"/>
      <c r="AN803" s="593"/>
      <c r="AO803" s="20"/>
      <c r="AP803" s="276"/>
      <c r="AQ803" s="276"/>
      <c r="AR803" s="276"/>
      <c r="AS803" s="276"/>
      <c r="AT803" s="276"/>
      <c r="AU803" s="276"/>
      <c r="AV803" s="276"/>
      <c r="AW803" s="276"/>
      <c r="AX803" s="276"/>
      <c r="AY803" s="276"/>
      <c r="AZ803" s="276"/>
      <c r="BA803" s="276"/>
      <c r="BB803" s="276"/>
      <c r="BC803" s="276"/>
    </row>
    <row r="804" spans="1:55" ht="12.75" customHeight="1">
      <c r="A804" s="465"/>
      <c r="B804" s="465"/>
      <c r="C804" s="147"/>
      <c r="D804" s="147"/>
      <c r="E804" s="585"/>
      <c r="F804" s="586"/>
      <c r="G804" s="458"/>
      <c r="H804" s="458"/>
      <c r="I804" s="458"/>
      <c r="J804" s="465"/>
      <c r="K804" s="587"/>
      <c r="L804" s="465"/>
      <c r="M804" s="465"/>
      <c r="N804" s="465"/>
      <c r="O804" s="587"/>
      <c r="P804" s="585"/>
      <c r="Q804" s="465"/>
      <c r="R804" s="458"/>
      <c r="S804" s="585"/>
      <c r="T804" s="588"/>
      <c r="U804" s="589"/>
      <c r="V804" s="587"/>
      <c r="W804" s="465"/>
      <c r="X804" s="465"/>
      <c r="Y804" s="590"/>
      <c r="Z804" s="458"/>
      <c r="AA804" s="591"/>
      <c r="AB804" s="465"/>
      <c r="AC804" s="465"/>
      <c r="AD804" s="465"/>
      <c r="AE804" s="465"/>
      <c r="AF804" s="465"/>
      <c r="AG804" s="465"/>
      <c r="AH804" s="465"/>
      <c r="AI804" s="592"/>
      <c r="AJ804" s="465"/>
      <c r="AK804" s="465"/>
      <c r="AL804" s="20"/>
      <c r="AM804" s="20"/>
      <c r="AN804" s="593"/>
      <c r="AO804" s="20"/>
      <c r="AP804" s="276"/>
      <c r="AQ804" s="276"/>
      <c r="AR804" s="276"/>
      <c r="AS804" s="276"/>
      <c r="AT804" s="276"/>
      <c r="AU804" s="276"/>
      <c r="AV804" s="276"/>
      <c r="AW804" s="276"/>
      <c r="AX804" s="276"/>
      <c r="AY804" s="276"/>
      <c r="AZ804" s="276"/>
      <c r="BA804" s="276"/>
      <c r="BB804" s="276"/>
      <c r="BC804" s="276"/>
    </row>
    <row r="805" spans="1:55" ht="12.75" customHeight="1">
      <c r="A805" s="465"/>
      <c r="B805" s="465"/>
      <c r="C805" s="147"/>
      <c r="D805" s="147"/>
      <c r="E805" s="585"/>
      <c r="F805" s="586"/>
      <c r="G805" s="458"/>
      <c r="H805" s="458"/>
      <c r="I805" s="458"/>
      <c r="J805" s="465"/>
      <c r="K805" s="587"/>
      <c r="L805" s="465"/>
      <c r="M805" s="465"/>
      <c r="N805" s="465"/>
      <c r="O805" s="587"/>
      <c r="P805" s="585"/>
      <c r="Q805" s="465"/>
      <c r="R805" s="458"/>
      <c r="S805" s="585"/>
      <c r="T805" s="588"/>
      <c r="U805" s="589"/>
      <c r="V805" s="587"/>
      <c r="W805" s="465"/>
      <c r="X805" s="465"/>
      <c r="Y805" s="590"/>
      <c r="Z805" s="458"/>
      <c r="AA805" s="591"/>
      <c r="AB805" s="465"/>
      <c r="AC805" s="465"/>
      <c r="AD805" s="465"/>
      <c r="AE805" s="465"/>
      <c r="AF805" s="465"/>
      <c r="AG805" s="465"/>
      <c r="AH805" s="465"/>
      <c r="AI805" s="592"/>
      <c r="AJ805" s="465"/>
      <c r="AK805" s="465"/>
      <c r="AL805" s="20"/>
      <c r="AM805" s="20"/>
      <c r="AN805" s="593"/>
      <c r="AO805" s="20"/>
      <c r="AP805" s="276"/>
      <c r="AQ805" s="276"/>
      <c r="AR805" s="276"/>
      <c r="AS805" s="276"/>
      <c r="AT805" s="276"/>
      <c r="AU805" s="276"/>
      <c r="AV805" s="276"/>
      <c r="AW805" s="276"/>
      <c r="AX805" s="276"/>
      <c r="AY805" s="276"/>
      <c r="AZ805" s="276"/>
      <c r="BA805" s="276"/>
      <c r="BB805" s="276"/>
      <c r="BC805" s="276"/>
    </row>
    <row r="806" spans="1:55" ht="12.75" customHeight="1">
      <c r="A806" s="465"/>
      <c r="B806" s="465"/>
      <c r="C806" s="147"/>
      <c r="D806" s="147"/>
      <c r="E806" s="585"/>
      <c r="F806" s="586"/>
      <c r="G806" s="458"/>
      <c r="H806" s="458"/>
      <c r="I806" s="458"/>
      <c r="J806" s="465"/>
      <c r="K806" s="587"/>
      <c r="L806" s="465"/>
      <c r="M806" s="465"/>
      <c r="N806" s="465"/>
      <c r="O806" s="587"/>
      <c r="P806" s="585"/>
      <c r="Q806" s="465"/>
      <c r="R806" s="458"/>
      <c r="S806" s="585"/>
      <c r="T806" s="588"/>
      <c r="U806" s="589"/>
      <c r="V806" s="587"/>
      <c r="W806" s="465"/>
      <c r="X806" s="465"/>
      <c r="Y806" s="590"/>
      <c r="Z806" s="458"/>
      <c r="AA806" s="591"/>
      <c r="AB806" s="465"/>
      <c r="AC806" s="465"/>
      <c r="AD806" s="465"/>
      <c r="AE806" s="465"/>
      <c r="AF806" s="465"/>
      <c r="AG806" s="465"/>
      <c r="AH806" s="465"/>
      <c r="AI806" s="592"/>
      <c r="AJ806" s="465"/>
      <c r="AK806" s="465"/>
      <c r="AL806" s="20"/>
      <c r="AM806" s="20"/>
      <c r="AN806" s="593"/>
      <c r="AO806" s="20"/>
      <c r="AP806" s="276"/>
      <c r="AQ806" s="276"/>
      <c r="AR806" s="276"/>
      <c r="AS806" s="276"/>
      <c r="AT806" s="276"/>
      <c r="AU806" s="276"/>
      <c r="AV806" s="276"/>
      <c r="AW806" s="276"/>
      <c r="AX806" s="276"/>
      <c r="AY806" s="276"/>
      <c r="AZ806" s="276"/>
      <c r="BA806" s="276"/>
      <c r="BB806" s="276"/>
      <c r="BC806" s="276"/>
    </row>
    <row r="807" spans="1:55" ht="12.75" customHeight="1">
      <c r="A807" s="465"/>
      <c r="B807" s="465"/>
      <c r="C807" s="147"/>
      <c r="D807" s="147"/>
      <c r="E807" s="585"/>
      <c r="F807" s="586"/>
      <c r="G807" s="458"/>
      <c r="H807" s="458"/>
      <c r="I807" s="458"/>
      <c r="J807" s="465"/>
      <c r="K807" s="587"/>
      <c r="L807" s="465"/>
      <c r="M807" s="465"/>
      <c r="N807" s="465"/>
      <c r="O807" s="587"/>
      <c r="P807" s="585"/>
      <c r="Q807" s="465"/>
      <c r="R807" s="458"/>
      <c r="S807" s="585"/>
      <c r="T807" s="588"/>
      <c r="U807" s="589"/>
      <c r="V807" s="587"/>
      <c r="W807" s="465"/>
      <c r="X807" s="465"/>
      <c r="Y807" s="590"/>
      <c r="Z807" s="458"/>
      <c r="AA807" s="591"/>
      <c r="AB807" s="465"/>
      <c r="AC807" s="465"/>
      <c r="AD807" s="465"/>
      <c r="AE807" s="465"/>
      <c r="AF807" s="465"/>
      <c r="AG807" s="465"/>
      <c r="AH807" s="465"/>
      <c r="AI807" s="592"/>
      <c r="AJ807" s="465"/>
      <c r="AK807" s="465"/>
      <c r="AL807" s="20"/>
      <c r="AM807" s="20"/>
      <c r="AN807" s="593"/>
      <c r="AO807" s="20"/>
      <c r="AP807" s="276"/>
      <c r="AQ807" s="276"/>
      <c r="AR807" s="276"/>
      <c r="AS807" s="276"/>
      <c r="AT807" s="276"/>
      <c r="AU807" s="276"/>
      <c r="AV807" s="276"/>
      <c r="AW807" s="276"/>
      <c r="AX807" s="276"/>
      <c r="AY807" s="276"/>
      <c r="AZ807" s="276"/>
      <c r="BA807" s="276"/>
      <c r="BB807" s="276"/>
      <c r="BC807" s="276"/>
    </row>
    <row r="808" spans="1:55" ht="12.75" customHeight="1">
      <c r="A808" s="465"/>
      <c r="B808" s="465"/>
      <c r="C808" s="147"/>
      <c r="D808" s="147"/>
      <c r="E808" s="585"/>
      <c r="F808" s="586"/>
      <c r="G808" s="458"/>
      <c r="H808" s="458"/>
      <c r="I808" s="458"/>
      <c r="J808" s="465"/>
      <c r="K808" s="587"/>
      <c r="L808" s="465"/>
      <c r="M808" s="465"/>
      <c r="N808" s="465"/>
      <c r="O808" s="587"/>
      <c r="P808" s="585"/>
      <c r="Q808" s="465"/>
      <c r="R808" s="458"/>
      <c r="S808" s="585"/>
      <c r="T808" s="588"/>
      <c r="U808" s="589"/>
      <c r="V808" s="587"/>
      <c r="W808" s="465"/>
      <c r="X808" s="465"/>
      <c r="Y808" s="590"/>
      <c r="Z808" s="458"/>
      <c r="AA808" s="591"/>
      <c r="AB808" s="465"/>
      <c r="AC808" s="465"/>
      <c r="AD808" s="465"/>
      <c r="AE808" s="465"/>
      <c r="AF808" s="465"/>
      <c r="AG808" s="465"/>
      <c r="AH808" s="465"/>
      <c r="AI808" s="592"/>
      <c r="AJ808" s="465"/>
      <c r="AK808" s="465"/>
      <c r="AL808" s="20"/>
      <c r="AM808" s="20"/>
      <c r="AN808" s="593"/>
      <c r="AO808" s="20"/>
      <c r="AP808" s="276"/>
      <c r="AQ808" s="276"/>
      <c r="AR808" s="276"/>
      <c r="AS808" s="276"/>
      <c r="AT808" s="276"/>
      <c r="AU808" s="276"/>
      <c r="AV808" s="276"/>
      <c r="AW808" s="276"/>
      <c r="AX808" s="276"/>
      <c r="AY808" s="276"/>
      <c r="AZ808" s="276"/>
      <c r="BA808" s="276"/>
      <c r="BB808" s="276"/>
      <c r="BC808" s="276"/>
    </row>
    <row r="809" spans="1:55" ht="12.75" customHeight="1">
      <c r="A809" s="465"/>
      <c r="B809" s="465"/>
      <c r="C809" s="147"/>
      <c r="D809" s="147"/>
      <c r="E809" s="585"/>
      <c r="F809" s="586"/>
      <c r="G809" s="458"/>
      <c r="H809" s="458"/>
      <c r="I809" s="458"/>
      <c r="J809" s="465"/>
      <c r="K809" s="587"/>
      <c r="L809" s="465"/>
      <c r="M809" s="465"/>
      <c r="N809" s="465"/>
      <c r="O809" s="587"/>
      <c r="P809" s="585"/>
      <c r="Q809" s="465"/>
      <c r="R809" s="458"/>
      <c r="S809" s="585"/>
      <c r="T809" s="588"/>
      <c r="U809" s="589"/>
      <c r="V809" s="587"/>
      <c r="W809" s="465"/>
      <c r="X809" s="465"/>
      <c r="Y809" s="590"/>
      <c r="Z809" s="458"/>
      <c r="AA809" s="591"/>
      <c r="AB809" s="465"/>
      <c r="AC809" s="465"/>
      <c r="AD809" s="465"/>
      <c r="AE809" s="465"/>
      <c r="AF809" s="465"/>
      <c r="AG809" s="465"/>
      <c r="AH809" s="465"/>
      <c r="AI809" s="592"/>
      <c r="AJ809" s="465"/>
      <c r="AK809" s="465"/>
      <c r="AL809" s="20"/>
      <c r="AM809" s="20"/>
      <c r="AN809" s="593"/>
      <c r="AO809" s="20"/>
      <c r="AP809" s="276"/>
      <c r="AQ809" s="276"/>
      <c r="AR809" s="276"/>
      <c r="AS809" s="276"/>
      <c r="AT809" s="276"/>
      <c r="AU809" s="276"/>
      <c r="AV809" s="276"/>
      <c r="AW809" s="276"/>
      <c r="AX809" s="276"/>
      <c r="AY809" s="276"/>
      <c r="AZ809" s="276"/>
      <c r="BA809" s="276"/>
      <c r="BB809" s="276"/>
      <c r="BC809" s="276"/>
    </row>
    <row r="810" spans="1:55" ht="12.75" customHeight="1">
      <c r="A810" s="465"/>
      <c r="B810" s="465"/>
      <c r="C810" s="147"/>
      <c r="D810" s="147"/>
      <c r="E810" s="585"/>
      <c r="F810" s="586"/>
      <c r="G810" s="458"/>
      <c r="H810" s="458"/>
      <c r="I810" s="458"/>
      <c r="J810" s="465"/>
      <c r="K810" s="587"/>
      <c r="L810" s="465"/>
      <c r="M810" s="465"/>
      <c r="N810" s="465"/>
      <c r="O810" s="587"/>
      <c r="P810" s="585"/>
      <c r="Q810" s="465"/>
      <c r="R810" s="458"/>
      <c r="S810" s="585"/>
      <c r="T810" s="588"/>
      <c r="U810" s="589"/>
      <c r="V810" s="587"/>
      <c r="W810" s="465"/>
      <c r="X810" s="465"/>
      <c r="Y810" s="590"/>
      <c r="Z810" s="458"/>
      <c r="AA810" s="591"/>
      <c r="AB810" s="465"/>
      <c r="AC810" s="465"/>
      <c r="AD810" s="465"/>
      <c r="AE810" s="465"/>
      <c r="AF810" s="465"/>
      <c r="AG810" s="465"/>
      <c r="AH810" s="465"/>
      <c r="AI810" s="592"/>
      <c r="AJ810" s="465"/>
      <c r="AK810" s="465"/>
      <c r="AL810" s="20"/>
      <c r="AM810" s="20"/>
      <c r="AN810" s="593"/>
      <c r="AO810" s="20"/>
      <c r="AP810" s="276"/>
      <c r="AQ810" s="276"/>
      <c r="AR810" s="276"/>
      <c r="AS810" s="276"/>
      <c r="AT810" s="276"/>
      <c r="AU810" s="276"/>
      <c r="AV810" s="276"/>
      <c r="AW810" s="276"/>
      <c r="AX810" s="276"/>
      <c r="AY810" s="276"/>
      <c r="AZ810" s="276"/>
      <c r="BA810" s="276"/>
      <c r="BB810" s="276"/>
      <c r="BC810" s="276"/>
    </row>
    <row r="811" spans="1:55" ht="12.75" customHeight="1">
      <c r="A811" s="465"/>
      <c r="B811" s="465"/>
      <c r="C811" s="147"/>
      <c r="D811" s="147"/>
      <c r="E811" s="585"/>
      <c r="F811" s="586"/>
      <c r="G811" s="458"/>
      <c r="H811" s="458"/>
      <c r="I811" s="458"/>
      <c r="J811" s="465"/>
      <c r="K811" s="587"/>
      <c r="L811" s="465"/>
      <c r="M811" s="465"/>
      <c r="N811" s="465"/>
      <c r="O811" s="587"/>
      <c r="P811" s="585"/>
      <c r="Q811" s="465"/>
      <c r="R811" s="458"/>
      <c r="S811" s="585"/>
      <c r="T811" s="588"/>
      <c r="U811" s="589"/>
      <c r="V811" s="587"/>
      <c r="W811" s="465"/>
      <c r="X811" s="465"/>
      <c r="Y811" s="590"/>
      <c r="Z811" s="458"/>
      <c r="AA811" s="591"/>
      <c r="AB811" s="465"/>
      <c r="AC811" s="465"/>
      <c r="AD811" s="465"/>
      <c r="AE811" s="465"/>
      <c r="AF811" s="465"/>
      <c r="AG811" s="465"/>
      <c r="AH811" s="465"/>
      <c r="AI811" s="592"/>
      <c r="AJ811" s="465"/>
      <c r="AK811" s="465"/>
      <c r="AL811" s="20"/>
      <c r="AM811" s="20"/>
      <c r="AN811" s="593"/>
      <c r="AO811" s="20"/>
      <c r="AP811" s="276"/>
      <c r="AQ811" s="276"/>
      <c r="AR811" s="276"/>
      <c r="AS811" s="276"/>
      <c r="AT811" s="276"/>
      <c r="AU811" s="276"/>
      <c r="AV811" s="276"/>
      <c r="AW811" s="276"/>
      <c r="AX811" s="276"/>
      <c r="AY811" s="276"/>
      <c r="AZ811" s="276"/>
      <c r="BA811" s="276"/>
      <c r="BB811" s="276"/>
      <c r="BC811" s="276"/>
    </row>
    <row r="812" spans="1:55" ht="12.75" customHeight="1">
      <c r="A812" s="465"/>
      <c r="B812" s="465"/>
      <c r="C812" s="147"/>
      <c r="D812" s="147"/>
      <c r="E812" s="585"/>
      <c r="F812" s="586"/>
      <c r="G812" s="458"/>
      <c r="H812" s="458"/>
      <c r="I812" s="458"/>
      <c r="J812" s="465"/>
      <c r="K812" s="587"/>
      <c r="L812" s="465"/>
      <c r="M812" s="465"/>
      <c r="N812" s="465"/>
      <c r="O812" s="587"/>
      <c r="P812" s="585"/>
      <c r="Q812" s="465"/>
      <c r="R812" s="458"/>
      <c r="S812" s="585"/>
      <c r="T812" s="588"/>
      <c r="U812" s="589"/>
      <c r="V812" s="587"/>
      <c r="W812" s="465"/>
      <c r="X812" s="465"/>
      <c r="Y812" s="590"/>
      <c r="Z812" s="458"/>
      <c r="AA812" s="591"/>
      <c r="AB812" s="465"/>
      <c r="AC812" s="465"/>
      <c r="AD812" s="465"/>
      <c r="AE812" s="465"/>
      <c r="AF812" s="465"/>
      <c r="AG812" s="465"/>
      <c r="AH812" s="465"/>
      <c r="AI812" s="592"/>
      <c r="AJ812" s="465"/>
      <c r="AK812" s="465"/>
      <c r="AL812" s="20"/>
      <c r="AM812" s="20"/>
      <c r="AN812" s="593"/>
      <c r="AO812" s="20"/>
      <c r="AP812" s="276"/>
      <c r="AQ812" s="276"/>
      <c r="AR812" s="276"/>
      <c r="AS812" s="276"/>
      <c r="AT812" s="276"/>
      <c r="AU812" s="276"/>
      <c r="AV812" s="276"/>
      <c r="AW812" s="276"/>
      <c r="AX812" s="276"/>
      <c r="AY812" s="276"/>
      <c r="AZ812" s="276"/>
      <c r="BA812" s="276"/>
      <c r="BB812" s="276"/>
      <c r="BC812" s="276"/>
    </row>
    <row r="813" spans="1:55" ht="12.75" customHeight="1">
      <c r="A813" s="465"/>
      <c r="B813" s="465"/>
      <c r="C813" s="147"/>
      <c r="D813" s="147"/>
      <c r="E813" s="585"/>
      <c r="F813" s="586"/>
      <c r="G813" s="458"/>
      <c r="H813" s="458"/>
      <c r="I813" s="458"/>
      <c r="J813" s="465"/>
      <c r="K813" s="587"/>
      <c r="L813" s="465"/>
      <c r="M813" s="465"/>
      <c r="N813" s="465"/>
      <c r="O813" s="587"/>
      <c r="P813" s="585"/>
      <c r="Q813" s="465"/>
      <c r="R813" s="458"/>
      <c r="S813" s="585"/>
      <c r="T813" s="588"/>
      <c r="U813" s="589"/>
      <c r="V813" s="587"/>
      <c r="W813" s="465"/>
      <c r="X813" s="465"/>
      <c r="Y813" s="590"/>
      <c r="Z813" s="458"/>
      <c r="AA813" s="591"/>
      <c r="AB813" s="465"/>
      <c r="AC813" s="465"/>
      <c r="AD813" s="465"/>
      <c r="AE813" s="465"/>
      <c r="AF813" s="465"/>
      <c r="AG813" s="465"/>
      <c r="AH813" s="465"/>
      <c r="AI813" s="592"/>
      <c r="AJ813" s="465"/>
      <c r="AK813" s="465"/>
      <c r="AL813" s="20"/>
      <c r="AM813" s="20"/>
      <c r="AN813" s="593"/>
      <c r="AO813" s="20"/>
      <c r="AP813" s="276"/>
      <c r="AQ813" s="276"/>
      <c r="AR813" s="276"/>
      <c r="AS813" s="276"/>
      <c r="AT813" s="276"/>
      <c r="AU813" s="276"/>
      <c r="AV813" s="276"/>
      <c r="AW813" s="276"/>
      <c r="AX813" s="276"/>
      <c r="AY813" s="276"/>
      <c r="AZ813" s="276"/>
      <c r="BA813" s="276"/>
      <c r="BB813" s="276"/>
      <c r="BC813" s="276"/>
    </row>
    <row r="814" spans="1:55" ht="12.75" customHeight="1">
      <c r="A814" s="465"/>
      <c r="B814" s="465"/>
      <c r="C814" s="147"/>
      <c r="D814" s="147"/>
      <c r="E814" s="585"/>
      <c r="F814" s="586"/>
      <c r="G814" s="458"/>
      <c r="H814" s="458"/>
      <c r="I814" s="458"/>
      <c r="J814" s="465"/>
      <c r="K814" s="587"/>
      <c r="L814" s="465"/>
      <c r="M814" s="465"/>
      <c r="N814" s="465"/>
      <c r="O814" s="587"/>
      <c r="P814" s="585"/>
      <c r="Q814" s="465"/>
      <c r="R814" s="458"/>
      <c r="S814" s="585"/>
      <c r="T814" s="588"/>
      <c r="U814" s="589"/>
      <c r="V814" s="587"/>
      <c r="W814" s="465"/>
      <c r="X814" s="465"/>
      <c r="Y814" s="590"/>
      <c r="Z814" s="458"/>
      <c r="AA814" s="591"/>
      <c r="AB814" s="465"/>
      <c r="AC814" s="465"/>
      <c r="AD814" s="465"/>
      <c r="AE814" s="465"/>
      <c r="AF814" s="465"/>
      <c r="AG814" s="465"/>
      <c r="AH814" s="465"/>
      <c r="AI814" s="592"/>
      <c r="AJ814" s="465"/>
      <c r="AK814" s="465"/>
      <c r="AL814" s="20"/>
      <c r="AM814" s="20"/>
      <c r="AN814" s="593"/>
      <c r="AO814" s="20"/>
      <c r="AP814" s="276"/>
      <c r="AQ814" s="276"/>
      <c r="AR814" s="276"/>
      <c r="AS814" s="276"/>
      <c r="AT814" s="276"/>
      <c r="AU814" s="276"/>
      <c r="AV814" s="276"/>
      <c r="AW814" s="276"/>
      <c r="AX814" s="276"/>
      <c r="AY814" s="276"/>
      <c r="AZ814" s="276"/>
      <c r="BA814" s="276"/>
      <c r="BB814" s="276"/>
      <c r="BC814" s="276"/>
    </row>
    <row r="815" spans="1:55" ht="12.75" customHeight="1">
      <c r="A815" s="465"/>
      <c r="B815" s="465"/>
      <c r="C815" s="147"/>
      <c r="D815" s="147"/>
      <c r="E815" s="585"/>
      <c r="F815" s="586"/>
      <c r="G815" s="458"/>
      <c r="H815" s="458"/>
      <c r="I815" s="458"/>
      <c r="J815" s="465"/>
      <c r="K815" s="587"/>
      <c r="L815" s="465"/>
      <c r="M815" s="465"/>
      <c r="N815" s="465"/>
      <c r="O815" s="587"/>
      <c r="P815" s="585"/>
      <c r="Q815" s="465"/>
      <c r="R815" s="458"/>
      <c r="S815" s="585"/>
      <c r="T815" s="588"/>
      <c r="U815" s="589"/>
      <c r="V815" s="587"/>
      <c r="W815" s="465"/>
      <c r="X815" s="465"/>
      <c r="Y815" s="590"/>
      <c r="Z815" s="458"/>
      <c r="AA815" s="591"/>
      <c r="AB815" s="465"/>
      <c r="AC815" s="465"/>
      <c r="AD815" s="465"/>
      <c r="AE815" s="465"/>
      <c r="AF815" s="465"/>
      <c r="AG815" s="465"/>
      <c r="AH815" s="465"/>
      <c r="AI815" s="592"/>
      <c r="AJ815" s="465"/>
      <c r="AK815" s="465"/>
      <c r="AL815" s="20"/>
      <c r="AM815" s="20"/>
      <c r="AN815" s="593"/>
      <c r="AO815" s="20"/>
      <c r="AP815" s="276"/>
      <c r="AQ815" s="276"/>
      <c r="AR815" s="276"/>
      <c r="AS815" s="276"/>
      <c r="AT815" s="276"/>
      <c r="AU815" s="276"/>
      <c r="AV815" s="276"/>
      <c r="AW815" s="276"/>
      <c r="AX815" s="276"/>
      <c r="AY815" s="276"/>
      <c r="AZ815" s="276"/>
      <c r="BA815" s="276"/>
      <c r="BB815" s="276"/>
      <c r="BC815" s="276"/>
    </row>
    <row r="816" spans="1:55" ht="12.75" customHeight="1">
      <c r="A816" s="465"/>
      <c r="B816" s="465"/>
      <c r="C816" s="147"/>
      <c r="D816" s="147"/>
      <c r="E816" s="585"/>
      <c r="F816" s="586"/>
      <c r="G816" s="458"/>
      <c r="H816" s="458"/>
      <c r="I816" s="458"/>
      <c r="J816" s="465"/>
      <c r="K816" s="587"/>
      <c r="L816" s="465"/>
      <c r="M816" s="465"/>
      <c r="N816" s="465"/>
      <c r="O816" s="587"/>
      <c r="P816" s="585"/>
      <c r="Q816" s="465"/>
      <c r="R816" s="458"/>
      <c r="S816" s="585"/>
      <c r="T816" s="588"/>
      <c r="U816" s="589"/>
      <c r="V816" s="587"/>
      <c r="W816" s="465"/>
      <c r="X816" s="465"/>
      <c r="Y816" s="590"/>
      <c r="Z816" s="458"/>
      <c r="AA816" s="591"/>
      <c r="AB816" s="465"/>
      <c r="AC816" s="465"/>
      <c r="AD816" s="465"/>
      <c r="AE816" s="465"/>
      <c r="AF816" s="465"/>
      <c r="AG816" s="465"/>
      <c r="AH816" s="465"/>
      <c r="AI816" s="592"/>
      <c r="AJ816" s="465"/>
      <c r="AK816" s="465"/>
      <c r="AL816" s="20"/>
      <c r="AM816" s="20"/>
      <c r="AN816" s="593"/>
      <c r="AO816" s="20"/>
      <c r="AP816" s="276"/>
      <c r="AQ816" s="276"/>
      <c r="AR816" s="276"/>
      <c r="AS816" s="276"/>
      <c r="AT816" s="276"/>
      <c r="AU816" s="276"/>
      <c r="AV816" s="276"/>
      <c r="AW816" s="276"/>
      <c r="AX816" s="276"/>
      <c r="AY816" s="276"/>
      <c r="AZ816" s="276"/>
      <c r="BA816" s="276"/>
      <c r="BB816" s="276"/>
      <c r="BC816" s="276"/>
    </row>
    <row r="817" spans="1:55" ht="12.75" customHeight="1">
      <c r="A817" s="465"/>
      <c r="B817" s="465"/>
      <c r="C817" s="147"/>
      <c r="D817" s="147"/>
      <c r="E817" s="585"/>
      <c r="F817" s="586"/>
      <c r="G817" s="458"/>
      <c r="H817" s="458"/>
      <c r="I817" s="458"/>
      <c r="J817" s="465"/>
      <c r="K817" s="587"/>
      <c r="L817" s="465"/>
      <c r="M817" s="465"/>
      <c r="N817" s="465"/>
      <c r="O817" s="587"/>
      <c r="P817" s="585"/>
      <c r="Q817" s="465"/>
      <c r="R817" s="458"/>
      <c r="S817" s="585"/>
      <c r="T817" s="588"/>
      <c r="U817" s="589"/>
      <c r="V817" s="587"/>
      <c r="W817" s="465"/>
      <c r="X817" s="465"/>
      <c r="Y817" s="590"/>
      <c r="Z817" s="458"/>
      <c r="AA817" s="591"/>
      <c r="AB817" s="465"/>
      <c r="AC817" s="465"/>
      <c r="AD817" s="465"/>
      <c r="AE817" s="465"/>
      <c r="AF817" s="465"/>
      <c r="AG817" s="465"/>
      <c r="AH817" s="465"/>
      <c r="AI817" s="592"/>
      <c r="AJ817" s="465"/>
      <c r="AK817" s="465"/>
      <c r="AL817" s="20"/>
      <c r="AM817" s="20"/>
      <c r="AN817" s="593"/>
      <c r="AO817" s="20"/>
      <c r="AP817" s="276"/>
      <c r="AQ817" s="276"/>
      <c r="AR817" s="276"/>
      <c r="AS817" s="276"/>
      <c r="AT817" s="276"/>
      <c r="AU817" s="276"/>
      <c r="AV817" s="276"/>
      <c r="AW817" s="276"/>
      <c r="AX817" s="276"/>
      <c r="AY817" s="276"/>
      <c r="AZ817" s="276"/>
      <c r="BA817" s="276"/>
      <c r="BB817" s="276"/>
      <c r="BC817" s="276"/>
    </row>
    <row r="818" spans="1:55" ht="12.75" customHeight="1">
      <c r="A818" s="465"/>
      <c r="B818" s="465"/>
      <c r="C818" s="147"/>
      <c r="D818" s="147"/>
      <c r="E818" s="585"/>
      <c r="F818" s="586"/>
      <c r="G818" s="458"/>
      <c r="H818" s="458"/>
      <c r="I818" s="458"/>
      <c r="J818" s="465"/>
      <c r="K818" s="587"/>
      <c r="L818" s="465"/>
      <c r="M818" s="465"/>
      <c r="N818" s="465"/>
      <c r="O818" s="587"/>
      <c r="P818" s="585"/>
      <c r="Q818" s="465"/>
      <c r="R818" s="458"/>
      <c r="S818" s="585"/>
      <c r="T818" s="588"/>
      <c r="U818" s="589"/>
      <c r="V818" s="587"/>
      <c r="W818" s="465"/>
      <c r="X818" s="465"/>
      <c r="Y818" s="590"/>
      <c r="Z818" s="458"/>
      <c r="AA818" s="591"/>
      <c r="AB818" s="465"/>
      <c r="AC818" s="465"/>
      <c r="AD818" s="465"/>
      <c r="AE818" s="465"/>
      <c r="AF818" s="465"/>
      <c r="AG818" s="465"/>
      <c r="AH818" s="465"/>
      <c r="AI818" s="592"/>
      <c r="AJ818" s="465"/>
      <c r="AK818" s="465"/>
      <c r="AL818" s="20"/>
      <c r="AM818" s="20"/>
      <c r="AN818" s="593"/>
      <c r="AO818" s="20"/>
      <c r="AP818" s="276"/>
      <c r="AQ818" s="276"/>
      <c r="AR818" s="276"/>
      <c r="AS818" s="276"/>
      <c r="AT818" s="276"/>
      <c r="AU818" s="276"/>
      <c r="AV818" s="276"/>
      <c r="AW818" s="276"/>
      <c r="AX818" s="276"/>
      <c r="AY818" s="276"/>
      <c r="AZ818" s="276"/>
      <c r="BA818" s="276"/>
      <c r="BB818" s="276"/>
      <c r="BC818" s="276"/>
    </row>
    <row r="819" spans="1:55" ht="12.75" customHeight="1">
      <c r="A819" s="465"/>
      <c r="B819" s="465"/>
      <c r="C819" s="147"/>
      <c r="D819" s="147"/>
      <c r="E819" s="585"/>
      <c r="F819" s="586"/>
      <c r="G819" s="458"/>
      <c r="H819" s="458"/>
      <c r="I819" s="458"/>
      <c r="J819" s="465"/>
      <c r="K819" s="587"/>
      <c r="L819" s="465"/>
      <c r="M819" s="465"/>
      <c r="N819" s="465"/>
      <c r="O819" s="587"/>
      <c r="P819" s="585"/>
      <c r="Q819" s="465"/>
      <c r="R819" s="458"/>
      <c r="S819" s="585"/>
      <c r="T819" s="588"/>
      <c r="U819" s="589"/>
      <c r="V819" s="587"/>
      <c r="W819" s="465"/>
      <c r="X819" s="465"/>
      <c r="Y819" s="590"/>
      <c r="Z819" s="458"/>
      <c r="AA819" s="591"/>
      <c r="AB819" s="465"/>
      <c r="AC819" s="465"/>
      <c r="AD819" s="465"/>
      <c r="AE819" s="465"/>
      <c r="AF819" s="465"/>
      <c r="AG819" s="465"/>
      <c r="AH819" s="465"/>
      <c r="AI819" s="592"/>
      <c r="AJ819" s="465"/>
      <c r="AK819" s="465"/>
      <c r="AL819" s="20"/>
      <c r="AM819" s="20"/>
      <c r="AN819" s="593"/>
      <c r="AO819" s="20"/>
      <c r="AP819" s="276"/>
      <c r="AQ819" s="276"/>
      <c r="AR819" s="276"/>
      <c r="AS819" s="276"/>
      <c r="AT819" s="276"/>
      <c r="AU819" s="276"/>
      <c r="AV819" s="276"/>
      <c r="AW819" s="276"/>
      <c r="AX819" s="276"/>
      <c r="AY819" s="276"/>
      <c r="AZ819" s="276"/>
      <c r="BA819" s="276"/>
      <c r="BB819" s="276"/>
      <c r="BC819" s="276"/>
    </row>
    <row r="820" spans="1:55" ht="12.75" customHeight="1">
      <c r="A820" s="465"/>
      <c r="B820" s="465"/>
      <c r="C820" s="147"/>
      <c r="D820" s="147"/>
      <c r="E820" s="585"/>
      <c r="F820" s="586"/>
      <c r="G820" s="458"/>
      <c r="H820" s="458"/>
      <c r="I820" s="458"/>
      <c r="J820" s="465"/>
      <c r="K820" s="587"/>
      <c r="L820" s="465"/>
      <c r="M820" s="465"/>
      <c r="N820" s="465"/>
      <c r="O820" s="587"/>
      <c r="P820" s="585"/>
      <c r="Q820" s="465"/>
      <c r="R820" s="458"/>
      <c r="S820" s="585"/>
      <c r="T820" s="588"/>
      <c r="U820" s="589"/>
      <c r="V820" s="587"/>
      <c r="W820" s="465"/>
      <c r="X820" s="465"/>
      <c r="Y820" s="590"/>
      <c r="Z820" s="458"/>
      <c r="AA820" s="591"/>
      <c r="AB820" s="465"/>
      <c r="AC820" s="465"/>
      <c r="AD820" s="465"/>
      <c r="AE820" s="465"/>
      <c r="AF820" s="465"/>
      <c r="AG820" s="465"/>
      <c r="AH820" s="465"/>
      <c r="AI820" s="592"/>
      <c r="AJ820" s="465"/>
      <c r="AK820" s="465"/>
      <c r="AL820" s="20"/>
      <c r="AM820" s="20"/>
      <c r="AN820" s="593"/>
      <c r="AO820" s="20"/>
      <c r="AP820" s="276"/>
      <c r="AQ820" s="276"/>
      <c r="AR820" s="276"/>
      <c r="AS820" s="276"/>
      <c r="AT820" s="276"/>
      <c r="AU820" s="276"/>
      <c r="AV820" s="276"/>
      <c r="AW820" s="276"/>
      <c r="AX820" s="276"/>
      <c r="AY820" s="276"/>
      <c r="AZ820" s="276"/>
      <c r="BA820" s="276"/>
      <c r="BB820" s="276"/>
      <c r="BC820" s="276"/>
    </row>
    <row r="821" spans="1:55" ht="12.75" customHeight="1">
      <c r="A821" s="465"/>
      <c r="B821" s="465"/>
      <c r="C821" s="147"/>
      <c r="D821" s="147"/>
      <c r="E821" s="585"/>
      <c r="F821" s="586"/>
      <c r="G821" s="458"/>
      <c r="H821" s="458"/>
      <c r="I821" s="458"/>
      <c r="J821" s="465"/>
      <c r="K821" s="587"/>
      <c r="L821" s="465"/>
      <c r="M821" s="465"/>
      <c r="N821" s="465"/>
      <c r="O821" s="587"/>
      <c r="P821" s="585"/>
      <c r="Q821" s="465"/>
      <c r="R821" s="458"/>
      <c r="S821" s="585"/>
      <c r="T821" s="588"/>
      <c r="U821" s="589"/>
      <c r="V821" s="587"/>
      <c r="W821" s="465"/>
      <c r="X821" s="465"/>
      <c r="Y821" s="590"/>
      <c r="Z821" s="458"/>
      <c r="AA821" s="591"/>
      <c r="AB821" s="465"/>
      <c r="AC821" s="465"/>
      <c r="AD821" s="465"/>
      <c r="AE821" s="465"/>
      <c r="AF821" s="465"/>
      <c r="AG821" s="465"/>
      <c r="AH821" s="465"/>
      <c r="AI821" s="592"/>
      <c r="AJ821" s="465"/>
      <c r="AK821" s="465"/>
      <c r="AL821" s="20"/>
      <c r="AM821" s="20"/>
      <c r="AN821" s="593"/>
      <c r="AO821" s="20"/>
      <c r="AP821" s="276"/>
      <c r="AQ821" s="276"/>
      <c r="AR821" s="276"/>
      <c r="AS821" s="276"/>
      <c r="AT821" s="276"/>
      <c r="AU821" s="276"/>
      <c r="AV821" s="276"/>
      <c r="AW821" s="276"/>
      <c r="AX821" s="276"/>
      <c r="AY821" s="276"/>
      <c r="AZ821" s="276"/>
      <c r="BA821" s="276"/>
      <c r="BB821" s="276"/>
      <c r="BC821" s="276"/>
    </row>
    <row r="822" spans="1:55" ht="12.75" customHeight="1">
      <c r="A822" s="465"/>
      <c r="B822" s="465"/>
      <c r="C822" s="147"/>
      <c r="D822" s="147"/>
      <c r="E822" s="585"/>
      <c r="F822" s="586"/>
      <c r="G822" s="458"/>
      <c r="H822" s="458"/>
      <c r="I822" s="458"/>
      <c r="J822" s="465"/>
      <c r="K822" s="587"/>
      <c r="L822" s="465"/>
      <c r="M822" s="465"/>
      <c r="N822" s="465"/>
      <c r="O822" s="587"/>
      <c r="P822" s="585"/>
      <c r="Q822" s="465"/>
      <c r="R822" s="458"/>
      <c r="S822" s="585"/>
      <c r="T822" s="588"/>
      <c r="U822" s="589"/>
      <c r="V822" s="587"/>
      <c r="W822" s="465"/>
      <c r="X822" s="465"/>
      <c r="Y822" s="590"/>
      <c r="Z822" s="458"/>
      <c r="AA822" s="591"/>
      <c r="AB822" s="465"/>
      <c r="AC822" s="465"/>
      <c r="AD822" s="465"/>
      <c r="AE822" s="465"/>
      <c r="AF822" s="465"/>
      <c r="AG822" s="465"/>
      <c r="AH822" s="465"/>
      <c r="AI822" s="592"/>
      <c r="AJ822" s="465"/>
      <c r="AK822" s="465"/>
      <c r="AL822" s="20"/>
      <c r="AM822" s="20"/>
      <c r="AN822" s="593"/>
      <c r="AO822" s="20"/>
      <c r="AP822" s="276"/>
      <c r="AQ822" s="276"/>
      <c r="AR822" s="276"/>
      <c r="AS822" s="276"/>
      <c r="AT822" s="276"/>
      <c r="AU822" s="276"/>
      <c r="AV822" s="276"/>
      <c r="AW822" s="276"/>
      <c r="AX822" s="276"/>
      <c r="AY822" s="276"/>
      <c r="AZ822" s="276"/>
      <c r="BA822" s="276"/>
      <c r="BB822" s="276"/>
      <c r="BC822" s="276"/>
    </row>
    <row r="823" spans="1:55" ht="12.75" customHeight="1">
      <c r="A823" s="465"/>
      <c r="B823" s="465"/>
      <c r="C823" s="147"/>
      <c r="D823" s="147"/>
      <c r="E823" s="585"/>
      <c r="F823" s="586"/>
      <c r="G823" s="458"/>
      <c r="H823" s="458"/>
      <c r="I823" s="458"/>
      <c r="J823" s="465"/>
      <c r="K823" s="587"/>
      <c r="L823" s="465"/>
      <c r="M823" s="465"/>
      <c r="N823" s="465"/>
      <c r="O823" s="587"/>
      <c r="P823" s="585"/>
      <c r="Q823" s="465"/>
      <c r="R823" s="458"/>
      <c r="S823" s="585"/>
      <c r="T823" s="588"/>
      <c r="U823" s="589"/>
      <c r="V823" s="587"/>
      <c r="W823" s="465"/>
      <c r="X823" s="465"/>
      <c r="Y823" s="590"/>
      <c r="Z823" s="458"/>
      <c r="AA823" s="591"/>
      <c r="AB823" s="465"/>
      <c r="AC823" s="465"/>
      <c r="AD823" s="465"/>
      <c r="AE823" s="465"/>
      <c r="AF823" s="465"/>
      <c r="AG823" s="465"/>
      <c r="AH823" s="465"/>
      <c r="AI823" s="592"/>
      <c r="AJ823" s="465"/>
      <c r="AK823" s="465"/>
      <c r="AL823" s="20"/>
      <c r="AM823" s="20"/>
      <c r="AN823" s="593"/>
      <c r="AO823" s="20"/>
      <c r="AP823" s="276"/>
      <c r="AQ823" s="276"/>
      <c r="AR823" s="276"/>
      <c r="AS823" s="276"/>
      <c r="AT823" s="276"/>
      <c r="AU823" s="276"/>
      <c r="AV823" s="276"/>
      <c r="AW823" s="276"/>
      <c r="AX823" s="276"/>
      <c r="AY823" s="276"/>
      <c r="AZ823" s="276"/>
      <c r="BA823" s="276"/>
      <c r="BB823" s="276"/>
      <c r="BC823" s="276"/>
    </row>
    <row r="824" spans="1:55" ht="12.75" customHeight="1">
      <c r="A824" s="465"/>
      <c r="B824" s="465"/>
      <c r="C824" s="147"/>
      <c r="D824" s="147"/>
      <c r="E824" s="585"/>
      <c r="F824" s="586"/>
      <c r="G824" s="458"/>
      <c r="H824" s="458"/>
      <c r="I824" s="458"/>
      <c r="J824" s="465"/>
      <c r="K824" s="587"/>
      <c r="L824" s="465"/>
      <c r="M824" s="465"/>
      <c r="N824" s="465"/>
      <c r="O824" s="587"/>
      <c r="P824" s="585"/>
      <c r="Q824" s="465"/>
      <c r="R824" s="458"/>
      <c r="S824" s="585"/>
      <c r="T824" s="588"/>
      <c r="U824" s="589"/>
      <c r="V824" s="587"/>
      <c r="W824" s="465"/>
      <c r="X824" s="465"/>
      <c r="Y824" s="590"/>
      <c r="Z824" s="458"/>
      <c r="AA824" s="591"/>
      <c r="AB824" s="465"/>
      <c r="AC824" s="465"/>
      <c r="AD824" s="465"/>
      <c r="AE824" s="465"/>
      <c r="AF824" s="465"/>
      <c r="AG824" s="465"/>
      <c r="AH824" s="465"/>
      <c r="AI824" s="592"/>
      <c r="AJ824" s="465"/>
      <c r="AK824" s="465"/>
      <c r="AL824" s="20"/>
      <c r="AM824" s="20"/>
      <c r="AN824" s="593"/>
      <c r="AO824" s="20"/>
      <c r="AP824" s="276"/>
      <c r="AQ824" s="276"/>
      <c r="AR824" s="276"/>
      <c r="AS824" s="276"/>
      <c r="AT824" s="276"/>
      <c r="AU824" s="276"/>
      <c r="AV824" s="276"/>
      <c r="AW824" s="276"/>
      <c r="AX824" s="276"/>
      <c r="AY824" s="276"/>
      <c r="AZ824" s="276"/>
      <c r="BA824" s="276"/>
      <c r="BB824" s="276"/>
      <c r="BC824" s="276"/>
    </row>
    <row r="825" spans="1:55" ht="12.75" customHeight="1">
      <c r="A825" s="465"/>
      <c r="B825" s="465"/>
      <c r="C825" s="147"/>
      <c r="D825" s="147"/>
      <c r="E825" s="585"/>
      <c r="F825" s="586"/>
      <c r="G825" s="458"/>
      <c r="H825" s="458"/>
      <c r="I825" s="458"/>
      <c r="J825" s="465"/>
      <c r="K825" s="587"/>
      <c r="L825" s="465"/>
      <c r="M825" s="465"/>
      <c r="N825" s="465"/>
      <c r="O825" s="587"/>
      <c r="P825" s="585"/>
      <c r="Q825" s="465"/>
      <c r="R825" s="458"/>
      <c r="S825" s="585"/>
      <c r="T825" s="588"/>
      <c r="U825" s="589"/>
      <c r="V825" s="587"/>
      <c r="W825" s="465"/>
      <c r="X825" s="465"/>
      <c r="Y825" s="590"/>
      <c r="Z825" s="458"/>
      <c r="AA825" s="591"/>
      <c r="AB825" s="465"/>
      <c r="AC825" s="465"/>
      <c r="AD825" s="465"/>
      <c r="AE825" s="465"/>
      <c r="AF825" s="465"/>
      <c r="AG825" s="465"/>
      <c r="AH825" s="465"/>
      <c r="AI825" s="592"/>
      <c r="AJ825" s="465"/>
      <c r="AK825" s="465"/>
      <c r="AL825" s="20"/>
      <c r="AM825" s="20"/>
      <c r="AN825" s="593"/>
      <c r="AO825" s="20"/>
      <c r="AP825" s="276"/>
      <c r="AQ825" s="276"/>
      <c r="AR825" s="276"/>
      <c r="AS825" s="276"/>
      <c r="AT825" s="276"/>
      <c r="AU825" s="276"/>
      <c r="AV825" s="276"/>
      <c r="AW825" s="276"/>
      <c r="AX825" s="276"/>
      <c r="AY825" s="276"/>
      <c r="AZ825" s="276"/>
      <c r="BA825" s="276"/>
      <c r="BB825" s="276"/>
      <c r="BC825" s="276"/>
    </row>
    <row r="826" spans="1:55" ht="12.75" customHeight="1">
      <c r="A826" s="465"/>
      <c r="B826" s="465"/>
      <c r="C826" s="147"/>
      <c r="D826" s="147"/>
      <c r="E826" s="585"/>
      <c r="F826" s="586"/>
      <c r="G826" s="458"/>
      <c r="H826" s="458"/>
      <c r="I826" s="458"/>
      <c r="J826" s="465"/>
      <c r="K826" s="587"/>
      <c r="L826" s="465"/>
      <c r="M826" s="465"/>
      <c r="N826" s="465"/>
      <c r="O826" s="587"/>
      <c r="P826" s="585"/>
      <c r="Q826" s="465"/>
      <c r="R826" s="458"/>
      <c r="S826" s="585"/>
      <c r="T826" s="588"/>
      <c r="U826" s="589"/>
      <c r="V826" s="587"/>
      <c r="W826" s="465"/>
      <c r="X826" s="465"/>
      <c r="Y826" s="590"/>
      <c r="Z826" s="458"/>
      <c r="AA826" s="591"/>
      <c r="AB826" s="465"/>
      <c r="AC826" s="465"/>
      <c r="AD826" s="465"/>
      <c r="AE826" s="465"/>
      <c r="AF826" s="465"/>
      <c r="AG826" s="465"/>
      <c r="AH826" s="465"/>
      <c r="AI826" s="592"/>
      <c r="AJ826" s="465"/>
      <c r="AK826" s="465"/>
      <c r="AL826" s="20"/>
      <c r="AM826" s="20"/>
      <c r="AN826" s="593"/>
      <c r="AO826" s="20"/>
      <c r="AP826" s="276"/>
      <c r="AQ826" s="276"/>
      <c r="AR826" s="276"/>
      <c r="AS826" s="276"/>
      <c r="AT826" s="276"/>
      <c r="AU826" s="276"/>
      <c r="AV826" s="276"/>
      <c r="AW826" s="276"/>
      <c r="AX826" s="276"/>
      <c r="AY826" s="276"/>
      <c r="AZ826" s="276"/>
      <c r="BA826" s="276"/>
      <c r="BB826" s="276"/>
      <c r="BC826" s="276"/>
    </row>
    <row r="827" spans="1:55" ht="12.75" customHeight="1">
      <c r="A827" s="465"/>
      <c r="B827" s="465"/>
      <c r="C827" s="147"/>
      <c r="D827" s="147"/>
      <c r="E827" s="585"/>
      <c r="F827" s="586"/>
      <c r="G827" s="458"/>
      <c r="H827" s="458"/>
      <c r="I827" s="458"/>
      <c r="J827" s="465"/>
      <c r="K827" s="587"/>
      <c r="L827" s="465"/>
      <c r="M827" s="465"/>
      <c r="N827" s="465"/>
      <c r="O827" s="587"/>
      <c r="P827" s="585"/>
      <c r="Q827" s="465"/>
      <c r="R827" s="458"/>
      <c r="S827" s="585"/>
      <c r="T827" s="588"/>
      <c r="U827" s="589"/>
      <c r="V827" s="587"/>
      <c r="W827" s="465"/>
      <c r="X827" s="465"/>
      <c r="Y827" s="590"/>
      <c r="Z827" s="458"/>
      <c r="AA827" s="591"/>
      <c r="AB827" s="465"/>
      <c r="AC827" s="465"/>
      <c r="AD827" s="465"/>
      <c r="AE827" s="465"/>
      <c r="AF827" s="465"/>
      <c r="AG827" s="465"/>
      <c r="AH827" s="465"/>
      <c r="AI827" s="592"/>
      <c r="AJ827" s="465"/>
      <c r="AK827" s="465"/>
      <c r="AL827" s="20"/>
      <c r="AM827" s="20"/>
      <c r="AN827" s="593"/>
      <c r="AO827" s="20"/>
      <c r="AP827" s="276"/>
      <c r="AQ827" s="276"/>
      <c r="AR827" s="276"/>
      <c r="AS827" s="276"/>
      <c r="AT827" s="276"/>
      <c r="AU827" s="276"/>
      <c r="AV827" s="276"/>
      <c r="AW827" s="276"/>
      <c r="AX827" s="276"/>
      <c r="AY827" s="276"/>
      <c r="AZ827" s="276"/>
      <c r="BA827" s="276"/>
      <c r="BB827" s="276"/>
      <c r="BC827" s="276"/>
    </row>
    <row r="828" spans="1:55" ht="12.75" customHeight="1">
      <c r="A828" s="465"/>
      <c r="B828" s="465"/>
      <c r="C828" s="147"/>
      <c r="D828" s="147"/>
      <c r="E828" s="585"/>
      <c r="F828" s="586"/>
      <c r="G828" s="458"/>
      <c r="H828" s="458"/>
      <c r="I828" s="458"/>
      <c r="J828" s="465"/>
      <c r="K828" s="587"/>
      <c r="L828" s="465"/>
      <c r="M828" s="465"/>
      <c r="N828" s="465"/>
      <c r="O828" s="587"/>
      <c r="P828" s="585"/>
      <c r="Q828" s="465"/>
      <c r="R828" s="458"/>
      <c r="S828" s="585"/>
      <c r="T828" s="588"/>
      <c r="U828" s="589"/>
      <c r="V828" s="587"/>
      <c r="W828" s="465"/>
      <c r="X828" s="465"/>
      <c r="Y828" s="590"/>
      <c r="Z828" s="458"/>
      <c r="AA828" s="591"/>
      <c r="AB828" s="465"/>
      <c r="AC828" s="465"/>
      <c r="AD828" s="465"/>
      <c r="AE828" s="465"/>
      <c r="AF828" s="465"/>
      <c r="AG828" s="465"/>
      <c r="AH828" s="465"/>
      <c r="AI828" s="592"/>
      <c r="AJ828" s="465"/>
      <c r="AK828" s="465"/>
      <c r="AL828" s="20"/>
      <c r="AM828" s="20"/>
      <c r="AN828" s="593"/>
      <c r="AO828" s="20"/>
      <c r="AP828" s="276"/>
      <c r="AQ828" s="276"/>
      <c r="AR828" s="276"/>
      <c r="AS828" s="276"/>
      <c r="AT828" s="276"/>
      <c r="AU828" s="276"/>
      <c r="AV828" s="276"/>
      <c r="AW828" s="276"/>
      <c r="AX828" s="276"/>
      <c r="AY828" s="276"/>
      <c r="AZ828" s="276"/>
      <c r="BA828" s="276"/>
      <c r="BB828" s="276"/>
      <c r="BC828" s="276"/>
    </row>
    <row r="829" spans="1:55" ht="12.75" customHeight="1">
      <c r="A829" s="465"/>
      <c r="B829" s="465"/>
      <c r="C829" s="147"/>
      <c r="D829" s="147"/>
      <c r="E829" s="585"/>
      <c r="F829" s="586"/>
      <c r="G829" s="458"/>
      <c r="H829" s="458"/>
      <c r="I829" s="458"/>
      <c r="J829" s="465"/>
      <c r="K829" s="587"/>
      <c r="L829" s="465"/>
      <c r="M829" s="465"/>
      <c r="N829" s="465"/>
      <c r="O829" s="587"/>
      <c r="P829" s="585"/>
      <c r="Q829" s="465"/>
      <c r="R829" s="458"/>
      <c r="S829" s="585"/>
      <c r="T829" s="588"/>
      <c r="U829" s="589"/>
      <c r="V829" s="587"/>
      <c r="W829" s="465"/>
      <c r="X829" s="465"/>
      <c r="Y829" s="590"/>
      <c r="Z829" s="458"/>
      <c r="AA829" s="591"/>
      <c r="AB829" s="465"/>
      <c r="AC829" s="465"/>
      <c r="AD829" s="465"/>
      <c r="AE829" s="465"/>
      <c r="AF829" s="465"/>
      <c r="AG829" s="465"/>
      <c r="AH829" s="465"/>
      <c r="AI829" s="592"/>
      <c r="AJ829" s="465"/>
      <c r="AK829" s="465"/>
      <c r="AL829" s="20"/>
      <c r="AM829" s="20"/>
      <c r="AN829" s="593"/>
      <c r="AO829" s="20"/>
      <c r="AP829" s="276"/>
      <c r="AQ829" s="276"/>
      <c r="AR829" s="276"/>
      <c r="AS829" s="276"/>
      <c r="AT829" s="276"/>
      <c r="AU829" s="276"/>
      <c r="AV829" s="276"/>
      <c r="AW829" s="276"/>
      <c r="AX829" s="276"/>
      <c r="AY829" s="276"/>
      <c r="AZ829" s="276"/>
      <c r="BA829" s="276"/>
      <c r="BB829" s="276"/>
      <c r="BC829" s="276"/>
    </row>
    <row r="830" spans="1:55" ht="12.75" customHeight="1">
      <c r="A830" s="465"/>
      <c r="B830" s="465"/>
      <c r="C830" s="147"/>
      <c r="D830" s="147"/>
      <c r="E830" s="585"/>
      <c r="F830" s="586"/>
      <c r="G830" s="458"/>
      <c r="H830" s="458"/>
      <c r="I830" s="458"/>
      <c r="J830" s="465"/>
      <c r="K830" s="587"/>
      <c r="L830" s="465"/>
      <c r="M830" s="465"/>
      <c r="N830" s="465"/>
      <c r="O830" s="587"/>
      <c r="P830" s="585"/>
      <c r="Q830" s="465"/>
      <c r="R830" s="458"/>
      <c r="S830" s="585"/>
      <c r="T830" s="588"/>
      <c r="U830" s="589"/>
      <c r="V830" s="587"/>
      <c r="W830" s="465"/>
      <c r="X830" s="465"/>
      <c r="Y830" s="590"/>
      <c r="Z830" s="458"/>
      <c r="AA830" s="591"/>
      <c r="AB830" s="465"/>
      <c r="AC830" s="465"/>
      <c r="AD830" s="465"/>
      <c r="AE830" s="465"/>
      <c r="AF830" s="465"/>
      <c r="AG830" s="465"/>
      <c r="AH830" s="465"/>
      <c r="AI830" s="592"/>
      <c r="AJ830" s="465"/>
      <c r="AK830" s="465"/>
      <c r="AL830" s="20"/>
      <c r="AM830" s="20"/>
      <c r="AN830" s="593"/>
      <c r="AO830" s="20"/>
      <c r="AP830" s="276"/>
      <c r="AQ830" s="276"/>
      <c r="AR830" s="276"/>
      <c r="AS830" s="276"/>
      <c r="AT830" s="276"/>
      <c r="AU830" s="276"/>
      <c r="AV830" s="276"/>
      <c r="AW830" s="276"/>
      <c r="AX830" s="276"/>
      <c r="AY830" s="276"/>
      <c r="AZ830" s="276"/>
      <c r="BA830" s="276"/>
      <c r="BB830" s="276"/>
      <c r="BC830" s="276"/>
    </row>
    <row r="831" spans="1:55" ht="12.75" customHeight="1">
      <c r="A831" s="465"/>
      <c r="B831" s="465"/>
      <c r="C831" s="147"/>
      <c r="D831" s="147"/>
      <c r="E831" s="585"/>
      <c r="F831" s="586"/>
      <c r="G831" s="458"/>
      <c r="H831" s="458"/>
      <c r="I831" s="458"/>
      <c r="J831" s="465"/>
      <c r="K831" s="587"/>
      <c r="L831" s="465"/>
      <c r="M831" s="465"/>
      <c r="N831" s="465"/>
      <c r="O831" s="587"/>
      <c r="P831" s="585"/>
      <c r="Q831" s="465"/>
      <c r="R831" s="458"/>
      <c r="S831" s="585"/>
      <c r="T831" s="588"/>
      <c r="U831" s="589"/>
      <c r="V831" s="587"/>
      <c r="W831" s="465"/>
      <c r="X831" s="465"/>
      <c r="Y831" s="590"/>
      <c r="Z831" s="458"/>
      <c r="AA831" s="591"/>
      <c r="AB831" s="465"/>
      <c r="AC831" s="465"/>
      <c r="AD831" s="465"/>
      <c r="AE831" s="465"/>
      <c r="AF831" s="465"/>
      <c r="AG831" s="465"/>
      <c r="AH831" s="465"/>
      <c r="AI831" s="592"/>
      <c r="AJ831" s="465"/>
      <c r="AK831" s="465"/>
      <c r="AL831" s="20"/>
      <c r="AM831" s="20"/>
      <c r="AN831" s="593"/>
      <c r="AO831" s="20"/>
      <c r="AP831" s="276"/>
      <c r="AQ831" s="276"/>
      <c r="AR831" s="276"/>
      <c r="AS831" s="276"/>
      <c r="AT831" s="276"/>
      <c r="AU831" s="276"/>
      <c r="AV831" s="276"/>
      <c r="AW831" s="276"/>
      <c r="AX831" s="276"/>
      <c r="AY831" s="276"/>
      <c r="AZ831" s="276"/>
      <c r="BA831" s="276"/>
      <c r="BB831" s="276"/>
      <c r="BC831" s="276"/>
    </row>
    <row r="832" spans="1:55" ht="12.75" customHeight="1">
      <c r="A832" s="465"/>
      <c r="B832" s="465"/>
      <c r="C832" s="147"/>
      <c r="D832" s="147"/>
      <c r="E832" s="585"/>
      <c r="F832" s="586"/>
      <c r="G832" s="458"/>
      <c r="H832" s="458"/>
      <c r="I832" s="458"/>
      <c r="J832" s="465"/>
      <c r="K832" s="587"/>
      <c r="L832" s="465"/>
      <c r="M832" s="465"/>
      <c r="N832" s="465"/>
      <c r="O832" s="587"/>
      <c r="P832" s="585"/>
      <c r="Q832" s="465"/>
      <c r="R832" s="458"/>
      <c r="S832" s="585"/>
      <c r="T832" s="588"/>
      <c r="U832" s="589"/>
      <c r="V832" s="587"/>
      <c r="W832" s="465"/>
      <c r="X832" s="465"/>
      <c r="Y832" s="590"/>
      <c r="Z832" s="458"/>
      <c r="AA832" s="591"/>
      <c r="AB832" s="465"/>
      <c r="AC832" s="465"/>
      <c r="AD832" s="465"/>
      <c r="AE832" s="465"/>
      <c r="AF832" s="465"/>
      <c r="AG832" s="465"/>
      <c r="AH832" s="465"/>
      <c r="AI832" s="592"/>
      <c r="AJ832" s="465"/>
      <c r="AK832" s="465"/>
      <c r="AL832" s="20"/>
      <c r="AM832" s="20"/>
      <c r="AN832" s="593"/>
      <c r="AO832" s="20"/>
      <c r="AP832" s="276"/>
      <c r="AQ832" s="276"/>
      <c r="AR832" s="276"/>
      <c r="AS832" s="276"/>
      <c r="AT832" s="276"/>
      <c r="AU832" s="276"/>
      <c r="AV832" s="276"/>
      <c r="AW832" s="276"/>
      <c r="AX832" s="276"/>
      <c r="AY832" s="276"/>
      <c r="AZ832" s="276"/>
      <c r="BA832" s="276"/>
      <c r="BB832" s="276"/>
      <c r="BC832" s="276"/>
    </row>
    <row r="833" spans="1:55" ht="12.75" customHeight="1">
      <c r="A833" s="465"/>
      <c r="B833" s="465"/>
      <c r="C833" s="147"/>
      <c r="D833" s="147"/>
      <c r="E833" s="585"/>
      <c r="F833" s="586"/>
      <c r="G833" s="458"/>
      <c r="H833" s="458"/>
      <c r="I833" s="458"/>
      <c r="J833" s="465"/>
      <c r="K833" s="587"/>
      <c r="L833" s="465"/>
      <c r="M833" s="465"/>
      <c r="N833" s="465"/>
      <c r="O833" s="587"/>
      <c r="P833" s="585"/>
      <c r="Q833" s="465"/>
      <c r="R833" s="458"/>
      <c r="S833" s="585"/>
      <c r="T833" s="588"/>
      <c r="U833" s="589"/>
      <c r="V833" s="587"/>
      <c r="W833" s="465"/>
      <c r="X833" s="465"/>
      <c r="Y833" s="590"/>
      <c r="Z833" s="458"/>
      <c r="AA833" s="591"/>
      <c r="AB833" s="465"/>
      <c r="AC833" s="465"/>
      <c r="AD833" s="465"/>
      <c r="AE833" s="465"/>
      <c r="AF833" s="465"/>
      <c r="AG833" s="465"/>
      <c r="AH833" s="465"/>
      <c r="AI833" s="592"/>
      <c r="AJ833" s="465"/>
      <c r="AK833" s="465"/>
      <c r="AL833" s="20"/>
      <c r="AM833" s="20"/>
      <c r="AN833" s="593"/>
      <c r="AO833" s="20"/>
      <c r="AP833" s="276"/>
      <c r="AQ833" s="276"/>
      <c r="AR833" s="276"/>
      <c r="AS833" s="276"/>
      <c r="AT833" s="276"/>
      <c r="AU833" s="276"/>
      <c r="AV833" s="276"/>
      <c r="AW833" s="276"/>
      <c r="AX833" s="276"/>
      <c r="AY833" s="276"/>
      <c r="AZ833" s="276"/>
      <c r="BA833" s="276"/>
      <c r="BB833" s="276"/>
      <c r="BC833" s="276"/>
    </row>
    <row r="834" spans="1:55" ht="12.75" customHeight="1">
      <c r="A834" s="465"/>
      <c r="B834" s="465"/>
      <c r="C834" s="147"/>
      <c r="D834" s="147"/>
      <c r="E834" s="585"/>
      <c r="F834" s="586"/>
      <c r="G834" s="458"/>
      <c r="H834" s="458"/>
      <c r="I834" s="458"/>
      <c r="J834" s="465"/>
      <c r="K834" s="587"/>
      <c r="L834" s="465"/>
      <c r="M834" s="465"/>
      <c r="N834" s="465"/>
      <c r="O834" s="587"/>
      <c r="P834" s="585"/>
      <c r="Q834" s="465"/>
      <c r="R834" s="458"/>
      <c r="S834" s="585"/>
      <c r="T834" s="588"/>
      <c r="U834" s="589"/>
      <c r="V834" s="587"/>
      <c r="W834" s="465"/>
      <c r="X834" s="465"/>
      <c r="Y834" s="590"/>
      <c r="Z834" s="458"/>
      <c r="AA834" s="591"/>
      <c r="AB834" s="465"/>
      <c r="AC834" s="465"/>
      <c r="AD834" s="465"/>
      <c r="AE834" s="465"/>
      <c r="AF834" s="465"/>
      <c r="AG834" s="465"/>
      <c r="AH834" s="465"/>
      <c r="AI834" s="592"/>
      <c r="AJ834" s="465"/>
      <c r="AK834" s="465"/>
      <c r="AL834" s="20"/>
      <c r="AM834" s="20"/>
      <c r="AN834" s="593"/>
      <c r="AO834" s="20"/>
      <c r="AP834" s="276"/>
      <c r="AQ834" s="276"/>
      <c r="AR834" s="276"/>
      <c r="AS834" s="276"/>
      <c r="AT834" s="276"/>
      <c r="AU834" s="276"/>
      <c r="AV834" s="276"/>
      <c r="AW834" s="276"/>
      <c r="AX834" s="276"/>
      <c r="AY834" s="276"/>
      <c r="AZ834" s="276"/>
      <c r="BA834" s="276"/>
      <c r="BB834" s="276"/>
      <c r="BC834" s="276"/>
    </row>
    <row r="835" spans="1:55" ht="12.75" customHeight="1">
      <c r="A835" s="465"/>
      <c r="B835" s="465"/>
      <c r="C835" s="147"/>
      <c r="D835" s="147"/>
      <c r="E835" s="585"/>
      <c r="F835" s="586"/>
      <c r="G835" s="458"/>
      <c r="H835" s="458"/>
      <c r="I835" s="458"/>
      <c r="J835" s="465"/>
      <c r="K835" s="587"/>
      <c r="L835" s="465"/>
      <c r="M835" s="465"/>
      <c r="N835" s="465"/>
      <c r="O835" s="587"/>
      <c r="P835" s="585"/>
      <c r="Q835" s="465"/>
      <c r="R835" s="458"/>
      <c r="S835" s="585"/>
      <c r="T835" s="588"/>
      <c r="U835" s="589"/>
      <c r="V835" s="587"/>
      <c r="W835" s="465"/>
      <c r="X835" s="465"/>
      <c r="Y835" s="590"/>
      <c r="Z835" s="458"/>
      <c r="AA835" s="591"/>
      <c r="AB835" s="465"/>
      <c r="AC835" s="465"/>
      <c r="AD835" s="465"/>
      <c r="AE835" s="465"/>
      <c r="AF835" s="465"/>
      <c r="AG835" s="465"/>
      <c r="AH835" s="465"/>
      <c r="AI835" s="592"/>
      <c r="AJ835" s="465"/>
      <c r="AK835" s="465"/>
      <c r="AL835" s="20"/>
      <c r="AM835" s="20"/>
      <c r="AN835" s="593"/>
      <c r="AO835" s="20"/>
      <c r="AP835" s="276"/>
      <c r="AQ835" s="276"/>
      <c r="AR835" s="276"/>
      <c r="AS835" s="276"/>
      <c r="AT835" s="276"/>
      <c r="AU835" s="276"/>
      <c r="AV835" s="276"/>
      <c r="AW835" s="276"/>
      <c r="AX835" s="276"/>
      <c r="AY835" s="276"/>
      <c r="AZ835" s="276"/>
      <c r="BA835" s="276"/>
      <c r="BB835" s="276"/>
      <c r="BC835" s="276"/>
    </row>
    <row r="836" spans="1:55" ht="12.75" customHeight="1">
      <c r="A836" s="465"/>
      <c r="B836" s="465"/>
      <c r="C836" s="147"/>
      <c r="D836" s="147"/>
      <c r="E836" s="585"/>
      <c r="F836" s="586"/>
      <c r="G836" s="458"/>
      <c r="H836" s="458"/>
      <c r="I836" s="458"/>
      <c r="J836" s="465"/>
      <c r="K836" s="587"/>
      <c r="L836" s="465"/>
      <c r="M836" s="465"/>
      <c r="N836" s="465"/>
      <c r="O836" s="587"/>
      <c r="P836" s="585"/>
      <c r="Q836" s="465"/>
      <c r="R836" s="458"/>
      <c r="S836" s="585"/>
      <c r="T836" s="588"/>
      <c r="U836" s="589"/>
      <c r="V836" s="587"/>
      <c r="W836" s="465"/>
      <c r="X836" s="465"/>
      <c r="Y836" s="590"/>
      <c r="Z836" s="458"/>
      <c r="AA836" s="591"/>
      <c r="AB836" s="465"/>
      <c r="AC836" s="465"/>
      <c r="AD836" s="465"/>
      <c r="AE836" s="465"/>
      <c r="AF836" s="465"/>
      <c r="AG836" s="465"/>
      <c r="AH836" s="465"/>
      <c r="AI836" s="592"/>
      <c r="AJ836" s="465"/>
      <c r="AK836" s="465"/>
      <c r="AL836" s="20"/>
      <c r="AM836" s="20"/>
      <c r="AN836" s="593"/>
      <c r="AO836" s="20"/>
      <c r="AP836" s="276"/>
      <c r="AQ836" s="276"/>
      <c r="AR836" s="276"/>
      <c r="AS836" s="276"/>
      <c r="AT836" s="276"/>
      <c r="AU836" s="276"/>
      <c r="AV836" s="276"/>
      <c r="AW836" s="276"/>
      <c r="AX836" s="276"/>
      <c r="AY836" s="276"/>
      <c r="AZ836" s="276"/>
      <c r="BA836" s="276"/>
      <c r="BB836" s="276"/>
      <c r="BC836" s="276"/>
    </row>
    <row r="837" spans="1:55" ht="12.75" customHeight="1">
      <c r="A837" s="465"/>
      <c r="B837" s="465"/>
      <c r="C837" s="147"/>
      <c r="D837" s="147"/>
      <c r="E837" s="585"/>
      <c r="F837" s="586"/>
      <c r="G837" s="458"/>
      <c r="H837" s="458"/>
      <c r="I837" s="458"/>
      <c r="J837" s="465"/>
      <c r="K837" s="587"/>
      <c r="L837" s="465"/>
      <c r="M837" s="465"/>
      <c r="N837" s="465"/>
      <c r="O837" s="587"/>
      <c r="P837" s="585"/>
      <c r="Q837" s="465"/>
      <c r="R837" s="458"/>
      <c r="S837" s="585"/>
      <c r="T837" s="588"/>
      <c r="U837" s="589"/>
      <c r="V837" s="587"/>
      <c r="W837" s="465"/>
      <c r="X837" s="465"/>
      <c r="Y837" s="590"/>
      <c r="Z837" s="458"/>
      <c r="AA837" s="591"/>
      <c r="AB837" s="465"/>
      <c r="AC837" s="465"/>
      <c r="AD837" s="465"/>
      <c r="AE837" s="465"/>
      <c r="AF837" s="465"/>
      <c r="AG837" s="465"/>
      <c r="AH837" s="465"/>
      <c r="AI837" s="592"/>
      <c r="AJ837" s="465"/>
      <c r="AK837" s="465"/>
      <c r="AL837" s="20"/>
      <c r="AM837" s="20"/>
      <c r="AN837" s="593"/>
      <c r="AO837" s="20"/>
      <c r="AP837" s="276"/>
      <c r="AQ837" s="276"/>
      <c r="AR837" s="276"/>
      <c r="AS837" s="276"/>
      <c r="AT837" s="276"/>
      <c r="AU837" s="276"/>
      <c r="AV837" s="276"/>
      <c r="AW837" s="276"/>
      <c r="AX837" s="276"/>
      <c r="AY837" s="276"/>
      <c r="AZ837" s="276"/>
      <c r="BA837" s="276"/>
      <c r="BB837" s="276"/>
      <c r="BC837" s="276"/>
    </row>
    <row r="838" spans="1:55" ht="12.75" customHeight="1">
      <c r="A838" s="465"/>
      <c r="B838" s="465"/>
      <c r="C838" s="147"/>
      <c r="D838" s="147"/>
      <c r="E838" s="585"/>
      <c r="F838" s="586"/>
      <c r="G838" s="458"/>
      <c r="H838" s="458"/>
      <c r="I838" s="458"/>
      <c r="J838" s="465"/>
      <c r="K838" s="587"/>
      <c r="L838" s="465"/>
      <c r="M838" s="465"/>
      <c r="N838" s="465"/>
      <c r="O838" s="587"/>
      <c r="P838" s="585"/>
      <c r="Q838" s="465"/>
      <c r="R838" s="458"/>
      <c r="S838" s="585"/>
      <c r="T838" s="588"/>
      <c r="U838" s="589"/>
      <c r="V838" s="587"/>
      <c r="W838" s="465"/>
      <c r="X838" s="465"/>
      <c r="Y838" s="590"/>
      <c r="Z838" s="458"/>
      <c r="AA838" s="591"/>
      <c r="AB838" s="465"/>
      <c r="AC838" s="465"/>
      <c r="AD838" s="465"/>
      <c r="AE838" s="465"/>
      <c r="AF838" s="465"/>
      <c r="AG838" s="465"/>
      <c r="AH838" s="465"/>
      <c r="AI838" s="592"/>
      <c r="AJ838" s="465"/>
      <c r="AK838" s="465"/>
      <c r="AL838" s="20"/>
      <c r="AM838" s="20"/>
      <c r="AN838" s="593"/>
      <c r="AO838" s="20"/>
      <c r="AP838" s="276"/>
      <c r="AQ838" s="276"/>
      <c r="AR838" s="276"/>
      <c r="AS838" s="276"/>
      <c r="AT838" s="276"/>
      <c r="AU838" s="276"/>
      <c r="AV838" s="276"/>
      <c r="AW838" s="276"/>
      <c r="AX838" s="276"/>
      <c r="AY838" s="276"/>
      <c r="AZ838" s="276"/>
      <c r="BA838" s="276"/>
      <c r="BB838" s="276"/>
      <c r="BC838" s="276"/>
    </row>
    <row r="839" spans="1:55" ht="12.75" customHeight="1">
      <c r="A839" s="465"/>
      <c r="B839" s="465"/>
      <c r="C839" s="147"/>
      <c r="D839" s="147"/>
      <c r="E839" s="585"/>
      <c r="F839" s="586"/>
      <c r="G839" s="458"/>
      <c r="H839" s="458"/>
      <c r="I839" s="458"/>
      <c r="J839" s="465"/>
      <c r="K839" s="587"/>
      <c r="L839" s="465"/>
      <c r="M839" s="465"/>
      <c r="N839" s="465"/>
      <c r="O839" s="587"/>
      <c r="P839" s="585"/>
      <c r="Q839" s="465"/>
      <c r="R839" s="458"/>
      <c r="S839" s="585"/>
      <c r="T839" s="588"/>
      <c r="U839" s="589"/>
      <c r="V839" s="587"/>
      <c r="W839" s="465"/>
      <c r="X839" s="465"/>
      <c r="Y839" s="590"/>
      <c r="Z839" s="458"/>
      <c r="AA839" s="591"/>
      <c r="AB839" s="465"/>
      <c r="AC839" s="465"/>
      <c r="AD839" s="465"/>
      <c r="AE839" s="465"/>
      <c r="AF839" s="465"/>
      <c r="AG839" s="465"/>
      <c r="AH839" s="465"/>
      <c r="AI839" s="592"/>
      <c r="AJ839" s="465"/>
      <c r="AK839" s="465"/>
      <c r="AL839" s="20"/>
      <c r="AM839" s="20"/>
      <c r="AN839" s="593"/>
      <c r="AO839" s="20"/>
      <c r="AP839" s="276"/>
      <c r="AQ839" s="276"/>
      <c r="AR839" s="276"/>
      <c r="AS839" s="276"/>
      <c r="AT839" s="276"/>
      <c r="AU839" s="276"/>
      <c r="AV839" s="276"/>
      <c r="AW839" s="276"/>
      <c r="AX839" s="276"/>
      <c r="AY839" s="276"/>
      <c r="AZ839" s="276"/>
      <c r="BA839" s="276"/>
      <c r="BB839" s="276"/>
      <c r="BC839" s="276"/>
    </row>
    <row r="840" spans="1:55" ht="12.75" customHeight="1">
      <c r="A840" s="465"/>
      <c r="B840" s="465"/>
      <c r="C840" s="147"/>
      <c r="D840" s="147"/>
      <c r="E840" s="585"/>
      <c r="F840" s="586"/>
      <c r="G840" s="458"/>
      <c r="H840" s="458"/>
      <c r="I840" s="458"/>
      <c r="J840" s="465"/>
      <c r="K840" s="587"/>
      <c r="L840" s="465"/>
      <c r="M840" s="465"/>
      <c r="N840" s="465"/>
      <c r="O840" s="587"/>
      <c r="P840" s="585"/>
      <c r="Q840" s="465"/>
      <c r="R840" s="458"/>
      <c r="S840" s="585"/>
      <c r="T840" s="588"/>
      <c r="U840" s="589"/>
      <c r="V840" s="587"/>
      <c r="W840" s="465"/>
      <c r="X840" s="465"/>
      <c r="Y840" s="590"/>
      <c r="Z840" s="458"/>
      <c r="AA840" s="591"/>
      <c r="AB840" s="465"/>
      <c r="AC840" s="465"/>
      <c r="AD840" s="465"/>
      <c r="AE840" s="465"/>
      <c r="AF840" s="465"/>
      <c r="AG840" s="465"/>
      <c r="AH840" s="465"/>
      <c r="AI840" s="592"/>
      <c r="AJ840" s="465"/>
      <c r="AK840" s="465"/>
      <c r="AL840" s="20"/>
      <c r="AM840" s="20"/>
      <c r="AN840" s="593"/>
      <c r="AO840" s="20"/>
      <c r="AP840" s="276"/>
      <c r="AQ840" s="276"/>
      <c r="AR840" s="276"/>
      <c r="AS840" s="276"/>
      <c r="AT840" s="276"/>
      <c r="AU840" s="276"/>
      <c r="AV840" s="276"/>
      <c r="AW840" s="276"/>
      <c r="AX840" s="276"/>
      <c r="AY840" s="276"/>
      <c r="AZ840" s="276"/>
      <c r="BA840" s="276"/>
      <c r="BB840" s="276"/>
      <c r="BC840" s="276"/>
    </row>
    <row r="841" spans="1:55" ht="12.75" customHeight="1">
      <c r="A841" s="465"/>
      <c r="B841" s="465"/>
      <c r="C841" s="147"/>
      <c r="D841" s="147"/>
      <c r="E841" s="585"/>
      <c r="F841" s="586"/>
      <c r="G841" s="458"/>
      <c r="H841" s="458"/>
      <c r="I841" s="458"/>
      <c r="J841" s="465"/>
      <c r="K841" s="587"/>
      <c r="L841" s="465"/>
      <c r="M841" s="465"/>
      <c r="N841" s="465"/>
      <c r="O841" s="587"/>
      <c r="P841" s="585"/>
      <c r="Q841" s="465"/>
      <c r="R841" s="458"/>
      <c r="S841" s="585"/>
      <c r="T841" s="588"/>
      <c r="U841" s="589"/>
      <c r="V841" s="587"/>
      <c r="W841" s="465"/>
      <c r="X841" s="465"/>
      <c r="Y841" s="590"/>
      <c r="Z841" s="458"/>
      <c r="AA841" s="591"/>
      <c r="AB841" s="465"/>
      <c r="AC841" s="465"/>
      <c r="AD841" s="465"/>
      <c r="AE841" s="465"/>
      <c r="AF841" s="465"/>
      <c r="AG841" s="465"/>
      <c r="AH841" s="465"/>
      <c r="AI841" s="592"/>
      <c r="AJ841" s="465"/>
      <c r="AK841" s="465"/>
      <c r="AL841" s="20"/>
      <c r="AM841" s="20"/>
      <c r="AN841" s="593"/>
      <c r="AO841" s="20"/>
      <c r="AP841" s="276"/>
      <c r="AQ841" s="276"/>
      <c r="AR841" s="276"/>
      <c r="AS841" s="276"/>
      <c r="AT841" s="276"/>
      <c r="AU841" s="276"/>
      <c r="AV841" s="276"/>
      <c r="AW841" s="276"/>
      <c r="AX841" s="276"/>
      <c r="AY841" s="276"/>
      <c r="AZ841" s="276"/>
      <c r="BA841" s="276"/>
      <c r="BB841" s="276"/>
      <c r="BC841" s="276"/>
    </row>
    <row r="842" spans="1:55" ht="12.75" customHeight="1">
      <c r="A842" s="465"/>
      <c r="B842" s="465"/>
      <c r="C842" s="147"/>
      <c r="D842" s="147"/>
      <c r="E842" s="585"/>
      <c r="F842" s="586"/>
      <c r="G842" s="458"/>
      <c r="H842" s="458"/>
      <c r="I842" s="458"/>
      <c r="J842" s="465"/>
      <c r="K842" s="587"/>
      <c r="L842" s="465"/>
      <c r="M842" s="465"/>
      <c r="N842" s="465"/>
      <c r="O842" s="587"/>
      <c r="P842" s="585"/>
      <c r="Q842" s="465"/>
      <c r="R842" s="458"/>
      <c r="S842" s="585"/>
      <c r="T842" s="588"/>
      <c r="U842" s="589"/>
      <c r="V842" s="587"/>
      <c r="W842" s="465"/>
      <c r="X842" s="465"/>
      <c r="Y842" s="590"/>
      <c r="Z842" s="458"/>
      <c r="AA842" s="591"/>
      <c r="AB842" s="465"/>
      <c r="AC842" s="465"/>
      <c r="AD842" s="465"/>
      <c r="AE842" s="465"/>
      <c r="AF842" s="465"/>
      <c r="AG842" s="465"/>
      <c r="AH842" s="465"/>
      <c r="AI842" s="592"/>
      <c r="AJ842" s="465"/>
      <c r="AK842" s="465"/>
      <c r="AL842" s="20"/>
      <c r="AM842" s="20"/>
      <c r="AN842" s="593"/>
      <c r="AO842" s="20"/>
      <c r="AP842" s="276"/>
      <c r="AQ842" s="276"/>
      <c r="AR842" s="276"/>
      <c r="AS842" s="276"/>
      <c r="AT842" s="276"/>
      <c r="AU842" s="276"/>
      <c r="AV842" s="276"/>
      <c r="AW842" s="276"/>
      <c r="AX842" s="276"/>
      <c r="AY842" s="276"/>
      <c r="AZ842" s="276"/>
      <c r="BA842" s="276"/>
      <c r="BB842" s="276"/>
      <c r="BC842" s="276"/>
    </row>
    <row r="843" spans="1:55" ht="12.75" customHeight="1">
      <c r="A843" s="465"/>
      <c r="B843" s="465"/>
      <c r="C843" s="147"/>
      <c r="D843" s="147"/>
      <c r="E843" s="585"/>
      <c r="F843" s="586"/>
      <c r="G843" s="458"/>
      <c r="H843" s="458"/>
      <c r="I843" s="458"/>
      <c r="J843" s="465"/>
      <c r="K843" s="587"/>
      <c r="L843" s="465"/>
      <c r="M843" s="465"/>
      <c r="N843" s="465"/>
      <c r="O843" s="587"/>
      <c r="P843" s="585"/>
      <c r="Q843" s="465"/>
      <c r="R843" s="458"/>
      <c r="S843" s="585"/>
      <c r="T843" s="588"/>
      <c r="U843" s="589"/>
      <c r="V843" s="587"/>
      <c r="W843" s="465"/>
      <c r="X843" s="465"/>
      <c r="Y843" s="590"/>
      <c r="Z843" s="458"/>
      <c r="AA843" s="591"/>
      <c r="AB843" s="465"/>
      <c r="AC843" s="465"/>
      <c r="AD843" s="465"/>
      <c r="AE843" s="465"/>
      <c r="AF843" s="465"/>
      <c r="AG843" s="465"/>
      <c r="AH843" s="465"/>
      <c r="AI843" s="592"/>
      <c r="AJ843" s="465"/>
      <c r="AK843" s="465"/>
      <c r="AL843" s="20"/>
      <c r="AM843" s="20"/>
      <c r="AN843" s="593"/>
      <c r="AO843" s="20"/>
      <c r="AP843" s="276"/>
      <c r="AQ843" s="276"/>
      <c r="AR843" s="276"/>
      <c r="AS843" s="276"/>
      <c r="AT843" s="276"/>
      <c r="AU843" s="276"/>
      <c r="AV843" s="276"/>
      <c r="AW843" s="276"/>
      <c r="AX843" s="276"/>
      <c r="AY843" s="276"/>
      <c r="AZ843" s="276"/>
      <c r="BA843" s="276"/>
      <c r="BB843" s="276"/>
      <c r="BC843" s="276"/>
    </row>
    <row r="844" spans="1:55" ht="12.75" customHeight="1">
      <c r="A844" s="465"/>
      <c r="B844" s="465"/>
      <c r="C844" s="147"/>
      <c r="D844" s="147"/>
      <c r="E844" s="585"/>
      <c r="F844" s="586"/>
      <c r="G844" s="458"/>
      <c r="H844" s="458"/>
      <c r="I844" s="458"/>
      <c r="J844" s="465"/>
      <c r="K844" s="587"/>
      <c r="L844" s="465"/>
      <c r="M844" s="465"/>
      <c r="N844" s="465"/>
      <c r="O844" s="587"/>
      <c r="P844" s="585"/>
      <c r="Q844" s="465"/>
      <c r="R844" s="458"/>
      <c r="S844" s="585"/>
      <c r="T844" s="588"/>
      <c r="U844" s="589"/>
      <c r="V844" s="587"/>
      <c r="W844" s="465"/>
      <c r="X844" s="465"/>
      <c r="Y844" s="590"/>
      <c r="Z844" s="458"/>
      <c r="AA844" s="591"/>
      <c r="AB844" s="465"/>
      <c r="AC844" s="465"/>
      <c r="AD844" s="465"/>
      <c r="AE844" s="465"/>
      <c r="AF844" s="465"/>
      <c r="AG844" s="465"/>
      <c r="AH844" s="465"/>
      <c r="AI844" s="592"/>
      <c r="AJ844" s="465"/>
      <c r="AK844" s="465"/>
      <c r="AL844" s="20"/>
      <c r="AM844" s="20"/>
      <c r="AN844" s="593"/>
      <c r="AO844" s="20"/>
      <c r="AP844" s="276"/>
      <c r="AQ844" s="276"/>
      <c r="AR844" s="276"/>
      <c r="AS844" s="276"/>
      <c r="AT844" s="276"/>
      <c r="AU844" s="276"/>
      <c r="AV844" s="276"/>
      <c r="AW844" s="276"/>
      <c r="AX844" s="276"/>
      <c r="AY844" s="276"/>
      <c r="AZ844" s="276"/>
      <c r="BA844" s="276"/>
      <c r="BB844" s="276"/>
      <c r="BC844" s="276"/>
    </row>
    <row r="845" spans="1:55" ht="12.75" customHeight="1">
      <c r="A845" s="465"/>
      <c r="B845" s="465"/>
      <c r="C845" s="147"/>
      <c r="D845" s="147"/>
      <c r="E845" s="585"/>
      <c r="F845" s="586"/>
      <c r="G845" s="458"/>
      <c r="H845" s="458"/>
      <c r="I845" s="458"/>
      <c r="J845" s="465"/>
      <c r="K845" s="587"/>
      <c r="L845" s="465"/>
      <c r="M845" s="465"/>
      <c r="N845" s="465"/>
      <c r="O845" s="587"/>
      <c r="P845" s="585"/>
      <c r="Q845" s="465"/>
      <c r="R845" s="458"/>
      <c r="S845" s="585"/>
      <c r="T845" s="588"/>
      <c r="U845" s="589"/>
      <c r="V845" s="587"/>
      <c r="W845" s="465"/>
      <c r="X845" s="465"/>
      <c r="Y845" s="590"/>
      <c r="Z845" s="458"/>
      <c r="AA845" s="591"/>
      <c r="AB845" s="465"/>
      <c r="AC845" s="465"/>
      <c r="AD845" s="465"/>
      <c r="AE845" s="465"/>
      <c r="AF845" s="465"/>
      <c r="AG845" s="465"/>
      <c r="AH845" s="465"/>
      <c r="AI845" s="592"/>
      <c r="AJ845" s="465"/>
      <c r="AK845" s="465"/>
      <c r="AL845" s="20"/>
      <c r="AM845" s="20"/>
      <c r="AN845" s="593"/>
      <c r="AO845" s="20"/>
      <c r="AP845" s="276"/>
      <c r="AQ845" s="276"/>
      <c r="AR845" s="276"/>
      <c r="AS845" s="276"/>
      <c r="AT845" s="276"/>
      <c r="AU845" s="276"/>
      <c r="AV845" s="276"/>
      <c r="AW845" s="276"/>
      <c r="AX845" s="276"/>
      <c r="AY845" s="276"/>
      <c r="AZ845" s="276"/>
      <c r="BA845" s="276"/>
      <c r="BB845" s="276"/>
      <c r="BC845" s="276"/>
    </row>
    <row r="846" spans="1:55" ht="12.75" customHeight="1">
      <c r="A846" s="465"/>
      <c r="B846" s="465"/>
      <c r="C846" s="147"/>
      <c r="D846" s="147"/>
      <c r="E846" s="585"/>
      <c r="F846" s="586"/>
      <c r="G846" s="458"/>
      <c r="H846" s="458"/>
      <c r="I846" s="458"/>
      <c r="J846" s="465"/>
      <c r="K846" s="587"/>
      <c r="L846" s="465"/>
      <c r="M846" s="465"/>
      <c r="N846" s="465"/>
      <c r="O846" s="587"/>
      <c r="P846" s="585"/>
      <c r="Q846" s="465"/>
      <c r="R846" s="458"/>
      <c r="S846" s="585"/>
      <c r="T846" s="588"/>
      <c r="U846" s="589"/>
      <c r="V846" s="587"/>
      <c r="W846" s="465"/>
      <c r="X846" s="465"/>
      <c r="Y846" s="590"/>
      <c r="Z846" s="458"/>
      <c r="AA846" s="591"/>
      <c r="AB846" s="465"/>
      <c r="AC846" s="465"/>
      <c r="AD846" s="465"/>
      <c r="AE846" s="465"/>
      <c r="AF846" s="465"/>
      <c r="AG846" s="465"/>
      <c r="AH846" s="465"/>
      <c r="AI846" s="592"/>
      <c r="AJ846" s="465"/>
      <c r="AK846" s="465"/>
      <c r="AL846" s="20"/>
      <c r="AM846" s="20"/>
      <c r="AN846" s="593"/>
      <c r="AO846" s="20"/>
      <c r="AP846" s="276"/>
      <c r="AQ846" s="276"/>
      <c r="AR846" s="276"/>
      <c r="AS846" s="276"/>
      <c r="AT846" s="276"/>
      <c r="AU846" s="276"/>
      <c r="AV846" s="276"/>
      <c r="AW846" s="276"/>
      <c r="AX846" s="276"/>
      <c r="AY846" s="276"/>
      <c r="AZ846" s="276"/>
      <c r="BA846" s="276"/>
      <c r="BB846" s="276"/>
      <c r="BC846" s="276"/>
    </row>
    <row r="847" spans="1:55" ht="12.75" customHeight="1">
      <c r="A847" s="465"/>
      <c r="B847" s="465"/>
      <c r="C847" s="147"/>
      <c r="D847" s="147"/>
      <c r="E847" s="585"/>
      <c r="F847" s="586"/>
      <c r="G847" s="458"/>
      <c r="H847" s="458"/>
      <c r="I847" s="458"/>
      <c r="J847" s="465"/>
      <c r="K847" s="587"/>
      <c r="L847" s="465"/>
      <c r="M847" s="465"/>
      <c r="N847" s="465"/>
      <c r="O847" s="587"/>
      <c r="P847" s="585"/>
      <c r="Q847" s="465"/>
      <c r="R847" s="458"/>
      <c r="S847" s="585"/>
      <c r="T847" s="588"/>
      <c r="U847" s="589"/>
      <c r="V847" s="587"/>
      <c r="W847" s="465"/>
      <c r="X847" s="465"/>
      <c r="Y847" s="590"/>
      <c r="Z847" s="458"/>
      <c r="AA847" s="591"/>
      <c r="AB847" s="465"/>
      <c r="AC847" s="465"/>
      <c r="AD847" s="465"/>
      <c r="AE847" s="465"/>
      <c r="AF847" s="465"/>
      <c r="AG847" s="465"/>
      <c r="AH847" s="465"/>
      <c r="AI847" s="592"/>
      <c r="AJ847" s="465"/>
      <c r="AK847" s="465"/>
      <c r="AL847" s="20"/>
      <c r="AM847" s="20"/>
      <c r="AN847" s="593"/>
      <c r="AO847" s="20"/>
      <c r="AP847" s="276"/>
      <c r="AQ847" s="276"/>
      <c r="AR847" s="276"/>
      <c r="AS847" s="276"/>
      <c r="AT847" s="276"/>
      <c r="AU847" s="276"/>
      <c r="AV847" s="276"/>
      <c r="AW847" s="276"/>
      <c r="AX847" s="276"/>
      <c r="AY847" s="276"/>
      <c r="AZ847" s="276"/>
      <c r="BA847" s="276"/>
      <c r="BB847" s="276"/>
      <c r="BC847" s="276"/>
    </row>
    <row r="848" spans="1:55" ht="12.75" customHeight="1">
      <c r="A848" s="465"/>
      <c r="B848" s="465"/>
      <c r="C848" s="147"/>
      <c r="D848" s="147"/>
      <c r="E848" s="585"/>
      <c r="F848" s="586"/>
      <c r="G848" s="458"/>
      <c r="H848" s="458"/>
      <c r="I848" s="458"/>
      <c r="J848" s="465"/>
      <c r="K848" s="587"/>
      <c r="L848" s="465"/>
      <c r="M848" s="465"/>
      <c r="N848" s="465"/>
      <c r="O848" s="587"/>
      <c r="P848" s="585"/>
      <c r="Q848" s="465"/>
      <c r="R848" s="458"/>
      <c r="S848" s="585"/>
      <c r="T848" s="588"/>
      <c r="U848" s="589"/>
      <c r="V848" s="587"/>
      <c r="W848" s="465"/>
      <c r="X848" s="465"/>
      <c r="Y848" s="590"/>
      <c r="Z848" s="458"/>
      <c r="AA848" s="591"/>
      <c r="AB848" s="465"/>
      <c r="AC848" s="465"/>
      <c r="AD848" s="465"/>
      <c r="AE848" s="465"/>
      <c r="AF848" s="465"/>
      <c r="AG848" s="465"/>
      <c r="AH848" s="465"/>
      <c r="AI848" s="592"/>
      <c r="AJ848" s="465"/>
      <c r="AK848" s="465"/>
      <c r="AL848" s="20"/>
      <c r="AM848" s="20"/>
      <c r="AN848" s="593"/>
      <c r="AO848" s="20"/>
      <c r="AP848" s="276"/>
      <c r="AQ848" s="276"/>
      <c r="AR848" s="276"/>
      <c r="AS848" s="276"/>
      <c r="AT848" s="276"/>
      <c r="AU848" s="276"/>
      <c r="AV848" s="276"/>
      <c r="AW848" s="276"/>
      <c r="AX848" s="276"/>
      <c r="AY848" s="276"/>
      <c r="AZ848" s="276"/>
      <c r="BA848" s="276"/>
      <c r="BB848" s="276"/>
      <c r="BC848" s="276"/>
    </row>
    <row r="849" spans="1:55" ht="12.75" customHeight="1">
      <c r="A849" s="465"/>
      <c r="B849" s="465"/>
      <c r="C849" s="147"/>
      <c r="D849" s="147"/>
      <c r="E849" s="585"/>
      <c r="F849" s="586"/>
      <c r="G849" s="458"/>
      <c r="H849" s="458"/>
      <c r="I849" s="458"/>
      <c r="J849" s="465"/>
      <c r="K849" s="587"/>
      <c r="L849" s="465"/>
      <c r="M849" s="465"/>
      <c r="N849" s="465"/>
      <c r="O849" s="587"/>
      <c r="P849" s="585"/>
      <c r="Q849" s="465"/>
      <c r="R849" s="458"/>
      <c r="S849" s="585"/>
      <c r="T849" s="588"/>
      <c r="U849" s="589"/>
      <c r="V849" s="587"/>
      <c r="W849" s="465"/>
      <c r="X849" s="465"/>
      <c r="Y849" s="590"/>
      <c r="Z849" s="458"/>
      <c r="AA849" s="591"/>
      <c r="AB849" s="465"/>
      <c r="AC849" s="465"/>
      <c r="AD849" s="465"/>
      <c r="AE849" s="465"/>
      <c r="AF849" s="465"/>
      <c r="AG849" s="465"/>
      <c r="AH849" s="465"/>
      <c r="AI849" s="592"/>
      <c r="AJ849" s="465"/>
      <c r="AK849" s="465"/>
      <c r="AL849" s="20"/>
      <c r="AM849" s="20"/>
      <c r="AN849" s="593"/>
      <c r="AO849" s="20"/>
      <c r="AP849" s="276"/>
      <c r="AQ849" s="276"/>
      <c r="AR849" s="276"/>
      <c r="AS849" s="276"/>
      <c r="AT849" s="276"/>
      <c r="AU849" s="276"/>
      <c r="AV849" s="276"/>
      <c r="AW849" s="276"/>
      <c r="AX849" s="276"/>
      <c r="AY849" s="276"/>
      <c r="AZ849" s="276"/>
      <c r="BA849" s="276"/>
      <c r="BB849" s="276"/>
      <c r="BC849" s="276"/>
    </row>
    <row r="850" spans="1:55" ht="12.75" customHeight="1">
      <c r="A850" s="465"/>
      <c r="B850" s="465"/>
      <c r="C850" s="147"/>
      <c r="D850" s="147"/>
      <c r="E850" s="585"/>
      <c r="F850" s="586"/>
      <c r="G850" s="458"/>
      <c r="H850" s="458"/>
      <c r="I850" s="458"/>
      <c r="J850" s="465"/>
      <c r="K850" s="587"/>
      <c r="L850" s="465"/>
      <c r="M850" s="465"/>
      <c r="N850" s="465"/>
      <c r="O850" s="587"/>
      <c r="P850" s="585"/>
      <c r="Q850" s="465"/>
      <c r="R850" s="458"/>
      <c r="S850" s="585"/>
      <c r="T850" s="588"/>
      <c r="U850" s="589"/>
      <c r="V850" s="587"/>
      <c r="W850" s="465"/>
      <c r="X850" s="465"/>
      <c r="Y850" s="590"/>
      <c r="Z850" s="458"/>
      <c r="AA850" s="591"/>
      <c r="AB850" s="465"/>
      <c r="AC850" s="465"/>
      <c r="AD850" s="465"/>
      <c r="AE850" s="465"/>
      <c r="AF850" s="465"/>
      <c r="AG850" s="465"/>
      <c r="AH850" s="465"/>
      <c r="AI850" s="592"/>
      <c r="AJ850" s="465"/>
      <c r="AK850" s="465"/>
      <c r="AL850" s="20"/>
      <c r="AM850" s="20"/>
      <c r="AN850" s="593"/>
      <c r="AO850" s="20"/>
      <c r="AP850" s="276"/>
      <c r="AQ850" s="276"/>
      <c r="AR850" s="276"/>
      <c r="AS850" s="276"/>
      <c r="AT850" s="276"/>
      <c r="AU850" s="276"/>
      <c r="AV850" s="276"/>
      <c r="AW850" s="276"/>
      <c r="AX850" s="276"/>
      <c r="AY850" s="276"/>
      <c r="AZ850" s="276"/>
      <c r="BA850" s="276"/>
      <c r="BB850" s="276"/>
      <c r="BC850" s="276"/>
    </row>
    <row r="851" spans="1:55" ht="12.75" customHeight="1">
      <c r="A851" s="465"/>
      <c r="B851" s="465"/>
      <c r="C851" s="147"/>
      <c r="D851" s="147"/>
      <c r="E851" s="585"/>
      <c r="F851" s="586"/>
      <c r="G851" s="458"/>
      <c r="H851" s="458"/>
      <c r="I851" s="458"/>
      <c r="J851" s="465"/>
      <c r="K851" s="587"/>
      <c r="L851" s="465"/>
      <c r="M851" s="465"/>
      <c r="N851" s="465"/>
      <c r="O851" s="587"/>
      <c r="P851" s="585"/>
      <c r="Q851" s="465"/>
      <c r="R851" s="458"/>
      <c r="S851" s="585"/>
      <c r="T851" s="588"/>
      <c r="U851" s="589"/>
      <c r="V851" s="587"/>
      <c r="W851" s="465"/>
      <c r="X851" s="465"/>
      <c r="Y851" s="590"/>
      <c r="Z851" s="458"/>
      <c r="AA851" s="591"/>
      <c r="AB851" s="465"/>
      <c r="AC851" s="465"/>
      <c r="AD851" s="465"/>
      <c r="AE851" s="465"/>
      <c r="AF851" s="465"/>
      <c r="AG851" s="465"/>
      <c r="AH851" s="465"/>
      <c r="AI851" s="592"/>
      <c r="AJ851" s="465"/>
      <c r="AK851" s="465"/>
      <c r="AL851" s="20"/>
      <c r="AM851" s="20"/>
      <c r="AN851" s="593"/>
      <c r="AO851" s="20"/>
      <c r="AP851" s="276"/>
      <c r="AQ851" s="276"/>
      <c r="AR851" s="276"/>
      <c r="AS851" s="276"/>
      <c r="AT851" s="276"/>
      <c r="AU851" s="276"/>
      <c r="AV851" s="276"/>
      <c r="AW851" s="276"/>
      <c r="AX851" s="276"/>
      <c r="AY851" s="276"/>
      <c r="AZ851" s="276"/>
      <c r="BA851" s="276"/>
      <c r="BB851" s="276"/>
      <c r="BC851" s="276"/>
    </row>
    <row r="852" spans="1:55" ht="12.75" customHeight="1">
      <c r="A852" s="465"/>
      <c r="B852" s="465"/>
      <c r="C852" s="147"/>
      <c r="D852" s="147"/>
      <c r="E852" s="585"/>
      <c r="F852" s="586"/>
      <c r="G852" s="458"/>
      <c r="H852" s="458"/>
      <c r="I852" s="458"/>
      <c r="J852" s="465"/>
      <c r="K852" s="587"/>
      <c r="L852" s="465"/>
      <c r="M852" s="465"/>
      <c r="N852" s="465"/>
      <c r="O852" s="587"/>
      <c r="P852" s="585"/>
      <c r="Q852" s="465"/>
      <c r="R852" s="458"/>
      <c r="S852" s="585"/>
      <c r="T852" s="588"/>
      <c r="U852" s="589"/>
      <c r="V852" s="587"/>
      <c r="W852" s="465"/>
      <c r="X852" s="465"/>
      <c r="Y852" s="590"/>
      <c r="Z852" s="458"/>
      <c r="AA852" s="591"/>
      <c r="AB852" s="465"/>
      <c r="AC852" s="465"/>
      <c r="AD852" s="465"/>
      <c r="AE852" s="465"/>
      <c r="AF852" s="465"/>
      <c r="AG852" s="465"/>
      <c r="AH852" s="465"/>
      <c r="AI852" s="592"/>
      <c r="AJ852" s="465"/>
      <c r="AK852" s="465"/>
      <c r="AL852" s="20"/>
      <c r="AM852" s="20"/>
      <c r="AN852" s="593"/>
      <c r="AO852" s="20"/>
      <c r="AP852" s="276"/>
      <c r="AQ852" s="276"/>
      <c r="AR852" s="276"/>
      <c r="AS852" s="276"/>
      <c r="AT852" s="276"/>
      <c r="AU852" s="276"/>
      <c r="AV852" s="276"/>
      <c r="AW852" s="276"/>
      <c r="AX852" s="276"/>
      <c r="AY852" s="276"/>
      <c r="AZ852" s="276"/>
      <c r="BA852" s="276"/>
      <c r="BB852" s="276"/>
      <c r="BC852" s="276"/>
    </row>
    <row r="853" spans="1:55" ht="12.75" customHeight="1">
      <c r="A853" s="465"/>
      <c r="B853" s="465"/>
      <c r="C853" s="147"/>
      <c r="D853" s="147"/>
      <c r="E853" s="585"/>
      <c r="F853" s="586"/>
      <c r="G853" s="458"/>
      <c r="H853" s="458"/>
      <c r="I853" s="458"/>
      <c r="J853" s="465"/>
      <c r="K853" s="587"/>
      <c r="L853" s="465"/>
      <c r="M853" s="465"/>
      <c r="N853" s="465"/>
      <c r="O853" s="587"/>
      <c r="P853" s="585"/>
      <c r="Q853" s="465"/>
      <c r="R853" s="458"/>
      <c r="S853" s="585"/>
      <c r="T853" s="588"/>
      <c r="U853" s="589"/>
      <c r="V853" s="587"/>
      <c r="W853" s="465"/>
      <c r="X853" s="465"/>
      <c r="Y853" s="590"/>
      <c r="Z853" s="458"/>
      <c r="AA853" s="591"/>
      <c r="AB853" s="465"/>
      <c r="AC853" s="465"/>
      <c r="AD853" s="465"/>
      <c r="AE853" s="465"/>
      <c r="AF853" s="465"/>
      <c r="AG853" s="465"/>
      <c r="AH853" s="465"/>
      <c r="AI853" s="592"/>
      <c r="AJ853" s="465"/>
      <c r="AK853" s="465"/>
      <c r="AL853" s="20"/>
      <c r="AM853" s="20"/>
      <c r="AN853" s="593"/>
      <c r="AO853" s="20"/>
      <c r="AP853" s="276"/>
      <c r="AQ853" s="276"/>
      <c r="AR853" s="276"/>
      <c r="AS853" s="276"/>
      <c r="AT853" s="276"/>
      <c r="AU853" s="276"/>
      <c r="AV853" s="276"/>
      <c r="AW853" s="276"/>
      <c r="AX853" s="276"/>
      <c r="AY853" s="276"/>
      <c r="AZ853" s="276"/>
      <c r="BA853" s="276"/>
      <c r="BB853" s="276"/>
      <c r="BC853" s="276"/>
    </row>
    <row r="854" spans="1:55" ht="12.75" customHeight="1">
      <c r="A854" s="465"/>
      <c r="B854" s="465"/>
      <c r="C854" s="147"/>
      <c r="D854" s="147"/>
      <c r="E854" s="585"/>
      <c r="F854" s="586"/>
      <c r="G854" s="458"/>
      <c r="H854" s="458"/>
      <c r="I854" s="458"/>
      <c r="J854" s="465"/>
      <c r="K854" s="587"/>
      <c r="L854" s="465"/>
      <c r="M854" s="465"/>
      <c r="N854" s="465"/>
      <c r="O854" s="587"/>
      <c r="P854" s="585"/>
      <c r="Q854" s="465"/>
      <c r="R854" s="458"/>
      <c r="S854" s="585"/>
      <c r="T854" s="588"/>
      <c r="U854" s="589"/>
      <c r="V854" s="587"/>
      <c r="W854" s="465"/>
      <c r="X854" s="465"/>
      <c r="Y854" s="590"/>
      <c r="Z854" s="458"/>
      <c r="AA854" s="591"/>
      <c r="AB854" s="465"/>
      <c r="AC854" s="465"/>
      <c r="AD854" s="465"/>
      <c r="AE854" s="465"/>
      <c r="AF854" s="465"/>
      <c r="AG854" s="465"/>
      <c r="AH854" s="465"/>
      <c r="AI854" s="592"/>
      <c r="AJ854" s="465"/>
      <c r="AK854" s="465"/>
      <c r="AL854" s="20"/>
      <c r="AM854" s="20"/>
      <c r="AN854" s="593"/>
      <c r="AO854" s="20"/>
      <c r="AP854" s="276"/>
      <c r="AQ854" s="276"/>
      <c r="AR854" s="276"/>
      <c r="AS854" s="276"/>
      <c r="AT854" s="276"/>
      <c r="AU854" s="276"/>
      <c r="AV854" s="276"/>
      <c r="AW854" s="276"/>
      <c r="AX854" s="276"/>
      <c r="AY854" s="276"/>
      <c r="AZ854" s="276"/>
      <c r="BA854" s="276"/>
      <c r="BB854" s="276"/>
      <c r="BC854" s="276"/>
    </row>
    <row r="855" spans="1:55" ht="12.75" customHeight="1">
      <c r="A855" s="465"/>
      <c r="B855" s="465"/>
      <c r="C855" s="147"/>
      <c r="D855" s="147"/>
      <c r="E855" s="585"/>
      <c r="F855" s="586"/>
      <c r="G855" s="458"/>
      <c r="H855" s="458"/>
      <c r="I855" s="458"/>
      <c r="J855" s="465"/>
      <c r="K855" s="587"/>
      <c r="L855" s="465"/>
      <c r="M855" s="465"/>
      <c r="N855" s="465"/>
      <c r="O855" s="587"/>
      <c r="P855" s="585"/>
      <c r="Q855" s="465"/>
      <c r="R855" s="458"/>
      <c r="S855" s="585"/>
      <c r="T855" s="588"/>
      <c r="U855" s="589"/>
      <c r="V855" s="587"/>
      <c r="W855" s="465"/>
      <c r="X855" s="465"/>
      <c r="Y855" s="590"/>
      <c r="Z855" s="458"/>
      <c r="AA855" s="591"/>
      <c r="AB855" s="465"/>
      <c r="AC855" s="465"/>
      <c r="AD855" s="465"/>
      <c r="AE855" s="465"/>
      <c r="AF855" s="465"/>
      <c r="AG855" s="465"/>
      <c r="AH855" s="465"/>
      <c r="AI855" s="592"/>
      <c r="AJ855" s="465"/>
      <c r="AK855" s="465"/>
      <c r="AL855" s="20"/>
      <c r="AM855" s="20"/>
      <c r="AN855" s="593"/>
      <c r="AO855" s="20"/>
      <c r="AP855" s="276"/>
      <c r="AQ855" s="276"/>
      <c r="AR855" s="276"/>
      <c r="AS855" s="276"/>
      <c r="AT855" s="276"/>
      <c r="AU855" s="276"/>
      <c r="AV855" s="276"/>
      <c r="AW855" s="276"/>
      <c r="AX855" s="276"/>
      <c r="AY855" s="276"/>
      <c r="AZ855" s="276"/>
      <c r="BA855" s="276"/>
      <c r="BB855" s="276"/>
      <c r="BC855" s="276"/>
    </row>
    <row r="856" spans="1:55" ht="12.75" customHeight="1">
      <c r="A856" s="465"/>
      <c r="B856" s="465"/>
      <c r="C856" s="147"/>
      <c r="D856" s="147"/>
      <c r="E856" s="585"/>
      <c r="F856" s="586"/>
      <c r="G856" s="458"/>
      <c r="H856" s="458"/>
      <c r="I856" s="458"/>
      <c r="J856" s="465"/>
      <c r="K856" s="587"/>
      <c r="L856" s="465"/>
      <c r="M856" s="465"/>
      <c r="N856" s="465"/>
      <c r="O856" s="587"/>
      <c r="P856" s="585"/>
      <c r="Q856" s="465"/>
      <c r="R856" s="458"/>
      <c r="S856" s="585"/>
      <c r="T856" s="588"/>
      <c r="U856" s="589"/>
      <c r="V856" s="587"/>
      <c r="W856" s="465"/>
      <c r="X856" s="465"/>
      <c r="Y856" s="590"/>
      <c r="Z856" s="458"/>
      <c r="AA856" s="591"/>
      <c r="AB856" s="465"/>
      <c r="AC856" s="465"/>
      <c r="AD856" s="465"/>
      <c r="AE856" s="465"/>
      <c r="AF856" s="465"/>
      <c r="AG856" s="465"/>
      <c r="AH856" s="465"/>
      <c r="AI856" s="592"/>
      <c r="AJ856" s="465"/>
      <c r="AK856" s="465"/>
      <c r="AL856" s="20"/>
      <c r="AM856" s="20"/>
      <c r="AN856" s="593"/>
      <c r="AO856" s="20"/>
      <c r="AP856" s="276"/>
      <c r="AQ856" s="276"/>
      <c r="AR856" s="276"/>
      <c r="AS856" s="276"/>
      <c r="AT856" s="276"/>
      <c r="AU856" s="276"/>
      <c r="AV856" s="276"/>
      <c r="AW856" s="276"/>
      <c r="AX856" s="276"/>
      <c r="AY856" s="276"/>
      <c r="AZ856" s="276"/>
      <c r="BA856" s="276"/>
      <c r="BB856" s="276"/>
      <c r="BC856" s="276"/>
    </row>
    <row r="857" spans="1:55" ht="12.75" customHeight="1">
      <c r="A857" s="465"/>
      <c r="B857" s="465"/>
      <c r="C857" s="147"/>
      <c r="D857" s="147"/>
      <c r="E857" s="585"/>
      <c r="F857" s="586"/>
      <c r="G857" s="458"/>
      <c r="H857" s="458"/>
      <c r="I857" s="458"/>
      <c r="J857" s="465"/>
      <c r="K857" s="587"/>
      <c r="L857" s="465"/>
      <c r="M857" s="465"/>
      <c r="N857" s="465"/>
      <c r="O857" s="587"/>
      <c r="P857" s="585"/>
      <c r="Q857" s="465"/>
      <c r="R857" s="458"/>
      <c r="S857" s="585"/>
      <c r="T857" s="588"/>
      <c r="U857" s="589"/>
      <c r="V857" s="587"/>
      <c r="W857" s="465"/>
      <c r="X857" s="465"/>
      <c r="Y857" s="590"/>
      <c r="Z857" s="458"/>
      <c r="AA857" s="591"/>
      <c r="AB857" s="465"/>
      <c r="AC857" s="465"/>
      <c r="AD857" s="465"/>
      <c r="AE857" s="465"/>
      <c r="AF857" s="465"/>
      <c r="AG857" s="465"/>
      <c r="AH857" s="465"/>
      <c r="AI857" s="592"/>
      <c r="AJ857" s="465"/>
      <c r="AK857" s="465"/>
      <c r="AL857" s="20"/>
      <c r="AM857" s="20"/>
      <c r="AN857" s="593"/>
      <c r="AO857" s="20"/>
      <c r="AP857" s="276"/>
      <c r="AQ857" s="276"/>
      <c r="AR857" s="276"/>
      <c r="AS857" s="276"/>
      <c r="AT857" s="276"/>
      <c r="AU857" s="276"/>
      <c r="AV857" s="276"/>
      <c r="AW857" s="276"/>
      <c r="AX857" s="276"/>
      <c r="AY857" s="276"/>
      <c r="AZ857" s="276"/>
      <c r="BA857" s="276"/>
      <c r="BB857" s="276"/>
      <c r="BC857" s="276"/>
    </row>
    <row r="858" spans="1:55" ht="12.75" customHeight="1">
      <c r="A858" s="465"/>
      <c r="B858" s="465"/>
      <c r="C858" s="147"/>
      <c r="D858" s="147"/>
      <c r="E858" s="585"/>
      <c r="F858" s="586"/>
      <c r="G858" s="458"/>
      <c r="H858" s="458"/>
      <c r="I858" s="458"/>
      <c r="J858" s="465"/>
      <c r="K858" s="587"/>
      <c r="L858" s="465"/>
      <c r="M858" s="465"/>
      <c r="N858" s="465"/>
      <c r="O858" s="587"/>
      <c r="P858" s="585"/>
      <c r="Q858" s="465"/>
      <c r="R858" s="458"/>
      <c r="S858" s="585"/>
      <c r="T858" s="588"/>
      <c r="U858" s="589"/>
      <c r="V858" s="587"/>
      <c r="W858" s="465"/>
      <c r="X858" s="465"/>
      <c r="Y858" s="590"/>
      <c r="Z858" s="458"/>
      <c r="AA858" s="591"/>
      <c r="AB858" s="465"/>
      <c r="AC858" s="465"/>
      <c r="AD858" s="465"/>
      <c r="AE858" s="465"/>
      <c r="AF858" s="465"/>
      <c r="AG858" s="465"/>
      <c r="AH858" s="465"/>
      <c r="AI858" s="592"/>
      <c r="AJ858" s="465"/>
      <c r="AK858" s="465"/>
      <c r="AL858" s="20"/>
      <c r="AM858" s="20"/>
      <c r="AN858" s="593"/>
      <c r="AO858" s="20"/>
      <c r="AP858" s="276"/>
      <c r="AQ858" s="276"/>
      <c r="AR858" s="276"/>
      <c r="AS858" s="276"/>
      <c r="AT858" s="276"/>
      <c r="AU858" s="276"/>
      <c r="AV858" s="276"/>
      <c r="AW858" s="276"/>
      <c r="AX858" s="276"/>
      <c r="AY858" s="276"/>
      <c r="AZ858" s="276"/>
      <c r="BA858" s="276"/>
      <c r="BB858" s="276"/>
      <c r="BC858" s="276"/>
    </row>
    <row r="859" spans="1:55" ht="12.75" customHeight="1">
      <c r="A859" s="465"/>
      <c r="B859" s="465"/>
      <c r="C859" s="147"/>
      <c r="D859" s="147"/>
      <c r="E859" s="585"/>
      <c r="F859" s="586"/>
      <c r="G859" s="458"/>
      <c r="H859" s="458"/>
      <c r="I859" s="458"/>
      <c r="J859" s="465"/>
      <c r="K859" s="587"/>
      <c r="L859" s="465"/>
      <c r="M859" s="465"/>
      <c r="N859" s="465"/>
      <c r="O859" s="587"/>
      <c r="P859" s="585"/>
      <c r="Q859" s="465"/>
      <c r="R859" s="458"/>
      <c r="S859" s="585"/>
      <c r="T859" s="588"/>
      <c r="U859" s="589"/>
      <c r="V859" s="587"/>
      <c r="W859" s="465"/>
      <c r="X859" s="465"/>
      <c r="Y859" s="590"/>
      <c r="Z859" s="458"/>
      <c r="AA859" s="591"/>
      <c r="AB859" s="465"/>
      <c r="AC859" s="465"/>
      <c r="AD859" s="465"/>
      <c r="AE859" s="465"/>
      <c r="AF859" s="465"/>
      <c r="AG859" s="465"/>
      <c r="AH859" s="465"/>
      <c r="AI859" s="592"/>
      <c r="AJ859" s="465"/>
      <c r="AK859" s="465"/>
      <c r="AL859" s="20"/>
      <c r="AM859" s="20"/>
      <c r="AN859" s="593"/>
      <c r="AO859" s="20"/>
      <c r="AP859" s="276"/>
      <c r="AQ859" s="276"/>
      <c r="AR859" s="276"/>
      <c r="AS859" s="276"/>
      <c r="AT859" s="276"/>
      <c r="AU859" s="276"/>
      <c r="AV859" s="276"/>
      <c r="AW859" s="276"/>
      <c r="AX859" s="276"/>
      <c r="AY859" s="276"/>
      <c r="AZ859" s="276"/>
      <c r="BA859" s="276"/>
      <c r="BB859" s="276"/>
      <c r="BC859" s="276"/>
    </row>
    <row r="860" spans="1:55" ht="12.75" customHeight="1">
      <c r="A860" s="465"/>
      <c r="B860" s="465"/>
      <c r="C860" s="147"/>
      <c r="D860" s="147"/>
      <c r="E860" s="585"/>
      <c r="F860" s="586"/>
      <c r="G860" s="458"/>
      <c r="H860" s="458"/>
      <c r="I860" s="458"/>
      <c r="J860" s="465"/>
      <c r="K860" s="587"/>
      <c r="L860" s="465"/>
      <c r="M860" s="465"/>
      <c r="N860" s="465"/>
      <c r="O860" s="587"/>
      <c r="P860" s="585"/>
      <c r="Q860" s="465"/>
      <c r="R860" s="458"/>
      <c r="S860" s="585"/>
      <c r="T860" s="588"/>
      <c r="U860" s="589"/>
      <c r="V860" s="587"/>
      <c r="W860" s="465"/>
      <c r="X860" s="465"/>
      <c r="Y860" s="590"/>
      <c r="Z860" s="458"/>
      <c r="AA860" s="591"/>
      <c r="AB860" s="465"/>
      <c r="AC860" s="465"/>
      <c r="AD860" s="465"/>
      <c r="AE860" s="465"/>
      <c r="AF860" s="465"/>
      <c r="AG860" s="465"/>
      <c r="AH860" s="465"/>
      <c r="AI860" s="592"/>
      <c r="AJ860" s="465"/>
      <c r="AK860" s="465"/>
      <c r="AL860" s="20"/>
      <c r="AM860" s="20"/>
      <c r="AN860" s="593"/>
      <c r="AO860" s="20"/>
      <c r="AP860" s="276"/>
      <c r="AQ860" s="276"/>
      <c r="AR860" s="276"/>
      <c r="AS860" s="276"/>
      <c r="AT860" s="276"/>
      <c r="AU860" s="276"/>
      <c r="AV860" s="276"/>
      <c r="AW860" s="276"/>
      <c r="AX860" s="276"/>
      <c r="AY860" s="276"/>
      <c r="AZ860" s="276"/>
      <c r="BA860" s="276"/>
      <c r="BB860" s="276"/>
      <c r="BC860" s="276"/>
    </row>
    <row r="861" spans="1:55" ht="12.75" customHeight="1">
      <c r="A861" s="465"/>
      <c r="B861" s="465"/>
      <c r="C861" s="147"/>
      <c r="D861" s="147"/>
      <c r="E861" s="585"/>
      <c r="F861" s="586"/>
      <c r="G861" s="458"/>
      <c r="H861" s="458"/>
      <c r="I861" s="458"/>
      <c r="J861" s="465"/>
      <c r="K861" s="587"/>
      <c r="L861" s="465"/>
      <c r="M861" s="465"/>
      <c r="N861" s="465"/>
      <c r="O861" s="587"/>
      <c r="P861" s="585"/>
      <c r="Q861" s="465"/>
      <c r="R861" s="458"/>
      <c r="S861" s="585"/>
      <c r="T861" s="588"/>
      <c r="U861" s="589"/>
      <c r="V861" s="587"/>
      <c r="W861" s="465"/>
      <c r="X861" s="465"/>
      <c r="Y861" s="590"/>
      <c r="Z861" s="458"/>
      <c r="AA861" s="591"/>
      <c r="AB861" s="465"/>
      <c r="AC861" s="465"/>
      <c r="AD861" s="465"/>
      <c r="AE861" s="465"/>
      <c r="AF861" s="465"/>
      <c r="AG861" s="465"/>
      <c r="AH861" s="465"/>
      <c r="AI861" s="592"/>
      <c r="AJ861" s="465"/>
      <c r="AK861" s="465"/>
      <c r="AL861" s="20"/>
      <c r="AM861" s="20"/>
      <c r="AN861" s="593"/>
      <c r="AO861" s="20"/>
      <c r="AP861" s="276"/>
      <c r="AQ861" s="276"/>
      <c r="AR861" s="276"/>
      <c r="AS861" s="276"/>
      <c r="AT861" s="276"/>
      <c r="AU861" s="276"/>
      <c r="AV861" s="276"/>
      <c r="AW861" s="276"/>
      <c r="AX861" s="276"/>
      <c r="AY861" s="276"/>
      <c r="AZ861" s="276"/>
      <c r="BA861" s="276"/>
      <c r="BB861" s="276"/>
      <c r="BC861" s="276"/>
    </row>
    <row r="862" spans="1:55" ht="12.75" customHeight="1">
      <c r="A862" s="465"/>
      <c r="B862" s="465"/>
      <c r="C862" s="147"/>
      <c r="D862" s="147"/>
      <c r="E862" s="585"/>
      <c r="F862" s="586"/>
      <c r="G862" s="458"/>
      <c r="H862" s="458"/>
      <c r="I862" s="458"/>
      <c r="J862" s="465"/>
      <c r="K862" s="587"/>
      <c r="L862" s="465"/>
      <c r="M862" s="465"/>
      <c r="N862" s="465"/>
      <c r="O862" s="587"/>
      <c r="P862" s="585"/>
      <c r="Q862" s="465"/>
      <c r="R862" s="458"/>
      <c r="S862" s="585"/>
      <c r="T862" s="588"/>
      <c r="U862" s="589"/>
      <c r="V862" s="587"/>
      <c r="W862" s="465"/>
      <c r="X862" s="465"/>
      <c r="Y862" s="590"/>
      <c r="Z862" s="458"/>
      <c r="AA862" s="591"/>
      <c r="AB862" s="465"/>
      <c r="AC862" s="465"/>
      <c r="AD862" s="465"/>
      <c r="AE862" s="465"/>
      <c r="AF862" s="465"/>
      <c r="AG862" s="465"/>
      <c r="AH862" s="465"/>
      <c r="AI862" s="592"/>
      <c r="AJ862" s="465"/>
      <c r="AK862" s="465"/>
      <c r="AL862" s="20"/>
      <c r="AM862" s="20"/>
      <c r="AN862" s="593"/>
      <c r="AO862" s="20"/>
      <c r="AP862" s="276"/>
      <c r="AQ862" s="276"/>
      <c r="AR862" s="276"/>
      <c r="AS862" s="276"/>
      <c r="AT862" s="276"/>
      <c r="AU862" s="276"/>
      <c r="AV862" s="276"/>
      <c r="AW862" s="276"/>
      <c r="AX862" s="276"/>
      <c r="AY862" s="276"/>
      <c r="AZ862" s="276"/>
      <c r="BA862" s="276"/>
      <c r="BB862" s="276"/>
      <c r="BC862" s="276"/>
    </row>
    <row r="863" spans="1:55" ht="12.75" customHeight="1">
      <c r="A863" s="465"/>
      <c r="B863" s="465"/>
      <c r="C863" s="147"/>
      <c r="D863" s="147"/>
      <c r="E863" s="585"/>
      <c r="F863" s="586"/>
      <c r="G863" s="458"/>
      <c r="H863" s="458"/>
      <c r="I863" s="458"/>
      <c r="J863" s="465"/>
      <c r="K863" s="587"/>
      <c r="L863" s="465"/>
      <c r="M863" s="465"/>
      <c r="N863" s="465"/>
      <c r="O863" s="587"/>
      <c r="P863" s="585"/>
      <c r="Q863" s="465"/>
      <c r="R863" s="458"/>
      <c r="S863" s="585"/>
      <c r="T863" s="588"/>
      <c r="U863" s="589"/>
      <c r="V863" s="587"/>
      <c r="W863" s="465"/>
      <c r="X863" s="465"/>
      <c r="Y863" s="590"/>
      <c r="Z863" s="458"/>
      <c r="AA863" s="591"/>
      <c r="AB863" s="465"/>
      <c r="AC863" s="465"/>
      <c r="AD863" s="465"/>
      <c r="AE863" s="465"/>
      <c r="AF863" s="465"/>
      <c r="AG863" s="465"/>
      <c r="AH863" s="465"/>
      <c r="AI863" s="592"/>
      <c r="AJ863" s="465"/>
      <c r="AK863" s="465"/>
      <c r="AL863" s="20"/>
      <c r="AM863" s="20"/>
      <c r="AN863" s="593"/>
      <c r="AO863" s="20"/>
      <c r="AP863" s="276"/>
      <c r="AQ863" s="276"/>
      <c r="AR863" s="276"/>
      <c r="AS863" s="276"/>
      <c r="AT863" s="276"/>
      <c r="AU863" s="276"/>
      <c r="AV863" s="276"/>
      <c r="AW863" s="276"/>
      <c r="AX863" s="276"/>
      <c r="AY863" s="276"/>
      <c r="AZ863" s="276"/>
      <c r="BA863" s="276"/>
      <c r="BB863" s="276"/>
      <c r="BC863" s="276"/>
    </row>
    <row r="864" spans="1:55" ht="12.75" customHeight="1">
      <c r="A864" s="465"/>
      <c r="B864" s="465"/>
      <c r="C864" s="147"/>
      <c r="D864" s="147"/>
      <c r="E864" s="585"/>
      <c r="F864" s="586"/>
      <c r="G864" s="458"/>
      <c r="H864" s="458"/>
      <c r="I864" s="458"/>
      <c r="J864" s="465"/>
      <c r="K864" s="587"/>
      <c r="L864" s="465"/>
      <c r="M864" s="465"/>
      <c r="N864" s="465"/>
      <c r="O864" s="587"/>
      <c r="P864" s="585"/>
      <c r="Q864" s="465"/>
      <c r="R864" s="458"/>
      <c r="S864" s="585"/>
      <c r="T864" s="588"/>
      <c r="U864" s="589"/>
      <c r="V864" s="587"/>
      <c r="W864" s="465"/>
      <c r="X864" s="465"/>
      <c r="Y864" s="590"/>
      <c r="Z864" s="458"/>
      <c r="AA864" s="591"/>
      <c r="AB864" s="465"/>
      <c r="AC864" s="465"/>
      <c r="AD864" s="465"/>
      <c r="AE864" s="465"/>
      <c r="AF864" s="465"/>
      <c r="AG864" s="465"/>
      <c r="AH864" s="465"/>
      <c r="AI864" s="592"/>
      <c r="AJ864" s="465"/>
      <c r="AK864" s="465"/>
      <c r="AL864" s="20"/>
      <c r="AM864" s="20"/>
      <c r="AN864" s="593"/>
      <c r="AO864" s="20"/>
      <c r="AP864" s="276"/>
      <c r="AQ864" s="276"/>
      <c r="AR864" s="276"/>
      <c r="AS864" s="276"/>
      <c r="AT864" s="276"/>
      <c r="AU864" s="276"/>
      <c r="AV864" s="276"/>
      <c r="AW864" s="276"/>
      <c r="AX864" s="276"/>
      <c r="AY864" s="276"/>
      <c r="AZ864" s="276"/>
      <c r="BA864" s="276"/>
      <c r="BB864" s="276"/>
      <c r="BC864" s="276"/>
    </row>
    <row r="865" spans="1:55" ht="12.75" customHeight="1">
      <c r="A865" s="465"/>
      <c r="B865" s="465"/>
      <c r="C865" s="147"/>
      <c r="D865" s="147"/>
      <c r="E865" s="585"/>
      <c r="F865" s="586"/>
      <c r="G865" s="458"/>
      <c r="H865" s="458"/>
      <c r="I865" s="458"/>
      <c r="J865" s="465"/>
      <c r="K865" s="587"/>
      <c r="L865" s="465"/>
      <c r="M865" s="465"/>
      <c r="N865" s="465"/>
      <c r="O865" s="587"/>
      <c r="P865" s="585"/>
      <c r="Q865" s="465"/>
      <c r="R865" s="458"/>
      <c r="S865" s="585"/>
      <c r="T865" s="588"/>
      <c r="U865" s="589"/>
      <c r="V865" s="587"/>
      <c r="W865" s="465"/>
      <c r="X865" s="465"/>
      <c r="Y865" s="590"/>
      <c r="Z865" s="458"/>
      <c r="AA865" s="591"/>
      <c r="AB865" s="465"/>
      <c r="AC865" s="465"/>
      <c r="AD865" s="465"/>
      <c r="AE865" s="465"/>
      <c r="AF865" s="465"/>
      <c r="AG865" s="465"/>
      <c r="AH865" s="465"/>
      <c r="AI865" s="592"/>
      <c r="AJ865" s="465"/>
      <c r="AK865" s="465"/>
      <c r="AL865" s="20"/>
      <c r="AM865" s="20"/>
      <c r="AN865" s="593"/>
      <c r="AO865" s="20"/>
      <c r="AP865" s="276"/>
      <c r="AQ865" s="276"/>
      <c r="AR865" s="276"/>
      <c r="AS865" s="276"/>
      <c r="AT865" s="276"/>
      <c r="AU865" s="276"/>
      <c r="AV865" s="276"/>
      <c r="AW865" s="276"/>
      <c r="AX865" s="276"/>
      <c r="AY865" s="276"/>
      <c r="AZ865" s="276"/>
      <c r="BA865" s="276"/>
      <c r="BB865" s="276"/>
      <c r="BC865" s="276"/>
    </row>
    <row r="866" spans="1:55" ht="12.75" customHeight="1">
      <c r="A866" s="465"/>
      <c r="B866" s="465"/>
      <c r="C866" s="147"/>
      <c r="D866" s="147"/>
      <c r="E866" s="585"/>
      <c r="F866" s="586"/>
      <c r="G866" s="458"/>
      <c r="H866" s="458"/>
      <c r="I866" s="458"/>
      <c r="J866" s="465"/>
      <c r="K866" s="587"/>
      <c r="L866" s="465"/>
      <c r="M866" s="465"/>
      <c r="N866" s="465"/>
      <c r="O866" s="587"/>
      <c r="P866" s="585"/>
      <c r="Q866" s="465"/>
      <c r="R866" s="458"/>
      <c r="S866" s="585"/>
      <c r="T866" s="588"/>
      <c r="U866" s="589"/>
      <c r="V866" s="587"/>
      <c r="W866" s="465"/>
      <c r="X866" s="465"/>
      <c r="Y866" s="590"/>
      <c r="Z866" s="458"/>
      <c r="AA866" s="591"/>
      <c r="AB866" s="465"/>
      <c r="AC866" s="465"/>
      <c r="AD866" s="465"/>
      <c r="AE866" s="465"/>
      <c r="AF866" s="465"/>
      <c r="AG866" s="465"/>
      <c r="AH866" s="465"/>
      <c r="AI866" s="592"/>
      <c r="AJ866" s="465"/>
      <c r="AK866" s="465"/>
      <c r="AL866" s="20"/>
      <c r="AM866" s="20"/>
      <c r="AN866" s="593"/>
      <c r="AO866" s="20"/>
      <c r="AP866" s="276"/>
      <c r="AQ866" s="276"/>
      <c r="AR866" s="276"/>
      <c r="AS866" s="276"/>
      <c r="AT866" s="276"/>
      <c r="AU866" s="276"/>
      <c r="AV866" s="276"/>
      <c r="AW866" s="276"/>
      <c r="AX866" s="276"/>
      <c r="AY866" s="276"/>
      <c r="AZ866" s="276"/>
      <c r="BA866" s="276"/>
      <c r="BB866" s="276"/>
      <c r="BC866" s="276"/>
    </row>
    <row r="867" spans="1:55" ht="12.75" customHeight="1">
      <c r="A867" s="465"/>
      <c r="B867" s="465"/>
      <c r="C867" s="147"/>
      <c r="D867" s="147"/>
      <c r="E867" s="585"/>
      <c r="F867" s="586"/>
      <c r="G867" s="458"/>
      <c r="H867" s="458"/>
      <c r="I867" s="458"/>
      <c r="J867" s="465"/>
      <c r="K867" s="587"/>
      <c r="L867" s="465"/>
      <c r="M867" s="465"/>
      <c r="N867" s="465"/>
      <c r="O867" s="587"/>
      <c r="P867" s="585"/>
      <c r="Q867" s="465"/>
      <c r="R867" s="458"/>
      <c r="S867" s="585"/>
      <c r="T867" s="588"/>
      <c r="U867" s="589"/>
      <c r="V867" s="587"/>
      <c r="W867" s="465"/>
      <c r="X867" s="465"/>
      <c r="Y867" s="590"/>
      <c r="Z867" s="458"/>
      <c r="AA867" s="591"/>
      <c r="AB867" s="465"/>
      <c r="AC867" s="465"/>
      <c r="AD867" s="465"/>
      <c r="AE867" s="465"/>
      <c r="AF867" s="465"/>
      <c r="AG867" s="465"/>
      <c r="AH867" s="465"/>
      <c r="AI867" s="592"/>
      <c r="AJ867" s="465"/>
      <c r="AK867" s="465"/>
      <c r="AL867" s="20"/>
      <c r="AM867" s="20"/>
      <c r="AN867" s="593"/>
      <c r="AO867" s="20"/>
      <c r="AP867" s="276"/>
      <c r="AQ867" s="276"/>
      <c r="AR867" s="276"/>
      <c r="AS867" s="276"/>
      <c r="AT867" s="276"/>
      <c r="AU867" s="276"/>
      <c r="AV867" s="276"/>
      <c r="AW867" s="276"/>
      <c r="AX867" s="276"/>
      <c r="AY867" s="276"/>
      <c r="AZ867" s="276"/>
      <c r="BA867" s="276"/>
      <c r="BB867" s="276"/>
      <c r="BC867" s="276"/>
    </row>
    <row r="868" spans="1:55" ht="12.75" customHeight="1">
      <c r="A868" s="465"/>
      <c r="B868" s="465"/>
      <c r="C868" s="147"/>
      <c r="D868" s="147"/>
      <c r="E868" s="585"/>
      <c r="F868" s="586"/>
      <c r="G868" s="458"/>
      <c r="H868" s="458"/>
      <c r="I868" s="458"/>
      <c r="J868" s="465"/>
      <c r="K868" s="587"/>
      <c r="L868" s="465"/>
      <c r="M868" s="465"/>
      <c r="N868" s="465"/>
      <c r="O868" s="587"/>
      <c r="P868" s="585"/>
      <c r="Q868" s="465"/>
      <c r="R868" s="458"/>
      <c r="S868" s="585"/>
      <c r="T868" s="588"/>
      <c r="U868" s="589"/>
      <c r="V868" s="587"/>
      <c r="W868" s="465"/>
      <c r="X868" s="465"/>
      <c r="Y868" s="590"/>
      <c r="Z868" s="458"/>
      <c r="AA868" s="591"/>
      <c r="AB868" s="465"/>
      <c r="AC868" s="465"/>
      <c r="AD868" s="465"/>
      <c r="AE868" s="465"/>
      <c r="AF868" s="465"/>
      <c r="AG868" s="465"/>
      <c r="AH868" s="465"/>
      <c r="AI868" s="592"/>
      <c r="AJ868" s="465"/>
      <c r="AK868" s="465"/>
      <c r="AL868" s="20"/>
      <c r="AM868" s="20"/>
      <c r="AN868" s="593"/>
      <c r="AO868" s="20"/>
      <c r="AP868" s="276"/>
      <c r="AQ868" s="276"/>
      <c r="AR868" s="276"/>
      <c r="AS868" s="276"/>
      <c r="AT868" s="276"/>
      <c r="AU868" s="276"/>
      <c r="AV868" s="276"/>
      <c r="AW868" s="276"/>
      <c r="AX868" s="276"/>
      <c r="AY868" s="276"/>
      <c r="AZ868" s="276"/>
      <c r="BA868" s="276"/>
      <c r="BB868" s="276"/>
      <c r="BC868" s="276"/>
    </row>
    <row r="869" spans="1:55" ht="12.75" customHeight="1">
      <c r="A869" s="465"/>
      <c r="B869" s="465"/>
      <c r="C869" s="147"/>
      <c r="D869" s="147"/>
      <c r="E869" s="585"/>
      <c r="F869" s="586"/>
      <c r="G869" s="458"/>
      <c r="H869" s="458"/>
      <c r="I869" s="458"/>
      <c r="J869" s="465"/>
      <c r="K869" s="587"/>
      <c r="L869" s="465"/>
      <c r="M869" s="465"/>
      <c r="N869" s="465"/>
      <c r="O869" s="587"/>
      <c r="P869" s="585"/>
      <c r="Q869" s="465"/>
      <c r="R869" s="458"/>
      <c r="S869" s="585"/>
      <c r="T869" s="588"/>
      <c r="U869" s="589"/>
      <c r="V869" s="587"/>
      <c r="W869" s="465"/>
      <c r="X869" s="465"/>
      <c r="Y869" s="590"/>
      <c r="Z869" s="458"/>
      <c r="AA869" s="591"/>
      <c r="AB869" s="465"/>
      <c r="AC869" s="465"/>
      <c r="AD869" s="465"/>
      <c r="AE869" s="465"/>
      <c r="AF869" s="465"/>
      <c r="AG869" s="465"/>
      <c r="AH869" s="465"/>
      <c r="AI869" s="592"/>
      <c r="AJ869" s="465"/>
      <c r="AK869" s="465"/>
      <c r="AL869" s="20"/>
      <c r="AM869" s="20"/>
      <c r="AN869" s="593"/>
      <c r="AO869" s="20"/>
      <c r="AP869" s="276"/>
      <c r="AQ869" s="276"/>
      <c r="AR869" s="276"/>
      <c r="AS869" s="276"/>
      <c r="AT869" s="276"/>
      <c r="AU869" s="276"/>
      <c r="AV869" s="276"/>
      <c r="AW869" s="276"/>
      <c r="AX869" s="276"/>
      <c r="AY869" s="276"/>
      <c r="AZ869" s="276"/>
      <c r="BA869" s="276"/>
      <c r="BB869" s="276"/>
      <c r="BC869" s="276"/>
    </row>
    <row r="870" spans="1:55" ht="12.75" customHeight="1">
      <c r="A870" s="465"/>
      <c r="B870" s="465"/>
      <c r="C870" s="147"/>
      <c r="D870" s="147"/>
      <c r="E870" s="585"/>
      <c r="F870" s="586"/>
      <c r="G870" s="458"/>
      <c r="H870" s="458"/>
      <c r="I870" s="458"/>
      <c r="J870" s="465"/>
      <c r="K870" s="587"/>
      <c r="L870" s="465"/>
      <c r="M870" s="465"/>
      <c r="N870" s="465"/>
      <c r="O870" s="587"/>
      <c r="P870" s="585"/>
      <c r="Q870" s="465"/>
      <c r="R870" s="458"/>
      <c r="S870" s="585"/>
      <c r="T870" s="588"/>
      <c r="U870" s="589"/>
      <c r="V870" s="587"/>
      <c r="W870" s="465"/>
      <c r="X870" s="465"/>
      <c r="Y870" s="590"/>
      <c r="Z870" s="458"/>
      <c r="AA870" s="591"/>
      <c r="AB870" s="465"/>
      <c r="AC870" s="465"/>
      <c r="AD870" s="465"/>
      <c r="AE870" s="465"/>
      <c r="AF870" s="465"/>
      <c r="AG870" s="465"/>
      <c r="AH870" s="465"/>
      <c r="AI870" s="592"/>
      <c r="AJ870" s="465"/>
      <c r="AK870" s="465"/>
      <c r="AL870" s="20"/>
      <c r="AM870" s="20"/>
      <c r="AN870" s="593"/>
      <c r="AO870" s="20"/>
      <c r="AP870" s="276"/>
      <c r="AQ870" s="276"/>
      <c r="AR870" s="276"/>
      <c r="AS870" s="276"/>
      <c r="AT870" s="276"/>
      <c r="AU870" s="276"/>
      <c r="AV870" s="276"/>
      <c r="AW870" s="276"/>
      <c r="AX870" s="276"/>
      <c r="AY870" s="276"/>
      <c r="AZ870" s="276"/>
      <c r="BA870" s="276"/>
      <c r="BB870" s="276"/>
      <c r="BC870" s="276"/>
    </row>
    <row r="871" spans="1:55" ht="12.75" customHeight="1">
      <c r="A871" s="465"/>
      <c r="B871" s="465"/>
      <c r="C871" s="147"/>
      <c r="D871" s="147"/>
      <c r="E871" s="585"/>
      <c r="F871" s="586"/>
      <c r="G871" s="458"/>
      <c r="H871" s="458"/>
      <c r="I871" s="458"/>
      <c r="J871" s="465"/>
      <c r="K871" s="587"/>
      <c r="L871" s="465"/>
      <c r="M871" s="465"/>
      <c r="N871" s="465"/>
      <c r="O871" s="587"/>
      <c r="P871" s="585"/>
      <c r="Q871" s="465"/>
      <c r="R871" s="458"/>
      <c r="S871" s="585"/>
      <c r="T871" s="588"/>
      <c r="U871" s="589"/>
      <c r="V871" s="587"/>
      <c r="W871" s="465"/>
      <c r="X871" s="465"/>
      <c r="Y871" s="590"/>
      <c r="Z871" s="458"/>
      <c r="AA871" s="591"/>
      <c r="AB871" s="465"/>
      <c r="AC871" s="465"/>
      <c r="AD871" s="465"/>
      <c r="AE871" s="465"/>
      <c r="AF871" s="465"/>
      <c r="AG871" s="465"/>
      <c r="AH871" s="465"/>
      <c r="AI871" s="592"/>
      <c r="AJ871" s="465"/>
      <c r="AK871" s="465"/>
      <c r="AL871" s="20"/>
      <c r="AM871" s="20"/>
      <c r="AN871" s="593"/>
      <c r="AO871" s="20"/>
      <c r="AP871" s="276"/>
      <c r="AQ871" s="276"/>
      <c r="AR871" s="276"/>
      <c r="AS871" s="276"/>
      <c r="AT871" s="276"/>
      <c r="AU871" s="276"/>
      <c r="AV871" s="276"/>
      <c r="AW871" s="276"/>
      <c r="AX871" s="276"/>
      <c r="AY871" s="276"/>
      <c r="AZ871" s="276"/>
      <c r="BA871" s="276"/>
      <c r="BB871" s="276"/>
      <c r="BC871" s="276"/>
    </row>
    <row r="872" spans="1:55" ht="12.75" customHeight="1">
      <c r="A872" s="465"/>
      <c r="B872" s="465"/>
      <c r="C872" s="147"/>
      <c r="D872" s="147"/>
      <c r="E872" s="585"/>
      <c r="F872" s="586"/>
      <c r="G872" s="458"/>
      <c r="H872" s="458"/>
      <c r="I872" s="458"/>
      <c r="J872" s="465"/>
      <c r="K872" s="587"/>
      <c r="L872" s="465"/>
      <c r="M872" s="465"/>
      <c r="N872" s="465"/>
      <c r="O872" s="587"/>
      <c r="P872" s="585"/>
      <c r="Q872" s="465"/>
      <c r="R872" s="458"/>
      <c r="S872" s="585"/>
      <c r="T872" s="588"/>
      <c r="U872" s="589"/>
      <c r="V872" s="587"/>
      <c r="W872" s="465"/>
      <c r="X872" s="465"/>
      <c r="Y872" s="590"/>
      <c r="Z872" s="458"/>
      <c r="AA872" s="591"/>
      <c r="AB872" s="465"/>
      <c r="AC872" s="465"/>
      <c r="AD872" s="465"/>
      <c r="AE872" s="465"/>
      <c r="AF872" s="465"/>
      <c r="AG872" s="465"/>
      <c r="AH872" s="465"/>
      <c r="AI872" s="592"/>
      <c r="AJ872" s="465"/>
      <c r="AK872" s="465"/>
      <c r="AL872" s="20"/>
      <c r="AM872" s="20"/>
      <c r="AN872" s="593"/>
      <c r="AO872" s="20"/>
      <c r="AP872" s="276"/>
      <c r="AQ872" s="276"/>
      <c r="AR872" s="276"/>
      <c r="AS872" s="276"/>
      <c r="AT872" s="276"/>
      <c r="AU872" s="276"/>
      <c r="AV872" s="276"/>
      <c r="AW872" s="276"/>
      <c r="AX872" s="276"/>
      <c r="AY872" s="276"/>
      <c r="AZ872" s="276"/>
      <c r="BA872" s="276"/>
      <c r="BB872" s="276"/>
      <c r="BC872" s="276"/>
    </row>
    <row r="873" spans="1:55" ht="12.75" customHeight="1">
      <c r="A873" s="465"/>
      <c r="B873" s="465"/>
      <c r="C873" s="147"/>
      <c r="D873" s="147"/>
      <c r="E873" s="585"/>
      <c r="F873" s="586"/>
      <c r="G873" s="458"/>
      <c r="H873" s="458"/>
      <c r="I873" s="458"/>
      <c r="J873" s="465"/>
      <c r="K873" s="587"/>
      <c r="L873" s="465"/>
      <c r="M873" s="465"/>
      <c r="N873" s="465"/>
      <c r="O873" s="587"/>
      <c r="P873" s="585"/>
      <c r="Q873" s="465"/>
      <c r="R873" s="458"/>
      <c r="S873" s="585"/>
      <c r="T873" s="588"/>
      <c r="U873" s="589"/>
      <c r="V873" s="587"/>
      <c r="W873" s="465"/>
      <c r="X873" s="465"/>
      <c r="Y873" s="590"/>
      <c r="Z873" s="458"/>
      <c r="AA873" s="591"/>
      <c r="AB873" s="465"/>
      <c r="AC873" s="465"/>
      <c r="AD873" s="465"/>
      <c r="AE873" s="465"/>
      <c r="AF873" s="465"/>
      <c r="AG873" s="465"/>
      <c r="AH873" s="465"/>
      <c r="AI873" s="592"/>
      <c r="AJ873" s="465"/>
      <c r="AK873" s="465"/>
      <c r="AL873" s="20"/>
      <c r="AM873" s="20"/>
      <c r="AN873" s="593"/>
      <c r="AO873" s="20"/>
      <c r="AP873" s="276"/>
      <c r="AQ873" s="276"/>
      <c r="AR873" s="276"/>
      <c r="AS873" s="276"/>
      <c r="AT873" s="276"/>
      <c r="AU873" s="276"/>
      <c r="AV873" s="276"/>
      <c r="AW873" s="276"/>
      <c r="AX873" s="276"/>
      <c r="AY873" s="276"/>
      <c r="AZ873" s="276"/>
      <c r="BA873" s="276"/>
      <c r="BB873" s="276"/>
      <c r="BC873" s="276"/>
    </row>
    <row r="874" spans="1:55" ht="12.75" customHeight="1">
      <c r="A874" s="465"/>
      <c r="B874" s="465"/>
      <c r="C874" s="147"/>
      <c r="D874" s="147"/>
      <c r="E874" s="585"/>
      <c r="F874" s="586"/>
      <c r="G874" s="458"/>
      <c r="H874" s="458"/>
      <c r="I874" s="458"/>
      <c r="J874" s="465"/>
      <c r="K874" s="587"/>
      <c r="L874" s="465"/>
      <c r="M874" s="465"/>
      <c r="N874" s="465"/>
      <c r="O874" s="587"/>
      <c r="P874" s="585"/>
      <c r="Q874" s="465"/>
      <c r="R874" s="458"/>
      <c r="S874" s="585"/>
      <c r="T874" s="588"/>
      <c r="U874" s="589"/>
      <c r="V874" s="587"/>
      <c r="W874" s="465"/>
      <c r="X874" s="465"/>
      <c r="Y874" s="590"/>
      <c r="Z874" s="458"/>
      <c r="AA874" s="591"/>
      <c r="AB874" s="465"/>
      <c r="AC874" s="465"/>
      <c r="AD874" s="465"/>
      <c r="AE874" s="465"/>
      <c r="AF874" s="465"/>
      <c r="AG874" s="465"/>
      <c r="AH874" s="465"/>
      <c r="AI874" s="592"/>
      <c r="AJ874" s="465"/>
      <c r="AK874" s="465"/>
      <c r="AL874" s="20"/>
      <c r="AM874" s="20"/>
      <c r="AN874" s="593"/>
      <c r="AO874" s="20"/>
      <c r="AP874" s="276"/>
      <c r="AQ874" s="276"/>
      <c r="AR874" s="276"/>
      <c r="AS874" s="276"/>
      <c r="AT874" s="276"/>
      <c r="AU874" s="276"/>
      <c r="AV874" s="276"/>
      <c r="AW874" s="276"/>
      <c r="AX874" s="276"/>
      <c r="AY874" s="276"/>
      <c r="AZ874" s="276"/>
      <c r="BA874" s="276"/>
      <c r="BB874" s="276"/>
      <c r="BC874" s="276"/>
    </row>
    <row r="875" spans="1:55" ht="12.75" customHeight="1">
      <c r="A875" s="465"/>
      <c r="B875" s="465"/>
      <c r="C875" s="147"/>
      <c r="D875" s="147"/>
      <c r="E875" s="585"/>
      <c r="F875" s="586"/>
      <c r="G875" s="458"/>
      <c r="H875" s="458"/>
      <c r="I875" s="458"/>
      <c r="J875" s="465"/>
      <c r="K875" s="587"/>
      <c r="L875" s="465"/>
      <c r="M875" s="465"/>
      <c r="N875" s="465"/>
      <c r="O875" s="587"/>
      <c r="P875" s="585"/>
      <c r="Q875" s="465"/>
      <c r="R875" s="458"/>
      <c r="S875" s="585"/>
      <c r="T875" s="588"/>
      <c r="U875" s="589"/>
      <c r="V875" s="587"/>
      <c r="W875" s="465"/>
      <c r="X875" s="465"/>
      <c r="Y875" s="590"/>
      <c r="Z875" s="458"/>
      <c r="AA875" s="591"/>
      <c r="AB875" s="465"/>
      <c r="AC875" s="465"/>
      <c r="AD875" s="465"/>
      <c r="AE875" s="465"/>
      <c r="AF875" s="465"/>
      <c r="AG875" s="465"/>
      <c r="AH875" s="465"/>
      <c r="AI875" s="592"/>
      <c r="AJ875" s="465"/>
      <c r="AK875" s="465"/>
      <c r="AL875" s="20"/>
      <c r="AM875" s="20"/>
      <c r="AN875" s="593"/>
      <c r="AO875" s="20"/>
      <c r="AP875" s="276"/>
      <c r="AQ875" s="276"/>
      <c r="AR875" s="276"/>
      <c r="AS875" s="276"/>
      <c r="AT875" s="276"/>
      <c r="AU875" s="276"/>
      <c r="AV875" s="276"/>
      <c r="AW875" s="276"/>
      <c r="AX875" s="276"/>
      <c r="AY875" s="276"/>
      <c r="AZ875" s="276"/>
      <c r="BA875" s="276"/>
      <c r="BB875" s="276"/>
      <c r="BC875" s="276"/>
    </row>
    <row r="876" spans="1:55" ht="12.75" customHeight="1">
      <c r="A876" s="465"/>
      <c r="B876" s="465"/>
      <c r="C876" s="147"/>
      <c r="D876" s="147"/>
      <c r="E876" s="585"/>
      <c r="F876" s="586"/>
      <c r="G876" s="458"/>
      <c r="H876" s="458"/>
      <c r="I876" s="458"/>
      <c r="J876" s="465"/>
      <c r="K876" s="587"/>
      <c r="L876" s="465"/>
      <c r="M876" s="465"/>
      <c r="N876" s="465"/>
      <c r="O876" s="587"/>
      <c r="P876" s="585"/>
      <c r="Q876" s="465"/>
      <c r="R876" s="458"/>
      <c r="S876" s="585"/>
      <c r="T876" s="588"/>
      <c r="U876" s="589"/>
      <c r="V876" s="587"/>
      <c r="W876" s="465"/>
      <c r="X876" s="465"/>
      <c r="Y876" s="590"/>
      <c r="Z876" s="458"/>
      <c r="AA876" s="591"/>
      <c r="AB876" s="465"/>
      <c r="AC876" s="465"/>
      <c r="AD876" s="465"/>
      <c r="AE876" s="465"/>
      <c r="AF876" s="465"/>
      <c r="AG876" s="465"/>
      <c r="AH876" s="465"/>
      <c r="AI876" s="592"/>
      <c r="AJ876" s="465"/>
      <c r="AK876" s="465"/>
      <c r="AL876" s="20"/>
      <c r="AM876" s="20"/>
      <c r="AN876" s="593"/>
      <c r="AO876" s="20"/>
      <c r="AP876" s="276"/>
      <c r="AQ876" s="276"/>
      <c r="AR876" s="276"/>
      <c r="AS876" s="276"/>
      <c r="AT876" s="276"/>
      <c r="AU876" s="276"/>
      <c r="AV876" s="276"/>
      <c r="AW876" s="276"/>
      <c r="AX876" s="276"/>
      <c r="AY876" s="276"/>
      <c r="AZ876" s="276"/>
      <c r="BA876" s="276"/>
      <c r="BB876" s="276"/>
      <c r="BC876" s="276"/>
    </row>
    <row r="877" spans="1:55" ht="12.75" customHeight="1">
      <c r="A877" s="465"/>
      <c r="B877" s="465"/>
      <c r="C877" s="147"/>
      <c r="D877" s="147"/>
      <c r="E877" s="585"/>
      <c r="F877" s="586"/>
      <c r="G877" s="458"/>
      <c r="H877" s="458"/>
      <c r="I877" s="458"/>
      <c r="J877" s="465"/>
      <c r="K877" s="587"/>
      <c r="L877" s="465"/>
      <c r="M877" s="465"/>
      <c r="N877" s="465"/>
      <c r="O877" s="587"/>
      <c r="P877" s="585"/>
      <c r="Q877" s="465"/>
      <c r="R877" s="458"/>
      <c r="S877" s="585"/>
      <c r="T877" s="588"/>
      <c r="U877" s="589"/>
      <c r="V877" s="587"/>
      <c r="W877" s="465"/>
      <c r="X877" s="465"/>
      <c r="Y877" s="590"/>
      <c r="Z877" s="458"/>
      <c r="AA877" s="591"/>
      <c r="AB877" s="465"/>
      <c r="AC877" s="465"/>
      <c r="AD877" s="465"/>
      <c r="AE877" s="465"/>
      <c r="AF877" s="465"/>
      <c r="AG877" s="465"/>
      <c r="AH877" s="465"/>
      <c r="AI877" s="592"/>
      <c r="AJ877" s="465"/>
      <c r="AK877" s="465"/>
      <c r="AL877" s="20"/>
      <c r="AM877" s="20"/>
      <c r="AN877" s="593"/>
      <c r="AO877" s="20"/>
      <c r="AP877" s="276"/>
      <c r="AQ877" s="276"/>
      <c r="AR877" s="276"/>
      <c r="AS877" s="276"/>
      <c r="AT877" s="276"/>
      <c r="AU877" s="276"/>
      <c r="AV877" s="276"/>
      <c r="AW877" s="276"/>
      <c r="AX877" s="276"/>
      <c r="AY877" s="276"/>
      <c r="AZ877" s="276"/>
      <c r="BA877" s="276"/>
      <c r="BB877" s="276"/>
      <c r="BC877" s="276"/>
    </row>
    <row r="878" spans="1:55" ht="12.75" customHeight="1">
      <c r="A878" s="465"/>
      <c r="B878" s="465"/>
      <c r="C878" s="147"/>
      <c r="D878" s="147"/>
      <c r="E878" s="585"/>
      <c r="F878" s="586"/>
      <c r="G878" s="458"/>
      <c r="H878" s="458"/>
      <c r="I878" s="458"/>
      <c r="J878" s="465"/>
      <c r="K878" s="587"/>
      <c r="L878" s="465"/>
      <c r="M878" s="465"/>
      <c r="N878" s="465"/>
      <c r="O878" s="587"/>
      <c r="P878" s="585"/>
      <c r="Q878" s="465"/>
      <c r="R878" s="458"/>
      <c r="S878" s="585"/>
      <c r="T878" s="588"/>
      <c r="U878" s="589"/>
      <c r="V878" s="587"/>
      <c r="W878" s="465"/>
      <c r="X878" s="465"/>
      <c r="Y878" s="590"/>
      <c r="Z878" s="458"/>
      <c r="AA878" s="591"/>
      <c r="AB878" s="465"/>
      <c r="AC878" s="465"/>
      <c r="AD878" s="465"/>
      <c r="AE878" s="465"/>
      <c r="AF878" s="465"/>
      <c r="AG878" s="465"/>
      <c r="AH878" s="465"/>
      <c r="AI878" s="592"/>
      <c r="AJ878" s="465"/>
      <c r="AK878" s="465"/>
      <c r="AL878" s="20"/>
      <c r="AM878" s="20"/>
      <c r="AN878" s="593"/>
      <c r="AO878" s="20"/>
      <c r="AP878" s="276"/>
      <c r="AQ878" s="276"/>
      <c r="AR878" s="276"/>
      <c r="AS878" s="276"/>
      <c r="AT878" s="276"/>
      <c r="AU878" s="276"/>
      <c r="AV878" s="276"/>
      <c r="AW878" s="276"/>
      <c r="AX878" s="276"/>
      <c r="AY878" s="276"/>
      <c r="AZ878" s="276"/>
      <c r="BA878" s="276"/>
      <c r="BB878" s="276"/>
      <c r="BC878" s="276"/>
    </row>
    <row r="879" spans="1:55" ht="12.75" customHeight="1">
      <c r="A879" s="465"/>
      <c r="B879" s="465"/>
      <c r="C879" s="147"/>
      <c r="D879" s="147"/>
      <c r="E879" s="585"/>
      <c r="F879" s="586"/>
      <c r="G879" s="458"/>
      <c r="H879" s="458"/>
      <c r="I879" s="458"/>
      <c r="J879" s="465"/>
      <c r="K879" s="587"/>
      <c r="L879" s="465"/>
      <c r="M879" s="465"/>
      <c r="N879" s="465"/>
      <c r="O879" s="587"/>
      <c r="P879" s="585"/>
      <c r="Q879" s="465"/>
      <c r="R879" s="458"/>
      <c r="S879" s="585"/>
      <c r="T879" s="588"/>
      <c r="U879" s="589"/>
      <c r="V879" s="587"/>
      <c r="W879" s="465"/>
      <c r="X879" s="465"/>
      <c r="Y879" s="590"/>
      <c r="Z879" s="458"/>
      <c r="AA879" s="591"/>
      <c r="AB879" s="465"/>
      <c r="AC879" s="465"/>
      <c r="AD879" s="465"/>
      <c r="AE879" s="465"/>
      <c r="AF879" s="465"/>
      <c r="AG879" s="465"/>
      <c r="AH879" s="465"/>
      <c r="AI879" s="592"/>
      <c r="AJ879" s="465"/>
      <c r="AK879" s="465"/>
      <c r="AL879" s="20"/>
      <c r="AM879" s="20"/>
      <c r="AN879" s="593"/>
      <c r="AO879" s="20"/>
      <c r="AP879" s="276"/>
      <c r="AQ879" s="276"/>
      <c r="AR879" s="276"/>
      <c r="AS879" s="276"/>
      <c r="AT879" s="276"/>
      <c r="AU879" s="276"/>
      <c r="AV879" s="276"/>
      <c r="AW879" s="276"/>
      <c r="AX879" s="276"/>
      <c r="AY879" s="276"/>
      <c r="AZ879" s="276"/>
      <c r="BA879" s="276"/>
      <c r="BB879" s="276"/>
      <c r="BC879" s="276"/>
    </row>
    <row r="880" spans="1:55" ht="12.75" customHeight="1">
      <c r="A880" s="465"/>
      <c r="B880" s="465"/>
      <c r="C880" s="147"/>
      <c r="D880" s="147"/>
      <c r="E880" s="585"/>
      <c r="F880" s="586"/>
      <c r="G880" s="458"/>
      <c r="H880" s="458"/>
      <c r="I880" s="458"/>
      <c r="J880" s="465"/>
      <c r="K880" s="587"/>
      <c r="L880" s="465"/>
      <c r="M880" s="465"/>
      <c r="N880" s="465"/>
      <c r="O880" s="587"/>
      <c r="P880" s="585"/>
      <c r="Q880" s="465"/>
      <c r="R880" s="458"/>
      <c r="S880" s="585"/>
      <c r="T880" s="588"/>
      <c r="U880" s="589"/>
      <c r="V880" s="587"/>
      <c r="W880" s="465"/>
      <c r="X880" s="465"/>
      <c r="Y880" s="590"/>
      <c r="Z880" s="458"/>
      <c r="AA880" s="591"/>
      <c r="AB880" s="465"/>
      <c r="AC880" s="465"/>
      <c r="AD880" s="465"/>
      <c r="AE880" s="465"/>
      <c r="AF880" s="465"/>
      <c r="AG880" s="465"/>
      <c r="AH880" s="465"/>
      <c r="AI880" s="592"/>
      <c r="AJ880" s="465"/>
      <c r="AK880" s="465"/>
      <c r="AL880" s="20"/>
      <c r="AM880" s="20"/>
      <c r="AN880" s="593"/>
      <c r="AO880" s="20"/>
      <c r="AP880" s="276"/>
      <c r="AQ880" s="276"/>
      <c r="AR880" s="276"/>
      <c r="AS880" s="276"/>
      <c r="AT880" s="276"/>
      <c r="AU880" s="276"/>
      <c r="AV880" s="276"/>
      <c r="AW880" s="276"/>
      <c r="AX880" s="276"/>
      <c r="AY880" s="276"/>
      <c r="AZ880" s="276"/>
      <c r="BA880" s="276"/>
      <c r="BB880" s="276"/>
      <c r="BC880" s="276"/>
    </row>
    <row r="881" spans="1:55" ht="12.75" customHeight="1">
      <c r="A881" s="465"/>
      <c r="B881" s="465"/>
      <c r="C881" s="147"/>
      <c r="D881" s="147"/>
      <c r="E881" s="585"/>
      <c r="F881" s="586"/>
      <c r="G881" s="458"/>
      <c r="H881" s="458"/>
      <c r="I881" s="458"/>
      <c r="J881" s="465"/>
      <c r="K881" s="587"/>
      <c r="L881" s="465"/>
      <c r="M881" s="465"/>
      <c r="N881" s="465"/>
      <c r="O881" s="587"/>
      <c r="P881" s="585"/>
      <c r="Q881" s="465"/>
      <c r="R881" s="458"/>
      <c r="S881" s="585"/>
      <c r="T881" s="588"/>
      <c r="U881" s="589"/>
      <c r="V881" s="587"/>
      <c r="W881" s="465"/>
      <c r="X881" s="465"/>
      <c r="Y881" s="590"/>
      <c r="Z881" s="458"/>
      <c r="AA881" s="591"/>
      <c r="AB881" s="465"/>
      <c r="AC881" s="465"/>
      <c r="AD881" s="465"/>
      <c r="AE881" s="465"/>
      <c r="AF881" s="465"/>
      <c r="AG881" s="465"/>
      <c r="AH881" s="465"/>
      <c r="AI881" s="592"/>
      <c r="AJ881" s="465"/>
      <c r="AK881" s="465"/>
      <c r="AL881" s="20"/>
      <c r="AM881" s="20"/>
      <c r="AN881" s="593"/>
      <c r="AO881" s="20"/>
      <c r="AP881" s="276"/>
      <c r="AQ881" s="276"/>
      <c r="AR881" s="276"/>
      <c r="AS881" s="276"/>
      <c r="AT881" s="276"/>
      <c r="AU881" s="276"/>
      <c r="AV881" s="276"/>
      <c r="AW881" s="276"/>
      <c r="AX881" s="276"/>
      <c r="AY881" s="276"/>
      <c r="AZ881" s="276"/>
      <c r="BA881" s="276"/>
      <c r="BB881" s="276"/>
      <c r="BC881" s="276"/>
    </row>
    <row r="882" spans="1:55" ht="12.75" customHeight="1">
      <c r="A882" s="465"/>
      <c r="B882" s="465"/>
      <c r="C882" s="147"/>
      <c r="D882" s="147"/>
      <c r="E882" s="585"/>
      <c r="F882" s="586"/>
      <c r="G882" s="458"/>
      <c r="H882" s="458"/>
      <c r="I882" s="458"/>
      <c r="J882" s="465"/>
      <c r="K882" s="587"/>
      <c r="L882" s="465"/>
      <c r="M882" s="465"/>
      <c r="N882" s="465"/>
      <c r="O882" s="587"/>
      <c r="P882" s="585"/>
      <c r="Q882" s="465"/>
      <c r="R882" s="458"/>
      <c r="S882" s="585"/>
      <c r="T882" s="588"/>
      <c r="U882" s="589"/>
      <c r="V882" s="587"/>
      <c r="W882" s="465"/>
      <c r="X882" s="465"/>
      <c r="Y882" s="590"/>
      <c r="Z882" s="458"/>
      <c r="AA882" s="591"/>
      <c r="AB882" s="465"/>
      <c r="AC882" s="465"/>
      <c r="AD882" s="465"/>
      <c r="AE882" s="465"/>
      <c r="AF882" s="465"/>
      <c r="AG882" s="465"/>
      <c r="AH882" s="465"/>
      <c r="AI882" s="592"/>
      <c r="AJ882" s="465"/>
      <c r="AK882" s="465"/>
      <c r="AL882" s="20"/>
      <c r="AM882" s="20"/>
      <c r="AN882" s="593"/>
      <c r="AO882" s="20"/>
      <c r="AP882" s="276"/>
      <c r="AQ882" s="276"/>
      <c r="AR882" s="276"/>
      <c r="AS882" s="276"/>
      <c r="AT882" s="276"/>
      <c r="AU882" s="276"/>
      <c r="AV882" s="276"/>
      <c r="AW882" s="276"/>
      <c r="AX882" s="276"/>
      <c r="AY882" s="276"/>
      <c r="AZ882" s="276"/>
      <c r="BA882" s="276"/>
      <c r="BB882" s="276"/>
      <c r="BC882" s="276"/>
    </row>
    <row r="883" spans="1:55" ht="12.75" customHeight="1">
      <c r="A883" s="465"/>
      <c r="B883" s="465"/>
      <c r="C883" s="147"/>
      <c r="D883" s="147"/>
      <c r="E883" s="585"/>
      <c r="F883" s="586"/>
      <c r="G883" s="458"/>
      <c r="H883" s="458"/>
      <c r="I883" s="458"/>
      <c r="J883" s="465"/>
      <c r="K883" s="587"/>
      <c r="L883" s="465"/>
      <c r="M883" s="465"/>
      <c r="N883" s="465"/>
      <c r="O883" s="587"/>
      <c r="P883" s="585"/>
      <c r="Q883" s="465"/>
      <c r="R883" s="458"/>
      <c r="S883" s="585"/>
      <c r="T883" s="588"/>
      <c r="U883" s="589"/>
      <c r="V883" s="587"/>
      <c r="W883" s="465"/>
      <c r="X883" s="465"/>
      <c r="Y883" s="590"/>
      <c r="Z883" s="458"/>
      <c r="AA883" s="591"/>
      <c r="AB883" s="465"/>
      <c r="AC883" s="465"/>
      <c r="AD883" s="465"/>
      <c r="AE883" s="465"/>
      <c r="AF883" s="465"/>
      <c r="AG883" s="465"/>
      <c r="AH883" s="465"/>
      <c r="AI883" s="592"/>
      <c r="AJ883" s="465"/>
      <c r="AK883" s="465"/>
      <c r="AL883" s="20"/>
      <c r="AM883" s="20"/>
      <c r="AN883" s="593"/>
      <c r="AO883" s="20"/>
      <c r="AP883" s="276"/>
      <c r="AQ883" s="276"/>
      <c r="AR883" s="276"/>
      <c r="AS883" s="276"/>
      <c r="AT883" s="276"/>
      <c r="AU883" s="276"/>
      <c r="AV883" s="276"/>
      <c r="AW883" s="276"/>
      <c r="AX883" s="276"/>
      <c r="AY883" s="276"/>
      <c r="AZ883" s="276"/>
      <c r="BA883" s="276"/>
      <c r="BB883" s="276"/>
      <c r="BC883" s="276"/>
    </row>
    <row r="884" spans="1:55" ht="12.75" customHeight="1">
      <c r="A884" s="465"/>
      <c r="B884" s="465"/>
      <c r="C884" s="147"/>
      <c r="D884" s="147"/>
      <c r="E884" s="585"/>
      <c r="F884" s="586"/>
      <c r="G884" s="458"/>
      <c r="H884" s="458"/>
      <c r="I884" s="458"/>
      <c r="J884" s="465"/>
      <c r="K884" s="587"/>
      <c r="L884" s="465"/>
      <c r="M884" s="465"/>
      <c r="N884" s="465"/>
      <c r="O884" s="587"/>
      <c r="P884" s="585"/>
      <c r="Q884" s="465"/>
      <c r="R884" s="458"/>
      <c r="S884" s="585"/>
      <c r="T884" s="588"/>
      <c r="U884" s="589"/>
      <c r="V884" s="587"/>
      <c r="W884" s="465"/>
      <c r="X884" s="465"/>
      <c r="Y884" s="590"/>
      <c r="Z884" s="458"/>
      <c r="AA884" s="591"/>
      <c r="AB884" s="465"/>
      <c r="AC884" s="465"/>
      <c r="AD884" s="465"/>
      <c r="AE884" s="465"/>
      <c r="AF884" s="465"/>
      <c r="AG884" s="465"/>
      <c r="AH884" s="465"/>
      <c r="AI884" s="592"/>
      <c r="AJ884" s="465"/>
      <c r="AK884" s="465"/>
      <c r="AL884" s="20"/>
      <c r="AM884" s="20"/>
      <c r="AN884" s="593"/>
      <c r="AO884" s="20"/>
      <c r="AP884" s="276"/>
      <c r="AQ884" s="276"/>
      <c r="AR884" s="276"/>
      <c r="AS884" s="276"/>
      <c r="AT884" s="276"/>
      <c r="AU884" s="276"/>
      <c r="AV884" s="276"/>
      <c r="AW884" s="276"/>
      <c r="AX884" s="276"/>
      <c r="AY884" s="276"/>
      <c r="AZ884" s="276"/>
      <c r="BA884" s="276"/>
      <c r="BB884" s="276"/>
      <c r="BC884" s="276"/>
    </row>
    <row r="885" spans="1:55" ht="12.75" customHeight="1">
      <c r="A885" s="465"/>
      <c r="B885" s="465"/>
      <c r="C885" s="147"/>
      <c r="D885" s="147"/>
      <c r="E885" s="585"/>
      <c r="F885" s="586"/>
      <c r="G885" s="458"/>
      <c r="H885" s="458"/>
      <c r="I885" s="458"/>
      <c r="J885" s="465"/>
      <c r="K885" s="587"/>
      <c r="L885" s="465"/>
      <c r="M885" s="465"/>
      <c r="N885" s="465"/>
      <c r="O885" s="587"/>
      <c r="P885" s="585"/>
      <c r="Q885" s="465"/>
      <c r="R885" s="458"/>
      <c r="S885" s="585"/>
      <c r="T885" s="588"/>
      <c r="U885" s="589"/>
      <c r="V885" s="587"/>
      <c r="W885" s="465"/>
      <c r="X885" s="465"/>
      <c r="Y885" s="590"/>
      <c r="Z885" s="458"/>
      <c r="AA885" s="591"/>
      <c r="AB885" s="465"/>
      <c r="AC885" s="465"/>
      <c r="AD885" s="465"/>
      <c r="AE885" s="465"/>
      <c r="AF885" s="465"/>
      <c r="AG885" s="465"/>
      <c r="AH885" s="465"/>
      <c r="AI885" s="592"/>
      <c r="AJ885" s="465"/>
      <c r="AK885" s="465"/>
      <c r="AL885" s="20"/>
      <c r="AM885" s="20"/>
      <c r="AN885" s="593"/>
      <c r="AO885" s="20"/>
      <c r="AP885" s="276"/>
      <c r="AQ885" s="276"/>
      <c r="AR885" s="276"/>
      <c r="AS885" s="276"/>
      <c r="AT885" s="276"/>
      <c r="AU885" s="276"/>
      <c r="AV885" s="276"/>
      <c r="AW885" s="276"/>
      <c r="AX885" s="276"/>
      <c r="AY885" s="276"/>
      <c r="AZ885" s="276"/>
      <c r="BA885" s="276"/>
      <c r="BB885" s="276"/>
      <c r="BC885" s="276"/>
    </row>
    <row r="886" spans="1:55" ht="12.75" customHeight="1">
      <c r="A886" s="465"/>
      <c r="B886" s="465"/>
      <c r="C886" s="147"/>
      <c r="D886" s="147"/>
      <c r="E886" s="585"/>
      <c r="F886" s="586"/>
      <c r="G886" s="458"/>
      <c r="H886" s="458"/>
      <c r="I886" s="458"/>
      <c r="J886" s="465"/>
      <c r="K886" s="587"/>
      <c r="L886" s="465"/>
      <c r="M886" s="465"/>
      <c r="N886" s="465"/>
      <c r="O886" s="587"/>
      <c r="P886" s="585"/>
      <c r="Q886" s="465"/>
      <c r="R886" s="458"/>
      <c r="S886" s="585"/>
      <c r="T886" s="588"/>
      <c r="U886" s="589"/>
      <c r="V886" s="587"/>
      <c r="W886" s="465"/>
      <c r="X886" s="465"/>
      <c r="Y886" s="590"/>
      <c r="Z886" s="458"/>
      <c r="AA886" s="591"/>
      <c r="AB886" s="465"/>
      <c r="AC886" s="465"/>
      <c r="AD886" s="465"/>
      <c r="AE886" s="465"/>
      <c r="AF886" s="465"/>
      <c r="AG886" s="465"/>
      <c r="AH886" s="465"/>
      <c r="AI886" s="592"/>
      <c r="AJ886" s="465"/>
      <c r="AK886" s="465"/>
      <c r="AL886" s="20"/>
      <c r="AM886" s="20"/>
      <c r="AN886" s="593"/>
      <c r="AO886" s="20"/>
      <c r="AP886" s="276"/>
      <c r="AQ886" s="276"/>
      <c r="AR886" s="276"/>
      <c r="AS886" s="276"/>
      <c r="AT886" s="276"/>
      <c r="AU886" s="276"/>
      <c r="AV886" s="276"/>
      <c r="AW886" s="276"/>
      <c r="AX886" s="276"/>
      <c r="AY886" s="276"/>
      <c r="AZ886" s="276"/>
      <c r="BA886" s="276"/>
      <c r="BB886" s="276"/>
      <c r="BC886" s="276"/>
    </row>
    <row r="887" spans="1:55" ht="12.75" customHeight="1">
      <c r="A887" s="465"/>
      <c r="B887" s="465"/>
      <c r="C887" s="147"/>
      <c r="D887" s="147"/>
      <c r="E887" s="585"/>
      <c r="F887" s="586"/>
      <c r="G887" s="458"/>
      <c r="H887" s="458"/>
      <c r="I887" s="458"/>
      <c r="J887" s="465"/>
      <c r="K887" s="587"/>
      <c r="L887" s="465"/>
      <c r="M887" s="465"/>
      <c r="N887" s="465"/>
      <c r="O887" s="587"/>
      <c r="P887" s="585"/>
      <c r="Q887" s="465"/>
      <c r="R887" s="458"/>
      <c r="S887" s="585"/>
      <c r="T887" s="588"/>
      <c r="U887" s="589"/>
      <c r="V887" s="587"/>
      <c r="W887" s="465"/>
      <c r="X887" s="465"/>
      <c r="Y887" s="590"/>
      <c r="Z887" s="458"/>
      <c r="AA887" s="591"/>
      <c r="AB887" s="465"/>
      <c r="AC887" s="465"/>
      <c r="AD887" s="465"/>
      <c r="AE887" s="465"/>
      <c r="AF887" s="465"/>
      <c r="AG887" s="465"/>
      <c r="AH887" s="465"/>
      <c r="AI887" s="592"/>
      <c r="AJ887" s="465"/>
      <c r="AK887" s="465"/>
      <c r="AL887" s="20"/>
      <c r="AM887" s="20"/>
      <c r="AN887" s="593"/>
      <c r="AO887" s="20"/>
      <c r="AP887" s="276"/>
      <c r="AQ887" s="276"/>
      <c r="AR887" s="276"/>
      <c r="AS887" s="276"/>
      <c r="AT887" s="276"/>
      <c r="AU887" s="276"/>
      <c r="AV887" s="276"/>
      <c r="AW887" s="276"/>
      <c r="AX887" s="276"/>
      <c r="AY887" s="276"/>
      <c r="AZ887" s="276"/>
      <c r="BA887" s="276"/>
      <c r="BB887" s="276"/>
      <c r="BC887" s="276"/>
    </row>
    <row r="888" spans="1:55" ht="12.75" customHeight="1">
      <c r="A888" s="465"/>
      <c r="B888" s="465"/>
      <c r="C888" s="147"/>
      <c r="D888" s="147"/>
      <c r="E888" s="585"/>
      <c r="F888" s="586"/>
      <c r="G888" s="458"/>
      <c r="H888" s="458"/>
      <c r="I888" s="458"/>
      <c r="J888" s="465"/>
      <c r="K888" s="587"/>
      <c r="L888" s="465"/>
      <c r="M888" s="465"/>
      <c r="N888" s="465"/>
      <c r="O888" s="587"/>
      <c r="P888" s="585"/>
      <c r="Q888" s="465"/>
      <c r="R888" s="458"/>
      <c r="S888" s="585"/>
      <c r="T888" s="588"/>
      <c r="U888" s="589"/>
      <c r="V888" s="587"/>
      <c r="W888" s="465"/>
      <c r="X888" s="465"/>
      <c r="Y888" s="590"/>
      <c r="Z888" s="458"/>
      <c r="AA888" s="591"/>
      <c r="AB888" s="465"/>
      <c r="AC888" s="465"/>
      <c r="AD888" s="465"/>
      <c r="AE888" s="465"/>
      <c r="AF888" s="465"/>
      <c r="AG888" s="465"/>
      <c r="AH888" s="465"/>
      <c r="AI888" s="592"/>
      <c r="AJ888" s="465"/>
      <c r="AK888" s="465"/>
      <c r="AL888" s="20"/>
      <c r="AM888" s="20"/>
      <c r="AN888" s="593"/>
      <c r="AO888" s="20"/>
      <c r="AP888" s="276"/>
      <c r="AQ888" s="276"/>
      <c r="AR888" s="276"/>
      <c r="AS888" s="276"/>
      <c r="AT888" s="276"/>
      <c r="AU888" s="276"/>
      <c r="AV888" s="276"/>
      <c r="AW888" s="276"/>
      <c r="AX888" s="276"/>
      <c r="AY888" s="276"/>
      <c r="AZ888" s="276"/>
      <c r="BA888" s="276"/>
      <c r="BB888" s="276"/>
      <c r="BC888" s="276"/>
    </row>
    <row r="889" spans="1:55" ht="12.75" customHeight="1">
      <c r="A889" s="465"/>
      <c r="B889" s="465"/>
      <c r="C889" s="147"/>
      <c r="D889" s="147"/>
      <c r="E889" s="585"/>
      <c r="F889" s="586"/>
      <c r="G889" s="458"/>
      <c r="H889" s="458"/>
      <c r="I889" s="458"/>
      <c r="J889" s="465"/>
      <c r="K889" s="587"/>
      <c r="L889" s="465"/>
      <c r="M889" s="465"/>
      <c r="N889" s="465"/>
      <c r="O889" s="587"/>
      <c r="P889" s="585"/>
      <c r="Q889" s="465"/>
      <c r="R889" s="458"/>
      <c r="S889" s="585"/>
      <c r="T889" s="588"/>
      <c r="U889" s="589"/>
      <c r="V889" s="587"/>
      <c r="W889" s="465"/>
      <c r="X889" s="465"/>
      <c r="Y889" s="590"/>
      <c r="Z889" s="458"/>
      <c r="AA889" s="591"/>
      <c r="AB889" s="465"/>
      <c r="AC889" s="465"/>
      <c r="AD889" s="465"/>
      <c r="AE889" s="465"/>
      <c r="AF889" s="465"/>
      <c r="AG889" s="465"/>
      <c r="AH889" s="465"/>
      <c r="AI889" s="592"/>
      <c r="AJ889" s="465"/>
      <c r="AK889" s="465"/>
      <c r="AL889" s="20"/>
      <c r="AM889" s="20"/>
      <c r="AN889" s="593"/>
      <c r="AO889" s="20"/>
      <c r="AP889" s="276"/>
      <c r="AQ889" s="276"/>
      <c r="AR889" s="276"/>
      <c r="AS889" s="276"/>
      <c r="AT889" s="276"/>
      <c r="AU889" s="276"/>
      <c r="AV889" s="276"/>
      <c r="AW889" s="276"/>
      <c r="AX889" s="276"/>
      <c r="AY889" s="276"/>
      <c r="AZ889" s="276"/>
      <c r="BA889" s="276"/>
      <c r="BB889" s="276"/>
      <c r="BC889" s="276"/>
    </row>
    <row r="890" spans="1:55" ht="12.75" customHeight="1">
      <c r="A890" s="465"/>
      <c r="B890" s="465"/>
      <c r="C890" s="147"/>
      <c r="D890" s="147"/>
      <c r="E890" s="585"/>
      <c r="F890" s="586"/>
      <c r="G890" s="458"/>
      <c r="H890" s="458"/>
      <c r="I890" s="458"/>
      <c r="J890" s="465"/>
      <c r="K890" s="587"/>
      <c r="L890" s="465"/>
      <c r="M890" s="465"/>
      <c r="N890" s="465"/>
      <c r="O890" s="587"/>
      <c r="P890" s="585"/>
      <c r="Q890" s="465"/>
      <c r="R890" s="458"/>
      <c r="S890" s="585"/>
      <c r="T890" s="588"/>
      <c r="U890" s="589"/>
      <c r="V890" s="587"/>
      <c r="W890" s="465"/>
      <c r="X890" s="465"/>
      <c r="Y890" s="590"/>
      <c r="Z890" s="458"/>
      <c r="AA890" s="591"/>
      <c r="AB890" s="465"/>
      <c r="AC890" s="465"/>
      <c r="AD890" s="465"/>
      <c r="AE890" s="465"/>
      <c r="AF890" s="465"/>
      <c r="AG890" s="465"/>
      <c r="AH890" s="465"/>
      <c r="AI890" s="592"/>
      <c r="AJ890" s="465"/>
      <c r="AK890" s="465"/>
      <c r="AL890" s="20"/>
      <c r="AM890" s="20"/>
      <c r="AN890" s="593"/>
      <c r="AO890" s="20"/>
      <c r="AP890" s="276"/>
      <c r="AQ890" s="276"/>
      <c r="AR890" s="276"/>
      <c r="AS890" s="276"/>
      <c r="AT890" s="276"/>
      <c r="AU890" s="276"/>
      <c r="AV890" s="276"/>
      <c r="AW890" s="276"/>
      <c r="AX890" s="276"/>
      <c r="AY890" s="276"/>
      <c r="AZ890" s="276"/>
      <c r="BA890" s="276"/>
      <c r="BB890" s="276"/>
      <c r="BC890" s="276"/>
    </row>
    <row r="891" spans="1:55" ht="12.75" customHeight="1">
      <c r="A891" s="465"/>
      <c r="B891" s="465"/>
      <c r="C891" s="147"/>
      <c r="D891" s="147"/>
      <c r="E891" s="585"/>
      <c r="F891" s="586"/>
      <c r="G891" s="458"/>
      <c r="H891" s="458"/>
      <c r="I891" s="458"/>
      <c r="J891" s="465"/>
      <c r="K891" s="587"/>
      <c r="L891" s="465"/>
      <c r="M891" s="465"/>
      <c r="N891" s="465"/>
      <c r="O891" s="587"/>
      <c r="P891" s="585"/>
      <c r="Q891" s="465"/>
      <c r="R891" s="458"/>
      <c r="S891" s="585"/>
      <c r="T891" s="588"/>
      <c r="U891" s="589"/>
      <c r="V891" s="587"/>
      <c r="W891" s="465"/>
      <c r="X891" s="465"/>
      <c r="Y891" s="590"/>
      <c r="Z891" s="458"/>
      <c r="AA891" s="591"/>
      <c r="AB891" s="465"/>
      <c r="AC891" s="465"/>
      <c r="AD891" s="465"/>
      <c r="AE891" s="465"/>
      <c r="AF891" s="465"/>
      <c r="AG891" s="465"/>
      <c r="AH891" s="465"/>
      <c r="AI891" s="592"/>
      <c r="AJ891" s="465"/>
      <c r="AK891" s="465"/>
      <c r="AL891" s="20"/>
      <c r="AM891" s="20"/>
      <c r="AN891" s="593"/>
      <c r="AO891" s="20"/>
      <c r="AP891" s="276"/>
      <c r="AQ891" s="276"/>
      <c r="AR891" s="276"/>
      <c r="AS891" s="276"/>
      <c r="AT891" s="276"/>
      <c r="AU891" s="276"/>
      <c r="AV891" s="276"/>
      <c r="AW891" s="276"/>
      <c r="AX891" s="276"/>
      <c r="AY891" s="276"/>
      <c r="AZ891" s="276"/>
      <c r="BA891" s="276"/>
      <c r="BB891" s="276"/>
      <c r="BC891" s="276"/>
    </row>
    <row r="892" spans="1:55" ht="12.75" customHeight="1">
      <c r="A892" s="465"/>
      <c r="B892" s="465"/>
      <c r="C892" s="147"/>
      <c r="D892" s="147"/>
      <c r="E892" s="585"/>
      <c r="F892" s="586"/>
      <c r="G892" s="458"/>
      <c r="H892" s="458"/>
      <c r="I892" s="458"/>
      <c r="J892" s="465"/>
      <c r="K892" s="587"/>
      <c r="L892" s="465"/>
      <c r="M892" s="465"/>
      <c r="N892" s="465"/>
      <c r="O892" s="587"/>
      <c r="P892" s="585"/>
      <c r="Q892" s="465"/>
      <c r="R892" s="458"/>
      <c r="S892" s="585"/>
      <c r="T892" s="588"/>
      <c r="U892" s="589"/>
      <c r="V892" s="587"/>
      <c r="W892" s="465"/>
      <c r="X892" s="465"/>
      <c r="Y892" s="590"/>
      <c r="Z892" s="458"/>
      <c r="AA892" s="591"/>
      <c r="AB892" s="465"/>
      <c r="AC892" s="465"/>
      <c r="AD892" s="465"/>
      <c r="AE892" s="465"/>
      <c r="AF892" s="465"/>
      <c r="AG892" s="465"/>
      <c r="AH892" s="465"/>
      <c r="AI892" s="592"/>
      <c r="AJ892" s="465"/>
      <c r="AK892" s="465"/>
      <c r="AL892" s="20"/>
      <c r="AM892" s="20"/>
      <c r="AN892" s="593"/>
      <c r="AO892" s="20"/>
      <c r="AP892" s="276"/>
      <c r="AQ892" s="276"/>
      <c r="AR892" s="276"/>
      <c r="AS892" s="276"/>
      <c r="AT892" s="276"/>
      <c r="AU892" s="276"/>
      <c r="AV892" s="276"/>
      <c r="AW892" s="276"/>
      <c r="AX892" s="276"/>
      <c r="AY892" s="276"/>
      <c r="AZ892" s="276"/>
      <c r="BA892" s="276"/>
      <c r="BB892" s="276"/>
      <c r="BC892" s="276"/>
    </row>
    <row r="893" spans="1:55" ht="12.75" customHeight="1">
      <c r="A893" s="465"/>
      <c r="B893" s="465"/>
      <c r="C893" s="147"/>
      <c r="D893" s="147"/>
      <c r="E893" s="585"/>
      <c r="F893" s="586"/>
      <c r="G893" s="458"/>
      <c r="H893" s="458"/>
      <c r="I893" s="458"/>
      <c r="J893" s="465"/>
      <c r="K893" s="587"/>
      <c r="L893" s="465"/>
      <c r="M893" s="465"/>
      <c r="N893" s="465"/>
      <c r="O893" s="587"/>
      <c r="P893" s="585"/>
      <c r="Q893" s="465"/>
      <c r="R893" s="458"/>
      <c r="S893" s="585"/>
      <c r="T893" s="588"/>
      <c r="U893" s="589"/>
      <c r="V893" s="587"/>
      <c r="W893" s="465"/>
      <c r="X893" s="465"/>
      <c r="Y893" s="590"/>
      <c r="Z893" s="458"/>
      <c r="AA893" s="591"/>
      <c r="AB893" s="465"/>
      <c r="AC893" s="465"/>
      <c r="AD893" s="465"/>
      <c r="AE893" s="465"/>
      <c r="AF893" s="465"/>
      <c r="AG893" s="465"/>
      <c r="AH893" s="465"/>
      <c r="AI893" s="592"/>
      <c r="AJ893" s="465"/>
      <c r="AK893" s="465"/>
      <c r="AL893" s="20"/>
      <c r="AM893" s="20"/>
      <c r="AN893" s="593"/>
      <c r="AO893" s="20"/>
      <c r="AP893" s="276"/>
      <c r="AQ893" s="276"/>
      <c r="AR893" s="276"/>
      <c r="AS893" s="276"/>
      <c r="AT893" s="276"/>
      <c r="AU893" s="276"/>
      <c r="AV893" s="276"/>
      <c r="AW893" s="276"/>
      <c r="AX893" s="276"/>
      <c r="AY893" s="276"/>
      <c r="AZ893" s="276"/>
      <c r="BA893" s="276"/>
      <c r="BB893" s="276"/>
      <c r="BC893" s="276"/>
    </row>
    <row r="894" spans="1:55" ht="12.75" customHeight="1">
      <c r="A894" s="465"/>
      <c r="B894" s="465"/>
      <c r="C894" s="147"/>
      <c r="D894" s="147"/>
      <c r="E894" s="585"/>
      <c r="F894" s="586"/>
      <c r="G894" s="458"/>
      <c r="H894" s="458"/>
      <c r="I894" s="458"/>
      <c r="J894" s="465"/>
      <c r="K894" s="587"/>
      <c r="L894" s="465"/>
      <c r="M894" s="465"/>
      <c r="N894" s="465"/>
      <c r="O894" s="587"/>
      <c r="P894" s="585"/>
      <c r="Q894" s="465"/>
      <c r="R894" s="458"/>
      <c r="S894" s="585"/>
      <c r="T894" s="588"/>
      <c r="U894" s="589"/>
      <c r="V894" s="587"/>
      <c r="W894" s="465"/>
      <c r="X894" s="465"/>
      <c r="Y894" s="590"/>
      <c r="Z894" s="458"/>
      <c r="AA894" s="591"/>
      <c r="AB894" s="465"/>
      <c r="AC894" s="465"/>
      <c r="AD894" s="465"/>
      <c r="AE894" s="465"/>
      <c r="AF894" s="465"/>
      <c r="AG894" s="465"/>
      <c r="AH894" s="465"/>
      <c r="AI894" s="592"/>
      <c r="AJ894" s="465"/>
      <c r="AK894" s="465"/>
      <c r="AL894" s="20"/>
      <c r="AM894" s="20"/>
      <c r="AN894" s="593"/>
      <c r="AO894" s="20"/>
      <c r="AP894" s="276"/>
      <c r="AQ894" s="276"/>
      <c r="AR894" s="276"/>
      <c r="AS894" s="276"/>
      <c r="AT894" s="276"/>
      <c r="AU894" s="276"/>
      <c r="AV894" s="276"/>
      <c r="AW894" s="276"/>
      <c r="AX894" s="276"/>
      <c r="AY894" s="276"/>
      <c r="AZ894" s="276"/>
      <c r="BA894" s="276"/>
      <c r="BB894" s="276"/>
      <c r="BC894" s="276"/>
    </row>
    <row r="895" spans="1:55" ht="12.75" customHeight="1">
      <c r="A895" s="465"/>
      <c r="B895" s="465"/>
      <c r="C895" s="147"/>
      <c r="D895" s="147"/>
      <c r="E895" s="585"/>
      <c r="F895" s="586"/>
      <c r="G895" s="458"/>
      <c r="H895" s="458"/>
      <c r="I895" s="458"/>
      <c r="J895" s="465"/>
      <c r="K895" s="587"/>
      <c r="L895" s="465"/>
      <c r="M895" s="465"/>
      <c r="N895" s="465"/>
      <c r="O895" s="587"/>
      <c r="P895" s="585"/>
      <c r="Q895" s="465"/>
      <c r="R895" s="458"/>
      <c r="S895" s="585"/>
      <c r="T895" s="588"/>
      <c r="U895" s="589"/>
      <c r="V895" s="587"/>
      <c r="W895" s="465"/>
      <c r="X895" s="465"/>
      <c r="Y895" s="590"/>
      <c r="Z895" s="458"/>
      <c r="AA895" s="591"/>
      <c r="AB895" s="465"/>
      <c r="AC895" s="465"/>
      <c r="AD895" s="465"/>
      <c r="AE895" s="465"/>
      <c r="AF895" s="465"/>
      <c r="AG895" s="465"/>
      <c r="AH895" s="465"/>
      <c r="AI895" s="592"/>
      <c r="AJ895" s="465"/>
      <c r="AK895" s="465"/>
      <c r="AL895" s="20"/>
      <c r="AM895" s="20"/>
      <c r="AN895" s="593"/>
      <c r="AO895" s="20"/>
      <c r="AP895" s="276"/>
      <c r="AQ895" s="276"/>
      <c r="AR895" s="276"/>
      <c r="AS895" s="276"/>
      <c r="AT895" s="276"/>
      <c r="AU895" s="276"/>
      <c r="AV895" s="276"/>
      <c r="AW895" s="276"/>
      <c r="AX895" s="276"/>
      <c r="AY895" s="276"/>
      <c r="AZ895" s="276"/>
      <c r="BA895" s="276"/>
      <c r="BB895" s="276"/>
      <c r="BC895" s="276"/>
    </row>
    <row r="896" spans="1:55" ht="12.75" customHeight="1">
      <c r="A896" s="465"/>
      <c r="B896" s="465"/>
      <c r="C896" s="147"/>
      <c r="D896" s="147"/>
      <c r="E896" s="585"/>
      <c r="F896" s="586"/>
      <c r="G896" s="458"/>
      <c r="H896" s="458"/>
      <c r="I896" s="458"/>
      <c r="J896" s="465"/>
      <c r="K896" s="587"/>
      <c r="L896" s="465"/>
      <c r="M896" s="465"/>
      <c r="N896" s="465"/>
      <c r="O896" s="587"/>
      <c r="P896" s="585"/>
      <c r="Q896" s="465"/>
      <c r="R896" s="458"/>
      <c r="S896" s="585"/>
      <c r="T896" s="588"/>
      <c r="U896" s="589"/>
      <c r="V896" s="587"/>
      <c r="W896" s="465"/>
      <c r="X896" s="465"/>
      <c r="Y896" s="590"/>
      <c r="Z896" s="458"/>
      <c r="AA896" s="591"/>
      <c r="AB896" s="465"/>
      <c r="AC896" s="465"/>
      <c r="AD896" s="465"/>
      <c r="AE896" s="465"/>
      <c r="AF896" s="465"/>
      <c r="AG896" s="465"/>
      <c r="AH896" s="465"/>
      <c r="AI896" s="592"/>
      <c r="AJ896" s="465"/>
      <c r="AK896" s="465"/>
      <c r="AL896" s="20"/>
      <c r="AM896" s="20"/>
      <c r="AN896" s="593"/>
      <c r="AO896" s="20"/>
      <c r="AP896" s="276"/>
      <c r="AQ896" s="276"/>
      <c r="AR896" s="276"/>
      <c r="AS896" s="276"/>
      <c r="AT896" s="276"/>
      <c r="AU896" s="276"/>
      <c r="AV896" s="276"/>
      <c r="AW896" s="276"/>
      <c r="AX896" s="276"/>
      <c r="AY896" s="276"/>
      <c r="AZ896" s="276"/>
      <c r="BA896" s="276"/>
      <c r="BB896" s="276"/>
      <c r="BC896" s="276"/>
    </row>
    <row r="897" spans="1:55" ht="12.75" customHeight="1">
      <c r="A897" s="465"/>
      <c r="B897" s="465"/>
      <c r="C897" s="147"/>
      <c r="D897" s="147"/>
      <c r="E897" s="585"/>
      <c r="F897" s="586"/>
      <c r="G897" s="458"/>
      <c r="H897" s="458"/>
      <c r="I897" s="458"/>
      <c r="J897" s="465"/>
      <c r="K897" s="587"/>
      <c r="L897" s="465"/>
      <c r="M897" s="465"/>
      <c r="N897" s="465"/>
      <c r="O897" s="587"/>
      <c r="P897" s="585"/>
      <c r="Q897" s="465"/>
      <c r="R897" s="458"/>
      <c r="S897" s="585"/>
      <c r="T897" s="588"/>
      <c r="U897" s="589"/>
      <c r="V897" s="587"/>
      <c r="W897" s="465"/>
      <c r="X897" s="465"/>
      <c r="Y897" s="590"/>
      <c r="Z897" s="458"/>
      <c r="AA897" s="591"/>
      <c r="AB897" s="465"/>
      <c r="AC897" s="465"/>
      <c r="AD897" s="465"/>
      <c r="AE897" s="465"/>
      <c r="AF897" s="465"/>
      <c r="AG897" s="465"/>
      <c r="AH897" s="465"/>
      <c r="AI897" s="592"/>
      <c r="AJ897" s="465"/>
      <c r="AK897" s="465"/>
      <c r="AL897" s="20"/>
      <c r="AM897" s="20"/>
      <c r="AN897" s="593"/>
      <c r="AO897" s="20"/>
      <c r="AP897" s="276"/>
      <c r="AQ897" s="276"/>
      <c r="AR897" s="276"/>
      <c r="AS897" s="276"/>
      <c r="AT897" s="276"/>
      <c r="AU897" s="276"/>
      <c r="AV897" s="276"/>
      <c r="AW897" s="276"/>
      <c r="AX897" s="276"/>
      <c r="AY897" s="276"/>
      <c r="AZ897" s="276"/>
      <c r="BA897" s="276"/>
      <c r="BB897" s="276"/>
      <c r="BC897" s="276"/>
    </row>
    <row r="898" spans="1:55" ht="12.75" customHeight="1">
      <c r="A898" s="465"/>
      <c r="B898" s="465"/>
      <c r="C898" s="147"/>
      <c r="D898" s="147"/>
      <c r="E898" s="585"/>
      <c r="F898" s="586"/>
      <c r="G898" s="458"/>
      <c r="H898" s="458"/>
      <c r="I898" s="458"/>
      <c r="J898" s="465"/>
      <c r="K898" s="587"/>
      <c r="L898" s="465"/>
      <c r="M898" s="465"/>
      <c r="N898" s="465"/>
      <c r="O898" s="587"/>
      <c r="P898" s="585"/>
      <c r="Q898" s="465"/>
      <c r="R898" s="458"/>
      <c r="S898" s="585"/>
      <c r="T898" s="588"/>
      <c r="U898" s="589"/>
      <c r="V898" s="587"/>
      <c r="W898" s="465"/>
      <c r="X898" s="465"/>
      <c r="Y898" s="590"/>
      <c r="Z898" s="458"/>
      <c r="AA898" s="591"/>
      <c r="AB898" s="465"/>
      <c r="AC898" s="465"/>
      <c r="AD898" s="465"/>
      <c r="AE898" s="465"/>
      <c r="AF898" s="465"/>
      <c r="AG898" s="465"/>
      <c r="AH898" s="465"/>
      <c r="AI898" s="592"/>
      <c r="AJ898" s="465"/>
      <c r="AK898" s="465"/>
      <c r="AL898" s="20"/>
      <c r="AM898" s="20"/>
      <c r="AN898" s="593"/>
      <c r="AO898" s="20"/>
      <c r="AP898" s="276"/>
      <c r="AQ898" s="276"/>
      <c r="AR898" s="276"/>
      <c r="AS898" s="276"/>
      <c r="AT898" s="276"/>
      <c r="AU898" s="276"/>
      <c r="AV898" s="276"/>
      <c r="AW898" s="276"/>
      <c r="AX898" s="276"/>
      <c r="AY898" s="276"/>
      <c r="AZ898" s="276"/>
      <c r="BA898" s="276"/>
      <c r="BB898" s="276"/>
      <c r="BC898" s="276"/>
    </row>
    <row r="899" spans="1:55" ht="12.75" customHeight="1">
      <c r="A899" s="465"/>
      <c r="B899" s="465"/>
      <c r="C899" s="147"/>
      <c r="D899" s="147"/>
      <c r="E899" s="585"/>
      <c r="F899" s="586"/>
      <c r="G899" s="458"/>
      <c r="H899" s="458"/>
      <c r="I899" s="458"/>
      <c r="J899" s="465"/>
      <c r="K899" s="587"/>
      <c r="L899" s="465"/>
      <c r="M899" s="465"/>
      <c r="N899" s="465"/>
      <c r="O899" s="587"/>
      <c r="P899" s="585"/>
      <c r="Q899" s="465"/>
      <c r="R899" s="458"/>
      <c r="S899" s="585"/>
      <c r="T899" s="588"/>
      <c r="U899" s="589"/>
      <c r="V899" s="587"/>
      <c r="W899" s="465"/>
      <c r="X899" s="465"/>
      <c r="Y899" s="590"/>
      <c r="Z899" s="458"/>
      <c r="AA899" s="591"/>
      <c r="AB899" s="465"/>
      <c r="AC899" s="465"/>
      <c r="AD899" s="465"/>
      <c r="AE899" s="465"/>
      <c r="AF899" s="465"/>
      <c r="AG899" s="465"/>
      <c r="AH899" s="465"/>
      <c r="AI899" s="592"/>
      <c r="AJ899" s="465"/>
      <c r="AK899" s="465"/>
      <c r="AL899" s="20"/>
      <c r="AM899" s="20"/>
      <c r="AN899" s="593"/>
      <c r="AO899" s="20"/>
      <c r="AP899" s="276"/>
      <c r="AQ899" s="276"/>
      <c r="AR899" s="276"/>
      <c r="AS899" s="276"/>
      <c r="AT899" s="276"/>
      <c r="AU899" s="276"/>
      <c r="AV899" s="276"/>
      <c r="AW899" s="276"/>
      <c r="AX899" s="276"/>
      <c r="AY899" s="276"/>
      <c r="AZ899" s="276"/>
      <c r="BA899" s="276"/>
      <c r="BB899" s="276"/>
      <c r="BC899" s="276"/>
    </row>
    <row r="900" spans="1:55" ht="12.75" customHeight="1">
      <c r="A900" s="465"/>
      <c r="B900" s="465"/>
      <c r="C900" s="147"/>
      <c r="D900" s="147"/>
      <c r="E900" s="585"/>
      <c r="F900" s="586"/>
      <c r="G900" s="458"/>
      <c r="H900" s="458"/>
      <c r="I900" s="458"/>
      <c r="J900" s="465"/>
      <c r="K900" s="587"/>
      <c r="L900" s="465"/>
      <c r="M900" s="465"/>
      <c r="N900" s="465"/>
      <c r="O900" s="587"/>
      <c r="P900" s="585"/>
      <c r="Q900" s="465"/>
      <c r="R900" s="458"/>
      <c r="S900" s="585"/>
      <c r="T900" s="588"/>
      <c r="U900" s="589"/>
      <c r="V900" s="587"/>
      <c r="W900" s="465"/>
      <c r="X900" s="465"/>
      <c r="Y900" s="590"/>
      <c r="Z900" s="458"/>
      <c r="AA900" s="591"/>
      <c r="AB900" s="465"/>
      <c r="AC900" s="465"/>
      <c r="AD900" s="465"/>
      <c r="AE900" s="465"/>
      <c r="AF900" s="465"/>
      <c r="AG900" s="465"/>
      <c r="AH900" s="465"/>
      <c r="AI900" s="592"/>
      <c r="AJ900" s="465"/>
      <c r="AK900" s="465"/>
      <c r="AL900" s="20"/>
      <c r="AM900" s="20"/>
      <c r="AN900" s="593"/>
      <c r="AO900" s="20"/>
      <c r="AP900" s="276"/>
      <c r="AQ900" s="276"/>
      <c r="AR900" s="276"/>
      <c r="AS900" s="276"/>
      <c r="AT900" s="276"/>
      <c r="AU900" s="276"/>
      <c r="AV900" s="276"/>
      <c r="AW900" s="276"/>
      <c r="AX900" s="276"/>
      <c r="AY900" s="276"/>
      <c r="AZ900" s="276"/>
      <c r="BA900" s="276"/>
      <c r="BB900" s="276"/>
      <c r="BC900" s="276"/>
    </row>
    <row r="901" spans="1:55" ht="12.75" customHeight="1">
      <c r="A901" s="465"/>
      <c r="B901" s="465"/>
      <c r="C901" s="147"/>
      <c r="D901" s="147"/>
      <c r="E901" s="585"/>
      <c r="F901" s="586"/>
      <c r="G901" s="458"/>
      <c r="H901" s="458"/>
      <c r="I901" s="458"/>
      <c r="J901" s="465"/>
      <c r="K901" s="587"/>
      <c r="L901" s="465"/>
      <c r="M901" s="465"/>
      <c r="N901" s="465"/>
      <c r="O901" s="587"/>
      <c r="P901" s="585"/>
      <c r="Q901" s="465"/>
      <c r="R901" s="458"/>
      <c r="S901" s="585"/>
      <c r="T901" s="588"/>
      <c r="U901" s="589"/>
      <c r="V901" s="587"/>
      <c r="W901" s="465"/>
      <c r="X901" s="465"/>
      <c r="Y901" s="590"/>
      <c r="Z901" s="458"/>
      <c r="AA901" s="591"/>
      <c r="AB901" s="465"/>
      <c r="AC901" s="465"/>
      <c r="AD901" s="465"/>
      <c r="AE901" s="465"/>
      <c r="AF901" s="465"/>
      <c r="AG901" s="465"/>
      <c r="AH901" s="465"/>
      <c r="AI901" s="592"/>
      <c r="AJ901" s="465"/>
      <c r="AK901" s="465"/>
      <c r="AL901" s="20"/>
      <c r="AM901" s="20"/>
      <c r="AN901" s="593"/>
      <c r="AO901" s="20"/>
      <c r="AP901" s="276"/>
      <c r="AQ901" s="276"/>
      <c r="AR901" s="276"/>
      <c r="AS901" s="276"/>
      <c r="AT901" s="276"/>
      <c r="AU901" s="276"/>
      <c r="AV901" s="276"/>
      <c r="AW901" s="276"/>
      <c r="AX901" s="276"/>
      <c r="AY901" s="276"/>
      <c r="AZ901" s="276"/>
      <c r="BA901" s="276"/>
      <c r="BB901" s="276"/>
      <c r="BC901" s="276"/>
    </row>
    <row r="902" spans="1:55" ht="12.75" customHeight="1">
      <c r="A902" s="465"/>
      <c r="B902" s="465"/>
      <c r="C902" s="147"/>
      <c r="D902" s="147"/>
      <c r="E902" s="585"/>
      <c r="F902" s="586"/>
      <c r="G902" s="458"/>
      <c r="H902" s="458"/>
      <c r="I902" s="458"/>
      <c r="J902" s="465"/>
      <c r="K902" s="587"/>
      <c r="L902" s="465"/>
      <c r="M902" s="465"/>
      <c r="N902" s="465"/>
      <c r="O902" s="587"/>
      <c r="P902" s="585"/>
      <c r="Q902" s="465"/>
      <c r="R902" s="458"/>
      <c r="S902" s="585"/>
      <c r="T902" s="588"/>
      <c r="U902" s="589"/>
      <c r="V902" s="587"/>
      <c r="W902" s="465"/>
      <c r="X902" s="465"/>
      <c r="Y902" s="590"/>
      <c r="Z902" s="458"/>
      <c r="AA902" s="591"/>
      <c r="AB902" s="465"/>
      <c r="AC902" s="465"/>
      <c r="AD902" s="465"/>
      <c r="AE902" s="465"/>
      <c r="AF902" s="465"/>
      <c r="AG902" s="465"/>
      <c r="AH902" s="465"/>
      <c r="AI902" s="592"/>
      <c r="AJ902" s="465"/>
      <c r="AK902" s="465"/>
      <c r="AL902" s="20"/>
      <c r="AM902" s="20"/>
      <c r="AN902" s="593"/>
      <c r="AO902" s="20"/>
      <c r="AP902" s="276"/>
      <c r="AQ902" s="276"/>
      <c r="AR902" s="276"/>
      <c r="AS902" s="276"/>
      <c r="AT902" s="276"/>
      <c r="AU902" s="276"/>
      <c r="AV902" s="276"/>
      <c r="AW902" s="276"/>
      <c r="AX902" s="276"/>
      <c r="AY902" s="276"/>
      <c r="AZ902" s="276"/>
      <c r="BA902" s="276"/>
      <c r="BB902" s="276"/>
      <c r="BC902" s="276"/>
    </row>
    <row r="903" spans="1:55" ht="12.75" customHeight="1">
      <c r="A903" s="465"/>
      <c r="B903" s="465"/>
      <c r="C903" s="147"/>
      <c r="D903" s="147"/>
      <c r="E903" s="585"/>
      <c r="F903" s="586"/>
      <c r="G903" s="458"/>
      <c r="H903" s="458"/>
      <c r="I903" s="458"/>
      <c r="J903" s="465"/>
      <c r="K903" s="587"/>
      <c r="L903" s="465"/>
      <c r="M903" s="465"/>
      <c r="N903" s="465"/>
      <c r="O903" s="587"/>
      <c r="P903" s="585"/>
      <c r="Q903" s="465"/>
      <c r="R903" s="458"/>
      <c r="S903" s="585"/>
      <c r="T903" s="588"/>
      <c r="U903" s="589"/>
      <c r="V903" s="587"/>
      <c r="W903" s="465"/>
      <c r="X903" s="465"/>
      <c r="Y903" s="590"/>
      <c r="Z903" s="458"/>
      <c r="AA903" s="591"/>
      <c r="AB903" s="465"/>
      <c r="AC903" s="465"/>
      <c r="AD903" s="465"/>
      <c r="AE903" s="465"/>
      <c r="AF903" s="465"/>
      <c r="AG903" s="465"/>
      <c r="AH903" s="465"/>
      <c r="AI903" s="592"/>
      <c r="AJ903" s="465"/>
      <c r="AK903" s="465"/>
      <c r="AL903" s="20"/>
      <c r="AM903" s="20"/>
      <c r="AN903" s="593"/>
      <c r="AO903" s="20"/>
      <c r="AP903" s="276"/>
      <c r="AQ903" s="276"/>
      <c r="AR903" s="276"/>
      <c r="AS903" s="276"/>
      <c r="AT903" s="276"/>
      <c r="AU903" s="276"/>
      <c r="AV903" s="276"/>
      <c r="AW903" s="276"/>
      <c r="AX903" s="276"/>
      <c r="AY903" s="276"/>
      <c r="AZ903" s="276"/>
      <c r="BA903" s="276"/>
      <c r="BB903" s="276"/>
      <c r="BC903" s="276"/>
    </row>
    <row r="904" spans="1:55" ht="12.75" customHeight="1">
      <c r="A904" s="465"/>
      <c r="B904" s="465"/>
      <c r="C904" s="147"/>
      <c r="D904" s="147"/>
      <c r="E904" s="585"/>
      <c r="F904" s="586"/>
      <c r="G904" s="458"/>
      <c r="H904" s="458"/>
      <c r="I904" s="458"/>
      <c r="J904" s="465"/>
      <c r="K904" s="587"/>
      <c r="L904" s="465"/>
      <c r="M904" s="465"/>
      <c r="N904" s="465"/>
      <c r="O904" s="587"/>
      <c r="P904" s="585"/>
      <c r="Q904" s="465"/>
      <c r="R904" s="458"/>
      <c r="S904" s="585"/>
      <c r="T904" s="588"/>
      <c r="U904" s="589"/>
      <c r="V904" s="587"/>
      <c r="W904" s="465"/>
      <c r="X904" s="465"/>
      <c r="Y904" s="590"/>
      <c r="Z904" s="458"/>
      <c r="AA904" s="591"/>
      <c r="AB904" s="465"/>
      <c r="AC904" s="465"/>
      <c r="AD904" s="465"/>
      <c r="AE904" s="465"/>
      <c r="AF904" s="465"/>
      <c r="AG904" s="465"/>
      <c r="AH904" s="465"/>
      <c r="AI904" s="592"/>
      <c r="AJ904" s="465"/>
      <c r="AK904" s="465"/>
      <c r="AL904" s="20"/>
      <c r="AM904" s="20"/>
      <c r="AN904" s="593"/>
      <c r="AO904" s="20"/>
      <c r="AP904" s="276"/>
      <c r="AQ904" s="276"/>
      <c r="AR904" s="276"/>
      <c r="AS904" s="276"/>
      <c r="AT904" s="276"/>
      <c r="AU904" s="276"/>
      <c r="AV904" s="276"/>
      <c r="AW904" s="276"/>
      <c r="AX904" s="276"/>
      <c r="AY904" s="276"/>
      <c r="AZ904" s="276"/>
      <c r="BA904" s="276"/>
      <c r="BB904" s="276"/>
      <c r="BC904" s="276"/>
    </row>
    <row r="905" spans="1:55" ht="12.75" customHeight="1">
      <c r="A905" s="465"/>
      <c r="B905" s="465"/>
      <c r="C905" s="147"/>
      <c r="D905" s="147"/>
      <c r="E905" s="585"/>
      <c r="F905" s="586"/>
      <c r="G905" s="458"/>
      <c r="H905" s="458"/>
      <c r="I905" s="458"/>
      <c r="J905" s="465"/>
      <c r="K905" s="587"/>
      <c r="L905" s="465"/>
      <c r="M905" s="465"/>
      <c r="N905" s="465"/>
      <c r="O905" s="587"/>
      <c r="P905" s="585"/>
      <c r="Q905" s="465"/>
      <c r="R905" s="458"/>
      <c r="S905" s="585"/>
      <c r="T905" s="588"/>
      <c r="U905" s="589"/>
      <c r="V905" s="587"/>
      <c r="W905" s="465"/>
      <c r="X905" s="465"/>
      <c r="Y905" s="590"/>
      <c r="Z905" s="458"/>
      <c r="AA905" s="591"/>
      <c r="AB905" s="465"/>
      <c r="AC905" s="465"/>
      <c r="AD905" s="465"/>
      <c r="AE905" s="465"/>
      <c r="AF905" s="465"/>
      <c r="AG905" s="465"/>
      <c r="AH905" s="465"/>
      <c r="AI905" s="592"/>
      <c r="AJ905" s="465"/>
      <c r="AK905" s="465"/>
      <c r="AL905" s="20"/>
      <c r="AM905" s="20"/>
      <c r="AN905" s="593"/>
      <c r="AO905" s="20"/>
      <c r="AP905" s="276"/>
      <c r="AQ905" s="276"/>
      <c r="AR905" s="276"/>
      <c r="AS905" s="276"/>
      <c r="AT905" s="276"/>
      <c r="AU905" s="276"/>
      <c r="AV905" s="276"/>
      <c r="AW905" s="276"/>
      <c r="AX905" s="276"/>
      <c r="AY905" s="276"/>
      <c r="AZ905" s="276"/>
      <c r="BA905" s="276"/>
      <c r="BB905" s="276"/>
      <c r="BC905" s="276"/>
    </row>
    <row r="906" spans="1:55" ht="12.75" customHeight="1">
      <c r="A906" s="465"/>
      <c r="B906" s="465"/>
      <c r="C906" s="147"/>
      <c r="D906" s="147"/>
      <c r="E906" s="585"/>
      <c r="F906" s="586"/>
      <c r="G906" s="458"/>
      <c r="H906" s="458"/>
      <c r="I906" s="458"/>
      <c r="J906" s="465"/>
      <c r="K906" s="587"/>
      <c r="L906" s="465"/>
      <c r="M906" s="465"/>
      <c r="N906" s="465"/>
      <c r="O906" s="587"/>
      <c r="P906" s="585"/>
      <c r="Q906" s="465"/>
      <c r="R906" s="458"/>
      <c r="S906" s="585"/>
      <c r="T906" s="588"/>
      <c r="U906" s="589"/>
      <c r="V906" s="587"/>
      <c r="W906" s="465"/>
      <c r="X906" s="465"/>
      <c r="Y906" s="590"/>
      <c r="Z906" s="458"/>
      <c r="AA906" s="591"/>
      <c r="AB906" s="465"/>
      <c r="AC906" s="465"/>
      <c r="AD906" s="465"/>
      <c r="AE906" s="465"/>
      <c r="AF906" s="465"/>
      <c r="AG906" s="465"/>
      <c r="AH906" s="465"/>
      <c r="AI906" s="592"/>
      <c r="AJ906" s="465"/>
      <c r="AK906" s="465"/>
      <c r="AL906" s="20"/>
      <c r="AM906" s="20"/>
      <c r="AN906" s="593"/>
      <c r="AO906" s="20"/>
      <c r="AP906" s="276"/>
      <c r="AQ906" s="276"/>
      <c r="AR906" s="276"/>
      <c r="AS906" s="276"/>
      <c r="AT906" s="276"/>
      <c r="AU906" s="276"/>
      <c r="AV906" s="276"/>
      <c r="AW906" s="276"/>
      <c r="AX906" s="276"/>
      <c r="AY906" s="276"/>
      <c r="AZ906" s="276"/>
      <c r="BA906" s="276"/>
      <c r="BB906" s="276"/>
      <c r="BC906" s="276"/>
    </row>
    <row r="907" spans="1:55" ht="12.75" customHeight="1">
      <c r="A907" s="465"/>
      <c r="B907" s="465"/>
      <c r="C907" s="147"/>
      <c r="D907" s="147"/>
      <c r="E907" s="585"/>
      <c r="F907" s="586"/>
      <c r="G907" s="458"/>
      <c r="H907" s="458"/>
      <c r="I907" s="458"/>
      <c r="J907" s="465"/>
      <c r="K907" s="587"/>
      <c r="L907" s="465"/>
      <c r="M907" s="465"/>
      <c r="N907" s="465"/>
      <c r="O907" s="587"/>
      <c r="P907" s="585"/>
      <c r="Q907" s="465"/>
      <c r="R907" s="458"/>
      <c r="S907" s="585"/>
      <c r="T907" s="588"/>
      <c r="U907" s="589"/>
      <c r="V907" s="587"/>
      <c r="W907" s="465"/>
      <c r="X907" s="465"/>
      <c r="Y907" s="590"/>
      <c r="Z907" s="458"/>
      <c r="AA907" s="591"/>
      <c r="AB907" s="465"/>
      <c r="AC907" s="465"/>
      <c r="AD907" s="465"/>
      <c r="AE907" s="465"/>
      <c r="AF907" s="465"/>
      <c r="AG907" s="465"/>
      <c r="AH907" s="465"/>
      <c r="AI907" s="592"/>
      <c r="AJ907" s="465"/>
      <c r="AK907" s="465"/>
      <c r="AL907" s="20"/>
      <c r="AM907" s="20"/>
      <c r="AN907" s="593"/>
      <c r="AO907" s="20"/>
      <c r="AP907" s="276"/>
      <c r="AQ907" s="276"/>
      <c r="AR907" s="276"/>
      <c r="AS907" s="276"/>
      <c r="AT907" s="276"/>
      <c r="AU907" s="276"/>
      <c r="AV907" s="276"/>
      <c r="AW907" s="276"/>
      <c r="AX907" s="276"/>
      <c r="AY907" s="276"/>
      <c r="AZ907" s="276"/>
      <c r="BA907" s="276"/>
      <c r="BB907" s="276"/>
      <c r="BC907" s="276"/>
    </row>
    <row r="908" spans="1:55" ht="12.75" customHeight="1">
      <c r="A908" s="465"/>
      <c r="B908" s="465"/>
      <c r="C908" s="147"/>
      <c r="D908" s="147"/>
      <c r="E908" s="585"/>
      <c r="F908" s="586"/>
      <c r="G908" s="458"/>
      <c r="H908" s="458"/>
      <c r="I908" s="458"/>
      <c r="J908" s="465"/>
      <c r="K908" s="587"/>
      <c r="L908" s="465"/>
      <c r="M908" s="465"/>
      <c r="N908" s="465"/>
      <c r="O908" s="587"/>
      <c r="P908" s="585"/>
      <c r="Q908" s="465"/>
      <c r="R908" s="458"/>
      <c r="S908" s="585"/>
      <c r="T908" s="588"/>
      <c r="U908" s="589"/>
      <c r="V908" s="587"/>
      <c r="W908" s="465"/>
      <c r="X908" s="465"/>
      <c r="Y908" s="590"/>
      <c r="Z908" s="458"/>
      <c r="AA908" s="591"/>
      <c r="AB908" s="465"/>
      <c r="AC908" s="465"/>
      <c r="AD908" s="465"/>
      <c r="AE908" s="465"/>
      <c r="AF908" s="465"/>
      <c r="AG908" s="465"/>
      <c r="AH908" s="465"/>
      <c r="AI908" s="592"/>
      <c r="AJ908" s="465"/>
      <c r="AK908" s="465"/>
      <c r="AL908" s="20"/>
      <c r="AM908" s="20"/>
      <c r="AN908" s="593"/>
      <c r="AO908" s="20"/>
      <c r="AP908" s="276"/>
      <c r="AQ908" s="276"/>
      <c r="AR908" s="276"/>
      <c r="AS908" s="276"/>
      <c r="AT908" s="276"/>
      <c r="AU908" s="276"/>
      <c r="AV908" s="276"/>
      <c r="AW908" s="276"/>
      <c r="AX908" s="276"/>
      <c r="AY908" s="276"/>
      <c r="AZ908" s="276"/>
      <c r="BA908" s="276"/>
      <c r="BB908" s="276"/>
      <c r="BC908" s="276"/>
    </row>
    <row r="909" spans="1:55" ht="12.75" customHeight="1">
      <c r="A909" s="465"/>
      <c r="B909" s="465"/>
      <c r="C909" s="147"/>
      <c r="D909" s="147"/>
      <c r="E909" s="585"/>
      <c r="F909" s="586"/>
      <c r="G909" s="458"/>
      <c r="H909" s="458"/>
      <c r="I909" s="458"/>
      <c r="J909" s="465"/>
      <c r="K909" s="587"/>
      <c r="L909" s="465"/>
      <c r="M909" s="465"/>
      <c r="N909" s="465"/>
      <c r="O909" s="587"/>
      <c r="P909" s="585"/>
      <c r="Q909" s="465"/>
      <c r="R909" s="458"/>
      <c r="S909" s="585"/>
      <c r="T909" s="588"/>
      <c r="U909" s="589"/>
      <c r="V909" s="587"/>
      <c r="W909" s="465"/>
      <c r="X909" s="465"/>
      <c r="Y909" s="590"/>
      <c r="Z909" s="458"/>
      <c r="AA909" s="591"/>
      <c r="AB909" s="465"/>
      <c r="AC909" s="465"/>
      <c r="AD909" s="465"/>
      <c r="AE909" s="465"/>
      <c r="AF909" s="465"/>
      <c r="AG909" s="465"/>
      <c r="AH909" s="465"/>
      <c r="AI909" s="592"/>
      <c r="AJ909" s="465"/>
      <c r="AK909" s="465"/>
      <c r="AL909" s="20"/>
      <c r="AM909" s="20"/>
      <c r="AN909" s="593"/>
      <c r="AO909" s="20"/>
      <c r="AP909" s="276"/>
      <c r="AQ909" s="276"/>
      <c r="AR909" s="276"/>
      <c r="AS909" s="276"/>
      <c r="AT909" s="276"/>
      <c r="AU909" s="276"/>
      <c r="AV909" s="276"/>
      <c r="AW909" s="276"/>
      <c r="AX909" s="276"/>
      <c r="AY909" s="276"/>
      <c r="AZ909" s="276"/>
      <c r="BA909" s="276"/>
      <c r="BB909" s="276"/>
      <c r="BC909" s="276"/>
    </row>
    <row r="910" spans="1:55" ht="12.75" customHeight="1">
      <c r="A910" s="465"/>
      <c r="B910" s="465"/>
      <c r="C910" s="147"/>
      <c r="D910" s="147"/>
      <c r="E910" s="585"/>
      <c r="F910" s="586"/>
      <c r="G910" s="458"/>
      <c r="H910" s="458"/>
      <c r="I910" s="458"/>
      <c r="J910" s="465"/>
      <c r="K910" s="587"/>
      <c r="L910" s="465"/>
      <c r="M910" s="465"/>
      <c r="N910" s="465"/>
      <c r="O910" s="587"/>
      <c r="P910" s="585"/>
      <c r="Q910" s="465"/>
      <c r="R910" s="458"/>
      <c r="S910" s="585"/>
      <c r="T910" s="588"/>
      <c r="U910" s="589"/>
      <c r="V910" s="587"/>
      <c r="W910" s="465"/>
      <c r="X910" s="465"/>
      <c r="Y910" s="590"/>
      <c r="Z910" s="458"/>
      <c r="AA910" s="591"/>
      <c r="AB910" s="465"/>
      <c r="AC910" s="465"/>
      <c r="AD910" s="465"/>
      <c r="AE910" s="465"/>
      <c r="AF910" s="465"/>
      <c r="AG910" s="465"/>
      <c r="AH910" s="465"/>
      <c r="AI910" s="592"/>
      <c r="AJ910" s="465"/>
      <c r="AK910" s="465"/>
      <c r="AL910" s="20"/>
      <c r="AM910" s="20"/>
      <c r="AN910" s="593"/>
      <c r="AO910" s="20"/>
      <c r="AP910" s="276"/>
      <c r="AQ910" s="276"/>
      <c r="AR910" s="276"/>
      <c r="AS910" s="276"/>
      <c r="AT910" s="276"/>
      <c r="AU910" s="276"/>
      <c r="AV910" s="276"/>
      <c r="AW910" s="276"/>
      <c r="AX910" s="276"/>
      <c r="AY910" s="276"/>
      <c r="AZ910" s="276"/>
      <c r="BA910" s="276"/>
      <c r="BB910" s="276"/>
      <c r="BC910" s="276"/>
    </row>
    <row r="911" spans="1:55" ht="12.75" customHeight="1">
      <c r="A911" s="465"/>
      <c r="B911" s="465"/>
      <c r="C911" s="147"/>
      <c r="D911" s="147"/>
      <c r="E911" s="585"/>
      <c r="F911" s="586"/>
      <c r="G911" s="458"/>
      <c r="H911" s="458"/>
      <c r="I911" s="458"/>
      <c r="J911" s="465"/>
      <c r="K911" s="587"/>
      <c r="L911" s="465"/>
      <c r="M911" s="465"/>
      <c r="N911" s="465"/>
      <c r="O911" s="587"/>
      <c r="P911" s="585"/>
      <c r="Q911" s="465"/>
      <c r="R911" s="458"/>
      <c r="S911" s="585"/>
      <c r="T911" s="588"/>
      <c r="U911" s="589"/>
      <c r="V911" s="587"/>
      <c r="W911" s="465"/>
      <c r="X911" s="465"/>
      <c r="Y911" s="590"/>
      <c r="Z911" s="458"/>
      <c r="AA911" s="591"/>
      <c r="AB911" s="465"/>
      <c r="AC911" s="465"/>
      <c r="AD911" s="465"/>
      <c r="AE911" s="465"/>
      <c r="AF911" s="465"/>
      <c r="AG911" s="465"/>
      <c r="AH911" s="465"/>
      <c r="AI911" s="592"/>
      <c r="AJ911" s="465"/>
      <c r="AK911" s="465"/>
      <c r="AL911" s="20"/>
      <c r="AM911" s="20"/>
      <c r="AN911" s="593"/>
      <c r="AO911" s="20"/>
      <c r="AP911" s="276"/>
      <c r="AQ911" s="276"/>
      <c r="AR911" s="276"/>
      <c r="AS911" s="276"/>
      <c r="AT911" s="276"/>
      <c r="AU911" s="276"/>
      <c r="AV911" s="276"/>
      <c r="AW911" s="276"/>
      <c r="AX911" s="276"/>
      <c r="AY911" s="276"/>
      <c r="AZ911" s="276"/>
      <c r="BA911" s="276"/>
      <c r="BB911" s="276"/>
      <c r="BC911" s="276"/>
    </row>
    <row r="912" spans="1:55" ht="12.75" customHeight="1">
      <c r="A912" s="465"/>
      <c r="B912" s="465"/>
      <c r="C912" s="147"/>
      <c r="D912" s="147"/>
      <c r="E912" s="585"/>
      <c r="F912" s="586"/>
      <c r="G912" s="458"/>
      <c r="H912" s="458"/>
      <c r="I912" s="458"/>
      <c r="J912" s="465"/>
      <c r="K912" s="587"/>
      <c r="L912" s="465"/>
      <c r="M912" s="465"/>
      <c r="N912" s="465"/>
      <c r="O912" s="587"/>
      <c r="P912" s="585"/>
      <c r="Q912" s="465"/>
      <c r="R912" s="458"/>
      <c r="S912" s="585"/>
      <c r="T912" s="588"/>
      <c r="U912" s="589"/>
      <c r="V912" s="587"/>
      <c r="W912" s="465"/>
      <c r="X912" s="465"/>
      <c r="Y912" s="590"/>
      <c r="Z912" s="458"/>
      <c r="AA912" s="591"/>
      <c r="AB912" s="465"/>
      <c r="AC912" s="465"/>
      <c r="AD912" s="465"/>
      <c r="AE912" s="465"/>
      <c r="AF912" s="465"/>
      <c r="AG912" s="465"/>
      <c r="AH912" s="465"/>
      <c r="AI912" s="592"/>
      <c r="AJ912" s="465"/>
      <c r="AK912" s="465"/>
      <c r="AL912" s="20"/>
      <c r="AM912" s="20"/>
      <c r="AN912" s="593"/>
      <c r="AO912" s="20"/>
      <c r="AP912" s="276"/>
      <c r="AQ912" s="276"/>
      <c r="AR912" s="276"/>
      <c r="AS912" s="276"/>
      <c r="AT912" s="276"/>
      <c r="AU912" s="276"/>
      <c r="AV912" s="276"/>
      <c r="AW912" s="276"/>
      <c r="AX912" s="276"/>
      <c r="AY912" s="276"/>
      <c r="AZ912" s="276"/>
      <c r="BA912" s="276"/>
      <c r="BB912" s="276"/>
      <c r="BC912" s="276"/>
    </row>
    <row r="913" spans="1:55" ht="12.75" customHeight="1">
      <c r="A913" s="465"/>
      <c r="B913" s="465"/>
      <c r="C913" s="147"/>
      <c r="D913" s="147"/>
      <c r="E913" s="585"/>
      <c r="F913" s="586"/>
      <c r="G913" s="458"/>
      <c r="H913" s="458"/>
      <c r="I913" s="458"/>
      <c r="J913" s="465"/>
      <c r="K913" s="587"/>
      <c r="L913" s="465"/>
      <c r="M913" s="465"/>
      <c r="N913" s="465"/>
      <c r="O913" s="587"/>
      <c r="P913" s="585"/>
      <c r="Q913" s="465"/>
      <c r="R913" s="458"/>
      <c r="S913" s="585"/>
      <c r="T913" s="588"/>
      <c r="U913" s="589"/>
      <c r="V913" s="587"/>
      <c r="W913" s="465"/>
      <c r="X913" s="465"/>
      <c r="Y913" s="590"/>
      <c r="Z913" s="458"/>
      <c r="AA913" s="591"/>
      <c r="AB913" s="465"/>
      <c r="AC913" s="465"/>
      <c r="AD913" s="465"/>
      <c r="AE913" s="465"/>
      <c r="AF913" s="465"/>
      <c r="AG913" s="465"/>
      <c r="AH913" s="465"/>
      <c r="AI913" s="592"/>
      <c r="AJ913" s="465"/>
      <c r="AK913" s="465"/>
      <c r="AL913" s="20"/>
      <c r="AM913" s="20"/>
      <c r="AN913" s="593"/>
      <c r="AO913" s="20"/>
      <c r="AP913" s="276"/>
      <c r="AQ913" s="276"/>
      <c r="AR913" s="276"/>
      <c r="AS913" s="276"/>
      <c r="AT913" s="276"/>
      <c r="AU913" s="276"/>
      <c r="AV913" s="276"/>
      <c r="AW913" s="276"/>
      <c r="AX913" s="276"/>
      <c r="AY913" s="276"/>
      <c r="AZ913" s="276"/>
      <c r="BA913" s="276"/>
      <c r="BB913" s="276"/>
      <c r="BC913" s="276"/>
    </row>
    <row r="914" spans="1:55" ht="12.75" customHeight="1">
      <c r="A914" s="465"/>
      <c r="B914" s="465"/>
      <c r="C914" s="147"/>
      <c r="D914" s="147"/>
      <c r="E914" s="585"/>
      <c r="F914" s="586"/>
      <c r="G914" s="458"/>
      <c r="H914" s="458"/>
      <c r="I914" s="458"/>
      <c r="J914" s="465"/>
      <c r="K914" s="587"/>
      <c r="L914" s="465"/>
      <c r="M914" s="465"/>
      <c r="N914" s="465"/>
      <c r="O914" s="587"/>
      <c r="P914" s="585"/>
      <c r="Q914" s="465"/>
      <c r="R914" s="458"/>
      <c r="S914" s="585"/>
      <c r="T914" s="588"/>
      <c r="U914" s="589"/>
      <c r="V914" s="587"/>
      <c r="W914" s="465"/>
      <c r="X914" s="465"/>
      <c r="Y914" s="590"/>
      <c r="Z914" s="458"/>
      <c r="AA914" s="591"/>
      <c r="AB914" s="465"/>
      <c r="AC914" s="465"/>
      <c r="AD914" s="465"/>
      <c r="AE914" s="465"/>
      <c r="AF914" s="465"/>
      <c r="AG914" s="465"/>
      <c r="AH914" s="465"/>
      <c r="AI914" s="592"/>
      <c r="AJ914" s="465"/>
      <c r="AK914" s="465"/>
      <c r="AL914" s="20"/>
      <c r="AM914" s="20"/>
      <c r="AN914" s="593"/>
      <c r="AO914" s="20"/>
      <c r="AP914" s="276"/>
      <c r="AQ914" s="276"/>
      <c r="AR914" s="276"/>
      <c r="AS914" s="276"/>
      <c r="AT914" s="276"/>
      <c r="AU914" s="276"/>
      <c r="AV914" s="276"/>
      <c r="AW914" s="276"/>
      <c r="AX914" s="276"/>
      <c r="AY914" s="276"/>
      <c r="AZ914" s="276"/>
      <c r="BA914" s="276"/>
      <c r="BB914" s="276"/>
      <c r="BC914" s="276"/>
    </row>
    <row r="915" spans="1:55" ht="12.75" customHeight="1">
      <c r="A915" s="465"/>
      <c r="B915" s="465"/>
      <c r="C915" s="147"/>
      <c r="D915" s="147"/>
      <c r="E915" s="585"/>
      <c r="F915" s="586"/>
      <c r="G915" s="458"/>
      <c r="H915" s="458"/>
      <c r="I915" s="458"/>
      <c r="J915" s="465"/>
      <c r="K915" s="587"/>
      <c r="L915" s="465"/>
      <c r="M915" s="465"/>
      <c r="N915" s="465"/>
      <c r="O915" s="587"/>
      <c r="P915" s="585"/>
      <c r="Q915" s="465"/>
      <c r="R915" s="458"/>
      <c r="S915" s="585"/>
      <c r="T915" s="588"/>
      <c r="U915" s="589"/>
      <c r="V915" s="587"/>
      <c r="W915" s="465"/>
      <c r="X915" s="465"/>
      <c r="Y915" s="590"/>
      <c r="Z915" s="458"/>
      <c r="AA915" s="591"/>
      <c r="AB915" s="465"/>
      <c r="AC915" s="465"/>
      <c r="AD915" s="465"/>
      <c r="AE915" s="465"/>
      <c r="AF915" s="465"/>
      <c r="AG915" s="465"/>
      <c r="AH915" s="465"/>
      <c r="AI915" s="592"/>
      <c r="AJ915" s="465"/>
      <c r="AK915" s="465"/>
      <c r="AL915" s="20"/>
      <c r="AM915" s="20"/>
      <c r="AN915" s="593"/>
      <c r="AO915" s="20"/>
      <c r="AP915" s="276"/>
      <c r="AQ915" s="276"/>
      <c r="AR915" s="276"/>
      <c r="AS915" s="276"/>
      <c r="AT915" s="276"/>
      <c r="AU915" s="276"/>
      <c r="AV915" s="276"/>
      <c r="AW915" s="276"/>
      <c r="AX915" s="276"/>
      <c r="AY915" s="276"/>
      <c r="AZ915" s="276"/>
      <c r="BA915" s="276"/>
      <c r="BB915" s="276"/>
      <c r="BC915" s="276"/>
    </row>
    <row r="916" spans="1:55" ht="12.75" customHeight="1">
      <c r="A916" s="465"/>
      <c r="B916" s="465"/>
      <c r="C916" s="147"/>
      <c r="D916" s="147"/>
      <c r="E916" s="585"/>
      <c r="F916" s="586"/>
      <c r="G916" s="458"/>
      <c r="H916" s="458"/>
      <c r="I916" s="458"/>
      <c r="J916" s="465"/>
      <c r="K916" s="587"/>
      <c r="L916" s="465"/>
      <c r="M916" s="465"/>
      <c r="N916" s="465"/>
      <c r="O916" s="587"/>
      <c r="P916" s="585"/>
      <c r="Q916" s="465"/>
      <c r="R916" s="458"/>
      <c r="S916" s="585"/>
      <c r="T916" s="588"/>
      <c r="U916" s="589"/>
      <c r="V916" s="587"/>
      <c r="W916" s="465"/>
      <c r="X916" s="465"/>
      <c r="Y916" s="590"/>
      <c r="Z916" s="458"/>
      <c r="AA916" s="591"/>
      <c r="AB916" s="465"/>
      <c r="AC916" s="465"/>
      <c r="AD916" s="465"/>
      <c r="AE916" s="465"/>
      <c r="AF916" s="465"/>
      <c r="AG916" s="465"/>
      <c r="AH916" s="465"/>
      <c r="AI916" s="592"/>
      <c r="AJ916" s="465"/>
      <c r="AK916" s="465"/>
      <c r="AL916" s="20"/>
      <c r="AM916" s="20"/>
      <c r="AN916" s="593"/>
      <c r="AO916" s="20"/>
      <c r="AP916" s="276"/>
      <c r="AQ916" s="276"/>
      <c r="AR916" s="276"/>
      <c r="AS916" s="276"/>
      <c r="AT916" s="276"/>
      <c r="AU916" s="276"/>
      <c r="AV916" s="276"/>
      <c r="AW916" s="276"/>
      <c r="AX916" s="276"/>
      <c r="AY916" s="276"/>
      <c r="AZ916" s="276"/>
      <c r="BA916" s="276"/>
      <c r="BB916" s="276"/>
      <c r="BC916" s="276"/>
    </row>
    <row r="917" spans="1:55" ht="12.75" customHeight="1">
      <c r="A917" s="465"/>
      <c r="B917" s="465"/>
      <c r="C917" s="147"/>
      <c r="D917" s="147"/>
      <c r="E917" s="585"/>
      <c r="F917" s="586"/>
      <c r="G917" s="458"/>
      <c r="H917" s="458"/>
      <c r="I917" s="458"/>
      <c r="J917" s="465"/>
      <c r="K917" s="587"/>
      <c r="L917" s="465"/>
      <c r="M917" s="465"/>
      <c r="N917" s="465"/>
      <c r="O917" s="587"/>
      <c r="P917" s="585"/>
      <c r="Q917" s="465"/>
      <c r="R917" s="458"/>
      <c r="S917" s="585"/>
      <c r="T917" s="588"/>
      <c r="U917" s="589"/>
      <c r="V917" s="587"/>
      <c r="W917" s="465"/>
      <c r="X917" s="465"/>
      <c r="Y917" s="590"/>
      <c r="Z917" s="458"/>
      <c r="AA917" s="591"/>
      <c r="AB917" s="465"/>
      <c r="AC917" s="465"/>
      <c r="AD917" s="465"/>
      <c r="AE917" s="465"/>
      <c r="AF917" s="465"/>
      <c r="AG917" s="465"/>
      <c r="AH917" s="465"/>
      <c r="AI917" s="592"/>
      <c r="AJ917" s="465"/>
      <c r="AK917" s="465"/>
      <c r="AL917" s="20"/>
      <c r="AM917" s="20"/>
      <c r="AN917" s="593"/>
      <c r="AO917" s="20"/>
      <c r="AP917" s="276"/>
      <c r="AQ917" s="276"/>
      <c r="AR917" s="276"/>
      <c r="AS917" s="276"/>
      <c r="AT917" s="276"/>
      <c r="AU917" s="276"/>
      <c r="AV917" s="276"/>
      <c r="AW917" s="276"/>
      <c r="AX917" s="276"/>
      <c r="AY917" s="276"/>
      <c r="AZ917" s="276"/>
      <c r="BA917" s="276"/>
      <c r="BB917" s="276"/>
      <c r="BC917" s="276"/>
    </row>
    <row r="918" spans="1:55" ht="12.75" customHeight="1">
      <c r="A918" s="465"/>
      <c r="B918" s="465"/>
      <c r="C918" s="147"/>
      <c r="D918" s="147"/>
      <c r="E918" s="585"/>
      <c r="F918" s="586"/>
      <c r="G918" s="458"/>
      <c r="H918" s="458"/>
      <c r="I918" s="458"/>
      <c r="J918" s="465"/>
      <c r="K918" s="587"/>
      <c r="L918" s="465"/>
      <c r="M918" s="465"/>
      <c r="N918" s="465"/>
      <c r="O918" s="587"/>
      <c r="P918" s="585"/>
      <c r="Q918" s="465"/>
      <c r="R918" s="458"/>
      <c r="S918" s="585"/>
      <c r="T918" s="588"/>
      <c r="U918" s="589"/>
      <c r="V918" s="587"/>
      <c r="W918" s="465"/>
      <c r="X918" s="465"/>
      <c r="Y918" s="590"/>
      <c r="Z918" s="458"/>
      <c r="AA918" s="591"/>
      <c r="AB918" s="465"/>
      <c r="AC918" s="465"/>
      <c r="AD918" s="465"/>
      <c r="AE918" s="465"/>
      <c r="AF918" s="465"/>
      <c r="AG918" s="465"/>
      <c r="AH918" s="465"/>
      <c r="AI918" s="592"/>
      <c r="AJ918" s="465"/>
      <c r="AK918" s="465"/>
      <c r="AL918" s="20"/>
      <c r="AM918" s="20"/>
      <c r="AN918" s="593"/>
      <c r="AO918" s="20"/>
      <c r="AP918" s="276"/>
      <c r="AQ918" s="276"/>
      <c r="AR918" s="276"/>
      <c r="AS918" s="276"/>
      <c r="AT918" s="276"/>
      <c r="AU918" s="276"/>
      <c r="AV918" s="276"/>
      <c r="AW918" s="276"/>
      <c r="AX918" s="276"/>
      <c r="AY918" s="276"/>
      <c r="AZ918" s="276"/>
      <c r="BA918" s="276"/>
      <c r="BB918" s="276"/>
      <c r="BC918" s="276"/>
    </row>
    <row r="919" spans="1:55" ht="12.75" customHeight="1">
      <c r="A919" s="465"/>
      <c r="B919" s="465"/>
      <c r="C919" s="147"/>
      <c r="D919" s="147"/>
      <c r="E919" s="585"/>
      <c r="F919" s="586"/>
      <c r="G919" s="458"/>
      <c r="H919" s="458"/>
      <c r="I919" s="458"/>
      <c r="J919" s="465"/>
      <c r="K919" s="587"/>
      <c r="L919" s="465"/>
      <c r="M919" s="465"/>
      <c r="N919" s="465"/>
      <c r="O919" s="587"/>
      <c r="P919" s="585"/>
      <c r="Q919" s="465"/>
      <c r="R919" s="458"/>
      <c r="S919" s="585"/>
      <c r="T919" s="588"/>
      <c r="U919" s="589"/>
      <c r="V919" s="587"/>
      <c r="W919" s="465"/>
      <c r="X919" s="465"/>
      <c r="Y919" s="590"/>
      <c r="Z919" s="458"/>
      <c r="AA919" s="591"/>
      <c r="AB919" s="465"/>
      <c r="AC919" s="465"/>
      <c r="AD919" s="465"/>
      <c r="AE919" s="465"/>
      <c r="AF919" s="465"/>
      <c r="AG919" s="465"/>
      <c r="AH919" s="465"/>
      <c r="AI919" s="592"/>
      <c r="AJ919" s="465"/>
      <c r="AK919" s="465"/>
      <c r="AL919" s="20"/>
      <c r="AM919" s="20"/>
      <c r="AN919" s="593"/>
      <c r="AO919" s="20"/>
      <c r="AP919" s="276"/>
      <c r="AQ919" s="276"/>
      <c r="AR919" s="276"/>
      <c r="AS919" s="276"/>
      <c r="AT919" s="276"/>
      <c r="AU919" s="276"/>
      <c r="AV919" s="276"/>
      <c r="AW919" s="276"/>
      <c r="AX919" s="276"/>
      <c r="AY919" s="276"/>
      <c r="AZ919" s="276"/>
      <c r="BA919" s="276"/>
      <c r="BB919" s="276"/>
      <c r="BC919" s="276"/>
    </row>
    <row r="920" spans="1:55" ht="12.75" customHeight="1">
      <c r="A920" s="465"/>
      <c r="B920" s="465"/>
      <c r="C920" s="147"/>
      <c r="D920" s="147"/>
      <c r="E920" s="585"/>
      <c r="F920" s="586"/>
      <c r="G920" s="458"/>
      <c r="H920" s="458"/>
      <c r="I920" s="458"/>
      <c r="J920" s="465"/>
      <c r="K920" s="587"/>
      <c r="L920" s="465"/>
      <c r="M920" s="465"/>
      <c r="N920" s="465"/>
      <c r="O920" s="587"/>
      <c r="P920" s="585"/>
      <c r="Q920" s="465"/>
      <c r="R920" s="458"/>
      <c r="S920" s="585"/>
      <c r="T920" s="588"/>
      <c r="U920" s="589"/>
      <c r="V920" s="587"/>
      <c r="W920" s="465"/>
      <c r="X920" s="465"/>
      <c r="Y920" s="590"/>
      <c r="Z920" s="458"/>
      <c r="AA920" s="591"/>
      <c r="AB920" s="465"/>
      <c r="AC920" s="465"/>
      <c r="AD920" s="465"/>
      <c r="AE920" s="465"/>
      <c r="AF920" s="465"/>
      <c r="AG920" s="465"/>
      <c r="AH920" s="465"/>
      <c r="AI920" s="592"/>
      <c r="AJ920" s="465"/>
      <c r="AK920" s="465"/>
      <c r="AL920" s="20"/>
      <c r="AM920" s="20"/>
      <c r="AN920" s="593"/>
      <c r="AO920" s="20"/>
      <c r="AP920" s="276"/>
      <c r="AQ920" s="276"/>
      <c r="AR920" s="276"/>
      <c r="AS920" s="276"/>
      <c r="AT920" s="276"/>
      <c r="AU920" s="276"/>
      <c r="AV920" s="276"/>
      <c r="AW920" s="276"/>
      <c r="AX920" s="276"/>
      <c r="AY920" s="276"/>
      <c r="AZ920" s="276"/>
      <c r="BA920" s="276"/>
      <c r="BB920" s="276"/>
      <c r="BC920" s="276"/>
    </row>
    <row r="921" spans="1:55" ht="12.75" customHeight="1">
      <c r="A921" s="465"/>
      <c r="B921" s="465"/>
      <c r="C921" s="147"/>
      <c r="D921" s="147"/>
      <c r="E921" s="585"/>
      <c r="F921" s="586"/>
      <c r="G921" s="458"/>
      <c r="H921" s="458"/>
      <c r="I921" s="458"/>
      <c r="J921" s="465"/>
      <c r="K921" s="587"/>
      <c r="L921" s="465"/>
      <c r="M921" s="465"/>
      <c r="N921" s="465"/>
      <c r="O921" s="587"/>
      <c r="P921" s="585"/>
      <c r="Q921" s="465"/>
      <c r="R921" s="458"/>
      <c r="S921" s="585"/>
      <c r="T921" s="588"/>
      <c r="U921" s="589"/>
      <c r="V921" s="587"/>
      <c r="W921" s="465"/>
      <c r="X921" s="465"/>
      <c r="Y921" s="590"/>
      <c r="Z921" s="458"/>
      <c r="AA921" s="591"/>
      <c r="AB921" s="465"/>
      <c r="AC921" s="465"/>
      <c r="AD921" s="465"/>
      <c r="AE921" s="465"/>
      <c r="AF921" s="465"/>
      <c r="AG921" s="465"/>
      <c r="AH921" s="465"/>
      <c r="AI921" s="592"/>
      <c r="AJ921" s="465"/>
      <c r="AK921" s="465"/>
      <c r="AL921" s="20"/>
      <c r="AM921" s="20"/>
      <c r="AN921" s="593"/>
      <c r="AO921" s="20"/>
      <c r="AP921" s="276"/>
      <c r="AQ921" s="276"/>
      <c r="AR921" s="276"/>
      <c r="AS921" s="276"/>
      <c r="AT921" s="276"/>
      <c r="AU921" s="276"/>
      <c r="AV921" s="276"/>
      <c r="AW921" s="276"/>
      <c r="AX921" s="276"/>
      <c r="AY921" s="276"/>
      <c r="AZ921" s="276"/>
      <c r="BA921" s="276"/>
      <c r="BB921" s="276"/>
      <c r="BC921" s="276"/>
    </row>
    <row r="922" spans="1:55" ht="12.75" customHeight="1">
      <c r="A922" s="465"/>
      <c r="B922" s="465"/>
      <c r="C922" s="147"/>
      <c r="D922" s="147"/>
      <c r="E922" s="585"/>
      <c r="F922" s="586"/>
      <c r="G922" s="458"/>
      <c r="H922" s="458"/>
      <c r="I922" s="458"/>
      <c r="J922" s="465"/>
      <c r="K922" s="587"/>
      <c r="L922" s="465"/>
      <c r="M922" s="465"/>
      <c r="N922" s="465"/>
      <c r="O922" s="587"/>
      <c r="P922" s="585"/>
      <c r="Q922" s="465"/>
      <c r="R922" s="458"/>
      <c r="S922" s="585"/>
      <c r="T922" s="588"/>
      <c r="U922" s="589"/>
      <c r="V922" s="587"/>
      <c r="W922" s="465"/>
      <c r="X922" s="465"/>
      <c r="Y922" s="590"/>
      <c r="Z922" s="458"/>
      <c r="AA922" s="591"/>
      <c r="AB922" s="465"/>
      <c r="AC922" s="465"/>
      <c r="AD922" s="465"/>
      <c r="AE922" s="465"/>
      <c r="AF922" s="465"/>
      <c r="AG922" s="465"/>
      <c r="AH922" s="465"/>
      <c r="AI922" s="592"/>
      <c r="AJ922" s="465"/>
      <c r="AK922" s="465"/>
      <c r="AL922" s="20"/>
      <c r="AM922" s="20"/>
      <c r="AN922" s="593"/>
      <c r="AO922" s="20"/>
      <c r="AP922" s="276"/>
      <c r="AQ922" s="276"/>
      <c r="AR922" s="276"/>
      <c r="AS922" s="276"/>
      <c r="AT922" s="276"/>
      <c r="AU922" s="276"/>
      <c r="AV922" s="276"/>
      <c r="AW922" s="276"/>
      <c r="AX922" s="276"/>
      <c r="AY922" s="276"/>
      <c r="AZ922" s="276"/>
      <c r="BA922" s="276"/>
      <c r="BB922" s="276"/>
      <c r="BC922" s="276"/>
    </row>
    <row r="923" spans="1:55" ht="12.75" customHeight="1">
      <c r="A923" s="465"/>
      <c r="B923" s="465"/>
      <c r="C923" s="147"/>
      <c r="D923" s="147"/>
      <c r="E923" s="585"/>
      <c r="F923" s="586"/>
      <c r="G923" s="458"/>
      <c r="H923" s="458"/>
      <c r="I923" s="458"/>
      <c r="J923" s="465"/>
      <c r="K923" s="587"/>
      <c r="L923" s="465"/>
      <c r="M923" s="465"/>
      <c r="N923" s="465"/>
      <c r="O923" s="587"/>
      <c r="P923" s="585"/>
      <c r="Q923" s="465"/>
      <c r="R923" s="458"/>
      <c r="S923" s="585"/>
      <c r="T923" s="588"/>
      <c r="U923" s="589"/>
      <c r="V923" s="587"/>
      <c r="W923" s="465"/>
      <c r="X923" s="465"/>
      <c r="Y923" s="590"/>
      <c r="Z923" s="458"/>
      <c r="AA923" s="591"/>
      <c r="AB923" s="465"/>
      <c r="AC923" s="465"/>
      <c r="AD923" s="465"/>
      <c r="AE923" s="465"/>
      <c r="AF923" s="465"/>
      <c r="AG923" s="465"/>
      <c r="AH923" s="465"/>
      <c r="AI923" s="592"/>
      <c r="AJ923" s="465"/>
      <c r="AK923" s="465"/>
      <c r="AL923" s="20"/>
      <c r="AM923" s="20"/>
      <c r="AN923" s="593"/>
      <c r="AO923" s="20"/>
      <c r="AP923" s="276"/>
      <c r="AQ923" s="276"/>
      <c r="AR923" s="276"/>
      <c r="AS923" s="276"/>
      <c r="AT923" s="276"/>
      <c r="AU923" s="276"/>
      <c r="AV923" s="276"/>
      <c r="AW923" s="276"/>
      <c r="AX923" s="276"/>
      <c r="AY923" s="276"/>
      <c r="AZ923" s="276"/>
      <c r="BA923" s="276"/>
      <c r="BB923" s="276"/>
      <c r="BC923" s="276"/>
    </row>
    <row r="924" spans="1:55" ht="12.75" customHeight="1">
      <c r="A924" s="465"/>
      <c r="B924" s="465"/>
      <c r="C924" s="147"/>
      <c r="D924" s="147"/>
      <c r="E924" s="585"/>
      <c r="F924" s="586"/>
      <c r="G924" s="458"/>
      <c r="H924" s="458"/>
      <c r="I924" s="458"/>
      <c r="J924" s="465"/>
      <c r="K924" s="587"/>
      <c r="L924" s="465"/>
      <c r="M924" s="465"/>
      <c r="N924" s="465"/>
      <c r="O924" s="587"/>
      <c r="P924" s="585"/>
      <c r="Q924" s="465"/>
      <c r="R924" s="458"/>
      <c r="S924" s="585"/>
      <c r="T924" s="588"/>
      <c r="U924" s="589"/>
      <c r="V924" s="587"/>
      <c r="W924" s="465"/>
      <c r="X924" s="465"/>
      <c r="Y924" s="590"/>
      <c r="Z924" s="458"/>
      <c r="AA924" s="591"/>
      <c r="AB924" s="465"/>
      <c r="AC924" s="465"/>
      <c r="AD924" s="465"/>
      <c r="AE924" s="465"/>
      <c r="AF924" s="465"/>
      <c r="AG924" s="465"/>
      <c r="AH924" s="465"/>
      <c r="AI924" s="592"/>
      <c r="AJ924" s="465"/>
      <c r="AK924" s="465"/>
      <c r="AL924" s="20"/>
      <c r="AM924" s="20"/>
      <c r="AN924" s="593"/>
      <c r="AO924" s="20"/>
      <c r="AP924" s="276"/>
      <c r="AQ924" s="276"/>
      <c r="AR924" s="276"/>
      <c r="AS924" s="276"/>
      <c r="AT924" s="276"/>
      <c r="AU924" s="276"/>
      <c r="AV924" s="276"/>
      <c r="AW924" s="276"/>
      <c r="AX924" s="276"/>
      <c r="AY924" s="276"/>
      <c r="AZ924" s="276"/>
      <c r="BA924" s="276"/>
      <c r="BB924" s="276"/>
      <c r="BC924" s="276"/>
    </row>
    <row r="925" spans="1:55" ht="12.75" customHeight="1">
      <c r="A925" s="465"/>
      <c r="B925" s="465"/>
      <c r="C925" s="147"/>
      <c r="D925" s="147"/>
      <c r="E925" s="585"/>
      <c r="F925" s="586"/>
      <c r="G925" s="458"/>
      <c r="H925" s="458"/>
      <c r="I925" s="458"/>
      <c r="J925" s="465"/>
      <c r="K925" s="587"/>
      <c r="L925" s="465"/>
      <c r="M925" s="465"/>
      <c r="N925" s="465"/>
      <c r="O925" s="587"/>
      <c r="P925" s="585"/>
      <c r="Q925" s="465"/>
      <c r="R925" s="458"/>
      <c r="S925" s="585"/>
      <c r="T925" s="588"/>
      <c r="U925" s="589"/>
      <c r="V925" s="587"/>
      <c r="W925" s="465"/>
      <c r="X925" s="465"/>
      <c r="Y925" s="590"/>
      <c r="Z925" s="458"/>
      <c r="AA925" s="591"/>
      <c r="AB925" s="465"/>
      <c r="AC925" s="465"/>
      <c r="AD925" s="465"/>
      <c r="AE925" s="465"/>
      <c r="AF925" s="465"/>
      <c r="AG925" s="465"/>
      <c r="AH925" s="465"/>
      <c r="AI925" s="592"/>
      <c r="AJ925" s="465"/>
      <c r="AK925" s="465"/>
      <c r="AL925" s="20"/>
      <c r="AM925" s="20"/>
      <c r="AN925" s="593"/>
      <c r="AO925" s="20"/>
      <c r="AP925" s="276"/>
      <c r="AQ925" s="276"/>
      <c r="AR925" s="276"/>
      <c r="AS925" s="276"/>
      <c r="AT925" s="276"/>
      <c r="AU925" s="276"/>
      <c r="AV925" s="276"/>
      <c r="AW925" s="276"/>
      <c r="AX925" s="276"/>
      <c r="AY925" s="276"/>
      <c r="AZ925" s="276"/>
      <c r="BA925" s="276"/>
      <c r="BB925" s="276"/>
      <c r="BC925" s="276"/>
    </row>
    <row r="926" spans="1:55" ht="12.75" customHeight="1">
      <c r="A926" s="465"/>
      <c r="B926" s="465"/>
      <c r="C926" s="147"/>
      <c r="D926" s="147"/>
      <c r="E926" s="585"/>
      <c r="F926" s="586"/>
      <c r="G926" s="458"/>
      <c r="H926" s="458"/>
      <c r="I926" s="458"/>
      <c r="J926" s="465"/>
      <c r="K926" s="587"/>
      <c r="L926" s="465"/>
      <c r="M926" s="465"/>
      <c r="N926" s="465"/>
      <c r="O926" s="587"/>
      <c r="P926" s="585"/>
      <c r="Q926" s="465"/>
      <c r="R926" s="458"/>
      <c r="S926" s="585"/>
      <c r="T926" s="588"/>
      <c r="U926" s="589"/>
      <c r="V926" s="587"/>
      <c r="W926" s="465"/>
      <c r="X926" s="465"/>
      <c r="Y926" s="590"/>
      <c r="Z926" s="458"/>
      <c r="AA926" s="591"/>
      <c r="AB926" s="465"/>
      <c r="AC926" s="465"/>
      <c r="AD926" s="465"/>
      <c r="AE926" s="465"/>
      <c r="AF926" s="465"/>
      <c r="AG926" s="465"/>
      <c r="AH926" s="465"/>
      <c r="AI926" s="592"/>
      <c r="AJ926" s="465"/>
      <c r="AK926" s="465"/>
      <c r="AL926" s="20"/>
      <c r="AM926" s="20"/>
      <c r="AN926" s="593"/>
      <c r="AO926" s="20"/>
      <c r="AP926" s="276"/>
      <c r="AQ926" s="276"/>
      <c r="AR926" s="276"/>
      <c r="AS926" s="276"/>
      <c r="AT926" s="276"/>
      <c r="AU926" s="276"/>
      <c r="AV926" s="276"/>
      <c r="AW926" s="276"/>
      <c r="AX926" s="276"/>
      <c r="AY926" s="276"/>
      <c r="AZ926" s="276"/>
      <c r="BA926" s="276"/>
      <c r="BB926" s="276"/>
      <c r="BC926" s="276"/>
    </row>
    <row r="927" spans="1:55" ht="12.75" customHeight="1">
      <c r="A927" s="465"/>
      <c r="B927" s="465"/>
      <c r="C927" s="147"/>
      <c r="D927" s="147"/>
      <c r="E927" s="585"/>
      <c r="F927" s="586"/>
      <c r="G927" s="458"/>
      <c r="H927" s="458"/>
      <c r="I927" s="458"/>
      <c r="J927" s="465"/>
      <c r="K927" s="587"/>
      <c r="L927" s="465"/>
      <c r="M927" s="465"/>
      <c r="N927" s="465"/>
      <c r="O927" s="587"/>
      <c r="P927" s="585"/>
      <c r="Q927" s="465"/>
      <c r="R927" s="458"/>
      <c r="S927" s="585"/>
      <c r="T927" s="588"/>
      <c r="U927" s="589"/>
      <c r="V927" s="587"/>
      <c r="W927" s="465"/>
      <c r="X927" s="465"/>
      <c r="Y927" s="590"/>
      <c r="Z927" s="458"/>
      <c r="AA927" s="591"/>
      <c r="AB927" s="465"/>
      <c r="AC927" s="465"/>
      <c r="AD927" s="465"/>
      <c r="AE927" s="465"/>
      <c r="AF927" s="465"/>
      <c r="AG927" s="465"/>
      <c r="AH927" s="465"/>
      <c r="AI927" s="592"/>
      <c r="AJ927" s="465"/>
      <c r="AK927" s="465"/>
      <c r="AL927" s="20"/>
      <c r="AM927" s="20"/>
      <c r="AN927" s="593"/>
      <c r="AO927" s="20"/>
      <c r="AP927" s="276"/>
      <c r="AQ927" s="276"/>
      <c r="AR927" s="276"/>
      <c r="AS927" s="276"/>
      <c r="AT927" s="276"/>
      <c r="AU927" s="276"/>
      <c r="AV927" s="276"/>
      <c r="AW927" s="276"/>
      <c r="AX927" s="276"/>
      <c r="AY927" s="276"/>
      <c r="AZ927" s="276"/>
      <c r="BA927" s="276"/>
      <c r="BB927" s="276"/>
      <c r="BC927" s="276"/>
    </row>
    <row r="928" spans="1:55" ht="12.75" customHeight="1">
      <c r="A928" s="465"/>
      <c r="B928" s="465"/>
      <c r="C928" s="147"/>
      <c r="D928" s="147"/>
      <c r="E928" s="585"/>
      <c r="F928" s="586"/>
      <c r="G928" s="458"/>
      <c r="H928" s="458"/>
      <c r="I928" s="458"/>
      <c r="J928" s="465"/>
      <c r="K928" s="587"/>
      <c r="L928" s="465"/>
      <c r="M928" s="465"/>
      <c r="N928" s="465"/>
      <c r="O928" s="587"/>
      <c r="P928" s="585"/>
      <c r="Q928" s="465"/>
      <c r="R928" s="458"/>
      <c r="S928" s="585"/>
      <c r="T928" s="588"/>
      <c r="U928" s="589"/>
      <c r="V928" s="587"/>
      <c r="W928" s="465"/>
      <c r="X928" s="465"/>
      <c r="Y928" s="590"/>
      <c r="Z928" s="458"/>
      <c r="AA928" s="591"/>
      <c r="AB928" s="465"/>
      <c r="AC928" s="465"/>
      <c r="AD928" s="465"/>
      <c r="AE928" s="465"/>
      <c r="AF928" s="465"/>
      <c r="AG928" s="465"/>
      <c r="AH928" s="465"/>
      <c r="AI928" s="592"/>
      <c r="AJ928" s="465"/>
      <c r="AK928" s="465"/>
      <c r="AL928" s="20"/>
      <c r="AM928" s="20"/>
      <c r="AN928" s="593"/>
      <c r="AO928" s="20"/>
      <c r="AP928" s="276"/>
      <c r="AQ928" s="276"/>
      <c r="AR928" s="276"/>
      <c r="AS928" s="276"/>
      <c r="AT928" s="276"/>
      <c r="AU928" s="276"/>
      <c r="AV928" s="276"/>
      <c r="AW928" s="276"/>
      <c r="AX928" s="276"/>
      <c r="AY928" s="276"/>
      <c r="AZ928" s="276"/>
      <c r="BA928" s="276"/>
      <c r="BB928" s="276"/>
      <c r="BC928" s="276"/>
    </row>
    <row r="929" spans="1:55" ht="12.75" customHeight="1">
      <c r="A929" s="465"/>
      <c r="B929" s="465"/>
      <c r="C929" s="147"/>
      <c r="D929" s="147"/>
      <c r="E929" s="585"/>
      <c r="F929" s="586"/>
      <c r="G929" s="458"/>
      <c r="H929" s="458"/>
      <c r="I929" s="458"/>
      <c r="J929" s="465"/>
      <c r="K929" s="587"/>
      <c r="L929" s="465"/>
      <c r="M929" s="465"/>
      <c r="N929" s="465"/>
      <c r="O929" s="587"/>
      <c r="P929" s="585"/>
      <c r="Q929" s="465"/>
      <c r="R929" s="458"/>
      <c r="S929" s="585"/>
      <c r="T929" s="588"/>
      <c r="U929" s="589"/>
      <c r="V929" s="587"/>
      <c r="W929" s="465"/>
      <c r="X929" s="465"/>
      <c r="Y929" s="590"/>
      <c r="Z929" s="458"/>
      <c r="AA929" s="591"/>
      <c r="AB929" s="465"/>
      <c r="AC929" s="465"/>
      <c r="AD929" s="465"/>
      <c r="AE929" s="465"/>
      <c r="AF929" s="465"/>
      <c r="AG929" s="465"/>
      <c r="AH929" s="465"/>
      <c r="AI929" s="592"/>
      <c r="AJ929" s="465"/>
      <c r="AK929" s="465"/>
      <c r="AL929" s="20"/>
      <c r="AM929" s="20"/>
      <c r="AN929" s="593"/>
      <c r="AO929" s="20"/>
      <c r="AP929" s="276"/>
      <c r="AQ929" s="276"/>
      <c r="AR929" s="276"/>
      <c r="AS929" s="276"/>
      <c r="AT929" s="276"/>
      <c r="AU929" s="276"/>
      <c r="AV929" s="276"/>
      <c r="AW929" s="276"/>
      <c r="AX929" s="276"/>
      <c r="AY929" s="276"/>
      <c r="AZ929" s="276"/>
      <c r="BA929" s="276"/>
      <c r="BB929" s="276"/>
      <c r="BC929" s="276"/>
    </row>
    <row r="930" spans="1:55" ht="12.75" customHeight="1">
      <c r="A930" s="465"/>
      <c r="B930" s="465"/>
      <c r="C930" s="147"/>
      <c r="D930" s="147"/>
      <c r="E930" s="585"/>
      <c r="F930" s="586"/>
      <c r="G930" s="458"/>
      <c r="H930" s="458"/>
      <c r="I930" s="458"/>
      <c r="J930" s="465"/>
      <c r="K930" s="587"/>
      <c r="L930" s="465"/>
      <c r="M930" s="465"/>
      <c r="N930" s="465"/>
      <c r="O930" s="587"/>
      <c r="P930" s="585"/>
      <c r="Q930" s="465"/>
      <c r="R930" s="458"/>
      <c r="S930" s="585"/>
      <c r="T930" s="588"/>
      <c r="U930" s="589"/>
      <c r="V930" s="587"/>
      <c r="W930" s="465"/>
      <c r="X930" s="465"/>
      <c r="Y930" s="590"/>
      <c r="Z930" s="458"/>
      <c r="AA930" s="591"/>
      <c r="AB930" s="465"/>
      <c r="AC930" s="465"/>
      <c r="AD930" s="465"/>
      <c r="AE930" s="465"/>
      <c r="AF930" s="465"/>
      <c r="AG930" s="465"/>
      <c r="AH930" s="465"/>
      <c r="AI930" s="592"/>
      <c r="AJ930" s="465"/>
      <c r="AK930" s="465"/>
      <c r="AL930" s="20"/>
      <c r="AM930" s="20"/>
      <c r="AN930" s="593"/>
      <c r="AO930" s="20"/>
      <c r="AP930" s="276"/>
      <c r="AQ930" s="276"/>
      <c r="AR930" s="276"/>
      <c r="AS930" s="276"/>
      <c r="AT930" s="276"/>
      <c r="AU930" s="276"/>
      <c r="AV930" s="276"/>
      <c r="AW930" s="276"/>
      <c r="AX930" s="276"/>
      <c r="AY930" s="276"/>
      <c r="AZ930" s="276"/>
      <c r="BA930" s="276"/>
      <c r="BB930" s="276"/>
      <c r="BC930" s="276"/>
    </row>
    <row r="931" spans="1:55" ht="12.75" customHeight="1">
      <c r="A931" s="465"/>
      <c r="B931" s="465"/>
      <c r="C931" s="147"/>
      <c r="D931" s="147"/>
      <c r="E931" s="585"/>
      <c r="F931" s="586"/>
      <c r="G931" s="458"/>
      <c r="H931" s="458"/>
      <c r="I931" s="458"/>
      <c r="J931" s="465"/>
      <c r="K931" s="587"/>
      <c r="L931" s="465"/>
      <c r="M931" s="465"/>
      <c r="N931" s="465"/>
      <c r="O931" s="587"/>
      <c r="P931" s="585"/>
      <c r="Q931" s="465"/>
      <c r="R931" s="458"/>
      <c r="S931" s="585"/>
      <c r="T931" s="588"/>
      <c r="U931" s="589"/>
      <c r="V931" s="587"/>
      <c r="W931" s="465"/>
      <c r="X931" s="465"/>
      <c r="Y931" s="590"/>
      <c r="Z931" s="458"/>
      <c r="AA931" s="591"/>
      <c r="AB931" s="465"/>
      <c r="AC931" s="465"/>
      <c r="AD931" s="465"/>
      <c r="AE931" s="465"/>
      <c r="AF931" s="465"/>
      <c r="AG931" s="465"/>
      <c r="AH931" s="465"/>
      <c r="AI931" s="592"/>
      <c r="AJ931" s="465"/>
      <c r="AK931" s="465"/>
      <c r="AL931" s="20"/>
      <c r="AM931" s="20"/>
      <c r="AN931" s="593"/>
      <c r="AO931" s="20"/>
      <c r="AP931" s="276"/>
      <c r="AQ931" s="276"/>
      <c r="AR931" s="276"/>
      <c r="AS931" s="276"/>
      <c r="AT931" s="276"/>
      <c r="AU931" s="276"/>
      <c r="AV931" s="276"/>
      <c r="AW931" s="276"/>
      <c r="AX931" s="276"/>
      <c r="AY931" s="276"/>
      <c r="AZ931" s="276"/>
      <c r="BA931" s="276"/>
      <c r="BB931" s="276"/>
      <c r="BC931" s="276"/>
    </row>
    <row r="932" spans="1:55" ht="12.75" customHeight="1">
      <c r="A932" s="465"/>
      <c r="B932" s="465"/>
      <c r="C932" s="147"/>
      <c r="D932" s="147"/>
      <c r="E932" s="585"/>
      <c r="F932" s="586"/>
      <c r="G932" s="458"/>
      <c r="H932" s="458"/>
      <c r="I932" s="458"/>
      <c r="J932" s="465"/>
      <c r="K932" s="587"/>
      <c r="L932" s="465"/>
      <c r="M932" s="465"/>
      <c r="N932" s="465"/>
      <c r="O932" s="587"/>
      <c r="P932" s="585"/>
      <c r="Q932" s="465"/>
      <c r="R932" s="458"/>
      <c r="S932" s="585"/>
      <c r="T932" s="588"/>
      <c r="U932" s="589"/>
      <c r="V932" s="587"/>
      <c r="W932" s="465"/>
      <c r="X932" s="465"/>
      <c r="Y932" s="590"/>
      <c r="Z932" s="458"/>
      <c r="AA932" s="591"/>
      <c r="AB932" s="465"/>
      <c r="AC932" s="465"/>
      <c r="AD932" s="465"/>
      <c r="AE932" s="465"/>
      <c r="AF932" s="465"/>
      <c r="AG932" s="465"/>
      <c r="AH932" s="465"/>
      <c r="AI932" s="592"/>
      <c r="AJ932" s="465"/>
      <c r="AK932" s="465"/>
      <c r="AL932" s="20"/>
      <c r="AM932" s="20"/>
      <c r="AN932" s="593"/>
      <c r="AO932" s="20"/>
      <c r="AP932" s="276"/>
      <c r="AQ932" s="276"/>
      <c r="AR932" s="276"/>
      <c r="AS932" s="276"/>
      <c r="AT932" s="276"/>
      <c r="AU932" s="276"/>
      <c r="AV932" s="276"/>
      <c r="AW932" s="276"/>
      <c r="AX932" s="276"/>
      <c r="AY932" s="276"/>
      <c r="AZ932" s="276"/>
      <c r="BA932" s="276"/>
      <c r="BB932" s="276"/>
      <c r="BC932" s="276"/>
    </row>
    <row r="933" spans="1:55" ht="12.75" customHeight="1">
      <c r="A933" s="465"/>
      <c r="B933" s="465"/>
      <c r="C933" s="147"/>
      <c r="D933" s="147"/>
      <c r="E933" s="585"/>
      <c r="F933" s="586"/>
      <c r="G933" s="458"/>
      <c r="H933" s="458"/>
      <c r="I933" s="458"/>
      <c r="J933" s="465"/>
      <c r="K933" s="587"/>
      <c r="L933" s="465"/>
      <c r="M933" s="465"/>
      <c r="N933" s="465"/>
      <c r="O933" s="587"/>
      <c r="P933" s="585"/>
      <c r="Q933" s="465"/>
      <c r="R933" s="458"/>
      <c r="S933" s="585"/>
      <c r="T933" s="588"/>
      <c r="U933" s="589"/>
      <c r="V933" s="587"/>
      <c r="W933" s="465"/>
      <c r="X933" s="465"/>
      <c r="Y933" s="590"/>
      <c r="Z933" s="458"/>
      <c r="AA933" s="591"/>
      <c r="AB933" s="465"/>
      <c r="AC933" s="465"/>
      <c r="AD933" s="465"/>
      <c r="AE933" s="465"/>
      <c r="AF933" s="465"/>
      <c r="AG933" s="465"/>
      <c r="AH933" s="465"/>
      <c r="AI933" s="592"/>
      <c r="AJ933" s="465"/>
      <c r="AK933" s="465"/>
      <c r="AL933" s="20"/>
      <c r="AM933" s="20"/>
      <c r="AN933" s="593"/>
      <c r="AO933" s="20"/>
      <c r="AP933" s="276"/>
      <c r="AQ933" s="276"/>
      <c r="AR933" s="276"/>
      <c r="AS933" s="276"/>
      <c r="AT933" s="276"/>
      <c r="AU933" s="276"/>
      <c r="AV933" s="276"/>
      <c r="AW933" s="276"/>
      <c r="AX933" s="276"/>
      <c r="AY933" s="276"/>
      <c r="AZ933" s="276"/>
      <c r="BA933" s="276"/>
      <c r="BB933" s="276"/>
      <c r="BC933" s="276"/>
    </row>
    <row r="934" spans="1:55" ht="12.75" customHeight="1">
      <c r="A934" s="465"/>
      <c r="B934" s="465"/>
      <c r="C934" s="147"/>
      <c r="D934" s="147"/>
      <c r="E934" s="585"/>
      <c r="F934" s="586"/>
      <c r="G934" s="458"/>
      <c r="H934" s="458"/>
      <c r="I934" s="458"/>
      <c r="J934" s="465"/>
      <c r="K934" s="587"/>
      <c r="L934" s="465"/>
      <c r="M934" s="465"/>
      <c r="N934" s="465"/>
      <c r="O934" s="587"/>
      <c r="P934" s="585"/>
      <c r="Q934" s="465"/>
      <c r="R934" s="458"/>
      <c r="S934" s="585"/>
      <c r="T934" s="588"/>
      <c r="U934" s="589"/>
      <c r="V934" s="587"/>
      <c r="W934" s="465"/>
      <c r="X934" s="465"/>
      <c r="Y934" s="590"/>
      <c r="Z934" s="458"/>
      <c r="AA934" s="591"/>
      <c r="AB934" s="465"/>
      <c r="AC934" s="465"/>
      <c r="AD934" s="465"/>
      <c r="AE934" s="465"/>
      <c r="AF934" s="465"/>
      <c r="AG934" s="465"/>
      <c r="AH934" s="465"/>
      <c r="AI934" s="592"/>
      <c r="AJ934" s="465"/>
      <c r="AK934" s="465"/>
      <c r="AL934" s="20"/>
      <c r="AM934" s="20"/>
      <c r="AN934" s="593"/>
      <c r="AO934" s="20"/>
      <c r="AP934" s="276"/>
      <c r="AQ934" s="276"/>
      <c r="AR934" s="276"/>
      <c r="AS934" s="276"/>
      <c r="AT934" s="276"/>
      <c r="AU934" s="276"/>
      <c r="AV934" s="276"/>
      <c r="AW934" s="276"/>
      <c r="AX934" s="276"/>
      <c r="AY934" s="276"/>
      <c r="AZ934" s="276"/>
      <c r="BA934" s="276"/>
      <c r="BB934" s="276"/>
      <c r="BC934" s="276"/>
    </row>
    <row r="935" spans="1:55" ht="12.75" customHeight="1">
      <c r="A935" s="465"/>
      <c r="B935" s="465"/>
      <c r="C935" s="147"/>
      <c r="D935" s="147"/>
      <c r="E935" s="585"/>
      <c r="F935" s="586"/>
      <c r="G935" s="458"/>
      <c r="H935" s="458"/>
      <c r="I935" s="458"/>
      <c r="J935" s="465"/>
      <c r="K935" s="587"/>
      <c r="L935" s="465"/>
      <c r="M935" s="465"/>
      <c r="N935" s="465"/>
      <c r="O935" s="587"/>
      <c r="P935" s="585"/>
      <c r="Q935" s="465"/>
      <c r="R935" s="458"/>
      <c r="S935" s="585"/>
      <c r="T935" s="588"/>
      <c r="U935" s="589"/>
      <c r="V935" s="587"/>
      <c r="W935" s="465"/>
      <c r="X935" s="465"/>
      <c r="Y935" s="590"/>
      <c r="Z935" s="458"/>
      <c r="AA935" s="591"/>
      <c r="AB935" s="465"/>
      <c r="AC935" s="465"/>
      <c r="AD935" s="465"/>
      <c r="AE935" s="465"/>
      <c r="AF935" s="465"/>
      <c r="AG935" s="465"/>
      <c r="AH935" s="465"/>
      <c r="AI935" s="592"/>
      <c r="AJ935" s="465"/>
      <c r="AK935" s="465"/>
      <c r="AL935" s="20"/>
      <c r="AM935" s="20"/>
      <c r="AN935" s="593"/>
      <c r="AO935" s="20"/>
      <c r="AP935" s="276"/>
      <c r="AQ935" s="276"/>
      <c r="AR935" s="276"/>
      <c r="AS935" s="276"/>
      <c r="AT935" s="276"/>
      <c r="AU935" s="276"/>
      <c r="AV935" s="276"/>
      <c r="AW935" s="276"/>
      <c r="AX935" s="276"/>
      <c r="AY935" s="276"/>
      <c r="AZ935" s="276"/>
      <c r="BA935" s="276"/>
      <c r="BB935" s="276"/>
      <c r="BC935" s="276"/>
    </row>
    <row r="936" spans="1:55" ht="12.75" customHeight="1">
      <c r="A936" s="465"/>
      <c r="B936" s="465"/>
      <c r="C936" s="147"/>
      <c r="D936" s="147"/>
      <c r="E936" s="585"/>
      <c r="F936" s="586"/>
      <c r="G936" s="458"/>
      <c r="H936" s="458"/>
      <c r="I936" s="458"/>
      <c r="J936" s="465"/>
      <c r="K936" s="587"/>
      <c r="L936" s="465"/>
      <c r="M936" s="465"/>
      <c r="N936" s="465"/>
      <c r="O936" s="587"/>
      <c r="P936" s="585"/>
      <c r="Q936" s="465"/>
      <c r="R936" s="458"/>
      <c r="S936" s="585"/>
      <c r="T936" s="588"/>
      <c r="U936" s="589"/>
      <c r="V936" s="587"/>
      <c r="W936" s="465"/>
      <c r="X936" s="465"/>
      <c r="Y936" s="590"/>
      <c r="Z936" s="458"/>
      <c r="AA936" s="591"/>
      <c r="AB936" s="465"/>
      <c r="AC936" s="465"/>
      <c r="AD936" s="465"/>
      <c r="AE936" s="465"/>
      <c r="AF936" s="465"/>
      <c r="AG936" s="465"/>
      <c r="AH936" s="465"/>
      <c r="AI936" s="592"/>
      <c r="AJ936" s="465"/>
      <c r="AK936" s="465"/>
      <c r="AL936" s="20"/>
      <c r="AM936" s="20"/>
      <c r="AN936" s="593"/>
      <c r="AO936" s="20"/>
      <c r="AP936" s="276"/>
      <c r="AQ936" s="276"/>
      <c r="AR936" s="276"/>
      <c r="AS936" s="276"/>
      <c r="AT936" s="276"/>
      <c r="AU936" s="276"/>
      <c r="AV936" s="276"/>
      <c r="AW936" s="276"/>
      <c r="AX936" s="276"/>
      <c r="AY936" s="276"/>
      <c r="AZ936" s="276"/>
      <c r="BA936" s="276"/>
      <c r="BB936" s="276"/>
      <c r="BC936" s="276"/>
    </row>
    <row r="937" spans="1:55" ht="12.75" customHeight="1">
      <c r="A937" s="465"/>
      <c r="B937" s="465"/>
      <c r="C937" s="147"/>
      <c r="D937" s="147"/>
      <c r="E937" s="585"/>
      <c r="F937" s="586"/>
      <c r="G937" s="458"/>
      <c r="H937" s="458"/>
      <c r="I937" s="458"/>
      <c r="J937" s="465"/>
      <c r="K937" s="587"/>
      <c r="L937" s="465"/>
      <c r="M937" s="465"/>
      <c r="N937" s="465"/>
      <c r="O937" s="587"/>
      <c r="P937" s="585"/>
      <c r="Q937" s="465"/>
      <c r="R937" s="458"/>
      <c r="S937" s="585"/>
      <c r="T937" s="588"/>
      <c r="U937" s="589"/>
      <c r="V937" s="587"/>
      <c r="W937" s="465"/>
      <c r="X937" s="465"/>
      <c r="Y937" s="590"/>
      <c r="Z937" s="458"/>
      <c r="AA937" s="591"/>
      <c r="AB937" s="465"/>
      <c r="AC937" s="465"/>
      <c r="AD937" s="465"/>
      <c r="AE937" s="465"/>
      <c r="AF937" s="465"/>
      <c r="AG937" s="465"/>
      <c r="AH937" s="465"/>
      <c r="AI937" s="592"/>
      <c r="AJ937" s="465"/>
      <c r="AK937" s="465"/>
      <c r="AL937" s="20"/>
      <c r="AM937" s="20"/>
      <c r="AN937" s="593"/>
      <c r="AO937" s="20"/>
      <c r="AP937" s="276"/>
      <c r="AQ937" s="276"/>
      <c r="AR937" s="276"/>
      <c r="AS937" s="276"/>
      <c r="AT937" s="276"/>
      <c r="AU937" s="276"/>
      <c r="AV937" s="276"/>
      <c r="AW937" s="276"/>
      <c r="AX937" s="276"/>
      <c r="AY937" s="276"/>
      <c r="AZ937" s="276"/>
      <c r="BA937" s="276"/>
      <c r="BB937" s="276"/>
      <c r="BC937" s="276"/>
    </row>
    <row r="938" spans="1:55" ht="12.75" customHeight="1">
      <c r="A938" s="465"/>
      <c r="B938" s="465"/>
      <c r="C938" s="147"/>
      <c r="D938" s="147"/>
      <c r="E938" s="585"/>
      <c r="F938" s="586"/>
      <c r="G938" s="458"/>
      <c r="H938" s="458"/>
      <c r="I938" s="458"/>
      <c r="J938" s="465"/>
      <c r="K938" s="587"/>
      <c r="L938" s="465"/>
      <c r="M938" s="465"/>
      <c r="N938" s="465"/>
      <c r="O938" s="587"/>
      <c r="P938" s="585"/>
      <c r="Q938" s="465"/>
      <c r="R938" s="458"/>
      <c r="S938" s="585"/>
      <c r="T938" s="588"/>
      <c r="U938" s="589"/>
      <c r="V938" s="587"/>
      <c r="W938" s="465"/>
      <c r="X938" s="465"/>
      <c r="Y938" s="590"/>
      <c r="Z938" s="458"/>
      <c r="AA938" s="591"/>
      <c r="AB938" s="465"/>
      <c r="AC938" s="465"/>
      <c r="AD938" s="465"/>
      <c r="AE938" s="465"/>
      <c r="AF938" s="465"/>
      <c r="AG938" s="465"/>
      <c r="AH938" s="465"/>
      <c r="AI938" s="592"/>
      <c r="AJ938" s="465"/>
      <c r="AK938" s="465"/>
      <c r="AL938" s="20"/>
      <c r="AM938" s="20"/>
      <c r="AN938" s="593"/>
      <c r="AO938" s="20"/>
      <c r="AP938" s="276"/>
      <c r="AQ938" s="276"/>
      <c r="AR938" s="276"/>
      <c r="AS938" s="276"/>
      <c r="AT938" s="276"/>
      <c r="AU938" s="276"/>
      <c r="AV938" s="276"/>
      <c r="AW938" s="276"/>
      <c r="AX938" s="276"/>
      <c r="AY938" s="276"/>
      <c r="AZ938" s="276"/>
      <c r="BA938" s="276"/>
      <c r="BB938" s="276"/>
      <c r="BC938" s="276"/>
    </row>
    <row r="939" spans="1:55" ht="12.75" customHeight="1">
      <c r="A939" s="465"/>
      <c r="B939" s="465"/>
      <c r="C939" s="147"/>
      <c r="D939" s="147"/>
      <c r="E939" s="585"/>
      <c r="F939" s="586"/>
      <c r="G939" s="458"/>
      <c r="H939" s="458"/>
      <c r="I939" s="458"/>
      <c r="J939" s="465"/>
      <c r="K939" s="587"/>
      <c r="L939" s="465"/>
      <c r="M939" s="465"/>
      <c r="N939" s="465"/>
      <c r="O939" s="587"/>
      <c r="P939" s="585"/>
      <c r="Q939" s="465"/>
      <c r="R939" s="458"/>
      <c r="S939" s="585"/>
      <c r="T939" s="588"/>
      <c r="U939" s="589"/>
      <c r="V939" s="587"/>
      <c r="W939" s="465"/>
      <c r="X939" s="465"/>
      <c r="Y939" s="590"/>
      <c r="Z939" s="458"/>
      <c r="AA939" s="591"/>
      <c r="AB939" s="465"/>
      <c r="AC939" s="465"/>
      <c r="AD939" s="465"/>
      <c r="AE939" s="465"/>
      <c r="AF939" s="465"/>
      <c r="AG939" s="465"/>
      <c r="AH939" s="465"/>
      <c r="AI939" s="592"/>
      <c r="AJ939" s="465"/>
      <c r="AK939" s="465"/>
      <c r="AL939" s="20"/>
      <c r="AM939" s="20"/>
      <c r="AN939" s="593"/>
      <c r="AO939" s="20"/>
      <c r="AP939" s="276"/>
      <c r="AQ939" s="276"/>
      <c r="AR939" s="276"/>
      <c r="AS939" s="276"/>
      <c r="AT939" s="276"/>
      <c r="AU939" s="276"/>
      <c r="AV939" s="276"/>
      <c r="AW939" s="276"/>
      <c r="AX939" s="276"/>
      <c r="AY939" s="276"/>
      <c r="AZ939" s="276"/>
      <c r="BA939" s="276"/>
      <c r="BB939" s="276"/>
      <c r="BC939" s="276"/>
    </row>
    <row r="940" spans="1:55" ht="12.75" customHeight="1">
      <c r="A940" s="465"/>
      <c r="B940" s="465"/>
      <c r="C940" s="147"/>
      <c r="D940" s="147"/>
      <c r="E940" s="585"/>
      <c r="F940" s="586"/>
      <c r="G940" s="458"/>
      <c r="H940" s="458"/>
      <c r="I940" s="458"/>
      <c r="J940" s="465"/>
      <c r="K940" s="587"/>
      <c r="L940" s="465"/>
      <c r="M940" s="465"/>
      <c r="N940" s="465"/>
      <c r="O940" s="587"/>
      <c r="P940" s="585"/>
      <c r="Q940" s="465"/>
      <c r="R940" s="458"/>
      <c r="S940" s="585"/>
      <c r="T940" s="588"/>
      <c r="U940" s="589"/>
      <c r="V940" s="587"/>
      <c r="W940" s="465"/>
      <c r="X940" s="465"/>
      <c r="Y940" s="590"/>
      <c r="Z940" s="458"/>
      <c r="AA940" s="591"/>
      <c r="AB940" s="465"/>
      <c r="AC940" s="465"/>
      <c r="AD940" s="465"/>
      <c r="AE940" s="465"/>
      <c r="AF940" s="465"/>
      <c r="AG940" s="465"/>
      <c r="AH940" s="465"/>
      <c r="AI940" s="592"/>
      <c r="AJ940" s="465"/>
      <c r="AK940" s="465"/>
      <c r="AL940" s="20"/>
      <c r="AM940" s="20"/>
      <c r="AN940" s="593"/>
      <c r="AO940" s="20"/>
      <c r="AP940" s="276"/>
      <c r="AQ940" s="276"/>
      <c r="AR940" s="276"/>
      <c r="AS940" s="276"/>
      <c r="AT940" s="276"/>
      <c r="AU940" s="276"/>
      <c r="AV940" s="276"/>
      <c r="AW940" s="276"/>
      <c r="AX940" s="276"/>
      <c r="AY940" s="276"/>
      <c r="AZ940" s="276"/>
      <c r="BA940" s="276"/>
      <c r="BB940" s="276"/>
      <c r="BC940" s="276"/>
    </row>
    <row r="941" spans="1:55" ht="12.75" customHeight="1">
      <c r="A941" s="465"/>
      <c r="B941" s="465"/>
      <c r="C941" s="147"/>
      <c r="D941" s="147"/>
      <c r="E941" s="585"/>
      <c r="F941" s="586"/>
      <c r="G941" s="458"/>
      <c r="H941" s="458"/>
      <c r="I941" s="458"/>
      <c r="J941" s="465"/>
      <c r="K941" s="587"/>
      <c r="L941" s="465"/>
      <c r="M941" s="465"/>
      <c r="N941" s="465"/>
      <c r="O941" s="587"/>
      <c r="P941" s="585"/>
      <c r="Q941" s="465"/>
      <c r="R941" s="458"/>
      <c r="S941" s="585"/>
      <c r="T941" s="588"/>
      <c r="U941" s="589"/>
      <c r="V941" s="587"/>
      <c r="W941" s="465"/>
      <c r="X941" s="465"/>
      <c r="Y941" s="590"/>
      <c r="Z941" s="458"/>
      <c r="AA941" s="591"/>
      <c r="AB941" s="465"/>
      <c r="AC941" s="465"/>
      <c r="AD941" s="465"/>
      <c r="AE941" s="465"/>
      <c r="AF941" s="465"/>
      <c r="AG941" s="465"/>
      <c r="AH941" s="465"/>
      <c r="AI941" s="592"/>
      <c r="AJ941" s="465"/>
      <c r="AK941" s="465"/>
      <c r="AL941" s="20"/>
      <c r="AM941" s="20"/>
      <c r="AN941" s="593"/>
      <c r="AO941" s="20"/>
      <c r="AP941" s="276"/>
      <c r="AQ941" s="276"/>
      <c r="AR941" s="276"/>
      <c r="AS941" s="276"/>
      <c r="AT941" s="276"/>
      <c r="AU941" s="276"/>
      <c r="AV941" s="276"/>
      <c r="AW941" s="276"/>
      <c r="AX941" s="276"/>
      <c r="AY941" s="276"/>
      <c r="AZ941" s="276"/>
      <c r="BA941" s="276"/>
      <c r="BB941" s="276"/>
      <c r="BC941" s="276"/>
    </row>
    <row r="942" spans="1:55" ht="12.75" customHeight="1">
      <c r="A942" s="465"/>
      <c r="B942" s="465"/>
      <c r="C942" s="147"/>
      <c r="D942" s="147"/>
      <c r="E942" s="585"/>
      <c r="F942" s="586"/>
      <c r="G942" s="458"/>
      <c r="H942" s="458"/>
      <c r="I942" s="458"/>
      <c r="J942" s="465"/>
      <c r="K942" s="587"/>
      <c r="L942" s="465"/>
      <c r="M942" s="465"/>
      <c r="N942" s="465"/>
      <c r="O942" s="587"/>
      <c r="P942" s="585"/>
      <c r="Q942" s="465"/>
      <c r="R942" s="458"/>
      <c r="S942" s="585"/>
      <c r="T942" s="588"/>
      <c r="U942" s="589"/>
      <c r="V942" s="587"/>
      <c r="W942" s="465"/>
      <c r="X942" s="465"/>
      <c r="Y942" s="590"/>
      <c r="Z942" s="458"/>
      <c r="AA942" s="591"/>
      <c r="AB942" s="465"/>
      <c r="AC942" s="465"/>
      <c r="AD942" s="465"/>
      <c r="AE942" s="465"/>
      <c r="AF942" s="465"/>
      <c r="AG942" s="465"/>
      <c r="AH942" s="465"/>
      <c r="AI942" s="592"/>
      <c r="AJ942" s="465"/>
      <c r="AK942" s="465"/>
      <c r="AL942" s="20"/>
      <c r="AM942" s="20"/>
      <c r="AN942" s="593"/>
      <c r="AO942" s="20"/>
      <c r="AP942" s="276"/>
      <c r="AQ942" s="276"/>
      <c r="AR942" s="276"/>
      <c r="AS942" s="276"/>
      <c r="AT942" s="276"/>
      <c r="AU942" s="276"/>
      <c r="AV942" s="276"/>
      <c r="AW942" s="276"/>
      <c r="AX942" s="276"/>
      <c r="AY942" s="276"/>
      <c r="AZ942" s="276"/>
      <c r="BA942" s="276"/>
      <c r="BB942" s="276"/>
      <c r="BC942" s="276"/>
    </row>
    <row r="943" spans="1:55" ht="12.75" customHeight="1">
      <c r="A943" s="465"/>
      <c r="B943" s="465"/>
      <c r="C943" s="147"/>
      <c r="D943" s="147"/>
      <c r="E943" s="585"/>
      <c r="F943" s="586"/>
      <c r="G943" s="458"/>
      <c r="H943" s="458"/>
      <c r="I943" s="458"/>
      <c r="J943" s="465"/>
      <c r="K943" s="587"/>
      <c r="L943" s="465"/>
      <c r="M943" s="465"/>
      <c r="N943" s="465"/>
      <c r="O943" s="587"/>
      <c r="P943" s="585"/>
      <c r="Q943" s="465"/>
      <c r="R943" s="458"/>
      <c r="S943" s="585"/>
      <c r="T943" s="588"/>
      <c r="U943" s="589"/>
      <c r="V943" s="587"/>
      <c r="W943" s="465"/>
      <c r="X943" s="465"/>
      <c r="Y943" s="590"/>
      <c r="Z943" s="458"/>
      <c r="AA943" s="591"/>
      <c r="AB943" s="465"/>
      <c r="AC943" s="465"/>
      <c r="AD943" s="465"/>
      <c r="AE943" s="465"/>
      <c r="AF943" s="465"/>
      <c r="AG943" s="465"/>
      <c r="AH943" s="465"/>
      <c r="AI943" s="592"/>
      <c r="AJ943" s="465"/>
      <c r="AK943" s="465"/>
      <c r="AL943" s="20"/>
      <c r="AM943" s="20"/>
      <c r="AN943" s="593"/>
      <c r="AO943" s="20"/>
      <c r="AP943" s="276"/>
      <c r="AQ943" s="276"/>
      <c r="AR943" s="276"/>
      <c r="AS943" s="276"/>
      <c r="AT943" s="276"/>
      <c r="AU943" s="276"/>
      <c r="AV943" s="276"/>
      <c r="AW943" s="276"/>
      <c r="AX943" s="276"/>
      <c r="AY943" s="276"/>
      <c r="AZ943" s="276"/>
      <c r="BA943" s="276"/>
      <c r="BB943" s="276"/>
      <c r="BC943" s="276"/>
    </row>
    <row r="944" spans="1:55" ht="12.75" customHeight="1">
      <c r="A944" s="465"/>
      <c r="B944" s="465"/>
      <c r="C944" s="147"/>
      <c r="D944" s="147"/>
      <c r="E944" s="585"/>
      <c r="F944" s="586"/>
      <c r="G944" s="458"/>
      <c r="H944" s="458"/>
      <c r="I944" s="458"/>
      <c r="J944" s="465"/>
      <c r="K944" s="587"/>
      <c r="L944" s="465"/>
      <c r="M944" s="465"/>
      <c r="N944" s="465"/>
      <c r="O944" s="587"/>
      <c r="P944" s="585"/>
      <c r="Q944" s="465"/>
      <c r="R944" s="458"/>
      <c r="S944" s="585"/>
      <c r="T944" s="588"/>
      <c r="U944" s="589"/>
      <c r="V944" s="587"/>
      <c r="W944" s="465"/>
      <c r="X944" s="465"/>
      <c r="Y944" s="590"/>
      <c r="Z944" s="458"/>
      <c r="AA944" s="591"/>
      <c r="AB944" s="465"/>
      <c r="AC944" s="465"/>
      <c r="AD944" s="465"/>
      <c r="AE944" s="465"/>
      <c r="AF944" s="465"/>
      <c r="AG944" s="465"/>
      <c r="AH944" s="465"/>
      <c r="AI944" s="592"/>
      <c r="AJ944" s="465"/>
      <c r="AK944" s="465"/>
      <c r="AL944" s="20"/>
      <c r="AM944" s="20"/>
      <c r="AN944" s="593"/>
      <c r="AO944" s="20"/>
      <c r="AP944" s="276"/>
      <c r="AQ944" s="276"/>
      <c r="AR944" s="276"/>
      <c r="AS944" s="276"/>
      <c r="AT944" s="276"/>
      <c r="AU944" s="276"/>
      <c r="AV944" s="276"/>
      <c r="AW944" s="276"/>
      <c r="AX944" s="276"/>
      <c r="AY944" s="276"/>
      <c r="AZ944" s="276"/>
      <c r="BA944" s="276"/>
      <c r="BB944" s="276"/>
      <c r="BC944" s="276"/>
    </row>
    <row r="945" spans="1:55" ht="12.75" customHeight="1">
      <c r="A945" s="465"/>
      <c r="B945" s="465"/>
      <c r="C945" s="147"/>
      <c r="D945" s="147"/>
      <c r="E945" s="585"/>
      <c r="F945" s="586"/>
      <c r="G945" s="458"/>
      <c r="H945" s="458"/>
      <c r="I945" s="458"/>
      <c r="J945" s="465"/>
      <c r="K945" s="587"/>
      <c r="L945" s="465"/>
      <c r="M945" s="465"/>
      <c r="N945" s="465"/>
      <c r="O945" s="587"/>
      <c r="P945" s="585"/>
      <c r="Q945" s="465"/>
      <c r="R945" s="458"/>
      <c r="S945" s="585"/>
      <c r="T945" s="588"/>
      <c r="U945" s="589"/>
      <c r="V945" s="587"/>
      <c r="W945" s="465"/>
      <c r="X945" s="465"/>
      <c r="Y945" s="590"/>
      <c r="Z945" s="458"/>
      <c r="AA945" s="591"/>
      <c r="AB945" s="465"/>
      <c r="AC945" s="465"/>
      <c r="AD945" s="465"/>
      <c r="AE945" s="465"/>
      <c r="AF945" s="465"/>
      <c r="AG945" s="465"/>
      <c r="AH945" s="465"/>
      <c r="AI945" s="592"/>
      <c r="AJ945" s="465"/>
      <c r="AK945" s="465"/>
      <c r="AL945" s="20"/>
      <c r="AM945" s="20"/>
      <c r="AN945" s="593"/>
      <c r="AO945" s="20"/>
      <c r="AP945" s="276"/>
      <c r="AQ945" s="276"/>
      <c r="AR945" s="276"/>
      <c r="AS945" s="276"/>
      <c r="AT945" s="276"/>
      <c r="AU945" s="276"/>
      <c r="AV945" s="276"/>
      <c r="AW945" s="276"/>
      <c r="AX945" s="276"/>
      <c r="AY945" s="276"/>
      <c r="AZ945" s="276"/>
      <c r="BA945" s="276"/>
      <c r="BB945" s="276"/>
      <c r="BC945" s="276"/>
    </row>
    <row r="946" spans="1:55" ht="12.75" customHeight="1">
      <c r="A946" s="465"/>
      <c r="B946" s="465"/>
      <c r="C946" s="147"/>
      <c r="D946" s="147"/>
      <c r="E946" s="585"/>
      <c r="F946" s="586"/>
      <c r="G946" s="458"/>
      <c r="H946" s="458"/>
      <c r="I946" s="458"/>
      <c r="J946" s="465"/>
      <c r="K946" s="587"/>
      <c r="L946" s="465"/>
      <c r="M946" s="465"/>
      <c r="N946" s="465"/>
      <c r="O946" s="587"/>
      <c r="P946" s="585"/>
      <c r="Q946" s="465"/>
      <c r="R946" s="458"/>
      <c r="S946" s="585"/>
      <c r="T946" s="588"/>
      <c r="U946" s="589"/>
      <c r="V946" s="587"/>
      <c r="W946" s="465"/>
      <c r="X946" s="465"/>
      <c r="Y946" s="590"/>
      <c r="Z946" s="458"/>
      <c r="AA946" s="591"/>
      <c r="AB946" s="465"/>
      <c r="AC946" s="465"/>
      <c r="AD946" s="465"/>
      <c r="AE946" s="465"/>
      <c r="AF946" s="465"/>
      <c r="AG946" s="465"/>
      <c r="AH946" s="465"/>
      <c r="AI946" s="592"/>
      <c r="AJ946" s="465"/>
      <c r="AK946" s="465"/>
      <c r="AL946" s="20"/>
      <c r="AM946" s="20"/>
      <c r="AN946" s="593"/>
      <c r="AO946" s="20"/>
      <c r="AP946" s="276"/>
      <c r="AQ946" s="276"/>
      <c r="AR946" s="276"/>
      <c r="AS946" s="276"/>
      <c r="AT946" s="276"/>
      <c r="AU946" s="276"/>
      <c r="AV946" s="276"/>
      <c r="AW946" s="276"/>
      <c r="AX946" s="276"/>
      <c r="AY946" s="276"/>
      <c r="AZ946" s="276"/>
      <c r="BA946" s="276"/>
      <c r="BB946" s="276"/>
      <c r="BC946" s="276"/>
    </row>
    <row r="947" spans="1:55" ht="12.75" customHeight="1">
      <c r="A947" s="465"/>
      <c r="B947" s="465"/>
      <c r="C947" s="147"/>
      <c r="D947" s="147"/>
      <c r="E947" s="585"/>
      <c r="F947" s="586"/>
      <c r="G947" s="458"/>
      <c r="H947" s="458"/>
      <c r="I947" s="458"/>
      <c r="J947" s="465"/>
      <c r="K947" s="587"/>
      <c r="L947" s="465"/>
      <c r="M947" s="465"/>
      <c r="N947" s="465"/>
      <c r="O947" s="587"/>
      <c r="P947" s="585"/>
      <c r="Q947" s="465"/>
      <c r="R947" s="458"/>
      <c r="S947" s="585"/>
      <c r="T947" s="588"/>
      <c r="U947" s="589"/>
      <c r="V947" s="587"/>
      <c r="W947" s="465"/>
      <c r="X947" s="465"/>
      <c r="Y947" s="590"/>
      <c r="Z947" s="458"/>
      <c r="AA947" s="591"/>
      <c r="AB947" s="465"/>
      <c r="AC947" s="465"/>
      <c r="AD947" s="465"/>
      <c r="AE947" s="465"/>
      <c r="AF947" s="465"/>
      <c r="AG947" s="465"/>
      <c r="AH947" s="465"/>
      <c r="AI947" s="592"/>
      <c r="AJ947" s="465"/>
      <c r="AK947" s="465"/>
      <c r="AL947" s="20"/>
      <c r="AM947" s="20"/>
      <c r="AN947" s="593"/>
      <c r="AO947" s="20"/>
      <c r="AP947" s="276"/>
      <c r="AQ947" s="276"/>
      <c r="AR947" s="276"/>
      <c r="AS947" s="276"/>
      <c r="AT947" s="276"/>
      <c r="AU947" s="276"/>
      <c r="AV947" s="276"/>
      <c r="AW947" s="276"/>
      <c r="AX947" s="276"/>
      <c r="AY947" s="276"/>
      <c r="AZ947" s="276"/>
      <c r="BA947" s="276"/>
      <c r="BB947" s="276"/>
      <c r="BC947" s="276"/>
    </row>
    <row r="948" spans="1:55" ht="12.75" customHeight="1">
      <c r="A948" s="465"/>
      <c r="B948" s="465"/>
      <c r="C948" s="147"/>
      <c r="D948" s="147"/>
      <c r="E948" s="585"/>
      <c r="F948" s="586"/>
      <c r="G948" s="458"/>
      <c r="H948" s="458"/>
      <c r="I948" s="458"/>
      <c r="J948" s="465"/>
      <c r="K948" s="587"/>
      <c r="L948" s="465"/>
      <c r="M948" s="465"/>
      <c r="N948" s="465"/>
      <c r="O948" s="587"/>
      <c r="P948" s="585"/>
      <c r="Q948" s="465"/>
      <c r="R948" s="458"/>
      <c r="S948" s="585"/>
      <c r="T948" s="588"/>
      <c r="U948" s="589"/>
      <c r="V948" s="587"/>
      <c r="W948" s="465"/>
      <c r="X948" s="465"/>
      <c r="Y948" s="590"/>
      <c r="Z948" s="458"/>
      <c r="AA948" s="591"/>
      <c r="AB948" s="465"/>
      <c r="AC948" s="465"/>
      <c r="AD948" s="465"/>
      <c r="AE948" s="465"/>
      <c r="AF948" s="465"/>
      <c r="AG948" s="465"/>
      <c r="AH948" s="465"/>
      <c r="AI948" s="592"/>
      <c r="AJ948" s="465"/>
      <c r="AK948" s="465"/>
      <c r="AL948" s="20"/>
      <c r="AM948" s="20"/>
      <c r="AN948" s="593"/>
      <c r="AO948" s="20"/>
      <c r="AP948" s="276"/>
      <c r="AQ948" s="276"/>
      <c r="AR948" s="276"/>
      <c r="AS948" s="276"/>
      <c r="AT948" s="276"/>
      <c r="AU948" s="276"/>
      <c r="AV948" s="276"/>
      <c r="AW948" s="276"/>
      <c r="AX948" s="276"/>
      <c r="AY948" s="276"/>
      <c r="AZ948" s="276"/>
      <c r="BA948" s="276"/>
      <c r="BB948" s="276"/>
      <c r="BC948" s="276"/>
    </row>
    <row r="949" spans="1:55" ht="12.75" customHeight="1">
      <c r="A949" s="465"/>
      <c r="B949" s="465"/>
      <c r="C949" s="147"/>
      <c r="D949" s="147"/>
      <c r="E949" s="585"/>
      <c r="F949" s="586"/>
      <c r="G949" s="458"/>
      <c r="H949" s="458"/>
      <c r="I949" s="458"/>
      <c r="J949" s="465"/>
      <c r="K949" s="587"/>
      <c r="L949" s="465"/>
      <c r="M949" s="465"/>
      <c r="N949" s="465"/>
      <c r="O949" s="587"/>
      <c r="P949" s="585"/>
      <c r="Q949" s="465"/>
      <c r="R949" s="458"/>
      <c r="S949" s="585"/>
      <c r="T949" s="588"/>
      <c r="U949" s="589"/>
      <c r="V949" s="587"/>
      <c r="W949" s="465"/>
      <c r="X949" s="465"/>
      <c r="Y949" s="590"/>
      <c r="Z949" s="458"/>
      <c r="AA949" s="591"/>
      <c r="AB949" s="465"/>
      <c r="AC949" s="465"/>
      <c r="AD949" s="465"/>
      <c r="AE949" s="465"/>
      <c r="AF949" s="465"/>
      <c r="AG949" s="465"/>
      <c r="AH949" s="465"/>
      <c r="AI949" s="592"/>
      <c r="AJ949" s="465"/>
      <c r="AK949" s="465"/>
      <c r="AL949" s="20"/>
      <c r="AM949" s="20"/>
      <c r="AN949" s="593"/>
      <c r="AO949" s="20"/>
      <c r="AP949" s="276"/>
      <c r="AQ949" s="276"/>
      <c r="AR949" s="276"/>
      <c r="AS949" s="276"/>
      <c r="AT949" s="276"/>
      <c r="AU949" s="276"/>
      <c r="AV949" s="276"/>
      <c r="AW949" s="276"/>
      <c r="AX949" s="276"/>
      <c r="AY949" s="276"/>
      <c r="AZ949" s="276"/>
      <c r="BA949" s="276"/>
      <c r="BB949" s="276"/>
      <c r="BC949" s="276"/>
    </row>
    <row r="950" spans="1:55" ht="12.75" customHeight="1">
      <c r="A950" s="465"/>
      <c r="B950" s="465"/>
      <c r="C950" s="147"/>
      <c r="D950" s="147"/>
      <c r="E950" s="585"/>
      <c r="F950" s="586"/>
      <c r="G950" s="458"/>
      <c r="H950" s="458"/>
      <c r="I950" s="458"/>
      <c r="J950" s="465"/>
      <c r="K950" s="587"/>
      <c r="L950" s="465"/>
      <c r="M950" s="465"/>
      <c r="N950" s="465"/>
      <c r="O950" s="587"/>
      <c r="P950" s="585"/>
      <c r="Q950" s="465"/>
      <c r="R950" s="458"/>
      <c r="S950" s="585"/>
      <c r="T950" s="588"/>
      <c r="U950" s="589"/>
      <c r="V950" s="587"/>
      <c r="W950" s="465"/>
      <c r="X950" s="465"/>
      <c r="Y950" s="590"/>
      <c r="Z950" s="458"/>
      <c r="AA950" s="591"/>
      <c r="AB950" s="465"/>
      <c r="AC950" s="465"/>
      <c r="AD950" s="465"/>
      <c r="AE950" s="465"/>
      <c r="AF950" s="465"/>
      <c r="AG950" s="465"/>
      <c r="AH950" s="465"/>
      <c r="AI950" s="592"/>
      <c r="AJ950" s="465"/>
      <c r="AK950" s="465"/>
      <c r="AL950" s="20"/>
      <c r="AM950" s="20"/>
      <c r="AN950" s="593"/>
      <c r="AO950" s="20"/>
      <c r="AP950" s="276"/>
      <c r="AQ950" s="276"/>
      <c r="AR950" s="276"/>
      <c r="AS950" s="276"/>
      <c r="AT950" s="276"/>
      <c r="AU950" s="276"/>
      <c r="AV950" s="276"/>
      <c r="AW950" s="276"/>
      <c r="AX950" s="276"/>
      <c r="AY950" s="276"/>
      <c r="AZ950" s="276"/>
      <c r="BA950" s="276"/>
      <c r="BB950" s="276"/>
      <c r="BC950" s="276"/>
    </row>
    <row r="951" spans="1:55" ht="12.75" customHeight="1">
      <c r="A951" s="465"/>
      <c r="B951" s="465"/>
      <c r="C951" s="147"/>
      <c r="D951" s="147"/>
      <c r="E951" s="585"/>
      <c r="F951" s="586"/>
      <c r="G951" s="458"/>
      <c r="H951" s="458"/>
      <c r="I951" s="458"/>
      <c r="J951" s="465"/>
      <c r="K951" s="587"/>
      <c r="L951" s="465"/>
      <c r="M951" s="465"/>
      <c r="N951" s="465"/>
      <c r="O951" s="587"/>
      <c r="P951" s="585"/>
      <c r="Q951" s="465"/>
      <c r="R951" s="458"/>
      <c r="S951" s="585"/>
      <c r="T951" s="588"/>
      <c r="U951" s="589"/>
      <c r="V951" s="587"/>
      <c r="W951" s="465"/>
      <c r="X951" s="465"/>
      <c r="Y951" s="590"/>
      <c r="Z951" s="458"/>
      <c r="AA951" s="591"/>
      <c r="AB951" s="465"/>
      <c r="AC951" s="465"/>
      <c r="AD951" s="465"/>
      <c r="AE951" s="465"/>
      <c r="AF951" s="465"/>
      <c r="AG951" s="465"/>
      <c r="AH951" s="465"/>
      <c r="AI951" s="592"/>
      <c r="AJ951" s="465"/>
      <c r="AK951" s="465"/>
      <c r="AL951" s="20"/>
      <c r="AM951" s="20"/>
      <c r="AN951" s="593"/>
      <c r="AO951" s="20"/>
      <c r="AP951" s="276"/>
      <c r="AQ951" s="276"/>
      <c r="AR951" s="276"/>
      <c r="AS951" s="276"/>
      <c r="AT951" s="276"/>
      <c r="AU951" s="276"/>
      <c r="AV951" s="276"/>
      <c r="AW951" s="276"/>
      <c r="AX951" s="276"/>
      <c r="AY951" s="276"/>
      <c r="AZ951" s="276"/>
      <c r="BA951" s="276"/>
      <c r="BB951" s="276"/>
      <c r="BC951" s="276"/>
    </row>
    <row r="952" spans="1:55" ht="12.75" customHeight="1">
      <c r="A952" s="465"/>
      <c r="B952" s="465"/>
      <c r="C952" s="147"/>
      <c r="D952" s="147"/>
      <c r="E952" s="585"/>
      <c r="F952" s="586"/>
      <c r="G952" s="458"/>
      <c r="H952" s="458"/>
      <c r="I952" s="458"/>
      <c r="J952" s="465"/>
      <c r="K952" s="587"/>
      <c r="L952" s="465"/>
      <c r="M952" s="465"/>
      <c r="N952" s="465"/>
      <c r="O952" s="587"/>
      <c r="P952" s="585"/>
      <c r="Q952" s="465"/>
      <c r="R952" s="458"/>
      <c r="S952" s="585"/>
      <c r="T952" s="588"/>
      <c r="U952" s="589"/>
      <c r="V952" s="587"/>
      <c r="W952" s="465"/>
      <c r="X952" s="465"/>
      <c r="Y952" s="590"/>
      <c r="Z952" s="458"/>
      <c r="AA952" s="591"/>
      <c r="AB952" s="465"/>
      <c r="AC952" s="465"/>
      <c r="AD952" s="465"/>
      <c r="AE952" s="465"/>
      <c r="AF952" s="465"/>
      <c r="AG952" s="465"/>
      <c r="AH952" s="465"/>
      <c r="AI952" s="592"/>
      <c r="AJ952" s="465"/>
      <c r="AK952" s="465"/>
      <c r="AL952" s="20"/>
      <c r="AM952" s="20"/>
      <c r="AN952" s="593"/>
      <c r="AO952" s="20"/>
      <c r="AP952" s="276"/>
      <c r="AQ952" s="276"/>
      <c r="AR952" s="276"/>
      <c r="AS952" s="276"/>
      <c r="AT952" s="276"/>
      <c r="AU952" s="276"/>
      <c r="AV952" s="276"/>
      <c r="AW952" s="276"/>
      <c r="AX952" s="276"/>
      <c r="AY952" s="276"/>
      <c r="AZ952" s="276"/>
      <c r="BA952" s="276"/>
      <c r="BB952" s="276"/>
      <c r="BC952" s="276"/>
    </row>
    <row r="953" spans="1:55" ht="12.75" customHeight="1">
      <c r="A953" s="465"/>
      <c r="B953" s="465"/>
      <c r="C953" s="147"/>
      <c r="D953" s="147"/>
      <c r="E953" s="585"/>
      <c r="F953" s="586"/>
      <c r="G953" s="458"/>
      <c r="H953" s="458"/>
      <c r="I953" s="458"/>
      <c r="J953" s="465"/>
      <c r="K953" s="587"/>
      <c r="L953" s="465"/>
      <c r="M953" s="465"/>
      <c r="N953" s="465"/>
      <c r="O953" s="587"/>
      <c r="P953" s="585"/>
      <c r="Q953" s="465"/>
      <c r="R953" s="458"/>
      <c r="S953" s="585"/>
      <c r="T953" s="588"/>
      <c r="U953" s="589"/>
      <c r="V953" s="587"/>
      <c r="W953" s="465"/>
      <c r="X953" s="465"/>
      <c r="Y953" s="590"/>
      <c r="Z953" s="458"/>
      <c r="AA953" s="591"/>
      <c r="AB953" s="465"/>
      <c r="AC953" s="465"/>
      <c r="AD953" s="465"/>
      <c r="AE953" s="465"/>
      <c r="AF953" s="465"/>
      <c r="AG953" s="465"/>
      <c r="AH953" s="465"/>
      <c r="AI953" s="592"/>
      <c r="AJ953" s="465"/>
      <c r="AK953" s="465"/>
      <c r="AL953" s="20"/>
      <c r="AM953" s="20"/>
      <c r="AN953" s="593"/>
      <c r="AO953" s="20"/>
      <c r="AP953" s="276"/>
      <c r="AQ953" s="276"/>
      <c r="AR953" s="276"/>
      <c r="AS953" s="276"/>
      <c r="AT953" s="276"/>
      <c r="AU953" s="276"/>
      <c r="AV953" s="276"/>
      <c r="AW953" s="276"/>
      <c r="AX953" s="276"/>
      <c r="AY953" s="276"/>
      <c r="AZ953" s="276"/>
      <c r="BA953" s="276"/>
      <c r="BB953" s="276"/>
      <c r="BC953" s="276"/>
    </row>
    <row r="954" spans="1:55" ht="12.75" customHeight="1">
      <c r="A954" s="465"/>
      <c r="B954" s="465"/>
      <c r="C954" s="147"/>
      <c r="D954" s="147"/>
      <c r="E954" s="585"/>
      <c r="F954" s="586"/>
      <c r="G954" s="458"/>
      <c r="H954" s="458"/>
      <c r="I954" s="458"/>
      <c r="J954" s="465"/>
      <c r="K954" s="587"/>
      <c r="L954" s="465"/>
      <c r="M954" s="465"/>
      <c r="N954" s="465"/>
      <c r="O954" s="587"/>
      <c r="P954" s="585"/>
      <c r="Q954" s="465"/>
      <c r="R954" s="458"/>
      <c r="S954" s="585"/>
      <c r="T954" s="588"/>
      <c r="U954" s="589"/>
      <c r="V954" s="587"/>
      <c r="W954" s="465"/>
      <c r="X954" s="465"/>
      <c r="Y954" s="590"/>
      <c r="Z954" s="458"/>
      <c r="AA954" s="591"/>
      <c r="AB954" s="465"/>
      <c r="AC954" s="465"/>
      <c r="AD954" s="465"/>
      <c r="AE954" s="465"/>
      <c r="AF954" s="465"/>
      <c r="AG954" s="465"/>
      <c r="AH954" s="465"/>
      <c r="AI954" s="592"/>
      <c r="AJ954" s="465"/>
      <c r="AK954" s="465"/>
      <c r="AL954" s="20"/>
      <c r="AM954" s="20"/>
      <c r="AN954" s="593"/>
      <c r="AO954" s="20"/>
      <c r="AP954" s="276"/>
      <c r="AQ954" s="276"/>
      <c r="AR954" s="276"/>
      <c r="AS954" s="276"/>
      <c r="AT954" s="276"/>
      <c r="AU954" s="276"/>
      <c r="AV954" s="276"/>
      <c r="AW954" s="276"/>
      <c r="AX954" s="276"/>
      <c r="AY954" s="276"/>
      <c r="AZ954" s="276"/>
      <c r="BA954" s="276"/>
      <c r="BB954" s="276"/>
      <c r="BC954" s="276"/>
    </row>
    <row r="955" spans="1:55" ht="12.75" customHeight="1">
      <c r="A955" s="465"/>
      <c r="B955" s="465"/>
      <c r="C955" s="147"/>
      <c r="D955" s="147"/>
      <c r="E955" s="585"/>
      <c r="F955" s="586"/>
      <c r="G955" s="458"/>
      <c r="H955" s="458"/>
      <c r="I955" s="458"/>
      <c r="J955" s="465"/>
      <c r="K955" s="587"/>
      <c r="L955" s="465"/>
      <c r="M955" s="465"/>
      <c r="N955" s="465"/>
      <c r="O955" s="587"/>
      <c r="P955" s="585"/>
      <c r="Q955" s="465"/>
      <c r="R955" s="458"/>
      <c r="S955" s="585"/>
      <c r="T955" s="588"/>
      <c r="U955" s="589"/>
      <c r="V955" s="587"/>
      <c r="W955" s="465"/>
      <c r="X955" s="465"/>
      <c r="Y955" s="590"/>
      <c r="Z955" s="458"/>
      <c r="AA955" s="591"/>
      <c r="AB955" s="465"/>
      <c r="AC955" s="465"/>
      <c r="AD955" s="465"/>
      <c r="AE955" s="465"/>
      <c r="AF955" s="465"/>
      <c r="AG955" s="465"/>
      <c r="AH955" s="465"/>
      <c r="AI955" s="592"/>
      <c r="AJ955" s="465"/>
      <c r="AK955" s="465"/>
      <c r="AL955" s="20"/>
      <c r="AM955" s="20"/>
      <c r="AN955" s="593"/>
      <c r="AO955" s="20"/>
      <c r="AP955" s="276"/>
      <c r="AQ955" s="276"/>
      <c r="AR955" s="276"/>
      <c r="AS955" s="276"/>
      <c r="AT955" s="276"/>
      <c r="AU955" s="276"/>
      <c r="AV955" s="276"/>
      <c r="AW955" s="276"/>
      <c r="AX955" s="276"/>
      <c r="AY955" s="276"/>
      <c r="AZ955" s="276"/>
      <c r="BA955" s="276"/>
      <c r="BB955" s="276"/>
      <c r="BC955" s="276"/>
    </row>
    <row r="956" spans="1:55" ht="12.75" customHeight="1">
      <c r="A956" s="465"/>
      <c r="B956" s="465"/>
      <c r="C956" s="147"/>
      <c r="D956" s="147"/>
      <c r="E956" s="585"/>
      <c r="F956" s="586"/>
      <c r="G956" s="458"/>
      <c r="H956" s="458"/>
      <c r="I956" s="458"/>
      <c r="J956" s="465"/>
      <c r="K956" s="587"/>
      <c r="L956" s="465"/>
      <c r="M956" s="465"/>
      <c r="N956" s="465"/>
      <c r="O956" s="587"/>
      <c r="P956" s="585"/>
      <c r="Q956" s="465"/>
      <c r="R956" s="458"/>
      <c r="S956" s="585"/>
      <c r="T956" s="588"/>
      <c r="U956" s="589"/>
      <c r="V956" s="587"/>
      <c r="W956" s="465"/>
      <c r="X956" s="465"/>
      <c r="Y956" s="590"/>
      <c r="Z956" s="458"/>
      <c r="AA956" s="591"/>
      <c r="AB956" s="465"/>
      <c r="AC956" s="465"/>
      <c r="AD956" s="465"/>
      <c r="AE956" s="465"/>
      <c r="AF956" s="465"/>
      <c r="AG956" s="465"/>
      <c r="AH956" s="465"/>
      <c r="AI956" s="592"/>
      <c r="AJ956" s="465"/>
      <c r="AK956" s="465"/>
      <c r="AL956" s="20"/>
      <c r="AM956" s="20"/>
      <c r="AN956" s="593"/>
      <c r="AO956" s="20"/>
      <c r="AP956" s="276"/>
      <c r="AQ956" s="276"/>
      <c r="AR956" s="276"/>
      <c r="AS956" s="276"/>
      <c r="AT956" s="276"/>
      <c r="AU956" s="276"/>
      <c r="AV956" s="276"/>
      <c r="AW956" s="276"/>
      <c r="AX956" s="276"/>
      <c r="AY956" s="276"/>
      <c r="AZ956" s="276"/>
      <c r="BA956" s="276"/>
      <c r="BB956" s="276"/>
      <c r="BC956" s="276"/>
    </row>
    <row r="957" spans="1:55" ht="12.75" customHeight="1">
      <c r="A957" s="465"/>
      <c r="B957" s="465"/>
      <c r="C957" s="147"/>
      <c r="D957" s="147"/>
      <c r="E957" s="585"/>
      <c r="F957" s="586"/>
      <c r="G957" s="458"/>
      <c r="H957" s="458"/>
      <c r="I957" s="458"/>
      <c r="J957" s="465"/>
      <c r="K957" s="587"/>
      <c r="L957" s="465"/>
      <c r="M957" s="465"/>
      <c r="N957" s="465"/>
      <c r="O957" s="587"/>
      <c r="P957" s="585"/>
      <c r="Q957" s="465"/>
      <c r="R957" s="458"/>
      <c r="S957" s="585"/>
      <c r="T957" s="588"/>
      <c r="U957" s="589"/>
      <c r="V957" s="587"/>
      <c r="W957" s="465"/>
      <c r="X957" s="465"/>
      <c r="Y957" s="590"/>
      <c r="Z957" s="458"/>
      <c r="AA957" s="591"/>
      <c r="AB957" s="465"/>
      <c r="AC957" s="465"/>
      <c r="AD957" s="465"/>
      <c r="AE957" s="465"/>
      <c r="AF957" s="465"/>
      <c r="AG957" s="465"/>
      <c r="AH957" s="465"/>
      <c r="AI957" s="592"/>
      <c r="AJ957" s="465"/>
      <c r="AK957" s="465"/>
      <c r="AL957" s="20"/>
      <c r="AM957" s="20"/>
      <c r="AN957" s="593"/>
      <c r="AO957" s="20"/>
      <c r="AP957" s="276"/>
      <c r="AQ957" s="276"/>
      <c r="AR957" s="276"/>
      <c r="AS957" s="276"/>
      <c r="AT957" s="276"/>
      <c r="AU957" s="276"/>
      <c r="AV957" s="276"/>
      <c r="AW957" s="276"/>
      <c r="AX957" s="276"/>
      <c r="AY957" s="276"/>
      <c r="AZ957" s="276"/>
      <c r="BA957" s="276"/>
      <c r="BB957" s="276"/>
      <c r="BC957" s="276"/>
    </row>
    <row r="958" spans="1:55" ht="12.75" customHeight="1">
      <c r="A958" s="465"/>
      <c r="B958" s="465"/>
      <c r="C958" s="147"/>
      <c r="D958" s="147"/>
      <c r="E958" s="585"/>
      <c r="F958" s="586"/>
      <c r="G958" s="458"/>
      <c r="H958" s="458"/>
      <c r="I958" s="458"/>
      <c r="J958" s="465"/>
      <c r="K958" s="587"/>
      <c r="L958" s="465"/>
      <c r="M958" s="465"/>
      <c r="N958" s="465"/>
      <c r="O958" s="587"/>
      <c r="P958" s="585"/>
      <c r="Q958" s="465"/>
      <c r="R958" s="458"/>
      <c r="S958" s="585"/>
      <c r="T958" s="588"/>
      <c r="U958" s="589"/>
      <c r="V958" s="587"/>
      <c r="W958" s="465"/>
      <c r="X958" s="465"/>
      <c r="Y958" s="590"/>
      <c r="Z958" s="458"/>
      <c r="AA958" s="591"/>
      <c r="AB958" s="465"/>
      <c r="AC958" s="465"/>
      <c r="AD958" s="465"/>
      <c r="AE958" s="465"/>
      <c r="AF958" s="465"/>
      <c r="AG958" s="465"/>
      <c r="AH958" s="465"/>
      <c r="AI958" s="592"/>
      <c r="AJ958" s="465"/>
      <c r="AK958" s="465"/>
      <c r="AL958" s="20"/>
      <c r="AM958" s="20"/>
      <c r="AN958" s="593"/>
      <c r="AO958" s="20"/>
      <c r="AP958" s="276"/>
      <c r="AQ958" s="276"/>
      <c r="AR958" s="276"/>
      <c r="AS958" s="276"/>
      <c r="AT958" s="276"/>
      <c r="AU958" s="276"/>
      <c r="AV958" s="276"/>
      <c r="AW958" s="276"/>
      <c r="AX958" s="276"/>
      <c r="AY958" s="276"/>
      <c r="AZ958" s="276"/>
      <c r="BA958" s="276"/>
      <c r="BB958" s="276"/>
      <c r="BC958" s="276"/>
    </row>
    <row r="959" spans="1:55" ht="12.75" customHeight="1">
      <c r="A959" s="465"/>
      <c r="B959" s="465"/>
      <c r="C959" s="147"/>
      <c r="D959" s="147"/>
      <c r="E959" s="585"/>
      <c r="F959" s="586"/>
      <c r="G959" s="458"/>
      <c r="H959" s="458"/>
      <c r="I959" s="458"/>
      <c r="J959" s="465"/>
      <c r="K959" s="587"/>
      <c r="L959" s="465"/>
      <c r="M959" s="465"/>
      <c r="N959" s="465"/>
      <c r="O959" s="587"/>
      <c r="P959" s="585"/>
      <c r="Q959" s="465"/>
      <c r="R959" s="458"/>
      <c r="S959" s="585"/>
      <c r="T959" s="588"/>
      <c r="U959" s="589"/>
      <c r="V959" s="587"/>
      <c r="W959" s="465"/>
      <c r="X959" s="465"/>
      <c r="Y959" s="590"/>
      <c r="Z959" s="458"/>
      <c r="AA959" s="591"/>
      <c r="AB959" s="465"/>
      <c r="AC959" s="465"/>
      <c r="AD959" s="465"/>
      <c r="AE959" s="465"/>
      <c r="AF959" s="465"/>
      <c r="AG959" s="465"/>
      <c r="AH959" s="465"/>
      <c r="AI959" s="592"/>
      <c r="AJ959" s="465"/>
      <c r="AK959" s="465"/>
      <c r="AL959" s="20"/>
      <c r="AM959" s="20"/>
      <c r="AN959" s="593"/>
      <c r="AO959" s="20"/>
      <c r="AP959" s="276"/>
      <c r="AQ959" s="276"/>
      <c r="AR959" s="276"/>
      <c r="AS959" s="276"/>
      <c r="AT959" s="276"/>
      <c r="AU959" s="276"/>
      <c r="AV959" s="276"/>
      <c r="AW959" s="276"/>
      <c r="AX959" s="276"/>
      <c r="AY959" s="276"/>
      <c r="AZ959" s="276"/>
      <c r="BA959" s="276"/>
      <c r="BB959" s="276"/>
      <c r="BC959" s="276"/>
    </row>
    <row r="960" spans="1:55" ht="12.75" customHeight="1">
      <c r="A960" s="465"/>
      <c r="B960" s="465"/>
      <c r="C960" s="147"/>
      <c r="D960" s="147"/>
      <c r="E960" s="585"/>
      <c r="F960" s="586"/>
      <c r="G960" s="458"/>
      <c r="H960" s="458"/>
      <c r="I960" s="458"/>
      <c r="J960" s="465"/>
      <c r="K960" s="587"/>
      <c r="L960" s="465"/>
      <c r="M960" s="465"/>
      <c r="N960" s="465"/>
      <c r="O960" s="587"/>
      <c r="P960" s="585"/>
      <c r="Q960" s="465"/>
      <c r="R960" s="458"/>
      <c r="S960" s="585"/>
      <c r="T960" s="588"/>
      <c r="U960" s="589"/>
      <c r="V960" s="587"/>
      <c r="W960" s="465"/>
      <c r="X960" s="465"/>
      <c r="Y960" s="590"/>
      <c r="Z960" s="458"/>
      <c r="AA960" s="591"/>
      <c r="AB960" s="465"/>
      <c r="AC960" s="465"/>
      <c r="AD960" s="465"/>
      <c r="AE960" s="465"/>
      <c r="AF960" s="465"/>
      <c r="AG960" s="465"/>
      <c r="AH960" s="465"/>
      <c r="AI960" s="592"/>
      <c r="AJ960" s="465"/>
      <c r="AK960" s="465"/>
      <c r="AL960" s="20"/>
      <c r="AM960" s="20"/>
      <c r="AN960" s="593"/>
      <c r="AO960" s="20"/>
      <c r="AP960" s="276"/>
      <c r="AQ960" s="276"/>
      <c r="AR960" s="276"/>
      <c r="AS960" s="276"/>
      <c r="AT960" s="276"/>
      <c r="AU960" s="276"/>
      <c r="AV960" s="276"/>
      <c r="AW960" s="276"/>
      <c r="AX960" s="276"/>
      <c r="AY960" s="276"/>
      <c r="AZ960" s="276"/>
      <c r="BA960" s="276"/>
      <c r="BB960" s="276"/>
      <c r="BC960" s="276"/>
    </row>
    <row r="961" spans="1:55" ht="12.75" customHeight="1">
      <c r="A961" s="465"/>
      <c r="B961" s="465"/>
      <c r="C961" s="147"/>
      <c r="D961" s="147"/>
      <c r="E961" s="585"/>
      <c r="F961" s="586"/>
      <c r="G961" s="458"/>
      <c r="H961" s="458"/>
      <c r="I961" s="458"/>
      <c r="J961" s="465"/>
      <c r="K961" s="587"/>
      <c r="L961" s="465"/>
      <c r="M961" s="465"/>
      <c r="N961" s="465"/>
      <c r="O961" s="587"/>
      <c r="P961" s="585"/>
      <c r="Q961" s="465"/>
      <c r="R961" s="458"/>
      <c r="S961" s="585"/>
      <c r="T961" s="588"/>
      <c r="U961" s="589"/>
      <c r="V961" s="587"/>
      <c r="W961" s="465"/>
      <c r="X961" s="465"/>
      <c r="Y961" s="590"/>
      <c r="Z961" s="458"/>
      <c r="AA961" s="591"/>
      <c r="AB961" s="465"/>
      <c r="AC961" s="465"/>
      <c r="AD961" s="465"/>
      <c r="AE961" s="465"/>
      <c r="AF961" s="465"/>
      <c r="AG961" s="465"/>
      <c r="AH961" s="465"/>
      <c r="AI961" s="592"/>
      <c r="AJ961" s="465"/>
      <c r="AK961" s="465"/>
      <c r="AL961" s="20"/>
      <c r="AM961" s="20"/>
      <c r="AN961" s="593"/>
      <c r="AO961" s="20"/>
      <c r="AP961" s="276"/>
      <c r="AQ961" s="276"/>
      <c r="AR961" s="276"/>
      <c r="AS961" s="276"/>
      <c r="AT961" s="276"/>
      <c r="AU961" s="276"/>
      <c r="AV961" s="276"/>
      <c r="AW961" s="276"/>
      <c r="AX961" s="276"/>
      <c r="AY961" s="276"/>
      <c r="AZ961" s="276"/>
      <c r="BA961" s="276"/>
      <c r="BB961" s="276"/>
      <c r="BC961" s="276"/>
    </row>
    <row r="962" spans="1:55" ht="12.75" customHeight="1">
      <c r="A962" s="465"/>
      <c r="B962" s="465"/>
      <c r="C962" s="147"/>
      <c r="D962" s="147"/>
      <c r="E962" s="585"/>
      <c r="F962" s="586"/>
      <c r="G962" s="458"/>
      <c r="H962" s="458"/>
      <c r="I962" s="458"/>
      <c r="J962" s="465"/>
      <c r="K962" s="587"/>
      <c r="L962" s="465"/>
      <c r="M962" s="465"/>
      <c r="N962" s="465"/>
      <c r="O962" s="587"/>
      <c r="P962" s="585"/>
      <c r="Q962" s="465"/>
      <c r="R962" s="458"/>
      <c r="S962" s="585"/>
      <c r="T962" s="588"/>
      <c r="U962" s="589"/>
      <c r="V962" s="587"/>
      <c r="W962" s="465"/>
      <c r="X962" s="465"/>
      <c r="Y962" s="590"/>
      <c r="Z962" s="458"/>
      <c r="AA962" s="591"/>
      <c r="AB962" s="465"/>
      <c r="AC962" s="465"/>
      <c r="AD962" s="465"/>
      <c r="AE962" s="465"/>
      <c r="AF962" s="465"/>
      <c r="AG962" s="465"/>
      <c r="AH962" s="465"/>
      <c r="AI962" s="592"/>
      <c r="AJ962" s="465"/>
      <c r="AK962" s="465"/>
      <c r="AL962" s="20"/>
      <c r="AM962" s="20"/>
      <c r="AN962" s="593"/>
      <c r="AO962" s="20"/>
      <c r="AP962" s="276"/>
      <c r="AQ962" s="276"/>
      <c r="AR962" s="276"/>
      <c r="AS962" s="276"/>
      <c r="AT962" s="276"/>
      <c r="AU962" s="276"/>
      <c r="AV962" s="276"/>
      <c r="AW962" s="276"/>
      <c r="AX962" s="276"/>
      <c r="AY962" s="276"/>
      <c r="AZ962" s="276"/>
      <c r="BA962" s="276"/>
      <c r="BB962" s="276"/>
      <c r="BC962" s="276"/>
    </row>
    <row r="963" spans="1:55" ht="12.75" customHeight="1">
      <c r="A963" s="465"/>
      <c r="B963" s="465"/>
      <c r="C963" s="147"/>
      <c r="D963" s="147"/>
      <c r="E963" s="585"/>
      <c r="F963" s="586"/>
      <c r="G963" s="458"/>
      <c r="H963" s="458"/>
      <c r="I963" s="458"/>
      <c r="J963" s="465"/>
      <c r="K963" s="587"/>
      <c r="L963" s="465"/>
      <c r="M963" s="465"/>
      <c r="N963" s="465"/>
      <c r="O963" s="587"/>
      <c r="P963" s="585"/>
      <c r="Q963" s="465"/>
      <c r="R963" s="458"/>
      <c r="S963" s="585"/>
      <c r="T963" s="588"/>
      <c r="U963" s="589"/>
      <c r="V963" s="587"/>
      <c r="W963" s="465"/>
      <c r="X963" s="465"/>
      <c r="Y963" s="590"/>
      <c r="Z963" s="458"/>
      <c r="AA963" s="591"/>
      <c r="AB963" s="465"/>
      <c r="AC963" s="465"/>
      <c r="AD963" s="465"/>
      <c r="AE963" s="465"/>
      <c r="AF963" s="465"/>
      <c r="AG963" s="465"/>
      <c r="AH963" s="465"/>
      <c r="AI963" s="592"/>
      <c r="AJ963" s="465"/>
      <c r="AK963" s="465"/>
      <c r="AL963" s="20"/>
      <c r="AM963" s="20"/>
      <c r="AN963" s="593"/>
      <c r="AO963" s="20"/>
      <c r="AP963" s="276"/>
      <c r="AQ963" s="276"/>
      <c r="AR963" s="276"/>
      <c r="AS963" s="276"/>
      <c r="AT963" s="276"/>
      <c r="AU963" s="276"/>
      <c r="AV963" s="276"/>
      <c r="AW963" s="276"/>
      <c r="AX963" s="276"/>
      <c r="AY963" s="276"/>
      <c r="AZ963" s="276"/>
      <c r="BA963" s="276"/>
      <c r="BB963" s="276"/>
      <c r="BC963" s="276"/>
    </row>
    <row r="964" spans="1:55" ht="12.75" customHeight="1">
      <c r="A964" s="465"/>
      <c r="B964" s="465"/>
      <c r="C964" s="147"/>
      <c r="D964" s="147"/>
      <c r="E964" s="585"/>
      <c r="F964" s="586"/>
      <c r="G964" s="458"/>
      <c r="H964" s="458"/>
      <c r="I964" s="458"/>
      <c r="J964" s="465"/>
      <c r="K964" s="587"/>
      <c r="L964" s="465"/>
      <c r="M964" s="465"/>
      <c r="N964" s="465"/>
      <c r="O964" s="587"/>
      <c r="P964" s="585"/>
      <c r="Q964" s="465"/>
      <c r="R964" s="458"/>
      <c r="S964" s="585"/>
      <c r="T964" s="588"/>
      <c r="U964" s="589"/>
      <c r="V964" s="587"/>
      <c r="W964" s="465"/>
      <c r="X964" s="465"/>
      <c r="Y964" s="590"/>
      <c r="Z964" s="458"/>
      <c r="AA964" s="591"/>
      <c r="AB964" s="465"/>
      <c r="AC964" s="465"/>
      <c r="AD964" s="465"/>
      <c r="AE964" s="465"/>
      <c r="AF964" s="465"/>
      <c r="AG964" s="465"/>
      <c r="AH964" s="465"/>
      <c r="AI964" s="592"/>
      <c r="AJ964" s="465"/>
      <c r="AK964" s="465"/>
      <c r="AL964" s="20"/>
      <c r="AM964" s="20"/>
      <c r="AN964" s="593"/>
      <c r="AO964" s="20"/>
      <c r="AP964" s="276"/>
      <c r="AQ964" s="276"/>
      <c r="AR964" s="276"/>
      <c r="AS964" s="276"/>
      <c r="AT964" s="276"/>
      <c r="AU964" s="276"/>
      <c r="AV964" s="276"/>
      <c r="AW964" s="276"/>
      <c r="AX964" s="276"/>
      <c r="AY964" s="276"/>
      <c r="AZ964" s="276"/>
      <c r="BA964" s="276"/>
      <c r="BB964" s="276"/>
      <c r="BC964" s="276"/>
    </row>
    <row r="965" spans="1:55" ht="12.75" customHeight="1">
      <c r="A965" s="465"/>
      <c r="B965" s="465"/>
      <c r="C965" s="147"/>
      <c r="D965" s="147"/>
      <c r="E965" s="585"/>
      <c r="F965" s="586"/>
      <c r="G965" s="458"/>
      <c r="H965" s="458"/>
      <c r="I965" s="458"/>
      <c r="J965" s="465"/>
      <c r="K965" s="587"/>
      <c r="L965" s="465"/>
      <c r="M965" s="465"/>
      <c r="N965" s="465"/>
      <c r="O965" s="587"/>
      <c r="P965" s="585"/>
      <c r="Q965" s="465"/>
      <c r="R965" s="458"/>
      <c r="S965" s="585"/>
      <c r="T965" s="588"/>
      <c r="U965" s="589"/>
      <c r="V965" s="587"/>
      <c r="W965" s="465"/>
      <c r="X965" s="465"/>
      <c r="Y965" s="590"/>
      <c r="Z965" s="458"/>
      <c r="AA965" s="591"/>
      <c r="AB965" s="465"/>
      <c r="AC965" s="465"/>
      <c r="AD965" s="465"/>
      <c r="AE965" s="465"/>
      <c r="AF965" s="465"/>
      <c r="AG965" s="465"/>
      <c r="AH965" s="465"/>
      <c r="AI965" s="592"/>
      <c r="AJ965" s="465"/>
      <c r="AK965" s="465"/>
      <c r="AL965" s="20"/>
      <c r="AM965" s="20"/>
      <c r="AN965" s="593"/>
      <c r="AO965" s="20"/>
      <c r="AP965" s="276"/>
      <c r="AQ965" s="276"/>
      <c r="AR965" s="276"/>
      <c r="AS965" s="276"/>
      <c r="AT965" s="276"/>
      <c r="AU965" s="276"/>
      <c r="AV965" s="276"/>
      <c r="AW965" s="276"/>
      <c r="AX965" s="276"/>
      <c r="AY965" s="276"/>
      <c r="AZ965" s="276"/>
      <c r="BA965" s="276"/>
      <c r="BB965" s="276"/>
      <c r="BC965" s="276"/>
    </row>
    <row r="966" spans="1:55" ht="12.75" customHeight="1">
      <c r="A966" s="465"/>
      <c r="B966" s="465"/>
      <c r="C966" s="147"/>
      <c r="D966" s="147"/>
      <c r="E966" s="585"/>
      <c r="F966" s="586"/>
      <c r="G966" s="458"/>
      <c r="H966" s="458"/>
      <c r="I966" s="458"/>
      <c r="J966" s="465"/>
      <c r="K966" s="587"/>
      <c r="L966" s="465"/>
      <c r="M966" s="465"/>
      <c r="N966" s="465"/>
      <c r="O966" s="587"/>
      <c r="P966" s="585"/>
      <c r="Q966" s="465"/>
      <c r="R966" s="458"/>
      <c r="S966" s="585"/>
      <c r="T966" s="588"/>
      <c r="U966" s="589"/>
      <c r="V966" s="587"/>
      <c r="W966" s="465"/>
      <c r="X966" s="465"/>
      <c r="Y966" s="590"/>
      <c r="Z966" s="458"/>
      <c r="AA966" s="591"/>
      <c r="AB966" s="465"/>
      <c r="AC966" s="465"/>
      <c r="AD966" s="465"/>
      <c r="AE966" s="465"/>
      <c r="AF966" s="465"/>
      <c r="AG966" s="465"/>
      <c r="AH966" s="465"/>
      <c r="AI966" s="592"/>
      <c r="AJ966" s="465"/>
      <c r="AK966" s="465"/>
      <c r="AL966" s="20"/>
      <c r="AM966" s="20"/>
      <c r="AN966" s="593"/>
      <c r="AO966" s="20"/>
      <c r="AP966" s="276"/>
      <c r="AQ966" s="276"/>
      <c r="AR966" s="276"/>
      <c r="AS966" s="276"/>
      <c r="AT966" s="276"/>
      <c r="AU966" s="276"/>
      <c r="AV966" s="276"/>
      <c r="AW966" s="276"/>
      <c r="AX966" s="276"/>
      <c r="AY966" s="276"/>
      <c r="AZ966" s="276"/>
      <c r="BA966" s="276"/>
      <c r="BB966" s="276"/>
      <c r="BC966" s="276"/>
    </row>
    <row r="967" spans="1:55" ht="12.75" customHeight="1">
      <c r="A967" s="465"/>
      <c r="B967" s="465"/>
      <c r="C967" s="147"/>
      <c r="D967" s="147"/>
      <c r="E967" s="585"/>
      <c r="F967" s="586"/>
      <c r="G967" s="458"/>
      <c r="H967" s="458"/>
      <c r="I967" s="458"/>
      <c r="J967" s="465"/>
      <c r="K967" s="587"/>
      <c r="L967" s="465"/>
      <c r="M967" s="465"/>
      <c r="N967" s="465"/>
      <c r="O967" s="587"/>
      <c r="P967" s="585"/>
      <c r="Q967" s="465"/>
      <c r="R967" s="458"/>
      <c r="S967" s="585"/>
      <c r="T967" s="588"/>
      <c r="U967" s="589"/>
      <c r="V967" s="587"/>
      <c r="W967" s="465"/>
      <c r="X967" s="465"/>
      <c r="Y967" s="590"/>
      <c r="Z967" s="458"/>
      <c r="AA967" s="591"/>
      <c r="AB967" s="465"/>
      <c r="AC967" s="465"/>
      <c r="AD967" s="465"/>
      <c r="AE967" s="465"/>
      <c r="AF967" s="465"/>
      <c r="AG967" s="465"/>
      <c r="AH967" s="465"/>
      <c r="AI967" s="592"/>
      <c r="AJ967" s="465"/>
      <c r="AK967" s="465"/>
      <c r="AL967" s="20"/>
      <c r="AM967" s="20"/>
      <c r="AN967" s="593"/>
      <c r="AO967" s="20"/>
      <c r="AP967" s="276"/>
      <c r="AQ967" s="276"/>
      <c r="AR967" s="276"/>
      <c r="AS967" s="276"/>
      <c r="AT967" s="276"/>
      <c r="AU967" s="276"/>
      <c r="AV967" s="276"/>
      <c r="AW967" s="276"/>
      <c r="AX967" s="276"/>
      <c r="AY967" s="276"/>
      <c r="AZ967" s="276"/>
      <c r="BA967" s="276"/>
      <c r="BB967" s="276"/>
      <c r="BC967" s="276"/>
    </row>
    <row r="968" spans="1:55" ht="12.75" customHeight="1">
      <c r="A968" s="465"/>
      <c r="B968" s="465"/>
      <c r="C968" s="147"/>
      <c r="D968" s="147"/>
      <c r="E968" s="585"/>
      <c r="F968" s="586"/>
      <c r="G968" s="458"/>
      <c r="H968" s="458"/>
      <c r="I968" s="458"/>
      <c r="J968" s="465"/>
      <c r="K968" s="587"/>
      <c r="L968" s="465"/>
      <c r="M968" s="465"/>
      <c r="N968" s="465"/>
      <c r="O968" s="587"/>
      <c r="P968" s="585"/>
      <c r="Q968" s="465"/>
      <c r="R968" s="458"/>
      <c r="S968" s="585"/>
      <c r="T968" s="588"/>
      <c r="U968" s="589"/>
      <c r="V968" s="587"/>
      <c r="W968" s="465"/>
      <c r="X968" s="465"/>
      <c r="Y968" s="590"/>
      <c r="Z968" s="458"/>
      <c r="AA968" s="591"/>
      <c r="AB968" s="465"/>
      <c r="AC968" s="465"/>
      <c r="AD968" s="465"/>
      <c r="AE968" s="465"/>
      <c r="AF968" s="465"/>
      <c r="AG968" s="465"/>
      <c r="AH968" s="465"/>
      <c r="AI968" s="592"/>
      <c r="AJ968" s="465"/>
      <c r="AK968" s="465"/>
      <c r="AL968" s="20"/>
      <c r="AM968" s="20"/>
      <c r="AN968" s="593"/>
      <c r="AO968" s="20"/>
      <c r="AP968" s="276"/>
      <c r="AQ968" s="276"/>
      <c r="AR968" s="276"/>
      <c r="AS968" s="276"/>
      <c r="AT968" s="276"/>
      <c r="AU968" s="276"/>
      <c r="AV968" s="276"/>
      <c r="AW968" s="276"/>
      <c r="AX968" s="276"/>
      <c r="AY968" s="276"/>
      <c r="AZ968" s="276"/>
      <c r="BA968" s="276"/>
      <c r="BB968" s="276"/>
      <c r="BC968" s="276"/>
    </row>
    <row r="969" spans="1:55" ht="12.75" customHeight="1">
      <c r="A969" s="465"/>
      <c r="B969" s="465"/>
      <c r="C969" s="147"/>
      <c r="D969" s="147"/>
      <c r="E969" s="585"/>
      <c r="F969" s="586"/>
      <c r="G969" s="458"/>
      <c r="H969" s="458"/>
      <c r="I969" s="458"/>
      <c r="J969" s="465"/>
      <c r="K969" s="587"/>
      <c r="L969" s="465"/>
      <c r="M969" s="465"/>
      <c r="N969" s="465"/>
      <c r="O969" s="587"/>
      <c r="P969" s="585"/>
      <c r="Q969" s="465"/>
      <c r="R969" s="458"/>
      <c r="S969" s="585"/>
      <c r="T969" s="588"/>
      <c r="U969" s="589"/>
      <c r="V969" s="587"/>
      <c r="W969" s="465"/>
      <c r="X969" s="465"/>
      <c r="Y969" s="590"/>
      <c r="Z969" s="458"/>
      <c r="AA969" s="591"/>
      <c r="AB969" s="465"/>
      <c r="AC969" s="465"/>
      <c r="AD969" s="465"/>
      <c r="AE969" s="465"/>
      <c r="AF969" s="465"/>
      <c r="AG969" s="465"/>
      <c r="AH969" s="465"/>
      <c r="AI969" s="592"/>
      <c r="AJ969" s="465"/>
      <c r="AK969" s="465"/>
      <c r="AL969" s="20"/>
      <c r="AM969" s="20"/>
      <c r="AN969" s="593"/>
      <c r="AO969" s="20"/>
      <c r="AP969" s="276"/>
      <c r="AQ969" s="276"/>
      <c r="AR969" s="276"/>
      <c r="AS969" s="276"/>
      <c r="AT969" s="276"/>
      <c r="AU969" s="276"/>
      <c r="AV969" s="276"/>
      <c r="AW969" s="276"/>
      <c r="AX969" s="276"/>
      <c r="AY969" s="276"/>
      <c r="AZ969" s="276"/>
      <c r="BA969" s="276"/>
      <c r="BB969" s="276"/>
      <c r="BC969" s="276"/>
    </row>
    <row r="970" spans="1:55" ht="12.75" customHeight="1">
      <c r="A970" s="465"/>
      <c r="B970" s="465"/>
      <c r="C970" s="147"/>
      <c r="D970" s="147"/>
      <c r="E970" s="585"/>
      <c r="F970" s="586"/>
      <c r="G970" s="458"/>
      <c r="H970" s="458"/>
      <c r="I970" s="458"/>
      <c r="J970" s="465"/>
      <c r="K970" s="587"/>
      <c r="L970" s="465"/>
      <c r="M970" s="465"/>
      <c r="N970" s="465"/>
      <c r="O970" s="587"/>
      <c r="P970" s="585"/>
      <c r="Q970" s="465"/>
      <c r="R970" s="458"/>
      <c r="S970" s="585"/>
      <c r="T970" s="588"/>
      <c r="U970" s="589"/>
      <c r="V970" s="587"/>
      <c r="W970" s="465"/>
      <c r="X970" s="465"/>
      <c r="Y970" s="590"/>
      <c r="Z970" s="458"/>
      <c r="AA970" s="591"/>
      <c r="AB970" s="465"/>
      <c r="AC970" s="465"/>
      <c r="AD970" s="465"/>
      <c r="AE970" s="465"/>
      <c r="AF970" s="465"/>
      <c r="AG970" s="465"/>
      <c r="AH970" s="465"/>
      <c r="AI970" s="592"/>
      <c r="AJ970" s="465"/>
      <c r="AK970" s="465"/>
      <c r="AL970" s="20"/>
      <c r="AM970" s="20"/>
      <c r="AN970" s="593"/>
      <c r="AO970" s="20"/>
      <c r="AP970" s="276"/>
      <c r="AQ970" s="276"/>
      <c r="AR970" s="276"/>
      <c r="AS970" s="276"/>
      <c r="AT970" s="276"/>
      <c r="AU970" s="276"/>
      <c r="AV970" s="276"/>
      <c r="AW970" s="276"/>
      <c r="AX970" s="276"/>
      <c r="AY970" s="276"/>
      <c r="AZ970" s="276"/>
      <c r="BA970" s="276"/>
      <c r="BB970" s="276"/>
      <c r="BC970" s="276"/>
    </row>
    <row r="971" spans="1:55" ht="12.75" customHeight="1">
      <c r="A971" s="465"/>
      <c r="B971" s="465"/>
      <c r="C971" s="147"/>
      <c r="D971" s="147"/>
      <c r="E971" s="585"/>
      <c r="F971" s="586"/>
      <c r="G971" s="458"/>
      <c r="H971" s="458"/>
      <c r="I971" s="458"/>
      <c r="J971" s="465"/>
      <c r="K971" s="587"/>
      <c r="L971" s="465"/>
      <c r="M971" s="465"/>
      <c r="N971" s="465"/>
      <c r="O971" s="587"/>
      <c r="P971" s="585"/>
      <c r="Q971" s="465"/>
      <c r="R971" s="458"/>
      <c r="S971" s="585"/>
      <c r="T971" s="588"/>
      <c r="U971" s="589"/>
      <c r="V971" s="587"/>
      <c r="W971" s="465"/>
      <c r="X971" s="465"/>
      <c r="Y971" s="590"/>
      <c r="Z971" s="458"/>
      <c r="AA971" s="591"/>
      <c r="AB971" s="465"/>
      <c r="AC971" s="465"/>
      <c r="AD971" s="465"/>
      <c r="AE971" s="465"/>
      <c r="AF971" s="465"/>
      <c r="AG971" s="465"/>
      <c r="AH971" s="465"/>
      <c r="AI971" s="592"/>
      <c r="AJ971" s="465"/>
      <c r="AK971" s="465"/>
      <c r="AL971" s="20"/>
      <c r="AM971" s="20"/>
      <c r="AN971" s="593"/>
      <c r="AO971" s="20"/>
      <c r="AP971" s="276"/>
      <c r="AQ971" s="276"/>
      <c r="AR971" s="276"/>
      <c r="AS971" s="276"/>
      <c r="AT971" s="276"/>
      <c r="AU971" s="276"/>
      <c r="AV971" s="276"/>
      <c r="AW971" s="276"/>
      <c r="AX971" s="276"/>
      <c r="AY971" s="276"/>
      <c r="AZ971" s="276"/>
      <c r="BA971" s="276"/>
      <c r="BB971" s="276"/>
      <c r="BC971" s="276"/>
    </row>
    <row r="972" spans="1:55" ht="12.75" customHeight="1">
      <c r="A972" s="465"/>
      <c r="B972" s="465"/>
      <c r="C972" s="147"/>
      <c r="D972" s="147"/>
      <c r="E972" s="585"/>
      <c r="F972" s="586"/>
      <c r="G972" s="458"/>
      <c r="H972" s="458"/>
      <c r="I972" s="458"/>
      <c r="J972" s="465"/>
      <c r="K972" s="587"/>
      <c r="L972" s="465"/>
      <c r="M972" s="465"/>
      <c r="N972" s="465"/>
      <c r="O972" s="587"/>
      <c r="P972" s="585"/>
      <c r="Q972" s="465"/>
      <c r="R972" s="458"/>
      <c r="S972" s="585"/>
      <c r="T972" s="588"/>
      <c r="U972" s="589"/>
      <c r="V972" s="587"/>
      <c r="W972" s="465"/>
      <c r="X972" s="465"/>
      <c r="Y972" s="590"/>
      <c r="Z972" s="458"/>
      <c r="AA972" s="591"/>
      <c r="AB972" s="465"/>
      <c r="AC972" s="465"/>
      <c r="AD972" s="465"/>
      <c r="AE972" s="465"/>
      <c r="AF972" s="465"/>
      <c r="AG972" s="465"/>
      <c r="AH972" s="465"/>
      <c r="AI972" s="592"/>
      <c r="AJ972" s="465"/>
      <c r="AK972" s="465"/>
      <c r="AL972" s="20"/>
      <c r="AM972" s="20"/>
      <c r="AN972" s="593"/>
      <c r="AO972" s="20"/>
      <c r="AP972" s="276"/>
      <c r="AQ972" s="276"/>
      <c r="AR972" s="276"/>
      <c r="AS972" s="276"/>
      <c r="AT972" s="276"/>
      <c r="AU972" s="276"/>
      <c r="AV972" s="276"/>
      <c r="AW972" s="276"/>
      <c r="AX972" s="276"/>
      <c r="AY972" s="276"/>
      <c r="AZ972" s="276"/>
      <c r="BA972" s="276"/>
      <c r="BB972" s="276"/>
      <c r="BC972" s="276"/>
    </row>
    <row r="973" spans="1:55" ht="12.75" customHeight="1">
      <c r="A973" s="465"/>
      <c r="B973" s="465"/>
      <c r="C973" s="147"/>
      <c r="D973" s="147"/>
      <c r="E973" s="585"/>
      <c r="F973" s="586"/>
      <c r="G973" s="458"/>
      <c r="H973" s="458"/>
      <c r="I973" s="458"/>
      <c r="J973" s="465"/>
      <c r="K973" s="587"/>
      <c r="L973" s="465"/>
      <c r="M973" s="465"/>
      <c r="N973" s="465"/>
      <c r="O973" s="587"/>
      <c r="P973" s="585"/>
      <c r="Q973" s="465"/>
      <c r="R973" s="458"/>
      <c r="S973" s="585"/>
      <c r="T973" s="588"/>
      <c r="U973" s="589"/>
      <c r="V973" s="587"/>
      <c r="W973" s="465"/>
      <c r="X973" s="465"/>
      <c r="Y973" s="590"/>
      <c r="Z973" s="458"/>
      <c r="AA973" s="591"/>
      <c r="AB973" s="465"/>
      <c r="AC973" s="465"/>
      <c r="AD973" s="465"/>
      <c r="AE973" s="465"/>
      <c r="AF973" s="465"/>
      <c r="AG973" s="465"/>
      <c r="AH973" s="465"/>
      <c r="AI973" s="592"/>
      <c r="AJ973" s="465"/>
      <c r="AK973" s="465"/>
      <c r="AL973" s="20"/>
      <c r="AM973" s="20"/>
      <c r="AN973" s="593"/>
      <c r="AO973" s="20"/>
      <c r="AP973" s="276"/>
      <c r="AQ973" s="276"/>
      <c r="AR973" s="276"/>
      <c r="AS973" s="276"/>
      <c r="AT973" s="276"/>
      <c r="AU973" s="276"/>
      <c r="AV973" s="276"/>
      <c r="AW973" s="276"/>
      <c r="AX973" s="276"/>
      <c r="AY973" s="276"/>
      <c r="AZ973" s="276"/>
      <c r="BA973" s="276"/>
      <c r="BB973" s="276"/>
      <c r="BC973" s="276"/>
    </row>
    <row r="974" spans="1:55" ht="12.75" customHeight="1">
      <c r="A974" s="465"/>
      <c r="B974" s="465"/>
      <c r="C974" s="147"/>
      <c r="D974" s="147"/>
      <c r="E974" s="585"/>
      <c r="F974" s="586"/>
      <c r="G974" s="458"/>
      <c r="H974" s="458"/>
      <c r="I974" s="458"/>
      <c r="J974" s="465"/>
      <c r="K974" s="587"/>
      <c r="L974" s="465"/>
      <c r="M974" s="465"/>
      <c r="N974" s="465"/>
      <c r="O974" s="587"/>
      <c r="P974" s="585"/>
      <c r="Q974" s="465"/>
      <c r="R974" s="458"/>
      <c r="S974" s="585"/>
      <c r="T974" s="588"/>
      <c r="U974" s="589"/>
      <c r="V974" s="587"/>
      <c r="W974" s="465"/>
      <c r="X974" s="465"/>
      <c r="Y974" s="590"/>
      <c r="Z974" s="458"/>
      <c r="AA974" s="591"/>
      <c r="AB974" s="465"/>
      <c r="AC974" s="465"/>
      <c r="AD974" s="465"/>
      <c r="AE974" s="465"/>
      <c r="AF974" s="465"/>
      <c r="AG974" s="465"/>
      <c r="AH974" s="465"/>
      <c r="AI974" s="592"/>
      <c r="AJ974" s="465"/>
      <c r="AK974" s="465"/>
      <c r="AL974" s="20"/>
      <c r="AM974" s="20"/>
      <c r="AN974" s="593"/>
      <c r="AO974" s="20"/>
      <c r="AP974" s="276"/>
      <c r="AQ974" s="276"/>
      <c r="AR974" s="276"/>
      <c r="AS974" s="276"/>
      <c r="AT974" s="276"/>
      <c r="AU974" s="276"/>
      <c r="AV974" s="276"/>
      <c r="AW974" s="276"/>
      <c r="AX974" s="276"/>
      <c r="AY974" s="276"/>
      <c r="AZ974" s="276"/>
      <c r="BA974" s="276"/>
      <c r="BB974" s="276"/>
      <c r="BC974" s="276"/>
    </row>
    <row r="975" spans="1:55" ht="12.75" customHeight="1">
      <c r="A975" s="465"/>
      <c r="B975" s="465"/>
      <c r="C975" s="147"/>
      <c r="D975" s="147"/>
      <c r="E975" s="585"/>
      <c r="F975" s="586"/>
      <c r="G975" s="458"/>
      <c r="H975" s="458"/>
      <c r="I975" s="458"/>
      <c r="J975" s="465"/>
      <c r="K975" s="587"/>
      <c r="L975" s="465"/>
      <c r="M975" s="465"/>
      <c r="N975" s="465"/>
      <c r="O975" s="587"/>
      <c r="P975" s="585"/>
      <c r="Q975" s="465"/>
      <c r="R975" s="458"/>
      <c r="S975" s="585"/>
      <c r="T975" s="588"/>
      <c r="U975" s="589"/>
      <c r="V975" s="587"/>
      <c r="W975" s="465"/>
      <c r="X975" s="465"/>
      <c r="Y975" s="590"/>
      <c r="Z975" s="458"/>
      <c r="AA975" s="591"/>
      <c r="AB975" s="465"/>
      <c r="AC975" s="465"/>
      <c r="AD975" s="465"/>
      <c r="AE975" s="465"/>
      <c r="AF975" s="465"/>
      <c r="AG975" s="465"/>
      <c r="AH975" s="465"/>
      <c r="AI975" s="592"/>
      <c r="AJ975" s="465"/>
      <c r="AK975" s="465"/>
      <c r="AL975" s="20"/>
      <c r="AM975" s="20"/>
      <c r="AN975" s="593"/>
      <c r="AO975" s="20"/>
      <c r="AP975" s="276"/>
      <c r="AQ975" s="276"/>
      <c r="AR975" s="276"/>
      <c r="AS975" s="276"/>
      <c r="AT975" s="276"/>
      <c r="AU975" s="276"/>
      <c r="AV975" s="276"/>
      <c r="AW975" s="276"/>
      <c r="AX975" s="276"/>
      <c r="AY975" s="276"/>
      <c r="AZ975" s="276"/>
      <c r="BA975" s="276"/>
      <c r="BB975" s="276"/>
      <c r="BC975" s="276"/>
    </row>
    <row r="976" spans="1:55" ht="12.75" customHeight="1">
      <c r="A976" s="465"/>
      <c r="B976" s="465"/>
      <c r="C976" s="147"/>
      <c r="D976" s="147"/>
      <c r="E976" s="585"/>
      <c r="F976" s="586"/>
      <c r="G976" s="458"/>
      <c r="H976" s="458"/>
      <c r="I976" s="458"/>
      <c r="J976" s="465"/>
      <c r="K976" s="587"/>
      <c r="L976" s="465"/>
      <c r="M976" s="465"/>
      <c r="N976" s="465"/>
      <c r="O976" s="587"/>
      <c r="P976" s="585"/>
      <c r="Q976" s="465"/>
      <c r="R976" s="458"/>
      <c r="S976" s="585"/>
      <c r="T976" s="588"/>
      <c r="U976" s="589"/>
      <c r="V976" s="587"/>
      <c r="W976" s="465"/>
      <c r="X976" s="465"/>
      <c r="Y976" s="590"/>
      <c r="Z976" s="458"/>
      <c r="AA976" s="591"/>
      <c r="AB976" s="465"/>
      <c r="AC976" s="465"/>
      <c r="AD976" s="465"/>
      <c r="AE976" s="465"/>
      <c r="AF976" s="465"/>
      <c r="AG976" s="465"/>
      <c r="AH976" s="465"/>
      <c r="AI976" s="592"/>
      <c r="AJ976" s="465"/>
      <c r="AK976" s="465"/>
      <c r="AL976" s="20"/>
      <c r="AM976" s="20"/>
      <c r="AN976" s="593"/>
      <c r="AO976" s="20"/>
      <c r="AP976" s="276"/>
      <c r="AQ976" s="276"/>
      <c r="AR976" s="276"/>
      <c r="AS976" s="276"/>
      <c r="AT976" s="276"/>
      <c r="AU976" s="276"/>
      <c r="AV976" s="276"/>
      <c r="AW976" s="276"/>
      <c r="AX976" s="276"/>
      <c r="AY976" s="276"/>
      <c r="AZ976" s="276"/>
      <c r="BA976" s="276"/>
      <c r="BB976" s="276"/>
      <c r="BC976" s="276"/>
    </row>
    <row r="977" spans="1:55" ht="12.75" customHeight="1">
      <c r="A977" s="465"/>
      <c r="B977" s="465"/>
      <c r="C977" s="147"/>
      <c r="D977" s="147"/>
      <c r="E977" s="585"/>
      <c r="F977" s="586"/>
      <c r="G977" s="458"/>
      <c r="H977" s="458"/>
      <c r="I977" s="458"/>
      <c r="J977" s="465"/>
      <c r="K977" s="587"/>
      <c r="L977" s="465"/>
      <c r="M977" s="465"/>
      <c r="N977" s="465"/>
      <c r="O977" s="587"/>
      <c r="P977" s="585"/>
      <c r="Q977" s="465"/>
      <c r="R977" s="458"/>
      <c r="S977" s="585"/>
      <c r="T977" s="588"/>
      <c r="U977" s="589"/>
      <c r="V977" s="587"/>
      <c r="W977" s="465"/>
      <c r="X977" s="465"/>
      <c r="Y977" s="590"/>
      <c r="Z977" s="458"/>
      <c r="AA977" s="591"/>
      <c r="AB977" s="465"/>
      <c r="AC977" s="465"/>
      <c r="AD977" s="465"/>
      <c r="AE977" s="465"/>
      <c r="AF977" s="465"/>
      <c r="AG977" s="465"/>
      <c r="AH977" s="465"/>
      <c r="AI977" s="592"/>
      <c r="AJ977" s="465"/>
      <c r="AK977" s="465"/>
      <c r="AL977" s="20"/>
      <c r="AM977" s="20"/>
      <c r="AN977" s="593"/>
      <c r="AO977" s="20"/>
      <c r="AP977" s="276"/>
      <c r="AQ977" s="276"/>
      <c r="AR977" s="276"/>
      <c r="AS977" s="276"/>
      <c r="AT977" s="276"/>
      <c r="AU977" s="276"/>
      <c r="AV977" s="276"/>
      <c r="AW977" s="276"/>
      <c r="AX977" s="276"/>
      <c r="AY977" s="276"/>
      <c r="AZ977" s="276"/>
      <c r="BA977" s="276"/>
      <c r="BB977" s="276"/>
      <c r="BC977" s="276"/>
    </row>
    <row r="978" spans="1:55" ht="12.75" customHeight="1">
      <c r="A978" s="465"/>
      <c r="B978" s="465"/>
      <c r="C978" s="147"/>
      <c r="D978" s="147"/>
      <c r="E978" s="585"/>
      <c r="F978" s="586"/>
      <c r="G978" s="458"/>
      <c r="H978" s="458"/>
      <c r="I978" s="458"/>
      <c r="J978" s="465"/>
      <c r="K978" s="587"/>
      <c r="L978" s="465"/>
      <c r="M978" s="465"/>
      <c r="N978" s="465"/>
      <c r="O978" s="587"/>
      <c r="P978" s="585"/>
      <c r="Q978" s="465"/>
      <c r="R978" s="458"/>
      <c r="S978" s="585"/>
      <c r="T978" s="588"/>
      <c r="U978" s="589"/>
      <c r="V978" s="587"/>
      <c r="W978" s="465"/>
      <c r="X978" s="465"/>
      <c r="Y978" s="590"/>
      <c r="Z978" s="458"/>
      <c r="AA978" s="591"/>
      <c r="AB978" s="465"/>
      <c r="AC978" s="465"/>
      <c r="AD978" s="465"/>
      <c r="AE978" s="465"/>
      <c r="AF978" s="465"/>
      <c r="AG978" s="465"/>
      <c r="AH978" s="465"/>
      <c r="AI978" s="592"/>
      <c r="AJ978" s="465"/>
      <c r="AK978" s="465"/>
      <c r="AL978" s="20"/>
      <c r="AM978" s="20"/>
      <c r="AN978" s="593"/>
      <c r="AO978" s="20"/>
      <c r="AP978" s="276"/>
      <c r="AQ978" s="276"/>
      <c r="AR978" s="276"/>
      <c r="AS978" s="276"/>
      <c r="AT978" s="276"/>
      <c r="AU978" s="276"/>
      <c r="AV978" s="276"/>
      <c r="AW978" s="276"/>
      <c r="AX978" s="276"/>
      <c r="AY978" s="276"/>
      <c r="AZ978" s="276"/>
      <c r="BA978" s="276"/>
      <c r="BB978" s="276"/>
      <c r="BC978" s="276"/>
    </row>
    <row r="979" spans="1:55" ht="12.75" customHeight="1">
      <c r="A979" s="465"/>
      <c r="B979" s="465"/>
      <c r="C979" s="147"/>
      <c r="D979" s="147"/>
      <c r="E979" s="585"/>
      <c r="F979" s="586"/>
      <c r="G979" s="458"/>
      <c r="H979" s="458"/>
      <c r="I979" s="458"/>
      <c r="J979" s="465"/>
      <c r="K979" s="587"/>
      <c r="L979" s="465"/>
      <c r="M979" s="465"/>
      <c r="N979" s="465"/>
      <c r="O979" s="587"/>
      <c r="P979" s="585"/>
      <c r="Q979" s="465"/>
      <c r="R979" s="458"/>
      <c r="S979" s="585"/>
      <c r="T979" s="588"/>
      <c r="U979" s="589"/>
      <c r="V979" s="587"/>
      <c r="W979" s="465"/>
      <c r="X979" s="465"/>
      <c r="Y979" s="590"/>
      <c r="Z979" s="458"/>
      <c r="AA979" s="591"/>
      <c r="AB979" s="465"/>
      <c r="AC979" s="465"/>
      <c r="AD979" s="465"/>
      <c r="AE979" s="465"/>
      <c r="AF979" s="465"/>
      <c r="AG979" s="465"/>
      <c r="AH979" s="465"/>
      <c r="AI979" s="592"/>
      <c r="AJ979" s="465"/>
      <c r="AK979" s="465"/>
      <c r="AL979" s="20"/>
      <c r="AM979" s="20"/>
      <c r="AN979" s="593"/>
      <c r="AO979" s="20"/>
      <c r="AP979" s="276"/>
      <c r="AQ979" s="276"/>
      <c r="AR979" s="276"/>
      <c r="AS979" s="276"/>
      <c r="AT979" s="276"/>
      <c r="AU979" s="276"/>
      <c r="AV979" s="276"/>
      <c r="AW979" s="276"/>
      <c r="AX979" s="276"/>
      <c r="AY979" s="276"/>
      <c r="AZ979" s="276"/>
      <c r="BA979" s="276"/>
      <c r="BB979" s="276"/>
      <c r="BC979" s="276"/>
    </row>
    <row r="980" spans="1:55" ht="12.75" customHeight="1">
      <c r="A980" s="465"/>
      <c r="B980" s="465"/>
      <c r="C980" s="147"/>
      <c r="D980" s="147"/>
      <c r="E980" s="585"/>
      <c r="F980" s="586"/>
      <c r="G980" s="458"/>
      <c r="H980" s="458"/>
      <c r="I980" s="458"/>
      <c r="J980" s="465"/>
      <c r="K980" s="587"/>
      <c r="L980" s="465"/>
      <c r="M980" s="465"/>
      <c r="N980" s="465"/>
      <c r="O980" s="587"/>
      <c r="P980" s="585"/>
      <c r="Q980" s="465"/>
      <c r="R980" s="458"/>
      <c r="S980" s="585"/>
      <c r="T980" s="588"/>
      <c r="U980" s="589"/>
      <c r="V980" s="587"/>
      <c r="W980" s="465"/>
      <c r="X980" s="465"/>
      <c r="Y980" s="590"/>
      <c r="Z980" s="458"/>
      <c r="AA980" s="591"/>
      <c r="AB980" s="465"/>
      <c r="AC980" s="465"/>
      <c r="AD980" s="465"/>
      <c r="AE980" s="465"/>
      <c r="AF980" s="465"/>
      <c r="AG980" s="465"/>
      <c r="AH980" s="465"/>
      <c r="AI980" s="592"/>
      <c r="AJ980" s="465"/>
      <c r="AK980" s="465"/>
      <c r="AL980" s="20"/>
      <c r="AM980" s="20"/>
      <c r="AN980" s="593"/>
      <c r="AO980" s="20"/>
      <c r="AP980" s="276"/>
      <c r="AQ980" s="276"/>
      <c r="AR980" s="276"/>
      <c r="AS980" s="276"/>
      <c r="AT980" s="276"/>
      <c r="AU980" s="276"/>
      <c r="AV980" s="276"/>
      <c r="AW980" s="276"/>
      <c r="AX980" s="276"/>
      <c r="AY980" s="276"/>
      <c r="AZ980" s="276"/>
      <c r="BA980" s="276"/>
      <c r="BB980" s="276"/>
      <c r="BC980" s="276"/>
    </row>
    <row r="981" spans="1:55" ht="12.75" customHeight="1">
      <c r="A981" s="465"/>
      <c r="B981" s="465"/>
      <c r="C981" s="147"/>
      <c r="D981" s="147"/>
      <c r="E981" s="585"/>
      <c r="F981" s="586"/>
      <c r="G981" s="458"/>
      <c r="H981" s="458"/>
      <c r="I981" s="458"/>
      <c r="J981" s="465"/>
      <c r="K981" s="587"/>
      <c r="L981" s="465"/>
      <c r="M981" s="465"/>
      <c r="N981" s="465"/>
      <c r="O981" s="587"/>
      <c r="P981" s="585"/>
      <c r="Q981" s="465"/>
      <c r="R981" s="458"/>
      <c r="S981" s="585"/>
      <c r="T981" s="588"/>
      <c r="U981" s="589"/>
      <c r="V981" s="587"/>
      <c r="W981" s="465"/>
      <c r="X981" s="465"/>
      <c r="Y981" s="590"/>
      <c r="Z981" s="458"/>
      <c r="AA981" s="591"/>
      <c r="AB981" s="465"/>
      <c r="AC981" s="465"/>
      <c r="AD981" s="465"/>
      <c r="AE981" s="465"/>
      <c r="AF981" s="465"/>
      <c r="AG981" s="465"/>
      <c r="AH981" s="465"/>
      <c r="AI981" s="592"/>
      <c r="AJ981" s="465"/>
      <c r="AK981" s="465"/>
      <c r="AL981" s="20"/>
      <c r="AM981" s="20"/>
      <c r="AN981" s="593"/>
      <c r="AO981" s="20"/>
      <c r="AP981" s="276"/>
      <c r="AQ981" s="276"/>
      <c r="AR981" s="276"/>
      <c r="AS981" s="276"/>
      <c r="AT981" s="276"/>
      <c r="AU981" s="276"/>
      <c r="AV981" s="276"/>
      <c r="AW981" s="276"/>
      <c r="AX981" s="276"/>
      <c r="AY981" s="276"/>
      <c r="AZ981" s="276"/>
      <c r="BA981" s="276"/>
      <c r="BB981" s="276"/>
      <c r="BC981" s="276"/>
    </row>
    <row r="982" spans="1:55" ht="12.75" customHeight="1">
      <c r="A982" s="465"/>
      <c r="B982" s="465"/>
      <c r="C982" s="147"/>
      <c r="D982" s="147"/>
      <c r="E982" s="585"/>
      <c r="F982" s="586"/>
      <c r="G982" s="458"/>
      <c r="H982" s="458"/>
      <c r="I982" s="458"/>
      <c r="J982" s="465"/>
      <c r="K982" s="587"/>
      <c r="L982" s="465"/>
      <c r="M982" s="465"/>
      <c r="N982" s="465"/>
      <c r="O982" s="587"/>
      <c r="P982" s="585"/>
      <c r="Q982" s="465"/>
      <c r="R982" s="458"/>
      <c r="S982" s="585"/>
      <c r="T982" s="588"/>
      <c r="U982" s="589"/>
      <c r="V982" s="587"/>
      <c r="W982" s="465"/>
      <c r="X982" s="465"/>
      <c r="Y982" s="590"/>
      <c r="Z982" s="458"/>
      <c r="AA982" s="591"/>
      <c r="AB982" s="465"/>
      <c r="AC982" s="465"/>
      <c r="AD982" s="465"/>
      <c r="AE982" s="465"/>
      <c r="AF982" s="465"/>
      <c r="AG982" s="465"/>
      <c r="AH982" s="465"/>
      <c r="AI982" s="592"/>
      <c r="AJ982" s="465"/>
      <c r="AK982" s="465"/>
      <c r="AL982" s="20"/>
      <c r="AM982" s="20"/>
      <c r="AN982" s="593"/>
      <c r="AO982" s="20"/>
      <c r="AP982" s="276"/>
      <c r="AQ982" s="276"/>
      <c r="AR982" s="276"/>
      <c r="AS982" s="276"/>
      <c r="AT982" s="276"/>
      <c r="AU982" s="276"/>
      <c r="AV982" s="276"/>
      <c r="AW982" s="276"/>
      <c r="AX982" s="276"/>
      <c r="AY982" s="276"/>
      <c r="AZ982" s="276"/>
      <c r="BA982" s="276"/>
      <c r="BB982" s="276"/>
      <c r="BC982" s="276"/>
    </row>
    <row r="983" spans="1:55" ht="12.75" customHeight="1">
      <c r="A983" s="465"/>
      <c r="B983" s="465"/>
      <c r="C983" s="147"/>
      <c r="D983" s="147"/>
      <c r="E983" s="585"/>
      <c r="F983" s="586"/>
      <c r="G983" s="458"/>
      <c r="H983" s="458"/>
      <c r="I983" s="458"/>
      <c r="J983" s="465"/>
      <c r="K983" s="587"/>
      <c r="L983" s="465"/>
      <c r="M983" s="465"/>
      <c r="N983" s="465"/>
      <c r="O983" s="587"/>
      <c r="P983" s="585"/>
      <c r="Q983" s="465"/>
      <c r="R983" s="458"/>
      <c r="S983" s="585"/>
      <c r="T983" s="588"/>
      <c r="U983" s="589"/>
      <c r="V983" s="587"/>
      <c r="W983" s="465"/>
      <c r="X983" s="465"/>
      <c r="Y983" s="590"/>
      <c r="Z983" s="458"/>
      <c r="AA983" s="591"/>
      <c r="AB983" s="465"/>
      <c r="AC983" s="465"/>
      <c r="AD983" s="465"/>
      <c r="AE983" s="465"/>
      <c r="AF983" s="465"/>
      <c r="AG983" s="465"/>
      <c r="AH983" s="465"/>
      <c r="AI983" s="592"/>
      <c r="AJ983" s="465"/>
      <c r="AK983" s="465"/>
      <c r="AL983" s="20"/>
      <c r="AM983" s="20"/>
      <c r="AN983" s="593"/>
      <c r="AO983" s="20"/>
      <c r="AP983" s="276"/>
      <c r="AQ983" s="276"/>
      <c r="AR983" s="276"/>
      <c r="AS983" s="276"/>
      <c r="AT983" s="276"/>
      <c r="AU983" s="276"/>
      <c r="AV983" s="276"/>
      <c r="AW983" s="276"/>
      <c r="AX983" s="276"/>
      <c r="AY983" s="276"/>
      <c r="AZ983" s="276"/>
      <c r="BA983" s="276"/>
      <c r="BB983" s="276"/>
      <c r="BC983" s="276"/>
    </row>
    <row r="984" spans="1:55" ht="12.75" customHeight="1">
      <c r="A984" s="465"/>
      <c r="B984" s="465"/>
      <c r="C984" s="147"/>
      <c r="D984" s="147"/>
      <c r="E984" s="585"/>
      <c r="F984" s="586"/>
      <c r="G984" s="458"/>
      <c r="H984" s="458"/>
      <c r="I984" s="458"/>
      <c r="J984" s="465"/>
      <c r="K984" s="587"/>
      <c r="L984" s="465"/>
      <c r="M984" s="465"/>
      <c r="N984" s="465"/>
      <c r="O984" s="587"/>
      <c r="P984" s="585"/>
      <c r="Q984" s="465"/>
      <c r="R984" s="458"/>
      <c r="S984" s="585"/>
      <c r="T984" s="588"/>
      <c r="U984" s="589"/>
      <c r="V984" s="587"/>
      <c r="W984" s="465"/>
      <c r="X984" s="465"/>
      <c r="Y984" s="590"/>
      <c r="Z984" s="458"/>
      <c r="AA984" s="591"/>
      <c r="AB984" s="465"/>
      <c r="AC984" s="465"/>
      <c r="AD984" s="465"/>
      <c r="AE984" s="465"/>
      <c r="AF984" s="465"/>
      <c r="AG984" s="465"/>
      <c r="AH984" s="465"/>
      <c r="AI984" s="592"/>
      <c r="AJ984" s="465"/>
      <c r="AK984" s="465"/>
      <c r="AL984" s="20"/>
      <c r="AM984" s="20"/>
      <c r="AN984" s="593"/>
      <c r="AO984" s="20"/>
      <c r="AP984" s="276"/>
      <c r="AQ984" s="276"/>
      <c r="AR984" s="276"/>
      <c r="AS984" s="276"/>
      <c r="AT984" s="276"/>
      <c r="AU984" s="276"/>
      <c r="AV984" s="276"/>
      <c r="AW984" s="276"/>
      <c r="AX984" s="276"/>
      <c r="AY984" s="276"/>
      <c r="AZ984" s="276"/>
      <c r="BA984" s="276"/>
      <c r="BB984" s="276"/>
      <c r="BC984" s="276"/>
    </row>
    <row r="985" spans="1:55" ht="12.75" customHeight="1">
      <c r="A985" s="465"/>
      <c r="B985" s="465"/>
      <c r="C985" s="147"/>
      <c r="D985" s="147"/>
      <c r="E985" s="585"/>
      <c r="F985" s="586"/>
      <c r="G985" s="458"/>
      <c r="H985" s="458"/>
      <c r="I985" s="458"/>
      <c r="J985" s="465"/>
      <c r="K985" s="587"/>
      <c r="L985" s="465"/>
      <c r="M985" s="465"/>
      <c r="N985" s="465"/>
      <c r="O985" s="587"/>
      <c r="P985" s="585"/>
      <c r="Q985" s="465"/>
      <c r="R985" s="458"/>
      <c r="S985" s="585"/>
      <c r="T985" s="588"/>
      <c r="U985" s="589"/>
      <c r="V985" s="587"/>
      <c r="W985" s="465"/>
      <c r="X985" s="465"/>
      <c r="Y985" s="590"/>
      <c r="Z985" s="458"/>
      <c r="AA985" s="591"/>
      <c r="AB985" s="465"/>
      <c r="AC985" s="465"/>
      <c r="AD985" s="465"/>
      <c r="AE985" s="465"/>
      <c r="AF985" s="465"/>
      <c r="AG985" s="465"/>
      <c r="AH985" s="465"/>
      <c r="AI985" s="592"/>
      <c r="AJ985" s="465"/>
      <c r="AK985" s="465"/>
      <c r="AL985" s="20"/>
      <c r="AM985" s="20"/>
      <c r="AN985" s="593"/>
      <c r="AO985" s="20"/>
      <c r="AP985" s="276"/>
      <c r="AQ985" s="276"/>
      <c r="AR985" s="276"/>
      <c r="AS985" s="276"/>
      <c r="AT985" s="276"/>
      <c r="AU985" s="276"/>
      <c r="AV985" s="276"/>
      <c r="AW985" s="276"/>
      <c r="AX985" s="276"/>
      <c r="AY985" s="276"/>
      <c r="AZ985" s="276"/>
      <c r="BA985" s="276"/>
      <c r="BB985" s="276"/>
      <c r="BC985" s="276"/>
    </row>
    <row r="986" spans="1:55" ht="12.75" customHeight="1">
      <c r="A986" s="465"/>
      <c r="B986" s="465"/>
      <c r="C986" s="147"/>
      <c r="D986" s="147"/>
      <c r="E986" s="585"/>
      <c r="F986" s="586"/>
      <c r="G986" s="458"/>
      <c r="H986" s="458"/>
      <c r="I986" s="458"/>
      <c r="J986" s="465"/>
      <c r="K986" s="587"/>
      <c r="L986" s="465"/>
      <c r="M986" s="465"/>
      <c r="N986" s="465"/>
      <c r="O986" s="587"/>
      <c r="P986" s="585"/>
      <c r="Q986" s="465"/>
      <c r="R986" s="458"/>
      <c r="S986" s="585"/>
      <c r="T986" s="588"/>
      <c r="U986" s="589"/>
      <c r="V986" s="587"/>
      <c r="W986" s="465"/>
      <c r="X986" s="465"/>
      <c r="Y986" s="590"/>
      <c r="Z986" s="458"/>
      <c r="AA986" s="591"/>
      <c r="AB986" s="465"/>
      <c r="AC986" s="465"/>
      <c r="AD986" s="465"/>
      <c r="AE986" s="465"/>
      <c r="AF986" s="465"/>
      <c r="AG986" s="465"/>
      <c r="AH986" s="465"/>
      <c r="AI986" s="592"/>
      <c r="AJ986" s="465"/>
      <c r="AK986" s="465"/>
      <c r="AL986" s="20"/>
      <c r="AM986" s="20"/>
      <c r="AN986" s="593"/>
      <c r="AO986" s="20"/>
      <c r="AP986" s="276"/>
      <c r="AQ986" s="276"/>
      <c r="AR986" s="276"/>
      <c r="AS986" s="276"/>
      <c r="AT986" s="276"/>
      <c r="AU986" s="276"/>
      <c r="AV986" s="276"/>
      <c r="AW986" s="276"/>
      <c r="AX986" s="276"/>
      <c r="AY986" s="276"/>
      <c r="AZ986" s="276"/>
      <c r="BA986" s="276"/>
      <c r="BB986" s="276"/>
      <c r="BC986" s="276"/>
    </row>
    <row r="987" spans="1:55" ht="12.75" customHeight="1">
      <c r="A987" s="465"/>
      <c r="B987" s="465"/>
      <c r="C987" s="147"/>
      <c r="D987" s="147"/>
      <c r="E987" s="585"/>
      <c r="F987" s="586"/>
      <c r="G987" s="458"/>
      <c r="H987" s="458"/>
      <c r="I987" s="458"/>
      <c r="J987" s="465"/>
      <c r="K987" s="587"/>
      <c r="L987" s="465"/>
      <c r="M987" s="465"/>
      <c r="N987" s="465"/>
      <c r="O987" s="587"/>
      <c r="P987" s="585"/>
      <c r="Q987" s="465"/>
      <c r="R987" s="458"/>
      <c r="S987" s="585"/>
      <c r="T987" s="588"/>
      <c r="U987" s="589"/>
      <c r="V987" s="587"/>
      <c r="W987" s="465"/>
      <c r="X987" s="465"/>
      <c r="Y987" s="590"/>
      <c r="Z987" s="458"/>
      <c r="AA987" s="591"/>
      <c r="AB987" s="465"/>
      <c r="AC987" s="465"/>
      <c r="AD987" s="465"/>
      <c r="AE987" s="465"/>
      <c r="AF987" s="465"/>
      <c r="AG987" s="465"/>
      <c r="AH987" s="465"/>
      <c r="AI987" s="592"/>
      <c r="AJ987" s="465"/>
      <c r="AK987" s="465"/>
      <c r="AL987" s="20"/>
      <c r="AM987" s="20"/>
      <c r="AN987" s="593"/>
      <c r="AO987" s="20"/>
      <c r="AP987" s="276"/>
      <c r="AQ987" s="276"/>
      <c r="AR987" s="276"/>
      <c r="AS987" s="276"/>
      <c r="AT987" s="276"/>
      <c r="AU987" s="276"/>
      <c r="AV987" s="276"/>
      <c r="AW987" s="276"/>
      <c r="AX987" s="276"/>
      <c r="AY987" s="276"/>
      <c r="AZ987" s="276"/>
      <c r="BA987" s="276"/>
      <c r="BB987" s="276"/>
      <c r="BC987" s="276"/>
    </row>
    <row r="988" spans="1:55" ht="12.75" customHeight="1">
      <c r="A988" s="465"/>
      <c r="B988" s="465"/>
      <c r="C988" s="147"/>
      <c r="D988" s="147"/>
      <c r="E988" s="585"/>
      <c r="F988" s="586"/>
      <c r="G988" s="458"/>
      <c r="H988" s="458"/>
      <c r="I988" s="458"/>
      <c r="J988" s="465"/>
      <c r="K988" s="587"/>
      <c r="L988" s="465"/>
      <c r="M988" s="465"/>
      <c r="N988" s="465"/>
      <c r="O988" s="587"/>
      <c r="P988" s="585"/>
      <c r="Q988" s="465"/>
      <c r="R988" s="458"/>
      <c r="S988" s="585"/>
      <c r="T988" s="588"/>
      <c r="U988" s="589"/>
      <c r="V988" s="587"/>
      <c r="W988" s="465"/>
      <c r="X988" s="465"/>
      <c r="Y988" s="590"/>
      <c r="Z988" s="458"/>
      <c r="AA988" s="591"/>
      <c r="AB988" s="465"/>
      <c r="AC988" s="465"/>
      <c r="AD988" s="465"/>
      <c r="AE988" s="465"/>
      <c r="AF988" s="465"/>
      <c r="AG988" s="465"/>
      <c r="AH988" s="465"/>
      <c r="AI988" s="592"/>
      <c r="AJ988" s="465"/>
      <c r="AK988" s="465"/>
      <c r="AL988" s="20"/>
      <c r="AM988" s="20"/>
      <c r="AN988" s="593"/>
      <c r="AO988" s="20"/>
      <c r="AP988" s="276"/>
      <c r="AQ988" s="276"/>
      <c r="AR988" s="276"/>
      <c r="AS988" s="276"/>
      <c r="AT988" s="276"/>
      <c r="AU988" s="276"/>
      <c r="AV988" s="276"/>
      <c r="AW988" s="276"/>
      <c r="AX988" s="276"/>
      <c r="AY988" s="276"/>
      <c r="AZ988" s="276"/>
      <c r="BA988" s="276"/>
      <c r="BB988" s="276"/>
      <c r="BC988" s="276"/>
    </row>
    <row r="989" spans="1:55" ht="12.75" customHeight="1">
      <c r="A989" s="465"/>
      <c r="B989" s="465"/>
      <c r="C989" s="147"/>
      <c r="D989" s="147"/>
      <c r="E989" s="585"/>
      <c r="F989" s="586"/>
      <c r="G989" s="458"/>
      <c r="H989" s="458"/>
      <c r="I989" s="458"/>
      <c r="J989" s="465"/>
      <c r="K989" s="587"/>
      <c r="L989" s="465"/>
      <c r="M989" s="465"/>
      <c r="N989" s="465"/>
      <c r="O989" s="587"/>
      <c r="P989" s="585"/>
      <c r="Q989" s="465"/>
      <c r="R989" s="458"/>
      <c r="S989" s="585"/>
      <c r="T989" s="588"/>
      <c r="U989" s="589"/>
      <c r="V989" s="587"/>
      <c r="W989" s="465"/>
      <c r="X989" s="465"/>
      <c r="Y989" s="590"/>
      <c r="Z989" s="458"/>
      <c r="AA989" s="591"/>
      <c r="AB989" s="465"/>
      <c r="AC989" s="465"/>
      <c r="AD989" s="465"/>
      <c r="AE989" s="465"/>
      <c r="AF989" s="465"/>
      <c r="AG989" s="465"/>
      <c r="AH989" s="465"/>
      <c r="AI989" s="592"/>
      <c r="AJ989" s="465"/>
      <c r="AK989" s="465"/>
      <c r="AL989" s="20"/>
      <c r="AM989" s="20"/>
      <c r="AN989" s="593"/>
      <c r="AO989" s="20"/>
      <c r="AP989" s="276"/>
      <c r="AQ989" s="276"/>
      <c r="AR989" s="276"/>
      <c r="AS989" s="276"/>
      <c r="AT989" s="276"/>
      <c r="AU989" s="276"/>
      <c r="AV989" s="276"/>
      <c r="AW989" s="276"/>
      <c r="AX989" s="276"/>
      <c r="AY989" s="276"/>
      <c r="AZ989" s="276"/>
      <c r="BA989" s="276"/>
      <c r="BB989" s="276"/>
      <c r="BC989" s="276"/>
    </row>
    <row r="990" spans="1:55" ht="12.75" customHeight="1">
      <c r="A990" s="465"/>
      <c r="B990" s="465"/>
      <c r="C990" s="147"/>
      <c r="D990" s="147"/>
      <c r="E990" s="585"/>
      <c r="F990" s="586"/>
      <c r="G990" s="458"/>
      <c r="H990" s="458"/>
      <c r="I990" s="458"/>
      <c r="J990" s="465"/>
      <c r="K990" s="587"/>
      <c r="L990" s="465"/>
      <c r="M990" s="465"/>
      <c r="N990" s="465"/>
      <c r="O990" s="587"/>
      <c r="P990" s="585"/>
      <c r="Q990" s="465"/>
      <c r="R990" s="458"/>
      <c r="S990" s="585"/>
      <c r="T990" s="588"/>
      <c r="U990" s="589"/>
      <c r="V990" s="587"/>
      <c r="W990" s="465"/>
      <c r="X990" s="465"/>
      <c r="Y990" s="590"/>
      <c r="Z990" s="458"/>
      <c r="AA990" s="591"/>
      <c r="AB990" s="465"/>
      <c r="AC990" s="465"/>
      <c r="AD990" s="465"/>
      <c r="AE990" s="465"/>
      <c r="AF990" s="465"/>
      <c r="AG990" s="465"/>
      <c r="AH990" s="465"/>
      <c r="AI990" s="592"/>
      <c r="AJ990" s="465"/>
      <c r="AK990" s="465"/>
      <c r="AL990" s="20"/>
      <c r="AM990" s="20"/>
      <c r="AN990" s="593"/>
      <c r="AO990" s="20"/>
      <c r="AP990" s="276"/>
      <c r="AQ990" s="276"/>
      <c r="AR990" s="276"/>
      <c r="AS990" s="276"/>
      <c r="AT990" s="276"/>
      <c r="AU990" s="276"/>
      <c r="AV990" s="276"/>
      <c r="AW990" s="276"/>
      <c r="AX990" s="276"/>
      <c r="AY990" s="276"/>
      <c r="AZ990" s="276"/>
      <c r="BA990" s="276"/>
      <c r="BB990" s="276"/>
      <c r="BC990" s="276"/>
    </row>
    <row r="991" spans="1:55" ht="12.75" customHeight="1">
      <c r="A991" s="465"/>
      <c r="B991" s="465"/>
      <c r="C991" s="147"/>
      <c r="D991" s="147"/>
      <c r="E991" s="585"/>
      <c r="F991" s="586"/>
      <c r="G991" s="458"/>
      <c r="H991" s="458"/>
      <c r="I991" s="458"/>
      <c r="J991" s="465"/>
      <c r="K991" s="587"/>
      <c r="L991" s="465"/>
      <c r="M991" s="465"/>
      <c r="N991" s="465"/>
      <c r="O991" s="587"/>
      <c r="P991" s="585"/>
      <c r="Q991" s="465"/>
      <c r="R991" s="458"/>
      <c r="S991" s="585"/>
      <c r="T991" s="588"/>
      <c r="U991" s="589"/>
      <c r="V991" s="587"/>
      <c r="W991" s="465"/>
      <c r="X991" s="465"/>
      <c r="Y991" s="590"/>
      <c r="Z991" s="458"/>
      <c r="AA991" s="591"/>
      <c r="AB991" s="465"/>
      <c r="AC991" s="465"/>
      <c r="AD991" s="465"/>
      <c r="AE991" s="465"/>
      <c r="AF991" s="465"/>
      <c r="AG991" s="465"/>
      <c r="AH991" s="465"/>
      <c r="AI991" s="592"/>
      <c r="AJ991" s="465"/>
      <c r="AK991" s="465"/>
      <c r="AL991" s="20"/>
      <c r="AM991" s="20"/>
      <c r="AN991" s="593"/>
      <c r="AO991" s="20"/>
      <c r="AP991" s="276"/>
      <c r="AQ991" s="276"/>
      <c r="AR991" s="276"/>
      <c r="AS991" s="276"/>
      <c r="AT991" s="276"/>
      <c r="AU991" s="276"/>
      <c r="AV991" s="276"/>
      <c r="AW991" s="276"/>
      <c r="AX991" s="276"/>
      <c r="AY991" s="276"/>
      <c r="AZ991" s="276"/>
      <c r="BA991" s="276"/>
      <c r="BB991" s="276"/>
      <c r="BC991" s="276"/>
    </row>
    <row r="992" spans="1:55" ht="12.75" customHeight="1">
      <c r="A992" s="465"/>
      <c r="B992" s="465"/>
      <c r="C992" s="147"/>
      <c r="D992" s="147"/>
      <c r="E992" s="585"/>
      <c r="F992" s="586"/>
      <c r="G992" s="458"/>
      <c r="H992" s="458"/>
      <c r="I992" s="458"/>
      <c r="J992" s="465"/>
      <c r="K992" s="587"/>
      <c r="L992" s="465"/>
      <c r="M992" s="465"/>
      <c r="N992" s="465"/>
      <c r="O992" s="587"/>
      <c r="P992" s="585"/>
      <c r="Q992" s="465"/>
      <c r="R992" s="458"/>
      <c r="S992" s="585"/>
      <c r="T992" s="588"/>
      <c r="U992" s="589"/>
      <c r="V992" s="587"/>
      <c r="W992" s="465"/>
      <c r="X992" s="465"/>
      <c r="Y992" s="590"/>
      <c r="Z992" s="458"/>
      <c r="AA992" s="591"/>
      <c r="AB992" s="465"/>
      <c r="AC992" s="465"/>
      <c r="AD992" s="465"/>
      <c r="AE992" s="465"/>
      <c r="AF992" s="465"/>
      <c r="AG992" s="465"/>
      <c r="AH992" s="465"/>
      <c r="AI992" s="592"/>
      <c r="AJ992" s="465"/>
      <c r="AK992" s="465"/>
      <c r="AL992" s="20"/>
      <c r="AM992" s="20"/>
      <c r="AN992" s="593"/>
      <c r="AO992" s="20"/>
      <c r="AP992" s="276"/>
      <c r="AQ992" s="276"/>
      <c r="AR992" s="276"/>
      <c r="AS992" s="276"/>
      <c r="AT992" s="276"/>
      <c r="AU992" s="276"/>
      <c r="AV992" s="276"/>
      <c r="AW992" s="276"/>
      <c r="AX992" s="276"/>
      <c r="AY992" s="276"/>
      <c r="AZ992" s="276"/>
      <c r="BA992" s="276"/>
      <c r="BB992" s="276"/>
      <c r="BC992" s="276"/>
    </row>
    <row r="993" spans="1:55" ht="12.75" customHeight="1">
      <c r="A993" s="465"/>
      <c r="B993" s="465"/>
      <c r="C993" s="147"/>
      <c r="D993" s="147"/>
      <c r="E993" s="585"/>
      <c r="F993" s="586"/>
      <c r="G993" s="458"/>
      <c r="H993" s="458"/>
      <c r="I993" s="458"/>
      <c r="J993" s="465"/>
      <c r="K993" s="587"/>
      <c r="L993" s="465"/>
      <c r="M993" s="465"/>
      <c r="N993" s="465"/>
      <c r="O993" s="587"/>
      <c r="P993" s="585"/>
      <c r="Q993" s="465"/>
      <c r="R993" s="458"/>
      <c r="S993" s="585"/>
      <c r="T993" s="588"/>
      <c r="U993" s="589"/>
      <c r="V993" s="587"/>
      <c r="W993" s="465"/>
      <c r="X993" s="465"/>
      <c r="Y993" s="590"/>
      <c r="Z993" s="458"/>
      <c r="AA993" s="591"/>
      <c r="AB993" s="465"/>
      <c r="AC993" s="465"/>
      <c r="AD993" s="465"/>
      <c r="AE993" s="465"/>
      <c r="AF993" s="465"/>
      <c r="AG993" s="465"/>
      <c r="AH993" s="465"/>
      <c r="AI993" s="592"/>
      <c r="AJ993" s="465"/>
      <c r="AK993" s="465"/>
      <c r="AL993" s="20"/>
      <c r="AM993" s="20"/>
      <c r="AN993" s="593"/>
      <c r="AO993" s="20"/>
      <c r="AP993" s="276"/>
      <c r="AQ993" s="276"/>
      <c r="AR993" s="276"/>
      <c r="AS993" s="276"/>
      <c r="AT993" s="276"/>
      <c r="AU993" s="276"/>
      <c r="AV993" s="276"/>
      <c r="AW993" s="276"/>
      <c r="AX993" s="276"/>
      <c r="AY993" s="276"/>
      <c r="AZ993" s="276"/>
      <c r="BA993" s="276"/>
      <c r="BB993" s="276"/>
      <c r="BC993" s="276"/>
    </row>
    <row r="994" spans="1:55" ht="12.75" customHeight="1">
      <c r="A994" s="465"/>
      <c r="B994" s="465"/>
      <c r="C994" s="147"/>
      <c r="D994" s="147"/>
      <c r="E994" s="585"/>
      <c r="F994" s="586"/>
      <c r="G994" s="458"/>
      <c r="H994" s="458"/>
      <c r="I994" s="458"/>
      <c r="J994" s="465"/>
      <c r="K994" s="587"/>
      <c r="L994" s="465"/>
      <c r="M994" s="465"/>
      <c r="N994" s="465"/>
      <c r="O994" s="587"/>
      <c r="P994" s="585"/>
      <c r="Q994" s="465"/>
      <c r="R994" s="458"/>
      <c r="S994" s="585"/>
      <c r="T994" s="588"/>
      <c r="U994" s="589"/>
      <c r="V994" s="587"/>
      <c r="W994" s="465"/>
      <c r="X994" s="465"/>
      <c r="Y994" s="590"/>
      <c r="Z994" s="458"/>
      <c r="AA994" s="591"/>
      <c r="AB994" s="465"/>
      <c r="AC994" s="465"/>
      <c r="AD994" s="465"/>
      <c r="AE994" s="465"/>
      <c r="AF994" s="465"/>
      <c r="AG994" s="465"/>
      <c r="AH994" s="465"/>
      <c r="AI994" s="592"/>
      <c r="AJ994" s="465"/>
      <c r="AK994" s="465"/>
      <c r="AL994" s="20"/>
      <c r="AM994" s="20"/>
      <c r="AN994" s="593"/>
      <c r="AO994" s="20"/>
      <c r="AP994" s="276"/>
      <c r="AQ994" s="276"/>
      <c r="AR994" s="276"/>
      <c r="AS994" s="276"/>
      <c r="AT994" s="276"/>
      <c r="AU994" s="276"/>
      <c r="AV994" s="276"/>
      <c r="AW994" s="276"/>
      <c r="AX994" s="276"/>
      <c r="AY994" s="276"/>
      <c r="AZ994" s="276"/>
      <c r="BA994" s="276"/>
      <c r="BB994" s="276"/>
      <c r="BC994" s="276"/>
    </row>
    <row r="995" spans="1:55" ht="12.75" customHeight="1">
      <c r="A995" s="465"/>
      <c r="B995" s="465"/>
      <c r="C995" s="147"/>
      <c r="D995" s="147"/>
      <c r="E995" s="585"/>
      <c r="F995" s="586"/>
      <c r="G995" s="458"/>
      <c r="H995" s="458"/>
      <c r="I995" s="458"/>
      <c r="J995" s="465"/>
      <c r="K995" s="587"/>
      <c r="L995" s="465"/>
      <c r="M995" s="465"/>
      <c r="N995" s="465"/>
      <c r="O995" s="587"/>
      <c r="P995" s="585"/>
      <c r="Q995" s="465"/>
      <c r="R995" s="458"/>
      <c r="S995" s="585"/>
      <c r="T995" s="588"/>
      <c r="U995" s="589"/>
      <c r="V995" s="587"/>
      <c r="W995" s="465"/>
      <c r="X995" s="465"/>
      <c r="Y995" s="590"/>
      <c r="Z995" s="458"/>
      <c r="AA995" s="591"/>
      <c r="AB995" s="465"/>
      <c r="AC995" s="465"/>
      <c r="AD995" s="465"/>
      <c r="AE995" s="465"/>
      <c r="AF995" s="465"/>
      <c r="AG995" s="465"/>
      <c r="AH995" s="465"/>
      <c r="AI995" s="592"/>
      <c r="AJ995" s="465"/>
      <c r="AK995" s="465"/>
      <c r="AL995" s="20"/>
      <c r="AM995" s="20"/>
      <c r="AN995" s="593"/>
      <c r="AO995" s="20"/>
      <c r="AP995" s="276"/>
      <c r="AQ995" s="276"/>
      <c r="AR995" s="276"/>
      <c r="AS995" s="276"/>
      <c r="AT995" s="276"/>
      <c r="AU995" s="276"/>
      <c r="AV995" s="276"/>
      <c r="AW995" s="276"/>
      <c r="AX995" s="276"/>
      <c r="AY995" s="276"/>
      <c r="AZ995" s="276"/>
      <c r="BA995" s="276"/>
      <c r="BB995" s="276"/>
      <c r="BC995" s="276"/>
    </row>
    <row r="996" spans="1:55" ht="12.75" customHeight="1">
      <c r="A996" s="465"/>
      <c r="B996" s="465"/>
      <c r="C996" s="147"/>
      <c r="D996" s="147"/>
      <c r="E996" s="585"/>
      <c r="F996" s="586"/>
      <c r="G996" s="458"/>
      <c r="H996" s="458"/>
      <c r="I996" s="458"/>
      <c r="J996" s="465"/>
      <c r="K996" s="587"/>
      <c r="L996" s="465"/>
      <c r="M996" s="465"/>
      <c r="N996" s="465"/>
      <c r="O996" s="587"/>
      <c r="P996" s="585"/>
      <c r="Q996" s="465"/>
      <c r="R996" s="458"/>
      <c r="S996" s="585"/>
      <c r="T996" s="588"/>
      <c r="U996" s="589"/>
      <c r="V996" s="587"/>
      <c r="W996" s="465"/>
      <c r="X996" s="465"/>
      <c r="Y996" s="590"/>
      <c r="Z996" s="458"/>
      <c r="AA996" s="591"/>
      <c r="AB996" s="465"/>
      <c r="AC996" s="465"/>
      <c r="AD996" s="465"/>
      <c r="AE996" s="465"/>
      <c r="AF996" s="465"/>
      <c r="AG996" s="465"/>
      <c r="AH996" s="465"/>
      <c r="AI996" s="592"/>
      <c r="AJ996" s="465"/>
      <c r="AK996" s="465"/>
      <c r="AL996" s="20"/>
      <c r="AM996" s="20"/>
      <c r="AN996" s="593"/>
      <c r="AO996" s="20"/>
      <c r="AP996" s="276"/>
      <c r="AQ996" s="276"/>
      <c r="AR996" s="276"/>
      <c r="AS996" s="276"/>
      <c r="AT996" s="276"/>
      <c r="AU996" s="276"/>
      <c r="AV996" s="276"/>
      <c r="AW996" s="276"/>
      <c r="AX996" s="276"/>
      <c r="AY996" s="276"/>
      <c r="AZ996" s="276"/>
      <c r="BA996" s="276"/>
      <c r="BB996" s="276"/>
      <c r="BC996" s="276"/>
    </row>
    <row r="997" spans="1:55" ht="12.75" customHeight="1">
      <c r="A997" s="465"/>
      <c r="B997" s="465"/>
      <c r="C997" s="147"/>
      <c r="D997" s="147"/>
      <c r="E997" s="585"/>
      <c r="F997" s="586"/>
      <c r="G997" s="458"/>
      <c r="H997" s="458"/>
      <c r="I997" s="458"/>
      <c r="J997" s="465"/>
      <c r="K997" s="587"/>
      <c r="L997" s="465"/>
      <c r="M997" s="465"/>
      <c r="N997" s="465"/>
      <c r="O997" s="587"/>
      <c r="P997" s="585"/>
      <c r="Q997" s="465"/>
      <c r="R997" s="458"/>
      <c r="S997" s="585"/>
      <c r="T997" s="588"/>
      <c r="U997" s="589"/>
      <c r="V997" s="587"/>
      <c r="W997" s="465"/>
      <c r="X997" s="465"/>
      <c r="Y997" s="590"/>
      <c r="Z997" s="458"/>
      <c r="AA997" s="591"/>
      <c r="AB997" s="465"/>
      <c r="AC997" s="465"/>
      <c r="AD997" s="465"/>
      <c r="AE997" s="465"/>
      <c r="AF997" s="465"/>
      <c r="AG997" s="465"/>
      <c r="AH997" s="465"/>
      <c r="AI997" s="592"/>
      <c r="AJ997" s="465"/>
      <c r="AK997" s="465"/>
      <c r="AL997" s="20"/>
      <c r="AM997" s="20"/>
      <c r="AN997" s="593"/>
      <c r="AO997" s="20"/>
      <c r="AP997" s="276"/>
      <c r="AQ997" s="276"/>
      <c r="AR997" s="276"/>
      <c r="AS997" s="276"/>
      <c r="AT997" s="276"/>
      <c r="AU997" s="276"/>
      <c r="AV997" s="276"/>
      <c r="AW997" s="276"/>
      <c r="AX997" s="276"/>
      <c r="AY997" s="276"/>
      <c r="AZ997" s="276"/>
      <c r="BA997" s="276"/>
      <c r="BB997" s="276"/>
      <c r="BC997" s="276"/>
    </row>
    <row r="998" spans="1:55" ht="12.75" customHeight="1">
      <c r="A998" s="465"/>
      <c r="B998" s="465"/>
      <c r="C998" s="147"/>
      <c r="D998" s="147"/>
      <c r="E998" s="585"/>
      <c r="F998" s="586"/>
      <c r="G998" s="458"/>
      <c r="H998" s="458"/>
      <c r="I998" s="458"/>
      <c r="J998" s="465"/>
      <c r="K998" s="587"/>
      <c r="L998" s="465"/>
      <c r="M998" s="465"/>
      <c r="N998" s="465"/>
      <c r="O998" s="587"/>
      <c r="P998" s="585"/>
      <c r="Q998" s="465"/>
      <c r="R998" s="458"/>
      <c r="S998" s="585"/>
      <c r="T998" s="588"/>
      <c r="U998" s="589"/>
      <c r="V998" s="587"/>
      <c r="W998" s="465"/>
      <c r="X998" s="465"/>
      <c r="Y998" s="590"/>
      <c r="Z998" s="458"/>
      <c r="AA998" s="591"/>
      <c r="AB998" s="465"/>
      <c r="AC998" s="465"/>
      <c r="AD998" s="465"/>
      <c r="AE998" s="465"/>
      <c r="AF998" s="465"/>
      <c r="AG998" s="465"/>
      <c r="AH998" s="465"/>
      <c r="AI998" s="592"/>
      <c r="AJ998" s="465"/>
      <c r="AK998" s="465"/>
      <c r="AL998" s="20"/>
      <c r="AM998" s="20"/>
      <c r="AN998" s="593"/>
      <c r="AO998" s="20"/>
      <c r="AP998" s="276"/>
      <c r="AQ998" s="276"/>
      <c r="AR998" s="276"/>
      <c r="AS998" s="276"/>
      <c r="AT998" s="276"/>
      <c r="AU998" s="276"/>
      <c r="AV998" s="276"/>
      <c r="AW998" s="276"/>
      <c r="AX998" s="276"/>
      <c r="AY998" s="276"/>
      <c r="AZ998" s="276"/>
      <c r="BA998" s="276"/>
      <c r="BB998" s="276"/>
      <c r="BC998" s="276"/>
    </row>
    <row r="999" spans="1:55" ht="12.75" customHeight="1">
      <c r="A999" s="465"/>
      <c r="B999" s="465"/>
      <c r="C999" s="147"/>
      <c r="D999" s="147"/>
      <c r="E999" s="585"/>
      <c r="F999" s="586"/>
      <c r="G999" s="458"/>
      <c r="H999" s="458"/>
      <c r="I999" s="458"/>
      <c r="J999" s="465"/>
      <c r="K999" s="587"/>
      <c r="L999" s="465"/>
      <c r="M999" s="465"/>
      <c r="N999" s="465"/>
      <c r="O999" s="587"/>
      <c r="P999" s="585"/>
      <c r="Q999" s="465"/>
      <c r="R999" s="458"/>
      <c r="S999" s="585"/>
      <c r="T999" s="588"/>
      <c r="U999" s="589"/>
      <c r="V999" s="587"/>
      <c r="W999" s="465"/>
      <c r="X999" s="465"/>
      <c r="Y999" s="590"/>
      <c r="Z999" s="458"/>
      <c r="AA999" s="591"/>
      <c r="AB999" s="465"/>
      <c r="AC999" s="465"/>
      <c r="AD999" s="465"/>
      <c r="AE999" s="465"/>
      <c r="AF999" s="465"/>
      <c r="AG999" s="465"/>
      <c r="AH999" s="465"/>
      <c r="AI999" s="592"/>
      <c r="AJ999" s="465"/>
      <c r="AK999" s="465"/>
      <c r="AL999" s="20"/>
      <c r="AM999" s="20"/>
      <c r="AN999" s="593"/>
      <c r="AO999" s="20"/>
      <c r="AP999" s="276"/>
      <c r="AQ999" s="276"/>
      <c r="AR999" s="276"/>
      <c r="AS999" s="276"/>
      <c r="AT999" s="276"/>
      <c r="AU999" s="276"/>
      <c r="AV999" s="276"/>
      <c r="AW999" s="276"/>
      <c r="AX999" s="276"/>
      <c r="AY999" s="276"/>
      <c r="AZ999" s="276"/>
      <c r="BA999" s="276"/>
      <c r="BB999" s="276"/>
      <c r="BC999" s="276"/>
    </row>
    <row r="1000" spans="1:55" ht="12.75" customHeight="1">
      <c r="A1000" s="465"/>
      <c r="B1000" s="465"/>
      <c r="C1000" s="147"/>
      <c r="D1000" s="147"/>
      <c r="E1000" s="585"/>
      <c r="F1000" s="586"/>
      <c r="G1000" s="458"/>
      <c r="H1000" s="458"/>
      <c r="I1000" s="458"/>
      <c r="J1000" s="465"/>
      <c r="K1000" s="587"/>
      <c r="L1000" s="465"/>
      <c r="M1000" s="465"/>
      <c r="N1000" s="465"/>
      <c r="O1000" s="587"/>
      <c r="P1000" s="585"/>
      <c r="Q1000" s="465"/>
      <c r="R1000" s="458"/>
      <c r="S1000" s="585"/>
      <c r="T1000" s="588"/>
      <c r="U1000" s="589"/>
      <c r="V1000" s="587"/>
      <c r="W1000" s="465"/>
      <c r="X1000" s="465"/>
      <c r="Y1000" s="590"/>
      <c r="Z1000" s="458"/>
      <c r="AA1000" s="591"/>
      <c r="AB1000" s="465"/>
      <c r="AC1000" s="465"/>
      <c r="AD1000" s="465"/>
      <c r="AE1000" s="465"/>
      <c r="AF1000" s="465"/>
      <c r="AG1000" s="465"/>
      <c r="AH1000" s="465"/>
      <c r="AI1000" s="592"/>
      <c r="AJ1000" s="465"/>
      <c r="AK1000" s="465"/>
      <c r="AL1000" s="20"/>
      <c r="AM1000" s="20"/>
      <c r="AN1000" s="593"/>
      <c r="AO1000" s="20"/>
      <c r="AP1000" s="276"/>
      <c r="AQ1000" s="276"/>
      <c r="AR1000" s="276"/>
      <c r="AS1000" s="276"/>
      <c r="AT1000" s="276"/>
      <c r="AU1000" s="276"/>
      <c r="AV1000" s="276"/>
      <c r="AW1000" s="276"/>
      <c r="AX1000" s="276"/>
      <c r="AY1000" s="276"/>
      <c r="AZ1000" s="276"/>
      <c r="BA1000" s="276"/>
      <c r="BB1000" s="276"/>
      <c r="BC1000" s="276"/>
    </row>
    <row r="1001" spans="1:55" ht="12.75" customHeight="1">
      <c r="A1001" s="465"/>
      <c r="B1001" s="465"/>
      <c r="C1001" s="147"/>
      <c r="D1001" s="147"/>
      <c r="E1001" s="585"/>
      <c r="F1001" s="586"/>
      <c r="G1001" s="458"/>
      <c r="H1001" s="458"/>
      <c r="I1001" s="458"/>
      <c r="J1001" s="465"/>
      <c r="K1001" s="587"/>
      <c r="L1001" s="465"/>
      <c r="M1001" s="465"/>
      <c r="N1001" s="465"/>
      <c r="O1001" s="587"/>
      <c r="P1001" s="585"/>
      <c r="Q1001" s="465"/>
      <c r="R1001" s="458"/>
      <c r="S1001" s="585"/>
      <c r="T1001" s="588"/>
      <c r="U1001" s="589"/>
      <c r="V1001" s="587"/>
      <c r="W1001" s="465"/>
      <c r="X1001" s="465"/>
      <c r="Y1001" s="590"/>
      <c r="Z1001" s="458"/>
      <c r="AA1001" s="591"/>
      <c r="AB1001" s="465"/>
      <c r="AC1001" s="465"/>
      <c r="AD1001" s="465"/>
      <c r="AE1001" s="465"/>
      <c r="AF1001" s="465"/>
      <c r="AG1001" s="465"/>
      <c r="AH1001" s="465"/>
      <c r="AI1001" s="592"/>
      <c r="AJ1001" s="465"/>
      <c r="AK1001" s="465"/>
      <c r="AL1001" s="20"/>
      <c r="AM1001" s="20"/>
      <c r="AN1001" s="593"/>
      <c r="AO1001" s="20"/>
      <c r="AP1001" s="276"/>
      <c r="AQ1001" s="276"/>
      <c r="AR1001" s="276"/>
      <c r="AS1001" s="276"/>
      <c r="AT1001" s="276"/>
      <c r="AU1001" s="276"/>
      <c r="AV1001" s="276"/>
      <c r="AW1001" s="276"/>
      <c r="AX1001" s="276"/>
      <c r="AY1001" s="276"/>
      <c r="AZ1001" s="276"/>
      <c r="BA1001" s="276"/>
      <c r="BB1001" s="276"/>
      <c r="BC1001" s="276"/>
    </row>
    <row r="1002" spans="1:55" ht="12.75" customHeight="1">
      <c r="A1002" s="465"/>
      <c r="B1002" s="465"/>
      <c r="C1002" s="147"/>
      <c r="D1002" s="147"/>
      <c r="E1002" s="585"/>
      <c r="F1002" s="586"/>
      <c r="G1002" s="458"/>
      <c r="H1002" s="458"/>
      <c r="I1002" s="458"/>
      <c r="J1002" s="465"/>
      <c r="K1002" s="587"/>
      <c r="L1002" s="465"/>
      <c r="M1002" s="465"/>
      <c r="N1002" s="465"/>
      <c r="O1002" s="587"/>
      <c r="P1002" s="585"/>
      <c r="Q1002" s="465"/>
      <c r="R1002" s="458"/>
      <c r="S1002" s="585"/>
      <c r="T1002" s="588"/>
      <c r="U1002" s="589"/>
      <c r="V1002" s="587"/>
      <c r="W1002" s="465"/>
      <c r="X1002" s="465"/>
      <c r="Y1002" s="590"/>
      <c r="Z1002" s="458"/>
      <c r="AA1002" s="591"/>
      <c r="AB1002" s="465"/>
      <c r="AC1002" s="465"/>
      <c r="AD1002" s="465"/>
      <c r="AE1002" s="465"/>
      <c r="AF1002" s="465"/>
      <c r="AG1002" s="465"/>
      <c r="AH1002" s="465"/>
      <c r="AI1002" s="592"/>
      <c r="AJ1002" s="465"/>
      <c r="AK1002" s="465"/>
      <c r="AL1002" s="20"/>
      <c r="AM1002" s="20"/>
      <c r="AN1002" s="593"/>
      <c r="AO1002" s="20"/>
      <c r="AP1002" s="276"/>
      <c r="AQ1002" s="276"/>
      <c r="AR1002" s="276"/>
      <c r="AS1002" s="276"/>
      <c r="AT1002" s="276"/>
      <c r="AU1002" s="276"/>
      <c r="AV1002" s="276"/>
      <c r="AW1002" s="276"/>
      <c r="AX1002" s="276"/>
      <c r="AY1002" s="276"/>
      <c r="AZ1002" s="276"/>
      <c r="BA1002" s="276"/>
      <c r="BB1002" s="276"/>
      <c r="BC1002" s="276"/>
    </row>
    <row r="1003" spans="1:55" ht="12.75" customHeight="1">
      <c r="A1003" s="465"/>
      <c r="B1003" s="465"/>
      <c r="C1003" s="147"/>
      <c r="D1003" s="147"/>
      <c r="E1003" s="585"/>
      <c r="F1003" s="586"/>
      <c r="G1003" s="458"/>
      <c r="H1003" s="458"/>
      <c r="I1003" s="458"/>
      <c r="J1003" s="465"/>
      <c r="K1003" s="587"/>
      <c r="L1003" s="465"/>
      <c r="M1003" s="465"/>
      <c r="N1003" s="465"/>
      <c r="O1003" s="587"/>
      <c r="P1003" s="585"/>
      <c r="Q1003" s="465"/>
      <c r="R1003" s="458"/>
      <c r="S1003" s="585"/>
      <c r="T1003" s="588"/>
      <c r="U1003" s="589"/>
      <c r="V1003" s="587"/>
      <c r="W1003" s="465"/>
      <c r="X1003" s="465"/>
      <c r="Y1003" s="590"/>
      <c r="Z1003" s="458"/>
      <c r="AA1003" s="591"/>
      <c r="AB1003" s="465"/>
      <c r="AC1003" s="465"/>
      <c r="AD1003" s="465"/>
      <c r="AE1003" s="465"/>
      <c r="AF1003" s="465"/>
      <c r="AG1003" s="465"/>
      <c r="AH1003" s="465"/>
      <c r="AI1003" s="592"/>
      <c r="AJ1003" s="465"/>
      <c r="AK1003" s="465"/>
      <c r="AL1003" s="20"/>
      <c r="AM1003" s="20"/>
      <c r="AN1003" s="593"/>
      <c r="AO1003" s="20"/>
      <c r="AP1003" s="276"/>
      <c r="AQ1003" s="276"/>
      <c r="AR1003" s="276"/>
      <c r="AS1003" s="276"/>
      <c r="AT1003" s="276"/>
      <c r="AU1003" s="276"/>
      <c r="AV1003" s="276"/>
      <c r="AW1003" s="276"/>
      <c r="AX1003" s="276"/>
      <c r="AY1003" s="276"/>
      <c r="AZ1003" s="276"/>
      <c r="BA1003" s="276"/>
      <c r="BB1003" s="276"/>
      <c r="BC1003" s="276"/>
    </row>
    <row r="1004" spans="1:55" ht="12.75" customHeight="1">
      <c r="A1004" s="465"/>
      <c r="B1004" s="465"/>
      <c r="C1004" s="147"/>
      <c r="D1004" s="147"/>
      <c r="E1004" s="585"/>
      <c r="F1004" s="586"/>
      <c r="G1004" s="458"/>
      <c r="H1004" s="458"/>
      <c r="I1004" s="458"/>
      <c r="J1004" s="465"/>
      <c r="K1004" s="587"/>
      <c r="L1004" s="465"/>
      <c r="M1004" s="465"/>
      <c r="N1004" s="465"/>
      <c r="O1004" s="587"/>
      <c r="P1004" s="585"/>
      <c r="Q1004" s="465"/>
      <c r="R1004" s="458"/>
      <c r="S1004" s="585"/>
      <c r="T1004" s="588"/>
      <c r="U1004" s="589"/>
      <c r="V1004" s="587"/>
      <c r="W1004" s="465"/>
      <c r="X1004" s="465"/>
      <c r="Y1004" s="590"/>
      <c r="Z1004" s="458"/>
      <c r="AA1004" s="591"/>
      <c r="AB1004" s="465"/>
      <c r="AC1004" s="465"/>
      <c r="AD1004" s="465"/>
      <c r="AE1004" s="465"/>
      <c r="AF1004" s="465"/>
      <c r="AG1004" s="465"/>
      <c r="AH1004" s="465"/>
      <c r="AI1004" s="592"/>
      <c r="AJ1004" s="465"/>
      <c r="AK1004" s="465"/>
      <c r="AL1004" s="20"/>
      <c r="AM1004" s="20"/>
      <c r="AN1004" s="593"/>
      <c r="AO1004" s="20"/>
      <c r="AP1004" s="276"/>
      <c r="AQ1004" s="276"/>
      <c r="AR1004" s="276"/>
      <c r="AS1004" s="276"/>
      <c r="AT1004" s="276"/>
      <c r="AU1004" s="276"/>
      <c r="AV1004" s="276"/>
      <c r="AW1004" s="276"/>
      <c r="AX1004" s="276"/>
      <c r="AY1004" s="276"/>
      <c r="AZ1004" s="276"/>
      <c r="BA1004" s="276"/>
      <c r="BB1004" s="276"/>
      <c r="BC1004" s="276"/>
    </row>
    <row r="1005" spans="1:55" ht="12.75" customHeight="1">
      <c r="A1005" s="465"/>
      <c r="B1005" s="465"/>
      <c r="C1005" s="147"/>
      <c r="D1005" s="147"/>
      <c r="E1005" s="585"/>
      <c r="F1005" s="586"/>
      <c r="G1005" s="458"/>
      <c r="H1005" s="458"/>
      <c r="I1005" s="458"/>
      <c r="J1005" s="465"/>
      <c r="K1005" s="587"/>
      <c r="L1005" s="465"/>
      <c r="M1005" s="465"/>
      <c r="N1005" s="465"/>
      <c r="O1005" s="587"/>
      <c r="P1005" s="585"/>
      <c r="Q1005" s="465"/>
      <c r="R1005" s="458"/>
      <c r="S1005" s="585"/>
      <c r="T1005" s="588"/>
      <c r="U1005" s="589"/>
      <c r="V1005" s="587"/>
      <c r="W1005" s="465"/>
      <c r="X1005" s="465"/>
      <c r="Y1005" s="590"/>
      <c r="Z1005" s="458"/>
      <c r="AA1005" s="591"/>
      <c r="AB1005" s="465"/>
      <c r="AC1005" s="465"/>
      <c r="AD1005" s="465"/>
      <c r="AE1005" s="465"/>
      <c r="AF1005" s="465"/>
      <c r="AG1005" s="465"/>
      <c r="AH1005" s="465"/>
      <c r="AI1005" s="592"/>
      <c r="AJ1005" s="465"/>
      <c r="AK1005" s="465"/>
      <c r="AL1005" s="20"/>
      <c r="AM1005" s="20"/>
      <c r="AN1005" s="593"/>
      <c r="AO1005" s="20"/>
      <c r="AP1005" s="276"/>
      <c r="AQ1005" s="276"/>
      <c r="AR1005" s="276"/>
      <c r="AS1005" s="276"/>
      <c r="AT1005" s="276"/>
      <c r="AU1005" s="276"/>
      <c r="AV1005" s="276"/>
      <c r="AW1005" s="276"/>
      <c r="AX1005" s="276"/>
      <c r="AY1005" s="276"/>
      <c r="AZ1005" s="276"/>
      <c r="BA1005" s="276"/>
      <c r="BB1005" s="276"/>
      <c r="BC1005" s="276"/>
    </row>
    <row r="1006" spans="1:55" ht="12.75" customHeight="1">
      <c r="A1006" s="465"/>
      <c r="B1006" s="465"/>
      <c r="C1006" s="147"/>
      <c r="D1006" s="147"/>
      <c r="E1006" s="585"/>
      <c r="F1006" s="586"/>
      <c r="G1006" s="458"/>
      <c r="H1006" s="458"/>
      <c r="I1006" s="458"/>
      <c r="J1006" s="465"/>
      <c r="K1006" s="587"/>
      <c r="L1006" s="465"/>
      <c r="M1006" s="465"/>
      <c r="N1006" s="465"/>
      <c r="O1006" s="587"/>
      <c r="P1006" s="585"/>
      <c r="Q1006" s="465"/>
      <c r="R1006" s="458"/>
      <c r="S1006" s="585"/>
      <c r="T1006" s="588"/>
      <c r="U1006" s="589"/>
      <c r="V1006" s="587"/>
      <c r="W1006" s="465"/>
      <c r="X1006" s="465"/>
      <c r="Y1006" s="590"/>
      <c r="Z1006" s="458"/>
      <c r="AA1006" s="591"/>
      <c r="AB1006" s="465"/>
      <c r="AC1006" s="465"/>
      <c r="AD1006" s="465"/>
      <c r="AE1006" s="465"/>
      <c r="AF1006" s="465"/>
      <c r="AG1006" s="465"/>
      <c r="AH1006" s="465"/>
      <c r="AI1006" s="592"/>
      <c r="AJ1006" s="465"/>
      <c r="AK1006" s="465"/>
      <c r="AL1006" s="20"/>
      <c r="AM1006" s="20"/>
      <c r="AN1006" s="593"/>
      <c r="AO1006" s="20"/>
      <c r="AP1006" s="276"/>
      <c r="AQ1006" s="276"/>
      <c r="AR1006" s="276"/>
      <c r="AS1006" s="276"/>
      <c r="AT1006" s="276"/>
      <c r="AU1006" s="276"/>
      <c r="AV1006" s="276"/>
      <c r="AW1006" s="276"/>
      <c r="AX1006" s="276"/>
      <c r="AY1006" s="276"/>
      <c r="AZ1006" s="276"/>
      <c r="BA1006" s="276"/>
      <c r="BB1006" s="276"/>
      <c r="BC1006" s="276"/>
    </row>
    <row r="1007" spans="1:55" ht="12.75" customHeight="1">
      <c r="A1007" s="465"/>
      <c r="B1007" s="465"/>
      <c r="C1007" s="147"/>
      <c r="D1007" s="147"/>
      <c r="E1007" s="585"/>
      <c r="F1007" s="586"/>
      <c r="G1007" s="458"/>
      <c r="H1007" s="458"/>
      <c r="I1007" s="458"/>
      <c r="J1007" s="465"/>
      <c r="K1007" s="587"/>
      <c r="L1007" s="465"/>
      <c r="M1007" s="465"/>
      <c r="N1007" s="465"/>
      <c r="O1007" s="587"/>
      <c r="P1007" s="585"/>
      <c r="Q1007" s="465"/>
      <c r="R1007" s="458"/>
      <c r="S1007" s="585"/>
      <c r="T1007" s="588"/>
      <c r="U1007" s="589"/>
      <c r="V1007" s="587"/>
      <c r="W1007" s="465"/>
      <c r="X1007" s="465"/>
      <c r="Y1007" s="590"/>
      <c r="Z1007" s="458"/>
      <c r="AA1007" s="591"/>
      <c r="AB1007" s="465"/>
      <c r="AC1007" s="465"/>
      <c r="AD1007" s="465"/>
      <c r="AE1007" s="465"/>
      <c r="AF1007" s="465"/>
      <c r="AG1007" s="465"/>
      <c r="AH1007" s="465"/>
      <c r="AI1007" s="592"/>
      <c r="AJ1007" s="465"/>
      <c r="AK1007" s="465"/>
      <c r="AL1007" s="20"/>
      <c r="AM1007" s="20"/>
      <c r="AN1007" s="593"/>
      <c r="AO1007" s="20"/>
      <c r="AP1007" s="276"/>
      <c r="AQ1007" s="276"/>
      <c r="AR1007" s="276"/>
      <c r="AS1007" s="276"/>
      <c r="AT1007" s="276"/>
      <c r="AU1007" s="276"/>
      <c r="AV1007" s="276"/>
      <c r="AW1007" s="276"/>
      <c r="AX1007" s="276"/>
      <c r="AY1007" s="276"/>
      <c r="AZ1007" s="276"/>
      <c r="BA1007" s="276"/>
      <c r="BB1007" s="276"/>
      <c r="BC1007" s="276"/>
    </row>
    <row r="1008" spans="1:55" ht="12.75" customHeight="1">
      <c r="A1008" s="465"/>
      <c r="B1008" s="465"/>
      <c r="C1008" s="147"/>
      <c r="D1008" s="147"/>
      <c r="E1008" s="585"/>
      <c r="F1008" s="586"/>
      <c r="G1008" s="458"/>
      <c r="H1008" s="458"/>
      <c r="I1008" s="458"/>
      <c r="J1008" s="465"/>
      <c r="K1008" s="587"/>
      <c r="L1008" s="465"/>
      <c r="M1008" s="465"/>
      <c r="N1008" s="465"/>
      <c r="O1008" s="587"/>
      <c r="P1008" s="585"/>
      <c r="Q1008" s="465"/>
      <c r="R1008" s="458"/>
      <c r="S1008" s="585"/>
      <c r="T1008" s="588"/>
      <c r="U1008" s="589"/>
      <c r="V1008" s="587"/>
      <c r="W1008" s="465"/>
      <c r="X1008" s="465"/>
      <c r="Y1008" s="590"/>
      <c r="Z1008" s="458"/>
      <c r="AA1008" s="591"/>
      <c r="AB1008" s="465"/>
      <c r="AC1008" s="465"/>
      <c r="AD1008" s="465"/>
      <c r="AE1008" s="465"/>
      <c r="AF1008" s="465"/>
      <c r="AG1008" s="465"/>
      <c r="AH1008" s="465"/>
      <c r="AI1008" s="592"/>
      <c r="AJ1008" s="465"/>
      <c r="AK1008" s="465"/>
      <c r="AL1008" s="20"/>
      <c r="AM1008" s="20"/>
      <c r="AN1008" s="593"/>
      <c r="AO1008" s="20"/>
      <c r="AP1008" s="276"/>
      <c r="AQ1008" s="276"/>
      <c r="AR1008" s="276"/>
      <c r="AS1008" s="276"/>
      <c r="AT1008" s="276"/>
      <c r="AU1008" s="276"/>
      <c r="AV1008" s="276"/>
      <c r="AW1008" s="276"/>
      <c r="AX1008" s="276"/>
      <c r="AY1008" s="276"/>
      <c r="AZ1008" s="276"/>
      <c r="BA1008" s="276"/>
      <c r="BB1008" s="276"/>
      <c r="BC1008" s="276"/>
    </row>
    <row r="1009" spans="1:55" ht="12.75" customHeight="1">
      <c r="A1009" s="465"/>
      <c r="B1009" s="465"/>
      <c r="C1009" s="147"/>
      <c r="D1009" s="147"/>
      <c r="E1009" s="585"/>
      <c r="F1009" s="586"/>
      <c r="G1009" s="458"/>
      <c r="H1009" s="458"/>
      <c r="I1009" s="458"/>
      <c r="J1009" s="465"/>
      <c r="K1009" s="587"/>
      <c r="L1009" s="465"/>
      <c r="M1009" s="465"/>
      <c r="N1009" s="465"/>
      <c r="O1009" s="587"/>
      <c r="P1009" s="585"/>
      <c r="Q1009" s="465"/>
      <c r="R1009" s="458"/>
      <c r="S1009" s="585"/>
      <c r="T1009" s="588"/>
      <c r="U1009" s="589"/>
      <c r="V1009" s="587"/>
      <c r="W1009" s="465"/>
      <c r="X1009" s="465"/>
      <c r="Y1009" s="590"/>
      <c r="Z1009" s="458"/>
      <c r="AA1009" s="591"/>
      <c r="AB1009" s="465"/>
      <c r="AC1009" s="465"/>
      <c r="AD1009" s="465"/>
      <c r="AE1009" s="465"/>
      <c r="AF1009" s="465"/>
      <c r="AG1009" s="465"/>
      <c r="AH1009" s="465"/>
      <c r="AI1009" s="592"/>
      <c r="AJ1009" s="465"/>
      <c r="AK1009" s="465"/>
      <c r="AL1009" s="20"/>
      <c r="AM1009" s="20"/>
      <c r="AN1009" s="593"/>
      <c r="AO1009" s="20"/>
      <c r="AP1009" s="276"/>
      <c r="AQ1009" s="276"/>
      <c r="AR1009" s="276"/>
      <c r="AS1009" s="276"/>
      <c r="AT1009" s="276"/>
      <c r="AU1009" s="276"/>
      <c r="AV1009" s="276"/>
      <c r="AW1009" s="276"/>
      <c r="AX1009" s="276"/>
      <c r="AY1009" s="276"/>
      <c r="AZ1009" s="276"/>
      <c r="BA1009" s="276"/>
      <c r="BB1009" s="276"/>
      <c r="BC1009" s="276"/>
    </row>
    <row r="1010" spans="1:55" ht="12.75" customHeight="1">
      <c r="A1010" s="465"/>
      <c r="B1010" s="465"/>
      <c r="C1010" s="147"/>
      <c r="D1010" s="147"/>
      <c r="E1010" s="585"/>
      <c r="F1010" s="586"/>
      <c r="G1010" s="458"/>
      <c r="H1010" s="458"/>
      <c r="I1010" s="458"/>
      <c r="J1010" s="465"/>
      <c r="K1010" s="587"/>
      <c r="L1010" s="465"/>
      <c r="M1010" s="465"/>
      <c r="N1010" s="465"/>
      <c r="O1010" s="587"/>
      <c r="P1010" s="585"/>
      <c r="Q1010" s="465"/>
      <c r="R1010" s="458"/>
      <c r="S1010" s="585"/>
      <c r="T1010" s="588"/>
      <c r="U1010" s="589"/>
      <c r="V1010" s="587"/>
      <c r="W1010" s="465"/>
      <c r="X1010" s="465"/>
      <c r="Y1010" s="590"/>
      <c r="Z1010" s="458"/>
      <c r="AA1010" s="591"/>
      <c r="AB1010" s="465"/>
      <c r="AC1010" s="465"/>
      <c r="AD1010" s="465"/>
      <c r="AE1010" s="465"/>
      <c r="AF1010" s="465"/>
      <c r="AG1010" s="465"/>
      <c r="AH1010" s="465"/>
      <c r="AI1010" s="592"/>
      <c r="AJ1010" s="465"/>
      <c r="AK1010" s="465"/>
      <c r="AL1010" s="20"/>
      <c r="AM1010" s="20"/>
      <c r="AN1010" s="593"/>
      <c r="AO1010" s="20"/>
      <c r="AP1010" s="276"/>
      <c r="AQ1010" s="276"/>
      <c r="AR1010" s="276"/>
      <c r="AS1010" s="276"/>
      <c r="AT1010" s="276"/>
      <c r="AU1010" s="276"/>
      <c r="AV1010" s="276"/>
      <c r="AW1010" s="276"/>
      <c r="AX1010" s="276"/>
      <c r="AY1010" s="276"/>
      <c r="AZ1010" s="276"/>
      <c r="BA1010" s="276"/>
      <c r="BB1010" s="276"/>
      <c r="BC1010" s="276"/>
    </row>
    <row r="1011" spans="1:55" ht="12.75" customHeight="1">
      <c r="A1011" s="465"/>
      <c r="B1011" s="465"/>
      <c r="C1011" s="147"/>
      <c r="D1011" s="147"/>
      <c r="E1011" s="585"/>
      <c r="F1011" s="586"/>
      <c r="G1011" s="458"/>
      <c r="H1011" s="458"/>
      <c r="I1011" s="458"/>
      <c r="J1011" s="465"/>
      <c r="K1011" s="587"/>
      <c r="L1011" s="465"/>
      <c r="M1011" s="465"/>
      <c r="N1011" s="465"/>
      <c r="O1011" s="587"/>
      <c r="P1011" s="585"/>
      <c r="Q1011" s="465"/>
      <c r="R1011" s="458"/>
      <c r="S1011" s="585"/>
      <c r="T1011" s="588"/>
      <c r="U1011" s="589"/>
      <c r="V1011" s="587"/>
      <c r="W1011" s="465"/>
      <c r="X1011" s="465"/>
      <c r="Y1011" s="590"/>
      <c r="Z1011" s="458"/>
      <c r="AA1011" s="591"/>
      <c r="AB1011" s="465"/>
      <c r="AC1011" s="465"/>
      <c r="AD1011" s="465"/>
      <c r="AE1011" s="465"/>
      <c r="AF1011" s="465"/>
      <c r="AG1011" s="465"/>
      <c r="AH1011" s="465"/>
      <c r="AI1011" s="592"/>
      <c r="AJ1011" s="465"/>
      <c r="AK1011" s="465"/>
      <c r="AL1011" s="20"/>
      <c r="AM1011" s="20"/>
      <c r="AN1011" s="593"/>
      <c r="AO1011" s="20"/>
      <c r="AP1011" s="276"/>
      <c r="AQ1011" s="276"/>
      <c r="AR1011" s="276"/>
      <c r="AS1011" s="276"/>
      <c r="AT1011" s="276"/>
      <c r="AU1011" s="276"/>
      <c r="AV1011" s="276"/>
      <c r="AW1011" s="276"/>
      <c r="AX1011" s="276"/>
      <c r="AY1011" s="276"/>
      <c r="AZ1011" s="276"/>
      <c r="BA1011" s="276"/>
      <c r="BB1011" s="276"/>
      <c r="BC1011" s="276"/>
    </row>
    <row r="1012" spans="1:55" ht="12.75" customHeight="1">
      <c r="A1012" s="465"/>
      <c r="B1012" s="465"/>
      <c r="C1012" s="147"/>
      <c r="D1012" s="147"/>
      <c r="E1012" s="585"/>
      <c r="F1012" s="586"/>
      <c r="G1012" s="458"/>
      <c r="H1012" s="458"/>
      <c r="I1012" s="458"/>
      <c r="J1012" s="465"/>
      <c r="K1012" s="587"/>
      <c r="L1012" s="465"/>
      <c r="M1012" s="465"/>
      <c r="N1012" s="465"/>
      <c r="O1012" s="587"/>
      <c r="P1012" s="585"/>
      <c r="Q1012" s="465"/>
      <c r="R1012" s="458"/>
      <c r="S1012" s="585"/>
      <c r="T1012" s="588"/>
      <c r="U1012" s="589"/>
      <c r="V1012" s="587"/>
      <c r="W1012" s="465"/>
      <c r="X1012" s="465"/>
      <c r="Y1012" s="590"/>
      <c r="Z1012" s="458"/>
      <c r="AA1012" s="591"/>
      <c r="AB1012" s="465"/>
      <c r="AC1012" s="465"/>
      <c r="AD1012" s="465"/>
      <c r="AE1012" s="465"/>
      <c r="AF1012" s="465"/>
      <c r="AG1012" s="465"/>
      <c r="AH1012" s="465"/>
      <c r="AI1012" s="592"/>
      <c r="AJ1012" s="465"/>
      <c r="AK1012" s="465"/>
      <c r="AL1012" s="20"/>
      <c r="AM1012" s="20"/>
      <c r="AN1012" s="593"/>
      <c r="AO1012" s="20"/>
      <c r="AP1012" s="276"/>
      <c r="AQ1012" s="276"/>
      <c r="AR1012" s="276"/>
      <c r="AS1012" s="276"/>
      <c r="AT1012" s="276"/>
      <c r="AU1012" s="276"/>
      <c r="AV1012" s="276"/>
      <c r="AW1012" s="276"/>
      <c r="AX1012" s="276"/>
      <c r="AY1012" s="276"/>
      <c r="AZ1012" s="276"/>
      <c r="BA1012" s="276"/>
      <c r="BB1012" s="276"/>
      <c r="BC1012" s="276"/>
    </row>
    <row r="1013" spans="1:55" ht="12.75" customHeight="1">
      <c r="A1013" s="465"/>
      <c r="B1013" s="465"/>
      <c r="C1013" s="147"/>
      <c r="D1013" s="147"/>
      <c r="E1013" s="585"/>
      <c r="F1013" s="586"/>
      <c r="G1013" s="458"/>
      <c r="H1013" s="458"/>
      <c r="I1013" s="458"/>
      <c r="J1013" s="465"/>
      <c r="K1013" s="587"/>
      <c r="L1013" s="465"/>
      <c r="M1013" s="465"/>
      <c r="N1013" s="465"/>
      <c r="O1013" s="587"/>
      <c r="P1013" s="585"/>
      <c r="Q1013" s="465"/>
      <c r="R1013" s="458"/>
      <c r="S1013" s="585"/>
      <c r="T1013" s="588"/>
      <c r="U1013" s="589"/>
      <c r="V1013" s="587"/>
      <c r="W1013" s="465"/>
      <c r="X1013" s="465"/>
      <c r="Y1013" s="590"/>
      <c r="Z1013" s="458"/>
      <c r="AA1013" s="591"/>
      <c r="AB1013" s="465"/>
      <c r="AC1013" s="465"/>
      <c r="AD1013" s="465"/>
      <c r="AE1013" s="465"/>
      <c r="AF1013" s="465"/>
      <c r="AG1013" s="465"/>
      <c r="AH1013" s="465"/>
      <c r="AI1013" s="592"/>
      <c r="AJ1013" s="465"/>
      <c r="AK1013" s="465"/>
      <c r="AL1013" s="20"/>
      <c r="AM1013" s="20"/>
      <c r="AN1013" s="593"/>
      <c r="AO1013" s="20"/>
      <c r="AP1013" s="276"/>
      <c r="AQ1013" s="276"/>
      <c r="AR1013" s="276"/>
      <c r="AS1013" s="276"/>
      <c r="AT1013" s="276"/>
      <c r="AU1013" s="276"/>
      <c r="AV1013" s="276"/>
      <c r="AW1013" s="276"/>
      <c r="AX1013" s="276"/>
      <c r="AY1013" s="276"/>
      <c r="AZ1013" s="276"/>
      <c r="BA1013" s="276"/>
      <c r="BB1013" s="276"/>
      <c r="BC1013" s="276"/>
    </row>
    <row r="1014" spans="1:55" ht="12.75" customHeight="1">
      <c r="A1014" s="465"/>
      <c r="B1014" s="465"/>
      <c r="C1014" s="147"/>
      <c r="D1014" s="147"/>
      <c r="E1014" s="585"/>
      <c r="F1014" s="586"/>
      <c r="G1014" s="458"/>
      <c r="H1014" s="458"/>
      <c r="I1014" s="458"/>
      <c r="J1014" s="465"/>
      <c r="K1014" s="587"/>
      <c r="L1014" s="465"/>
      <c r="M1014" s="465"/>
      <c r="N1014" s="465"/>
      <c r="O1014" s="587"/>
      <c r="P1014" s="585"/>
      <c r="Q1014" s="465"/>
      <c r="R1014" s="458"/>
      <c r="S1014" s="585"/>
      <c r="T1014" s="588"/>
      <c r="U1014" s="589"/>
      <c r="V1014" s="587"/>
      <c r="W1014" s="465"/>
      <c r="X1014" s="465"/>
      <c r="Y1014" s="590"/>
      <c r="Z1014" s="458"/>
      <c r="AA1014" s="591"/>
      <c r="AB1014" s="465"/>
      <c r="AC1014" s="465"/>
      <c r="AD1014" s="465"/>
      <c r="AE1014" s="465"/>
      <c r="AF1014" s="465"/>
      <c r="AG1014" s="465"/>
      <c r="AH1014" s="465"/>
      <c r="AI1014" s="592"/>
      <c r="AJ1014" s="465"/>
      <c r="AK1014" s="465"/>
      <c r="AL1014" s="20"/>
      <c r="AM1014" s="20"/>
      <c r="AN1014" s="593"/>
      <c r="AO1014" s="20"/>
      <c r="AP1014" s="276"/>
      <c r="AQ1014" s="276"/>
      <c r="AR1014" s="276"/>
      <c r="AS1014" s="276"/>
      <c r="AT1014" s="276"/>
      <c r="AU1014" s="276"/>
      <c r="AV1014" s="276"/>
      <c r="AW1014" s="276"/>
      <c r="AX1014" s="276"/>
      <c r="AY1014" s="276"/>
      <c r="AZ1014" s="276"/>
      <c r="BA1014" s="276"/>
      <c r="BB1014" s="276"/>
      <c r="BC1014" s="276"/>
    </row>
    <row r="1015" spans="1:55" ht="12.75" customHeight="1">
      <c r="A1015" s="465"/>
      <c r="B1015" s="465"/>
      <c r="C1015" s="147"/>
      <c r="D1015" s="147"/>
      <c r="E1015" s="585"/>
      <c r="F1015" s="586"/>
      <c r="G1015" s="458"/>
      <c r="H1015" s="458"/>
      <c r="I1015" s="458"/>
      <c r="J1015" s="465"/>
      <c r="K1015" s="587"/>
      <c r="L1015" s="465"/>
      <c r="M1015" s="465"/>
      <c r="N1015" s="465"/>
      <c r="O1015" s="587"/>
      <c r="P1015" s="585"/>
      <c r="Q1015" s="465"/>
      <c r="R1015" s="458"/>
      <c r="S1015" s="585"/>
      <c r="T1015" s="588"/>
      <c r="U1015" s="589"/>
      <c r="V1015" s="587"/>
      <c r="W1015" s="465"/>
      <c r="X1015" s="465"/>
      <c r="Y1015" s="590"/>
      <c r="Z1015" s="458"/>
      <c r="AA1015" s="591"/>
      <c r="AB1015" s="465"/>
      <c r="AC1015" s="465"/>
      <c r="AD1015" s="465"/>
      <c r="AE1015" s="465"/>
      <c r="AF1015" s="465"/>
      <c r="AG1015" s="465"/>
      <c r="AH1015" s="465"/>
      <c r="AI1015" s="592"/>
      <c r="AJ1015" s="465"/>
      <c r="AK1015" s="465"/>
      <c r="AL1015" s="20"/>
      <c r="AM1015" s="20"/>
      <c r="AN1015" s="593"/>
      <c r="AO1015" s="20"/>
      <c r="AP1015" s="276"/>
      <c r="AQ1015" s="276"/>
      <c r="AR1015" s="276"/>
      <c r="AS1015" s="276"/>
      <c r="AT1015" s="276"/>
      <c r="AU1015" s="276"/>
      <c r="AV1015" s="276"/>
      <c r="AW1015" s="276"/>
      <c r="AX1015" s="276"/>
      <c r="AY1015" s="276"/>
      <c r="AZ1015" s="276"/>
      <c r="BA1015" s="276"/>
      <c r="BB1015" s="276"/>
      <c r="BC1015" s="276"/>
    </row>
    <row r="1016" spans="1:55" ht="12.75" customHeight="1">
      <c r="A1016" s="465"/>
      <c r="B1016" s="465"/>
      <c r="C1016" s="147"/>
      <c r="D1016" s="147"/>
      <c r="E1016" s="585"/>
      <c r="F1016" s="586"/>
      <c r="G1016" s="458"/>
      <c r="H1016" s="458"/>
      <c r="I1016" s="458"/>
      <c r="J1016" s="465"/>
      <c r="K1016" s="587"/>
      <c r="L1016" s="465"/>
      <c r="M1016" s="465"/>
      <c r="N1016" s="465"/>
      <c r="O1016" s="587"/>
      <c r="P1016" s="585"/>
      <c r="Q1016" s="465"/>
      <c r="R1016" s="458"/>
      <c r="S1016" s="585"/>
      <c r="T1016" s="588"/>
      <c r="U1016" s="589"/>
      <c r="V1016" s="587"/>
      <c r="W1016" s="465"/>
      <c r="X1016" s="465"/>
      <c r="Y1016" s="590"/>
      <c r="Z1016" s="458"/>
      <c r="AA1016" s="591"/>
      <c r="AB1016" s="465"/>
      <c r="AC1016" s="465"/>
      <c r="AD1016" s="465"/>
      <c r="AE1016" s="465"/>
      <c r="AF1016" s="465"/>
      <c r="AG1016" s="465"/>
      <c r="AH1016" s="465"/>
      <c r="AI1016" s="592"/>
      <c r="AJ1016" s="465"/>
      <c r="AK1016" s="465"/>
      <c r="AL1016" s="20"/>
      <c r="AM1016" s="20"/>
      <c r="AN1016" s="593"/>
      <c r="AO1016" s="20"/>
      <c r="AP1016" s="276"/>
      <c r="AQ1016" s="276"/>
      <c r="AR1016" s="276"/>
      <c r="AS1016" s="276"/>
      <c r="AT1016" s="276"/>
      <c r="AU1016" s="276"/>
      <c r="AV1016" s="276"/>
      <c r="AW1016" s="276"/>
      <c r="AX1016" s="276"/>
      <c r="AY1016" s="276"/>
      <c r="AZ1016" s="276"/>
      <c r="BA1016" s="276"/>
      <c r="BB1016" s="276"/>
      <c r="BC1016" s="276"/>
    </row>
    <row r="1017" spans="1:55" ht="12.75" customHeight="1">
      <c r="A1017" s="465"/>
      <c r="B1017" s="465"/>
      <c r="C1017" s="147"/>
      <c r="D1017" s="147"/>
      <c r="E1017" s="585"/>
      <c r="F1017" s="586"/>
      <c r="G1017" s="458"/>
      <c r="H1017" s="458"/>
      <c r="I1017" s="458"/>
      <c r="J1017" s="465"/>
      <c r="K1017" s="587"/>
      <c r="L1017" s="465"/>
      <c r="M1017" s="465"/>
      <c r="N1017" s="465"/>
      <c r="O1017" s="587"/>
      <c r="P1017" s="585"/>
      <c r="Q1017" s="465"/>
      <c r="R1017" s="458"/>
      <c r="S1017" s="585"/>
      <c r="T1017" s="588"/>
      <c r="U1017" s="589"/>
      <c r="V1017" s="587"/>
      <c r="W1017" s="465"/>
      <c r="X1017" s="465"/>
      <c r="Y1017" s="590"/>
      <c r="Z1017" s="458"/>
      <c r="AA1017" s="591"/>
      <c r="AB1017" s="465"/>
      <c r="AC1017" s="465"/>
      <c r="AD1017" s="465"/>
      <c r="AE1017" s="465"/>
      <c r="AF1017" s="465"/>
      <c r="AG1017" s="465"/>
      <c r="AH1017" s="465"/>
      <c r="AI1017" s="592"/>
      <c r="AJ1017" s="465"/>
      <c r="AK1017" s="465"/>
      <c r="AL1017" s="20"/>
      <c r="AM1017" s="20"/>
      <c r="AN1017" s="593"/>
      <c r="AO1017" s="20"/>
      <c r="AP1017" s="276"/>
      <c r="AQ1017" s="276"/>
      <c r="AR1017" s="276"/>
      <c r="AS1017" s="276"/>
      <c r="AT1017" s="276"/>
      <c r="AU1017" s="276"/>
      <c r="AV1017" s="276"/>
      <c r="AW1017" s="276"/>
      <c r="AX1017" s="276"/>
      <c r="AY1017" s="276"/>
      <c r="AZ1017" s="276"/>
      <c r="BA1017" s="276"/>
      <c r="BB1017" s="276"/>
      <c r="BC1017" s="276"/>
    </row>
    <row r="1018" spans="1:55" ht="12.75" customHeight="1">
      <c r="A1018" s="465"/>
      <c r="B1018" s="465"/>
      <c r="C1018" s="147"/>
      <c r="D1018" s="147"/>
      <c r="E1018" s="585"/>
      <c r="F1018" s="586"/>
      <c r="G1018" s="458"/>
      <c r="H1018" s="458"/>
      <c r="I1018" s="458"/>
      <c r="J1018" s="465"/>
      <c r="K1018" s="587"/>
      <c r="L1018" s="465"/>
      <c r="M1018" s="465"/>
      <c r="N1018" s="465"/>
      <c r="O1018" s="587"/>
      <c r="P1018" s="585"/>
      <c r="Q1018" s="465"/>
      <c r="R1018" s="458"/>
      <c r="S1018" s="585"/>
      <c r="T1018" s="588"/>
      <c r="U1018" s="589"/>
      <c r="V1018" s="587"/>
      <c r="W1018" s="465"/>
      <c r="X1018" s="465"/>
      <c r="Y1018" s="590"/>
      <c r="Z1018" s="458"/>
      <c r="AA1018" s="591"/>
      <c r="AB1018" s="465"/>
      <c r="AC1018" s="465"/>
      <c r="AD1018" s="465"/>
      <c r="AE1018" s="465"/>
      <c r="AF1018" s="465"/>
      <c r="AG1018" s="465"/>
      <c r="AH1018" s="465"/>
      <c r="AI1018" s="592"/>
      <c r="AJ1018" s="465"/>
      <c r="AK1018" s="465"/>
      <c r="AL1018" s="20"/>
      <c r="AM1018" s="20"/>
      <c r="AN1018" s="593"/>
      <c r="AO1018" s="20"/>
      <c r="AP1018" s="276"/>
      <c r="AQ1018" s="276"/>
      <c r="AR1018" s="276"/>
      <c r="AS1018" s="276"/>
      <c r="AT1018" s="276"/>
      <c r="AU1018" s="276"/>
      <c r="AV1018" s="276"/>
      <c r="AW1018" s="276"/>
      <c r="AX1018" s="276"/>
      <c r="AY1018" s="276"/>
      <c r="AZ1018" s="276"/>
      <c r="BA1018" s="276"/>
      <c r="BB1018" s="276"/>
      <c r="BC1018" s="276"/>
    </row>
    <row r="1019" spans="1:55" ht="12.75" customHeight="1">
      <c r="A1019" s="465"/>
      <c r="B1019" s="465"/>
      <c r="C1019" s="147"/>
      <c r="D1019" s="147"/>
      <c r="E1019" s="585"/>
      <c r="F1019" s="586"/>
      <c r="G1019" s="458"/>
      <c r="H1019" s="458"/>
      <c r="I1019" s="458"/>
      <c r="J1019" s="465"/>
      <c r="K1019" s="587"/>
      <c r="L1019" s="465"/>
      <c r="M1019" s="465"/>
      <c r="N1019" s="465"/>
      <c r="O1019" s="587"/>
      <c r="P1019" s="585"/>
      <c r="Q1019" s="465"/>
      <c r="R1019" s="458"/>
      <c r="S1019" s="585"/>
      <c r="T1019" s="588"/>
      <c r="U1019" s="589"/>
      <c r="V1019" s="587"/>
      <c r="W1019" s="465"/>
      <c r="X1019" s="465"/>
      <c r="Y1019" s="590"/>
      <c r="Z1019" s="458"/>
      <c r="AA1019" s="591"/>
      <c r="AB1019" s="465"/>
      <c r="AC1019" s="465"/>
      <c r="AD1019" s="465"/>
      <c r="AE1019" s="465"/>
      <c r="AF1019" s="465"/>
      <c r="AG1019" s="465"/>
      <c r="AH1019" s="465"/>
      <c r="AI1019" s="592"/>
      <c r="AJ1019" s="465"/>
      <c r="AK1019" s="465"/>
      <c r="AL1019" s="20"/>
      <c r="AM1019" s="20"/>
      <c r="AN1019" s="593"/>
      <c r="AO1019" s="20"/>
      <c r="AP1019" s="276"/>
      <c r="AQ1019" s="276"/>
      <c r="AR1019" s="276"/>
      <c r="AS1019" s="276"/>
      <c r="AT1019" s="276"/>
      <c r="AU1019" s="276"/>
      <c r="AV1019" s="276"/>
      <c r="AW1019" s="276"/>
      <c r="AX1019" s="276"/>
      <c r="AY1019" s="276"/>
      <c r="AZ1019" s="276"/>
      <c r="BA1019" s="276"/>
      <c r="BB1019" s="276"/>
      <c r="BC1019" s="276"/>
    </row>
    <row r="1020" spans="1:55" ht="12.75" customHeight="1">
      <c r="A1020" s="465"/>
      <c r="B1020" s="465"/>
      <c r="C1020" s="147"/>
      <c r="D1020" s="147"/>
      <c r="E1020" s="585"/>
      <c r="F1020" s="586"/>
      <c r="G1020" s="458"/>
      <c r="H1020" s="458"/>
      <c r="I1020" s="458"/>
      <c r="J1020" s="465"/>
      <c r="K1020" s="587"/>
      <c r="L1020" s="465"/>
      <c r="M1020" s="465"/>
      <c r="N1020" s="465"/>
      <c r="O1020" s="587"/>
      <c r="P1020" s="585"/>
      <c r="Q1020" s="465"/>
      <c r="R1020" s="458"/>
      <c r="S1020" s="585"/>
      <c r="T1020" s="588"/>
      <c r="U1020" s="589"/>
      <c r="V1020" s="587"/>
      <c r="W1020" s="465"/>
      <c r="X1020" s="465"/>
      <c r="Y1020" s="590"/>
      <c r="Z1020" s="458"/>
      <c r="AA1020" s="591"/>
      <c r="AB1020" s="465"/>
      <c r="AC1020" s="465"/>
      <c r="AD1020" s="465"/>
      <c r="AE1020" s="465"/>
      <c r="AF1020" s="465"/>
      <c r="AG1020" s="465"/>
      <c r="AH1020" s="465"/>
      <c r="AI1020" s="592"/>
      <c r="AJ1020" s="465"/>
      <c r="AK1020" s="465"/>
      <c r="AL1020" s="20"/>
      <c r="AM1020" s="20"/>
      <c r="AN1020" s="593"/>
      <c r="AO1020" s="20"/>
      <c r="AP1020" s="276"/>
      <c r="AQ1020" s="276"/>
      <c r="AR1020" s="276"/>
      <c r="AS1020" s="276"/>
      <c r="AT1020" s="276"/>
      <c r="AU1020" s="276"/>
      <c r="AV1020" s="276"/>
      <c r="AW1020" s="276"/>
      <c r="AX1020" s="276"/>
      <c r="AY1020" s="276"/>
      <c r="AZ1020" s="276"/>
      <c r="BA1020" s="276"/>
      <c r="BB1020" s="276"/>
      <c r="BC1020" s="276"/>
    </row>
    <row r="1021" spans="1:55" ht="12.75" customHeight="1">
      <c r="A1021" s="465"/>
      <c r="B1021" s="465"/>
      <c r="C1021" s="147"/>
      <c r="D1021" s="147"/>
      <c r="E1021" s="585"/>
      <c r="F1021" s="586"/>
      <c r="G1021" s="458"/>
      <c r="H1021" s="458"/>
      <c r="I1021" s="458"/>
      <c r="J1021" s="465"/>
      <c r="K1021" s="587"/>
      <c r="L1021" s="465"/>
      <c r="M1021" s="465"/>
      <c r="N1021" s="465"/>
      <c r="O1021" s="587"/>
      <c r="P1021" s="585"/>
      <c r="Q1021" s="465"/>
      <c r="R1021" s="458"/>
      <c r="S1021" s="585"/>
      <c r="T1021" s="588"/>
      <c r="U1021" s="589"/>
      <c r="V1021" s="587"/>
      <c r="W1021" s="465"/>
      <c r="X1021" s="465"/>
      <c r="Y1021" s="590"/>
      <c r="Z1021" s="458"/>
      <c r="AA1021" s="591"/>
      <c r="AB1021" s="465"/>
      <c r="AC1021" s="465"/>
      <c r="AD1021" s="465"/>
      <c r="AE1021" s="465"/>
      <c r="AF1021" s="465"/>
      <c r="AG1021" s="465"/>
      <c r="AH1021" s="465"/>
      <c r="AI1021" s="592"/>
      <c r="AJ1021" s="465"/>
      <c r="AK1021" s="465"/>
      <c r="AL1021" s="20"/>
      <c r="AM1021" s="20"/>
      <c r="AN1021" s="593"/>
      <c r="AO1021" s="20"/>
      <c r="AP1021" s="276"/>
      <c r="AQ1021" s="276"/>
      <c r="AR1021" s="276"/>
      <c r="AS1021" s="276"/>
      <c r="AT1021" s="276"/>
      <c r="AU1021" s="276"/>
      <c r="AV1021" s="276"/>
      <c r="AW1021" s="276"/>
      <c r="AX1021" s="276"/>
      <c r="AY1021" s="276"/>
      <c r="AZ1021" s="276"/>
      <c r="BA1021" s="276"/>
      <c r="BB1021" s="276"/>
      <c r="BC1021" s="276"/>
    </row>
    <row r="1022" spans="1:55" ht="12.75" customHeight="1">
      <c r="A1022" s="465"/>
      <c r="B1022" s="465"/>
      <c r="C1022" s="147"/>
      <c r="D1022" s="147"/>
      <c r="E1022" s="585"/>
      <c r="F1022" s="586"/>
      <c r="G1022" s="458"/>
      <c r="H1022" s="458"/>
      <c r="I1022" s="458"/>
      <c r="J1022" s="465"/>
      <c r="K1022" s="587"/>
      <c r="L1022" s="465"/>
      <c r="M1022" s="465"/>
      <c r="N1022" s="465"/>
      <c r="O1022" s="587"/>
      <c r="P1022" s="585"/>
      <c r="Q1022" s="465"/>
      <c r="R1022" s="458"/>
      <c r="S1022" s="585"/>
      <c r="T1022" s="588"/>
      <c r="U1022" s="589"/>
      <c r="V1022" s="587"/>
      <c r="W1022" s="465"/>
      <c r="X1022" s="465"/>
      <c r="Y1022" s="590"/>
      <c r="Z1022" s="458"/>
      <c r="AA1022" s="591"/>
      <c r="AB1022" s="465"/>
      <c r="AC1022" s="465"/>
      <c r="AD1022" s="465"/>
      <c r="AE1022" s="465"/>
      <c r="AF1022" s="465"/>
      <c r="AG1022" s="465"/>
      <c r="AH1022" s="465"/>
      <c r="AI1022" s="592"/>
      <c r="AJ1022" s="465"/>
      <c r="AK1022" s="465"/>
      <c r="AL1022" s="20"/>
      <c r="AM1022" s="20"/>
      <c r="AN1022" s="593"/>
      <c r="AO1022" s="20"/>
      <c r="AP1022" s="276"/>
      <c r="AQ1022" s="276"/>
      <c r="AR1022" s="276"/>
      <c r="AS1022" s="276"/>
      <c r="AT1022" s="276"/>
      <c r="AU1022" s="276"/>
      <c r="AV1022" s="276"/>
      <c r="AW1022" s="276"/>
      <c r="AX1022" s="276"/>
      <c r="AY1022" s="276"/>
      <c r="AZ1022" s="276"/>
      <c r="BA1022" s="276"/>
      <c r="BB1022" s="276"/>
      <c r="BC1022" s="276"/>
    </row>
    <row r="1023" spans="1:55" ht="12.75" customHeight="1">
      <c r="A1023" s="465"/>
      <c r="B1023" s="465"/>
      <c r="C1023" s="147"/>
      <c r="D1023" s="147"/>
      <c r="E1023" s="585"/>
      <c r="F1023" s="586"/>
      <c r="G1023" s="458"/>
      <c r="H1023" s="458"/>
      <c r="I1023" s="458"/>
      <c r="J1023" s="465"/>
      <c r="K1023" s="587"/>
      <c r="L1023" s="465"/>
      <c r="M1023" s="465"/>
      <c r="N1023" s="465"/>
      <c r="O1023" s="587"/>
      <c r="P1023" s="585"/>
      <c r="Q1023" s="465"/>
      <c r="R1023" s="458"/>
      <c r="S1023" s="585"/>
      <c r="T1023" s="588"/>
      <c r="U1023" s="589"/>
      <c r="V1023" s="587"/>
      <c r="W1023" s="465"/>
      <c r="X1023" s="465"/>
      <c r="Y1023" s="590"/>
      <c r="Z1023" s="458"/>
      <c r="AA1023" s="591"/>
      <c r="AB1023" s="465"/>
      <c r="AC1023" s="465"/>
      <c r="AD1023" s="465"/>
      <c r="AE1023" s="465"/>
      <c r="AF1023" s="465"/>
      <c r="AG1023" s="465"/>
      <c r="AH1023" s="465"/>
      <c r="AI1023" s="592"/>
      <c r="AJ1023" s="465"/>
      <c r="AK1023" s="465"/>
      <c r="AL1023" s="20"/>
      <c r="AM1023" s="20"/>
      <c r="AN1023" s="593"/>
      <c r="AO1023" s="20"/>
      <c r="AP1023" s="276"/>
      <c r="AQ1023" s="276"/>
      <c r="AR1023" s="276"/>
      <c r="AS1023" s="276"/>
      <c r="AT1023" s="276"/>
      <c r="AU1023" s="276"/>
      <c r="AV1023" s="276"/>
      <c r="AW1023" s="276"/>
      <c r="AX1023" s="276"/>
      <c r="AY1023" s="276"/>
      <c r="AZ1023" s="276"/>
      <c r="BA1023" s="276"/>
      <c r="BB1023" s="276"/>
      <c r="BC1023" s="276"/>
    </row>
    <row r="1024" spans="1:55" ht="12.75" customHeight="1">
      <c r="A1024" s="465"/>
      <c r="B1024" s="465"/>
      <c r="C1024" s="147"/>
      <c r="D1024" s="147"/>
      <c r="E1024" s="585"/>
      <c r="F1024" s="586"/>
      <c r="G1024" s="458"/>
      <c r="H1024" s="458"/>
      <c r="I1024" s="458"/>
      <c r="J1024" s="465"/>
      <c r="K1024" s="587"/>
      <c r="L1024" s="465"/>
      <c r="M1024" s="465"/>
      <c r="N1024" s="465"/>
      <c r="O1024" s="587"/>
      <c r="P1024" s="585"/>
      <c r="Q1024" s="465"/>
      <c r="R1024" s="458"/>
      <c r="S1024" s="585"/>
      <c r="T1024" s="588"/>
      <c r="U1024" s="589"/>
      <c r="V1024" s="587"/>
      <c r="W1024" s="465"/>
      <c r="X1024" s="465"/>
      <c r="Y1024" s="590"/>
      <c r="Z1024" s="458"/>
      <c r="AA1024" s="591"/>
      <c r="AB1024" s="465"/>
      <c r="AC1024" s="465"/>
      <c r="AD1024" s="465"/>
      <c r="AE1024" s="465"/>
      <c r="AF1024" s="465"/>
      <c r="AG1024" s="465"/>
      <c r="AH1024" s="465"/>
      <c r="AI1024" s="592"/>
      <c r="AJ1024" s="465"/>
      <c r="AK1024" s="465"/>
      <c r="AL1024" s="20"/>
      <c r="AM1024" s="20"/>
      <c r="AN1024" s="593"/>
      <c r="AO1024" s="20"/>
      <c r="AP1024" s="276"/>
      <c r="AQ1024" s="276"/>
      <c r="AR1024" s="276"/>
      <c r="AS1024" s="276"/>
      <c r="AT1024" s="276"/>
      <c r="AU1024" s="276"/>
      <c r="AV1024" s="276"/>
      <c r="AW1024" s="276"/>
      <c r="AX1024" s="276"/>
      <c r="AY1024" s="276"/>
      <c r="AZ1024" s="276"/>
      <c r="BA1024" s="276"/>
      <c r="BB1024" s="276"/>
      <c r="BC1024" s="276"/>
    </row>
    <row r="1025" spans="1:55" ht="12.75" customHeight="1">
      <c r="A1025" s="465"/>
      <c r="B1025" s="465"/>
      <c r="C1025" s="147"/>
      <c r="D1025" s="147"/>
      <c r="E1025" s="585"/>
      <c r="F1025" s="586"/>
      <c r="G1025" s="458"/>
      <c r="H1025" s="458"/>
      <c r="I1025" s="458"/>
      <c r="J1025" s="465"/>
      <c r="K1025" s="587"/>
      <c r="L1025" s="465"/>
      <c r="M1025" s="465"/>
      <c r="N1025" s="465"/>
      <c r="O1025" s="587"/>
      <c r="P1025" s="585"/>
      <c r="Q1025" s="465"/>
      <c r="R1025" s="458"/>
      <c r="S1025" s="585"/>
      <c r="T1025" s="588"/>
      <c r="U1025" s="589"/>
      <c r="V1025" s="587"/>
      <c r="W1025" s="465"/>
      <c r="X1025" s="465"/>
      <c r="Y1025" s="590"/>
      <c r="Z1025" s="458"/>
      <c r="AA1025" s="591"/>
      <c r="AB1025" s="465"/>
      <c r="AC1025" s="465"/>
      <c r="AD1025" s="465"/>
      <c r="AE1025" s="465"/>
      <c r="AF1025" s="465"/>
      <c r="AG1025" s="465"/>
      <c r="AH1025" s="465"/>
      <c r="AI1025" s="592"/>
      <c r="AJ1025" s="465"/>
      <c r="AK1025" s="465"/>
      <c r="AL1025" s="20"/>
      <c r="AM1025" s="20"/>
      <c r="AN1025" s="593"/>
      <c r="AO1025" s="20"/>
      <c r="AP1025" s="276"/>
      <c r="AQ1025" s="276"/>
      <c r="AR1025" s="276"/>
      <c r="AS1025" s="276"/>
      <c r="AT1025" s="276"/>
      <c r="AU1025" s="276"/>
      <c r="AV1025" s="276"/>
      <c r="AW1025" s="276"/>
      <c r="AX1025" s="276"/>
      <c r="AY1025" s="276"/>
      <c r="AZ1025" s="276"/>
      <c r="BA1025" s="276"/>
      <c r="BB1025" s="276"/>
      <c r="BC1025" s="276"/>
    </row>
    <row r="1026" spans="1:55" ht="12.75" customHeight="1">
      <c r="A1026" s="465"/>
      <c r="B1026" s="465"/>
      <c r="C1026" s="147"/>
      <c r="D1026" s="147"/>
      <c r="E1026" s="585"/>
      <c r="F1026" s="586"/>
      <c r="G1026" s="458"/>
      <c r="H1026" s="458"/>
      <c r="I1026" s="458"/>
      <c r="J1026" s="465"/>
      <c r="K1026" s="587"/>
      <c r="L1026" s="465"/>
      <c r="M1026" s="465"/>
      <c r="N1026" s="465"/>
      <c r="O1026" s="587"/>
      <c r="P1026" s="585"/>
      <c r="Q1026" s="465"/>
      <c r="R1026" s="458"/>
      <c r="S1026" s="585"/>
      <c r="T1026" s="588"/>
      <c r="U1026" s="589"/>
      <c r="V1026" s="587"/>
      <c r="W1026" s="465"/>
      <c r="X1026" s="465"/>
      <c r="Y1026" s="590"/>
      <c r="Z1026" s="458"/>
      <c r="AA1026" s="591"/>
      <c r="AB1026" s="465"/>
      <c r="AC1026" s="465"/>
      <c r="AD1026" s="465"/>
      <c r="AE1026" s="465"/>
      <c r="AF1026" s="465"/>
      <c r="AG1026" s="465"/>
      <c r="AH1026" s="465"/>
      <c r="AI1026" s="592"/>
      <c r="AJ1026" s="465"/>
      <c r="AK1026" s="465"/>
      <c r="AL1026" s="20"/>
      <c r="AM1026" s="20"/>
      <c r="AN1026" s="593"/>
      <c r="AO1026" s="20"/>
      <c r="AP1026" s="276"/>
      <c r="AQ1026" s="276"/>
      <c r="AR1026" s="276"/>
      <c r="AS1026" s="276"/>
      <c r="AT1026" s="276"/>
      <c r="AU1026" s="276"/>
      <c r="AV1026" s="276"/>
      <c r="AW1026" s="276"/>
      <c r="AX1026" s="276"/>
      <c r="AY1026" s="276"/>
      <c r="AZ1026" s="276"/>
      <c r="BA1026" s="276"/>
      <c r="BB1026" s="276"/>
      <c r="BC1026" s="276"/>
    </row>
    <row r="1027" spans="1:55" ht="12.75" customHeight="1">
      <c r="A1027" s="465"/>
      <c r="B1027" s="465"/>
      <c r="C1027" s="147"/>
      <c r="D1027" s="147"/>
      <c r="E1027" s="585"/>
      <c r="F1027" s="586"/>
      <c r="G1027" s="458"/>
      <c r="H1027" s="458"/>
      <c r="I1027" s="458"/>
      <c r="J1027" s="465"/>
      <c r="K1027" s="587"/>
      <c r="L1027" s="465"/>
      <c r="M1027" s="465"/>
      <c r="N1027" s="465"/>
      <c r="O1027" s="587"/>
      <c r="P1027" s="585"/>
      <c r="Q1027" s="465"/>
      <c r="R1027" s="458"/>
      <c r="S1027" s="585"/>
      <c r="T1027" s="588"/>
      <c r="U1027" s="589"/>
      <c r="V1027" s="587"/>
      <c r="W1027" s="465"/>
      <c r="X1027" s="465"/>
      <c r="Y1027" s="590"/>
      <c r="Z1027" s="458"/>
      <c r="AA1027" s="591"/>
      <c r="AB1027" s="465"/>
      <c r="AC1027" s="465"/>
      <c r="AD1027" s="465"/>
      <c r="AE1027" s="465"/>
      <c r="AF1027" s="465"/>
      <c r="AG1027" s="465"/>
      <c r="AH1027" s="465"/>
      <c r="AI1027" s="592"/>
      <c r="AJ1027" s="465"/>
      <c r="AK1027" s="465"/>
      <c r="AL1027" s="20"/>
      <c r="AM1027" s="20"/>
      <c r="AN1027" s="593"/>
      <c r="AO1027" s="20"/>
      <c r="AP1027" s="276"/>
      <c r="AQ1027" s="276"/>
      <c r="AR1027" s="276"/>
      <c r="AS1027" s="276"/>
      <c r="AT1027" s="276"/>
      <c r="AU1027" s="276"/>
      <c r="AV1027" s="276"/>
      <c r="AW1027" s="276"/>
      <c r="AX1027" s="276"/>
      <c r="AY1027" s="276"/>
      <c r="AZ1027" s="276"/>
      <c r="BA1027" s="276"/>
      <c r="BB1027" s="276"/>
      <c r="BC1027" s="276"/>
    </row>
    <row r="1028" spans="1:55" ht="12.75" customHeight="1">
      <c r="A1028" s="465"/>
      <c r="B1028" s="465"/>
      <c r="C1028" s="147"/>
      <c r="D1028" s="147"/>
      <c r="E1028" s="585"/>
      <c r="F1028" s="586"/>
      <c r="G1028" s="458"/>
      <c r="H1028" s="458"/>
      <c r="I1028" s="458"/>
      <c r="J1028" s="465"/>
      <c r="K1028" s="587"/>
      <c r="L1028" s="465"/>
      <c r="M1028" s="465"/>
      <c r="N1028" s="465"/>
      <c r="O1028" s="587"/>
      <c r="P1028" s="585"/>
      <c r="Q1028" s="465"/>
      <c r="R1028" s="458"/>
      <c r="S1028" s="585"/>
      <c r="T1028" s="588"/>
      <c r="U1028" s="589"/>
      <c r="V1028" s="587"/>
      <c r="W1028" s="465"/>
      <c r="X1028" s="465"/>
      <c r="Y1028" s="590"/>
      <c r="Z1028" s="458"/>
      <c r="AA1028" s="591"/>
      <c r="AB1028" s="465"/>
      <c r="AC1028" s="465"/>
      <c r="AD1028" s="465"/>
      <c r="AE1028" s="465"/>
      <c r="AF1028" s="465"/>
      <c r="AG1028" s="465"/>
      <c r="AH1028" s="465"/>
      <c r="AI1028" s="592"/>
      <c r="AJ1028" s="465"/>
      <c r="AK1028" s="465"/>
      <c r="AL1028" s="20"/>
      <c r="AM1028" s="20"/>
      <c r="AN1028" s="593"/>
      <c r="AO1028" s="20"/>
      <c r="AP1028" s="276"/>
      <c r="AQ1028" s="276"/>
      <c r="AR1028" s="276"/>
      <c r="AS1028" s="276"/>
      <c r="AT1028" s="276"/>
      <c r="AU1028" s="276"/>
      <c r="AV1028" s="276"/>
      <c r="AW1028" s="276"/>
      <c r="AX1028" s="276"/>
      <c r="AY1028" s="276"/>
      <c r="AZ1028" s="276"/>
      <c r="BA1028" s="276"/>
      <c r="BB1028" s="276"/>
      <c r="BC1028" s="276"/>
    </row>
    <row r="1029" spans="1:55" ht="12.75" customHeight="1">
      <c r="A1029" s="465"/>
      <c r="B1029" s="465"/>
      <c r="C1029" s="147"/>
      <c r="D1029" s="147"/>
      <c r="E1029" s="585"/>
      <c r="F1029" s="586"/>
      <c r="G1029" s="458"/>
      <c r="H1029" s="458"/>
      <c r="I1029" s="458"/>
      <c r="J1029" s="465"/>
      <c r="K1029" s="587"/>
      <c r="L1029" s="465"/>
      <c r="M1029" s="465"/>
      <c r="N1029" s="465"/>
      <c r="O1029" s="587"/>
      <c r="P1029" s="585"/>
      <c r="Q1029" s="465"/>
      <c r="R1029" s="458"/>
      <c r="S1029" s="585"/>
      <c r="T1029" s="588"/>
      <c r="U1029" s="589"/>
      <c r="V1029" s="587"/>
      <c r="W1029" s="465"/>
      <c r="X1029" s="465"/>
      <c r="Y1029" s="590"/>
      <c r="Z1029" s="458"/>
      <c r="AA1029" s="591"/>
      <c r="AB1029" s="465"/>
      <c r="AC1029" s="465"/>
      <c r="AD1029" s="465"/>
      <c r="AE1029" s="465"/>
      <c r="AF1029" s="465"/>
      <c r="AG1029" s="465"/>
      <c r="AH1029" s="465"/>
      <c r="AI1029" s="592"/>
      <c r="AJ1029" s="465"/>
      <c r="AK1029" s="465"/>
      <c r="AL1029" s="20"/>
      <c r="AM1029" s="20"/>
      <c r="AN1029" s="593"/>
      <c r="AO1029" s="20"/>
      <c r="AP1029" s="276"/>
      <c r="AQ1029" s="276"/>
      <c r="AR1029" s="276"/>
      <c r="AS1029" s="276"/>
      <c r="AT1029" s="276"/>
      <c r="AU1029" s="276"/>
      <c r="AV1029" s="276"/>
      <c r="AW1029" s="276"/>
      <c r="AX1029" s="276"/>
      <c r="AY1029" s="276"/>
      <c r="AZ1029" s="276"/>
      <c r="BA1029" s="276"/>
      <c r="BB1029" s="276"/>
      <c r="BC1029" s="276"/>
    </row>
    <row r="1030" spans="1:55" ht="12.75" customHeight="1">
      <c r="A1030" s="465"/>
      <c r="B1030" s="465"/>
      <c r="C1030" s="147"/>
      <c r="D1030" s="147"/>
      <c r="E1030" s="585"/>
      <c r="F1030" s="586"/>
      <c r="G1030" s="458"/>
      <c r="H1030" s="458"/>
      <c r="I1030" s="458"/>
      <c r="J1030" s="465"/>
      <c r="K1030" s="587"/>
      <c r="L1030" s="465"/>
      <c r="M1030" s="465"/>
      <c r="N1030" s="465"/>
      <c r="O1030" s="587"/>
      <c r="P1030" s="585"/>
      <c r="Q1030" s="465"/>
      <c r="R1030" s="458"/>
      <c r="S1030" s="585"/>
      <c r="T1030" s="588"/>
      <c r="U1030" s="589"/>
      <c r="V1030" s="587"/>
      <c r="W1030" s="465"/>
      <c r="X1030" s="465"/>
      <c r="Y1030" s="590"/>
      <c r="Z1030" s="458"/>
      <c r="AA1030" s="591"/>
      <c r="AB1030" s="465"/>
      <c r="AC1030" s="465"/>
      <c r="AD1030" s="465"/>
      <c r="AE1030" s="465"/>
      <c r="AF1030" s="465"/>
      <c r="AG1030" s="465"/>
      <c r="AH1030" s="465"/>
      <c r="AI1030" s="592"/>
      <c r="AJ1030" s="465"/>
      <c r="AK1030" s="465"/>
      <c r="AL1030" s="20"/>
      <c r="AM1030" s="20"/>
      <c r="AN1030" s="593"/>
      <c r="AO1030" s="20"/>
      <c r="AP1030" s="276"/>
      <c r="AQ1030" s="276"/>
      <c r="AR1030" s="276"/>
      <c r="AS1030" s="276"/>
      <c r="AT1030" s="276"/>
      <c r="AU1030" s="276"/>
      <c r="AV1030" s="276"/>
      <c r="AW1030" s="276"/>
      <c r="AX1030" s="276"/>
      <c r="AY1030" s="276"/>
      <c r="AZ1030" s="276"/>
      <c r="BA1030" s="276"/>
      <c r="BB1030" s="276"/>
      <c r="BC1030" s="276"/>
    </row>
    <row r="1031" spans="1:55" ht="12.75" customHeight="1">
      <c r="A1031" s="465"/>
      <c r="B1031" s="465"/>
      <c r="C1031" s="147"/>
      <c r="D1031" s="147"/>
      <c r="E1031" s="585"/>
      <c r="F1031" s="586"/>
      <c r="G1031" s="458"/>
      <c r="H1031" s="458"/>
      <c r="I1031" s="458"/>
      <c r="J1031" s="465"/>
      <c r="K1031" s="587"/>
      <c r="L1031" s="465"/>
      <c r="M1031" s="465"/>
      <c r="N1031" s="465"/>
      <c r="O1031" s="587"/>
      <c r="P1031" s="585"/>
      <c r="Q1031" s="465"/>
      <c r="R1031" s="458"/>
      <c r="S1031" s="585"/>
      <c r="T1031" s="588"/>
      <c r="U1031" s="589"/>
      <c r="V1031" s="587"/>
      <c r="W1031" s="465"/>
      <c r="X1031" s="465"/>
      <c r="Y1031" s="590"/>
      <c r="Z1031" s="458"/>
      <c r="AA1031" s="591"/>
      <c r="AB1031" s="465"/>
      <c r="AC1031" s="465"/>
      <c r="AD1031" s="465"/>
      <c r="AE1031" s="465"/>
      <c r="AF1031" s="465"/>
      <c r="AG1031" s="465"/>
      <c r="AH1031" s="465"/>
      <c r="AI1031" s="592"/>
      <c r="AJ1031" s="465"/>
      <c r="AK1031" s="465"/>
      <c r="AL1031" s="20"/>
      <c r="AM1031" s="20"/>
      <c r="AN1031" s="593"/>
      <c r="AO1031" s="20"/>
      <c r="AP1031" s="276"/>
      <c r="AQ1031" s="276"/>
      <c r="AR1031" s="276"/>
      <c r="AS1031" s="276"/>
      <c r="AT1031" s="276"/>
      <c r="AU1031" s="276"/>
      <c r="AV1031" s="276"/>
      <c r="AW1031" s="276"/>
      <c r="AX1031" s="276"/>
      <c r="AY1031" s="276"/>
      <c r="AZ1031" s="276"/>
      <c r="BA1031" s="276"/>
      <c r="BB1031" s="276"/>
      <c r="BC1031" s="276"/>
    </row>
    <row r="1032" spans="1:55" ht="12.75" customHeight="1">
      <c r="A1032" s="465"/>
      <c r="B1032" s="465"/>
      <c r="C1032" s="147"/>
      <c r="D1032" s="147"/>
      <c r="E1032" s="585"/>
      <c r="F1032" s="586"/>
      <c r="G1032" s="458"/>
      <c r="H1032" s="458"/>
      <c r="I1032" s="458"/>
      <c r="J1032" s="465"/>
      <c r="K1032" s="587"/>
      <c r="L1032" s="465"/>
      <c r="M1032" s="465"/>
      <c r="N1032" s="465"/>
      <c r="O1032" s="587"/>
      <c r="P1032" s="585"/>
      <c r="Q1032" s="465"/>
      <c r="R1032" s="458"/>
      <c r="S1032" s="585"/>
      <c r="T1032" s="588"/>
      <c r="U1032" s="589"/>
      <c r="V1032" s="587"/>
      <c r="W1032" s="465"/>
      <c r="X1032" s="465"/>
      <c r="Y1032" s="590"/>
      <c r="Z1032" s="458"/>
      <c r="AA1032" s="591"/>
      <c r="AB1032" s="465"/>
      <c r="AC1032" s="465"/>
      <c r="AD1032" s="465"/>
      <c r="AE1032" s="465"/>
      <c r="AF1032" s="465"/>
      <c r="AG1032" s="465"/>
      <c r="AH1032" s="465"/>
      <c r="AI1032" s="592"/>
      <c r="AJ1032" s="465"/>
      <c r="AK1032" s="465"/>
      <c r="AL1032" s="20"/>
      <c r="AM1032" s="20"/>
      <c r="AN1032" s="593"/>
      <c r="AO1032" s="20"/>
      <c r="AP1032" s="276"/>
      <c r="AQ1032" s="276"/>
      <c r="AR1032" s="276"/>
      <c r="AS1032" s="276"/>
      <c r="AT1032" s="276"/>
      <c r="AU1032" s="276"/>
      <c r="AV1032" s="276"/>
      <c r="AW1032" s="276"/>
      <c r="AX1032" s="276"/>
      <c r="AY1032" s="276"/>
      <c r="AZ1032" s="276"/>
      <c r="BA1032" s="276"/>
      <c r="BB1032" s="276"/>
      <c r="BC1032" s="276"/>
    </row>
    <row r="1033" spans="1:55" ht="12.75" customHeight="1">
      <c r="A1033" s="465"/>
      <c r="B1033" s="465"/>
      <c r="C1033" s="147"/>
      <c r="D1033" s="147"/>
      <c r="E1033" s="585"/>
      <c r="F1033" s="586"/>
      <c r="G1033" s="458"/>
      <c r="H1033" s="458"/>
      <c r="I1033" s="458"/>
      <c r="J1033" s="465"/>
      <c r="K1033" s="587"/>
      <c r="L1033" s="465"/>
      <c r="M1033" s="465"/>
      <c r="N1033" s="465"/>
      <c r="O1033" s="587"/>
      <c r="P1033" s="585"/>
      <c r="Q1033" s="465"/>
      <c r="R1033" s="458"/>
      <c r="S1033" s="585"/>
      <c r="T1033" s="588"/>
      <c r="U1033" s="589"/>
      <c r="V1033" s="587"/>
      <c r="W1033" s="465"/>
      <c r="X1033" s="465"/>
      <c r="Y1033" s="590"/>
      <c r="Z1033" s="458"/>
      <c r="AA1033" s="591"/>
      <c r="AB1033" s="465"/>
      <c r="AC1033" s="465"/>
      <c r="AD1033" s="465"/>
      <c r="AE1033" s="465"/>
      <c r="AF1033" s="465"/>
      <c r="AG1033" s="465"/>
      <c r="AH1033" s="465"/>
      <c r="AI1033" s="592"/>
      <c r="AJ1033" s="465"/>
      <c r="AK1033" s="465"/>
      <c r="AL1033" s="20"/>
      <c r="AM1033" s="20"/>
      <c r="AN1033" s="593"/>
      <c r="AO1033" s="20"/>
      <c r="AP1033" s="276"/>
      <c r="AQ1033" s="276"/>
      <c r="AR1033" s="276"/>
      <c r="AS1033" s="276"/>
      <c r="AT1033" s="276"/>
      <c r="AU1033" s="276"/>
      <c r="AV1033" s="276"/>
      <c r="AW1033" s="276"/>
      <c r="AX1033" s="276"/>
      <c r="AY1033" s="276"/>
      <c r="AZ1033" s="276"/>
      <c r="BA1033" s="276"/>
      <c r="BB1033" s="276"/>
      <c r="BC1033" s="276"/>
    </row>
    <row r="1034" spans="1:55" ht="12.75" customHeight="1">
      <c r="A1034" s="465"/>
      <c r="B1034" s="465"/>
      <c r="C1034" s="147"/>
      <c r="D1034" s="147"/>
      <c r="E1034" s="585"/>
      <c r="F1034" s="586"/>
      <c r="G1034" s="458"/>
      <c r="H1034" s="458"/>
      <c r="I1034" s="458"/>
      <c r="J1034" s="465"/>
      <c r="K1034" s="587"/>
      <c r="L1034" s="465"/>
      <c r="M1034" s="465"/>
      <c r="N1034" s="465"/>
      <c r="O1034" s="587"/>
      <c r="P1034" s="585"/>
      <c r="Q1034" s="465"/>
      <c r="R1034" s="458"/>
      <c r="S1034" s="585"/>
      <c r="T1034" s="588"/>
      <c r="U1034" s="589"/>
      <c r="V1034" s="587"/>
      <c r="W1034" s="465"/>
      <c r="X1034" s="465"/>
      <c r="Y1034" s="590"/>
      <c r="Z1034" s="458"/>
      <c r="AA1034" s="591"/>
      <c r="AB1034" s="465"/>
      <c r="AC1034" s="465"/>
      <c r="AD1034" s="465"/>
      <c r="AE1034" s="465"/>
      <c r="AF1034" s="465"/>
      <c r="AG1034" s="465"/>
      <c r="AH1034" s="465"/>
      <c r="AI1034" s="592"/>
      <c r="AJ1034" s="465"/>
      <c r="AK1034" s="465"/>
      <c r="AL1034" s="20"/>
      <c r="AM1034" s="20"/>
      <c r="AN1034" s="593"/>
      <c r="AO1034" s="20"/>
      <c r="AP1034" s="276"/>
      <c r="AQ1034" s="276"/>
      <c r="AR1034" s="276"/>
      <c r="AS1034" s="276"/>
      <c r="AT1034" s="276"/>
      <c r="AU1034" s="276"/>
      <c r="AV1034" s="276"/>
      <c r="AW1034" s="276"/>
      <c r="AX1034" s="276"/>
      <c r="AY1034" s="276"/>
      <c r="AZ1034" s="276"/>
      <c r="BA1034" s="276"/>
      <c r="BB1034" s="276"/>
      <c r="BC1034" s="276"/>
    </row>
    <row r="1035" spans="1:55" ht="12.75" customHeight="1">
      <c r="A1035" s="465"/>
      <c r="B1035" s="465"/>
      <c r="C1035" s="147"/>
      <c r="D1035" s="147"/>
      <c r="E1035" s="585"/>
      <c r="F1035" s="586"/>
      <c r="G1035" s="458"/>
      <c r="H1035" s="458"/>
      <c r="I1035" s="458"/>
      <c r="J1035" s="465"/>
      <c r="K1035" s="587"/>
      <c r="L1035" s="465"/>
      <c r="M1035" s="465"/>
      <c r="N1035" s="465"/>
      <c r="O1035" s="587"/>
      <c r="P1035" s="585"/>
      <c r="Q1035" s="465"/>
      <c r="R1035" s="458"/>
      <c r="S1035" s="585"/>
      <c r="T1035" s="588"/>
      <c r="U1035" s="589"/>
      <c r="V1035" s="587"/>
      <c r="W1035" s="465"/>
      <c r="X1035" s="465"/>
      <c r="Y1035" s="590"/>
      <c r="Z1035" s="458"/>
      <c r="AA1035" s="591"/>
      <c r="AB1035" s="465"/>
      <c r="AC1035" s="465"/>
      <c r="AD1035" s="465"/>
      <c r="AE1035" s="465"/>
      <c r="AF1035" s="465"/>
      <c r="AG1035" s="465"/>
      <c r="AH1035" s="465"/>
      <c r="AI1035" s="592"/>
      <c r="AJ1035" s="465"/>
      <c r="AK1035" s="465"/>
      <c r="AL1035" s="20"/>
      <c r="AM1035" s="20"/>
      <c r="AN1035" s="593"/>
      <c r="AO1035" s="20"/>
      <c r="AP1035" s="276"/>
      <c r="AQ1035" s="276"/>
      <c r="AR1035" s="276"/>
      <c r="AS1035" s="276"/>
      <c r="AT1035" s="276"/>
      <c r="AU1035" s="276"/>
      <c r="AV1035" s="276"/>
      <c r="AW1035" s="276"/>
      <c r="AX1035" s="276"/>
      <c r="AY1035" s="276"/>
      <c r="AZ1035" s="276"/>
      <c r="BA1035" s="276"/>
      <c r="BB1035" s="276"/>
      <c r="BC1035" s="276"/>
    </row>
    <row r="1036" spans="1:55" ht="12.75" customHeight="1">
      <c r="A1036" s="465"/>
      <c r="B1036" s="465"/>
      <c r="C1036" s="147"/>
      <c r="D1036" s="147"/>
      <c r="E1036" s="585"/>
      <c r="F1036" s="586"/>
      <c r="G1036" s="458"/>
      <c r="H1036" s="458"/>
      <c r="I1036" s="458"/>
      <c r="J1036" s="465"/>
      <c r="K1036" s="587"/>
      <c r="L1036" s="465"/>
      <c r="M1036" s="465"/>
      <c r="N1036" s="465"/>
      <c r="O1036" s="587"/>
      <c r="P1036" s="585"/>
      <c r="Q1036" s="465"/>
      <c r="R1036" s="458"/>
      <c r="S1036" s="585"/>
      <c r="T1036" s="588"/>
      <c r="U1036" s="589"/>
      <c r="V1036" s="587"/>
      <c r="W1036" s="465"/>
      <c r="X1036" s="465"/>
      <c r="Y1036" s="590"/>
      <c r="Z1036" s="458"/>
      <c r="AA1036" s="591"/>
      <c r="AB1036" s="465"/>
      <c r="AC1036" s="465"/>
      <c r="AD1036" s="465"/>
      <c r="AE1036" s="465"/>
      <c r="AF1036" s="465"/>
      <c r="AG1036" s="465"/>
      <c r="AH1036" s="465"/>
      <c r="AI1036" s="592"/>
      <c r="AJ1036" s="465"/>
      <c r="AK1036" s="465"/>
      <c r="AL1036" s="20"/>
      <c r="AM1036" s="20"/>
      <c r="AN1036" s="593"/>
      <c r="AO1036" s="20"/>
      <c r="AP1036" s="276"/>
      <c r="AQ1036" s="276"/>
      <c r="AR1036" s="276"/>
      <c r="AS1036" s="276"/>
      <c r="AT1036" s="276"/>
      <c r="AU1036" s="276"/>
      <c r="AV1036" s="276"/>
      <c r="AW1036" s="276"/>
      <c r="AX1036" s="276"/>
      <c r="AY1036" s="276"/>
      <c r="AZ1036" s="276"/>
      <c r="BA1036" s="276"/>
      <c r="BB1036" s="276"/>
      <c r="BC1036" s="276"/>
    </row>
    <row r="1037" spans="1:55" ht="12.75" customHeight="1">
      <c r="A1037" s="465"/>
      <c r="B1037" s="465"/>
      <c r="C1037" s="147"/>
      <c r="D1037" s="147"/>
      <c r="E1037" s="585"/>
      <c r="F1037" s="586"/>
      <c r="G1037" s="458"/>
      <c r="H1037" s="458"/>
      <c r="I1037" s="458"/>
      <c r="J1037" s="465"/>
      <c r="K1037" s="587"/>
      <c r="L1037" s="465"/>
      <c r="M1037" s="465"/>
      <c r="N1037" s="465"/>
      <c r="O1037" s="587"/>
      <c r="P1037" s="585"/>
      <c r="Q1037" s="465"/>
      <c r="R1037" s="458"/>
      <c r="S1037" s="585"/>
      <c r="T1037" s="588"/>
      <c r="U1037" s="589"/>
      <c r="V1037" s="587"/>
      <c r="W1037" s="465"/>
      <c r="X1037" s="465"/>
      <c r="Y1037" s="590"/>
      <c r="Z1037" s="458"/>
      <c r="AA1037" s="591"/>
      <c r="AB1037" s="465"/>
      <c r="AC1037" s="465"/>
      <c r="AD1037" s="465"/>
      <c r="AE1037" s="465"/>
      <c r="AF1037" s="465"/>
      <c r="AG1037" s="465"/>
      <c r="AH1037" s="465"/>
      <c r="AI1037" s="592"/>
      <c r="AJ1037" s="465"/>
      <c r="AK1037" s="465"/>
      <c r="AL1037" s="20"/>
      <c r="AM1037" s="20"/>
      <c r="AN1037" s="593"/>
      <c r="AO1037" s="20"/>
      <c r="AP1037" s="276"/>
      <c r="AQ1037" s="276"/>
      <c r="AR1037" s="276"/>
      <c r="AS1037" s="276"/>
      <c r="AT1037" s="276"/>
      <c r="AU1037" s="276"/>
      <c r="AV1037" s="276"/>
      <c r="AW1037" s="276"/>
      <c r="AX1037" s="276"/>
      <c r="AY1037" s="276"/>
      <c r="AZ1037" s="276"/>
      <c r="BA1037" s="276"/>
      <c r="BB1037" s="276"/>
      <c r="BC1037" s="276"/>
    </row>
    <row r="1038" spans="1:55" ht="12.75" customHeight="1">
      <c r="A1038" s="465"/>
      <c r="B1038" s="465"/>
      <c r="C1038" s="147"/>
      <c r="D1038" s="147"/>
      <c r="E1038" s="585"/>
      <c r="F1038" s="586"/>
      <c r="G1038" s="458"/>
      <c r="H1038" s="458"/>
      <c r="I1038" s="458"/>
      <c r="J1038" s="465"/>
      <c r="K1038" s="587"/>
      <c r="L1038" s="465"/>
      <c r="M1038" s="465"/>
      <c r="N1038" s="465"/>
      <c r="O1038" s="587"/>
      <c r="P1038" s="585"/>
      <c r="Q1038" s="465"/>
      <c r="R1038" s="458"/>
      <c r="S1038" s="585"/>
      <c r="T1038" s="588"/>
      <c r="U1038" s="589"/>
      <c r="V1038" s="587"/>
      <c r="W1038" s="465"/>
      <c r="X1038" s="465"/>
      <c r="Y1038" s="590"/>
      <c r="Z1038" s="458"/>
      <c r="AA1038" s="591"/>
      <c r="AB1038" s="465"/>
      <c r="AC1038" s="465"/>
      <c r="AD1038" s="465"/>
      <c r="AE1038" s="465"/>
      <c r="AF1038" s="465"/>
      <c r="AG1038" s="465"/>
      <c r="AH1038" s="465"/>
      <c r="AI1038" s="592"/>
      <c r="AJ1038" s="465"/>
      <c r="AK1038" s="465"/>
      <c r="AL1038" s="20"/>
      <c r="AM1038" s="20"/>
      <c r="AN1038" s="593"/>
      <c r="AO1038" s="20"/>
      <c r="AP1038" s="276"/>
      <c r="AQ1038" s="276"/>
      <c r="AR1038" s="276"/>
      <c r="AS1038" s="276"/>
      <c r="AT1038" s="276"/>
      <c r="AU1038" s="276"/>
      <c r="AV1038" s="276"/>
      <c r="AW1038" s="276"/>
      <c r="AX1038" s="276"/>
      <c r="AY1038" s="276"/>
      <c r="AZ1038" s="276"/>
      <c r="BA1038" s="276"/>
      <c r="BB1038" s="276"/>
      <c r="BC1038" s="276"/>
    </row>
    <row r="1039" spans="1:55" ht="12.75" customHeight="1">
      <c r="A1039" s="465"/>
      <c r="B1039" s="465"/>
      <c r="C1039" s="147"/>
      <c r="D1039" s="147"/>
      <c r="E1039" s="585"/>
      <c r="F1039" s="586"/>
      <c r="G1039" s="458"/>
      <c r="H1039" s="458"/>
      <c r="I1039" s="458"/>
      <c r="J1039" s="465"/>
      <c r="K1039" s="587"/>
      <c r="L1039" s="465"/>
      <c r="M1039" s="465"/>
      <c r="N1039" s="465"/>
      <c r="O1039" s="587"/>
      <c r="P1039" s="585"/>
      <c r="Q1039" s="465"/>
      <c r="R1039" s="458"/>
      <c r="S1039" s="585"/>
      <c r="T1039" s="588"/>
      <c r="U1039" s="589"/>
      <c r="V1039" s="587"/>
      <c r="W1039" s="465"/>
      <c r="X1039" s="465"/>
      <c r="Y1039" s="590"/>
      <c r="Z1039" s="458"/>
      <c r="AA1039" s="591"/>
      <c r="AB1039" s="465"/>
      <c r="AC1039" s="465"/>
      <c r="AD1039" s="465"/>
      <c r="AE1039" s="465"/>
      <c r="AF1039" s="465"/>
      <c r="AG1039" s="465"/>
      <c r="AH1039" s="465"/>
      <c r="AI1039" s="592"/>
      <c r="AJ1039" s="465"/>
      <c r="AK1039" s="465"/>
      <c r="AL1039" s="20"/>
      <c r="AM1039" s="20"/>
      <c r="AN1039" s="593"/>
      <c r="AO1039" s="20"/>
      <c r="AP1039" s="276"/>
      <c r="AQ1039" s="276"/>
      <c r="AR1039" s="276"/>
      <c r="AS1039" s="276"/>
      <c r="AT1039" s="276"/>
      <c r="AU1039" s="276"/>
      <c r="AV1039" s="276"/>
      <c r="AW1039" s="276"/>
      <c r="AX1039" s="276"/>
      <c r="AY1039" s="276"/>
      <c r="AZ1039" s="276"/>
      <c r="BA1039" s="276"/>
      <c r="BB1039" s="276"/>
      <c r="BC1039" s="276"/>
    </row>
    <row r="1040" spans="1:55" ht="12.75" customHeight="1">
      <c r="A1040" s="465"/>
      <c r="B1040" s="465"/>
      <c r="C1040" s="147"/>
      <c r="D1040" s="147"/>
      <c r="E1040" s="585"/>
      <c r="F1040" s="586"/>
      <c r="G1040" s="458"/>
      <c r="H1040" s="458"/>
      <c r="I1040" s="458"/>
      <c r="J1040" s="465"/>
      <c r="K1040" s="587"/>
      <c r="L1040" s="465"/>
      <c r="M1040" s="465"/>
      <c r="N1040" s="465"/>
      <c r="O1040" s="587"/>
      <c r="P1040" s="585"/>
      <c r="Q1040" s="465"/>
      <c r="R1040" s="458"/>
      <c r="S1040" s="585"/>
      <c r="T1040" s="588"/>
      <c r="U1040" s="589"/>
      <c r="V1040" s="587"/>
      <c r="W1040" s="465"/>
      <c r="X1040" s="465"/>
      <c r="Y1040" s="590"/>
      <c r="Z1040" s="458"/>
      <c r="AA1040" s="591"/>
      <c r="AB1040" s="465"/>
      <c r="AC1040" s="465"/>
      <c r="AD1040" s="465"/>
      <c r="AE1040" s="465"/>
      <c r="AF1040" s="465"/>
      <c r="AG1040" s="465"/>
      <c r="AH1040" s="465"/>
      <c r="AI1040" s="592"/>
      <c r="AJ1040" s="465"/>
      <c r="AK1040" s="465"/>
      <c r="AL1040" s="20"/>
      <c r="AM1040" s="20"/>
      <c r="AN1040" s="593"/>
      <c r="AO1040" s="20"/>
      <c r="AP1040" s="276"/>
      <c r="AQ1040" s="276"/>
      <c r="AR1040" s="276"/>
      <c r="AS1040" s="276"/>
      <c r="AT1040" s="276"/>
      <c r="AU1040" s="276"/>
      <c r="AV1040" s="276"/>
      <c r="AW1040" s="276"/>
      <c r="AX1040" s="276"/>
      <c r="AY1040" s="276"/>
      <c r="AZ1040" s="276"/>
      <c r="BA1040" s="276"/>
      <c r="BB1040" s="276"/>
      <c r="BC1040" s="276"/>
    </row>
    <row r="1041" spans="1:55" ht="12.75" customHeight="1">
      <c r="A1041" s="465"/>
      <c r="B1041" s="465"/>
      <c r="C1041" s="147"/>
      <c r="D1041" s="147"/>
      <c r="E1041" s="585"/>
      <c r="F1041" s="586"/>
      <c r="G1041" s="458"/>
      <c r="H1041" s="458"/>
      <c r="I1041" s="458"/>
      <c r="J1041" s="465"/>
      <c r="K1041" s="587"/>
      <c r="L1041" s="465"/>
      <c r="M1041" s="465"/>
      <c r="N1041" s="465"/>
      <c r="O1041" s="587"/>
      <c r="P1041" s="585"/>
      <c r="Q1041" s="465"/>
      <c r="R1041" s="458"/>
      <c r="S1041" s="585"/>
      <c r="T1041" s="588"/>
      <c r="U1041" s="589"/>
      <c r="V1041" s="587"/>
      <c r="W1041" s="465"/>
      <c r="X1041" s="465"/>
      <c r="Y1041" s="590"/>
      <c r="Z1041" s="458"/>
      <c r="AA1041" s="591"/>
      <c r="AB1041" s="465"/>
      <c r="AC1041" s="465"/>
      <c r="AD1041" s="465"/>
      <c r="AE1041" s="465"/>
      <c r="AF1041" s="465"/>
      <c r="AG1041" s="465"/>
      <c r="AH1041" s="465"/>
      <c r="AI1041" s="592"/>
      <c r="AJ1041" s="465"/>
      <c r="AK1041" s="465"/>
      <c r="AL1041" s="20"/>
      <c r="AM1041" s="20"/>
      <c r="AN1041" s="593"/>
      <c r="AO1041" s="20"/>
      <c r="AP1041" s="276"/>
      <c r="AQ1041" s="276"/>
      <c r="AR1041" s="276"/>
      <c r="AS1041" s="276"/>
      <c r="AT1041" s="276"/>
      <c r="AU1041" s="276"/>
      <c r="AV1041" s="276"/>
      <c r="AW1041" s="276"/>
      <c r="AX1041" s="276"/>
      <c r="AY1041" s="276"/>
      <c r="AZ1041" s="276"/>
      <c r="BA1041" s="276"/>
      <c r="BB1041" s="276"/>
      <c r="BC1041" s="276"/>
    </row>
    <row r="1042" spans="1:55" ht="12.75" customHeight="1">
      <c r="A1042" s="465"/>
      <c r="B1042" s="465"/>
      <c r="C1042" s="147"/>
      <c r="D1042" s="147"/>
      <c r="E1042" s="585"/>
      <c r="F1042" s="586"/>
      <c r="G1042" s="458"/>
      <c r="H1042" s="458"/>
      <c r="I1042" s="458"/>
      <c r="J1042" s="465"/>
      <c r="K1042" s="587"/>
      <c r="L1042" s="465"/>
      <c r="M1042" s="465"/>
      <c r="N1042" s="465"/>
      <c r="O1042" s="587"/>
      <c r="P1042" s="585"/>
      <c r="Q1042" s="465"/>
      <c r="R1042" s="458"/>
      <c r="S1042" s="585"/>
      <c r="T1042" s="588"/>
      <c r="U1042" s="589"/>
      <c r="V1042" s="587"/>
      <c r="W1042" s="465"/>
      <c r="X1042" s="465"/>
      <c r="Y1042" s="590"/>
      <c r="Z1042" s="458"/>
      <c r="AA1042" s="591"/>
      <c r="AB1042" s="465"/>
      <c r="AC1042" s="465"/>
      <c r="AD1042" s="465"/>
      <c r="AE1042" s="465"/>
      <c r="AF1042" s="465"/>
      <c r="AG1042" s="465"/>
      <c r="AH1042" s="465"/>
      <c r="AI1042" s="592"/>
      <c r="AJ1042" s="465"/>
      <c r="AK1042" s="465"/>
      <c r="AL1042" s="20"/>
      <c r="AM1042" s="20"/>
      <c r="AN1042" s="593"/>
      <c r="AO1042" s="20"/>
      <c r="AP1042" s="276"/>
      <c r="AQ1042" s="276"/>
      <c r="AR1042" s="276"/>
      <c r="AS1042" s="276"/>
      <c r="AT1042" s="276"/>
      <c r="AU1042" s="276"/>
      <c r="AV1042" s="276"/>
      <c r="AW1042" s="276"/>
      <c r="AX1042" s="276"/>
      <c r="AY1042" s="276"/>
      <c r="AZ1042" s="276"/>
      <c r="BA1042" s="276"/>
      <c r="BB1042" s="276"/>
      <c r="BC1042" s="276"/>
    </row>
    <row r="1043" spans="1:55" ht="12.75" customHeight="1">
      <c r="A1043" s="465"/>
      <c r="B1043" s="465"/>
      <c r="C1043" s="147"/>
      <c r="D1043" s="147"/>
      <c r="E1043" s="585"/>
      <c r="F1043" s="586"/>
      <c r="G1043" s="458"/>
      <c r="H1043" s="458"/>
      <c r="I1043" s="458"/>
      <c r="J1043" s="465"/>
      <c r="K1043" s="587"/>
      <c r="L1043" s="465"/>
      <c r="M1043" s="465"/>
      <c r="N1043" s="465"/>
      <c r="O1043" s="587"/>
      <c r="P1043" s="585"/>
      <c r="Q1043" s="465"/>
      <c r="R1043" s="458"/>
      <c r="S1043" s="585"/>
      <c r="T1043" s="588"/>
      <c r="U1043" s="589"/>
      <c r="V1043" s="587"/>
      <c r="W1043" s="465"/>
      <c r="X1043" s="465"/>
      <c r="Y1043" s="590"/>
      <c r="Z1043" s="458"/>
      <c r="AA1043" s="591"/>
      <c r="AB1043" s="465"/>
      <c r="AC1043" s="465"/>
      <c r="AD1043" s="465"/>
      <c r="AE1043" s="465"/>
      <c r="AF1043" s="465"/>
      <c r="AG1043" s="465"/>
      <c r="AH1043" s="465"/>
      <c r="AI1043" s="592"/>
      <c r="AJ1043" s="465"/>
      <c r="AK1043" s="465"/>
      <c r="AL1043" s="20"/>
      <c r="AM1043" s="20"/>
      <c r="AN1043" s="593"/>
      <c r="AO1043" s="20"/>
      <c r="AP1043" s="276"/>
      <c r="AQ1043" s="276"/>
      <c r="AR1043" s="276"/>
      <c r="AS1043" s="276"/>
      <c r="AT1043" s="276"/>
      <c r="AU1043" s="276"/>
      <c r="AV1043" s="276"/>
      <c r="AW1043" s="276"/>
      <c r="AX1043" s="276"/>
      <c r="AY1043" s="276"/>
      <c r="AZ1043" s="276"/>
      <c r="BA1043" s="276"/>
      <c r="BB1043" s="276"/>
      <c r="BC1043" s="276"/>
    </row>
    <row r="1044" spans="1:55" ht="12.75" customHeight="1">
      <c r="A1044" s="465"/>
      <c r="B1044" s="465"/>
      <c r="C1044" s="147"/>
      <c r="D1044" s="147"/>
      <c r="E1044" s="585"/>
      <c r="F1044" s="586"/>
      <c r="G1044" s="458"/>
      <c r="H1044" s="458"/>
      <c r="I1044" s="458"/>
      <c r="J1044" s="465"/>
      <c r="K1044" s="587"/>
      <c r="L1044" s="465"/>
      <c r="M1044" s="465"/>
      <c r="N1044" s="465"/>
      <c r="O1044" s="587"/>
      <c r="P1044" s="585"/>
      <c r="Q1044" s="465"/>
      <c r="R1044" s="458"/>
      <c r="S1044" s="585"/>
      <c r="T1044" s="588"/>
      <c r="U1044" s="589"/>
      <c r="V1044" s="587"/>
      <c r="W1044" s="465"/>
      <c r="X1044" s="465"/>
      <c r="Y1044" s="590"/>
      <c r="Z1044" s="458"/>
      <c r="AA1044" s="591"/>
      <c r="AB1044" s="465"/>
      <c r="AC1044" s="465"/>
      <c r="AD1044" s="465"/>
      <c r="AE1044" s="465"/>
      <c r="AF1044" s="465"/>
      <c r="AG1044" s="465"/>
      <c r="AH1044" s="465"/>
      <c r="AI1044" s="592"/>
      <c r="AJ1044" s="465"/>
      <c r="AK1044" s="465"/>
      <c r="AL1044" s="20"/>
      <c r="AM1044" s="20"/>
      <c r="AN1044" s="593"/>
      <c r="AO1044" s="20"/>
      <c r="AP1044" s="276"/>
      <c r="AQ1044" s="276"/>
      <c r="AR1044" s="276"/>
      <c r="AS1044" s="276"/>
      <c r="AT1044" s="276"/>
      <c r="AU1044" s="276"/>
      <c r="AV1044" s="276"/>
      <c r="AW1044" s="276"/>
      <c r="AX1044" s="276"/>
      <c r="AY1044" s="276"/>
      <c r="AZ1044" s="276"/>
      <c r="BA1044" s="276"/>
      <c r="BB1044" s="276"/>
      <c r="BC1044" s="276"/>
    </row>
    <row r="1045" spans="1:55" ht="12.75" customHeight="1">
      <c r="A1045" s="465"/>
      <c r="B1045" s="465"/>
      <c r="C1045" s="147"/>
      <c r="D1045" s="147"/>
      <c r="E1045" s="585"/>
      <c r="F1045" s="586"/>
      <c r="G1045" s="458"/>
      <c r="H1045" s="458"/>
      <c r="I1045" s="458"/>
      <c r="J1045" s="465"/>
      <c r="K1045" s="587"/>
      <c r="L1045" s="465"/>
      <c r="M1045" s="465"/>
      <c r="N1045" s="465"/>
      <c r="O1045" s="587"/>
      <c r="P1045" s="585"/>
      <c r="Q1045" s="465"/>
      <c r="R1045" s="458"/>
      <c r="S1045" s="585"/>
      <c r="T1045" s="588"/>
      <c r="U1045" s="589"/>
      <c r="V1045" s="587"/>
      <c r="W1045" s="465"/>
      <c r="X1045" s="465"/>
      <c r="Y1045" s="590"/>
      <c r="Z1045" s="458"/>
      <c r="AA1045" s="591"/>
      <c r="AB1045" s="465"/>
      <c r="AC1045" s="465"/>
      <c r="AD1045" s="465"/>
      <c r="AE1045" s="465"/>
      <c r="AF1045" s="465"/>
      <c r="AG1045" s="465"/>
      <c r="AH1045" s="465"/>
      <c r="AI1045" s="592"/>
      <c r="AJ1045" s="465"/>
      <c r="AK1045" s="465"/>
      <c r="AL1045" s="20"/>
      <c r="AM1045" s="20"/>
      <c r="AN1045" s="593"/>
      <c r="AO1045" s="20"/>
      <c r="AP1045" s="276"/>
      <c r="AQ1045" s="276"/>
      <c r="AR1045" s="276"/>
      <c r="AS1045" s="276"/>
      <c r="AT1045" s="276"/>
      <c r="AU1045" s="276"/>
      <c r="AV1045" s="276"/>
      <c r="AW1045" s="276"/>
      <c r="AX1045" s="276"/>
      <c r="AY1045" s="276"/>
      <c r="AZ1045" s="276"/>
      <c r="BA1045" s="276"/>
      <c r="BB1045" s="276"/>
      <c r="BC1045" s="276"/>
    </row>
    <row r="1046" spans="1:55" ht="12.75" customHeight="1">
      <c r="A1046" s="465"/>
      <c r="B1046" s="465"/>
      <c r="C1046" s="147"/>
      <c r="D1046" s="147"/>
      <c r="E1046" s="585"/>
      <c r="F1046" s="586"/>
      <c r="G1046" s="458"/>
      <c r="H1046" s="458"/>
      <c r="I1046" s="458"/>
      <c r="J1046" s="465"/>
      <c r="K1046" s="587"/>
      <c r="L1046" s="465"/>
      <c r="M1046" s="465"/>
      <c r="N1046" s="465"/>
      <c r="O1046" s="587"/>
      <c r="P1046" s="585"/>
      <c r="Q1046" s="465"/>
      <c r="R1046" s="458"/>
      <c r="S1046" s="585"/>
      <c r="T1046" s="588"/>
      <c r="U1046" s="589"/>
      <c r="V1046" s="587"/>
      <c r="W1046" s="465"/>
      <c r="X1046" s="465"/>
      <c r="Y1046" s="590"/>
      <c r="Z1046" s="458"/>
      <c r="AA1046" s="591"/>
      <c r="AB1046" s="465"/>
      <c r="AC1046" s="465"/>
      <c r="AD1046" s="465"/>
      <c r="AE1046" s="465"/>
      <c r="AF1046" s="465"/>
      <c r="AG1046" s="465"/>
      <c r="AH1046" s="465"/>
      <c r="AI1046" s="592"/>
      <c r="AJ1046" s="465"/>
      <c r="AK1046" s="465"/>
      <c r="AL1046" s="20"/>
      <c r="AM1046" s="20"/>
      <c r="AN1046" s="593"/>
      <c r="AO1046" s="20"/>
      <c r="AP1046" s="276"/>
      <c r="AQ1046" s="276"/>
      <c r="AR1046" s="276"/>
      <c r="AS1046" s="276"/>
      <c r="AT1046" s="276"/>
      <c r="AU1046" s="276"/>
      <c r="AV1046" s="276"/>
      <c r="AW1046" s="276"/>
      <c r="AX1046" s="276"/>
      <c r="AY1046" s="276"/>
      <c r="AZ1046" s="276"/>
      <c r="BA1046" s="276"/>
      <c r="BB1046" s="276"/>
      <c r="BC1046" s="276"/>
    </row>
    <row r="1047" spans="1:55" ht="12.75" customHeight="1">
      <c r="A1047" s="465"/>
      <c r="B1047" s="465"/>
      <c r="C1047" s="147"/>
      <c r="D1047" s="147"/>
      <c r="E1047" s="585"/>
      <c r="F1047" s="586"/>
      <c r="G1047" s="458"/>
      <c r="H1047" s="458"/>
      <c r="I1047" s="458"/>
      <c r="J1047" s="465"/>
      <c r="K1047" s="587"/>
      <c r="L1047" s="465"/>
      <c r="M1047" s="465"/>
      <c r="N1047" s="465"/>
      <c r="O1047" s="587"/>
      <c r="P1047" s="585"/>
      <c r="Q1047" s="465"/>
      <c r="R1047" s="458"/>
      <c r="S1047" s="585"/>
      <c r="T1047" s="588"/>
      <c r="U1047" s="589"/>
      <c r="V1047" s="587"/>
      <c r="W1047" s="465"/>
      <c r="X1047" s="465"/>
      <c r="Y1047" s="590"/>
      <c r="Z1047" s="458"/>
      <c r="AA1047" s="591"/>
      <c r="AB1047" s="465"/>
      <c r="AC1047" s="465"/>
      <c r="AD1047" s="465"/>
      <c r="AE1047" s="465"/>
      <c r="AF1047" s="465"/>
      <c r="AG1047" s="465"/>
      <c r="AH1047" s="465"/>
      <c r="AI1047" s="592"/>
      <c r="AJ1047" s="465"/>
      <c r="AK1047" s="465"/>
      <c r="AL1047" s="20"/>
      <c r="AM1047" s="20"/>
      <c r="AN1047" s="593"/>
      <c r="AO1047" s="20"/>
      <c r="AP1047" s="276"/>
      <c r="AQ1047" s="276"/>
      <c r="AR1047" s="276"/>
      <c r="AS1047" s="276"/>
      <c r="AT1047" s="276"/>
      <c r="AU1047" s="276"/>
      <c r="AV1047" s="276"/>
      <c r="AW1047" s="276"/>
      <c r="AX1047" s="276"/>
      <c r="AY1047" s="276"/>
      <c r="AZ1047" s="276"/>
      <c r="BA1047" s="276"/>
      <c r="BB1047" s="276"/>
      <c r="BC1047" s="276"/>
    </row>
    <row r="1048" spans="1:55" ht="12.75" customHeight="1">
      <c r="A1048" s="465"/>
      <c r="B1048" s="465"/>
      <c r="C1048" s="147"/>
      <c r="D1048" s="147"/>
      <c r="E1048" s="585"/>
      <c r="F1048" s="586"/>
      <c r="G1048" s="458"/>
      <c r="H1048" s="458"/>
      <c r="I1048" s="458"/>
      <c r="J1048" s="465"/>
      <c r="K1048" s="587"/>
      <c r="L1048" s="465"/>
      <c r="M1048" s="465"/>
      <c r="N1048" s="465"/>
      <c r="O1048" s="587"/>
      <c r="P1048" s="585"/>
      <c r="Q1048" s="465"/>
      <c r="R1048" s="458"/>
      <c r="S1048" s="585"/>
      <c r="T1048" s="588"/>
      <c r="U1048" s="589"/>
      <c r="V1048" s="587"/>
      <c r="W1048" s="465"/>
      <c r="X1048" s="465"/>
      <c r="Y1048" s="590"/>
      <c r="Z1048" s="458"/>
      <c r="AA1048" s="591"/>
      <c r="AB1048" s="465"/>
      <c r="AC1048" s="465"/>
      <c r="AD1048" s="465"/>
      <c r="AE1048" s="465"/>
      <c r="AF1048" s="465"/>
      <c r="AG1048" s="465"/>
      <c r="AH1048" s="465"/>
      <c r="AI1048" s="592"/>
      <c r="AJ1048" s="465"/>
      <c r="AK1048" s="465"/>
      <c r="AL1048" s="20"/>
      <c r="AM1048" s="20"/>
      <c r="AN1048" s="593"/>
      <c r="AO1048" s="20"/>
      <c r="AP1048" s="276"/>
      <c r="AQ1048" s="276"/>
      <c r="AR1048" s="276"/>
      <c r="AS1048" s="276"/>
      <c r="AT1048" s="276"/>
      <c r="AU1048" s="276"/>
      <c r="AV1048" s="276"/>
      <c r="AW1048" s="276"/>
      <c r="AX1048" s="276"/>
      <c r="AY1048" s="276"/>
      <c r="AZ1048" s="276"/>
      <c r="BA1048" s="276"/>
      <c r="BB1048" s="276"/>
      <c r="BC1048" s="276"/>
    </row>
  </sheetData>
  <customSheetViews>
    <customSheetView guid="{7FDFF5FD-1FC0-4676-8B5D-935BD4CD1CCA}" filter="1" showAutoFilter="1">
      <pageMargins left="0.7" right="0.7" top="0.75" bottom="0.75" header="0.3" footer="0.3"/>
      <autoFilter ref="A1:AP163" xr:uid="{445AA49D-2C6C-47F1-A415-46339229AA97}">
        <filterColumn colId="33">
          <filters blank="1">
            <filter val="育児休暇中"/>
            <filter val="一時帰国"/>
            <filter val="一時帰国予定"/>
            <filter val="一時退職"/>
            <filter val="退職予定"/>
          </filters>
        </filterColumn>
      </autoFilter>
    </customSheetView>
  </customSheetViews>
  <phoneticPr fontId="135"/>
  <conditionalFormatting sqref="A2:B198 P2:P198 D2:D200 Q2:Q200 AE127:AF127 AH175 Z181:Z191 F181:I195 K181:K195 M181:O195 R181:Y195 AA181:BC195 J181:J197 L181:M197 E181:E198 Z193:Z195">
    <cfRule type="expression" dxfId="75" priority="9">
      <formula>$AH2="退職"</formula>
    </cfRule>
  </conditionalFormatting>
  <conditionalFormatting sqref="A167:B167 D167:E167 G167:K167 L167:L169 M205">
    <cfRule type="expression" dxfId="74" priority="23">
      <formula>$AG167="退職"</formula>
    </cfRule>
  </conditionalFormatting>
  <conditionalFormatting sqref="A240:AK240 AO240:BC240">
    <cfRule type="expression" dxfId="73" priority="2">
      <formula>$AH240="退職"</formula>
    </cfRule>
  </conditionalFormatting>
  <conditionalFormatting sqref="A199:BB200 S203:T203 N203:N207 Z243:Z249 R246">
    <cfRule type="expression" dxfId="72" priority="7">
      <formula>$AH199="退職"</formula>
    </cfRule>
  </conditionalFormatting>
  <conditionalFormatting sqref="C167:C174 D171:E171">
    <cfRule type="expression" dxfId="71" priority="19">
      <formula>$AG167="退職"</formula>
    </cfRule>
  </conditionalFormatting>
  <conditionalFormatting sqref="D167:E167 G167:K167 M167:BC167 L167:L169 M205">
    <cfRule type="expression" dxfId="70" priority="21">
      <formula>$AH167="退職"</formula>
    </cfRule>
  </conditionalFormatting>
  <conditionalFormatting sqref="J167:J169">
    <cfRule type="expression" dxfId="69" priority="15">
      <formula>$AH167="退職"</formula>
    </cfRule>
  </conditionalFormatting>
  <conditionalFormatting sqref="L181:L196">
    <cfRule type="expression" dxfId="68" priority="11">
      <formula>$AH181="退職"</formula>
    </cfRule>
  </conditionalFormatting>
  <conditionalFormatting sqref="M167:U167 U176:U238 C181:C204 O181:O238 A199:B200 D199:N200 P199:P200 R199:T200 V199:AI200 AK199:AK200 Q199:Q204 Z202:Z206 AK203 A203:B204 D203:M204 P203:P204 R203:R204 V203:Y204 AA203:AJ204 AO203:BB204 S203:S206 T203:T207 N203:N238 AL205:AL206 A206:M206 P206:Q206 V206:X206 AA206:AK206 AM206 AO206:BB206 R206:R207 Y206:Y207 C208 M208 Q208 C238 Q238 Z243:Z244">
    <cfRule type="expression" dxfId="67" priority="8">
      <formula>$AG167="退職"</formula>
    </cfRule>
  </conditionalFormatting>
  <conditionalFormatting sqref="O2:O199 R36 V79:V81 V86 V89 V97:V100 A168:A169 D168:N169 P168:BC169 B168:B170 D171:E171 J171:J175 L171:M175 R171:R175">
    <cfRule type="expression" dxfId="66" priority="14">
      <formula>$AH2="退職"</formula>
    </cfRule>
  </conditionalFormatting>
  <conditionalFormatting sqref="R36 V79:V81 V86 V89 V97:V100 O156:O169 D168:N169 P168:T169 D171:O175 Q171:Z175 AB171:AI175 AA171:AA176 T181 T183:T185 T187 T189:T190">
    <cfRule type="expression" dxfId="65" priority="18">
      <formula>$AG36="退職"</formula>
    </cfRule>
  </conditionalFormatting>
  <conditionalFormatting sqref="R90:S90 M170 A240:A242 B240:AK249 AW241:BC241 AP241:AV242 AL241:AL243 AN241:AO243 AM241:AM244 A244:A249 AP244:AP249 AM246 AL248:AL249">
    <cfRule type="expression" dxfId="64" priority="1">
      <formula>$AH90="退職"</formula>
    </cfRule>
  </conditionalFormatting>
  <conditionalFormatting sqref="T27 AB153 A156:A158 C156:D158 G156:N158 P156:P158 R156:S158 X156:AI158 AK156:AK158 T156:T162 V156:V162 E156:E166 Q156:Q166 W156:W166 A164:A166 C164:D166 G164:N166 P164:P166 R164:R166 T164:T166 V164:V166 X164:AI166 S164:S167 T169">
    <cfRule type="expression" dxfId="63" priority="24">
      <formula>$AG27="退職"</formula>
    </cfRule>
  </conditionalFormatting>
  <conditionalFormatting sqref="T64 B156:B170 AK161 V167:AI170 F168:F170 A168:C175 C170:E170 Z176:Z177 A176:T180 V176:Y180 R242">
    <cfRule type="expression" dxfId="62" priority="17">
      <formula>$AG64="退職"</formula>
    </cfRule>
  </conditionalFormatting>
  <conditionalFormatting sqref="T203 Y203:Z203 N203:N207 O204 U204">
    <cfRule type="expression" dxfId="61" priority="5">
      <formula>$AF203="退職"</formula>
    </cfRule>
  </conditionalFormatting>
  <conditionalFormatting sqref="U2:U200 C2:C203 AO5 AO47:AO48 AO75 AO79:AO80 AO85:AO87 AO111 AO144 AO166 J199:J203 L199:M203 W201 A201:B203 D201:I203 K201:K203 N201:V203 X201:Y203 AA201:AN203 AP201:BB203 AO201:AO237 Z202:Z207 W203 BC203 AK205:AL237 A205:K238 M205:X238 AA205:AJ238 Y205:Y239 L205:L243 AN207:AN208 AQ207:BB237 AP207:AP238 Z209:Z222 Z226:Z238 AM237:AN237 AL239 AO239">
    <cfRule type="expression" dxfId="60" priority="6">
      <formula>$AH2="退職"</formula>
    </cfRule>
  </conditionalFormatting>
  <conditionalFormatting sqref="V205:V206">
    <cfRule type="expression" dxfId="59" priority="4">
      <formula>$AI205="退職"</formula>
    </cfRule>
  </conditionalFormatting>
  <conditionalFormatting sqref="Z192">
    <cfRule type="expression" dxfId="58" priority="13">
      <formula>#REF!="退職"</formula>
    </cfRule>
  </conditionalFormatting>
  <conditionalFormatting sqref="Z193:Z195">
    <cfRule type="expression" dxfId="57" priority="12">
      <formula>$AH185="退職"</formula>
    </cfRule>
  </conditionalFormatting>
  <conditionalFormatting sqref="AE73:AF73 R90:S90 G170:U170 C240:C249 N240:O249 Q240:Q249 U240:U249 A241:A242 D241:D244 G241:M244 P241:P244 R241:T244 V241:AI244 AK241:AK244 F241:F246 B241:B249 E241:E249 A244 A246 D246 G246:L246 P246 R246:T246 V246:AI246 AK246 M246:M249">
    <cfRule type="expression" dxfId="56" priority="3">
      <formula>$AG73="退職"</formula>
    </cfRule>
  </conditionalFormatting>
  <conditionalFormatting sqref="AE127:AF127 AK164:AK197 P168:P178 AH175 AA176:AI197 Z179:Z191 P180:P197 A181:B197 F181:I197 K181:K197 S181:T197 V181:X197 E181:E198 J181:J198 L181:N198 Q181:R198 Y181:Y198 D181:D200 Z193:Z196">
    <cfRule type="expression" dxfId="55" priority="10">
      <formula>$AG127="退職"</formula>
    </cfRule>
  </conditionalFormatting>
  <conditionalFormatting sqref="AL2:AL96 E2:N198 R2:T198 V2:AK198 AM2:BC198 AL98:AL198 AB201 Q203 AN204 AH209 R242">
    <cfRule type="expression" dxfId="54" priority="25">
      <formula>$AH2="退職"</formula>
    </cfRule>
  </conditionalFormatting>
  <dataValidations count="12">
    <dataValidation type="list" allowBlank="1" sqref="AH2:AH165 AH167 AH169 AH175 AH188 AH206:AH207 AH209 AH239:AH243" xr:uid="{00000000-0002-0000-0000-000000000000}">
      <formula1>"',退職,退職予定,一時退職,一時帰国,一時帰国予定,育児休暇中"</formula1>
    </dataValidation>
    <dataValidation type="list" allowBlank="1" showErrorMessage="1" sqref="Q2:Q239" xr:uid="{00000000-0002-0000-0000-000001000000}">
      <formula1>"',技能実習1号,技能実習2号,技能実習3号,特定技能１号,特定技能２号,特定活動"</formula1>
    </dataValidation>
    <dataValidation type="list" allowBlank="1" sqref="AH166 AH168 AH170:AH174 AH176:AH187 AH189:AH204 AG205 AH208 AH210:AH238 AH245 AH247:AH249" xr:uid="{00000000-0002-0000-0000-000002000000}">
      <formula1>"',退職,退職予定,一時退職,一時帰国"</formula1>
    </dataValidation>
    <dataValidation type="list" allowBlank="1" showErrorMessage="1" sqref="Q240:Q243" xr:uid="{00000000-0002-0000-0000-000003000000}">
      <formula1>"',技能実習1号,技能実習2号,技能実習3号,特定技能１号,特定活動"</formula1>
    </dataValidation>
    <dataValidation type="list" allowBlank="1" sqref="AH244 AH246" xr:uid="{00000000-0002-0000-0000-000004000000}">
      <formula1>"',退職,退職予定,一時退職,一時帰国,一時帰国予定"</formula1>
    </dataValidation>
    <dataValidation type="list" allowBlank="1" showErrorMessage="1" sqref="M2:M167 M169:M170 M205:M207 M209 M239:M243" xr:uid="{00000000-0002-0000-0000-000005000000}">
      <formula1>"有,無,夫婦"</formula1>
    </dataValidation>
    <dataValidation type="list" allowBlank="1" showErrorMessage="1" sqref="N2:N246 N248:N251" xr:uid="{00000000-0002-0000-0000-000006000000}">
      <formula1>"中四国,ポエム,キュービック,デルタ四国,ｅ-人財,H&amp;C,関東食肉,INA,中温"</formula1>
    </dataValidation>
    <dataValidation type="list" allowBlank="1" showErrorMessage="1" sqref="M168 M171:M204 M208 M210:M238 M245 M248:M249" xr:uid="{00000000-0002-0000-0000-000007000000}">
      <formula1>"有,無"</formula1>
    </dataValidation>
    <dataValidation type="list" allowBlank="1" showErrorMessage="1" sqref="D2:D249" xr:uid="{00000000-0002-0000-0000-000008000000}">
      <formula1>"’,ベトナム,インドネシア"</formula1>
    </dataValidation>
    <dataValidation type="list" allowBlank="1" showErrorMessage="1" sqref="J2:J243" xr:uid="{00000000-0002-0000-0000-000009000000}">
      <formula1>"女,男"</formula1>
    </dataValidation>
    <dataValidation type="list" allowBlank="1" showErrorMessage="1" sqref="Q244:Q249" xr:uid="{00000000-0002-0000-0000-00000A000000}">
      <formula1>"',特定活動告示9号,技能実習1号,技能実習2号,技能実習3号,特定技能１号,特定技能２号,特定活動"</formula1>
    </dataValidation>
    <dataValidation type="list" allowBlank="1" showErrorMessage="1" sqref="C2:C249" xr:uid="{00000000-0002-0000-0000-00000B000000}">
      <formula1>"’,津吉,本社,協同本社"</formula1>
    </dataValidation>
  </dataValidations>
  <hyperlinks>
    <hyperlink ref="AQ209" r:id="rId1" xr:uid="{00000000-0004-0000-0000-000000000000}"/>
  </hyperlinks>
  <pageMargins left="1" right="1"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188"/>
  <sheetViews>
    <sheetView workbookViewId="0"/>
  </sheetViews>
  <sheetFormatPr defaultColWidth="12.6328125" defaultRowHeight="15" customHeight="1"/>
  <cols>
    <col min="1" max="1" width="4.6328125" customWidth="1"/>
    <col min="2" max="2" width="10.08984375" customWidth="1"/>
    <col min="3" max="3" width="8.08984375" customWidth="1"/>
    <col min="4" max="4" width="8.36328125" customWidth="1"/>
    <col min="5" max="5" width="10.08984375" customWidth="1"/>
    <col min="6" max="6" width="15.453125" customWidth="1"/>
    <col min="7" max="7" width="4.6328125" customWidth="1"/>
    <col min="8" max="8" width="13.7265625" customWidth="1"/>
    <col min="9" max="9" width="32.90625" customWidth="1"/>
    <col min="10" max="10" width="26.6328125" customWidth="1"/>
    <col min="11" max="13" width="28.6328125" customWidth="1"/>
    <col min="14" max="14" width="9.7265625" customWidth="1"/>
    <col min="15" max="22" width="28.6328125" customWidth="1"/>
    <col min="23" max="23" width="26.6328125" customWidth="1"/>
    <col min="24" max="42" width="37.08984375" customWidth="1"/>
  </cols>
  <sheetData>
    <row r="1" spans="1:42">
      <c r="A1" s="594" t="s">
        <v>2289</v>
      </c>
      <c r="B1" s="594" t="s">
        <v>2290</v>
      </c>
      <c r="C1" s="594" t="s">
        <v>2291</v>
      </c>
      <c r="D1" s="594" t="s">
        <v>2292</v>
      </c>
      <c r="E1" s="594" t="s">
        <v>2293</v>
      </c>
      <c r="F1" s="594" t="s">
        <v>2294</v>
      </c>
      <c r="G1" s="594" t="s">
        <v>2295</v>
      </c>
      <c r="H1" s="594" t="s">
        <v>2296</v>
      </c>
      <c r="I1" s="594" t="s">
        <v>2297</v>
      </c>
      <c r="J1" s="594" t="s">
        <v>2298</v>
      </c>
      <c r="K1" s="594" t="s">
        <v>2299</v>
      </c>
      <c r="L1" s="594" t="s">
        <v>2300</v>
      </c>
      <c r="M1" s="594" t="s">
        <v>2301</v>
      </c>
      <c r="N1" s="594" t="s">
        <v>2302</v>
      </c>
      <c r="O1" s="594" t="s">
        <v>2303</v>
      </c>
      <c r="P1" s="594" t="s">
        <v>2304</v>
      </c>
      <c r="Q1" s="594" t="s">
        <v>2305</v>
      </c>
      <c r="R1" s="594" t="s">
        <v>2306</v>
      </c>
      <c r="S1" s="594" t="s">
        <v>2307</v>
      </c>
      <c r="T1" s="594" t="s">
        <v>2308</v>
      </c>
      <c r="U1" s="594" t="s">
        <v>2309</v>
      </c>
      <c r="V1" s="594" t="s">
        <v>2310</v>
      </c>
      <c r="W1" s="594" t="s">
        <v>2311</v>
      </c>
      <c r="X1" s="594" t="s">
        <v>2312</v>
      </c>
      <c r="Y1" s="594" t="s">
        <v>2313</v>
      </c>
      <c r="Z1" s="594" t="s">
        <v>2314</v>
      </c>
      <c r="AA1" s="594" t="s">
        <v>2315</v>
      </c>
      <c r="AB1" s="594" t="s">
        <v>2316</v>
      </c>
      <c r="AC1" s="594" t="s">
        <v>2317</v>
      </c>
      <c r="AD1" s="594" t="s">
        <v>2318</v>
      </c>
      <c r="AE1" s="594" t="s">
        <v>2319</v>
      </c>
      <c r="AF1" s="594" t="s">
        <v>2320</v>
      </c>
      <c r="AG1" s="594" t="s">
        <v>2321</v>
      </c>
      <c r="AH1" s="594" t="s">
        <v>2322</v>
      </c>
      <c r="AI1" s="594" t="s">
        <v>2323</v>
      </c>
      <c r="AJ1" s="594" t="s">
        <v>2324</v>
      </c>
      <c r="AK1" s="594" t="s">
        <v>2325</v>
      </c>
      <c r="AL1" s="594" t="s">
        <v>2326</v>
      </c>
      <c r="AM1" s="594" t="s">
        <v>2327</v>
      </c>
      <c r="AN1" s="594" t="s">
        <v>2328</v>
      </c>
      <c r="AO1" s="594" t="s">
        <v>2329</v>
      </c>
      <c r="AP1" s="594" t="s">
        <v>41</v>
      </c>
    </row>
    <row r="2" spans="1:42">
      <c r="A2" s="595">
        <v>1</v>
      </c>
      <c r="B2" s="596">
        <v>45958</v>
      </c>
      <c r="C2" s="597">
        <v>0.37100694444444443</v>
      </c>
      <c r="D2" s="594" t="s">
        <v>2330</v>
      </c>
      <c r="E2" s="598" t="s">
        <v>1079</v>
      </c>
      <c r="F2" s="595" t="s">
        <v>2331</v>
      </c>
      <c r="G2" s="595" t="s">
        <v>2332</v>
      </c>
      <c r="H2" s="595" t="s">
        <v>2333</v>
      </c>
      <c r="L2" s="596">
        <v>45958</v>
      </c>
      <c r="N2" s="595" t="s">
        <v>2330</v>
      </c>
      <c r="O2" s="595" t="s">
        <v>2334</v>
      </c>
      <c r="Q2" s="595" t="s">
        <v>2335</v>
      </c>
    </row>
    <row r="3" spans="1:42">
      <c r="A3" s="595">
        <v>2</v>
      </c>
      <c r="B3" s="596">
        <v>45959</v>
      </c>
      <c r="C3" s="597">
        <v>0.6369097222222222</v>
      </c>
      <c r="D3" s="595" t="s">
        <v>2330</v>
      </c>
      <c r="E3" s="599" t="s">
        <v>1718</v>
      </c>
      <c r="F3" s="595" t="s">
        <v>2336</v>
      </c>
      <c r="G3" s="595" t="s">
        <v>2332</v>
      </c>
      <c r="H3" s="595" t="s">
        <v>2337</v>
      </c>
      <c r="K3" s="594" t="s">
        <v>2338</v>
      </c>
      <c r="L3" s="596">
        <v>45961</v>
      </c>
      <c r="M3" s="597">
        <v>0.51388888888888884</v>
      </c>
      <c r="N3" s="595" t="s">
        <v>2339</v>
      </c>
      <c r="Q3" s="594" t="s">
        <v>2340</v>
      </c>
      <c r="R3" s="596">
        <v>45973</v>
      </c>
      <c r="T3" s="595" t="s">
        <v>2330</v>
      </c>
      <c r="W3" s="595" t="s">
        <v>2341</v>
      </c>
      <c r="X3" s="595"/>
      <c r="Y3" s="595"/>
      <c r="Z3" s="595"/>
      <c r="AA3" s="595"/>
      <c r="AB3" s="595"/>
      <c r="AC3" s="595" t="s">
        <v>2342</v>
      </c>
      <c r="AD3" s="595"/>
      <c r="AE3" s="595"/>
      <c r="AF3" s="595"/>
      <c r="AG3" s="595"/>
      <c r="AH3" s="595"/>
      <c r="AI3" s="595"/>
      <c r="AJ3" s="595"/>
      <c r="AK3" s="595"/>
      <c r="AL3" s="595"/>
      <c r="AM3" s="595"/>
      <c r="AN3" s="595"/>
      <c r="AO3" s="595"/>
      <c r="AP3" s="595" t="s">
        <v>2343</v>
      </c>
    </row>
    <row r="4" spans="1:42">
      <c r="A4" s="595">
        <v>3</v>
      </c>
      <c r="B4" s="596">
        <v>45960</v>
      </c>
      <c r="C4" s="597">
        <v>0.40995370370370371</v>
      </c>
      <c r="D4" s="595" t="s">
        <v>2339</v>
      </c>
      <c r="E4" s="598" t="s">
        <v>891</v>
      </c>
      <c r="G4" s="595" t="s">
        <v>329</v>
      </c>
      <c r="H4" s="595" t="s">
        <v>2333</v>
      </c>
      <c r="K4" s="594" t="s">
        <v>2344</v>
      </c>
      <c r="L4" s="596">
        <v>45960</v>
      </c>
      <c r="M4" s="597">
        <v>0.45362268518518517</v>
      </c>
      <c r="N4" s="594" t="s">
        <v>2339</v>
      </c>
      <c r="Q4" s="594" t="s">
        <v>2345</v>
      </c>
      <c r="R4" s="596">
        <v>45971</v>
      </c>
      <c r="S4" s="597">
        <v>0.52361111111111114</v>
      </c>
      <c r="T4" s="595" t="s">
        <v>2339</v>
      </c>
      <c r="U4" s="595" t="s">
        <v>2346</v>
      </c>
      <c r="V4" s="595" t="s">
        <v>2347</v>
      </c>
      <c r="W4" s="594" t="s">
        <v>2348</v>
      </c>
      <c r="AA4" s="595" t="s">
        <v>2349</v>
      </c>
      <c r="AB4" s="595" t="s">
        <v>2350</v>
      </c>
      <c r="AD4" s="600">
        <v>46092</v>
      </c>
      <c r="AE4" s="597">
        <v>0.37976851851851851</v>
      </c>
      <c r="AF4" s="595" t="s">
        <v>2339</v>
      </c>
      <c r="AG4" s="595" t="s">
        <v>2351</v>
      </c>
      <c r="AI4" s="595" t="s">
        <v>2352</v>
      </c>
    </row>
    <row r="5" spans="1:42">
      <c r="A5" s="595">
        <v>4</v>
      </c>
      <c r="B5" s="596">
        <v>45960</v>
      </c>
      <c r="C5" s="597">
        <v>0.41168981481481481</v>
      </c>
      <c r="D5" s="595" t="s">
        <v>2339</v>
      </c>
      <c r="E5" s="599" t="s">
        <v>1671</v>
      </c>
      <c r="G5" s="595" t="s">
        <v>67</v>
      </c>
      <c r="H5" s="594" t="s">
        <v>2333</v>
      </c>
      <c r="K5" s="594" t="s">
        <v>2353</v>
      </c>
      <c r="L5" s="596">
        <v>45960</v>
      </c>
      <c r="M5" s="597">
        <v>0.45572916666666669</v>
      </c>
      <c r="N5" s="595" t="s">
        <v>2339</v>
      </c>
      <c r="Q5" s="595" t="s">
        <v>2354</v>
      </c>
      <c r="R5" s="596">
        <v>45971</v>
      </c>
      <c r="S5" s="597">
        <v>0.54861111111111116</v>
      </c>
      <c r="T5" s="595" t="s">
        <v>2339</v>
      </c>
      <c r="U5" s="595" t="s">
        <v>2355</v>
      </c>
      <c r="W5" s="594" t="s">
        <v>2356</v>
      </c>
      <c r="X5" s="595"/>
      <c r="Y5" s="595"/>
      <c r="Z5" s="595"/>
      <c r="AA5" s="595"/>
      <c r="AB5" s="595"/>
      <c r="AC5" s="595"/>
      <c r="AD5" s="595"/>
      <c r="AE5" s="595"/>
      <c r="AF5" s="595"/>
      <c r="AG5" s="595"/>
      <c r="AH5" s="595"/>
      <c r="AI5" s="595"/>
      <c r="AJ5" s="595"/>
      <c r="AK5" s="595"/>
      <c r="AL5" s="595"/>
      <c r="AM5" s="595"/>
      <c r="AN5" s="595"/>
      <c r="AO5" s="595"/>
      <c r="AP5" s="595" t="s">
        <v>2357</v>
      </c>
    </row>
    <row r="6" spans="1:42">
      <c r="A6" s="595">
        <v>5</v>
      </c>
      <c r="B6" s="596">
        <v>45960</v>
      </c>
      <c r="C6" s="597">
        <v>0.42792824074074076</v>
      </c>
      <c r="D6" s="595" t="s">
        <v>2339</v>
      </c>
      <c r="E6" s="599" t="s">
        <v>1820</v>
      </c>
      <c r="F6" s="595" t="s">
        <v>2358</v>
      </c>
      <c r="G6" s="595" t="s">
        <v>2359</v>
      </c>
      <c r="H6" s="595" t="s">
        <v>2333</v>
      </c>
      <c r="I6" s="595" t="s">
        <v>2360</v>
      </c>
      <c r="J6" s="595" t="s">
        <v>2361</v>
      </c>
      <c r="K6" s="594" t="s">
        <v>2362</v>
      </c>
      <c r="L6" s="596">
        <v>45960</v>
      </c>
      <c r="M6" s="597">
        <v>0.44371527777777775</v>
      </c>
      <c r="N6" s="595" t="s">
        <v>2339</v>
      </c>
      <c r="Q6" s="595" t="s">
        <v>2363</v>
      </c>
      <c r="R6" s="600">
        <v>45966</v>
      </c>
      <c r="S6" s="597">
        <v>0.4465277777777778</v>
      </c>
      <c r="T6" s="595" t="s">
        <v>2339</v>
      </c>
      <c r="U6" s="595" t="s">
        <v>2364</v>
      </c>
      <c r="W6" s="595" t="s">
        <v>2365</v>
      </c>
    </row>
    <row r="7" spans="1:42">
      <c r="A7" s="595">
        <v>6</v>
      </c>
      <c r="B7" s="596">
        <v>45961</v>
      </c>
      <c r="C7" s="597">
        <v>0.3125</v>
      </c>
      <c r="D7" s="595" t="s">
        <v>2339</v>
      </c>
      <c r="F7" s="595" t="s">
        <v>2366</v>
      </c>
      <c r="G7" s="595" t="s">
        <v>2367</v>
      </c>
      <c r="H7" s="595" t="s">
        <v>2333</v>
      </c>
      <c r="K7" s="594" t="s">
        <v>2368</v>
      </c>
      <c r="L7" s="600">
        <v>45962</v>
      </c>
      <c r="M7" s="597">
        <v>0.47222222222222221</v>
      </c>
      <c r="N7" s="595" t="s">
        <v>2339</v>
      </c>
      <c r="Q7" s="595" t="s">
        <v>2369</v>
      </c>
    </row>
    <row r="8" spans="1:42">
      <c r="A8" s="595">
        <v>7</v>
      </c>
      <c r="B8" s="596">
        <v>45961</v>
      </c>
      <c r="C8" s="597">
        <v>0.69521990740740736</v>
      </c>
      <c r="D8" s="595" t="s">
        <v>2339</v>
      </c>
      <c r="E8" s="598" t="s">
        <v>2003</v>
      </c>
      <c r="G8" s="595" t="s">
        <v>2370</v>
      </c>
      <c r="H8" s="595" t="s">
        <v>2333</v>
      </c>
      <c r="I8" s="595" t="s">
        <v>2371</v>
      </c>
      <c r="J8" s="595" t="s">
        <v>2372</v>
      </c>
      <c r="K8" s="594" t="s">
        <v>2373</v>
      </c>
      <c r="L8" s="600">
        <v>45962</v>
      </c>
      <c r="M8" s="597">
        <v>0.60416666666666663</v>
      </c>
      <c r="N8" s="595" t="s">
        <v>2339</v>
      </c>
      <c r="Q8" s="594" t="s">
        <v>2374</v>
      </c>
    </row>
    <row r="9" spans="1:42">
      <c r="A9" s="595">
        <v>8</v>
      </c>
      <c r="B9" s="600">
        <v>45963</v>
      </c>
      <c r="C9" s="597">
        <v>0.52013888888888893</v>
      </c>
      <c r="D9" s="595" t="s">
        <v>2339</v>
      </c>
      <c r="E9" s="598" t="s">
        <v>865</v>
      </c>
      <c r="G9" s="595" t="s">
        <v>2375</v>
      </c>
      <c r="H9" s="595" t="s">
        <v>2337</v>
      </c>
      <c r="K9" s="594" t="s">
        <v>2376</v>
      </c>
      <c r="L9" s="600">
        <v>45965</v>
      </c>
      <c r="M9" s="597">
        <v>0.35666666666666669</v>
      </c>
      <c r="N9" s="595" t="s">
        <v>2339</v>
      </c>
      <c r="Q9" s="595" t="s">
        <v>2377</v>
      </c>
      <c r="R9" s="600">
        <v>45966</v>
      </c>
      <c r="S9" s="597">
        <v>0.52430555555555558</v>
      </c>
      <c r="T9" s="595" t="s">
        <v>2339</v>
      </c>
      <c r="W9" s="594" t="s">
        <v>2378</v>
      </c>
      <c r="X9" s="600">
        <v>46091</v>
      </c>
      <c r="Y9" s="597">
        <v>0.5379976851851852</v>
      </c>
      <c r="Z9" s="595" t="s">
        <v>2339</v>
      </c>
      <c r="AA9" s="595" t="s">
        <v>2379</v>
      </c>
      <c r="AC9" s="595" t="s">
        <v>2380</v>
      </c>
    </row>
    <row r="10" spans="1:42">
      <c r="A10" s="595">
        <v>9</v>
      </c>
      <c r="B10" s="600">
        <v>45965</v>
      </c>
      <c r="C10" s="597">
        <v>0.54489583333333336</v>
      </c>
      <c r="D10" s="595" t="s">
        <v>2330</v>
      </c>
      <c r="E10" s="599" t="s">
        <v>1167</v>
      </c>
      <c r="G10" s="595" t="s">
        <v>2370</v>
      </c>
      <c r="H10" s="595" t="s">
        <v>2333</v>
      </c>
      <c r="K10" s="595" t="s">
        <v>2381</v>
      </c>
      <c r="L10" s="600">
        <v>45966</v>
      </c>
      <c r="M10" s="597">
        <v>0.45833333333333331</v>
      </c>
      <c r="N10" s="595" t="s">
        <v>2339</v>
      </c>
      <c r="Q10" s="595" t="s">
        <v>2382</v>
      </c>
      <c r="R10" s="596">
        <v>45972</v>
      </c>
      <c r="S10" s="597">
        <v>0.38495370370370369</v>
      </c>
      <c r="T10" s="595" t="s">
        <v>2339</v>
      </c>
      <c r="W10" s="595" t="s">
        <v>2383</v>
      </c>
    </row>
    <row r="11" spans="1:42">
      <c r="A11" s="595">
        <v>10</v>
      </c>
      <c r="B11" s="600">
        <v>45967</v>
      </c>
      <c r="C11" s="597">
        <v>0.40254629629629629</v>
      </c>
      <c r="D11" s="595" t="s">
        <v>2330</v>
      </c>
      <c r="E11" s="599" t="s">
        <v>2384</v>
      </c>
      <c r="F11" s="595" t="s">
        <v>2266</v>
      </c>
      <c r="G11" s="595" t="s">
        <v>2332</v>
      </c>
      <c r="H11" s="595" t="s">
        <v>2333</v>
      </c>
      <c r="K11" s="595" t="s">
        <v>2385</v>
      </c>
      <c r="N11" s="595" t="s">
        <v>2330</v>
      </c>
      <c r="Q11" s="595" t="s">
        <v>2386</v>
      </c>
    </row>
    <row r="12" spans="1:42">
      <c r="A12" s="595">
        <v>11</v>
      </c>
      <c r="B12" s="600">
        <v>45968</v>
      </c>
      <c r="C12" s="597">
        <v>0.28749999999999998</v>
      </c>
      <c r="D12" s="595" t="s">
        <v>2339</v>
      </c>
      <c r="E12" s="598" t="s">
        <v>1639</v>
      </c>
      <c r="G12" s="595" t="s">
        <v>67</v>
      </c>
      <c r="H12" s="595" t="s">
        <v>2333</v>
      </c>
      <c r="I12" s="595" t="s">
        <v>2387</v>
      </c>
      <c r="K12" s="595" t="s">
        <v>2388</v>
      </c>
      <c r="L12" s="596">
        <v>45971</v>
      </c>
      <c r="M12" s="597">
        <v>0.54861111111111116</v>
      </c>
      <c r="N12" s="595" t="s">
        <v>2339</v>
      </c>
      <c r="Q12" s="594" t="s">
        <v>2389</v>
      </c>
    </row>
    <row r="13" spans="1:42">
      <c r="A13" s="595">
        <v>12</v>
      </c>
      <c r="B13" s="600">
        <v>45968</v>
      </c>
      <c r="C13" s="597">
        <v>0.33855324074074072</v>
      </c>
      <c r="D13" s="595" t="s">
        <v>2339</v>
      </c>
      <c r="E13" s="599" t="s">
        <v>1194</v>
      </c>
      <c r="F13" s="595" t="s">
        <v>2390</v>
      </c>
      <c r="G13" s="595" t="s">
        <v>2332</v>
      </c>
      <c r="H13" s="595" t="s">
        <v>2333</v>
      </c>
      <c r="I13" s="595" t="s">
        <v>2391</v>
      </c>
      <c r="K13" s="594" t="s">
        <v>2392</v>
      </c>
      <c r="L13" s="600">
        <v>45968</v>
      </c>
      <c r="N13" s="595" t="s">
        <v>2330</v>
      </c>
      <c r="Q13" s="595" t="s">
        <v>2393</v>
      </c>
    </row>
    <row r="14" spans="1:42">
      <c r="A14" s="595">
        <v>13</v>
      </c>
      <c r="B14" s="600">
        <v>45968</v>
      </c>
      <c r="C14" s="597">
        <v>0.36660879629629628</v>
      </c>
      <c r="D14" s="595" t="s">
        <v>2339</v>
      </c>
      <c r="E14" s="598" t="s">
        <v>1830</v>
      </c>
      <c r="G14" s="595" t="s">
        <v>2332</v>
      </c>
      <c r="H14" s="595" t="s">
        <v>2333</v>
      </c>
      <c r="K14" s="594" t="s">
        <v>2394</v>
      </c>
      <c r="L14" s="596">
        <v>45981</v>
      </c>
      <c r="M14" s="597">
        <v>0.48888888888888887</v>
      </c>
      <c r="N14" s="595" t="s">
        <v>2339</v>
      </c>
      <c r="Q14" s="595" t="s">
        <v>2395</v>
      </c>
      <c r="R14" s="596">
        <v>45987</v>
      </c>
      <c r="S14" s="597">
        <v>0.62157407407407406</v>
      </c>
      <c r="T14" s="595" t="s">
        <v>2339</v>
      </c>
      <c r="W14" s="595" t="s">
        <v>2396</v>
      </c>
    </row>
    <row r="15" spans="1:42">
      <c r="A15" s="595">
        <v>14</v>
      </c>
      <c r="B15" s="600">
        <v>45968</v>
      </c>
      <c r="C15" s="597">
        <v>0.52083333333333337</v>
      </c>
      <c r="D15" s="595" t="s">
        <v>2339</v>
      </c>
      <c r="E15" s="598" t="s">
        <v>2176</v>
      </c>
      <c r="G15" s="595" t="s">
        <v>2397</v>
      </c>
      <c r="H15" s="595" t="s">
        <v>2333</v>
      </c>
      <c r="K15" s="594" t="s">
        <v>2398</v>
      </c>
      <c r="L15" s="600">
        <v>45969</v>
      </c>
      <c r="N15" s="595" t="s">
        <v>2330</v>
      </c>
      <c r="Q15" s="595" t="s">
        <v>2399</v>
      </c>
      <c r="R15" s="596">
        <v>45971</v>
      </c>
      <c r="S15" s="597">
        <v>0.51388888888888884</v>
      </c>
      <c r="T15" s="595" t="s">
        <v>2339</v>
      </c>
      <c r="W15" s="595" t="s">
        <v>2400</v>
      </c>
    </row>
    <row r="16" spans="1:42">
      <c r="A16" s="595">
        <v>15</v>
      </c>
      <c r="B16" s="600">
        <v>45968</v>
      </c>
      <c r="C16" s="597">
        <v>0.5625</v>
      </c>
      <c r="D16" s="595" t="s">
        <v>2339</v>
      </c>
      <c r="E16" s="598" t="s">
        <v>301</v>
      </c>
      <c r="G16" s="595" t="s">
        <v>1294</v>
      </c>
      <c r="H16" s="595" t="s">
        <v>2333</v>
      </c>
      <c r="K16" s="594" t="s">
        <v>2401</v>
      </c>
      <c r="L16" s="596">
        <v>46016</v>
      </c>
      <c r="M16" s="597">
        <v>0.56597222222222221</v>
      </c>
      <c r="N16" s="595" t="s">
        <v>2339</v>
      </c>
      <c r="O16" s="595" t="s">
        <v>2402</v>
      </c>
      <c r="Q16" s="595" t="s">
        <v>2403</v>
      </c>
    </row>
    <row r="17" spans="1:42">
      <c r="A17" s="595">
        <v>16</v>
      </c>
      <c r="B17" s="596">
        <v>45971</v>
      </c>
      <c r="C17" s="597">
        <v>0.43055555555555558</v>
      </c>
      <c r="D17" s="595" t="s">
        <v>2339</v>
      </c>
      <c r="E17" s="598" t="s">
        <v>1605</v>
      </c>
      <c r="G17" s="595" t="s">
        <v>2332</v>
      </c>
      <c r="H17" s="595" t="s">
        <v>2333</v>
      </c>
      <c r="K17" s="595" t="s">
        <v>2404</v>
      </c>
      <c r="L17" s="596">
        <v>45971</v>
      </c>
      <c r="M17" s="597">
        <v>0.52708333333333335</v>
      </c>
      <c r="N17" s="595" t="s">
        <v>2339</v>
      </c>
      <c r="Q17" s="595" t="s">
        <v>2405</v>
      </c>
      <c r="R17" s="596">
        <v>45974</v>
      </c>
      <c r="T17" s="595" t="s">
        <v>2330</v>
      </c>
      <c r="W17" s="595" t="s">
        <v>2406</v>
      </c>
    </row>
    <row r="18" spans="1:42">
      <c r="A18" s="595">
        <v>17</v>
      </c>
      <c r="B18" s="596">
        <v>45971</v>
      </c>
      <c r="C18" s="597">
        <v>0.48396990740740742</v>
      </c>
      <c r="D18" s="595" t="s">
        <v>2330</v>
      </c>
      <c r="E18" s="599" t="s">
        <v>1470</v>
      </c>
      <c r="F18" s="595" t="s">
        <v>2407</v>
      </c>
      <c r="G18" s="595" t="s">
        <v>2332</v>
      </c>
      <c r="H18" s="595" t="s">
        <v>2333</v>
      </c>
      <c r="K18" s="594" t="s">
        <v>2408</v>
      </c>
      <c r="L18" s="596">
        <v>45971</v>
      </c>
      <c r="M18" s="597">
        <v>0.52916666666666667</v>
      </c>
      <c r="N18" s="595" t="s">
        <v>2339</v>
      </c>
      <c r="Q18" s="595" t="s">
        <v>2409</v>
      </c>
      <c r="R18" s="596">
        <v>45972</v>
      </c>
      <c r="S18" s="597"/>
      <c r="T18" s="595" t="s">
        <v>2330</v>
      </c>
      <c r="U18" s="595" t="s">
        <v>2410</v>
      </c>
      <c r="W18" s="595" t="s">
        <v>2411</v>
      </c>
    </row>
    <row r="19" spans="1:42">
      <c r="A19" s="595">
        <v>18</v>
      </c>
      <c r="B19" s="596">
        <v>45971</v>
      </c>
      <c r="C19" s="597">
        <v>0.57321759259259264</v>
      </c>
      <c r="D19" s="595" t="s">
        <v>2339</v>
      </c>
      <c r="E19" s="598" t="s">
        <v>74</v>
      </c>
      <c r="G19" s="595" t="s">
        <v>67</v>
      </c>
      <c r="H19" s="595" t="s">
        <v>2333</v>
      </c>
      <c r="K19" s="594" t="s">
        <v>2412</v>
      </c>
      <c r="L19" s="596">
        <v>45988</v>
      </c>
      <c r="M19" s="597">
        <v>0.52430555555555558</v>
      </c>
      <c r="N19" s="595" t="s">
        <v>2339</v>
      </c>
      <c r="O19" s="595" t="s">
        <v>2413</v>
      </c>
      <c r="P19" s="595" t="s">
        <v>2414</v>
      </c>
      <c r="Q19" s="595" t="s">
        <v>2415</v>
      </c>
      <c r="R19" s="596">
        <v>46010</v>
      </c>
      <c r="S19" s="597">
        <v>0.52680555555555553</v>
      </c>
      <c r="T19" s="595" t="s">
        <v>2339</v>
      </c>
      <c r="V19" s="595" t="s">
        <v>2416</v>
      </c>
      <c r="W19" s="595" t="s">
        <v>2417</v>
      </c>
      <c r="X19" s="600">
        <v>46062</v>
      </c>
      <c r="Y19" s="597">
        <v>0.66180555555555554</v>
      </c>
      <c r="Z19" s="595" t="s">
        <v>2339</v>
      </c>
      <c r="AA19" s="595" t="s">
        <v>2418</v>
      </c>
      <c r="AB19" s="595" t="s">
        <v>2419</v>
      </c>
      <c r="AC19" s="595" t="s">
        <v>2420</v>
      </c>
    </row>
    <row r="20" spans="1:42">
      <c r="A20" s="595">
        <v>19</v>
      </c>
      <c r="B20" s="596">
        <v>45972</v>
      </c>
      <c r="C20" s="597">
        <v>0.53215277777777781</v>
      </c>
      <c r="D20" s="595" t="s">
        <v>2339</v>
      </c>
      <c r="E20" s="598" t="s">
        <v>1862</v>
      </c>
      <c r="G20" s="595" t="s">
        <v>67</v>
      </c>
      <c r="H20" s="595" t="s">
        <v>2333</v>
      </c>
      <c r="I20" s="595" t="s">
        <v>2421</v>
      </c>
      <c r="J20" s="595" t="s">
        <v>2422</v>
      </c>
      <c r="K20" s="594" t="s">
        <v>2423</v>
      </c>
      <c r="L20" s="596">
        <v>45975</v>
      </c>
      <c r="M20" s="597">
        <v>0.43541666666666667</v>
      </c>
      <c r="N20" s="595" t="s">
        <v>2339</v>
      </c>
      <c r="O20" s="595" t="s">
        <v>2424</v>
      </c>
      <c r="P20" s="595" t="s">
        <v>2425</v>
      </c>
      <c r="Q20" s="595" t="s">
        <v>2426</v>
      </c>
      <c r="R20" s="596">
        <v>45982</v>
      </c>
      <c r="S20" s="597">
        <v>0.41666666666666669</v>
      </c>
      <c r="T20" s="595" t="s">
        <v>2339</v>
      </c>
      <c r="W20" s="595" t="s">
        <v>2427</v>
      </c>
    </row>
    <row r="21" spans="1:42">
      <c r="A21" s="595">
        <v>20</v>
      </c>
      <c r="B21" s="596">
        <v>45972</v>
      </c>
      <c r="C21" s="597">
        <v>0.56527777777777777</v>
      </c>
      <c r="D21" s="595" t="s">
        <v>2339</v>
      </c>
      <c r="E21" s="599" t="s">
        <v>1830</v>
      </c>
      <c r="G21" s="595" t="s">
        <v>2370</v>
      </c>
      <c r="H21" s="595" t="s">
        <v>2333</v>
      </c>
      <c r="K21" s="595" t="s">
        <v>2428</v>
      </c>
      <c r="L21" s="596">
        <v>45972</v>
      </c>
      <c r="M21" s="597">
        <v>0.57054398148148144</v>
      </c>
      <c r="N21" s="595" t="s">
        <v>2339</v>
      </c>
      <c r="Q21" s="595" t="s">
        <v>2429</v>
      </c>
      <c r="R21" s="596">
        <v>45972</v>
      </c>
      <c r="S21" s="597">
        <v>0.58333333333333337</v>
      </c>
      <c r="T21" s="595" t="s">
        <v>2339</v>
      </c>
      <c r="W21" s="595" t="s">
        <v>2430</v>
      </c>
      <c r="X21" s="595"/>
      <c r="Y21" s="595"/>
      <c r="Z21" s="595"/>
      <c r="AA21" s="595"/>
      <c r="AB21" s="595"/>
      <c r="AC21" s="595"/>
      <c r="AD21" s="595"/>
      <c r="AE21" s="595"/>
      <c r="AF21" s="595"/>
      <c r="AG21" s="595"/>
      <c r="AH21" s="595"/>
      <c r="AI21" s="595"/>
      <c r="AJ21" s="595"/>
      <c r="AK21" s="595"/>
      <c r="AL21" s="595"/>
      <c r="AM21" s="595"/>
      <c r="AN21" s="595"/>
      <c r="AO21" s="595"/>
      <c r="AP21" s="595" t="s">
        <v>2431</v>
      </c>
    </row>
    <row r="22" spans="1:42">
      <c r="A22" s="595">
        <v>21</v>
      </c>
      <c r="B22" s="596">
        <v>45973</v>
      </c>
      <c r="C22" s="597">
        <v>0.32853009259259258</v>
      </c>
      <c r="D22" s="595" t="s">
        <v>2339</v>
      </c>
      <c r="E22" s="598" t="s">
        <v>1671</v>
      </c>
      <c r="G22" s="595" t="s">
        <v>2332</v>
      </c>
      <c r="H22" s="595" t="s">
        <v>2333</v>
      </c>
      <c r="I22" s="595" t="s">
        <v>2432</v>
      </c>
      <c r="J22" s="595" t="s">
        <v>2433</v>
      </c>
      <c r="K22" s="595" t="s">
        <v>2434</v>
      </c>
      <c r="L22" s="596">
        <v>45974</v>
      </c>
      <c r="N22" s="595" t="s">
        <v>2330</v>
      </c>
      <c r="Q22" s="595" t="s">
        <v>2435</v>
      </c>
      <c r="R22" s="596">
        <v>45981</v>
      </c>
      <c r="T22" s="595" t="s">
        <v>2330</v>
      </c>
      <c r="W22" s="595" t="s">
        <v>2436</v>
      </c>
      <c r="X22" s="600">
        <v>45999</v>
      </c>
      <c r="Z22" s="595" t="s">
        <v>2330</v>
      </c>
      <c r="AC22" s="595" t="s">
        <v>2437</v>
      </c>
    </row>
    <row r="23" spans="1:42">
      <c r="A23" s="595">
        <v>22</v>
      </c>
      <c r="B23" s="596">
        <v>45973</v>
      </c>
      <c r="C23" s="597">
        <v>0.53592592592592592</v>
      </c>
      <c r="D23" s="595" t="s">
        <v>2339</v>
      </c>
      <c r="E23" s="598" t="s">
        <v>2438</v>
      </c>
      <c r="G23" s="595" t="s">
        <v>2375</v>
      </c>
      <c r="H23" s="595" t="s">
        <v>2333</v>
      </c>
      <c r="K23" s="594" t="s">
        <v>2439</v>
      </c>
      <c r="L23" s="596">
        <v>45978</v>
      </c>
      <c r="M23" s="597">
        <v>0.52777777777777779</v>
      </c>
      <c r="N23" s="595" t="s">
        <v>2339</v>
      </c>
      <c r="Q23" s="595" t="s">
        <v>2440</v>
      </c>
    </row>
    <row r="24" spans="1:42">
      <c r="A24" s="595">
        <v>23</v>
      </c>
      <c r="B24" s="596">
        <v>45975</v>
      </c>
      <c r="C24" s="597">
        <v>0.4660185185185185</v>
      </c>
      <c r="D24" s="595" t="s">
        <v>2330</v>
      </c>
      <c r="E24" s="599" t="s">
        <v>2384</v>
      </c>
      <c r="F24" s="595" t="s">
        <v>2266</v>
      </c>
      <c r="G24" s="595" t="s">
        <v>2332</v>
      </c>
      <c r="H24" s="595" t="s">
        <v>2333</v>
      </c>
      <c r="K24" s="595" t="s">
        <v>2441</v>
      </c>
      <c r="L24" s="596">
        <v>45975</v>
      </c>
      <c r="N24" s="595" t="s">
        <v>2442</v>
      </c>
    </row>
    <row r="25" spans="1:42">
      <c r="A25" s="595">
        <v>24</v>
      </c>
      <c r="B25" s="596">
        <v>45975</v>
      </c>
      <c r="C25" s="597">
        <v>0.95833333333333337</v>
      </c>
      <c r="D25" s="595" t="s">
        <v>2339</v>
      </c>
      <c r="E25" s="598" t="s">
        <v>2097</v>
      </c>
      <c r="F25" s="595" t="s">
        <v>2443</v>
      </c>
      <c r="G25" s="595" t="s">
        <v>2332</v>
      </c>
      <c r="H25" s="595" t="s">
        <v>2333</v>
      </c>
      <c r="I25" s="594" t="s">
        <v>2444</v>
      </c>
      <c r="K25" s="595" t="s">
        <v>2445</v>
      </c>
      <c r="L25" s="596">
        <v>45976</v>
      </c>
      <c r="M25" s="597">
        <v>0.375</v>
      </c>
      <c r="N25" s="595" t="s">
        <v>2339</v>
      </c>
      <c r="O25" s="594" t="s">
        <v>2446</v>
      </c>
      <c r="P25" s="594" t="s">
        <v>2447</v>
      </c>
      <c r="Q25" s="595" t="s">
        <v>2448</v>
      </c>
      <c r="R25" s="596">
        <v>45981</v>
      </c>
      <c r="T25" s="595" t="s">
        <v>2330</v>
      </c>
      <c r="U25" s="595" t="s">
        <v>2449</v>
      </c>
      <c r="W25" s="595" t="s">
        <v>2450</v>
      </c>
      <c r="X25" s="600">
        <v>45995</v>
      </c>
      <c r="Y25" s="595"/>
      <c r="Z25" s="595" t="s">
        <v>2330</v>
      </c>
      <c r="AA25" s="595"/>
      <c r="AB25" s="595"/>
      <c r="AC25" s="595" t="s">
        <v>2451</v>
      </c>
      <c r="AD25" s="595"/>
      <c r="AE25" s="595"/>
      <c r="AF25" s="595"/>
      <c r="AG25" s="595"/>
      <c r="AH25" s="595"/>
      <c r="AI25" s="595"/>
      <c r="AJ25" s="595"/>
      <c r="AK25" s="595"/>
      <c r="AL25" s="595"/>
      <c r="AM25" s="595"/>
      <c r="AN25" s="595"/>
      <c r="AO25" s="595"/>
      <c r="AP25" s="595" t="s">
        <v>2452</v>
      </c>
    </row>
    <row r="26" spans="1:42">
      <c r="A26" s="595">
        <v>25</v>
      </c>
      <c r="B26" s="596">
        <v>45975</v>
      </c>
      <c r="C26" s="597">
        <v>0.54166666666666663</v>
      </c>
      <c r="D26" s="595" t="s">
        <v>2442</v>
      </c>
      <c r="E26" s="599" t="s">
        <v>1194</v>
      </c>
      <c r="F26" s="595" t="s">
        <v>2390</v>
      </c>
      <c r="G26" s="595" t="s">
        <v>2370</v>
      </c>
      <c r="H26" s="595" t="s">
        <v>2333</v>
      </c>
      <c r="K26" s="595" t="s">
        <v>2453</v>
      </c>
      <c r="L26" s="596">
        <v>45976</v>
      </c>
      <c r="M26" s="597">
        <v>0.5</v>
      </c>
      <c r="N26" s="595" t="s">
        <v>2442</v>
      </c>
      <c r="Q26" s="595" t="s">
        <v>2454</v>
      </c>
      <c r="R26" s="596">
        <v>45976</v>
      </c>
      <c r="S26" s="597">
        <v>0.5</v>
      </c>
      <c r="T26" s="595" t="s">
        <v>2330</v>
      </c>
      <c r="U26" s="595" t="s">
        <v>2455</v>
      </c>
      <c r="W26" s="595" t="s">
        <v>2456</v>
      </c>
    </row>
    <row r="27" spans="1:42">
      <c r="A27" s="595">
        <v>26</v>
      </c>
      <c r="B27" s="596">
        <v>45976</v>
      </c>
      <c r="C27" s="597">
        <v>0.55780092592592589</v>
      </c>
      <c r="D27" s="595" t="s">
        <v>2442</v>
      </c>
      <c r="E27" s="599" t="s">
        <v>1830</v>
      </c>
      <c r="G27" s="595" t="s">
        <v>2332</v>
      </c>
      <c r="H27" s="595" t="s">
        <v>2333</v>
      </c>
      <c r="K27" s="595" t="s">
        <v>2457</v>
      </c>
      <c r="L27" s="600">
        <v>45967</v>
      </c>
      <c r="M27" s="597">
        <v>0.83333333333333337</v>
      </c>
      <c r="N27" s="595" t="s">
        <v>2442</v>
      </c>
      <c r="R27" s="596">
        <v>45975</v>
      </c>
      <c r="S27" s="597">
        <v>0.41666666666666669</v>
      </c>
      <c r="T27" s="595" t="s">
        <v>2442</v>
      </c>
      <c r="W27" s="595" t="s">
        <v>2458</v>
      </c>
      <c r="X27" s="596">
        <v>46013</v>
      </c>
      <c r="Y27" s="597">
        <v>0.4375</v>
      </c>
      <c r="Z27" s="595" t="s">
        <v>2442</v>
      </c>
      <c r="AC27" s="595" t="s">
        <v>2459</v>
      </c>
      <c r="AD27" s="595"/>
      <c r="AE27" s="595"/>
      <c r="AF27" s="595"/>
      <c r="AG27" s="595"/>
      <c r="AH27" s="595"/>
      <c r="AI27" s="595"/>
      <c r="AJ27" s="595"/>
      <c r="AK27" s="595"/>
      <c r="AL27" s="595"/>
      <c r="AM27" s="595"/>
      <c r="AN27" s="595"/>
      <c r="AO27" s="595"/>
      <c r="AP27" s="595" t="s">
        <v>2460</v>
      </c>
    </row>
    <row r="28" spans="1:42">
      <c r="A28" s="595">
        <v>27</v>
      </c>
      <c r="B28" s="596">
        <v>45976</v>
      </c>
      <c r="C28" s="597">
        <v>0.47916666666666669</v>
      </c>
      <c r="D28" s="595" t="s">
        <v>2339</v>
      </c>
      <c r="E28" s="598" t="s">
        <v>2131</v>
      </c>
      <c r="F28" s="595" t="s">
        <v>2461</v>
      </c>
      <c r="G28" s="595" t="s">
        <v>2367</v>
      </c>
      <c r="H28" s="595" t="s">
        <v>2333</v>
      </c>
      <c r="K28" s="595" t="s">
        <v>2462</v>
      </c>
      <c r="L28" s="596">
        <v>45976</v>
      </c>
      <c r="M28" s="597">
        <v>0.57361111111111107</v>
      </c>
      <c r="N28" s="595" t="s">
        <v>2339</v>
      </c>
      <c r="O28" s="595" t="s">
        <v>2463</v>
      </c>
      <c r="Q28" s="595" t="s">
        <v>2464</v>
      </c>
    </row>
    <row r="29" spans="1:42">
      <c r="A29" s="595">
        <v>28</v>
      </c>
      <c r="B29" s="596">
        <v>45978</v>
      </c>
      <c r="C29" s="597">
        <v>0.32796296296296296</v>
      </c>
      <c r="D29" s="595" t="s">
        <v>2339</v>
      </c>
      <c r="E29" s="599" t="s">
        <v>653</v>
      </c>
      <c r="F29" s="595" t="s">
        <v>2465</v>
      </c>
      <c r="G29" s="595" t="s">
        <v>2332</v>
      </c>
      <c r="H29" s="595" t="s">
        <v>2333</v>
      </c>
      <c r="K29" s="595" t="s">
        <v>2466</v>
      </c>
      <c r="L29" s="596">
        <v>45978</v>
      </c>
      <c r="M29" s="597">
        <v>0.375</v>
      </c>
      <c r="N29" s="595" t="s">
        <v>2339</v>
      </c>
      <c r="Q29" s="595" t="s">
        <v>2467</v>
      </c>
      <c r="R29" s="596">
        <v>45988</v>
      </c>
      <c r="T29" s="595" t="s">
        <v>2330</v>
      </c>
      <c r="W29" s="595" t="s">
        <v>2468</v>
      </c>
    </row>
    <row r="30" spans="1:42">
      <c r="A30" s="595">
        <v>29</v>
      </c>
      <c r="B30" s="596">
        <v>45978</v>
      </c>
      <c r="C30" s="597">
        <v>0.34761574074074075</v>
      </c>
      <c r="D30" s="595" t="s">
        <v>2330</v>
      </c>
      <c r="E30" s="599" t="s">
        <v>1974</v>
      </c>
      <c r="F30" s="595" t="s">
        <v>2443</v>
      </c>
      <c r="G30" s="595" t="s">
        <v>2332</v>
      </c>
      <c r="H30" s="595" t="s">
        <v>2333</v>
      </c>
      <c r="K30" s="594" t="s">
        <v>2469</v>
      </c>
      <c r="L30" s="596">
        <v>45990</v>
      </c>
      <c r="M30" s="597">
        <v>0.37506944444444446</v>
      </c>
      <c r="N30" s="595" t="s">
        <v>2442</v>
      </c>
      <c r="Q30" s="595" t="s">
        <v>2470</v>
      </c>
      <c r="R30" s="596"/>
      <c r="S30" s="597"/>
      <c r="T30" s="595"/>
    </row>
    <row r="31" spans="1:42">
      <c r="A31" s="595">
        <v>30</v>
      </c>
      <c r="B31" s="596">
        <v>45976</v>
      </c>
      <c r="C31" s="597">
        <v>0.90277777777777779</v>
      </c>
      <c r="D31" s="595" t="s">
        <v>2339</v>
      </c>
      <c r="E31" s="598" t="s">
        <v>1515</v>
      </c>
      <c r="F31" s="595" t="s">
        <v>2471</v>
      </c>
      <c r="G31" s="595" t="s">
        <v>2367</v>
      </c>
      <c r="H31" s="595" t="s">
        <v>2333</v>
      </c>
      <c r="I31" s="595" t="s">
        <v>2472</v>
      </c>
      <c r="J31" s="595" t="s">
        <v>2473</v>
      </c>
      <c r="K31" s="595" t="s">
        <v>2474</v>
      </c>
      <c r="L31" s="596">
        <v>45978</v>
      </c>
      <c r="M31" s="597">
        <v>0.625</v>
      </c>
      <c r="N31" s="595" t="s">
        <v>2339</v>
      </c>
      <c r="O31" s="595" t="s">
        <v>2475</v>
      </c>
      <c r="P31" s="595" t="s">
        <v>2476</v>
      </c>
      <c r="Q31" s="595" t="s">
        <v>2477</v>
      </c>
    </row>
    <row r="32" spans="1:42">
      <c r="A32" s="595">
        <v>31</v>
      </c>
      <c r="B32" s="596">
        <v>45979</v>
      </c>
      <c r="C32" s="597">
        <v>0.33490740740740743</v>
      </c>
      <c r="D32" s="595" t="s">
        <v>2330</v>
      </c>
      <c r="E32" s="599" t="s">
        <v>2065</v>
      </c>
      <c r="F32" s="595" t="s">
        <v>2443</v>
      </c>
      <c r="G32" s="595" t="s">
        <v>2367</v>
      </c>
      <c r="H32" s="595" t="s">
        <v>2333</v>
      </c>
      <c r="K32" s="595" t="s">
        <v>2478</v>
      </c>
      <c r="L32" s="596">
        <v>45979</v>
      </c>
      <c r="M32" s="597">
        <v>0.39583333333333331</v>
      </c>
      <c r="N32" s="595" t="s">
        <v>2339</v>
      </c>
      <c r="O32" s="595" t="s">
        <v>2479</v>
      </c>
      <c r="P32" s="595" t="s">
        <v>2480</v>
      </c>
      <c r="Q32" s="595" t="s">
        <v>2481</v>
      </c>
    </row>
    <row r="33" spans="1:23">
      <c r="A33" s="595">
        <v>32</v>
      </c>
      <c r="B33" s="596">
        <v>45980</v>
      </c>
      <c r="C33" s="597">
        <v>0.51388888888888884</v>
      </c>
      <c r="D33" s="595" t="s">
        <v>2339</v>
      </c>
      <c r="E33" s="599" t="s">
        <v>1523</v>
      </c>
      <c r="F33" s="595" t="s">
        <v>2482</v>
      </c>
      <c r="G33" s="595" t="s">
        <v>2332</v>
      </c>
      <c r="H33" s="595" t="s">
        <v>2333</v>
      </c>
      <c r="I33" s="595" t="s">
        <v>2483</v>
      </c>
      <c r="K33" s="595" t="s">
        <v>2484</v>
      </c>
      <c r="L33" s="596">
        <v>45981</v>
      </c>
      <c r="M33" s="597">
        <v>0.50979166666666664</v>
      </c>
      <c r="N33" s="595" t="s">
        <v>2339</v>
      </c>
      <c r="O33" s="595" t="s">
        <v>2485</v>
      </c>
      <c r="P33" s="595" t="s">
        <v>2486</v>
      </c>
      <c r="Q33" s="594" t="s">
        <v>2487</v>
      </c>
      <c r="R33" s="596">
        <v>45989</v>
      </c>
      <c r="S33" s="597">
        <v>0.68055555555555558</v>
      </c>
      <c r="T33" s="595" t="s">
        <v>2330</v>
      </c>
      <c r="W33" s="595" t="s">
        <v>2488</v>
      </c>
    </row>
    <row r="34" spans="1:23">
      <c r="A34" s="595">
        <v>33</v>
      </c>
      <c r="B34" s="596">
        <v>45981</v>
      </c>
      <c r="C34" s="597">
        <v>0.50809027777777782</v>
      </c>
      <c r="D34" s="595" t="s">
        <v>2339</v>
      </c>
      <c r="E34" s="599" t="s">
        <v>2489</v>
      </c>
      <c r="G34" s="595" t="s">
        <v>1294</v>
      </c>
      <c r="H34" s="595" t="s">
        <v>2333</v>
      </c>
      <c r="K34" s="595" t="s">
        <v>2490</v>
      </c>
      <c r="L34" s="596">
        <v>45982</v>
      </c>
      <c r="M34" s="597">
        <v>0.61393518518518519</v>
      </c>
      <c r="N34" s="595" t="s">
        <v>2339</v>
      </c>
      <c r="O34" s="595" t="s">
        <v>2491</v>
      </c>
      <c r="P34" s="595" t="s">
        <v>2492</v>
      </c>
      <c r="Q34" s="595" t="s">
        <v>2493</v>
      </c>
    </row>
    <row r="35" spans="1:23">
      <c r="A35" s="595">
        <v>34</v>
      </c>
      <c r="B35" s="596">
        <v>45985</v>
      </c>
      <c r="C35" s="597">
        <v>0.40500000000000003</v>
      </c>
      <c r="D35" s="595" t="s">
        <v>2330</v>
      </c>
      <c r="E35" s="599" t="s">
        <v>2164</v>
      </c>
      <c r="F35" s="595" t="s">
        <v>2461</v>
      </c>
      <c r="G35" s="595" t="s">
        <v>2332</v>
      </c>
      <c r="H35" s="595" t="s">
        <v>2333</v>
      </c>
      <c r="K35" s="595" t="s">
        <v>2494</v>
      </c>
      <c r="L35" s="596">
        <v>45985</v>
      </c>
      <c r="M35" s="597">
        <v>0.42083333333333334</v>
      </c>
      <c r="N35" s="595" t="s">
        <v>2339</v>
      </c>
      <c r="O35" s="595" t="s">
        <v>2495</v>
      </c>
      <c r="P35" s="595" t="s">
        <v>2496</v>
      </c>
      <c r="Q35" s="595" t="s">
        <v>2497</v>
      </c>
      <c r="R35" s="600">
        <v>45993</v>
      </c>
      <c r="T35" s="595" t="s">
        <v>2330</v>
      </c>
      <c r="U35" s="595" t="s">
        <v>2498</v>
      </c>
      <c r="W35" s="595" t="s">
        <v>2499</v>
      </c>
    </row>
    <row r="36" spans="1:23">
      <c r="A36" s="595">
        <v>35</v>
      </c>
      <c r="B36" s="596">
        <v>45986</v>
      </c>
      <c r="C36" s="597">
        <v>0.49087962962962961</v>
      </c>
      <c r="D36" s="595" t="s">
        <v>2339</v>
      </c>
      <c r="E36" s="598" t="s">
        <v>674</v>
      </c>
      <c r="G36" s="595" t="s">
        <v>2500</v>
      </c>
      <c r="H36" s="595" t="s">
        <v>2337</v>
      </c>
      <c r="K36" s="594" t="s">
        <v>2501</v>
      </c>
      <c r="L36" s="600">
        <v>46058</v>
      </c>
      <c r="M36" s="597">
        <v>0.51597222222222228</v>
      </c>
      <c r="N36" s="595" t="s">
        <v>2339</v>
      </c>
      <c r="Q36" s="595" t="s">
        <v>2502</v>
      </c>
      <c r="R36" s="600">
        <v>46065</v>
      </c>
      <c r="S36" s="597">
        <v>0.53194444444444444</v>
      </c>
      <c r="T36" s="595" t="s">
        <v>2339</v>
      </c>
      <c r="U36" s="595" t="s">
        <v>2503</v>
      </c>
      <c r="V36" s="595" t="s">
        <v>2504</v>
      </c>
      <c r="W36" s="595" t="s">
        <v>2505</v>
      </c>
    </row>
    <row r="37" spans="1:23">
      <c r="A37" s="595">
        <v>36</v>
      </c>
      <c r="B37" s="596">
        <v>45987</v>
      </c>
      <c r="C37" s="597">
        <v>0.60922453703703705</v>
      </c>
      <c r="D37" s="595" t="s">
        <v>2339</v>
      </c>
      <c r="F37" s="595" t="s">
        <v>2506</v>
      </c>
      <c r="G37" s="595" t="s">
        <v>2370</v>
      </c>
      <c r="H37" s="595" t="s">
        <v>2333</v>
      </c>
      <c r="I37" s="595" t="s">
        <v>2507</v>
      </c>
      <c r="K37" s="595" t="s">
        <v>2508</v>
      </c>
      <c r="L37" s="596">
        <v>45987</v>
      </c>
      <c r="M37" s="597">
        <v>0.62375000000000003</v>
      </c>
      <c r="N37" s="595" t="s">
        <v>2339</v>
      </c>
      <c r="Q37" s="595" t="s">
        <v>2509</v>
      </c>
    </row>
    <row r="38" spans="1:23">
      <c r="A38" s="595">
        <v>37</v>
      </c>
      <c r="B38" s="596">
        <v>45987</v>
      </c>
      <c r="C38" s="597">
        <v>0.61723379629629627</v>
      </c>
      <c r="D38" s="595" t="s">
        <v>2339</v>
      </c>
      <c r="F38" s="595" t="s">
        <v>2443</v>
      </c>
      <c r="G38" s="595" t="s">
        <v>2367</v>
      </c>
      <c r="H38" s="595" t="s">
        <v>2333</v>
      </c>
      <c r="I38" s="595" t="s">
        <v>2510</v>
      </c>
      <c r="K38" s="595" t="s">
        <v>2511</v>
      </c>
      <c r="L38" s="596">
        <v>45987</v>
      </c>
      <c r="M38" s="597">
        <v>0.61736111111111114</v>
      </c>
      <c r="N38" s="595" t="s">
        <v>2339</v>
      </c>
      <c r="O38" s="595" t="s">
        <v>2512</v>
      </c>
      <c r="Q38" s="595" t="s">
        <v>2513</v>
      </c>
    </row>
    <row r="39" spans="1:23">
      <c r="A39" s="595">
        <v>38</v>
      </c>
      <c r="B39" s="596">
        <v>45988</v>
      </c>
      <c r="C39" s="597">
        <v>0.5280555555555555</v>
      </c>
      <c r="D39" s="595" t="s">
        <v>2330</v>
      </c>
      <c r="E39" s="598" t="s">
        <v>997</v>
      </c>
      <c r="F39" s="595" t="s">
        <v>2506</v>
      </c>
      <c r="G39" s="595" t="s">
        <v>2332</v>
      </c>
      <c r="H39" s="595" t="s">
        <v>2333</v>
      </c>
      <c r="K39" s="595" t="s">
        <v>2514</v>
      </c>
      <c r="L39" s="596">
        <v>45990</v>
      </c>
      <c r="N39" s="595" t="s">
        <v>2330</v>
      </c>
      <c r="Q39" s="595" t="s">
        <v>2515</v>
      </c>
    </row>
    <row r="40" spans="1:23">
      <c r="A40" s="595">
        <v>39</v>
      </c>
      <c r="B40" s="596">
        <v>45988</v>
      </c>
      <c r="C40" s="597">
        <v>0.84733796296296293</v>
      </c>
      <c r="D40" s="595" t="s">
        <v>2330</v>
      </c>
      <c r="E40" s="599" t="s">
        <v>961</v>
      </c>
      <c r="G40" s="595" t="s">
        <v>67</v>
      </c>
      <c r="H40" s="595" t="s">
        <v>2333</v>
      </c>
      <c r="I40" s="595" t="s">
        <v>2516</v>
      </c>
      <c r="K40" s="594" t="s">
        <v>2517</v>
      </c>
      <c r="L40" s="596">
        <v>45990</v>
      </c>
      <c r="N40" s="595" t="s">
        <v>2330</v>
      </c>
      <c r="O40" s="595" t="s">
        <v>2518</v>
      </c>
      <c r="Q40" s="595" t="s">
        <v>2519</v>
      </c>
    </row>
    <row r="41" spans="1:23">
      <c r="A41" s="595">
        <v>40</v>
      </c>
      <c r="B41" s="596">
        <v>45991</v>
      </c>
      <c r="C41" s="597">
        <v>0.35028935185185184</v>
      </c>
      <c r="D41" s="595" t="s">
        <v>2339</v>
      </c>
      <c r="E41" s="598" t="s">
        <v>1018</v>
      </c>
      <c r="G41" s="595" t="s">
        <v>1294</v>
      </c>
      <c r="H41" s="595" t="s">
        <v>2333</v>
      </c>
      <c r="I41" s="595" t="s">
        <v>2520</v>
      </c>
      <c r="J41" s="595" t="s">
        <v>2521</v>
      </c>
      <c r="K41" s="594" t="s">
        <v>2522</v>
      </c>
      <c r="L41" s="596">
        <v>45991</v>
      </c>
      <c r="M41" s="597">
        <v>0.79722222222222228</v>
      </c>
      <c r="N41" s="595" t="s">
        <v>2339</v>
      </c>
      <c r="O41" s="595" t="s">
        <v>2523</v>
      </c>
      <c r="Q41" s="595" t="s">
        <v>2524</v>
      </c>
      <c r="R41" s="596">
        <v>46005</v>
      </c>
      <c r="S41" s="597">
        <v>0.37833333333333335</v>
      </c>
      <c r="T41" s="595" t="s">
        <v>2339</v>
      </c>
      <c r="W41" s="595" t="s">
        <v>2525</v>
      </c>
    </row>
    <row r="42" spans="1:23">
      <c r="A42" s="595">
        <v>41</v>
      </c>
      <c r="B42" s="600">
        <v>45992</v>
      </c>
      <c r="C42" s="597">
        <v>0.33150462962962962</v>
      </c>
      <c r="D42" s="595" t="s">
        <v>2339</v>
      </c>
      <c r="E42" s="599" t="s">
        <v>1959</v>
      </c>
      <c r="G42" s="595" t="s">
        <v>2370</v>
      </c>
      <c r="H42" s="595" t="s">
        <v>2333</v>
      </c>
      <c r="K42" s="595" t="s">
        <v>2526</v>
      </c>
      <c r="L42" s="600">
        <v>45992</v>
      </c>
      <c r="N42" s="595" t="s">
        <v>2330</v>
      </c>
      <c r="Q42" s="595" t="s">
        <v>2527</v>
      </c>
      <c r="R42" s="600">
        <v>45995</v>
      </c>
      <c r="T42" s="595" t="s">
        <v>2330</v>
      </c>
      <c r="W42" s="595" t="s">
        <v>2528</v>
      </c>
    </row>
    <row r="43" spans="1:23">
      <c r="A43" s="595">
        <v>42</v>
      </c>
      <c r="B43" s="600">
        <v>45911</v>
      </c>
      <c r="C43" s="597">
        <v>0.48986111111111114</v>
      </c>
      <c r="D43" s="595" t="s">
        <v>2339</v>
      </c>
      <c r="E43" s="598" t="s">
        <v>1089</v>
      </c>
      <c r="F43" s="595" t="s">
        <v>2529</v>
      </c>
      <c r="G43" s="595" t="s">
        <v>1294</v>
      </c>
      <c r="H43" s="595" t="s">
        <v>2333</v>
      </c>
      <c r="K43" s="595" t="s">
        <v>2530</v>
      </c>
      <c r="L43" s="600">
        <v>45994</v>
      </c>
      <c r="M43" s="597">
        <v>0.50208333333333333</v>
      </c>
      <c r="N43" s="595" t="s">
        <v>2330</v>
      </c>
      <c r="O43" s="595" t="s">
        <v>2531</v>
      </c>
      <c r="P43" s="595" t="s">
        <v>2532</v>
      </c>
      <c r="Q43" s="595" t="s">
        <v>2533</v>
      </c>
      <c r="R43" s="596">
        <v>46005</v>
      </c>
      <c r="S43" s="597">
        <v>0.3777314814814815</v>
      </c>
      <c r="T43" s="595" t="s">
        <v>2339</v>
      </c>
      <c r="W43" s="595" t="s">
        <v>2525</v>
      </c>
    </row>
    <row r="44" spans="1:23">
      <c r="A44" s="595">
        <v>43</v>
      </c>
      <c r="B44" s="600">
        <v>45993</v>
      </c>
      <c r="C44" s="597">
        <v>0.33072916666666669</v>
      </c>
      <c r="D44" s="595" t="s">
        <v>2339</v>
      </c>
      <c r="E44" s="598" t="s">
        <v>1494</v>
      </c>
      <c r="F44" s="595" t="s">
        <v>2336</v>
      </c>
      <c r="G44" s="595" t="s">
        <v>2332</v>
      </c>
      <c r="H44" s="595" t="s">
        <v>2333</v>
      </c>
      <c r="K44" s="595" t="s">
        <v>2534</v>
      </c>
      <c r="L44" s="600">
        <v>45993</v>
      </c>
      <c r="M44" s="597">
        <v>0.45833333333333331</v>
      </c>
      <c r="N44" s="595" t="s">
        <v>2339</v>
      </c>
      <c r="Q44" s="595" t="s">
        <v>2535</v>
      </c>
      <c r="R44" s="600">
        <v>45994</v>
      </c>
      <c r="S44" s="597">
        <v>0.36807870370370371</v>
      </c>
      <c r="T44" s="595" t="s">
        <v>2330</v>
      </c>
      <c r="U44" s="595" t="s">
        <v>2536</v>
      </c>
      <c r="W44" s="595" t="s">
        <v>2537</v>
      </c>
    </row>
    <row r="45" spans="1:23">
      <c r="A45" s="595">
        <v>44</v>
      </c>
      <c r="B45" s="600">
        <v>45993</v>
      </c>
      <c r="C45" s="597">
        <v>0.34652777777777777</v>
      </c>
      <c r="D45" s="595" t="s">
        <v>2339</v>
      </c>
      <c r="E45" s="598" t="s">
        <v>1008</v>
      </c>
      <c r="G45" s="595" t="s">
        <v>2375</v>
      </c>
      <c r="H45" s="595" t="s">
        <v>2333</v>
      </c>
      <c r="K45" s="594" t="s">
        <v>2538</v>
      </c>
      <c r="L45" s="600">
        <v>46058</v>
      </c>
      <c r="M45" s="597">
        <v>0.52500000000000002</v>
      </c>
      <c r="N45" s="595" t="s">
        <v>2339</v>
      </c>
      <c r="Q45" s="595" t="s">
        <v>2539</v>
      </c>
      <c r="R45" s="600">
        <v>46101</v>
      </c>
      <c r="S45" s="597">
        <v>0.54920138888888892</v>
      </c>
      <c r="T45" s="595" t="s">
        <v>2339</v>
      </c>
      <c r="W45" s="595" t="s">
        <v>2540</v>
      </c>
    </row>
    <row r="46" spans="1:23">
      <c r="A46" s="595">
        <v>45</v>
      </c>
      <c r="B46" s="600">
        <v>45994</v>
      </c>
      <c r="C46" s="597">
        <v>0.6802893518518518</v>
      </c>
      <c r="D46" s="595" t="s">
        <v>2330</v>
      </c>
      <c r="E46" s="598" t="s">
        <v>916</v>
      </c>
      <c r="F46" s="595" t="s">
        <v>2506</v>
      </c>
      <c r="G46" s="595" t="s">
        <v>67</v>
      </c>
      <c r="H46" s="595" t="s">
        <v>2333</v>
      </c>
      <c r="K46" s="595" t="s">
        <v>2541</v>
      </c>
      <c r="L46" s="600">
        <v>45996</v>
      </c>
      <c r="N46" s="595" t="s">
        <v>2330</v>
      </c>
      <c r="O46" s="595" t="s">
        <v>2542</v>
      </c>
      <c r="P46" s="595" t="s">
        <v>2543</v>
      </c>
      <c r="Q46" s="595" t="s">
        <v>2544</v>
      </c>
    </row>
    <row r="47" spans="1:23">
      <c r="A47" s="595">
        <v>46</v>
      </c>
      <c r="B47" s="600">
        <v>45996</v>
      </c>
      <c r="C47" s="597">
        <v>0.95</v>
      </c>
      <c r="D47" s="595" t="s">
        <v>2339</v>
      </c>
      <c r="E47" s="599" t="s">
        <v>1985</v>
      </c>
      <c r="F47" s="595" t="s">
        <v>2443</v>
      </c>
      <c r="G47" s="595" t="s">
        <v>2545</v>
      </c>
      <c r="H47" s="595" t="s">
        <v>2333</v>
      </c>
      <c r="K47" s="595" t="s">
        <v>2546</v>
      </c>
      <c r="L47" s="600">
        <v>45997</v>
      </c>
      <c r="M47" s="597">
        <v>0.41666666666666669</v>
      </c>
      <c r="N47" s="595" t="s">
        <v>2547</v>
      </c>
      <c r="Q47" s="595" t="s">
        <v>2548</v>
      </c>
    </row>
    <row r="48" spans="1:23">
      <c r="A48" s="595">
        <v>47</v>
      </c>
      <c r="B48" s="600">
        <v>45998</v>
      </c>
      <c r="C48" s="597">
        <v>0.90614583333333332</v>
      </c>
      <c r="D48" s="595" t="s">
        <v>2339</v>
      </c>
      <c r="E48" s="599" t="s">
        <v>665</v>
      </c>
      <c r="F48" s="595" t="s">
        <v>2549</v>
      </c>
      <c r="G48" s="595" t="s">
        <v>2367</v>
      </c>
      <c r="H48" s="595" t="s">
        <v>2333</v>
      </c>
      <c r="K48" s="595" t="s">
        <v>2550</v>
      </c>
      <c r="L48" s="600">
        <v>45999</v>
      </c>
      <c r="M48" s="597">
        <v>0.625</v>
      </c>
      <c r="N48" s="595" t="s">
        <v>2339</v>
      </c>
      <c r="O48" s="595" t="s">
        <v>2551</v>
      </c>
      <c r="P48" s="595" t="s">
        <v>2552</v>
      </c>
      <c r="Q48" s="595" t="s">
        <v>2553</v>
      </c>
    </row>
    <row r="49" spans="1:29">
      <c r="A49" s="595">
        <v>48</v>
      </c>
      <c r="B49" s="600">
        <v>45997</v>
      </c>
      <c r="C49" s="597">
        <v>0.77837962962962959</v>
      </c>
      <c r="D49" s="595" t="s">
        <v>2339</v>
      </c>
      <c r="E49" s="599" t="s">
        <v>2554</v>
      </c>
      <c r="F49" s="595" t="s">
        <v>2555</v>
      </c>
      <c r="G49" s="595" t="s">
        <v>2367</v>
      </c>
      <c r="H49" s="595" t="s">
        <v>2333</v>
      </c>
      <c r="I49" s="595" t="s">
        <v>2556</v>
      </c>
      <c r="J49" s="595" t="s">
        <v>2557</v>
      </c>
      <c r="K49" s="595" t="s">
        <v>2558</v>
      </c>
      <c r="L49" s="596">
        <v>46001</v>
      </c>
      <c r="M49" s="597">
        <v>0.72222222222222221</v>
      </c>
      <c r="N49" s="595" t="s">
        <v>2339</v>
      </c>
      <c r="O49" s="595" t="s">
        <v>2559</v>
      </c>
      <c r="P49" s="595" t="s">
        <v>2560</v>
      </c>
      <c r="Q49" s="595" t="s">
        <v>2561</v>
      </c>
    </row>
    <row r="50" spans="1:29">
      <c r="A50" s="595">
        <v>49</v>
      </c>
      <c r="B50" s="600">
        <v>46000</v>
      </c>
      <c r="C50" s="597">
        <v>0.41371527777777778</v>
      </c>
      <c r="D50" s="595" t="s">
        <v>2339</v>
      </c>
      <c r="F50" s="595" t="s">
        <v>2562</v>
      </c>
      <c r="G50" s="595" t="s">
        <v>2563</v>
      </c>
      <c r="H50" s="595" t="s">
        <v>2333</v>
      </c>
      <c r="K50" s="595" t="s">
        <v>2564</v>
      </c>
      <c r="L50" s="600">
        <v>46000</v>
      </c>
      <c r="M50" s="597">
        <v>0.52916666666666667</v>
      </c>
      <c r="N50" s="595" t="s">
        <v>2339</v>
      </c>
      <c r="Q50" s="595" t="s">
        <v>2565</v>
      </c>
    </row>
    <row r="51" spans="1:29">
      <c r="A51" s="595">
        <v>50</v>
      </c>
      <c r="B51" s="600">
        <v>45997</v>
      </c>
      <c r="C51" s="597">
        <v>0.625</v>
      </c>
      <c r="D51" s="595" t="s">
        <v>2339</v>
      </c>
      <c r="F51" s="595" t="s">
        <v>2390</v>
      </c>
      <c r="G51" s="595" t="s">
        <v>2563</v>
      </c>
      <c r="H51" s="595" t="s">
        <v>2333</v>
      </c>
      <c r="K51" s="595" t="s">
        <v>2566</v>
      </c>
      <c r="L51" s="600">
        <v>46000</v>
      </c>
      <c r="M51" s="597">
        <v>0.50501157407407404</v>
      </c>
      <c r="N51" s="595" t="s">
        <v>2339</v>
      </c>
      <c r="Q51" s="595" t="s">
        <v>2567</v>
      </c>
    </row>
    <row r="52" spans="1:29">
      <c r="A52" s="595">
        <v>51</v>
      </c>
      <c r="B52" s="600">
        <v>46000</v>
      </c>
      <c r="C52" s="597">
        <v>0.49721064814814814</v>
      </c>
      <c r="D52" s="595" t="s">
        <v>2339</v>
      </c>
      <c r="G52" s="595" t="s">
        <v>2563</v>
      </c>
      <c r="H52" s="595" t="s">
        <v>2333</v>
      </c>
      <c r="K52" s="595" t="s">
        <v>2568</v>
      </c>
      <c r="L52" s="596">
        <v>46001</v>
      </c>
      <c r="M52" s="597">
        <v>0.50396990740740744</v>
      </c>
      <c r="N52" s="595" t="s">
        <v>2339</v>
      </c>
      <c r="P52" s="594"/>
      <c r="Q52" s="595" t="s">
        <v>2569</v>
      </c>
    </row>
    <row r="53" spans="1:29">
      <c r="A53" s="595">
        <v>52</v>
      </c>
      <c r="B53" s="600">
        <v>46000</v>
      </c>
      <c r="C53" s="597">
        <v>0.52439814814814811</v>
      </c>
      <c r="D53" s="595" t="s">
        <v>2330</v>
      </c>
      <c r="E53" s="599" t="s">
        <v>653</v>
      </c>
      <c r="G53" s="595" t="s">
        <v>2332</v>
      </c>
      <c r="H53" s="595" t="s">
        <v>2333</v>
      </c>
      <c r="I53" s="595" t="s">
        <v>2570</v>
      </c>
      <c r="K53" s="595" t="s">
        <v>2571</v>
      </c>
      <c r="N53" s="595" t="s">
        <v>2330</v>
      </c>
      <c r="Q53" s="595" t="s">
        <v>2572</v>
      </c>
    </row>
    <row r="54" spans="1:29">
      <c r="A54" s="595">
        <v>53</v>
      </c>
      <c r="B54" s="596">
        <v>46004</v>
      </c>
      <c r="C54" s="597">
        <v>0.8752199074074074</v>
      </c>
      <c r="D54" s="595" t="s">
        <v>2339</v>
      </c>
      <c r="E54" s="599" t="s">
        <v>952</v>
      </c>
      <c r="F54" s="595" t="s">
        <v>2506</v>
      </c>
      <c r="G54" s="595" t="s">
        <v>2370</v>
      </c>
      <c r="H54" s="595" t="s">
        <v>2333</v>
      </c>
      <c r="K54" s="595" t="s">
        <v>2573</v>
      </c>
      <c r="L54" s="596">
        <v>46017</v>
      </c>
      <c r="M54" s="597">
        <v>0.51828703703703705</v>
      </c>
      <c r="N54" s="595" t="s">
        <v>2339</v>
      </c>
      <c r="Q54" s="595" t="s">
        <v>2574</v>
      </c>
    </row>
    <row r="55" spans="1:29">
      <c r="A55" s="595">
        <v>54</v>
      </c>
      <c r="B55" s="596">
        <v>46006</v>
      </c>
      <c r="C55" s="597">
        <v>0.56565972222222227</v>
      </c>
      <c r="D55" s="595" t="s">
        <v>2339</v>
      </c>
      <c r="E55" s="599" t="s">
        <v>612</v>
      </c>
      <c r="G55" s="595" t="s">
        <v>2370</v>
      </c>
      <c r="H55" s="595" t="s">
        <v>2333</v>
      </c>
      <c r="K55" s="595" t="s">
        <v>2575</v>
      </c>
      <c r="L55" s="596">
        <v>46007</v>
      </c>
      <c r="M55" s="597">
        <v>0.52140046296296294</v>
      </c>
      <c r="N55" s="595" t="s">
        <v>2339</v>
      </c>
      <c r="Q55" s="595" t="s">
        <v>2576</v>
      </c>
      <c r="R55" s="600">
        <v>46041</v>
      </c>
      <c r="S55" s="597">
        <v>0.35739583333333336</v>
      </c>
      <c r="T55" s="595" t="s">
        <v>2339</v>
      </c>
      <c r="W55" s="595" t="s">
        <v>2577</v>
      </c>
      <c r="X55" s="600">
        <v>46108</v>
      </c>
      <c r="Z55" s="595" t="s">
        <v>2339</v>
      </c>
      <c r="AC55" s="595" t="s">
        <v>2578</v>
      </c>
    </row>
    <row r="56" spans="1:29">
      <c r="A56" s="595">
        <v>55</v>
      </c>
      <c r="B56" s="596">
        <v>46006</v>
      </c>
      <c r="C56" s="597">
        <v>0.59401620370370367</v>
      </c>
      <c r="D56" s="595" t="s">
        <v>2330</v>
      </c>
      <c r="E56" s="598" t="s">
        <v>2579</v>
      </c>
      <c r="G56" s="595" t="s">
        <v>2332</v>
      </c>
      <c r="H56" s="595" t="s">
        <v>2333</v>
      </c>
      <c r="K56" s="595" t="s">
        <v>2580</v>
      </c>
      <c r="L56" s="596">
        <v>46008</v>
      </c>
      <c r="N56" s="595" t="s">
        <v>2330</v>
      </c>
      <c r="Q56" s="595" t="s">
        <v>2581</v>
      </c>
      <c r="R56" s="596">
        <v>46014</v>
      </c>
      <c r="S56" s="597">
        <v>0.38526620370370368</v>
      </c>
      <c r="T56" s="595" t="s">
        <v>2339</v>
      </c>
      <c r="W56" s="595" t="s">
        <v>2582</v>
      </c>
    </row>
    <row r="57" spans="1:29">
      <c r="A57" s="595">
        <v>56</v>
      </c>
      <c r="B57" s="596">
        <v>46006</v>
      </c>
      <c r="C57" s="597">
        <v>0.5959606481481482</v>
      </c>
      <c r="D57" s="595" t="s">
        <v>2330</v>
      </c>
      <c r="E57" s="599" t="s">
        <v>721</v>
      </c>
      <c r="F57" s="595" t="s">
        <v>2583</v>
      </c>
      <c r="G57" s="595" t="s">
        <v>2359</v>
      </c>
      <c r="H57" s="595" t="s">
        <v>2333</v>
      </c>
      <c r="K57" s="595" t="s">
        <v>2584</v>
      </c>
      <c r="N57" s="595" t="s">
        <v>2330</v>
      </c>
      <c r="Q57" s="595" t="s">
        <v>2585</v>
      </c>
    </row>
    <row r="58" spans="1:29">
      <c r="A58" s="595">
        <v>57</v>
      </c>
      <c r="B58" s="596">
        <v>46007</v>
      </c>
      <c r="C58" s="597">
        <v>0.34230324074074076</v>
      </c>
      <c r="D58" s="595" t="s">
        <v>2330</v>
      </c>
      <c r="E58" s="598" t="s">
        <v>1494</v>
      </c>
      <c r="F58" s="595" t="s">
        <v>2336</v>
      </c>
      <c r="G58" s="595" t="s">
        <v>2332</v>
      </c>
      <c r="H58" s="595" t="s">
        <v>2333</v>
      </c>
      <c r="I58" s="595" t="s">
        <v>2586</v>
      </c>
      <c r="J58" s="595" t="s">
        <v>2587</v>
      </c>
      <c r="K58" s="595" t="s">
        <v>2588</v>
      </c>
      <c r="L58" s="596">
        <v>46007</v>
      </c>
      <c r="M58" s="597">
        <v>0.41714120370370372</v>
      </c>
      <c r="N58" s="595" t="s">
        <v>2339</v>
      </c>
      <c r="O58" s="595" t="s">
        <v>2589</v>
      </c>
      <c r="Q58" s="595" t="s">
        <v>2590</v>
      </c>
    </row>
    <row r="59" spans="1:29">
      <c r="A59" s="595">
        <v>58</v>
      </c>
      <c r="B59" s="596">
        <v>46008</v>
      </c>
      <c r="C59" s="597">
        <v>0.39694444444444443</v>
      </c>
      <c r="D59" s="595" t="s">
        <v>2330</v>
      </c>
      <c r="E59" s="599" t="s">
        <v>2591</v>
      </c>
      <c r="F59" s="595" t="s">
        <v>2592</v>
      </c>
      <c r="G59" s="595" t="s">
        <v>2332</v>
      </c>
      <c r="H59" s="595" t="s">
        <v>2333</v>
      </c>
      <c r="K59" s="595" t="s">
        <v>2593</v>
      </c>
      <c r="L59" s="596">
        <v>46008</v>
      </c>
      <c r="M59" s="597">
        <v>0.56283564814814813</v>
      </c>
      <c r="N59" s="595" t="s">
        <v>2594</v>
      </c>
      <c r="Q59" s="595" t="s">
        <v>2595</v>
      </c>
    </row>
    <row r="60" spans="1:29">
      <c r="A60" s="595">
        <v>59</v>
      </c>
      <c r="B60" s="596">
        <v>46010</v>
      </c>
      <c r="C60" s="597">
        <v>0.35875000000000001</v>
      </c>
      <c r="D60" s="595" t="s">
        <v>2339</v>
      </c>
      <c r="E60" s="599" t="s">
        <v>2489</v>
      </c>
      <c r="F60" s="595" t="s">
        <v>2596</v>
      </c>
      <c r="G60" s="595" t="s">
        <v>2367</v>
      </c>
      <c r="H60" s="595" t="s">
        <v>2333</v>
      </c>
      <c r="I60" s="595" t="s">
        <v>2597</v>
      </c>
      <c r="K60" s="595" t="s">
        <v>2598</v>
      </c>
    </row>
    <row r="61" spans="1:29">
      <c r="A61" s="595">
        <v>60</v>
      </c>
      <c r="B61" s="596">
        <v>46010</v>
      </c>
      <c r="C61" s="597">
        <v>0.36857638888888888</v>
      </c>
      <c r="D61" s="595" t="s">
        <v>2330</v>
      </c>
      <c r="E61" s="598" t="s">
        <v>2384</v>
      </c>
      <c r="G61" s="595" t="s">
        <v>2332</v>
      </c>
      <c r="H61" s="595" t="s">
        <v>2333</v>
      </c>
      <c r="K61" s="595" t="s">
        <v>2599</v>
      </c>
      <c r="L61" s="596">
        <v>46014</v>
      </c>
      <c r="M61" s="597">
        <v>0.4528935185185185</v>
      </c>
      <c r="N61" s="595" t="s">
        <v>2339</v>
      </c>
      <c r="Q61" s="595" t="s">
        <v>2600</v>
      </c>
    </row>
    <row r="62" spans="1:29">
      <c r="A62" s="595">
        <v>61</v>
      </c>
      <c r="B62" s="596">
        <v>46010</v>
      </c>
      <c r="C62" s="597">
        <v>0.38038194444444445</v>
      </c>
      <c r="D62" s="595" t="s">
        <v>2330</v>
      </c>
      <c r="E62" s="599" t="s">
        <v>2164</v>
      </c>
      <c r="G62" s="595" t="s">
        <v>2332</v>
      </c>
      <c r="H62" s="595" t="s">
        <v>2333</v>
      </c>
      <c r="K62" s="595" t="s">
        <v>2601</v>
      </c>
    </row>
    <row r="63" spans="1:29">
      <c r="A63" s="595">
        <v>62</v>
      </c>
      <c r="B63" s="596">
        <v>46010</v>
      </c>
      <c r="C63" s="597">
        <v>0.53143518518518518</v>
      </c>
      <c r="D63" s="595" t="s">
        <v>2339</v>
      </c>
      <c r="E63" s="598" t="s">
        <v>2086</v>
      </c>
      <c r="F63" s="595" t="s">
        <v>2443</v>
      </c>
      <c r="G63" s="595" t="s">
        <v>2332</v>
      </c>
      <c r="H63" s="595" t="s">
        <v>2333</v>
      </c>
      <c r="K63" s="595" t="s">
        <v>2602</v>
      </c>
      <c r="L63" s="596">
        <v>46011</v>
      </c>
      <c r="N63" s="595" t="s">
        <v>2330</v>
      </c>
      <c r="Q63" s="595" t="s">
        <v>2603</v>
      </c>
      <c r="R63" s="596">
        <v>46016</v>
      </c>
      <c r="T63" s="595" t="s">
        <v>2330</v>
      </c>
      <c r="U63" s="595" t="s">
        <v>2604</v>
      </c>
      <c r="W63" s="595" t="s">
        <v>2605</v>
      </c>
      <c r="X63" s="596">
        <v>46018</v>
      </c>
      <c r="Z63" s="595" t="s">
        <v>2330</v>
      </c>
      <c r="AC63" s="595" t="s">
        <v>2606</v>
      </c>
    </row>
    <row r="64" spans="1:29">
      <c r="A64" s="595">
        <v>63</v>
      </c>
      <c r="B64" s="596">
        <v>46010</v>
      </c>
      <c r="C64" s="597">
        <v>0.88276620370370373</v>
      </c>
      <c r="D64" s="595" t="s">
        <v>2330</v>
      </c>
      <c r="E64" s="598" t="s">
        <v>1470</v>
      </c>
      <c r="F64" s="595" t="s">
        <v>2407</v>
      </c>
      <c r="G64" s="595" t="s">
        <v>2367</v>
      </c>
      <c r="H64" s="595" t="s">
        <v>2333</v>
      </c>
      <c r="I64" s="595" t="s">
        <v>2607</v>
      </c>
      <c r="K64" s="595" t="s">
        <v>2608</v>
      </c>
      <c r="L64" s="596">
        <v>46011</v>
      </c>
      <c r="M64" s="597">
        <v>0.37638888888888888</v>
      </c>
      <c r="N64" s="595" t="s">
        <v>2339</v>
      </c>
      <c r="O64" s="595" t="s">
        <v>2609</v>
      </c>
      <c r="P64" s="595" t="s">
        <v>2610</v>
      </c>
      <c r="Q64" s="595" t="s">
        <v>2611</v>
      </c>
    </row>
    <row r="65" spans="1:33">
      <c r="A65" s="595">
        <v>64</v>
      </c>
      <c r="B65" s="596">
        <v>46010</v>
      </c>
      <c r="C65" s="597">
        <v>0.54166666666666663</v>
      </c>
      <c r="D65" s="595" t="s">
        <v>2442</v>
      </c>
      <c r="E65" s="599" t="s">
        <v>1322</v>
      </c>
      <c r="G65" s="595" t="s">
        <v>329</v>
      </c>
      <c r="H65" s="595" t="s">
        <v>2333</v>
      </c>
      <c r="K65" s="594" t="s">
        <v>2612</v>
      </c>
      <c r="L65" s="596">
        <v>46010</v>
      </c>
      <c r="M65" s="597">
        <v>0.54166666666666663</v>
      </c>
      <c r="N65" s="595" t="s">
        <v>2442</v>
      </c>
      <c r="Q65" s="594"/>
      <c r="R65" s="596">
        <v>46015</v>
      </c>
      <c r="S65" s="597">
        <v>0.57847222222222228</v>
      </c>
      <c r="T65" s="595" t="s">
        <v>2442</v>
      </c>
      <c r="W65" s="595" t="s">
        <v>2613</v>
      </c>
      <c r="X65" s="600">
        <v>46047</v>
      </c>
      <c r="Y65" s="597">
        <v>0.52766203703703707</v>
      </c>
      <c r="AC65" s="595" t="s">
        <v>2614</v>
      </c>
    </row>
    <row r="66" spans="1:33">
      <c r="A66" s="595">
        <v>65</v>
      </c>
      <c r="B66" s="596">
        <v>46011</v>
      </c>
      <c r="C66" s="597">
        <v>0.50629629629629624</v>
      </c>
      <c r="D66" s="595" t="s">
        <v>2339</v>
      </c>
      <c r="F66" s="595" t="s">
        <v>2443</v>
      </c>
      <c r="G66" s="595" t="s">
        <v>2367</v>
      </c>
      <c r="H66" s="595" t="s">
        <v>2333</v>
      </c>
      <c r="I66" s="595" t="s">
        <v>2615</v>
      </c>
      <c r="K66" s="595" t="s">
        <v>2616</v>
      </c>
      <c r="L66" s="596">
        <v>46013</v>
      </c>
      <c r="M66" s="597">
        <v>0.40814814814814815</v>
      </c>
      <c r="N66" s="595" t="s">
        <v>2339</v>
      </c>
      <c r="Q66" s="595" t="s">
        <v>2617</v>
      </c>
    </row>
    <row r="67" spans="1:33">
      <c r="A67" s="595">
        <v>66</v>
      </c>
      <c r="B67" s="596">
        <v>46011</v>
      </c>
      <c r="C67" s="597">
        <v>0.44722222222222224</v>
      </c>
      <c r="D67" s="595" t="s">
        <v>2339</v>
      </c>
      <c r="E67" s="599" t="s">
        <v>2176</v>
      </c>
      <c r="F67" s="595" t="s">
        <v>2461</v>
      </c>
      <c r="G67" s="595" t="s">
        <v>2545</v>
      </c>
      <c r="H67" s="595" t="s">
        <v>2333</v>
      </c>
      <c r="K67" s="595" t="s">
        <v>2618</v>
      </c>
      <c r="L67" s="596">
        <v>46011</v>
      </c>
      <c r="M67" s="597">
        <v>0.69861111111111107</v>
      </c>
      <c r="N67" s="595" t="s">
        <v>2339</v>
      </c>
      <c r="Q67" s="595" t="s">
        <v>2619</v>
      </c>
      <c r="S67" s="597">
        <v>0.47869212962962965</v>
      </c>
      <c r="T67" s="595" t="s">
        <v>2339</v>
      </c>
      <c r="W67" s="595" t="s">
        <v>2620</v>
      </c>
    </row>
    <row r="68" spans="1:33">
      <c r="A68" s="595">
        <v>67</v>
      </c>
      <c r="B68" s="596">
        <v>46011</v>
      </c>
      <c r="C68" s="597">
        <v>0.55820601851851848</v>
      </c>
      <c r="D68" s="595" t="s">
        <v>2339</v>
      </c>
      <c r="E68" s="599" t="s">
        <v>1124</v>
      </c>
      <c r="G68" s="595" t="s">
        <v>2500</v>
      </c>
      <c r="H68" s="595" t="s">
        <v>2621</v>
      </c>
      <c r="I68" s="595" t="s">
        <v>2622</v>
      </c>
      <c r="K68" s="595" t="s">
        <v>2623</v>
      </c>
      <c r="L68" s="600">
        <v>46045</v>
      </c>
      <c r="M68" s="597">
        <v>0.53472222222222221</v>
      </c>
      <c r="N68" s="595" t="s">
        <v>2339</v>
      </c>
      <c r="O68" s="595" t="s">
        <v>2624</v>
      </c>
      <c r="P68" s="595" t="s">
        <v>2625</v>
      </c>
      <c r="Q68" s="595" t="s">
        <v>2626</v>
      </c>
    </row>
    <row r="69" spans="1:33">
      <c r="A69" s="595">
        <v>68</v>
      </c>
      <c r="B69" s="596">
        <v>46013</v>
      </c>
      <c r="C69" s="597">
        <v>0.28462962962962962</v>
      </c>
      <c r="D69" s="595" t="s">
        <v>2339</v>
      </c>
      <c r="E69" s="599" t="s">
        <v>1974</v>
      </c>
      <c r="F69" s="595" t="s">
        <v>2443</v>
      </c>
      <c r="G69" s="595" t="s">
        <v>2367</v>
      </c>
      <c r="H69" s="595" t="s">
        <v>2333</v>
      </c>
      <c r="I69" s="595" t="s">
        <v>2627</v>
      </c>
      <c r="J69" s="595" t="s">
        <v>2628</v>
      </c>
      <c r="K69" s="595" t="s">
        <v>2629</v>
      </c>
      <c r="L69" s="596">
        <v>46013</v>
      </c>
      <c r="M69" s="597">
        <v>0.44861111111111113</v>
      </c>
      <c r="N69" s="595" t="s">
        <v>2339</v>
      </c>
      <c r="O69" s="595" t="s">
        <v>2630</v>
      </c>
      <c r="P69" s="595" t="s">
        <v>2631</v>
      </c>
      <c r="Q69" s="595" t="s">
        <v>2632</v>
      </c>
    </row>
    <row r="70" spans="1:33">
      <c r="A70" s="595">
        <v>69</v>
      </c>
      <c r="B70" s="596">
        <v>46013</v>
      </c>
      <c r="C70" s="597">
        <v>0.35409722222222223</v>
      </c>
      <c r="D70" s="595" t="s">
        <v>2339</v>
      </c>
      <c r="E70" s="599" t="s">
        <v>1844</v>
      </c>
      <c r="F70" s="595" t="s">
        <v>2633</v>
      </c>
      <c r="G70" s="595" t="s">
        <v>2367</v>
      </c>
      <c r="H70" s="595" t="s">
        <v>2333</v>
      </c>
      <c r="I70" s="595" t="s">
        <v>2634</v>
      </c>
      <c r="J70" s="595" t="s">
        <v>2635</v>
      </c>
      <c r="K70" s="595" t="s">
        <v>2636</v>
      </c>
      <c r="L70" s="596">
        <v>46013</v>
      </c>
      <c r="M70" s="597">
        <v>0.98958333333333337</v>
      </c>
      <c r="N70" s="595" t="s">
        <v>2339</v>
      </c>
      <c r="O70" s="595" t="s">
        <v>2637</v>
      </c>
      <c r="P70" s="595" t="s">
        <v>2638</v>
      </c>
      <c r="Q70" s="595" t="s">
        <v>2639</v>
      </c>
      <c r="R70" s="596">
        <v>46014</v>
      </c>
      <c r="S70" s="597">
        <v>0.32600694444444445</v>
      </c>
      <c r="T70" s="595" t="s">
        <v>2339</v>
      </c>
      <c r="U70" s="595" t="s">
        <v>2640</v>
      </c>
      <c r="V70" s="595" t="s">
        <v>2641</v>
      </c>
      <c r="W70" s="595" t="s">
        <v>2642</v>
      </c>
      <c r="X70" s="600">
        <v>46106</v>
      </c>
      <c r="Z70" s="595" t="s">
        <v>2339</v>
      </c>
      <c r="AA70" s="595" t="s">
        <v>2643</v>
      </c>
      <c r="AB70" s="595" t="s">
        <v>2644</v>
      </c>
      <c r="AC70" s="595" t="s">
        <v>2645</v>
      </c>
      <c r="AG70" s="595" t="s">
        <v>2646</v>
      </c>
    </row>
    <row r="71" spans="1:33">
      <c r="A71" s="595">
        <v>70</v>
      </c>
      <c r="B71" s="596">
        <v>46013</v>
      </c>
      <c r="C71" s="597">
        <v>0.47916666666666669</v>
      </c>
      <c r="D71" s="595" t="s">
        <v>2442</v>
      </c>
      <c r="E71" s="599" t="s">
        <v>1820</v>
      </c>
      <c r="F71" s="595" t="s">
        <v>2358</v>
      </c>
      <c r="G71" s="595" t="s">
        <v>2563</v>
      </c>
      <c r="H71" s="595" t="s">
        <v>2333</v>
      </c>
      <c r="K71" s="595" t="s">
        <v>2647</v>
      </c>
      <c r="L71" s="596">
        <v>46013</v>
      </c>
      <c r="M71" s="597">
        <v>0.53125</v>
      </c>
      <c r="N71" s="595" t="s">
        <v>2442</v>
      </c>
      <c r="Q71" s="595" t="s">
        <v>2648</v>
      </c>
      <c r="R71" s="596">
        <v>46014</v>
      </c>
      <c r="S71" s="597">
        <v>0.33031250000000001</v>
      </c>
      <c r="T71" s="595" t="s">
        <v>2339</v>
      </c>
      <c r="W71" s="595" t="s">
        <v>2649</v>
      </c>
    </row>
    <row r="72" spans="1:33">
      <c r="A72" s="595">
        <v>71</v>
      </c>
      <c r="B72" s="596">
        <v>46014</v>
      </c>
      <c r="C72" s="597">
        <v>0.2638888888888889</v>
      </c>
      <c r="D72" s="595" t="s">
        <v>2339</v>
      </c>
      <c r="E72" s="599" t="s">
        <v>486</v>
      </c>
      <c r="G72" s="595" t="s">
        <v>2370</v>
      </c>
      <c r="H72" s="595" t="s">
        <v>2333</v>
      </c>
      <c r="I72" s="595" t="s">
        <v>2650</v>
      </c>
      <c r="K72" s="595" t="s">
        <v>2651</v>
      </c>
      <c r="L72" s="596">
        <v>46014</v>
      </c>
      <c r="M72" s="597">
        <v>0.34791666666666665</v>
      </c>
      <c r="N72" s="595" t="s">
        <v>2339</v>
      </c>
      <c r="O72" s="595" t="s">
        <v>2652</v>
      </c>
      <c r="Q72" s="595" t="s">
        <v>2653</v>
      </c>
      <c r="R72" s="596">
        <v>46017</v>
      </c>
      <c r="S72" s="597">
        <v>0.51741898148148147</v>
      </c>
      <c r="T72" s="595" t="s">
        <v>2339</v>
      </c>
      <c r="W72" s="595" t="s">
        <v>2654</v>
      </c>
    </row>
    <row r="73" spans="1:33">
      <c r="A73" s="595">
        <v>72</v>
      </c>
      <c r="B73" s="596">
        <v>46014</v>
      </c>
      <c r="C73" s="597">
        <v>0.82013888888888886</v>
      </c>
      <c r="D73" s="595" t="s">
        <v>2339</v>
      </c>
      <c r="E73" s="599" t="s">
        <v>782</v>
      </c>
      <c r="G73" s="595" t="s">
        <v>2655</v>
      </c>
      <c r="H73" s="595" t="s">
        <v>2333</v>
      </c>
      <c r="I73" s="595" t="s">
        <v>2656</v>
      </c>
      <c r="K73" s="595" t="s">
        <v>2657</v>
      </c>
      <c r="L73" s="600">
        <v>46072</v>
      </c>
      <c r="M73" s="597">
        <v>0.51736111111111116</v>
      </c>
      <c r="N73" s="595" t="s">
        <v>2339</v>
      </c>
      <c r="Q73" s="595" t="s">
        <v>2658</v>
      </c>
      <c r="R73" s="600">
        <v>46093</v>
      </c>
      <c r="S73" s="597">
        <v>0.35696759259259259</v>
      </c>
      <c r="T73" s="595" t="s">
        <v>2339</v>
      </c>
      <c r="W73" s="595" t="s">
        <v>2659</v>
      </c>
    </row>
    <row r="74" spans="1:33">
      <c r="A74" s="595">
        <v>73</v>
      </c>
      <c r="B74" s="596">
        <v>46015</v>
      </c>
      <c r="C74" s="597">
        <v>0.51377314814814812</v>
      </c>
      <c r="D74" s="595" t="s">
        <v>2339</v>
      </c>
      <c r="E74" s="599" t="s">
        <v>653</v>
      </c>
      <c r="G74" s="595" t="s">
        <v>2545</v>
      </c>
      <c r="H74" s="595" t="s">
        <v>2333</v>
      </c>
      <c r="I74" s="595" t="s">
        <v>2660</v>
      </c>
      <c r="J74" s="595" t="s">
        <v>2661</v>
      </c>
      <c r="K74" s="595" t="s">
        <v>2662</v>
      </c>
      <c r="L74" s="596">
        <v>46015</v>
      </c>
      <c r="N74" s="595" t="s">
        <v>2330</v>
      </c>
      <c r="Q74" s="595" t="s">
        <v>2663</v>
      </c>
      <c r="T74" s="595" t="s">
        <v>2330</v>
      </c>
      <c r="W74" s="595" t="s">
        <v>2664</v>
      </c>
    </row>
    <row r="75" spans="1:33">
      <c r="A75" s="595">
        <v>74</v>
      </c>
      <c r="B75" s="596">
        <v>46015</v>
      </c>
      <c r="C75" s="597">
        <v>0.51554398148148151</v>
      </c>
      <c r="D75" s="595" t="s">
        <v>2339</v>
      </c>
      <c r="E75" s="599" t="s">
        <v>1967</v>
      </c>
      <c r="F75" s="595" t="s">
        <v>2443</v>
      </c>
      <c r="G75" s="595" t="s">
        <v>2370</v>
      </c>
      <c r="H75" s="595" t="s">
        <v>2333</v>
      </c>
      <c r="K75" s="595" t="s">
        <v>2665</v>
      </c>
      <c r="L75" s="596">
        <v>46017</v>
      </c>
      <c r="M75" s="597">
        <v>0.5150231481481482</v>
      </c>
      <c r="N75" s="595" t="s">
        <v>2339</v>
      </c>
      <c r="Q75" s="595" t="s">
        <v>2666</v>
      </c>
    </row>
    <row r="76" spans="1:33">
      <c r="A76" s="595">
        <v>75</v>
      </c>
      <c r="B76" s="596">
        <v>46015</v>
      </c>
      <c r="C76" s="597">
        <v>0.52361111111111114</v>
      </c>
      <c r="D76" s="595" t="s">
        <v>2339</v>
      </c>
      <c r="E76" s="599" t="s">
        <v>1135</v>
      </c>
      <c r="F76" s="595" t="s">
        <v>2461</v>
      </c>
      <c r="G76" s="595" t="s">
        <v>2359</v>
      </c>
      <c r="H76" s="595" t="s">
        <v>2333</v>
      </c>
      <c r="I76" s="595" t="s">
        <v>2667</v>
      </c>
      <c r="K76" s="595" t="s">
        <v>2668</v>
      </c>
      <c r="L76" s="596">
        <v>46015</v>
      </c>
      <c r="M76" s="597">
        <v>0.60763888888888884</v>
      </c>
      <c r="N76" s="595" t="s">
        <v>2339</v>
      </c>
      <c r="O76" s="595" t="s">
        <v>2669</v>
      </c>
      <c r="P76" s="595" t="s">
        <v>2670</v>
      </c>
      <c r="Q76" s="595" t="s">
        <v>2671</v>
      </c>
      <c r="R76" s="596">
        <v>46016</v>
      </c>
      <c r="S76" s="597">
        <v>0.43174768518518519</v>
      </c>
      <c r="T76" s="595" t="s">
        <v>2339</v>
      </c>
      <c r="W76" s="595" t="s">
        <v>2672</v>
      </c>
    </row>
    <row r="77" spans="1:33">
      <c r="A77" s="595">
        <v>76</v>
      </c>
      <c r="B77" s="596">
        <v>46017</v>
      </c>
      <c r="C77" s="597">
        <v>0.54652777777777772</v>
      </c>
      <c r="D77" s="595" t="s">
        <v>2339</v>
      </c>
      <c r="E77" s="599" t="s">
        <v>1181</v>
      </c>
      <c r="G77" s="595" t="s">
        <v>2370</v>
      </c>
      <c r="H77" s="595" t="s">
        <v>2333</v>
      </c>
      <c r="K77" s="595" t="s">
        <v>2673</v>
      </c>
      <c r="L77" s="596">
        <v>46017</v>
      </c>
      <c r="M77" s="597">
        <v>0.59946759259259264</v>
      </c>
      <c r="N77" s="595" t="s">
        <v>2339</v>
      </c>
      <c r="Q77" s="595" t="s">
        <v>2674</v>
      </c>
    </row>
    <row r="78" spans="1:33">
      <c r="A78" s="595">
        <v>77</v>
      </c>
      <c r="B78" s="600">
        <v>46025</v>
      </c>
      <c r="C78" s="597">
        <v>0.73093750000000002</v>
      </c>
      <c r="D78" s="595" t="s">
        <v>2339</v>
      </c>
      <c r="E78" s="599" t="s">
        <v>1974</v>
      </c>
      <c r="F78" s="595" t="s">
        <v>2443</v>
      </c>
      <c r="G78" s="595" t="s">
        <v>2370</v>
      </c>
      <c r="H78" s="595" t="s">
        <v>2333</v>
      </c>
      <c r="I78" s="595" t="s">
        <v>2675</v>
      </c>
      <c r="J78" s="595" t="s">
        <v>2676</v>
      </c>
      <c r="L78" s="600">
        <v>46025</v>
      </c>
      <c r="M78" s="597">
        <v>0.73124999999999996</v>
      </c>
      <c r="N78" s="595" t="s">
        <v>2339</v>
      </c>
      <c r="O78" s="595" t="s">
        <v>2677</v>
      </c>
      <c r="P78" s="595" t="s">
        <v>2678</v>
      </c>
      <c r="Q78" s="595" t="s">
        <v>2679</v>
      </c>
      <c r="R78" s="600">
        <v>46027</v>
      </c>
      <c r="S78" s="597">
        <v>0.55763888888888891</v>
      </c>
      <c r="T78" s="595" t="s">
        <v>2339</v>
      </c>
      <c r="U78" s="595" t="s">
        <v>2680</v>
      </c>
      <c r="V78" s="595" t="s">
        <v>2681</v>
      </c>
      <c r="W78" s="595" t="s">
        <v>2682</v>
      </c>
    </row>
    <row r="79" spans="1:33">
      <c r="A79" s="595">
        <v>78</v>
      </c>
      <c r="B79" s="600">
        <v>46026</v>
      </c>
      <c r="C79" s="597">
        <v>0.64583333333333337</v>
      </c>
      <c r="D79" s="595" t="s">
        <v>2339</v>
      </c>
      <c r="E79" s="599" t="s">
        <v>1894</v>
      </c>
      <c r="F79" s="595" t="s">
        <v>2549</v>
      </c>
      <c r="G79" s="595" t="s">
        <v>2332</v>
      </c>
      <c r="H79" s="595" t="s">
        <v>2333</v>
      </c>
      <c r="I79" s="595" t="s">
        <v>2683</v>
      </c>
      <c r="J79" s="595" t="s">
        <v>2684</v>
      </c>
      <c r="K79" s="595" t="s">
        <v>2685</v>
      </c>
      <c r="L79" s="600">
        <v>46027</v>
      </c>
      <c r="M79" s="597">
        <v>0.48853009259259261</v>
      </c>
      <c r="N79" s="595" t="s">
        <v>2339</v>
      </c>
      <c r="Q79" s="595" t="s">
        <v>2686</v>
      </c>
      <c r="R79" s="600">
        <v>46029</v>
      </c>
      <c r="S79" s="597">
        <v>0.61895833333333339</v>
      </c>
      <c r="T79" s="595" t="s">
        <v>2339</v>
      </c>
      <c r="W79" s="595" t="s">
        <v>2687</v>
      </c>
    </row>
    <row r="80" spans="1:33">
      <c r="A80" s="595">
        <v>79</v>
      </c>
      <c r="B80" s="600">
        <v>46027</v>
      </c>
      <c r="C80" s="597">
        <v>0.25694444444444442</v>
      </c>
      <c r="D80" s="595" t="s">
        <v>2339</v>
      </c>
      <c r="E80" s="599" t="s">
        <v>1709</v>
      </c>
      <c r="F80" s="595" t="s">
        <v>2688</v>
      </c>
      <c r="G80" s="595" t="s">
        <v>2332</v>
      </c>
      <c r="H80" s="595" t="s">
        <v>2333</v>
      </c>
      <c r="I80" s="595" t="s">
        <v>2689</v>
      </c>
      <c r="K80" s="595" t="s">
        <v>2690</v>
      </c>
      <c r="L80" s="600">
        <v>46027</v>
      </c>
      <c r="M80" s="597">
        <v>0.49094907407407407</v>
      </c>
      <c r="N80" s="595" t="s">
        <v>2339</v>
      </c>
      <c r="Q80" s="595" t="s">
        <v>2691</v>
      </c>
      <c r="R80" s="600">
        <v>46028</v>
      </c>
      <c r="S80" s="597">
        <v>0.43809027777777776</v>
      </c>
      <c r="T80" s="595" t="s">
        <v>2692</v>
      </c>
      <c r="W80" s="595" t="s">
        <v>2693</v>
      </c>
    </row>
    <row r="81" spans="1:29">
      <c r="A81" s="595">
        <v>80</v>
      </c>
      <c r="B81" s="600">
        <v>46027</v>
      </c>
      <c r="C81" s="597">
        <v>0.36737268518518518</v>
      </c>
      <c r="D81" s="595" t="s">
        <v>2339</v>
      </c>
      <c r="E81" s="599" t="s">
        <v>1070</v>
      </c>
      <c r="F81" s="595" t="s">
        <v>2694</v>
      </c>
      <c r="G81" s="595" t="s">
        <v>2367</v>
      </c>
      <c r="H81" s="595" t="s">
        <v>2333</v>
      </c>
      <c r="I81" s="595" t="s">
        <v>2695</v>
      </c>
      <c r="K81" s="595" t="s">
        <v>2696</v>
      </c>
      <c r="L81" s="600">
        <v>46027</v>
      </c>
      <c r="M81" s="597">
        <v>0.48770833333333335</v>
      </c>
      <c r="N81" s="595" t="s">
        <v>2339</v>
      </c>
      <c r="Q81" s="595" t="s">
        <v>2697</v>
      </c>
    </row>
    <row r="82" spans="1:29">
      <c r="A82" s="595">
        <v>81</v>
      </c>
      <c r="B82" s="600">
        <v>46028</v>
      </c>
      <c r="C82" s="597">
        <v>0.71391203703703698</v>
      </c>
      <c r="D82" s="595" t="s">
        <v>2330</v>
      </c>
      <c r="E82" s="599" t="s">
        <v>1994</v>
      </c>
      <c r="F82" s="595" t="s">
        <v>2506</v>
      </c>
      <c r="G82" s="595" t="s">
        <v>2332</v>
      </c>
      <c r="H82" s="595" t="s">
        <v>2333</v>
      </c>
      <c r="K82" s="595" t="s">
        <v>2698</v>
      </c>
      <c r="L82" s="600">
        <v>46028</v>
      </c>
      <c r="M82" s="597">
        <v>0.60430555555555554</v>
      </c>
      <c r="N82" s="595" t="s">
        <v>2330</v>
      </c>
      <c r="Q82" s="595" t="s">
        <v>2699</v>
      </c>
      <c r="R82" s="600">
        <v>46039</v>
      </c>
      <c r="T82" s="595" t="s">
        <v>2330</v>
      </c>
      <c r="W82" s="595" t="s">
        <v>2700</v>
      </c>
    </row>
    <row r="83" spans="1:29">
      <c r="A83" s="595">
        <v>82</v>
      </c>
      <c r="B83" s="600">
        <v>46028</v>
      </c>
      <c r="C83" s="597">
        <v>0.53410879629629626</v>
      </c>
      <c r="D83" s="595" t="s">
        <v>2339</v>
      </c>
      <c r="E83" s="599" t="s">
        <v>881</v>
      </c>
      <c r="G83" s="595" t="s">
        <v>1294</v>
      </c>
      <c r="H83" s="595" t="s">
        <v>2333</v>
      </c>
      <c r="I83" s="595" t="s">
        <v>2701</v>
      </c>
      <c r="K83" s="595" t="s">
        <v>2702</v>
      </c>
    </row>
    <row r="84" spans="1:29">
      <c r="A84" s="595">
        <v>83</v>
      </c>
      <c r="B84" s="600">
        <v>46029</v>
      </c>
      <c r="C84" s="597">
        <v>0.89174768518518521</v>
      </c>
      <c r="D84" s="595" t="s">
        <v>2339</v>
      </c>
      <c r="E84" s="599" t="s">
        <v>2011</v>
      </c>
      <c r="F84" s="595" t="s">
        <v>2506</v>
      </c>
      <c r="G84" s="595" t="s">
        <v>2332</v>
      </c>
      <c r="H84" s="595" t="s">
        <v>2333</v>
      </c>
      <c r="I84" s="595" t="s">
        <v>2703</v>
      </c>
      <c r="J84" s="595" t="s">
        <v>2704</v>
      </c>
      <c r="K84" s="595" t="s">
        <v>2705</v>
      </c>
      <c r="L84" s="600">
        <v>46030</v>
      </c>
      <c r="M84" s="597">
        <v>0.60464120370370367</v>
      </c>
      <c r="N84" s="595" t="s">
        <v>2330</v>
      </c>
      <c r="Q84" s="595" t="s">
        <v>2706</v>
      </c>
    </row>
    <row r="85" spans="1:29">
      <c r="A85" s="595">
        <v>84</v>
      </c>
      <c r="B85" s="600">
        <v>46030</v>
      </c>
      <c r="C85" s="597">
        <v>0.28414351851851855</v>
      </c>
      <c r="D85" s="595" t="s">
        <v>2339</v>
      </c>
      <c r="E85" s="599" t="s">
        <v>935</v>
      </c>
      <c r="F85" s="595" t="s">
        <v>2707</v>
      </c>
      <c r="G85" s="595" t="s">
        <v>2332</v>
      </c>
      <c r="H85" s="595" t="s">
        <v>2333</v>
      </c>
      <c r="I85" s="595" t="s">
        <v>2708</v>
      </c>
      <c r="K85" s="595" t="s">
        <v>2709</v>
      </c>
      <c r="L85" s="600">
        <v>46030</v>
      </c>
      <c r="M85" s="597">
        <v>0.50138888888888888</v>
      </c>
      <c r="N85" s="595" t="s">
        <v>2339</v>
      </c>
      <c r="O85" s="595" t="s">
        <v>2710</v>
      </c>
      <c r="Q85" s="595" t="s">
        <v>2711</v>
      </c>
      <c r="R85" s="600">
        <v>46046</v>
      </c>
      <c r="S85" s="597">
        <v>0.45208333333333334</v>
      </c>
      <c r="T85" s="595" t="s">
        <v>2330</v>
      </c>
      <c r="W85" s="595" t="s">
        <v>2712</v>
      </c>
    </row>
    <row r="86" spans="1:29">
      <c r="A86" s="595">
        <v>85</v>
      </c>
      <c r="B86" s="600">
        <v>46028</v>
      </c>
      <c r="C86" s="597">
        <v>0.51736111111111116</v>
      </c>
      <c r="D86" s="595" t="s">
        <v>2339</v>
      </c>
      <c r="E86" s="599" t="s">
        <v>1597</v>
      </c>
      <c r="F86" s="595" t="s">
        <v>2366</v>
      </c>
      <c r="G86" s="595" t="s">
        <v>2367</v>
      </c>
      <c r="H86" s="595" t="s">
        <v>2333</v>
      </c>
      <c r="I86" s="595" t="s">
        <v>2713</v>
      </c>
      <c r="K86" s="595" t="s">
        <v>2714</v>
      </c>
      <c r="L86" s="600">
        <v>46030</v>
      </c>
      <c r="M86" s="597">
        <v>0.45763888888888887</v>
      </c>
      <c r="N86" s="595" t="s">
        <v>2339</v>
      </c>
      <c r="O86" s="595" t="s">
        <v>2715</v>
      </c>
      <c r="Q86" s="595" t="s">
        <v>2716</v>
      </c>
      <c r="R86" s="600">
        <v>46031</v>
      </c>
      <c r="S86" s="597">
        <v>0.58750000000000002</v>
      </c>
      <c r="T86" s="595" t="s">
        <v>2339</v>
      </c>
      <c r="U86" s="595" t="s">
        <v>2717</v>
      </c>
      <c r="W86" s="595" t="s">
        <v>2718</v>
      </c>
      <c r="X86" s="600">
        <v>46039</v>
      </c>
      <c r="Y86" s="597">
        <v>0.99375000000000002</v>
      </c>
      <c r="Z86" s="595" t="s">
        <v>2339</v>
      </c>
      <c r="AC86" s="595" t="s">
        <v>2719</v>
      </c>
    </row>
    <row r="87" spans="1:29">
      <c r="A87" s="595">
        <v>86</v>
      </c>
      <c r="B87" s="600">
        <v>46031</v>
      </c>
      <c r="C87" s="597">
        <v>0.61621527777777774</v>
      </c>
      <c r="D87" s="595" t="s">
        <v>2330</v>
      </c>
      <c r="E87" s="599" t="s">
        <v>1902</v>
      </c>
      <c r="F87" s="595" t="s">
        <v>2720</v>
      </c>
      <c r="G87" s="595" t="s">
        <v>329</v>
      </c>
      <c r="H87" s="595" t="s">
        <v>2621</v>
      </c>
      <c r="I87" s="595" t="s">
        <v>2721</v>
      </c>
      <c r="K87" s="595" t="s">
        <v>2722</v>
      </c>
    </row>
    <row r="88" spans="1:29">
      <c r="A88" s="595">
        <v>87</v>
      </c>
      <c r="B88" s="600">
        <v>46033</v>
      </c>
      <c r="C88" s="597">
        <v>0.80405092592592597</v>
      </c>
      <c r="D88" s="595" t="s">
        <v>2330</v>
      </c>
      <c r="E88" s="599" t="s">
        <v>1728</v>
      </c>
      <c r="F88" s="595" t="s">
        <v>2723</v>
      </c>
      <c r="G88" s="595" t="s">
        <v>2332</v>
      </c>
      <c r="H88" s="595" t="s">
        <v>2337</v>
      </c>
      <c r="I88" s="595" t="s">
        <v>2724</v>
      </c>
      <c r="K88" s="595" t="s">
        <v>2725</v>
      </c>
      <c r="L88" s="600">
        <v>46039</v>
      </c>
      <c r="M88" s="597">
        <v>0.39114583333333336</v>
      </c>
      <c r="N88" s="595" t="s">
        <v>2330</v>
      </c>
      <c r="Q88" s="595" t="s">
        <v>2726</v>
      </c>
      <c r="R88" s="600">
        <v>46050</v>
      </c>
      <c r="S88" s="597">
        <v>0.5584027777777778</v>
      </c>
      <c r="T88" s="595" t="s">
        <v>2330</v>
      </c>
      <c r="W88" s="595" t="s">
        <v>2727</v>
      </c>
      <c r="X88" s="600">
        <v>46078</v>
      </c>
      <c r="Z88" s="595" t="s">
        <v>2330</v>
      </c>
      <c r="AC88" s="595" t="s">
        <v>2728</v>
      </c>
    </row>
    <row r="89" spans="1:29">
      <c r="A89" s="595">
        <v>88</v>
      </c>
      <c r="B89" s="600">
        <v>46034</v>
      </c>
      <c r="C89" s="597">
        <v>0.84168981481481486</v>
      </c>
      <c r="D89" s="595" t="s">
        <v>2339</v>
      </c>
      <c r="E89" s="599" t="s">
        <v>1974</v>
      </c>
      <c r="F89" s="595" t="s">
        <v>2443</v>
      </c>
      <c r="G89" s="595" t="s">
        <v>2367</v>
      </c>
      <c r="H89" s="595" t="s">
        <v>2333</v>
      </c>
      <c r="I89" s="595" t="s">
        <v>2729</v>
      </c>
      <c r="K89" s="595" t="s">
        <v>2730</v>
      </c>
      <c r="L89" s="600">
        <v>46035</v>
      </c>
      <c r="M89" s="597">
        <v>0.38263888888888886</v>
      </c>
      <c r="N89" s="595" t="s">
        <v>2339</v>
      </c>
      <c r="O89" s="595" t="s">
        <v>2731</v>
      </c>
      <c r="P89" s="595" t="s">
        <v>2732</v>
      </c>
      <c r="R89" s="600">
        <v>46039</v>
      </c>
      <c r="S89" s="597">
        <v>0.65902777777777777</v>
      </c>
      <c r="T89" s="595" t="s">
        <v>2339</v>
      </c>
      <c r="W89" s="595" t="s">
        <v>2733</v>
      </c>
      <c r="X89" s="600">
        <v>46041</v>
      </c>
      <c r="Y89" s="597">
        <v>0.61041666666666672</v>
      </c>
      <c r="Z89" s="595" t="s">
        <v>2339</v>
      </c>
      <c r="AA89" s="595" t="s">
        <v>2734</v>
      </c>
      <c r="AB89" s="595" t="s">
        <v>2735</v>
      </c>
      <c r="AC89" s="595" t="s">
        <v>2736</v>
      </c>
    </row>
    <row r="90" spans="1:29">
      <c r="A90" s="595">
        <v>89</v>
      </c>
      <c r="B90" s="600">
        <v>46034</v>
      </c>
      <c r="C90" s="597">
        <v>0.84281249999999996</v>
      </c>
      <c r="D90" s="595" t="s">
        <v>2339</v>
      </c>
      <c r="E90" s="599" t="s">
        <v>1079</v>
      </c>
      <c r="G90" s="595" t="s">
        <v>2367</v>
      </c>
      <c r="H90" s="595" t="s">
        <v>2333</v>
      </c>
      <c r="I90" s="595" t="s">
        <v>2737</v>
      </c>
      <c r="K90" s="595" t="s">
        <v>2738</v>
      </c>
      <c r="L90" s="600">
        <v>46035</v>
      </c>
      <c r="M90" s="597">
        <v>0.53611111111111109</v>
      </c>
      <c r="N90" s="595" t="s">
        <v>2339</v>
      </c>
      <c r="O90" s="595" t="s">
        <v>2739</v>
      </c>
      <c r="Q90" s="595" t="s">
        <v>2740</v>
      </c>
    </row>
    <row r="91" spans="1:29">
      <c r="A91" s="595">
        <v>90</v>
      </c>
      <c r="B91" s="600">
        <v>46035</v>
      </c>
      <c r="C91" s="597">
        <v>0.51736111111111116</v>
      </c>
      <c r="D91" s="595" t="s">
        <v>2339</v>
      </c>
      <c r="E91" s="599" t="s">
        <v>865</v>
      </c>
      <c r="G91" s="595" t="s">
        <v>2332</v>
      </c>
      <c r="H91" s="595" t="s">
        <v>2333</v>
      </c>
      <c r="K91" s="595" t="s">
        <v>2741</v>
      </c>
      <c r="L91" s="600">
        <v>46036</v>
      </c>
      <c r="M91" s="597">
        <v>0.8208333333333333</v>
      </c>
      <c r="N91" s="595" t="s">
        <v>2339</v>
      </c>
      <c r="O91" s="595" t="s">
        <v>2742</v>
      </c>
      <c r="Q91" s="595" t="s">
        <v>2743</v>
      </c>
    </row>
    <row r="92" spans="1:29">
      <c r="A92" s="595">
        <v>91</v>
      </c>
      <c r="B92" s="600">
        <v>46037</v>
      </c>
      <c r="C92" s="597">
        <v>0.41878472222222224</v>
      </c>
      <c r="D92" s="595" t="s">
        <v>2339</v>
      </c>
      <c r="E92" s="599" t="s">
        <v>1286</v>
      </c>
      <c r="F92" s="595" t="s">
        <v>2744</v>
      </c>
      <c r="G92" s="595" t="s">
        <v>2332</v>
      </c>
      <c r="H92" s="595" t="s">
        <v>2333</v>
      </c>
      <c r="I92" s="595" t="s">
        <v>2745</v>
      </c>
      <c r="J92" s="595" t="s">
        <v>2746</v>
      </c>
      <c r="K92" s="595" t="s">
        <v>2747</v>
      </c>
      <c r="L92" s="600">
        <v>46039</v>
      </c>
      <c r="M92" s="597">
        <v>0.40208333333333335</v>
      </c>
      <c r="N92" s="595" t="s">
        <v>2339</v>
      </c>
      <c r="Q92" s="595" t="s">
        <v>2748</v>
      </c>
    </row>
    <row r="93" spans="1:29">
      <c r="A93" s="595">
        <v>92</v>
      </c>
      <c r="B93" s="600">
        <v>46038</v>
      </c>
      <c r="C93" s="597">
        <v>0.52609953703703705</v>
      </c>
      <c r="D93" s="595" t="s">
        <v>2330</v>
      </c>
      <c r="E93" s="599" t="s">
        <v>916</v>
      </c>
      <c r="F93" s="595" t="s">
        <v>2506</v>
      </c>
      <c r="G93" s="595" t="s">
        <v>2332</v>
      </c>
      <c r="H93" s="595" t="s">
        <v>2333</v>
      </c>
      <c r="K93" s="595" t="s">
        <v>2749</v>
      </c>
      <c r="L93" s="600">
        <v>46039</v>
      </c>
      <c r="N93" s="595" t="s">
        <v>2330</v>
      </c>
      <c r="Q93" s="595" t="s">
        <v>2750</v>
      </c>
    </row>
    <row r="94" spans="1:29">
      <c r="A94" s="595">
        <v>93</v>
      </c>
      <c r="B94" s="600">
        <v>46038</v>
      </c>
      <c r="C94" s="597">
        <v>0.95034722222222223</v>
      </c>
      <c r="D94" s="595" t="s">
        <v>2339</v>
      </c>
      <c r="E94" s="599" t="s">
        <v>2076</v>
      </c>
      <c r="F94" s="595" t="s">
        <v>2443</v>
      </c>
      <c r="G94" s="595" t="s">
        <v>2370</v>
      </c>
      <c r="H94" s="595" t="s">
        <v>2337</v>
      </c>
      <c r="I94" s="595" t="s">
        <v>2751</v>
      </c>
      <c r="J94" s="595" t="s">
        <v>2752</v>
      </c>
      <c r="K94" s="595" t="s">
        <v>2753</v>
      </c>
      <c r="L94" s="600">
        <v>46043</v>
      </c>
      <c r="M94" s="597">
        <v>0.89596064814814813</v>
      </c>
      <c r="N94" s="595" t="s">
        <v>2339</v>
      </c>
      <c r="Q94" s="595" t="s">
        <v>2754</v>
      </c>
    </row>
    <row r="95" spans="1:29">
      <c r="A95" s="595">
        <v>94</v>
      </c>
      <c r="B95" s="600">
        <v>46039</v>
      </c>
      <c r="C95" s="597">
        <v>0.35645833333333332</v>
      </c>
      <c r="D95" s="595" t="s">
        <v>2339</v>
      </c>
      <c r="E95" s="599" t="s">
        <v>1079</v>
      </c>
      <c r="F95" s="595" t="s">
        <v>2331</v>
      </c>
      <c r="G95" s="595" t="s">
        <v>2367</v>
      </c>
      <c r="H95" s="595" t="s">
        <v>2333</v>
      </c>
      <c r="I95" s="595" t="s">
        <v>2755</v>
      </c>
      <c r="K95" s="595" t="s">
        <v>2756</v>
      </c>
      <c r="L95" s="600">
        <v>46039</v>
      </c>
      <c r="M95" s="597">
        <v>0.39583333333333331</v>
      </c>
      <c r="N95" s="595" t="s">
        <v>2339</v>
      </c>
      <c r="O95" s="595" t="s">
        <v>2757</v>
      </c>
      <c r="Q95" s="595" t="s">
        <v>2758</v>
      </c>
      <c r="R95" s="600">
        <v>46039</v>
      </c>
      <c r="S95" s="597">
        <v>0.47499999999999998</v>
      </c>
      <c r="T95" s="595" t="s">
        <v>2339</v>
      </c>
      <c r="U95" s="595" t="s">
        <v>2759</v>
      </c>
      <c r="V95" s="595" t="s">
        <v>2760</v>
      </c>
      <c r="W95" s="595" t="s">
        <v>2761</v>
      </c>
      <c r="X95" s="600">
        <v>46039</v>
      </c>
      <c r="Y95" s="597">
        <v>0.69861111111111107</v>
      </c>
      <c r="Z95" s="595" t="s">
        <v>2339</v>
      </c>
      <c r="AA95" s="595" t="s">
        <v>2762</v>
      </c>
      <c r="AC95" s="595" t="s">
        <v>2763</v>
      </c>
    </row>
    <row r="96" spans="1:29">
      <c r="A96" s="595">
        <v>95</v>
      </c>
      <c r="B96" s="600">
        <v>46041</v>
      </c>
      <c r="C96" s="597">
        <v>0.44538194444444446</v>
      </c>
      <c r="D96" s="595" t="s">
        <v>2339</v>
      </c>
      <c r="E96" s="599" t="s">
        <v>1820</v>
      </c>
      <c r="F96" s="595" t="s">
        <v>2358</v>
      </c>
      <c r="G96" s="595" t="s">
        <v>2563</v>
      </c>
      <c r="H96" s="595" t="s">
        <v>2333</v>
      </c>
      <c r="I96" s="595" t="s">
        <v>2764</v>
      </c>
      <c r="J96" s="595" t="s">
        <v>2765</v>
      </c>
      <c r="K96" s="595" t="s">
        <v>2766</v>
      </c>
      <c r="L96" s="600">
        <v>46045</v>
      </c>
      <c r="M96" s="597">
        <v>0.45208333333333334</v>
      </c>
      <c r="N96" s="595" t="s">
        <v>2339</v>
      </c>
      <c r="Q96" s="595" t="s">
        <v>2767</v>
      </c>
    </row>
    <row r="97" spans="1:29">
      <c r="A97" s="595">
        <v>96</v>
      </c>
      <c r="B97" s="600">
        <v>46041</v>
      </c>
      <c r="C97" s="597">
        <v>0.88601851851851854</v>
      </c>
      <c r="D97" s="595" t="s">
        <v>2330</v>
      </c>
      <c r="E97" s="599" t="s">
        <v>2097</v>
      </c>
      <c r="F97" s="595" t="s">
        <v>2688</v>
      </c>
      <c r="G97" s="595" t="s">
        <v>2332</v>
      </c>
      <c r="H97" s="595" t="s">
        <v>2333</v>
      </c>
      <c r="K97" s="595" t="s">
        <v>2768</v>
      </c>
      <c r="L97" s="600">
        <v>46041</v>
      </c>
      <c r="M97" s="597">
        <v>0.9375</v>
      </c>
      <c r="N97" s="595" t="s">
        <v>2330</v>
      </c>
      <c r="O97" s="595" t="s">
        <v>2769</v>
      </c>
      <c r="Q97" s="595" t="s">
        <v>2770</v>
      </c>
      <c r="R97" s="600">
        <v>46042</v>
      </c>
      <c r="S97" s="597">
        <v>0.70833333333333337</v>
      </c>
      <c r="T97" s="595" t="s">
        <v>2339</v>
      </c>
      <c r="U97" s="595" t="s">
        <v>2771</v>
      </c>
      <c r="V97" s="595" t="s">
        <v>2772</v>
      </c>
      <c r="W97" s="595" t="s">
        <v>2773</v>
      </c>
      <c r="X97" s="600">
        <v>46045</v>
      </c>
      <c r="Z97" s="595" t="s">
        <v>2330</v>
      </c>
      <c r="AC97" s="595" t="s">
        <v>2774</v>
      </c>
    </row>
    <row r="98" spans="1:29">
      <c r="A98" s="595">
        <v>97</v>
      </c>
      <c r="B98" s="600">
        <v>46042</v>
      </c>
      <c r="C98" s="597">
        <v>0.54181712962962958</v>
      </c>
      <c r="D98" s="595" t="s">
        <v>2339</v>
      </c>
      <c r="E98" s="599" t="s">
        <v>1959</v>
      </c>
      <c r="F98" s="595" t="s">
        <v>2443</v>
      </c>
      <c r="G98" s="595" t="s">
        <v>2370</v>
      </c>
      <c r="H98" s="595" t="s">
        <v>2333</v>
      </c>
      <c r="I98" s="595" t="s">
        <v>2775</v>
      </c>
      <c r="K98" s="595" t="s">
        <v>2776</v>
      </c>
      <c r="L98" s="600">
        <v>46046</v>
      </c>
      <c r="M98" s="597">
        <v>0.52562500000000001</v>
      </c>
      <c r="N98" s="595" t="s">
        <v>2339</v>
      </c>
      <c r="Q98" s="595" t="s">
        <v>2777</v>
      </c>
    </row>
    <row r="99" spans="1:29">
      <c r="A99" s="595">
        <v>98</v>
      </c>
      <c r="B99" s="600">
        <v>46044</v>
      </c>
      <c r="C99" s="597">
        <v>0.3954050925925926</v>
      </c>
      <c r="D99" s="595" t="s">
        <v>2330</v>
      </c>
      <c r="E99" s="599" t="s">
        <v>1902</v>
      </c>
      <c r="F99" s="595" t="s">
        <v>2720</v>
      </c>
      <c r="G99" s="595" t="s">
        <v>1294</v>
      </c>
      <c r="H99" s="595" t="s">
        <v>2333</v>
      </c>
      <c r="I99" s="595" t="s">
        <v>2778</v>
      </c>
      <c r="K99" s="595" t="s">
        <v>2779</v>
      </c>
    </row>
    <row r="100" spans="1:29">
      <c r="A100" s="595">
        <v>99</v>
      </c>
      <c r="B100" s="600">
        <v>46045</v>
      </c>
      <c r="C100" s="597">
        <v>0.61177083333333337</v>
      </c>
      <c r="D100" s="595" t="s">
        <v>2339</v>
      </c>
      <c r="E100" s="599" t="s">
        <v>1450</v>
      </c>
      <c r="F100" s="595" t="s">
        <v>2780</v>
      </c>
      <c r="G100" s="595" t="s">
        <v>1294</v>
      </c>
      <c r="H100" s="595" t="s">
        <v>2333</v>
      </c>
      <c r="K100" s="594" t="s">
        <v>2781</v>
      </c>
      <c r="L100" s="600">
        <v>46059</v>
      </c>
      <c r="M100" s="597">
        <v>0.4150462962962963</v>
      </c>
      <c r="N100" s="595" t="s">
        <v>2339</v>
      </c>
      <c r="O100" s="595" t="s">
        <v>2782</v>
      </c>
      <c r="P100" s="595" t="s">
        <v>2783</v>
      </c>
      <c r="Q100" s="595" t="s">
        <v>2784</v>
      </c>
    </row>
    <row r="101" spans="1:29">
      <c r="A101" s="595">
        <v>100</v>
      </c>
      <c r="B101" s="600">
        <v>46045</v>
      </c>
      <c r="C101" s="597">
        <v>0.50416666666666665</v>
      </c>
      <c r="D101" s="595" t="s">
        <v>2339</v>
      </c>
      <c r="E101" s="599" t="s">
        <v>665</v>
      </c>
      <c r="F101" s="595" t="s">
        <v>2549</v>
      </c>
      <c r="G101" s="595" t="s">
        <v>2367</v>
      </c>
      <c r="H101" s="595" t="s">
        <v>2333</v>
      </c>
      <c r="I101" s="595" t="s">
        <v>2785</v>
      </c>
      <c r="K101" s="595" t="s">
        <v>2786</v>
      </c>
      <c r="L101" s="600">
        <v>46046</v>
      </c>
      <c r="M101" s="597">
        <v>0.58750000000000002</v>
      </c>
      <c r="N101" s="595" t="s">
        <v>2339</v>
      </c>
      <c r="O101" s="595" t="s">
        <v>2787</v>
      </c>
      <c r="P101" s="595" t="s">
        <v>2788</v>
      </c>
      <c r="Q101" s="595" t="s">
        <v>2789</v>
      </c>
    </row>
    <row r="102" spans="1:29">
      <c r="A102" s="595">
        <v>101</v>
      </c>
      <c r="B102" s="600">
        <v>46045</v>
      </c>
      <c r="C102" s="597">
        <v>0.71388888888888891</v>
      </c>
      <c r="D102" s="595" t="s">
        <v>2339</v>
      </c>
      <c r="E102" s="599" t="s">
        <v>1613</v>
      </c>
      <c r="G102" s="595" t="s">
        <v>1294</v>
      </c>
      <c r="H102" s="595" t="s">
        <v>2621</v>
      </c>
      <c r="I102" s="595" t="s">
        <v>2790</v>
      </c>
      <c r="K102" s="594" t="s">
        <v>2791</v>
      </c>
    </row>
    <row r="103" spans="1:29">
      <c r="A103" s="595">
        <v>102</v>
      </c>
      <c r="B103" s="600">
        <v>46046</v>
      </c>
      <c r="C103" s="597">
        <v>0.43510416666666668</v>
      </c>
      <c r="D103" s="595" t="s">
        <v>2442</v>
      </c>
      <c r="E103" s="599" t="s">
        <v>1322</v>
      </c>
      <c r="F103" s="595" t="s">
        <v>2266</v>
      </c>
      <c r="G103" s="595" t="s">
        <v>67</v>
      </c>
      <c r="H103" s="595" t="s">
        <v>2333</v>
      </c>
      <c r="I103" s="595" t="s">
        <v>2792</v>
      </c>
      <c r="J103" s="595" t="s">
        <v>2793</v>
      </c>
      <c r="K103" s="595" t="s">
        <v>2794</v>
      </c>
      <c r="L103" s="600">
        <v>46046</v>
      </c>
      <c r="M103" s="597">
        <v>0.43055555555555558</v>
      </c>
      <c r="N103" s="595" t="s">
        <v>2442</v>
      </c>
      <c r="R103" s="600">
        <v>46051</v>
      </c>
      <c r="S103" s="597">
        <v>0.65069444444444446</v>
      </c>
      <c r="T103" s="595" t="s">
        <v>2339</v>
      </c>
      <c r="U103" s="595" t="s">
        <v>2795</v>
      </c>
      <c r="W103" s="595" t="s">
        <v>2796</v>
      </c>
    </row>
    <row r="104" spans="1:29">
      <c r="A104" s="595">
        <v>103</v>
      </c>
      <c r="B104" s="600">
        <v>46047</v>
      </c>
      <c r="C104" s="597">
        <v>0.69166666666666665</v>
      </c>
      <c r="D104" s="595" t="s">
        <v>2339</v>
      </c>
      <c r="E104" s="599" t="s">
        <v>665</v>
      </c>
      <c r="G104" s="595" t="s">
        <v>2332</v>
      </c>
      <c r="H104" s="595" t="s">
        <v>2333</v>
      </c>
      <c r="I104" s="595" t="s">
        <v>2797</v>
      </c>
      <c r="K104" s="595" t="s">
        <v>2798</v>
      </c>
      <c r="L104" s="600">
        <v>46048</v>
      </c>
      <c r="N104" s="595" t="s">
        <v>2330</v>
      </c>
      <c r="O104" s="595" t="s">
        <v>2799</v>
      </c>
      <c r="P104" s="595" t="s">
        <v>2800</v>
      </c>
      <c r="Q104" s="595" t="s">
        <v>2801</v>
      </c>
      <c r="R104" s="600">
        <v>46058</v>
      </c>
      <c r="S104" s="597">
        <v>0.55208333333333337</v>
      </c>
      <c r="T104" s="595" t="s">
        <v>2339</v>
      </c>
      <c r="W104" s="595" t="s">
        <v>2802</v>
      </c>
    </row>
    <row r="105" spans="1:29">
      <c r="A105" s="595">
        <v>104</v>
      </c>
      <c r="B105" s="600">
        <v>46048</v>
      </c>
      <c r="C105" s="597">
        <v>0.3384490740740741</v>
      </c>
      <c r="D105" s="595" t="s">
        <v>2339</v>
      </c>
      <c r="E105" s="599" t="s">
        <v>1194</v>
      </c>
      <c r="G105" s="595" t="s">
        <v>2332</v>
      </c>
      <c r="H105" s="595" t="s">
        <v>2333</v>
      </c>
      <c r="I105" s="595" t="s">
        <v>2803</v>
      </c>
      <c r="K105" s="595" t="s">
        <v>2804</v>
      </c>
      <c r="L105" s="600">
        <v>46048</v>
      </c>
      <c r="M105" s="597">
        <v>0.41388888888888886</v>
      </c>
      <c r="N105" s="595" t="s">
        <v>2339</v>
      </c>
      <c r="Q105" s="595" t="s">
        <v>2805</v>
      </c>
      <c r="R105" s="600">
        <v>46055</v>
      </c>
      <c r="S105" s="597">
        <v>0.36944444444444446</v>
      </c>
      <c r="T105" s="595" t="s">
        <v>2339</v>
      </c>
      <c r="W105" s="595" t="s">
        <v>2806</v>
      </c>
    </row>
    <row r="106" spans="1:29">
      <c r="A106" s="595">
        <v>105</v>
      </c>
      <c r="B106" s="600">
        <v>46048</v>
      </c>
      <c r="C106" s="597">
        <v>0.34890046296296295</v>
      </c>
      <c r="D106" s="595" t="s">
        <v>2330</v>
      </c>
      <c r="E106" s="599" t="s">
        <v>926</v>
      </c>
      <c r="G106" s="595" t="s">
        <v>2367</v>
      </c>
      <c r="H106" s="595" t="s">
        <v>2333</v>
      </c>
      <c r="I106" s="595" t="s">
        <v>2807</v>
      </c>
      <c r="K106" s="595" t="s">
        <v>2808</v>
      </c>
    </row>
    <row r="107" spans="1:29">
      <c r="A107" s="595">
        <v>106</v>
      </c>
      <c r="B107" s="600">
        <v>46048</v>
      </c>
      <c r="C107" s="597">
        <v>0.36180555555555555</v>
      </c>
      <c r="D107" s="595" t="s">
        <v>2339</v>
      </c>
      <c r="E107" s="599" t="s">
        <v>1313</v>
      </c>
      <c r="F107" s="595" t="s">
        <v>2266</v>
      </c>
      <c r="G107" s="595" t="s">
        <v>2367</v>
      </c>
      <c r="H107" s="595" t="s">
        <v>2333</v>
      </c>
      <c r="I107" s="595" t="s">
        <v>2809</v>
      </c>
      <c r="J107" s="595" t="s">
        <v>2810</v>
      </c>
      <c r="K107" s="595" t="s">
        <v>2811</v>
      </c>
      <c r="L107" s="600">
        <v>46049</v>
      </c>
      <c r="M107" s="597">
        <v>0.46041666666666664</v>
      </c>
      <c r="N107" s="595" t="s">
        <v>2339</v>
      </c>
      <c r="Q107" s="595" t="s">
        <v>2812</v>
      </c>
    </row>
    <row r="108" spans="1:29">
      <c r="A108" s="595">
        <v>107</v>
      </c>
      <c r="B108" s="600">
        <v>46049</v>
      </c>
      <c r="C108" s="597">
        <v>0.333125</v>
      </c>
      <c r="D108" s="595" t="s">
        <v>2339</v>
      </c>
      <c r="E108" s="599" t="s">
        <v>1346</v>
      </c>
      <c r="F108" s="595" t="s">
        <v>2592</v>
      </c>
      <c r="G108" s="595" t="s">
        <v>2367</v>
      </c>
      <c r="H108" s="595" t="s">
        <v>2333</v>
      </c>
      <c r="I108" s="595" t="s">
        <v>2813</v>
      </c>
      <c r="J108" s="595" t="s">
        <v>2814</v>
      </c>
      <c r="K108" s="595" t="s">
        <v>2815</v>
      </c>
      <c r="L108" s="600">
        <v>46049</v>
      </c>
      <c r="M108" s="597">
        <v>0.4597222222222222</v>
      </c>
      <c r="N108" s="595" t="s">
        <v>2339</v>
      </c>
      <c r="Q108" s="595" t="s">
        <v>2816</v>
      </c>
    </row>
    <row r="109" spans="1:29">
      <c r="A109" s="595">
        <v>108</v>
      </c>
      <c r="B109" s="600">
        <v>46049</v>
      </c>
      <c r="C109" s="597">
        <v>0.33836805555555555</v>
      </c>
      <c r="D109" s="595" t="s">
        <v>2339</v>
      </c>
      <c r="E109" s="599" t="s">
        <v>1208</v>
      </c>
      <c r="F109" s="595" t="s">
        <v>2817</v>
      </c>
      <c r="G109" s="595" t="s">
        <v>2367</v>
      </c>
      <c r="H109" s="595" t="s">
        <v>2333</v>
      </c>
      <c r="I109" s="595" t="s">
        <v>2818</v>
      </c>
      <c r="K109" s="595" t="s">
        <v>2819</v>
      </c>
      <c r="L109" s="600">
        <v>46049</v>
      </c>
      <c r="M109" s="597">
        <v>0.45902777777777776</v>
      </c>
      <c r="N109" s="595" t="s">
        <v>2339</v>
      </c>
      <c r="O109" s="595" t="s">
        <v>2820</v>
      </c>
      <c r="Q109" s="595" t="s">
        <v>2821</v>
      </c>
    </row>
    <row r="110" spans="1:29">
      <c r="A110" s="595">
        <v>109</v>
      </c>
      <c r="B110" s="600">
        <v>46050</v>
      </c>
      <c r="C110" s="597">
        <v>0.75416666666666665</v>
      </c>
      <c r="D110" s="595" t="s">
        <v>2339</v>
      </c>
      <c r="E110" s="599" t="s">
        <v>1870</v>
      </c>
      <c r="F110" s="595" t="s">
        <v>2822</v>
      </c>
      <c r="G110" s="595" t="s">
        <v>2370</v>
      </c>
      <c r="H110" s="595" t="s">
        <v>2333</v>
      </c>
      <c r="I110" s="595" t="s">
        <v>2823</v>
      </c>
      <c r="J110" s="595" t="s">
        <v>2824</v>
      </c>
      <c r="K110" s="595" t="s">
        <v>2825</v>
      </c>
      <c r="L110" s="600">
        <v>46051</v>
      </c>
      <c r="M110" s="597">
        <v>0.57013888888888886</v>
      </c>
      <c r="N110" s="595" t="s">
        <v>2339</v>
      </c>
      <c r="O110" s="595" t="s">
        <v>2826</v>
      </c>
      <c r="Q110" s="595" t="s">
        <v>2827</v>
      </c>
      <c r="R110" s="600">
        <v>46059</v>
      </c>
      <c r="S110" s="597">
        <v>0.67009259259259257</v>
      </c>
      <c r="T110" s="595" t="s">
        <v>2339</v>
      </c>
      <c r="W110" s="595" t="s">
        <v>2828</v>
      </c>
    </row>
    <row r="111" spans="1:29">
      <c r="A111" s="595">
        <v>110</v>
      </c>
      <c r="B111" s="600">
        <v>46051</v>
      </c>
      <c r="C111" s="597">
        <v>0.53467592592592594</v>
      </c>
      <c r="D111" s="595" t="s">
        <v>2339</v>
      </c>
      <c r="E111" s="599" t="s">
        <v>1944</v>
      </c>
      <c r="F111" s="595" t="s">
        <v>2443</v>
      </c>
      <c r="G111" s="595" t="s">
        <v>2367</v>
      </c>
      <c r="H111" s="595" t="s">
        <v>2333</v>
      </c>
      <c r="I111" s="595" t="s">
        <v>2829</v>
      </c>
      <c r="K111" s="595" t="s">
        <v>2830</v>
      </c>
      <c r="L111" s="600">
        <v>46051</v>
      </c>
      <c r="M111" s="597">
        <v>0.65277777777777779</v>
      </c>
      <c r="N111" s="595" t="s">
        <v>2339</v>
      </c>
      <c r="O111" s="595" t="s">
        <v>2831</v>
      </c>
      <c r="Q111" s="595" t="s">
        <v>2832</v>
      </c>
    </row>
    <row r="112" spans="1:29">
      <c r="A112" s="595">
        <v>111</v>
      </c>
      <c r="B112" s="600">
        <v>46051</v>
      </c>
      <c r="C112" s="597">
        <v>0.57160879629629635</v>
      </c>
      <c r="D112" s="595" t="s">
        <v>2330</v>
      </c>
      <c r="E112" s="599" t="s">
        <v>926</v>
      </c>
      <c r="G112" s="595" t="s">
        <v>2332</v>
      </c>
      <c r="H112" s="595" t="s">
        <v>2333</v>
      </c>
      <c r="I112" s="595" t="s">
        <v>2833</v>
      </c>
      <c r="K112" s="595" t="s">
        <v>2834</v>
      </c>
      <c r="L112" s="600">
        <v>46059</v>
      </c>
      <c r="N112" s="595" t="s">
        <v>2330</v>
      </c>
      <c r="O112" s="595" t="s">
        <v>2835</v>
      </c>
      <c r="Q112" s="595" t="s">
        <v>2836</v>
      </c>
    </row>
    <row r="113" spans="1:42">
      <c r="A113" s="595">
        <v>112</v>
      </c>
      <c r="B113" s="600">
        <v>46054</v>
      </c>
      <c r="C113" s="597">
        <v>0.30592592592592593</v>
      </c>
      <c r="D113" s="595" t="s">
        <v>2339</v>
      </c>
      <c r="E113" s="599" t="s">
        <v>987</v>
      </c>
      <c r="G113" s="595" t="s">
        <v>2332</v>
      </c>
      <c r="H113" s="595" t="s">
        <v>2333</v>
      </c>
      <c r="I113" s="595" t="s">
        <v>2837</v>
      </c>
      <c r="K113" s="595" t="s">
        <v>2838</v>
      </c>
      <c r="L113" s="600">
        <v>46054</v>
      </c>
      <c r="M113" s="597">
        <v>0.50972222222222219</v>
      </c>
      <c r="N113" s="595" t="s">
        <v>2339</v>
      </c>
      <c r="O113" s="595" t="s">
        <v>2839</v>
      </c>
      <c r="Q113" s="595" t="s">
        <v>2840</v>
      </c>
      <c r="R113" s="600">
        <v>46055</v>
      </c>
      <c r="T113" s="595" t="s">
        <v>2330</v>
      </c>
      <c r="U113" s="595" t="s">
        <v>2841</v>
      </c>
      <c r="W113" s="595" t="s">
        <v>2842</v>
      </c>
    </row>
    <row r="114" spans="1:42">
      <c r="A114" s="595">
        <v>113</v>
      </c>
      <c r="B114" s="600">
        <v>46056</v>
      </c>
      <c r="C114" s="597">
        <v>0.53749999999999998</v>
      </c>
      <c r="D114" s="595" t="s">
        <v>2339</v>
      </c>
      <c r="E114" s="599" t="s">
        <v>236</v>
      </c>
      <c r="G114" s="595" t="s">
        <v>2370</v>
      </c>
      <c r="H114" s="595" t="s">
        <v>2333</v>
      </c>
      <c r="I114" s="595" t="s">
        <v>2843</v>
      </c>
      <c r="J114" s="595" t="s">
        <v>2844</v>
      </c>
      <c r="K114" s="595" t="s">
        <v>2845</v>
      </c>
      <c r="L114" s="600">
        <v>46058</v>
      </c>
      <c r="M114" s="597">
        <v>0.45069444444444445</v>
      </c>
      <c r="N114" s="595" t="s">
        <v>2339</v>
      </c>
      <c r="O114" s="595" t="s">
        <v>2846</v>
      </c>
      <c r="Q114" s="595" t="s">
        <v>2847</v>
      </c>
    </row>
    <row r="115" spans="1:42">
      <c r="A115" s="595">
        <v>114</v>
      </c>
      <c r="B115" s="600">
        <v>46057</v>
      </c>
      <c r="C115" s="597">
        <v>0.85347222222222219</v>
      </c>
      <c r="D115" s="595" t="s">
        <v>2339</v>
      </c>
      <c r="E115" s="599" t="s">
        <v>74</v>
      </c>
      <c r="G115" s="595" t="s">
        <v>2370</v>
      </c>
      <c r="H115" s="595" t="s">
        <v>2333</v>
      </c>
      <c r="I115" s="595" t="s">
        <v>2848</v>
      </c>
      <c r="K115" s="595" t="s">
        <v>2849</v>
      </c>
      <c r="L115" s="600">
        <v>46058</v>
      </c>
      <c r="M115" s="597">
        <v>0.3840277777777778</v>
      </c>
      <c r="N115" s="595" t="s">
        <v>2339</v>
      </c>
      <c r="O115" s="595" t="s">
        <v>2850</v>
      </c>
      <c r="Q115" s="595" t="s">
        <v>2851</v>
      </c>
    </row>
    <row r="116" spans="1:42">
      <c r="A116" s="595">
        <v>115</v>
      </c>
      <c r="B116" s="600">
        <v>46058</v>
      </c>
      <c r="C116" s="597">
        <v>0.3838078703703704</v>
      </c>
      <c r="D116" s="595" t="s">
        <v>2330</v>
      </c>
      <c r="E116" s="599" t="s">
        <v>1089</v>
      </c>
      <c r="F116" s="595" t="s">
        <v>2529</v>
      </c>
      <c r="G116" s="595" t="s">
        <v>2332</v>
      </c>
      <c r="H116" s="595" t="s">
        <v>2333</v>
      </c>
      <c r="I116" s="595" t="s">
        <v>2852</v>
      </c>
      <c r="K116" s="595" t="s">
        <v>2853</v>
      </c>
      <c r="L116" s="600">
        <v>46058</v>
      </c>
      <c r="M116" s="597">
        <v>0.625</v>
      </c>
      <c r="N116" s="595" t="s">
        <v>2339</v>
      </c>
      <c r="Q116" s="595" t="s">
        <v>2854</v>
      </c>
    </row>
    <row r="117" spans="1:42">
      <c r="A117" s="595">
        <v>116</v>
      </c>
      <c r="B117" s="600">
        <v>46058</v>
      </c>
      <c r="C117" s="597">
        <v>0.50953703703703701</v>
      </c>
      <c r="D117" s="595" t="s">
        <v>2339</v>
      </c>
      <c r="E117" s="599" t="s">
        <v>697</v>
      </c>
      <c r="G117" s="595" t="s">
        <v>2370</v>
      </c>
      <c r="H117" s="595" t="s">
        <v>2333</v>
      </c>
      <c r="K117" s="595" t="s">
        <v>2855</v>
      </c>
      <c r="L117" s="600">
        <v>46118</v>
      </c>
      <c r="M117" s="597">
        <v>0.66561342592592587</v>
      </c>
      <c r="N117" s="595" t="s">
        <v>2339</v>
      </c>
      <c r="Q117" s="595" t="s">
        <v>2856</v>
      </c>
    </row>
    <row r="118" spans="1:42">
      <c r="A118" s="595">
        <v>117</v>
      </c>
      <c r="B118" s="600">
        <v>46058</v>
      </c>
      <c r="C118" s="597">
        <v>0.57033564814814819</v>
      </c>
      <c r="D118" s="595" t="s">
        <v>2330</v>
      </c>
      <c r="E118" s="599" t="s">
        <v>1709</v>
      </c>
      <c r="F118" s="595" t="s">
        <v>2688</v>
      </c>
      <c r="G118" s="595" t="s">
        <v>2332</v>
      </c>
      <c r="H118" s="595" t="s">
        <v>2333</v>
      </c>
      <c r="I118" s="595" t="s">
        <v>2857</v>
      </c>
      <c r="J118" s="595" t="s">
        <v>2858</v>
      </c>
      <c r="K118" s="595" t="s">
        <v>2859</v>
      </c>
      <c r="L118" s="600">
        <v>46058</v>
      </c>
      <c r="M118" s="597">
        <v>0.62430555555555556</v>
      </c>
      <c r="N118" s="595" t="s">
        <v>2339</v>
      </c>
      <c r="Q118" s="595" t="s">
        <v>2860</v>
      </c>
    </row>
    <row r="119" spans="1:42">
      <c r="A119" s="595">
        <v>118</v>
      </c>
      <c r="B119" s="600">
        <v>46059</v>
      </c>
      <c r="C119" s="597">
        <v>0.44918981481481479</v>
      </c>
      <c r="D119" s="595" t="s">
        <v>2339</v>
      </c>
      <c r="F119" s="595" t="s">
        <v>2592</v>
      </c>
      <c r="G119" s="595" t="s">
        <v>2367</v>
      </c>
      <c r="H119" s="595" t="s">
        <v>2333</v>
      </c>
      <c r="K119" s="595" t="s">
        <v>2861</v>
      </c>
      <c r="L119" s="600">
        <v>46060</v>
      </c>
      <c r="M119" s="597">
        <v>0.46666666666666667</v>
      </c>
      <c r="N119" s="595" t="s">
        <v>2339</v>
      </c>
      <c r="Q119" s="595" t="s">
        <v>2862</v>
      </c>
      <c r="R119" s="600">
        <v>46062</v>
      </c>
      <c r="S119" s="597">
        <v>0.44166666666666665</v>
      </c>
      <c r="W119" s="595" t="s">
        <v>2863</v>
      </c>
    </row>
    <row r="120" spans="1:42">
      <c r="A120" s="595">
        <v>119</v>
      </c>
      <c r="B120" s="600">
        <v>46061</v>
      </c>
      <c r="C120" s="597">
        <v>0.63185185185185189</v>
      </c>
      <c r="D120" s="595" t="s">
        <v>2339</v>
      </c>
      <c r="E120" s="599" t="s">
        <v>997</v>
      </c>
      <c r="F120" s="595" t="s">
        <v>2506</v>
      </c>
      <c r="G120" s="595" t="s">
        <v>2367</v>
      </c>
      <c r="H120" s="595" t="s">
        <v>2333</v>
      </c>
      <c r="I120" s="595" t="s">
        <v>2864</v>
      </c>
      <c r="K120" s="595" t="s">
        <v>2865</v>
      </c>
      <c r="L120" s="600">
        <v>46062</v>
      </c>
      <c r="M120" s="597">
        <v>0.66041666666666665</v>
      </c>
      <c r="N120" s="595" t="s">
        <v>2339</v>
      </c>
      <c r="O120" s="595" t="s">
        <v>2866</v>
      </c>
      <c r="P120" s="595" t="s">
        <v>2867</v>
      </c>
      <c r="Q120" s="595" t="s">
        <v>2868</v>
      </c>
      <c r="R120" s="600">
        <v>46065</v>
      </c>
      <c r="S120" s="597">
        <v>0.66770833333333335</v>
      </c>
      <c r="T120" s="595" t="s">
        <v>2339</v>
      </c>
      <c r="U120" s="595" t="s">
        <v>2869</v>
      </c>
      <c r="V120" s="595" t="s">
        <v>2870</v>
      </c>
      <c r="W120" s="595" t="s">
        <v>2871</v>
      </c>
      <c r="X120" s="600">
        <v>46070</v>
      </c>
      <c r="Y120" s="597">
        <v>0.77152777777777781</v>
      </c>
      <c r="Z120" s="595" t="s">
        <v>2339</v>
      </c>
      <c r="AC120" s="595" t="s">
        <v>2872</v>
      </c>
      <c r="AD120" s="600">
        <v>46077</v>
      </c>
      <c r="AE120" s="597">
        <v>0.56805555555555554</v>
      </c>
      <c r="AF120" s="595" t="s">
        <v>2330</v>
      </c>
      <c r="AG120" s="595"/>
      <c r="AH120" s="595"/>
      <c r="AI120" s="595" t="s">
        <v>2873</v>
      </c>
      <c r="AJ120" s="595"/>
      <c r="AK120" s="595"/>
      <c r="AL120" s="595"/>
      <c r="AM120" s="595"/>
      <c r="AN120" s="595"/>
      <c r="AO120" s="595"/>
      <c r="AP120" s="595" t="s">
        <v>2874</v>
      </c>
    </row>
    <row r="121" spans="1:42">
      <c r="A121" s="595">
        <v>120</v>
      </c>
      <c r="B121" s="600">
        <v>46063</v>
      </c>
      <c r="C121" s="597">
        <v>0.94861111111111107</v>
      </c>
      <c r="D121" s="595" t="s">
        <v>2339</v>
      </c>
      <c r="E121" s="599" t="s">
        <v>2065</v>
      </c>
      <c r="G121" s="595" t="s">
        <v>2332</v>
      </c>
      <c r="H121" s="595" t="s">
        <v>2337</v>
      </c>
      <c r="I121" s="595" t="s">
        <v>2875</v>
      </c>
      <c r="J121" s="595" t="s">
        <v>2876</v>
      </c>
      <c r="K121" s="595" t="s">
        <v>2877</v>
      </c>
      <c r="L121" s="600">
        <v>46065</v>
      </c>
      <c r="N121" s="595" t="s">
        <v>2330</v>
      </c>
      <c r="Q121" s="595" t="s">
        <v>2878</v>
      </c>
      <c r="R121" s="600">
        <v>46073</v>
      </c>
      <c r="T121" s="595" t="s">
        <v>2330</v>
      </c>
      <c r="W121" s="595" t="s">
        <v>2879</v>
      </c>
    </row>
    <row r="122" spans="1:42">
      <c r="A122" s="595">
        <v>121</v>
      </c>
      <c r="B122" s="600">
        <v>46063</v>
      </c>
      <c r="C122" s="597">
        <v>0.43932870370370369</v>
      </c>
      <c r="D122" s="595" t="s">
        <v>2339</v>
      </c>
      <c r="E122" s="599" t="s">
        <v>644</v>
      </c>
      <c r="F122" s="595" t="s">
        <v>2471</v>
      </c>
      <c r="G122" s="595" t="s">
        <v>2367</v>
      </c>
      <c r="H122" s="595" t="s">
        <v>2333</v>
      </c>
      <c r="K122" s="595" t="s">
        <v>2880</v>
      </c>
      <c r="L122" s="600">
        <v>46065</v>
      </c>
      <c r="M122" s="597">
        <v>0.43958333333333333</v>
      </c>
      <c r="N122" s="595" t="s">
        <v>2339</v>
      </c>
      <c r="O122" s="595" t="s">
        <v>2881</v>
      </c>
      <c r="P122" s="595" t="s">
        <v>2882</v>
      </c>
      <c r="Q122" s="595" t="s">
        <v>2883</v>
      </c>
      <c r="R122" s="600">
        <v>46065</v>
      </c>
      <c r="S122" s="597">
        <v>0.44027777777777777</v>
      </c>
      <c r="T122" s="595" t="s">
        <v>2339</v>
      </c>
      <c r="U122" s="595" t="s">
        <v>2884</v>
      </c>
      <c r="V122" s="595" t="s">
        <v>2885</v>
      </c>
      <c r="W122" s="595" t="s">
        <v>2886</v>
      </c>
    </row>
    <row r="123" spans="1:42">
      <c r="A123" s="595">
        <v>122</v>
      </c>
      <c r="B123" s="600">
        <v>46066</v>
      </c>
      <c r="C123" s="597">
        <v>0.61006944444444444</v>
      </c>
      <c r="D123" s="595" t="s">
        <v>2339</v>
      </c>
      <c r="E123" s="599" t="s">
        <v>2188</v>
      </c>
      <c r="F123" s="595" t="s">
        <v>2461</v>
      </c>
      <c r="G123" s="595" t="s">
        <v>2367</v>
      </c>
      <c r="H123" s="595" t="s">
        <v>2333</v>
      </c>
      <c r="K123" s="595" t="s">
        <v>2887</v>
      </c>
      <c r="L123" s="600">
        <v>46066</v>
      </c>
      <c r="M123" s="597">
        <v>0.61041666666666672</v>
      </c>
      <c r="N123" s="595" t="s">
        <v>2339</v>
      </c>
      <c r="O123" s="595" t="s">
        <v>2888</v>
      </c>
      <c r="Q123" s="595" t="s">
        <v>2889</v>
      </c>
    </row>
    <row r="124" spans="1:42">
      <c r="A124" s="595">
        <v>123</v>
      </c>
      <c r="B124" s="600">
        <v>46066</v>
      </c>
      <c r="C124" s="597">
        <v>0.60624999999999996</v>
      </c>
      <c r="D124" s="595" t="s">
        <v>2339</v>
      </c>
      <c r="E124" s="599" t="s">
        <v>2188</v>
      </c>
      <c r="F124" s="595" t="s">
        <v>2461</v>
      </c>
      <c r="G124" s="595" t="s">
        <v>2367</v>
      </c>
      <c r="H124" s="595" t="s">
        <v>2333</v>
      </c>
      <c r="I124" s="595" t="s">
        <v>2890</v>
      </c>
      <c r="J124" s="595" t="s">
        <v>2891</v>
      </c>
      <c r="K124" s="595" t="s">
        <v>2892</v>
      </c>
      <c r="L124" s="600">
        <v>46066</v>
      </c>
      <c r="M124" s="597">
        <v>0.6069444444444444</v>
      </c>
      <c r="N124" s="595" t="s">
        <v>2339</v>
      </c>
      <c r="O124" s="595" t="s">
        <v>2893</v>
      </c>
      <c r="P124" s="595" t="s">
        <v>2894</v>
      </c>
      <c r="Q124" s="595" t="s">
        <v>2895</v>
      </c>
    </row>
    <row r="125" spans="1:42">
      <c r="A125" s="595">
        <v>124</v>
      </c>
      <c r="B125" s="600">
        <v>46069</v>
      </c>
      <c r="C125" s="597">
        <v>0.32734953703703706</v>
      </c>
      <c r="D125" s="595" t="s">
        <v>2339</v>
      </c>
      <c r="E125" s="599" t="s">
        <v>665</v>
      </c>
      <c r="F125" s="595" t="s">
        <v>2549</v>
      </c>
      <c r="G125" s="595" t="s">
        <v>1294</v>
      </c>
      <c r="H125" s="595" t="s">
        <v>2333</v>
      </c>
      <c r="I125" s="595" t="s">
        <v>2896</v>
      </c>
      <c r="J125" s="595" t="s">
        <v>2897</v>
      </c>
      <c r="K125" s="595" t="s">
        <v>2898</v>
      </c>
      <c r="L125" s="600">
        <v>46080</v>
      </c>
      <c r="M125" s="597">
        <v>0.53541666666666665</v>
      </c>
      <c r="N125" s="595" t="s">
        <v>2339</v>
      </c>
      <c r="O125" s="595" t="s">
        <v>2899</v>
      </c>
      <c r="Q125" s="595" t="s">
        <v>2900</v>
      </c>
      <c r="R125" s="600">
        <v>46087</v>
      </c>
      <c r="T125" s="595" t="s">
        <v>2330</v>
      </c>
      <c r="U125" s="595" t="s">
        <v>2901</v>
      </c>
      <c r="W125" s="595" t="s">
        <v>2902</v>
      </c>
    </row>
    <row r="126" spans="1:42">
      <c r="A126" s="595">
        <v>125</v>
      </c>
      <c r="B126" s="600">
        <v>46069</v>
      </c>
      <c r="C126" s="597">
        <v>0.34008101851851852</v>
      </c>
      <c r="D126" s="595" t="s">
        <v>2330</v>
      </c>
      <c r="E126" s="599" t="s">
        <v>1597</v>
      </c>
      <c r="G126" s="595" t="s">
        <v>2367</v>
      </c>
      <c r="H126" s="595" t="s">
        <v>2333</v>
      </c>
      <c r="I126" s="595" t="s">
        <v>2903</v>
      </c>
      <c r="K126" s="595" t="s">
        <v>2904</v>
      </c>
      <c r="L126" s="600">
        <v>46069</v>
      </c>
      <c r="N126" s="595" t="s">
        <v>2330</v>
      </c>
      <c r="O126" s="595" t="s">
        <v>2905</v>
      </c>
      <c r="Q126" s="595" t="s">
        <v>2906</v>
      </c>
    </row>
    <row r="127" spans="1:42">
      <c r="A127" s="595">
        <v>126</v>
      </c>
      <c r="B127" s="600">
        <v>46069</v>
      </c>
      <c r="C127" s="597">
        <v>0.3923611111111111</v>
      </c>
      <c r="D127" s="595" t="s">
        <v>2339</v>
      </c>
      <c r="E127" s="599" t="s">
        <v>331</v>
      </c>
      <c r="F127" s="595" t="s">
        <v>2596</v>
      </c>
      <c r="G127" s="595" t="s">
        <v>2367</v>
      </c>
      <c r="H127" s="595" t="s">
        <v>2333</v>
      </c>
      <c r="I127" s="595" t="s">
        <v>2907</v>
      </c>
      <c r="J127" s="595" t="s">
        <v>2908</v>
      </c>
      <c r="K127" s="595" t="s">
        <v>2909</v>
      </c>
      <c r="L127" s="600">
        <v>46069</v>
      </c>
      <c r="M127" s="597">
        <v>0.65972222222222221</v>
      </c>
      <c r="N127" s="595" t="s">
        <v>2339</v>
      </c>
      <c r="Q127" s="595" t="s">
        <v>2910</v>
      </c>
    </row>
    <row r="128" spans="1:42">
      <c r="A128" s="595">
        <v>127</v>
      </c>
      <c r="B128" s="600">
        <v>46073</v>
      </c>
      <c r="C128" s="597">
        <v>0.67923611111111115</v>
      </c>
      <c r="D128" s="595" t="s">
        <v>2339</v>
      </c>
      <c r="E128" s="599" t="s">
        <v>683</v>
      </c>
      <c r="F128" s="595" t="s">
        <v>2911</v>
      </c>
      <c r="G128" s="595" t="s">
        <v>2563</v>
      </c>
      <c r="H128" s="595" t="s">
        <v>2621</v>
      </c>
      <c r="I128" s="595" t="s">
        <v>2912</v>
      </c>
      <c r="J128" s="595" t="s">
        <v>2913</v>
      </c>
      <c r="K128" s="595" t="s">
        <v>2914</v>
      </c>
    </row>
    <row r="129" spans="1:23">
      <c r="A129" s="595">
        <v>128</v>
      </c>
      <c r="B129" s="600">
        <v>46073</v>
      </c>
      <c r="C129" s="597">
        <v>0.51875000000000004</v>
      </c>
      <c r="D129" s="595" t="s">
        <v>2339</v>
      </c>
      <c r="F129" s="595" t="s">
        <v>2461</v>
      </c>
      <c r="G129" s="595" t="s">
        <v>2367</v>
      </c>
      <c r="H129" s="595" t="s">
        <v>2333</v>
      </c>
      <c r="I129" s="595" t="s">
        <v>2915</v>
      </c>
      <c r="J129" s="595" t="s">
        <v>2916</v>
      </c>
      <c r="K129" s="595" t="s">
        <v>2917</v>
      </c>
      <c r="L129" s="600">
        <v>46073</v>
      </c>
      <c r="M129" s="597">
        <v>0.56458333333333333</v>
      </c>
      <c r="N129" s="595" t="s">
        <v>2339</v>
      </c>
      <c r="O129" s="595" t="s">
        <v>2918</v>
      </c>
      <c r="Q129" s="595" t="s">
        <v>2919</v>
      </c>
    </row>
    <row r="130" spans="1:23">
      <c r="A130" s="595">
        <v>129</v>
      </c>
      <c r="B130" s="600">
        <v>46073</v>
      </c>
      <c r="C130" s="597">
        <v>0.93561342592592589</v>
      </c>
      <c r="D130" s="595" t="s">
        <v>2339</v>
      </c>
      <c r="E130" s="599" t="s">
        <v>1830</v>
      </c>
      <c r="G130" s="595" t="s">
        <v>67</v>
      </c>
      <c r="H130" s="595" t="s">
        <v>2333</v>
      </c>
      <c r="I130" s="595" t="s">
        <v>2920</v>
      </c>
      <c r="K130" s="595" t="s">
        <v>2921</v>
      </c>
      <c r="L130" s="600">
        <v>46080</v>
      </c>
      <c r="M130" s="597">
        <v>0.4284722222222222</v>
      </c>
      <c r="N130" s="595" t="s">
        <v>2339</v>
      </c>
      <c r="O130" s="595" t="s">
        <v>2922</v>
      </c>
      <c r="Q130" s="595" t="s">
        <v>2923</v>
      </c>
    </row>
    <row r="131" spans="1:23">
      <c r="A131" s="595">
        <v>130</v>
      </c>
      <c r="B131" s="600">
        <v>46073</v>
      </c>
      <c r="C131" s="597">
        <v>0.66874999999999996</v>
      </c>
      <c r="D131" s="595" t="s">
        <v>2339</v>
      </c>
      <c r="E131" s="599" t="s">
        <v>486</v>
      </c>
      <c r="G131" s="595" t="s">
        <v>2332</v>
      </c>
      <c r="H131" s="595" t="s">
        <v>2337</v>
      </c>
      <c r="K131" s="595" t="s">
        <v>2924</v>
      </c>
      <c r="L131" s="600">
        <v>46078</v>
      </c>
      <c r="N131" s="595" t="s">
        <v>2330</v>
      </c>
      <c r="Q131" s="595" t="s">
        <v>2925</v>
      </c>
    </row>
    <row r="132" spans="1:23">
      <c r="A132" s="595">
        <v>131</v>
      </c>
      <c r="B132" s="600">
        <v>46074</v>
      </c>
      <c r="C132" s="597">
        <v>0.52692129629629625</v>
      </c>
      <c r="D132" s="595" t="s">
        <v>2339</v>
      </c>
      <c r="E132" s="599" t="s">
        <v>1070</v>
      </c>
      <c r="F132" s="595" t="s">
        <v>2694</v>
      </c>
      <c r="G132" s="595" t="s">
        <v>2367</v>
      </c>
      <c r="H132" s="595" t="s">
        <v>2333</v>
      </c>
      <c r="I132" s="595" t="s">
        <v>2926</v>
      </c>
      <c r="J132" s="595" t="s">
        <v>2927</v>
      </c>
      <c r="K132" s="595" t="s">
        <v>2928</v>
      </c>
      <c r="L132" s="600">
        <v>46077</v>
      </c>
      <c r="M132" s="597">
        <v>0.41458333333333336</v>
      </c>
      <c r="N132" s="595" t="s">
        <v>2339</v>
      </c>
      <c r="P132" s="595" t="s">
        <v>2929</v>
      </c>
      <c r="R132" s="600">
        <v>46077</v>
      </c>
      <c r="S132" s="597">
        <v>0.65</v>
      </c>
      <c r="T132" s="595" t="s">
        <v>2339</v>
      </c>
      <c r="U132" s="595" t="s">
        <v>2930</v>
      </c>
      <c r="W132" s="595" t="s">
        <v>2931</v>
      </c>
    </row>
    <row r="133" spans="1:23">
      <c r="A133" s="595">
        <v>132</v>
      </c>
      <c r="B133" s="600">
        <v>46075</v>
      </c>
      <c r="C133" s="597">
        <v>0.64896990740740745</v>
      </c>
      <c r="D133" s="595" t="s">
        <v>2339</v>
      </c>
      <c r="E133" s="599" t="s">
        <v>1974</v>
      </c>
      <c r="F133" s="595" t="s">
        <v>2529</v>
      </c>
      <c r="G133" s="595" t="s">
        <v>2367</v>
      </c>
      <c r="H133" s="595" t="s">
        <v>2333</v>
      </c>
      <c r="I133" s="595" t="s">
        <v>2932</v>
      </c>
      <c r="K133" s="595" t="s">
        <v>2933</v>
      </c>
      <c r="L133" s="600">
        <v>46077</v>
      </c>
      <c r="O133" s="595" t="s">
        <v>2934</v>
      </c>
      <c r="P133" s="595" t="s">
        <v>2935</v>
      </c>
      <c r="Q133" s="595" t="s">
        <v>2936</v>
      </c>
      <c r="R133" s="600">
        <v>46077</v>
      </c>
      <c r="S133" s="597">
        <v>0.68680555555555556</v>
      </c>
      <c r="T133" s="595" t="s">
        <v>2339</v>
      </c>
      <c r="W133" s="595" t="s">
        <v>2937</v>
      </c>
    </row>
    <row r="134" spans="1:23">
      <c r="A134" s="595">
        <v>133</v>
      </c>
      <c r="B134" s="600">
        <v>46075</v>
      </c>
      <c r="C134" s="597">
        <v>0.65061342592592597</v>
      </c>
      <c r="D134" s="595" t="s">
        <v>2339</v>
      </c>
      <c r="E134" s="599" t="s">
        <v>1515</v>
      </c>
      <c r="G134" s="595" t="s">
        <v>1294</v>
      </c>
      <c r="H134" s="595" t="s">
        <v>2333</v>
      </c>
      <c r="I134" s="595" t="s">
        <v>2938</v>
      </c>
      <c r="K134" s="595" t="s">
        <v>2939</v>
      </c>
      <c r="L134" s="600">
        <v>46101</v>
      </c>
      <c r="M134" s="597">
        <v>0.65694444444444444</v>
      </c>
      <c r="N134" s="595" t="s">
        <v>2339</v>
      </c>
      <c r="O134" s="595" t="s">
        <v>2940</v>
      </c>
      <c r="Q134" s="595" t="s">
        <v>2941</v>
      </c>
    </row>
    <row r="135" spans="1:23">
      <c r="A135" s="595">
        <v>134</v>
      </c>
      <c r="B135" s="600">
        <v>46077</v>
      </c>
      <c r="C135" s="597">
        <v>0.52708333333333335</v>
      </c>
      <c r="D135" s="595" t="s">
        <v>2339</v>
      </c>
      <c r="E135" s="599" t="s">
        <v>1944</v>
      </c>
      <c r="F135" s="595" t="s">
        <v>2443</v>
      </c>
      <c r="H135" s="595" t="s">
        <v>2333</v>
      </c>
      <c r="K135" s="595" t="s">
        <v>2942</v>
      </c>
      <c r="L135" s="600">
        <v>46077</v>
      </c>
      <c r="M135" s="597">
        <v>0.66666666666666663</v>
      </c>
      <c r="N135" s="595" t="s">
        <v>2339</v>
      </c>
      <c r="Q135" s="595" t="s">
        <v>2943</v>
      </c>
      <c r="R135" s="600">
        <v>46080</v>
      </c>
      <c r="S135" s="597">
        <v>0.53693287037037041</v>
      </c>
      <c r="T135" s="595" t="s">
        <v>2339</v>
      </c>
      <c r="W135" s="595" t="s">
        <v>2944</v>
      </c>
    </row>
    <row r="136" spans="1:23">
      <c r="A136" s="595">
        <v>135</v>
      </c>
      <c r="B136" s="600">
        <v>46077</v>
      </c>
      <c r="C136" s="597">
        <v>0.66805555555555551</v>
      </c>
      <c r="D136" s="595" t="s">
        <v>2339</v>
      </c>
      <c r="E136" s="599" t="s">
        <v>1155</v>
      </c>
      <c r="G136" s="595" t="s">
        <v>1294</v>
      </c>
      <c r="H136" s="595" t="s">
        <v>2333</v>
      </c>
      <c r="I136" s="595" t="s">
        <v>2945</v>
      </c>
      <c r="J136" s="595" t="s">
        <v>2946</v>
      </c>
      <c r="K136" s="595" t="s">
        <v>2947</v>
      </c>
      <c r="L136" s="600">
        <v>46092</v>
      </c>
      <c r="M136" s="597">
        <v>0.34820601851851851</v>
      </c>
      <c r="N136" s="595" t="s">
        <v>2339</v>
      </c>
      <c r="Q136" s="595" t="s">
        <v>2948</v>
      </c>
    </row>
    <row r="137" spans="1:23">
      <c r="A137" s="595">
        <v>136</v>
      </c>
      <c r="B137" s="600">
        <v>46078</v>
      </c>
      <c r="C137" s="597">
        <v>0.3652199074074074</v>
      </c>
      <c r="D137" s="595" t="s">
        <v>2330</v>
      </c>
      <c r="E137" s="599" t="s">
        <v>1194</v>
      </c>
      <c r="G137" s="595" t="s">
        <v>1294</v>
      </c>
      <c r="H137" s="595" t="s">
        <v>2337</v>
      </c>
      <c r="K137" s="595" t="s">
        <v>2949</v>
      </c>
      <c r="L137" s="600">
        <v>46092</v>
      </c>
      <c r="N137" s="595" t="s">
        <v>2330</v>
      </c>
      <c r="O137" s="595" t="s">
        <v>2950</v>
      </c>
      <c r="Q137" s="595" t="s">
        <v>2951</v>
      </c>
    </row>
    <row r="138" spans="1:23">
      <c r="A138" s="595">
        <v>137</v>
      </c>
      <c r="B138" s="600">
        <v>46078</v>
      </c>
      <c r="C138" s="597">
        <v>0.40457175925925926</v>
      </c>
      <c r="D138" s="595" t="s">
        <v>2339</v>
      </c>
      <c r="F138" s="595" t="s">
        <v>2952</v>
      </c>
      <c r="G138" s="595" t="s">
        <v>2563</v>
      </c>
      <c r="H138" s="595" t="s">
        <v>2333</v>
      </c>
      <c r="K138" s="595" t="s">
        <v>2953</v>
      </c>
    </row>
    <row r="139" spans="1:23">
      <c r="A139" s="595">
        <v>138</v>
      </c>
      <c r="B139" s="600">
        <v>46079</v>
      </c>
      <c r="C139" s="597">
        <v>0.42986111111111114</v>
      </c>
      <c r="D139" s="595" t="s">
        <v>2330</v>
      </c>
      <c r="E139" s="599" t="s">
        <v>743</v>
      </c>
      <c r="G139" s="595" t="s">
        <v>2332</v>
      </c>
      <c r="H139" s="595" t="s">
        <v>2333</v>
      </c>
      <c r="I139" s="595" t="s">
        <v>2954</v>
      </c>
      <c r="J139" s="595" t="s">
        <v>2955</v>
      </c>
      <c r="K139" s="595" t="s">
        <v>2956</v>
      </c>
      <c r="L139" s="600">
        <v>46080</v>
      </c>
      <c r="M139" s="597">
        <v>0.53541666666666665</v>
      </c>
      <c r="N139" s="595" t="s">
        <v>2339</v>
      </c>
      <c r="O139" s="595" t="s">
        <v>2957</v>
      </c>
      <c r="P139" s="595" t="s">
        <v>2958</v>
      </c>
      <c r="Q139" s="595" t="s">
        <v>2959</v>
      </c>
    </row>
    <row r="140" spans="1:23">
      <c r="A140" s="595">
        <v>139</v>
      </c>
      <c r="B140" s="600">
        <v>46079</v>
      </c>
      <c r="C140" s="597">
        <v>0.43800925925925926</v>
      </c>
      <c r="D140" s="595" t="s">
        <v>2330</v>
      </c>
      <c r="E140" s="599" t="s">
        <v>159</v>
      </c>
      <c r="G140" s="595" t="s">
        <v>1294</v>
      </c>
      <c r="H140" s="595" t="s">
        <v>2621</v>
      </c>
      <c r="K140" s="595" t="s">
        <v>2960</v>
      </c>
    </row>
    <row r="141" spans="1:23">
      <c r="A141" s="595">
        <v>140</v>
      </c>
      <c r="B141" s="600">
        <v>46079</v>
      </c>
      <c r="C141" s="597">
        <v>0.4375</v>
      </c>
      <c r="D141" s="595" t="s">
        <v>2442</v>
      </c>
      <c r="E141" s="599" t="s">
        <v>1377</v>
      </c>
      <c r="G141" s="595" t="s">
        <v>67</v>
      </c>
      <c r="H141" s="595" t="s">
        <v>2337</v>
      </c>
      <c r="L141" s="600">
        <v>46079</v>
      </c>
      <c r="M141" s="597">
        <v>0.4375</v>
      </c>
      <c r="N141" s="595" t="s">
        <v>2442</v>
      </c>
      <c r="Q141" s="595" t="s">
        <v>2961</v>
      </c>
    </row>
    <row r="142" spans="1:23">
      <c r="A142" s="595">
        <v>141</v>
      </c>
      <c r="B142" s="600">
        <v>46079</v>
      </c>
      <c r="C142" s="597">
        <v>0.77454861111111106</v>
      </c>
      <c r="D142" s="595" t="s">
        <v>2339</v>
      </c>
      <c r="E142" s="599" t="s">
        <v>2164</v>
      </c>
      <c r="F142" s="595" t="s">
        <v>2461</v>
      </c>
      <c r="G142" s="595" t="s">
        <v>2332</v>
      </c>
      <c r="H142" s="595" t="s">
        <v>2333</v>
      </c>
      <c r="K142" s="595" t="s">
        <v>2962</v>
      </c>
      <c r="L142" s="600">
        <v>46080</v>
      </c>
      <c r="M142" s="597">
        <v>0.38194444444444442</v>
      </c>
      <c r="N142" s="595" t="s">
        <v>2339</v>
      </c>
      <c r="Q142" s="595" t="s">
        <v>2963</v>
      </c>
    </row>
    <row r="143" spans="1:23">
      <c r="A143" s="595">
        <v>142</v>
      </c>
      <c r="B143" s="600">
        <v>46080</v>
      </c>
      <c r="C143" s="597">
        <v>0.33644675925925926</v>
      </c>
      <c r="D143" s="595" t="s">
        <v>2339</v>
      </c>
      <c r="E143" s="599" t="s">
        <v>881</v>
      </c>
      <c r="G143" s="595" t="s">
        <v>2367</v>
      </c>
      <c r="H143" s="595" t="s">
        <v>2333</v>
      </c>
      <c r="I143" s="595" t="s">
        <v>2964</v>
      </c>
      <c r="K143" s="595" t="s">
        <v>2965</v>
      </c>
      <c r="L143" s="600">
        <v>46080</v>
      </c>
      <c r="M143" s="597">
        <v>0.45763888888888887</v>
      </c>
      <c r="N143" s="595" t="s">
        <v>2339</v>
      </c>
      <c r="O143" s="595" t="s">
        <v>2966</v>
      </c>
      <c r="Q143" s="595" t="s">
        <v>2967</v>
      </c>
    </row>
    <row r="144" spans="1:23">
      <c r="A144" s="595">
        <v>143</v>
      </c>
      <c r="B144" s="600">
        <v>46080</v>
      </c>
      <c r="C144" s="597">
        <v>0.53692129629629626</v>
      </c>
      <c r="D144" s="595" t="s">
        <v>2339</v>
      </c>
      <c r="E144" s="599" t="s">
        <v>1135</v>
      </c>
      <c r="G144" s="595" t="s">
        <v>2367</v>
      </c>
      <c r="H144" s="595" t="s">
        <v>2333</v>
      </c>
      <c r="K144" s="595" t="s">
        <v>2968</v>
      </c>
      <c r="L144" s="600">
        <v>46080</v>
      </c>
      <c r="M144" s="597">
        <v>0.6479166666666667</v>
      </c>
      <c r="N144" s="595" t="s">
        <v>2339</v>
      </c>
      <c r="O144" s="595" t="s">
        <v>2969</v>
      </c>
      <c r="Q144" s="595" t="s">
        <v>2970</v>
      </c>
    </row>
    <row r="145" spans="1:29">
      <c r="A145" s="595">
        <v>144</v>
      </c>
      <c r="B145" s="600">
        <v>46081</v>
      </c>
      <c r="C145" s="597">
        <v>0.46863425925925928</v>
      </c>
      <c r="D145" s="595" t="s">
        <v>2339</v>
      </c>
      <c r="E145" s="599" t="s">
        <v>1889</v>
      </c>
      <c r="G145" s="595" t="s">
        <v>2370</v>
      </c>
      <c r="H145" s="595" t="s">
        <v>2337</v>
      </c>
      <c r="I145" s="595" t="s">
        <v>2971</v>
      </c>
      <c r="J145" s="595" t="s">
        <v>2972</v>
      </c>
      <c r="K145" s="595" t="s">
        <v>2973</v>
      </c>
      <c r="Q145" s="595" t="s">
        <v>2974</v>
      </c>
    </row>
    <row r="146" spans="1:29">
      <c r="A146" s="595">
        <v>145</v>
      </c>
      <c r="B146" s="600">
        <v>46082</v>
      </c>
      <c r="C146" s="597">
        <v>0.4548611111111111</v>
      </c>
      <c r="D146" s="595" t="s">
        <v>2339</v>
      </c>
      <c r="E146" s="599" t="s">
        <v>1974</v>
      </c>
      <c r="G146" s="595" t="s">
        <v>2370</v>
      </c>
      <c r="H146" s="595" t="s">
        <v>2333</v>
      </c>
      <c r="I146" s="595" t="s">
        <v>2975</v>
      </c>
      <c r="J146" s="595" t="s">
        <v>2976</v>
      </c>
      <c r="K146" s="595" t="s">
        <v>2977</v>
      </c>
      <c r="L146" s="600">
        <v>46082</v>
      </c>
      <c r="M146" s="597">
        <v>0.48333333333333334</v>
      </c>
      <c r="N146" s="595" t="s">
        <v>2339</v>
      </c>
      <c r="O146" s="595" t="s">
        <v>2978</v>
      </c>
      <c r="Q146" s="595" t="s">
        <v>2979</v>
      </c>
      <c r="R146" s="600">
        <v>46082</v>
      </c>
      <c r="S146" s="597">
        <v>0.64097222222222228</v>
      </c>
      <c r="T146" s="595" t="s">
        <v>2339</v>
      </c>
      <c r="U146" s="595" t="s">
        <v>2980</v>
      </c>
      <c r="W146" s="595" t="s">
        <v>2981</v>
      </c>
      <c r="X146" s="600">
        <v>46087</v>
      </c>
      <c r="Z146" s="595" t="s">
        <v>2330</v>
      </c>
      <c r="AA146" s="595" t="s">
        <v>2982</v>
      </c>
      <c r="AC146" s="595" t="s">
        <v>2983</v>
      </c>
    </row>
    <row r="147" spans="1:29">
      <c r="A147" s="595">
        <v>146</v>
      </c>
      <c r="B147" s="600">
        <v>46082</v>
      </c>
      <c r="C147" s="597">
        <v>0.58553240740740742</v>
      </c>
      <c r="D147" s="595" t="s">
        <v>2339</v>
      </c>
      <c r="E147" s="599" t="s">
        <v>729</v>
      </c>
      <c r="F147" s="595" t="s">
        <v>2984</v>
      </c>
      <c r="G147" s="595" t="s">
        <v>2367</v>
      </c>
      <c r="H147" s="595" t="s">
        <v>2333</v>
      </c>
      <c r="I147" s="595" t="s">
        <v>2985</v>
      </c>
      <c r="K147" s="595" t="s">
        <v>2986</v>
      </c>
      <c r="L147" s="600">
        <v>46083</v>
      </c>
      <c r="M147" s="597">
        <v>0.32569444444444445</v>
      </c>
      <c r="N147" s="595" t="s">
        <v>2339</v>
      </c>
      <c r="O147" s="595" t="s">
        <v>2987</v>
      </c>
      <c r="Q147" s="595" t="s">
        <v>2988</v>
      </c>
    </row>
    <row r="148" spans="1:29">
      <c r="A148" s="595">
        <v>147</v>
      </c>
      <c r="B148" s="600">
        <v>46083</v>
      </c>
      <c r="C148" s="597">
        <v>0.32291666666666669</v>
      </c>
      <c r="D148" s="595" t="s">
        <v>2339</v>
      </c>
      <c r="E148" s="599" t="s">
        <v>1220</v>
      </c>
      <c r="G148" s="595" t="s">
        <v>2332</v>
      </c>
      <c r="H148" s="595" t="s">
        <v>2333</v>
      </c>
      <c r="I148" s="595"/>
      <c r="K148" s="595" t="s">
        <v>2989</v>
      </c>
      <c r="L148" s="600">
        <v>46083</v>
      </c>
      <c r="M148" s="597">
        <v>0.37013888888888891</v>
      </c>
      <c r="N148" s="595" t="s">
        <v>2339</v>
      </c>
      <c r="O148" s="595" t="s">
        <v>2990</v>
      </c>
      <c r="P148" s="595" t="s">
        <v>2991</v>
      </c>
      <c r="Q148" s="595" t="s">
        <v>2992</v>
      </c>
      <c r="R148" s="600">
        <v>46083</v>
      </c>
      <c r="S148" s="597">
        <v>0.3888888888888889</v>
      </c>
      <c r="T148" s="595" t="s">
        <v>2339</v>
      </c>
      <c r="U148" s="595" t="s">
        <v>2993</v>
      </c>
      <c r="V148" s="595" t="s">
        <v>2994</v>
      </c>
      <c r="W148" s="595" t="s">
        <v>2995</v>
      </c>
      <c r="X148" s="600">
        <v>46083</v>
      </c>
      <c r="Y148" s="597">
        <v>0.51458333333333328</v>
      </c>
      <c r="Z148" s="595" t="s">
        <v>2339</v>
      </c>
      <c r="AA148" s="595" t="s">
        <v>2996</v>
      </c>
      <c r="AC148" s="595" t="s">
        <v>2997</v>
      </c>
    </row>
    <row r="149" spans="1:29">
      <c r="A149" s="595">
        <v>148</v>
      </c>
      <c r="B149" s="600">
        <v>46083</v>
      </c>
      <c r="C149" s="597">
        <v>0.44965277777777779</v>
      </c>
      <c r="D149" s="595" t="s">
        <v>2339</v>
      </c>
      <c r="E149" s="599" t="s">
        <v>1649</v>
      </c>
      <c r="G149" s="595" t="s">
        <v>2370</v>
      </c>
      <c r="H149" s="595" t="s">
        <v>2333</v>
      </c>
      <c r="I149" s="595" t="s">
        <v>2998</v>
      </c>
      <c r="J149" s="595" t="s">
        <v>2999</v>
      </c>
      <c r="K149" s="595" t="s">
        <v>3000</v>
      </c>
      <c r="L149" s="600">
        <v>46083</v>
      </c>
      <c r="M149" s="597">
        <v>0.58750000000000002</v>
      </c>
      <c r="N149" s="595" t="s">
        <v>2330</v>
      </c>
      <c r="Q149" s="595" t="s">
        <v>3001</v>
      </c>
    </row>
    <row r="150" spans="1:29">
      <c r="A150" s="595">
        <v>149</v>
      </c>
      <c r="B150" s="600">
        <v>46083</v>
      </c>
      <c r="C150" s="597">
        <v>0.58870370370370373</v>
      </c>
      <c r="D150" s="595" t="s">
        <v>2330</v>
      </c>
      <c r="E150" s="599" t="s">
        <v>2054</v>
      </c>
      <c r="G150" s="595" t="s">
        <v>2367</v>
      </c>
      <c r="H150" s="595" t="s">
        <v>2333</v>
      </c>
      <c r="I150" s="595" t="s">
        <v>3002</v>
      </c>
      <c r="K150" s="595" t="s">
        <v>3003</v>
      </c>
    </row>
    <row r="151" spans="1:29">
      <c r="A151" s="595">
        <v>150</v>
      </c>
      <c r="B151" s="600">
        <v>46084</v>
      </c>
      <c r="C151" s="597">
        <v>0.36313657407407407</v>
      </c>
      <c r="D151" s="595" t="s">
        <v>2330</v>
      </c>
      <c r="E151" s="599" t="s">
        <v>2223</v>
      </c>
      <c r="G151" s="595" t="s">
        <v>2370</v>
      </c>
      <c r="H151" s="595" t="s">
        <v>2333</v>
      </c>
      <c r="I151" s="595" t="s">
        <v>3004</v>
      </c>
      <c r="J151" s="595" t="s">
        <v>3005</v>
      </c>
      <c r="K151" s="595" t="s">
        <v>3006</v>
      </c>
      <c r="L151" s="600">
        <v>46084</v>
      </c>
      <c r="M151" s="597">
        <v>0.45877314814814812</v>
      </c>
      <c r="N151" s="595" t="s">
        <v>2330</v>
      </c>
      <c r="Q151" s="595" t="s">
        <v>3007</v>
      </c>
    </row>
    <row r="152" spans="1:29">
      <c r="A152" s="595">
        <v>151</v>
      </c>
      <c r="B152" s="600">
        <v>46084</v>
      </c>
      <c r="C152" s="597">
        <v>0.36443287037037037</v>
      </c>
      <c r="D152" s="595" t="s">
        <v>2330</v>
      </c>
      <c r="E152" s="599" t="s">
        <v>1089</v>
      </c>
      <c r="G152" s="595" t="s">
        <v>2332</v>
      </c>
      <c r="H152" s="595" t="s">
        <v>2333</v>
      </c>
      <c r="I152" s="595" t="s">
        <v>3008</v>
      </c>
      <c r="K152" s="595" t="s">
        <v>3009</v>
      </c>
      <c r="L152" s="600">
        <v>46085</v>
      </c>
      <c r="N152" s="595" t="s">
        <v>2330</v>
      </c>
      <c r="Q152" s="595" t="s">
        <v>3010</v>
      </c>
    </row>
    <row r="153" spans="1:29">
      <c r="A153" s="595">
        <v>152</v>
      </c>
      <c r="B153" s="600">
        <v>46086</v>
      </c>
      <c r="C153" s="597">
        <v>0.31950231481481484</v>
      </c>
      <c r="D153" s="595" t="s">
        <v>2339</v>
      </c>
      <c r="E153" s="599" t="s">
        <v>1346</v>
      </c>
      <c r="G153" s="595" t="s">
        <v>67</v>
      </c>
      <c r="H153" s="595" t="s">
        <v>2333</v>
      </c>
      <c r="I153" s="595" t="s">
        <v>3011</v>
      </c>
      <c r="J153" s="595" t="s">
        <v>3012</v>
      </c>
      <c r="K153" s="595" t="s">
        <v>3013</v>
      </c>
      <c r="L153" s="600">
        <v>46086</v>
      </c>
      <c r="M153" s="597">
        <v>0.37863425925925925</v>
      </c>
      <c r="N153" s="595" t="s">
        <v>2339</v>
      </c>
      <c r="Q153" s="595" t="s">
        <v>3014</v>
      </c>
    </row>
    <row r="154" spans="1:29">
      <c r="A154" s="595">
        <v>153</v>
      </c>
      <c r="B154" s="600">
        <v>46088</v>
      </c>
      <c r="C154" s="597">
        <v>0.69012731481481482</v>
      </c>
      <c r="D154" s="595" t="s">
        <v>2339</v>
      </c>
      <c r="E154" s="599" t="s">
        <v>498</v>
      </c>
      <c r="F154" s="595" t="s">
        <v>3015</v>
      </c>
      <c r="G154" s="595" t="s">
        <v>2367</v>
      </c>
      <c r="H154" s="595" t="s">
        <v>2333</v>
      </c>
      <c r="I154" s="595" t="s">
        <v>3016</v>
      </c>
      <c r="K154" s="595" t="s">
        <v>3017</v>
      </c>
      <c r="L154" s="600">
        <v>46090</v>
      </c>
      <c r="M154" s="597">
        <v>0.59027777777777779</v>
      </c>
      <c r="N154" s="595" t="s">
        <v>2339</v>
      </c>
      <c r="O154" s="595" t="s">
        <v>3018</v>
      </c>
      <c r="P154" s="595" t="s">
        <v>3019</v>
      </c>
      <c r="Q154" s="595" t="s">
        <v>3020</v>
      </c>
      <c r="R154" s="600">
        <v>46091</v>
      </c>
      <c r="S154" s="597">
        <v>0.59166666666666667</v>
      </c>
      <c r="T154" s="595" t="s">
        <v>2339</v>
      </c>
      <c r="U154" s="595" t="s">
        <v>3021</v>
      </c>
      <c r="V154" s="595" t="s">
        <v>3022</v>
      </c>
      <c r="W154" s="595" t="s">
        <v>3023</v>
      </c>
    </row>
    <row r="155" spans="1:29">
      <c r="A155" s="595">
        <v>154</v>
      </c>
      <c r="B155" s="600">
        <v>46089</v>
      </c>
      <c r="C155" s="597">
        <v>0.45902777777777776</v>
      </c>
      <c r="D155" s="595" t="s">
        <v>2339</v>
      </c>
      <c r="E155" s="599" t="s">
        <v>1018</v>
      </c>
      <c r="F155" s="595" t="s">
        <v>2506</v>
      </c>
      <c r="G155" s="595" t="s">
        <v>67</v>
      </c>
      <c r="H155" s="595" t="s">
        <v>2337</v>
      </c>
      <c r="K155" s="595" t="s">
        <v>3024</v>
      </c>
      <c r="L155" s="600">
        <v>46094</v>
      </c>
      <c r="M155" s="597">
        <v>0.51944444444444449</v>
      </c>
      <c r="N155" s="595" t="s">
        <v>2339</v>
      </c>
      <c r="Q155" s="595" t="s">
        <v>3025</v>
      </c>
    </row>
    <row r="156" spans="1:29">
      <c r="A156" s="595">
        <v>155</v>
      </c>
      <c r="B156" s="600">
        <v>46089</v>
      </c>
      <c r="C156" s="597">
        <v>0.57958333333333334</v>
      </c>
      <c r="D156" s="595" t="s">
        <v>2330</v>
      </c>
      <c r="E156" s="599" t="s">
        <v>1985</v>
      </c>
      <c r="G156" s="595" t="s">
        <v>2370</v>
      </c>
      <c r="H156" s="595" t="s">
        <v>2621</v>
      </c>
      <c r="I156" s="595" t="s">
        <v>3026</v>
      </c>
      <c r="K156" s="595" t="s">
        <v>3027</v>
      </c>
    </row>
    <row r="157" spans="1:29">
      <c r="A157" s="595">
        <v>156</v>
      </c>
      <c r="B157" s="600">
        <v>46091</v>
      </c>
      <c r="C157" s="597">
        <v>0.37862268518518516</v>
      </c>
      <c r="D157" s="595" t="s">
        <v>2330</v>
      </c>
      <c r="E157" s="599" t="s">
        <v>971</v>
      </c>
      <c r="G157" s="595" t="s">
        <v>2332</v>
      </c>
      <c r="H157" s="595" t="s">
        <v>2337</v>
      </c>
      <c r="K157" s="595" t="s">
        <v>3028</v>
      </c>
      <c r="M157" s="597">
        <v>0.3762962962962963</v>
      </c>
      <c r="N157" s="595" t="s">
        <v>2330</v>
      </c>
      <c r="Q157" s="595" t="s">
        <v>3029</v>
      </c>
    </row>
    <row r="158" spans="1:29">
      <c r="A158" s="595">
        <v>157</v>
      </c>
      <c r="B158" s="600">
        <v>46092</v>
      </c>
      <c r="C158" s="597">
        <v>0.40778935185185183</v>
      </c>
      <c r="D158" s="595" t="s">
        <v>2339</v>
      </c>
      <c r="E158" s="599" t="s">
        <v>697</v>
      </c>
      <c r="G158" s="595" t="s">
        <v>1294</v>
      </c>
      <c r="H158" s="595" t="s">
        <v>2337</v>
      </c>
      <c r="K158" s="595" t="s">
        <v>3030</v>
      </c>
      <c r="L158" s="600">
        <v>46093</v>
      </c>
      <c r="M158" s="597">
        <v>0.53125</v>
      </c>
      <c r="N158" s="595" t="s">
        <v>2339</v>
      </c>
      <c r="O158" s="595" t="s">
        <v>3031</v>
      </c>
      <c r="P158" s="595" t="s">
        <v>3032</v>
      </c>
      <c r="Q158" s="595" t="s">
        <v>3033</v>
      </c>
    </row>
    <row r="159" spans="1:29">
      <c r="A159" s="595">
        <v>158</v>
      </c>
      <c r="B159" s="600">
        <v>46092</v>
      </c>
      <c r="C159" s="597">
        <v>0.40880787037037036</v>
      </c>
      <c r="D159" s="595" t="s">
        <v>2339</v>
      </c>
      <c r="E159" s="599" t="s">
        <v>899</v>
      </c>
      <c r="G159" s="595" t="s">
        <v>1294</v>
      </c>
      <c r="H159" s="595" t="s">
        <v>2337</v>
      </c>
      <c r="K159" s="595" t="s">
        <v>3030</v>
      </c>
      <c r="L159" s="600">
        <v>46093</v>
      </c>
      <c r="M159" s="597">
        <v>0.53262731481481485</v>
      </c>
      <c r="N159" s="595" t="s">
        <v>2339</v>
      </c>
      <c r="O159" s="595" t="s">
        <v>3034</v>
      </c>
      <c r="P159" s="595" t="s">
        <v>3035</v>
      </c>
      <c r="Q159" s="595" t="s">
        <v>3033</v>
      </c>
    </row>
    <row r="160" spans="1:29">
      <c r="A160" s="595">
        <v>159</v>
      </c>
      <c r="B160" s="600">
        <v>46092</v>
      </c>
      <c r="C160" s="597">
        <v>0.62001157407407403</v>
      </c>
      <c r="D160" s="595" t="s">
        <v>2330</v>
      </c>
      <c r="E160" s="599" t="s">
        <v>1089</v>
      </c>
      <c r="F160" s="595" t="s">
        <v>2529</v>
      </c>
      <c r="G160" s="595" t="s">
        <v>67</v>
      </c>
      <c r="H160" s="595" t="s">
        <v>2337</v>
      </c>
      <c r="K160" s="595" t="s">
        <v>3036</v>
      </c>
    </row>
    <row r="161" spans="1:23">
      <c r="A161" s="595">
        <v>160</v>
      </c>
      <c r="B161" s="600">
        <v>46094</v>
      </c>
      <c r="C161" s="597">
        <v>0.52777777777777779</v>
      </c>
      <c r="D161" s="595" t="s">
        <v>2339</v>
      </c>
      <c r="E161" s="599" t="s">
        <v>301</v>
      </c>
      <c r="G161" s="595" t="s">
        <v>1294</v>
      </c>
      <c r="H161" s="595" t="s">
        <v>2337</v>
      </c>
      <c r="K161" s="595" t="s">
        <v>3037</v>
      </c>
      <c r="L161" s="600">
        <v>46104</v>
      </c>
      <c r="M161" s="597">
        <v>0.37291666666666667</v>
      </c>
      <c r="N161" s="595" t="s">
        <v>2339</v>
      </c>
      <c r="O161" s="595" t="s">
        <v>3038</v>
      </c>
      <c r="Q161" s="595" t="s">
        <v>3039</v>
      </c>
    </row>
    <row r="162" spans="1:23">
      <c r="A162" s="595">
        <v>161</v>
      </c>
      <c r="B162" s="600">
        <v>46094</v>
      </c>
      <c r="C162" s="597">
        <v>0.53611111111111109</v>
      </c>
      <c r="D162" s="595" t="s">
        <v>2339</v>
      </c>
      <c r="E162" s="599" t="s">
        <v>2131</v>
      </c>
      <c r="F162" s="595" t="s">
        <v>2443</v>
      </c>
      <c r="G162" s="595" t="s">
        <v>2370</v>
      </c>
      <c r="H162" s="595" t="s">
        <v>2333</v>
      </c>
      <c r="K162" s="595" t="s">
        <v>3040</v>
      </c>
      <c r="L162" s="600">
        <v>46112</v>
      </c>
      <c r="M162" s="597">
        <v>0.52592592592592591</v>
      </c>
      <c r="N162" s="595" t="s">
        <v>2339</v>
      </c>
      <c r="Q162" s="595" t="s">
        <v>3041</v>
      </c>
    </row>
    <row r="163" spans="1:23">
      <c r="A163" s="595">
        <v>162</v>
      </c>
      <c r="B163" s="600">
        <v>46094</v>
      </c>
      <c r="C163" s="597">
        <v>0.85069444444444442</v>
      </c>
      <c r="D163" s="595" t="s">
        <v>2339</v>
      </c>
      <c r="E163" s="599" t="s">
        <v>832</v>
      </c>
      <c r="G163" s="595" t="s">
        <v>2370</v>
      </c>
      <c r="H163" s="595" t="s">
        <v>2333</v>
      </c>
      <c r="I163" s="595" t="s">
        <v>3042</v>
      </c>
      <c r="K163" s="595" t="s">
        <v>3043</v>
      </c>
      <c r="L163" s="600">
        <v>46098</v>
      </c>
      <c r="M163" s="597">
        <v>0.37163194444444442</v>
      </c>
      <c r="N163" s="595" t="s">
        <v>2339</v>
      </c>
      <c r="O163" s="595" t="s">
        <v>3044</v>
      </c>
      <c r="Q163" s="595" t="s">
        <v>3045</v>
      </c>
    </row>
    <row r="164" spans="1:23">
      <c r="A164" s="595">
        <v>163</v>
      </c>
      <c r="B164" s="600">
        <v>46095</v>
      </c>
      <c r="C164" s="597">
        <v>0.3553587962962963</v>
      </c>
      <c r="D164" s="595" t="s">
        <v>2330</v>
      </c>
      <c r="E164" s="599" t="s">
        <v>1568</v>
      </c>
      <c r="G164" s="595" t="s">
        <v>2370</v>
      </c>
      <c r="H164" s="595" t="s">
        <v>2333</v>
      </c>
      <c r="I164" s="595" t="s">
        <v>3046</v>
      </c>
      <c r="K164" s="595" t="s">
        <v>3047</v>
      </c>
      <c r="L164" s="600">
        <v>46115</v>
      </c>
      <c r="M164" s="597">
        <v>0.34660879629629632</v>
      </c>
      <c r="N164" s="595" t="s">
        <v>2339</v>
      </c>
      <c r="O164" s="595" t="s">
        <v>3048</v>
      </c>
      <c r="Q164" s="595" t="s">
        <v>3049</v>
      </c>
    </row>
    <row r="165" spans="1:23">
      <c r="A165" s="595">
        <v>164</v>
      </c>
      <c r="B165" s="600">
        <v>46096</v>
      </c>
      <c r="C165" s="597">
        <v>0.5153240740740741</v>
      </c>
      <c r="D165" s="595" t="s">
        <v>2339</v>
      </c>
      <c r="E165" s="599" t="s">
        <v>2142</v>
      </c>
      <c r="G165" s="595" t="s">
        <v>2370</v>
      </c>
      <c r="H165" s="595" t="s">
        <v>2621</v>
      </c>
      <c r="I165" s="595" t="s">
        <v>3050</v>
      </c>
      <c r="K165" s="595" t="s">
        <v>3051</v>
      </c>
    </row>
    <row r="166" spans="1:23">
      <c r="A166" s="595">
        <v>165</v>
      </c>
      <c r="B166" s="600">
        <v>46096</v>
      </c>
      <c r="C166" s="597">
        <v>0.68247685185185181</v>
      </c>
      <c r="D166" s="595" t="s">
        <v>2339</v>
      </c>
      <c r="E166" s="599" t="s">
        <v>1605</v>
      </c>
      <c r="G166" s="595" t="s">
        <v>67</v>
      </c>
      <c r="H166" s="595" t="s">
        <v>2621</v>
      </c>
      <c r="I166" s="595" t="s">
        <v>3052</v>
      </c>
      <c r="K166" s="595" t="s">
        <v>3053</v>
      </c>
      <c r="L166" s="600">
        <v>46118</v>
      </c>
      <c r="N166" s="595" t="s">
        <v>2330</v>
      </c>
      <c r="O166" s="595" t="s">
        <v>3054</v>
      </c>
      <c r="P166" s="595" t="s">
        <v>3055</v>
      </c>
      <c r="Q166" s="595" t="s">
        <v>3056</v>
      </c>
    </row>
    <row r="167" spans="1:23">
      <c r="A167" s="595">
        <v>166</v>
      </c>
      <c r="B167" s="600">
        <v>46097</v>
      </c>
      <c r="C167" s="597">
        <v>0.40368055555555554</v>
      </c>
      <c r="D167" s="595" t="s">
        <v>2339</v>
      </c>
      <c r="F167" s="595" t="s">
        <v>3057</v>
      </c>
      <c r="G167" s="595" t="s">
        <v>2563</v>
      </c>
      <c r="H167" s="595" t="s">
        <v>2333</v>
      </c>
      <c r="I167" s="595" t="s">
        <v>3058</v>
      </c>
      <c r="J167" s="595" t="s">
        <v>3059</v>
      </c>
      <c r="K167" s="595" t="s">
        <v>3060</v>
      </c>
      <c r="L167" s="600">
        <v>46097</v>
      </c>
      <c r="M167" s="597">
        <v>0.40694444444444444</v>
      </c>
      <c r="N167" s="595" t="s">
        <v>2339</v>
      </c>
      <c r="O167" s="595" t="s">
        <v>3061</v>
      </c>
      <c r="P167" s="595" t="s">
        <v>3062</v>
      </c>
      <c r="Q167" s="595" t="s">
        <v>3063</v>
      </c>
    </row>
    <row r="168" spans="1:23">
      <c r="A168" s="595">
        <v>167</v>
      </c>
      <c r="B168" s="600">
        <v>46098</v>
      </c>
      <c r="C168" s="597">
        <v>0.63883101851851853</v>
      </c>
      <c r="D168" s="595" t="s">
        <v>2330</v>
      </c>
      <c r="E168" s="599" t="s">
        <v>1070</v>
      </c>
      <c r="G168" s="595" t="s">
        <v>2332</v>
      </c>
      <c r="H168" s="595" t="s">
        <v>2333</v>
      </c>
      <c r="K168" s="595" t="s">
        <v>3064</v>
      </c>
    </row>
    <row r="169" spans="1:23">
      <c r="A169" s="595">
        <v>168</v>
      </c>
      <c r="B169" s="600">
        <v>46098</v>
      </c>
      <c r="C169" s="597">
        <v>0.85304398148148153</v>
      </c>
      <c r="D169" s="595" t="s">
        <v>2330</v>
      </c>
      <c r="E169" s="599" t="s">
        <v>1568</v>
      </c>
      <c r="G169" s="595" t="s">
        <v>2563</v>
      </c>
      <c r="H169" s="595" t="s">
        <v>2333</v>
      </c>
      <c r="I169" s="595" t="s">
        <v>3065</v>
      </c>
      <c r="K169" s="595" t="s">
        <v>3066</v>
      </c>
      <c r="L169" s="600">
        <v>46099</v>
      </c>
      <c r="M169" s="597">
        <v>0.52083333333333337</v>
      </c>
      <c r="N169" s="595" t="s">
        <v>2339</v>
      </c>
      <c r="Q169" s="595" t="s">
        <v>3067</v>
      </c>
    </row>
    <row r="170" spans="1:23">
      <c r="A170" s="595">
        <v>169</v>
      </c>
      <c r="B170" s="600">
        <v>46099</v>
      </c>
      <c r="C170" s="597">
        <v>0.56008101851851855</v>
      </c>
      <c r="D170" s="595" t="s">
        <v>2339</v>
      </c>
      <c r="E170" s="599" t="s">
        <v>1718</v>
      </c>
      <c r="F170" s="595" t="s">
        <v>2336</v>
      </c>
      <c r="G170" s="595" t="s">
        <v>2563</v>
      </c>
      <c r="H170" s="595" t="s">
        <v>2333</v>
      </c>
      <c r="K170" s="595" t="s">
        <v>3068</v>
      </c>
      <c r="L170" s="600">
        <v>46099</v>
      </c>
      <c r="M170" s="597">
        <v>0.52361111111111114</v>
      </c>
      <c r="N170" s="595" t="s">
        <v>2339</v>
      </c>
      <c r="Q170" s="595" t="s">
        <v>3069</v>
      </c>
    </row>
    <row r="171" spans="1:23">
      <c r="A171" s="595">
        <v>170</v>
      </c>
      <c r="B171" s="600">
        <v>46099</v>
      </c>
      <c r="C171" s="597">
        <v>0.41597222222222224</v>
      </c>
      <c r="D171" s="595" t="s">
        <v>2339</v>
      </c>
      <c r="E171" s="599" t="s">
        <v>1830</v>
      </c>
      <c r="F171" s="595" t="s">
        <v>2744</v>
      </c>
      <c r="G171" s="595" t="s">
        <v>2563</v>
      </c>
      <c r="H171" s="595" t="s">
        <v>2333</v>
      </c>
      <c r="I171" s="595" t="s">
        <v>3070</v>
      </c>
      <c r="K171" s="595" t="s">
        <v>3071</v>
      </c>
      <c r="L171" s="600">
        <v>46099</v>
      </c>
      <c r="M171" s="597">
        <v>0.5854166666666667</v>
      </c>
      <c r="N171" s="595" t="s">
        <v>2339</v>
      </c>
      <c r="Q171" s="595" t="s">
        <v>3072</v>
      </c>
    </row>
    <row r="172" spans="1:23">
      <c r="A172" s="595">
        <v>171</v>
      </c>
      <c r="B172" s="600">
        <v>46100</v>
      </c>
      <c r="C172" s="597">
        <v>0.45555555555555555</v>
      </c>
      <c r="D172" s="595" t="s">
        <v>2339</v>
      </c>
      <c r="E172" s="599" t="s">
        <v>1286</v>
      </c>
      <c r="F172" s="595" t="s">
        <v>2482</v>
      </c>
      <c r="G172" s="595" t="s">
        <v>2367</v>
      </c>
      <c r="H172" s="595" t="s">
        <v>2333</v>
      </c>
      <c r="I172" s="595" t="s">
        <v>3073</v>
      </c>
      <c r="J172" s="595" t="s">
        <v>3074</v>
      </c>
      <c r="K172" s="595" t="s">
        <v>3075</v>
      </c>
      <c r="L172" s="600">
        <v>46105</v>
      </c>
      <c r="M172" s="597">
        <v>0.44583333333333336</v>
      </c>
      <c r="N172" s="595" t="s">
        <v>2339</v>
      </c>
      <c r="O172" s="595" t="s">
        <v>3076</v>
      </c>
      <c r="Q172" s="595" t="s">
        <v>3077</v>
      </c>
    </row>
    <row r="173" spans="1:23">
      <c r="A173" s="595">
        <v>172</v>
      </c>
      <c r="B173" s="600">
        <v>46100</v>
      </c>
      <c r="C173" s="597">
        <v>0.45694444444444443</v>
      </c>
      <c r="D173" s="595" t="s">
        <v>2339</v>
      </c>
      <c r="E173" s="599" t="s">
        <v>1286</v>
      </c>
      <c r="F173" s="595" t="s">
        <v>2482</v>
      </c>
      <c r="H173" s="595" t="s">
        <v>2337</v>
      </c>
      <c r="I173" s="595" t="s">
        <v>3078</v>
      </c>
      <c r="K173" s="595" t="s">
        <v>3079</v>
      </c>
      <c r="L173" s="600">
        <v>46109</v>
      </c>
      <c r="M173" s="597">
        <v>0.54237268518518522</v>
      </c>
      <c r="N173" s="595" t="s">
        <v>2339</v>
      </c>
      <c r="O173" s="595" t="s">
        <v>3080</v>
      </c>
      <c r="Q173" s="595" t="s">
        <v>3081</v>
      </c>
      <c r="R173" s="600">
        <v>46118</v>
      </c>
      <c r="S173" s="597">
        <v>0.41111111111111109</v>
      </c>
      <c r="T173" s="595" t="s">
        <v>2339</v>
      </c>
      <c r="W173" s="595" t="s">
        <v>3082</v>
      </c>
    </row>
    <row r="174" spans="1:23">
      <c r="A174" s="595">
        <v>173</v>
      </c>
      <c r="B174" s="600">
        <v>46105</v>
      </c>
      <c r="C174" s="597">
        <v>0.41724537037037035</v>
      </c>
      <c r="D174" s="595" t="s">
        <v>2330</v>
      </c>
      <c r="E174" s="599" t="s">
        <v>1597</v>
      </c>
      <c r="G174" s="595" t="s">
        <v>2332</v>
      </c>
      <c r="H174" s="595" t="s">
        <v>2333</v>
      </c>
      <c r="K174" s="595" t="s">
        <v>3083</v>
      </c>
    </row>
    <row r="175" spans="1:23">
      <c r="A175" s="595">
        <v>174</v>
      </c>
      <c r="B175" s="600">
        <v>46107</v>
      </c>
      <c r="C175" s="597">
        <v>0.5427777777777778</v>
      </c>
      <c r="D175" s="595" t="s">
        <v>2339</v>
      </c>
      <c r="E175" s="599" t="s">
        <v>2176</v>
      </c>
      <c r="F175" s="595" t="s">
        <v>2461</v>
      </c>
      <c r="G175" s="595" t="s">
        <v>2332</v>
      </c>
      <c r="H175" s="595" t="s">
        <v>2333</v>
      </c>
      <c r="I175" s="595" t="s">
        <v>3084</v>
      </c>
      <c r="K175" s="595" t="s">
        <v>3085</v>
      </c>
      <c r="L175" s="600">
        <v>46108</v>
      </c>
      <c r="M175" s="597">
        <v>0.40972222222222221</v>
      </c>
      <c r="N175" s="595" t="s">
        <v>2339</v>
      </c>
      <c r="O175" s="595" t="s">
        <v>3086</v>
      </c>
      <c r="P175" s="595" t="s">
        <v>3087</v>
      </c>
      <c r="Q175" s="595" t="s">
        <v>3088</v>
      </c>
    </row>
    <row r="176" spans="1:23">
      <c r="A176" s="595">
        <v>175</v>
      </c>
      <c r="B176" s="600">
        <v>46107</v>
      </c>
      <c r="C176" s="597">
        <v>0.54773148148148143</v>
      </c>
      <c r="D176" s="595" t="s">
        <v>3089</v>
      </c>
      <c r="E176" s="599" t="s">
        <v>1359</v>
      </c>
      <c r="G176" s="595" t="s">
        <v>1294</v>
      </c>
      <c r="H176" s="595" t="s">
        <v>2333</v>
      </c>
      <c r="K176" s="595" t="s">
        <v>3090</v>
      </c>
      <c r="L176" s="600">
        <v>46120</v>
      </c>
      <c r="M176" s="597">
        <v>0.6237152777777778</v>
      </c>
      <c r="N176" s="595" t="s">
        <v>2339</v>
      </c>
      <c r="O176" s="595" t="s">
        <v>3091</v>
      </c>
      <c r="Q176" s="595" t="s">
        <v>3092</v>
      </c>
    </row>
    <row r="177" spans="1:23">
      <c r="A177" s="595">
        <v>176</v>
      </c>
      <c r="B177" s="600">
        <v>46107</v>
      </c>
      <c r="C177" s="597">
        <v>0.70923611111111107</v>
      </c>
      <c r="D177" s="595" t="s">
        <v>2330</v>
      </c>
      <c r="E177" s="599" t="s">
        <v>2164</v>
      </c>
      <c r="G177" s="595" t="s">
        <v>2332</v>
      </c>
      <c r="H177" s="595" t="s">
        <v>2333</v>
      </c>
      <c r="I177" s="595" t="s">
        <v>3093</v>
      </c>
      <c r="K177" s="595" t="s">
        <v>3094</v>
      </c>
    </row>
    <row r="178" spans="1:23">
      <c r="A178" s="595">
        <v>177</v>
      </c>
      <c r="B178" s="600">
        <v>46108</v>
      </c>
      <c r="C178" s="597">
        <v>0.41172453703703704</v>
      </c>
      <c r="D178" s="595" t="s">
        <v>2339</v>
      </c>
      <c r="E178" s="599" t="s">
        <v>2164</v>
      </c>
      <c r="F178" s="595" t="s">
        <v>2461</v>
      </c>
      <c r="G178" s="595" t="s">
        <v>2500</v>
      </c>
      <c r="H178" s="595" t="s">
        <v>2333</v>
      </c>
      <c r="K178" s="595" t="s">
        <v>3095</v>
      </c>
    </row>
    <row r="179" spans="1:23">
      <c r="A179" s="595">
        <v>178</v>
      </c>
      <c r="B179" s="600">
        <v>46111</v>
      </c>
      <c r="C179" s="597">
        <v>0.39196759259259262</v>
      </c>
      <c r="D179" s="595" t="s">
        <v>2339</v>
      </c>
      <c r="E179" s="599" t="s">
        <v>874</v>
      </c>
      <c r="G179" s="595" t="s">
        <v>1294</v>
      </c>
      <c r="H179" s="595" t="s">
        <v>2337</v>
      </c>
      <c r="I179" s="595" t="s">
        <v>3096</v>
      </c>
      <c r="K179" s="595" t="s">
        <v>3097</v>
      </c>
      <c r="L179" s="600">
        <v>46112</v>
      </c>
      <c r="M179" s="597">
        <v>0.69473379629629628</v>
      </c>
      <c r="N179" s="595" t="s">
        <v>2339</v>
      </c>
      <c r="Q179" s="595" t="s">
        <v>3098</v>
      </c>
    </row>
    <row r="180" spans="1:23">
      <c r="A180" s="595">
        <v>179</v>
      </c>
      <c r="B180" s="600">
        <v>46115</v>
      </c>
      <c r="C180" s="597">
        <v>0.51597222222222228</v>
      </c>
      <c r="D180" s="595" t="s">
        <v>2339</v>
      </c>
      <c r="E180" s="599" t="s">
        <v>2131</v>
      </c>
      <c r="F180" s="595" t="s">
        <v>2529</v>
      </c>
      <c r="G180" s="595" t="s">
        <v>2367</v>
      </c>
      <c r="H180" s="595" t="s">
        <v>2333</v>
      </c>
      <c r="I180" s="595" t="s">
        <v>3099</v>
      </c>
      <c r="J180" s="595" t="s">
        <v>3100</v>
      </c>
      <c r="K180" s="595" t="s">
        <v>3101</v>
      </c>
      <c r="L180" s="600">
        <v>46115</v>
      </c>
      <c r="M180" s="597">
        <v>0.67569444444444449</v>
      </c>
      <c r="N180" s="595" t="s">
        <v>2339</v>
      </c>
      <c r="Q180" s="595" t="s">
        <v>3102</v>
      </c>
      <c r="R180" s="600">
        <v>46116</v>
      </c>
      <c r="S180" s="597">
        <v>0.71458333333333335</v>
      </c>
      <c r="T180" s="595" t="s">
        <v>2339</v>
      </c>
      <c r="W180" s="595" t="s">
        <v>3103</v>
      </c>
    </row>
    <row r="181" spans="1:23">
      <c r="A181" s="595">
        <v>180</v>
      </c>
      <c r="B181" s="600">
        <v>46115</v>
      </c>
      <c r="C181" s="597">
        <v>0.7267824074074074</v>
      </c>
      <c r="D181" s="595" t="s">
        <v>2339</v>
      </c>
      <c r="E181" s="599" t="s">
        <v>1419</v>
      </c>
      <c r="G181" s="595" t="s">
        <v>1294</v>
      </c>
      <c r="H181" s="595" t="s">
        <v>2333</v>
      </c>
      <c r="K181" s="595" t="s">
        <v>3104</v>
      </c>
      <c r="L181" s="600">
        <v>46120</v>
      </c>
      <c r="M181" s="597">
        <v>0.58420138888888884</v>
      </c>
      <c r="N181" s="595" t="s">
        <v>2339</v>
      </c>
      <c r="O181" s="595" t="s">
        <v>3105</v>
      </c>
      <c r="Q181" s="595" t="s">
        <v>3106</v>
      </c>
    </row>
    <row r="182" spans="1:23">
      <c r="A182" s="595">
        <v>181</v>
      </c>
      <c r="B182" s="600">
        <v>46117</v>
      </c>
      <c r="C182" s="597">
        <v>0.45599537037037036</v>
      </c>
      <c r="D182" s="595" t="s">
        <v>2339</v>
      </c>
      <c r="E182" s="599" t="s">
        <v>1194</v>
      </c>
      <c r="G182" s="595" t="s">
        <v>2332</v>
      </c>
      <c r="H182" s="595" t="s">
        <v>2333</v>
      </c>
      <c r="K182" s="595" t="s">
        <v>3107</v>
      </c>
      <c r="L182" s="600">
        <v>46118</v>
      </c>
      <c r="M182" s="597">
        <v>0.38263888888888886</v>
      </c>
      <c r="N182" s="595" t="s">
        <v>2339</v>
      </c>
      <c r="Q182" s="595" t="s">
        <v>3108</v>
      </c>
    </row>
    <row r="183" spans="1:23">
      <c r="A183" s="595">
        <v>182</v>
      </c>
      <c r="B183" s="600">
        <v>46116</v>
      </c>
      <c r="C183" s="597">
        <v>0.42760416666666667</v>
      </c>
      <c r="D183" s="595" t="s">
        <v>2330</v>
      </c>
      <c r="E183" s="599" t="s">
        <v>1194</v>
      </c>
      <c r="G183" s="595" t="s">
        <v>2397</v>
      </c>
      <c r="H183" s="595" t="s">
        <v>2337</v>
      </c>
      <c r="K183" s="595" t="s">
        <v>3109</v>
      </c>
      <c r="L183" s="600">
        <v>46118</v>
      </c>
      <c r="N183" s="595" t="s">
        <v>2330</v>
      </c>
      <c r="Q183" s="595" t="s">
        <v>3110</v>
      </c>
    </row>
    <row r="184" spans="1:23">
      <c r="A184" s="595">
        <v>183</v>
      </c>
      <c r="B184" s="600">
        <v>46118</v>
      </c>
      <c r="C184" s="597">
        <v>0.69178240740740737</v>
      </c>
      <c r="D184" s="595" t="s">
        <v>2339</v>
      </c>
      <c r="E184" s="599" t="s">
        <v>1397</v>
      </c>
      <c r="G184" s="595" t="s">
        <v>1294</v>
      </c>
      <c r="H184" s="595" t="s">
        <v>2333</v>
      </c>
      <c r="K184" s="595" t="s">
        <v>3111</v>
      </c>
      <c r="L184" s="600">
        <v>46125</v>
      </c>
      <c r="M184" s="597">
        <v>0.3298611111111111</v>
      </c>
      <c r="N184" s="595" t="s">
        <v>2339</v>
      </c>
      <c r="O184" s="595" t="s">
        <v>3112</v>
      </c>
      <c r="Q184" s="595" t="s">
        <v>3113</v>
      </c>
    </row>
    <row r="185" spans="1:23">
      <c r="A185" s="595">
        <v>184</v>
      </c>
      <c r="B185" s="600">
        <v>46119</v>
      </c>
      <c r="C185" s="597">
        <v>0.65975694444444444</v>
      </c>
      <c r="D185" s="595" t="s">
        <v>2330</v>
      </c>
      <c r="E185" s="599" t="s">
        <v>301</v>
      </c>
      <c r="G185" s="595" t="s">
        <v>2370</v>
      </c>
      <c r="H185" s="595" t="s">
        <v>2337</v>
      </c>
      <c r="K185" s="595" t="s">
        <v>3114</v>
      </c>
    </row>
    <row r="186" spans="1:23">
      <c r="A186" s="595">
        <v>185</v>
      </c>
      <c r="B186" s="600">
        <v>46121</v>
      </c>
      <c r="C186" s="597">
        <v>0.30069444444444443</v>
      </c>
      <c r="D186" s="595" t="s">
        <v>2339</v>
      </c>
      <c r="E186" s="599" t="s">
        <v>1630</v>
      </c>
      <c r="G186" s="595" t="s">
        <v>2367</v>
      </c>
      <c r="H186" s="595" t="s">
        <v>2333</v>
      </c>
      <c r="I186" s="595" t="s">
        <v>3115</v>
      </c>
      <c r="K186" s="595" t="s">
        <v>2968</v>
      </c>
      <c r="M186" s="597">
        <v>0.55208333333333337</v>
      </c>
      <c r="N186" s="595" t="s">
        <v>2339</v>
      </c>
      <c r="O186" s="595" t="s">
        <v>3116</v>
      </c>
      <c r="P186" s="595" t="s">
        <v>3117</v>
      </c>
      <c r="Q186" s="595" t="s">
        <v>3118</v>
      </c>
      <c r="R186" s="600">
        <v>46122</v>
      </c>
      <c r="S186" s="597">
        <v>0.52083333333333337</v>
      </c>
      <c r="T186" s="595" t="s">
        <v>2339</v>
      </c>
      <c r="W186" s="595" t="s">
        <v>3119</v>
      </c>
    </row>
    <row r="187" spans="1:23">
      <c r="A187" s="595">
        <v>186</v>
      </c>
      <c r="B187" s="600">
        <v>46122</v>
      </c>
      <c r="C187" s="597">
        <v>0.50246527777777783</v>
      </c>
      <c r="D187" s="595" t="s">
        <v>2339</v>
      </c>
      <c r="E187" s="599" t="s">
        <v>935</v>
      </c>
      <c r="F187" s="595" t="s">
        <v>2707</v>
      </c>
      <c r="G187" s="595" t="s">
        <v>2367</v>
      </c>
      <c r="H187" s="595" t="s">
        <v>2333</v>
      </c>
      <c r="K187" s="595" t="s">
        <v>3120</v>
      </c>
      <c r="L187" s="600">
        <v>46122</v>
      </c>
      <c r="M187" s="597">
        <v>0.66319444444444442</v>
      </c>
      <c r="N187" s="595" t="s">
        <v>2339</v>
      </c>
      <c r="O187" s="595" t="s">
        <v>3121</v>
      </c>
      <c r="Q187" s="595" t="s">
        <v>3122</v>
      </c>
    </row>
    <row r="188" spans="1:23">
      <c r="A188" s="595">
        <v>187</v>
      </c>
      <c r="B188" s="600">
        <v>46125</v>
      </c>
      <c r="C188" s="597">
        <v>0.36800925925925926</v>
      </c>
      <c r="D188" s="595" t="s">
        <v>2339</v>
      </c>
      <c r="E188" s="599" t="s">
        <v>1220</v>
      </c>
      <c r="G188" s="595" t="s">
        <v>2332</v>
      </c>
      <c r="H188" s="595" t="s">
        <v>2333</v>
      </c>
      <c r="K188" s="595" t="s">
        <v>3123</v>
      </c>
      <c r="L188" s="600">
        <v>46125</v>
      </c>
      <c r="M188" s="597">
        <v>0.36805555555555558</v>
      </c>
      <c r="N188" s="595" t="s">
        <v>2339</v>
      </c>
      <c r="Q188" s="595" t="s">
        <v>3124</v>
      </c>
      <c r="R188" s="600">
        <v>46125</v>
      </c>
      <c r="S188" s="597">
        <v>0.61388888888888893</v>
      </c>
      <c r="T188" s="595" t="s">
        <v>2339</v>
      </c>
      <c r="U188" s="595" t="s">
        <v>3125</v>
      </c>
      <c r="W188" s="595" t="s">
        <v>3126</v>
      </c>
    </row>
  </sheetData>
  <phoneticPr fontId="13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S52"/>
  <sheetViews>
    <sheetView workbookViewId="0"/>
  </sheetViews>
  <sheetFormatPr defaultColWidth="12.6328125" defaultRowHeight="15" customHeight="1"/>
  <cols>
    <col min="12" max="12" width="19.08984375" customWidth="1"/>
    <col min="16" max="16" width="16.7265625" customWidth="1"/>
    <col min="17" max="17" width="14.90625" customWidth="1"/>
    <col min="18" max="18" width="13.36328125" customWidth="1"/>
  </cols>
  <sheetData>
    <row r="1" spans="1:19" ht="14.5">
      <c r="N1" s="594" t="s">
        <v>3127</v>
      </c>
      <c r="O1" s="594" t="s">
        <v>55</v>
      </c>
      <c r="P1" s="594" t="s">
        <v>3128</v>
      </c>
      <c r="Q1" s="594" t="s">
        <v>3129</v>
      </c>
      <c r="R1" s="594" t="s">
        <v>3130</v>
      </c>
      <c r="S1" s="594" t="s">
        <v>3131</v>
      </c>
    </row>
    <row r="2" spans="1:19" ht="14.5">
      <c r="A2" s="601" t="s">
        <v>3132</v>
      </c>
      <c r="B2" s="602" t="s">
        <v>3133</v>
      </c>
      <c r="C2" s="601" t="s">
        <v>3134</v>
      </c>
      <c r="D2" s="601" t="s">
        <v>3135</v>
      </c>
      <c r="E2" s="601" t="s">
        <v>3</v>
      </c>
      <c r="F2" s="601" t="s">
        <v>3136</v>
      </c>
      <c r="G2" s="603" t="s">
        <v>2293</v>
      </c>
      <c r="H2" s="603" t="s">
        <v>3137</v>
      </c>
      <c r="O2" s="594" t="s">
        <v>611</v>
      </c>
      <c r="P2" s="594" t="s">
        <v>3138</v>
      </c>
      <c r="Q2" s="594" t="s">
        <v>3139</v>
      </c>
      <c r="R2" s="594" t="s">
        <v>3140</v>
      </c>
    </row>
    <row r="3" spans="1:19" ht="14.5">
      <c r="A3" s="604" t="s">
        <v>100</v>
      </c>
      <c r="B3" s="595">
        <f>COUNTIFS(管理表!C:C,A3,管理表!AH:AH,"&lt;&gt;退職")</f>
        <v>35</v>
      </c>
      <c r="C3" s="595" t="s">
        <v>261</v>
      </c>
      <c r="D3" s="595">
        <f>COUNTIFS(管理表!C:C,A3,管理表!AH:AH,"&lt;&gt;退職",管理表!J:J,C3)</f>
        <v>11</v>
      </c>
      <c r="E3" s="595" t="s">
        <v>55</v>
      </c>
      <c r="F3" s="595">
        <f>COUNTIFS(管理表!C:C,A3,管理表!AH:AH,"&lt;&gt;退職",管理表!J:J,C3,管理表!D:D,E3)</f>
        <v>11</v>
      </c>
      <c r="G3" s="595">
        <f>COUNTIFS(管理表!C:C,A3,管理表!AH:AH,"&lt;&gt;退職",管理表!J:J,C3,管理表!D:D,E3,管理表!Q:Q,"*実習*")</f>
        <v>4</v>
      </c>
      <c r="H3" s="595">
        <f>COUNTIFS(管理表!C:C,A3,管理表!AH:AH,"&lt;&gt;退職",管理表!J:J,C3,管理表!D:D,E3,管理表!Q:Q,"*特定*")</f>
        <v>7</v>
      </c>
    </row>
    <row r="4" spans="1:19" ht="14.5">
      <c r="A4" s="604"/>
      <c r="B4" s="595"/>
      <c r="C4" s="595"/>
      <c r="E4" s="595" t="s">
        <v>611</v>
      </c>
      <c r="F4" s="595">
        <f>COUNTIFS(管理表!C:C,A3,管理表!AH:AH,"&lt;&gt;退職",管理表!J:J,C3,管理表!D:D,E4)</f>
        <v>0</v>
      </c>
      <c r="G4" s="595">
        <f>COUNTIFS(管理表!C:C,A3,管理表!AH:AH,"&lt;&gt;退職",管理表!J:J,C3,管理表!D:D,E4,管理表!Q:Q,"*実習*")</f>
        <v>0</v>
      </c>
      <c r="H4" s="595">
        <f>COUNTIFS(管理表!C:C,A3,管理表!AH:AH,"&lt;&gt;退職",管理表!J:J,C3,管理表!D:D,E4,管理表!Q:Q,"*特定*")</f>
        <v>0</v>
      </c>
    </row>
    <row r="5" spans="1:19" ht="14.5">
      <c r="A5" s="604"/>
      <c r="B5" s="595"/>
      <c r="C5" s="595" t="s">
        <v>60</v>
      </c>
      <c r="D5" s="595">
        <f>COUNTIFS(管理表!C:C,A3,管理表!AH:AH,"&lt;&gt;退職",管理表!J:J,C5)</f>
        <v>24</v>
      </c>
      <c r="E5" s="595" t="s">
        <v>55</v>
      </c>
      <c r="F5" s="595">
        <f>COUNTIFS(管理表!C:C,A3,管理表!AH:AH,"&lt;&gt;退職",管理表!J:J,C5,管理表!D:D,E5)</f>
        <v>24</v>
      </c>
      <c r="G5" s="595">
        <f>COUNTIFS(管理表!C:C,A3,管理表!AH:AH,"&lt;&gt;退職",管理表!J:J,C5,管理表!D:D,E5,管理表!Q:Q,"*実習*")</f>
        <v>13</v>
      </c>
      <c r="H5" s="595">
        <f>COUNTIFS(管理表!C:C,A3,管理表!AH:AH,"&lt;&gt;退職",管理表!J:J,C5,管理表!D:D,E5,管理表!Q:Q,"*特定*")</f>
        <v>11</v>
      </c>
    </row>
    <row r="6" spans="1:19" ht="14.5">
      <c r="A6" s="604"/>
      <c r="B6" s="595"/>
      <c r="C6" s="595"/>
      <c r="E6" s="595" t="s">
        <v>611</v>
      </c>
      <c r="F6" s="595">
        <f>COUNTIFS(管理表!C:C,A3,管理表!AH:AH,"&lt;&gt;退職",管理表!J:J,C5,管理表!D:D,E6)</f>
        <v>0</v>
      </c>
      <c r="G6" s="595">
        <f>COUNTIFS(管理表!C:C,A3,管理表!AH:AH,"&lt;&gt;退職",管理表!J:J,C5,管理表!D:D,E6,管理表!Q:Q,"*実習*")</f>
        <v>0</v>
      </c>
      <c r="H6" s="595">
        <f>COUNTIFS(管理表!C:C,A3,管理表!AH:AH,"&lt;&gt;退職",管理表!J:J,C5,管理表!D:D,E6,管理表!Q:Q,"*特定*")</f>
        <v>0</v>
      </c>
    </row>
    <row r="7" spans="1:19" ht="14.5">
      <c r="A7" s="604" t="s">
        <v>175</v>
      </c>
      <c r="B7" s="595">
        <f>COUNTIFS(管理表!C:C,A7,管理表!AH:AH,"&lt;&gt;退職")</f>
        <v>4</v>
      </c>
      <c r="C7" s="595" t="s">
        <v>261</v>
      </c>
      <c r="D7" s="595">
        <f>COUNTIFS(管理表!C:C,A7,管理表!AH:AH,"&lt;&gt;退職",管理表!J:J,C7)</f>
        <v>2</v>
      </c>
      <c r="E7" s="595" t="s">
        <v>55</v>
      </c>
      <c r="F7" s="595">
        <f>COUNTIFS(管理表!C:C,A7,管理表!AH:AH,"&lt;&gt;退職",管理表!J:J,C7,管理表!D:D,E7)</f>
        <v>2</v>
      </c>
      <c r="G7" s="595">
        <f>COUNTIFS(管理表!C:C,A7,管理表!AH:AH,"&lt;&gt;退職",管理表!J:J,C7,管理表!D:D,E7,管理表!Q:Q,"*実習*")</f>
        <v>2</v>
      </c>
      <c r="H7" s="595">
        <f>COUNTIFS(管理表!C:C,A7,管理表!AH:AH,"&lt;&gt;退職",管理表!J:J,C7,管理表!D:D,E7,管理表!Q:Q,"*特定*")</f>
        <v>0</v>
      </c>
    </row>
    <row r="8" spans="1:19" ht="14.5">
      <c r="A8" s="604"/>
      <c r="C8" s="595"/>
      <c r="E8" s="595" t="s">
        <v>611</v>
      </c>
      <c r="F8" s="595">
        <f>COUNTIFS(管理表!C:C,A7,管理表!AH:AH,"&lt;&gt;退職",管理表!J:J,C7,管理表!D:D,E8)</f>
        <v>0</v>
      </c>
      <c r="G8" s="595">
        <f>COUNTIFS(管理表!C:C,A7,管理表!AH:AH,"&lt;&gt;退職",管理表!J:J,C7,管理表!D:D,E8,管理表!Q:Q,"*実習*")</f>
        <v>0</v>
      </c>
      <c r="H8" s="595">
        <f>COUNTIFS(管理表!C:C,A7,管理表!AH:AH,"&lt;&gt;退職",管理表!J:J,C7,管理表!D:D,E8,管理表!Q:Q,"*特定*")</f>
        <v>0</v>
      </c>
    </row>
    <row r="9" spans="1:19" ht="14.5">
      <c r="A9" s="604"/>
      <c r="C9" s="595" t="s">
        <v>60</v>
      </c>
      <c r="D9" s="595">
        <f>COUNTIFS(管理表!C:C,A7,管理表!AH:AH,"&lt;&gt;退職",管理表!J:J,C9)</f>
        <v>2</v>
      </c>
      <c r="E9" s="595" t="s">
        <v>55</v>
      </c>
      <c r="F9" s="595">
        <f>COUNTIFS(管理表!C:C,A7,管理表!AH:AH,"&lt;&gt;退職",管理表!J:J,C9,管理表!D:D,E9)</f>
        <v>2</v>
      </c>
      <c r="G9" s="595">
        <f>COUNTIFS(管理表!C:C,A7,管理表!AH:AH,"&lt;&gt;退職",管理表!J:J,C9,管理表!D:D,E9,管理表!Q:Q,"*実習*")</f>
        <v>2</v>
      </c>
      <c r="H9" s="595">
        <f>COUNTIFS(管理表!C:C,A7,管理表!AH:AH,"&lt;&gt;退職",管理表!J:J,C9,管理表!D:D,E9,管理表!Q:Q,"*特定*")</f>
        <v>0</v>
      </c>
    </row>
    <row r="10" spans="1:19" ht="14.5">
      <c r="A10" s="604"/>
      <c r="C10" s="595"/>
      <c r="E10" s="595" t="s">
        <v>611</v>
      </c>
      <c r="F10" s="595">
        <f>COUNTIFS(管理表!C:C,A7,管理表!AH:AH,"&lt;&gt;退職",管理表!J:J,C9,管理表!D:D,E10)</f>
        <v>0</v>
      </c>
      <c r="G10" s="595">
        <f>COUNTIFS(管理表!C:C,A7,管理表!AH:AH,"&lt;&gt;退職",管理表!J:J,C9,管理表!D:D,E10,管理表!Q:Q,"*実習*")</f>
        <v>0</v>
      </c>
      <c r="H10" s="595">
        <f>COUNTIFS(管理表!C:C,A7,管理表!AH:AH,"&lt;&gt;退職",管理表!J:J,C9,管理表!D:D,E10,管理表!Q:Q,"*特定*")</f>
        <v>0</v>
      </c>
    </row>
    <row r="11" spans="1:19" ht="14.5">
      <c r="A11" s="605" t="s">
        <v>3141</v>
      </c>
      <c r="B11" s="606">
        <f>B3+B7</f>
        <v>39</v>
      </c>
      <c r="C11" s="606" t="s">
        <v>261</v>
      </c>
      <c r="D11" s="606">
        <f>D3+D7</f>
        <v>13</v>
      </c>
      <c r="E11" s="606" t="s">
        <v>55</v>
      </c>
      <c r="F11" s="606">
        <f t="shared" ref="F11:H11" si="0">F3+F7</f>
        <v>13</v>
      </c>
      <c r="G11" s="606">
        <f t="shared" si="0"/>
        <v>6</v>
      </c>
      <c r="H11" s="606">
        <f t="shared" si="0"/>
        <v>7</v>
      </c>
    </row>
    <row r="12" spans="1:19" ht="14.5">
      <c r="A12" s="605"/>
      <c r="B12" s="606"/>
      <c r="C12" s="606"/>
      <c r="D12" s="606"/>
      <c r="E12" s="606" t="s">
        <v>611</v>
      </c>
      <c r="F12" s="606">
        <f t="shared" ref="F12:H12" si="1">F4+F8</f>
        <v>0</v>
      </c>
      <c r="G12" s="606">
        <f t="shared" si="1"/>
        <v>0</v>
      </c>
      <c r="H12" s="606">
        <f t="shared" si="1"/>
        <v>0</v>
      </c>
    </row>
    <row r="13" spans="1:19" ht="14.5">
      <c r="A13" s="605"/>
      <c r="B13" s="606"/>
      <c r="C13" s="606" t="s">
        <v>60</v>
      </c>
      <c r="D13" s="606">
        <f>D5+D9</f>
        <v>26</v>
      </c>
      <c r="E13" s="606" t="s">
        <v>55</v>
      </c>
      <c r="F13" s="606">
        <f t="shared" ref="F13:H13" si="2">F5+F9</f>
        <v>26</v>
      </c>
      <c r="G13" s="606">
        <f t="shared" si="2"/>
        <v>15</v>
      </c>
      <c r="H13" s="606">
        <f t="shared" si="2"/>
        <v>11</v>
      </c>
    </row>
    <row r="14" spans="1:19" ht="14.5">
      <c r="A14" s="605"/>
      <c r="B14" s="606"/>
      <c r="C14" s="606"/>
      <c r="D14" s="606"/>
      <c r="E14" s="606" t="s">
        <v>611</v>
      </c>
      <c r="F14" s="606">
        <f t="shared" ref="F14:H14" si="3">F6+F10</f>
        <v>0</v>
      </c>
      <c r="G14" s="606">
        <f t="shared" si="3"/>
        <v>0</v>
      </c>
      <c r="H14" s="606">
        <f t="shared" si="3"/>
        <v>0</v>
      </c>
    </row>
    <row r="15" spans="1:19" ht="14.5">
      <c r="A15" s="604" t="s">
        <v>54</v>
      </c>
      <c r="B15" s="595">
        <f>COUNTIFS(管理表!C:C,A15,管理表!AH:AH,"&lt;&gt;退職")</f>
        <v>109</v>
      </c>
      <c r="C15" s="595" t="s">
        <v>261</v>
      </c>
      <c r="D15" s="595">
        <f>COUNTIFS(管理表!C:C,A15,管理表!AH:AH,"&lt;&gt;退職",管理表!J:J,C15)</f>
        <v>33</v>
      </c>
      <c r="E15" s="595" t="s">
        <v>55</v>
      </c>
      <c r="F15" s="595">
        <f>COUNTIFS(管理表!C:C,A15,管理表!AH:AH,"&lt;&gt;退職",管理表!J:J,C15,管理表!D:D,E15)</f>
        <v>2</v>
      </c>
      <c r="G15" s="595">
        <f>COUNTIFS(管理表!C:C,A15,管理表!AH:AH,"&lt;&gt;退職",管理表!J:J,C15,管理表!D:D,E15,管理表!Q:Q,"*実習*")</f>
        <v>0</v>
      </c>
      <c r="H15" s="595">
        <f>COUNTIFS(管理表!C:C,A15,管理表!AH:AH,"&lt;&gt;退職",管理表!J:J,C15,管理表!D:D,E15,管理表!Q:Q,"*特定*")</f>
        <v>2</v>
      </c>
    </row>
    <row r="16" spans="1:19" ht="14.5">
      <c r="A16" s="604"/>
      <c r="C16" s="595"/>
      <c r="E16" s="595" t="s">
        <v>611</v>
      </c>
      <c r="F16" s="595">
        <f>COUNTIFS(管理表!C:C,A15,管理表!AH:AH,"&lt;&gt;退職",管理表!J:J,C15,管理表!D:D,E16)</f>
        <v>31</v>
      </c>
      <c r="G16" s="595">
        <f>COUNTIFS(管理表!C:C,A15,管理表!AH:AH,"&lt;&gt;退職",管理表!J:J,C15,管理表!D:D,E16,管理表!Q:Q,"*実習*")</f>
        <v>0</v>
      </c>
      <c r="H16" s="595">
        <f>COUNTIFS(管理表!C:C,A15,管理表!AH:AH,"&lt;&gt;退職",管理表!J:J,C15,管理表!D:D,E16,管理表!Q:Q,"*特定*")</f>
        <v>31</v>
      </c>
    </row>
    <row r="17" spans="1:14" ht="14.5">
      <c r="A17" s="604"/>
      <c r="C17" s="595" t="s">
        <v>60</v>
      </c>
      <c r="D17" s="595">
        <f>COUNTIFS(管理表!C:C,A15,管理表!AH:AH,"&lt;&gt;退職",管理表!J:J,C17)</f>
        <v>76</v>
      </c>
      <c r="E17" s="595" t="s">
        <v>55</v>
      </c>
      <c r="F17" s="595" t="e">
        <f>COUNTIFS(管理表!C1:C1024,A15,管理表!AH:AH,"&lt;&gt;退職",管理表!J:J,C17,管理表!D:D,E17)</f>
        <v>#VALUE!</v>
      </c>
      <c r="G17" s="595">
        <f>COUNTIFS(管理表!C:C,A15,管理表!AH:AH,"&lt;&gt;退職",管理表!J:J,C17,管理表!D:D,E17,管理表!Q:Q,"*実習*")</f>
        <v>0</v>
      </c>
      <c r="H17" s="595">
        <f>COUNTIFS(管理表!C:C,A15,管理表!AH:AH,"&lt;&gt;退職",管理表!J:J,C17,管理表!D:D,E17,管理表!Q:Q,"*特定*")</f>
        <v>8</v>
      </c>
    </row>
    <row r="18" spans="1:14" ht="14.5">
      <c r="A18" s="604"/>
      <c r="E18" s="595" t="s">
        <v>611</v>
      </c>
      <c r="F18" s="595">
        <f>COUNTIFS(管理表!C:C,A15,管理表!AH:AH,"&lt;&gt;退職",管理表!J:J,C17,管理表!D:D,E18)</f>
        <v>68</v>
      </c>
      <c r="G18" s="595">
        <f>COUNTIFS(管理表!C:C,A15,管理表!AH:AH,"&lt;&gt;退職",管理表!J:J,C17,管理表!D:D,E18,管理表!Q:Q,"*実習*")</f>
        <v>0</v>
      </c>
      <c r="H18" s="595">
        <f>COUNTIFS(管理表!C:C,A15,管理表!AH:AH,"&lt;&gt;退職",管理表!J:J,C17,管理表!D:D,E18,管理表!Q:Q,"*特定*")</f>
        <v>68</v>
      </c>
    </row>
    <row r="19" spans="1:14" ht="14.5">
      <c r="A19" s="607" t="s">
        <v>3142</v>
      </c>
      <c r="B19" s="608">
        <f>B3+B7+B15</f>
        <v>148</v>
      </c>
      <c r="C19" s="608" t="s">
        <v>261</v>
      </c>
      <c r="D19" s="608">
        <f>D3+D7+D15</f>
        <v>46</v>
      </c>
      <c r="E19" s="608" t="s">
        <v>55</v>
      </c>
      <c r="F19" s="608">
        <f t="shared" ref="F19:H19" si="4">F3+F7+F15</f>
        <v>15</v>
      </c>
      <c r="G19" s="608">
        <f t="shared" si="4"/>
        <v>6</v>
      </c>
      <c r="H19" s="608">
        <f t="shared" si="4"/>
        <v>9</v>
      </c>
      <c r="N19" s="594">
        <v>5211</v>
      </c>
    </row>
    <row r="20" spans="1:14" ht="14.5">
      <c r="A20" s="607"/>
      <c r="B20" s="608"/>
      <c r="C20" s="608"/>
      <c r="D20" s="608"/>
      <c r="E20" s="608" t="s">
        <v>611</v>
      </c>
      <c r="F20" s="608">
        <f t="shared" ref="F20:H20" si="5">F4+F8+F16</f>
        <v>31</v>
      </c>
      <c r="G20" s="608">
        <f t="shared" si="5"/>
        <v>0</v>
      </c>
      <c r="H20" s="608">
        <f t="shared" si="5"/>
        <v>31</v>
      </c>
    </row>
    <row r="21" spans="1:14" ht="14.5">
      <c r="A21" s="607"/>
      <c r="B21" s="608"/>
      <c r="C21" s="608" t="s">
        <v>60</v>
      </c>
      <c r="D21" s="608">
        <f>D5+D9+D17</f>
        <v>102</v>
      </c>
      <c r="E21" s="608" t="s">
        <v>55</v>
      </c>
      <c r="F21" s="608" t="e">
        <f t="shared" ref="F21:H21" si="6">F5+F9+F17</f>
        <v>#VALUE!</v>
      </c>
      <c r="G21" s="608">
        <f t="shared" si="6"/>
        <v>15</v>
      </c>
      <c r="H21" s="608">
        <f t="shared" si="6"/>
        <v>19</v>
      </c>
      <c r="K21" s="595" t="s">
        <v>3143</v>
      </c>
      <c r="L21" s="595" t="s">
        <v>3144</v>
      </c>
    </row>
    <row r="22" spans="1:14" ht="14.5">
      <c r="A22" s="607"/>
      <c r="B22" s="608"/>
      <c r="C22" s="608"/>
      <c r="D22" s="608"/>
      <c r="E22" s="608" t="s">
        <v>611</v>
      </c>
      <c r="F22" s="608">
        <f t="shared" ref="F22:H22" si="7">F6+F10+F18</f>
        <v>68</v>
      </c>
      <c r="G22" s="608">
        <f t="shared" si="7"/>
        <v>0</v>
      </c>
      <c r="H22" s="608">
        <f t="shared" si="7"/>
        <v>68</v>
      </c>
      <c r="K22" s="594" t="s">
        <v>3145</v>
      </c>
      <c r="L22" s="594" t="s">
        <v>3146</v>
      </c>
    </row>
    <row r="24" spans="1:14" ht="14.5">
      <c r="A24" s="609" t="s">
        <v>3132</v>
      </c>
      <c r="B24" s="601" t="s">
        <v>3133</v>
      </c>
      <c r="C24" s="601" t="s">
        <v>3134</v>
      </c>
      <c r="D24" s="601" t="s">
        <v>3135</v>
      </c>
      <c r="E24" s="601" t="s">
        <v>3</v>
      </c>
      <c r="F24" s="601" t="s">
        <v>3136</v>
      </c>
      <c r="G24" s="603" t="s">
        <v>2293</v>
      </c>
      <c r="H24" s="603" t="s">
        <v>3137</v>
      </c>
      <c r="I24" s="610" t="s">
        <v>100</v>
      </c>
      <c r="J24" s="610" t="s">
        <v>175</v>
      </c>
      <c r="K24" s="610" t="s">
        <v>54</v>
      </c>
    </row>
    <row r="25" spans="1:14" ht="14.5">
      <c r="A25" s="611" t="s">
        <v>1350</v>
      </c>
      <c r="B25" s="595">
        <f>COUNTIFS(管理表!N:N,A25,管理表!AH:AH,"&lt;&gt;退職")</f>
        <v>9</v>
      </c>
      <c r="C25" s="595" t="s">
        <v>261</v>
      </c>
      <c r="D25" s="595">
        <f>COUNTIFS(管理表!N:N,A25,管理表!AH:AH,"&lt;&gt;退職",管理表!J:J,C25)</f>
        <v>2</v>
      </c>
      <c r="E25" s="595" t="s">
        <v>55</v>
      </c>
      <c r="F25" s="595">
        <f>COUNTIFS(管理表!N:N,A25,管理表!AH:AH,"&lt;&gt;退職",管理表!J:J,C25,管理表!D:D,E25)</f>
        <v>2</v>
      </c>
      <c r="G25" s="595">
        <f>COUNTIFS(管理表!N:N,A25,管理表!AH:AH,"&lt;&gt;退職",管理表!J:J,C25,管理表!D:D,E25,管理表!Q:Q,"*実習*")</f>
        <v>2</v>
      </c>
      <c r="H25" s="595">
        <f>COUNTIFS(管理表!N:N,A25,管理表!AH:AH,"&lt;&gt;退職",管理表!J:J,C25,管理表!D:D,E25,管理表!Q:Q,"*特定*")</f>
        <v>0</v>
      </c>
      <c r="I25" s="595">
        <f>COUNTIFS(管理表!N:N,A25,管理表!AH:AH,"&lt;&gt;退職",管理表!J:J,C25,管理表!D:D,E25,管理表!C:C,"本社")</f>
        <v>2</v>
      </c>
      <c r="J25" s="595">
        <f>COUNTIFS(管理表!N:N,A25,管理表!AH:AH,"&lt;&gt;退職",管理表!J:J,C25,管理表!D:D,E25,管理表!C:C,"協同本社")</f>
        <v>0</v>
      </c>
      <c r="K25" s="595">
        <f>COUNTIFS(管理表!N:N,A25,管理表!AH:AH,"&lt;&gt;退職",管理表!J:J,C25,管理表!D:D,E25,管理表!C:C,"津吉")</f>
        <v>0</v>
      </c>
    </row>
    <row r="26" spans="1:14" ht="14.5">
      <c r="B26" s="595"/>
      <c r="C26" s="595"/>
      <c r="E26" s="595" t="s">
        <v>611</v>
      </c>
      <c r="F26" s="595">
        <f>COUNTIFS(管理表!N:N,A25,管理表!AH:AH,"&lt;&gt;退職",管理表!J:J,C25,管理表!D:D,E26)</f>
        <v>0</v>
      </c>
      <c r="G26" s="595">
        <f>COUNTIFS(管理表!N:N,A25,管理表!AH:AH,"&lt;&gt;退職",管理表!J:J,C25,管理表!D:D,E26,管理表!Q:Q,"*実習*")</f>
        <v>0</v>
      </c>
      <c r="H26" s="595">
        <f>COUNTIFS(管理表!N:N,A25,管理表!AH:AH,"&lt;&gt;退職",管理表!J:J,C25,管理表!D:D,E26,管理表!Q:Q,"*特定*")</f>
        <v>0</v>
      </c>
      <c r="I26" s="595">
        <f>COUNTIFS(管理表!N:N,A25,管理表!AH:AH,"&lt;&gt;退職",管理表!J:J,C25,管理表!D:D,E26,管理表!C:C,"本社")</f>
        <v>0</v>
      </c>
      <c r="J26" s="595">
        <f>COUNTIFS(管理表!N:N,A25,管理表!AH:AH,"&lt;&gt;退職",管理表!J:J,C25,管理表!D:D,E26,管理表!C:C,"協同本社")</f>
        <v>0</v>
      </c>
      <c r="K26" s="595">
        <f>COUNTIFS(管理表!N:N,A25,管理表!AH:AH,"&lt;&gt;退職",管理表!J:J,C25,管理表!D:D,E26,管理表!C:C,"津吉")</f>
        <v>0</v>
      </c>
    </row>
    <row r="27" spans="1:14" ht="14.5">
      <c r="B27" s="595"/>
      <c r="C27" s="595" t="s">
        <v>60</v>
      </c>
      <c r="D27" s="595">
        <f>COUNTIFS(管理表!N:N,A25,管理表!AH:AH,"&lt;&gt;退職",管理表!J:J,C27)</f>
        <v>7</v>
      </c>
      <c r="E27" s="595" t="s">
        <v>55</v>
      </c>
      <c r="F27" s="595">
        <f>COUNTIFS(管理表!N:N,A25,管理表!AH:AH,"&lt;&gt;退職",管理表!J:J,C27,管理表!D:D,E27)</f>
        <v>7</v>
      </c>
      <c r="G27" s="595">
        <f>COUNTIFS(管理表!N:N,A25,管理表!AH:AH,"&lt;&gt;退職",管理表!J:J,C27,管理表!D:D,E27,管理表!Q:Q,"*実習*")</f>
        <v>7</v>
      </c>
      <c r="H27" s="595">
        <f>COUNTIFS(管理表!N:N,A25,管理表!AH:AH,"&lt;&gt;退職",管理表!J:J,C27,管理表!D:D,E27,管理表!Q:Q,"*特定*")</f>
        <v>0</v>
      </c>
      <c r="I27" s="595">
        <f>COUNTIFS(管理表!N:N,A25,管理表!AH:AH,"&lt;&gt;退職",管理表!J:J,C27,管理表!D:D,E27,管理表!C:C,"本社")</f>
        <v>7</v>
      </c>
      <c r="J27" s="595">
        <f>COUNTIFS(管理表!N:N,A25,管理表!AH:AH,"&lt;&gt;退職",管理表!J:J,C27,管理表!D:D,E27,管理表!C:C,"協同本社")</f>
        <v>0</v>
      </c>
      <c r="K27" s="595">
        <f>COUNTIFS(管理表!N:N,A25,管理表!AH:AH,"&lt;&gt;退職",管理表!J:J,C27,管理表!D:D,E27,管理表!C:C,"津吉")</f>
        <v>0</v>
      </c>
    </row>
    <row r="28" spans="1:14" ht="14.5">
      <c r="B28" s="595"/>
      <c r="C28" s="595"/>
      <c r="E28" s="595" t="s">
        <v>611</v>
      </c>
      <c r="F28" s="595">
        <f>COUNTIFS(管理表!N:N,A25,管理表!AH:AH,"&lt;&gt;退職",管理表!J:J,C27,管理表!D:D,E28)</f>
        <v>0</v>
      </c>
      <c r="G28" s="595">
        <f>COUNTIFS(管理表!N:N,A25,管理表!AH:AH,"&lt;&gt;退職",管理表!J:J,C27,管理表!D:D,E28,管理表!Q:Q,"*実習*")</f>
        <v>0</v>
      </c>
      <c r="H28" s="595">
        <f>COUNTIFS(管理表!N:N,A25,管理表!AH:AH,"&lt;&gt;退職",管理表!J:J,C27,管理表!D:D,E28,管理表!Q:Q,"*特定*")</f>
        <v>0</v>
      </c>
      <c r="I28" s="595">
        <f>COUNTIFS(管理表!N:N,A25,管理表!AH:AH,"&lt;&gt;退職",管理表!J:J,C27,管理表!D:D,E28,管理表!C:C,"本社")</f>
        <v>0</v>
      </c>
      <c r="J28" s="595">
        <f>COUNTIFS(管理表!N:N,A25,管理表!AH:AH,"&lt;&gt;退職",管理表!J:J,C27,管理表!D:D,E28,管理表!C:C,"協同本社")</f>
        <v>0</v>
      </c>
      <c r="K28" s="595">
        <f>COUNTIFS(管理表!N:N,A25,管理表!AH:AH,"&lt;&gt;退職",管理表!J:J,C27,管理表!D:D,E28,管理表!C:C,"津吉")</f>
        <v>0</v>
      </c>
    </row>
    <row r="29" spans="1:14" ht="14.5">
      <c r="A29" s="611" t="s">
        <v>471</v>
      </c>
      <c r="B29" s="595">
        <f>COUNTIFS(管理表!N:N,A29,管理表!AH:AH,"&lt;&gt;退職")</f>
        <v>3</v>
      </c>
      <c r="C29" s="595" t="s">
        <v>261</v>
      </c>
      <c r="D29" s="595">
        <f>COUNTIFS(管理表!N:N,A29,管理表!AH:AH,"&lt;&gt;退職",管理表!J:J,C29)</f>
        <v>1</v>
      </c>
      <c r="E29" s="595" t="s">
        <v>55</v>
      </c>
      <c r="F29" s="595">
        <f>COUNTIFS(管理表!N:N,A29,管理表!AH:AH,"&lt;&gt;退職",管理表!J:J,C29,管理表!D:D,E29)</f>
        <v>1</v>
      </c>
      <c r="G29" s="595">
        <f>COUNTIFS(管理表!N:N,A29,管理表!AH:AH,"&lt;&gt;退職",管理表!J:J,C29,管理表!D:D,E29,管理表!Q:Q,"*実習*")</f>
        <v>0</v>
      </c>
      <c r="H29" s="595">
        <f>COUNTIFS(管理表!N:N,A29,管理表!AH:AH,"&lt;&gt;退職",管理表!J:J,C29,管理表!D:D,E29,管理表!Q:Q,"*特定*")</f>
        <v>1</v>
      </c>
      <c r="I29" s="595">
        <f>COUNTIFS(管理表!N:N,A29,管理表!AH:AH,"&lt;&gt;退職",管理表!J:J,C29,管理表!D:D,E29,管理表!C:C,"本社")</f>
        <v>0</v>
      </c>
      <c r="J29" s="595">
        <f>COUNTIFS(管理表!N:N,A29,管理表!AH:AH,"&lt;&gt;退職",管理表!J:J,C29,管理表!D:D,E29,管理表!C:C,"協同本社")</f>
        <v>0</v>
      </c>
      <c r="K29" s="595">
        <f>COUNTIFS(管理表!N:N,A29,管理表!AH:AH,"&lt;&gt;退職",管理表!J:J,C29,管理表!D:D,E29,管理表!C:C,"津吉")</f>
        <v>1</v>
      </c>
    </row>
    <row r="30" spans="1:14" ht="14.5">
      <c r="C30" s="595"/>
      <c r="E30" s="595" t="s">
        <v>611</v>
      </c>
      <c r="F30" s="595">
        <f>COUNTIFS(管理表!N:N,A29,管理表!AH:AH,"&lt;&gt;退職",管理表!J:J,C29,管理表!D:D,E30)</f>
        <v>0</v>
      </c>
      <c r="G30" s="595">
        <f>COUNTIFS(管理表!N:N,A29,管理表!AH:AH,"&lt;&gt;退職",管理表!J:J,C29,管理表!D:D,E30,管理表!Q:Q,"*実習*")</f>
        <v>0</v>
      </c>
      <c r="H30" s="595">
        <f>COUNTIFS(管理表!N:N,A29,管理表!AH:AH,"&lt;&gt;退職",管理表!J:J,C29,管理表!D:D,E30,管理表!Q:Q,"*特定*")</f>
        <v>0</v>
      </c>
      <c r="I30" s="595">
        <f>COUNTIFS(管理表!N:N,A29,管理表!AH:AH,"&lt;&gt;退職",管理表!J:J,C29,管理表!D:D,E30,管理表!C:C,"本社")</f>
        <v>0</v>
      </c>
      <c r="J30" s="595">
        <f>COUNTIFS(管理表!N:N,A29,管理表!AH:AH,"&lt;&gt;退職",管理表!J:J,C29,管理表!D:D,E30,管理表!C:C,"協同本社")</f>
        <v>0</v>
      </c>
      <c r="K30" s="595">
        <f>COUNTIFS(管理表!N:N,A29,管理表!AH:AH,"&lt;&gt;退職",管理表!J:J,C29,管理表!D:D,E30,管理表!C:C,"津吉")</f>
        <v>0</v>
      </c>
    </row>
    <row r="31" spans="1:14" ht="14.5">
      <c r="C31" s="595" t="s">
        <v>60</v>
      </c>
      <c r="D31" s="595">
        <f>COUNTIFS(管理表!N:N,A29,管理表!AH:AH,"&lt;&gt;退職",管理表!J:J,C31)</f>
        <v>2</v>
      </c>
      <c r="E31" s="595" t="s">
        <v>55</v>
      </c>
      <c r="F31" s="595">
        <f>COUNTIFS(管理表!N:N,A29,管理表!AH:AH,"&lt;&gt;退職",管理表!J:J,C31,管理表!D:D,E31)</f>
        <v>2</v>
      </c>
      <c r="G31" s="595">
        <f>COUNTIFS(管理表!N:N,A29,管理表!AH:AH,"&lt;&gt;退職",管理表!J:J,C31,管理表!D:D,E31,管理表!Q:Q,"*実習*")</f>
        <v>0</v>
      </c>
      <c r="H31" s="595">
        <f>COUNTIFS(管理表!N:N,A29,管理表!AH:AH,"&lt;&gt;退職",管理表!J:J,C31,管理表!D:D,E31,管理表!Q:Q,"*特定*")</f>
        <v>2</v>
      </c>
      <c r="I31" s="595">
        <f>COUNTIFS(管理表!N:N,A29,管理表!AH:AH,"&lt;&gt;退職",管理表!J:J,C31,管理表!D:D,E31,管理表!C:C,"本社")</f>
        <v>0</v>
      </c>
      <c r="J31" s="595">
        <f>COUNTIFS(管理表!N:N,A29,管理表!AH:AH,"&lt;&gt;退職",管理表!J:J,C31,管理表!D:D,E31,管理表!C:C,"協同本社")</f>
        <v>0</v>
      </c>
      <c r="K31" s="595">
        <f>COUNTIFS(管理表!N:N,A29,管理表!AH:AH,"&lt;&gt;退職",管理表!J:J,C31,管理表!D:D,E31,管理表!C:C,"津吉")</f>
        <v>2</v>
      </c>
    </row>
    <row r="32" spans="1:14" ht="14.5">
      <c r="C32" s="595"/>
      <c r="E32" s="595" t="s">
        <v>611</v>
      </c>
      <c r="F32" s="595">
        <f>COUNTIFS(管理表!N:N,A29,管理表!AH:AH,"&lt;&gt;退職",管理表!J:J,C31,管理表!D:D,E32)</f>
        <v>0</v>
      </c>
      <c r="G32" s="595">
        <f>COUNTIFS(管理表!N:N,A29,管理表!AH:AH,"&lt;&gt;退職",管理表!J:J,C31,管理表!D:D,E32,管理表!Q:Q,"*実習*")</f>
        <v>0</v>
      </c>
      <c r="H32" s="595">
        <f>COUNTIFS(管理表!N:N,A29,管理表!AH:AH,"&lt;&gt;退職",管理表!J:J,C31,管理表!D:D,E32,管理表!Q:Q,"*特定*")</f>
        <v>0</v>
      </c>
      <c r="I32" s="595">
        <f>COUNTIFS(管理表!N:N,A29,管理表!AH:AH,"&lt;&gt;退職",管理表!J:J,C31,管理表!D:D,E32,管理表!C:C,"本社")</f>
        <v>0</v>
      </c>
      <c r="J32" s="595">
        <f>COUNTIFS(管理表!N:N,A29,管理表!AH:AH,"&lt;&gt;退職",管理表!J:J,C31,管理表!D:D,E32,管理表!C:C,"協同本社")</f>
        <v>0</v>
      </c>
      <c r="K32" s="595">
        <f>COUNTIFS(管理表!N:N,A29,管理表!AH:AH,"&lt;&gt;退職",管理表!J:J,C31,管理表!D:D,E32,管理表!C:C,"津吉")</f>
        <v>0</v>
      </c>
    </row>
    <row r="33" spans="1:11" ht="14.5">
      <c r="A33" s="611" t="s">
        <v>61</v>
      </c>
      <c r="B33" s="595">
        <f>COUNTIFS(管理表!N:N,A33,管理表!AH:AH,"&lt;&gt;退職")</f>
        <v>37</v>
      </c>
      <c r="C33" s="595" t="s">
        <v>261</v>
      </c>
      <c r="D33" s="595">
        <f>COUNTIFS(管理表!N:N,A33,管理表!AH:AH,"&lt;&gt;退職",管理表!J:J,C33)</f>
        <v>12</v>
      </c>
      <c r="E33" s="595" t="s">
        <v>55</v>
      </c>
      <c r="F33" s="595">
        <f>COUNTIFS(管理表!N:N,A33,管理表!AH:AH,"&lt;&gt;退職",管理表!J:J,C33,管理表!D:D,E33)</f>
        <v>12</v>
      </c>
      <c r="G33" s="595">
        <f>COUNTIFS(管理表!N:N,A33,管理表!AH:AH,"&lt;&gt;退職",管理表!J:J,C33,管理表!D:D,E33,管理表!Q:Q,"*実習*")</f>
        <v>4</v>
      </c>
      <c r="H33" s="595">
        <f>COUNTIFS(管理表!N:N,A33,管理表!AH:AH,"&lt;&gt;退職",管理表!J:J,C33,管理表!D:D,E33,管理表!Q:Q,"*特定*")</f>
        <v>8</v>
      </c>
      <c r="I33" s="595">
        <f>COUNTIFS(管理表!N:N,A33,管理表!AH:AH,"&lt;&gt;退職",管理表!J:J,C33,管理表!D:D,E33,管理表!C:C,"本社")</f>
        <v>9</v>
      </c>
      <c r="J33" s="595">
        <f>COUNTIFS(管理表!N:N,A33,管理表!AH:AH,"&lt;&gt;退職",管理表!J:J,C33,管理表!D:D,E33,管理表!C:C,"協同本社")</f>
        <v>2</v>
      </c>
      <c r="K33" s="595">
        <f>COUNTIFS(管理表!N:N,A33,管理表!AH:AH,"&lt;&gt;退職",管理表!J:J,C33,管理表!D:D,E33,管理表!C:C,"津吉")</f>
        <v>1</v>
      </c>
    </row>
    <row r="34" spans="1:11" ht="14.5">
      <c r="B34" s="595"/>
      <c r="C34" s="595"/>
      <c r="E34" s="595" t="s">
        <v>611</v>
      </c>
      <c r="F34" s="595">
        <f>COUNTIFS(管理表!N:N,A33,管理表!AH:AH,"&lt;&gt;退職",管理表!J:J,C33,管理表!D:D,E34)</f>
        <v>0</v>
      </c>
      <c r="G34" s="595">
        <f>COUNTIFS(管理表!N:N,A33,管理表!AH:AH,"&lt;&gt;退職",管理表!J:J,C33,管理表!D:D,E34,管理表!Q:Q,"*実習*")</f>
        <v>0</v>
      </c>
      <c r="H34" s="595">
        <f>COUNTIFS(管理表!N:N,A33,管理表!AH:AH,"&lt;&gt;退職",管理表!J:J,C33,管理表!D:D,E34,管理表!Q:Q,"*特定*")</f>
        <v>0</v>
      </c>
      <c r="I34" s="595">
        <f>COUNTIFS(管理表!N:N,A33,管理表!AH:AH,"&lt;&gt;退職",管理表!J:J,C33,管理表!D:D,E34,管理表!C:C,"本社")</f>
        <v>0</v>
      </c>
      <c r="J34" s="595">
        <f>COUNTIFS(管理表!N:N,A33,管理表!AH:AH,"&lt;&gt;退職",管理表!J:J,C33,管理表!D:D,E34,管理表!C:C,"協同本社")</f>
        <v>0</v>
      </c>
      <c r="K34" s="595">
        <f>COUNTIFS(管理表!N:N,A33,管理表!AH:AH,"&lt;&gt;退職",管理表!J:J,C33,管理表!D:D,E34,管理表!C:C,"津吉")</f>
        <v>0</v>
      </c>
    </row>
    <row r="35" spans="1:11" ht="14.5">
      <c r="B35" s="595"/>
      <c r="C35" s="595" t="s">
        <v>60</v>
      </c>
      <c r="D35" s="595">
        <f>COUNTIFS(管理表!N:N,A33,管理表!AH:AH,"&lt;&gt;退職",管理表!J:J,C35)</f>
        <v>25</v>
      </c>
      <c r="E35" s="595" t="s">
        <v>55</v>
      </c>
      <c r="F35" s="595">
        <f>COUNTIFS(管理表!N:N,A33,管理表!AH:AH,"&lt;&gt;退職",管理表!J:J,C35,管理表!D:D,E35)</f>
        <v>25</v>
      </c>
      <c r="G35" s="595">
        <f>COUNTIFS(管理表!N:N,A33,管理表!AH:AH,"&lt;&gt;退職",管理表!J:J,C35,管理表!D:D,E35,管理表!Q:Q,"*実習*")</f>
        <v>8</v>
      </c>
      <c r="H35" s="595">
        <f>COUNTIFS(管理表!N:N,A33,管理表!AH:AH,"&lt;&gt;退職",管理表!J:J,C35,管理表!D:D,E35,管理表!Q:Q,"*特定*")</f>
        <v>17</v>
      </c>
      <c r="I35" s="595">
        <f>COUNTIFS(管理表!N:N,A33,管理表!AH:AH,"&lt;&gt;退職",管理表!J:J,C35,管理表!D:D,E35,管理表!C:C,"本社")</f>
        <v>17</v>
      </c>
      <c r="J35" s="595">
        <f>COUNTIFS(管理表!N:N,A33,管理表!AH:AH,"&lt;&gt;退職",管理表!J:J,C35,管理表!D:D,E35,管理表!C:C,"協同本社")</f>
        <v>2</v>
      </c>
      <c r="K35" s="595">
        <f>COUNTIFS(管理表!N:N,A33,管理表!AH:AH,"&lt;&gt;退職",管理表!J:J,C35,管理表!D:D,E35,管理表!C:C,"津吉")</f>
        <v>6</v>
      </c>
    </row>
    <row r="36" spans="1:11" ht="14.5">
      <c r="B36" s="595"/>
      <c r="C36" s="595"/>
      <c r="E36" s="595" t="s">
        <v>611</v>
      </c>
      <c r="F36" s="595">
        <f>COUNTIFS(管理表!N:N,A33,管理表!AH:AH,"&lt;&gt;退職",管理表!J:J,C35,管理表!D:D,E36)</f>
        <v>0</v>
      </c>
      <c r="G36" s="595">
        <f>COUNTIFS(管理表!N:N,A33,管理表!AH:AH,"&lt;&gt;退職",管理表!J:J,C35,管理表!D:D,E36,管理表!Q:Q,"*実習*")</f>
        <v>0</v>
      </c>
      <c r="H36" s="595">
        <f>COUNTIFS(管理表!N:N,A33,管理表!AH:AH,"&lt;&gt;退職",管理表!J:J,C35,管理表!D:D,E36,管理表!Q:Q,"*特定*")</f>
        <v>0</v>
      </c>
      <c r="I36" s="595">
        <f>COUNTIFS(管理表!N:N,A33,管理表!AH:AH,"&lt;&gt;退職",管理表!J:J,C35,管理表!D:D,E36,管理表!C:C,"本社")</f>
        <v>0</v>
      </c>
      <c r="J36" s="595">
        <f>COUNTIFS(管理表!N:N,A33,管理表!AH:AH,"&lt;&gt;退職",管理表!J:J,C35,管理表!D:D,E36,管理表!C:C,"協同本社")</f>
        <v>0</v>
      </c>
      <c r="K36" s="595">
        <f>COUNTIFS(管理表!N:N,A33,管理表!AH:AH,"&lt;&gt;退職",管理表!J:J,C35,管理表!D:D,E36,管理表!C:C,"津吉")</f>
        <v>0</v>
      </c>
    </row>
    <row r="37" spans="1:11" ht="13.5" customHeight="1">
      <c r="A37" s="611" t="s">
        <v>617</v>
      </c>
      <c r="B37" s="595">
        <f>COUNTIFS(管理表!N:N,A37,管理表!AH:AH,"&lt;&gt;退職")</f>
        <v>77</v>
      </c>
      <c r="C37" s="595" t="s">
        <v>261</v>
      </c>
      <c r="D37" s="595">
        <f>COUNTIFS(管理表!N:N,A37,管理表!AH:AH,"&lt;&gt;退職",管理表!J:J,C37)</f>
        <v>24</v>
      </c>
      <c r="E37" s="595" t="s">
        <v>55</v>
      </c>
      <c r="F37" s="595">
        <f>COUNTIFS(管理表!N:N,A37,管理表!AH:AH,"&lt;&gt;退職",管理表!J:J,C37,管理表!D:D,E37)</f>
        <v>0</v>
      </c>
      <c r="G37" s="595">
        <f>COUNTIFS(管理表!N:N,A37,管理表!AH:AH,"&lt;&gt;退職",管理表!J:J,C37,管理表!D:D,E37,管理表!Q:Q,"*実習*")</f>
        <v>0</v>
      </c>
      <c r="H37" s="595">
        <f>COUNTIFS(管理表!N:N,A37,管理表!AH:AH,"&lt;&gt;退職",管理表!J:J,C37,管理表!D:D,E37,管理表!Q:Q,"*特定*")</f>
        <v>0</v>
      </c>
      <c r="I37" s="595">
        <f>COUNTIFS(管理表!N:N,A37,管理表!AH:AH,"&lt;&gt;退職",管理表!J:J,C37,管理表!D:D,E37,管理表!C:C,"本社")</f>
        <v>0</v>
      </c>
      <c r="J37" s="595">
        <f>COUNTIFS(管理表!N:N,A37,管理表!AH:AH,"&lt;&gt;退職",管理表!J:J,C37,管理表!D:D,E37,管理表!C:C,"協同本社")</f>
        <v>0</v>
      </c>
      <c r="K37" s="595">
        <f>COUNTIFS(管理表!N:N,A37,管理表!AH:AH,"&lt;&gt;退職",管理表!J:J,C37,管理表!D:D,E37,管理表!C:C,"津吉")</f>
        <v>0</v>
      </c>
    </row>
    <row r="38" spans="1:11" ht="14.5">
      <c r="C38" s="595"/>
      <c r="E38" s="595" t="s">
        <v>611</v>
      </c>
      <c r="F38" s="595">
        <f>COUNTIFS(管理表!N:N,A37,管理表!AH:AH,"&lt;&gt;退職",管理表!J:J,C37,管理表!D:D,E38)</f>
        <v>24</v>
      </c>
      <c r="G38" s="595">
        <f>COUNTIFS(管理表!N:N,A37,管理表!AH:AH,"&lt;&gt;退職",管理表!J:J,C37,管理表!D:D,E38,管理表!Q:Q,"*実習*")</f>
        <v>0</v>
      </c>
      <c r="H38" s="595">
        <f>COUNTIFS(管理表!N:N,A37,管理表!AH:AH,"&lt;&gt;退職",管理表!J:J,C37,管理表!D:D,E38,管理表!Q:Q,"*特定*")</f>
        <v>24</v>
      </c>
      <c r="I38" s="595">
        <f>COUNTIFS(管理表!N:N,A37,管理表!AH:AH,"&lt;&gt;退職",管理表!J:J,C37,管理表!D:D,E38,管理表!C:C,"本社")</f>
        <v>0</v>
      </c>
      <c r="J38" s="595">
        <f>COUNTIFS(管理表!N:N,A37,管理表!AH:AH,"&lt;&gt;退職",管理表!J:J,C37,管理表!D:D,E38,管理表!C:C,"協同本社")</f>
        <v>0</v>
      </c>
      <c r="K38" s="612">
        <f>COUNTIFS(管理表!N:N,A37,管理表!AH:AH,"&lt;&gt;退職",管理表!J:J,C37,管理表!D:D,E38,管理表!C:C,"津吉")</f>
        <v>24</v>
      </c>
    </row>
    <row r="39" spans="1:11" ht="14.5">
      <c r="C39" s="595" t="s">
        <v>60</v>
      </c>
      <c r="D39" s="595">
        <f>COUNTIFS(管理表!N:N,A37,管理表!AH:AH,"&lt;&gt;退職",管理表!J:J,C39)</f>
        <v>53</v>
      </c>
      <c r="E39" s="595" t="s">
        <v>55</v>
      </c>
      <c r="F39" s="595">
        <f>COUNTIFS(管理表!N:N,A37,管理表!AH:AH,"&lt;&gt;退職",管理表!J:J,C39,管理表!D:D,E39)</f>
        <v>0</v>
      </c>
      <c r="G39" s="595">
        <f>COUNTIFS(管理表!N:N,A37,管理表!AH:AH,"&lt;&gt;退職",管理表!J:J,C39,管理表!D:D,E39,管理表!Q:Q,"*実習*")</f>
        <v>0</v>
      </c>
      <c r="H39" s="595">
        <f>COUNTIFS(管理表!N:N,A37,管理表!AH:AH,"&lt;&gt;退職",管理表!J:J,C39,管理表!D:D,E39,管理表!Q:Q,"*特定*")</f>
        <v>0</v>
      </c>
      <c r="I39" s="595">
        <f>COUNTIFS(管理表!N:N,A37,管理表!AH:AH,"&lt;&gt;退職",管理表!J:J,C39,管理表!D:D,E39,管理表!C:C,"本社")</f>
        <v>0</v>
      </c>
      <c r="J39" s="595">
        <f>COUNTIFS(管理表!N:N,A37,管理表!AH:AH,"&lt;&gt;退職",管理表!J:J,C39,管理表!D:D,E39,管理表!C:C,"協同本社")</f>
        <v>0</v>
      </c>
      <c r="K39" s="595">
        <f>COUNTIFS(管理表!N:N,A37,管理表!AH:AH,"&lt;&gt;退職",管理表!J:J,C39,管理表!D:D,E39,管理表!C:C,"津吉")</f>
        <v>0</v>
      </c>
    </row>
    <row r="40" spans="1:11" ht="14.5">
      <c r="E40" s="595" t="s">
        <v>611</v>
      </c>
      <c r="F40" s="595">
        <f>COUNTIFS(管理表!N:N,A37,管理表!AH:AH,"&lt;&gt;退職",管理表!J:J,C39,管理表!D:D,E40)</f>
        <v>53</v>
      </c>
      <c r="G40" s="595">
        <f>COUNTIFS(管理表!N:N,A37,管理表!AH:AH,"&lt;&gt;退職",管理表!J:J,C39,管理表!D:D,E40,管理表!Q:Q,"*実習*")</f>
        <v>0</v>
      </c>
      <c r="H40" s="595">
        <f>COUNTIFS(管理表!N:N,A37,管理表!AH:AH,"&lt;&gt;退職",管理表!J:J,C39,管理表!D:D,E40,管理表!Q:Q,"*特定*")</f>
        <v>53</v>
      </c>
      <c r="I40" s="595">
        <f>COUNTIFS(管理表!N:N,A37,管理表!AH:AH,"&lt;&gt;退職",管理表!J:J,C39,管理表!D:D,E40,管理表!C:C,"本社")</f>
        <v>0</v>
      </c>
      <c r="J40" s="595">
        <f>COUNTIFS(管理表!N:N,A37,管理表!AH:AH,"&lt;&gt;退職",管理表!J:J,C39,管理表!D:D,E40,管理表!C:C,"協同本社")</f>
        <v>0</v>
      </c>
      <c r="K40" s="595">
        <f>COUNTIFS(管理表!N:N,A37,管理表!AH:AH,"&lt;&gt;退職",管理表!J:J,C39,管理表!D:D,E40,管理表!C:C,"津吉")</f>
        <v>53</v>
      </c>
    </row>
    <row r="41" spans="1:11" ht="14.5">
      <c r="A41" s="611" t="s">
        <v>2033</v>
      </c>
      <c r="B41" s="595">
        <f>COUNTIFS(管理表!N:N,A41,管理表!AH:AH,"&lt;&gt;退職")</f>
        <v>15</v>
      </c>
      <c r="C41" s="595" t="s">
        <v>261</v>
      </c>
      <c r="D41" s="595">
        <f>COUNTIFS(管理表!N:N,A41,管理表!AH:AH,"&lt;&gt;退職",管理表!J:J,C41)</f>
        <v>3</v>
      </c>
      <c r="E41" s="595" t="s">
        <v>55</v>
      </c>
      <c r="F41" s="595">
        <f>COUNTIFS(管理表!N:N,A41,管理表!AH:AH,"&lt;&gt;退職",管理表!J:J,C41,管理表!D:D,E41)</f>
        <v>0</v>
      </c>
      <c r="G41" s="595">
        <f>COUNTIFS(管理表!N:N,A41,管理表!AH:AH,"&lt;&gt;退職",管理表!J:J,C41,管理表!D:D,E41,管理表!Q:Q,"*実習*")</f>
        <v>0</v>
      </c>
      <c r="H41" s="595">
        <f>COUNTIFS(管理表!N:N,A41,管理表!AH:AH,"&lt;&gt;退職",管理表!J:J,C41,管理表!D:D,E41,管理表!Q:Q,"*特定*")</f>
        <v>0</v>
      </c>
      <c r="I41" s="595">
        <f>COUNTIFS(管理表!N:N,A41,管理表!AH:AH,"&lt;&gt;退職",管理表!J:J,C41,管理表!D:D,E41,管理表!C:C,"本社")</f>
        <v>0</v>
      </c>
      <c r="J41" s="595">
        <f>COUNTIFS(管理表!N:N,A41,管理表!AH:AH,"&lt;&gt;退職",管理表!J:J,C41,管理表!D:D,E41,管理表!C:C,"協同本社")</f>
        <v>0</v>
      </c>
      <c r="K41" s="595">
        <f>COUNTIFS(管理表!N:N,A41,管理表!AH:AH,"&lt;&gt;退職",管理表!J:J,C41,管理表!D:D,E41,管理表!C:C,"津吉")</f>
        <v>0</v>
      </c>
    </row>
    <row r="42" spans="1:11" ht="14.5">
      <c r="C42" s="595"/>
      <c r="E42" s="595" t="s">
        <v>611</v>
      </c>
      <c r="F42" s="595">
        <f>COUNTIFS(管理表!N:N,A41,管理表!AH:AH,"&lt;&gt;退職",管理表!J:J,C41,管理表!D:D,E42)</f>
        <v>3</v>
      </c>
      <c r="G42" s="595">
        <f>COUNTIFS(管理表!N:N,A41,管理表!AH:AH,"&lt;&gt;退職",管理表!J:J,C41,管理表!D:D,E42,管理表!Q:Q,"*実習*")</f>
        <v>0</v>
      </c>
      <c r="H42" s="595">
        <f>COUNTIFS(管理表!N:N,A41,管理表!AH:AH,"&lt;&gt;退職",管理表!J:J,C41,管理表!D:D,E42,管理表!Q:Q,"*特定*")</f>
        <v>3</v>
      </c>
      <c r="I42" s="595">
        <f>COUNTIFS(管理表!N:N,A41,管理表!AH:AH,"&lt;&gt;退職",管理表!J:J,C41,管理表!D:D,E42,管理表!C:C,"本社")</f>
        <v>0</v>
      </c>
      <c r="J42" s="595">
        <f>COUNTIFS(管理表!N:N,A41,管理表!AH:AH,"&lt;&gt;退職",管理表!J:J,C41,管理表!D:D,E42,管理表!C:C,"協同本社")</f>
        <v>0</v>
      </c>
      <c r="K42" s="612">
        <f>COUNTIFS(管理表!N:N,A41,管理表!AH:AH,"&lt;&gt;退職",管理表!J:J,C41,管理表!D:D,E42,管理表!C:C,"津吉")</f>
        <v>3</v>
      </c>
    </row>
    <row r="43" spans="1:11" ht="14.5">
      <c r="C43" s="595" t="s">
        <v>60</v>
      </c>
      <c r="D43" s="595">
        <f>COUNTIFS(管理表!N:N,A41,管理表!AH:AH,"&lt;&gt;退職",管理表!J:J,C43)</f>
        <v>12</v>
      </c>
      <c r="E43" s="595" t="s">
        <v>55</v>
      </c>
      <c r="F43" s="595">
        <f>COUNTIFS(管理表!N:N,A41,管理表!AH:AH,"&lt;&gt;退職",管理表!J:J,C43,管理表!D:D,E43)</f>
        <v>0</v>
      </c>
      <c r="G43" s="595">
        <f>COUNTIFS(管理表!N:N,A41,管理表!AH:AH,"&lt;&gt;退職",管理表!J:J,C43,管理表!D:D,E43,管理表!Q:Q,"*実習*")</f>
        <v>0</v>
      </c>
      <c r="H43" s="595">
        <f>COUNTIFS(管理表!N:N,A41,管理表!AH:AH,"&lt;&gt;退職",管理表!J:J,C43,管理表!D:D,E43,管理表!Q:Q,"*特定*")</f>
        <v>0</v>
      </c>
      <c r="I43" s="595">
        <f>COUNTIFS(管理表!N:N,A41,管理表!AH:AH,"&lt;&gt;退職",管理表!J:J,C43,管理表!D:D,E43,管理表!C:C,"本社")</f>
        <v>0</v>
      </c>
      <c r="J43" s="595">
        <f>COUNTIFS(管理表!N:N,A41,管理表!AH:AH,"&lt;&gt;退職",管理表!J:J,C43,管理表!D:D,E43,管理表!C:C,"協同本社")</f>
        <v>0</v>
      </c>
      <c r="K43" s="595">
        <f>COUNTIFS(管理表!N:N,A41,管理表!AH:AH,"&lt;&gt;退職",管理表!J:J,C43,管理表!D:D,E43,管理表!C:C,"津吉")</f>
        <v>0</v>
      </c>
    </row>
    <row r="44" spans="1:11" ht="14.5">
      <c r="E44" s="595" t="s">
        <v>611</v>
      </c>
      <c r="F44" s="595">
        <f>COUNTIFS(管理表!N:N,A41,管理表!AH:AH,"&lt;&gt;退職",管理表!J:J,C43,管理表!D:D,E44)</f>
        <v>12</v>
      </c>
      <c r="G44" s="595">
        <f>COUNTIFS(管理表!N:N,A41,管理表!AH:AH,"&lt;&gt;退職",管理表!J:J,C43,管理表!D:D,E44,管理表!Q:Q,"*実習*")</f>
        <v>0</v>
      </c>
      <c r="H44" s="595">
        <f>COUNTIFS(管理表!N:N,A41,管理表!AH:AH,"&lt;&gt;退職",管理表!J:J,C43,管理表!D:D,E44,管理表!Q:Q,"*特定*")</f>
        <v>12</v>
      </c>
      <c r="I44" s="595">
        <f>COUNTIFS(管理表!N:N,A41,管理表!AH:AH,"&lt;&gt;退職",管理表!J:J,C43,管理表!D:D,E44,管理表!C:C,"本社")</f>
        <v>0</v>
      </c>
      <c r="J44" s="595">
        <f>COUNTIFS(管理表!N:N,A41,管理表!AH:AH,"&lt;&gt;退職",管理表!J:J,C43,管理表!D:D,E44,管理表!C:C,"協同本社")</f>
        <v>0</v>
      </c>
      <c r="K44" s="595">
        <f>COUNTIFS(管理表!N:N,A41,管理表!AH:AH,"&lt;&gt;退職",管理表!J:J,C43,管理表!D:D,E44,管理表!C:C,"津吉")</f>
        <v>12</v>
      </c>
    </row>
    <row r="45" spans="1:11" ht="14.5">
      <c r="A45" s="611" t="s">
        <v>2228</v>
      </c>
      <c r="B45" s="595">
        <f>COUNTIFS(管理表!N:N,A45,管理表!AH:AH,"&lt;&gt;退職")</f>
        <v>5</v>
      </c>
      <c r="C45" s="595" t="s">
        <v>261</v>
      </c>
      <c r="D45" s="595">
        <f>COUNTIFS(管理表!N:N,A45,管理表!AH:AH,"&lt;&gt;退職",管理表!J:J,C45)</f>
        <v>2</v>
      </c>
      <c r="E45" s="595" t="s">
        <v>55</v>
      </c>
      <c r="F45" s="595">
        <f>COUNTIFS(管理表!N:N,A45,管理表!AH:AH,"&lt;&gt;退職",管理表!J:J,C45,管理表!D:D,E45)</f>
        <v>0</v>
      </c>
      <c r="G45" s="595">
        <f>COUNTIFS(管理表!N:N,A45,管理表!AH:AH,"&lt;&gt;退職",管理表!J:J,C45,管理表!D:D,E45,管理表!Q:Q,"*実習*")</f>
        <v>0</v>
      </c>
      <c r="H45" s="595">
        <f>COUNTIFS(管理表!N:N,A45,管理表!AH:AH,"&lt;&gt;退職",管理表!J:J,C45,管理表!D:D,E45,管理表!Q:Q,"*特定*")</f>
        <v>0</v>
      </c>
      <c r="I45" s="595">
        <f>COUNTIFS(管理表!N:N,A45,管理表!AH:AH,"&lt;&gt;退職",管理表!J:J,C45,管理表!D:D,E45,管理表!C:C,"本社")</f>
        <v>0</v>
      </c>
      <c r="J45" s="595">
        <f>COUNTIFS(管理表!N:N,A45,管理表!AH:AH,"&lt;&gt;退職",管理表!J:J,C45,管理表!D:D,E45,管理表!C:C,"協同本社")</f>
        <v>0</v>
      </c>
      <c r="K45" s="595">
        <f>COUNTIFS(管理表!N:N,A45,管理表!AH:AH,"&lt;&gt;退職",管理表!J:J,C45,管理表!D:D,E45,管理表!C:C,"津吉")</f>
        <v>0</v>
      </c>
    </row>
    <row r="46" spans="1:11" ht="14.5">
      <c r="C46" s="595"/>
      <c r="E46" s="595" t="s">
        <v>611</v>
      </c>
      <c r="F46" s="595">
        <f>COUNTIFS(管理表!N:N,A45,管理表!AH:AH,"&lt;&gt;退職",管理表!J:J,C45,管理表!D:D,E46)</f>
        <v>2</v>
      </c>
      <c r="G46" s="595">
        <f>COUNTIFS(管理表!N:N,A45,管理表!AH:AH,"&lt;&gt;退職",管理表!J:J,C45,管理表!D:D,E46,管理表!Q:Q,"*実習*")</f>
        <v>0</v>
      </c>
      <c r="H46" s="595">
        <f>COUNTIFS(管理表!N:N,A45,管理表!AH:AH,"&lt;&gt;退職",管理表!J:J,C45,管理表!D:D,E46,管理表!Q:Q,"*特定*")</f>
        <v>2</v>
      </c>
      <c r="I46" s="595">
        <f>COUNTIFS(管理表!N:N,A45,管理表!AH:AH,"&lt;&gt;退職",管理表!J:J,C45,管理表!D:D,E46,管理表!C:C,"本社")</f>
        <v>0</v>
      </c>
      <c r="J46" s="595">
        <f>COUNTIFS(管理表!N:N,A45,管理表!AH:AH,"&lt;&gt;退職",管理表!J:J,C45,管理表!D:D,E46,管理表!C:C,"協同本社")</f>
        <v>0</v>
      </c>
      <c r="K46" s="612">
        <f>COUNTIFS(管理表!N:N,A45,管理表!AH:AH,"&lt;&gt;退職",管理表!J:J,C45,管理表!D:D,E46,管理表!C:C,"津吉")</f>
        <v>2</v>
      </c>
    </row>
    <row r="47" spans="1:11" ht="14.5">
      <c r="C47" s="595" t="s">
        <v>60</v>
      </c>
      <c r="D47" s="595">
        <f>COUNTIFS(管理表!N:N,A45,管理表!AH:AH,"&lt;&gt;退職",管理表!J:J,C47)</f>
        <v>3</v>
      </c>
      <c r="E47" s="595" t="s">
        <v>55</v>
      </c>
      <c r="F47" s="595">
        <f>COUNTIFS(管理表!N:N,A45,管理表!AH:AH,"&lt;&gt;退職",管理表!J:J,C47,管理表!D:D,E47)</f>
        <v>0</v>
      </c>
      <c r="G47" s="595">
        <f>COUNTIFS(管理表!N:N,A45,管理表!AH:AH,"&lt;&gt;退職",管理表!J:J,C47,管理表!D:D,E47,管理表!Q:Q,"*実習*")</f>
        <v>0</v>
      </c>
      <c r="H47" s="595">
        <f>COUNTIFS(管理表!N:N,A45,管理表!AH:AH,"&lt;&gt;退職",管理表!J:J,C47,管理表!D:D,E47,管理表!Q:Q,"*特定*")</f>
        <v>0</v>
      </c>
      <c r="I47" s="595">
        <f>COUNTIFS(管理表!N:N,A45,管理表!AH:AH,"&lt;&gt;退職",管理表!J:J,C47,管理表!D:D,E47,管理表!C:C,"本社")</f>
        <v>0</v>
      </c>
      <c r="J47" s="595">
        <f>COUNTIFS(管理表!N:N,A45,管理表!AH:AH,"&lt;&gt;退職",管理表!J:J,C47,管理表!D:D,E47,管理表!C:C,"協同本社")</f>
        <v>0</v>
      </c>
      <c r="K47" s="595">
        <f>COUNTIFS(管理表!N:N,A45,管理表!AH:AH,"&lt;&gt;退職",管理表!J:J,C47,管理表!D:D,E47,管理表!C:C,"津吉")</f>
        <v>0</v>
      </c>
    </row>
    <row r="48" spans="1:11" ht="14.5">
      <c r="E48" s="595" t="s">
        <v>611</v>
      </c>
      <c r="F48" s="595">
        <f>COUNTIFS(管理表!N:N,A45,管理表!AH:AH,"&lt;&gt;退職",管理表!J:J,C47,管理表!D:D,E48)</f>
        <v>3</v>
      </c>
      <c r="G48" s="595">
        <f>COUNTIFS(管理表!N:N,A45,管理表!AH:AH,"&lt;&gt;退職",管理表!J:J,C47,管理表!D:D,E48,管理表!Q:Q,"*実習*")</f>
        <v>0</v>
      </c>
      <c r="H48" s="595">
        <f>COUNTIFS(管理表!N:N,A45,管理表!AH:AH,"&lt;&gt;退職",管理表!J:J,C47,管理表!D:D,E48,管理表!Q:Q,"*特定*")</f>
        <v>3</v>
      </c>
      <c r="I48" s="595">
        <f>COUNTIFS(管理表!N:N,A45,管理表!AH:AH,"&lt;&gt;退職",管理表!J:J,C47,管理表!D:D,E48,管理表!C:C,"本社")</f>
        <v>0</v>
      </c>
      <c r="J48" s="595">
        <f>COUNTIFS(管理表!N:N,A45,管理表!AH:AH,"&lt;&gt;退職",管理表!J:J,C47,管理表!D:D,E48,管理表!C:C,"協同本社")</f>
        <v>0</v>
      </c>
      <c r="K48" s="595">
        <f>COUNTIFS(管理表!N:N,A45,管理表!AH:AH,"&lt;&gt;退職",管理表!J:J,C47,管理表!D:D,E48,管理表!C:C,"津吉")</f>
        <v>3</v>
      </c>
    </row>
    <row r="49" spans="1:11" ht="14.5">
      <c r="A49" s="607" t="s">
        <v>3142</v>
      </c>
      <c r="B49" s="608">
        <f>B25+B29+B33+B37+B41+B45</f>
        <v>146</v>
      </c>
      <c r="C49" s="608" t="s">
        <v>261</v>
      </c>
      <c r="D49" s="608">
        <f>D25+D29+D33+D37+D41+D45</f>
        <v>44</v>
      </c>
      <c r="E49" s="608" t="s">
        <v>55</v>
      </c>
      <c r="F49" s="608">
        <f t="shared" ref="F49:K49" si="8">F25+F29+F33+F37+F41+F45</f>
        <v>15</v>
      </c>
      <c r="G49" s="608">
        <f t="shared" si="8"/>
        <v>6</v>
      </c>
      <c r="H49" s="608">
        <f t="shared" si="8"/>
        <v>9</v>
      </c>
      <c r="I49" s="608">
        <f t="shared" si="8"/>
        <v>11</v>
      </c>
      <c r="J49" s="608">
        <f t="shared" si="8"/>
        <v>2</v>
      </c>
      <c r="K49" s="608">
        <f t="shared" si="8"/>
        <v>2</v>
      </c>
    </row>
    <row r="50" spans="1:11" ht="14.5">
      <c r="A50" s="607"/>
      <c r="B50" s="608"/>
      <c r="C50" s="608"/>
      <c r="D50" s="608"/>
      <c r="E50" s="608" t="s">
        <v>611</v>
      </c>
      <c r="F50" s="608">
        <f t="shared" ref="F50:K50" si="9">F26+F30+F34+F38+F42+F46</f>
        <v>29</v>
      </c>
      <c r="G50" s="608">
        <f t="shared" si="9"/>
        <v>0</v>
      </c>
      <c r="H50" s="608">
        <f t="shared" si="9"/>
        <v>29</v>
      </c>
      <c r="I50" s="608">
        <f t="shared" si="9"/>
        <v>0</v>
      </c>
      <c r="J50" s="608">
        <f t="shared" si="9"/>
        <v>0</v>
      </c>
      <c r="K50" s="608">
        <f t="shared" si="9"/>
        <v>29</v>
      </c>
    </row>
    <row r="51" spans="1:11" ht="14.5">
      <c r="A51" s="607"/>
      <c r="B51" s="608"/>
      <c r="C51" s="608" t="s">
        <v>60</v>
      </c>
      <c r="D51" s="608">
        <f>D27+D31+D35+D39+D43+D47</f>
        <v>102</v>
      </c>
      <c r="E51" s="608" t="s">
        <v>55</v>
      </c>
      <c r="F51" s="608">
        <f t="shared" ref="F51:K51" si="10">F27+F31+F35+F39+F43+F47</f>
        <v>34</v>
      </c>
      <c r="G51" s="608">
        <f t="shared" si="10"/>
        <v>15</v>
      </c>
      <c r="H51" s="608">
        <f t="shared" si="10"/>
        <v>19</v>
      </c>
      <c r="I51" s="608">
        <f t="shared" si="10"/>
        <v>24</v>
      </c>
      <c r="J51" s="608">
        <f t="shared" si="10"/>
        <v>2</v>
      </c>
      <c r="K51" s="608">
        <f t="shared" si="10"/>
        <v>8</v>
      </c>
    </row>
    <row r="52" spans="1:11" ht="14.5">
      <c r="A52" s="607"/>
      <c r="B52" s="608"/>
      <c r="C52" s="608"/>
      <c r="D52" s="608"/>
      <c r="E52" s="608" t="s">
        <v>611</v>
      </c>
      <c r="F52" s="608">
        <f t="shared" ref="F52:K52" si="11">F28+F32+F36+F40+F44+F48</f>
        <v>68</v>
      </c>
      <c r="G52" s="608">
        <f t="shared" si="11"/>
        <v>0</v>
      </c>
      <c r="H52" s="608">
        <f t="shared" si="11"/>
        <v>68</v>
      </c>
      <c r="I52" s="608">
        <f t="shared" si="11"/>
        <v>0</v>
      </c>
      <c r="J52" s="608">
        <f t="shared" si="11"/>
        <v>0</v>
      </c>
      <c r="K52" s="608">
        <f t="shared" si="11"/>
        <v>68</v>
      </c>
    </row>
  </sheetData>
  <phoneticPr fontId="135"/>
  <printOptions horizontalCentered="1" gridLines="1"/>
  <pageMargins left="0.7" right="0.7" top="0.75" bottom="0.75" header="0" footer="0"/>
  <pageSetup paperSize="9" fitToHeight="0" pageOrder="overThenDown" orientation="landscape"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V910"/>
  <sheetViews>
    <sheetView topLeftCell="A4" workbookViewId="0"/>
  </sheetViews>
  <sheetFormatPr defaultColWidth="12.6328125" defaultRowHeight="15" customHeight="1"/>
  <cols>
    <col min="1" max="1" width="2.90625" customWidth="1"/>
    <col min="2" max="2" width="3.26953125" customWidth="1"/>
    <col min="3" max="3" width="7.26953125" customWidth="1"/>
    <col min="4" max="4" width="13" customWidth="1"/>
    <col min="5" max="6" width="9.36328125" customWidth="1"/>
    <col min="7" max="7" width="50.6328125" customWidth="1"/>
    <col min="8" max="8" width="34.6328125" customWidth="1"/>
    <col min="9" max="9" width="8.7265625" customWidth="1"/>
    <col min="10" max="10" width="5.36328125" customWidth="1"/>
    <col min="11" max="11" width="11" customWidth="1"/>
    <col min="12" max="12" width="3.7265625" customWidth="1"/>
    <col min="13" max="13" width="6.6328125" customWidth="1"/>
    <col min="14" max="14" width="12.7265625" customWidth="1"/>
    <col min="15" max="15" width="14.26953125" customWidth="1"/>
    <col min="16" max="16" width="8.453125" customWidth="1"/>
    <col min="17" max="17" width="14.08984375" customWidth="1"/>
    <col min="18" max="18" width="40.36328125" customWidth="1"/>
    <col min="19" max="19" width="11" customWidth="1"/>
    <col min="20" max="20" width="13.6328125" customWidth="1"/>
    <col min="21" max="21" width="18.36328125" customWidth="1"/>
    <col min="22" max="22" width="13.6328125" customWidth="1"/>
    <col min="23" max="23" width="13.90625" customWidth="1"/>
    <col min="24" max="24" width="14.7265625" customWidth="1"/>
    <col min="25" max="25" width="10.36328125" customWidth="1"/>
    <col min="26" max="26" width="20.7265625" customWidth="1"/>
    <col min="27" max="30" width="12.453125" customWidth="1"/>
    <col min="31" max="31" width="10.6328125" customWidth="1"/>
    <col min="32" max="32" width="6.6328125" customWidth="1"/>
    <col min="33" max="33" width="11" customWidth="1"/>
    <col min="34" max="34" width="6.6328125" customWidth="1"/>
    <col min="35" max="35" width="21.6328125" customWidth="1"/>
    <col min="36" max="38" width="30.6328125" customWidth="1"/>
  </cols>
  <sheetData>
    <row r="1" spans="1:48" ht="18" customHeight="1">
      <c r="A1" s="613" t="s">
        <v>0</v>
      </c>
      <c r="B1" s="613" t="s">
        <v>1</v>
      </c>
      <c r="C1" s="2" t="s">
        <v>2</v>
      </c>
      <c r="D1" s="2" t="s">
        <v>3</v>
      </c>
      <c r="E1" s="111" t="s">
        <v>4</v>
      </c>
      <c r="F1" s="20" t="s">
        <v>5</v>
      </c>
      <c r="G1" s="7" t="s">
        <v>6</v>
      </c>
      <c r="H1" s="7" t="s">
        <v>7</v>
      </c>
      <c r="I1" s="7" t="s">
        <v>8</v>
      </c>
      <c r="J1" s="614" t="s">
        <v>9</v>
      </c>
      <c r="K1" s="8" t="s">
        <v>10</v>
      </c>
      <c r="L1" s="614" t="s">
        <v>11</v>
      </c>
      <c r="M1" s="614" t="s">
        <v>12</v>
      </c>
      <c r="N1" s="2" t="s">
        <v>13</v>
      </c>
      <c r="O1" s="7" t="s">
        <v>14</v>
      </c>
      <c r="P1" s="446" t="s">
        <v>15</v>
      </c>
      <c r="Q1" s="13" t="s">
        <v>16</v>
      </c>
      <c r="R1" s="10" t="s">
        <v>17</v>
      </c>
      <c r="S1" s="3" t="s">
        <v>18</v>
      </c>
      <c r="T1" s="7" t="s">
        <v>19</v>
      </c>
      <c r="U1" s="13" t="s">
        <v>20</v>
      </c>
      <c r="V1" s="7" t="s">
        <v>21</v>
      </c>
      <c r="W1" s="13" t="s">
        <v>22</v>
      </c>
      <c r="X1" s="13" t="s">
        <v>23</v>
      </c>
      <c r="Y1" s="14" t="s">
        <v>24</v>
      </c>
      <c r="Z1" s="10" t="s">
        <v>25</v>
      </c>
      <c r="AA1" s="14" t="s">
        <v>26</v>
      </c>
      <c r="AB1" s="14" t="s">
        <v>27</v>
      </c>
      <c r="AC1" s="14" t="s">
        <v>28</v>
      </c>
      <c r="AD1" s="13" t="s">
        <v>29</v>
      </c>
      <c r="AE1" s="13" t="s">
        <v>30</v>
      </c>
      <c r="AF1" s="13" t="s">
        <v>31</v>
      </c>
      <c r="AG1" s="13" t="s">
        <v>32</v>
      </c>
      <c r="AH1" s="13" t="s">
        <v>33</v>
      </c>
      <c r="AI1" s="13" t="s">
        <v>34</v>
      </c>
      <c r="AJ1" s="13" t="s">
        <v>35</v>
      </c>
      <c r="AK1" s="17" t="s">
        <v>36</v>
      </c>
      <c r="AL1" s="13" t="s">
        <v>41</v>
      </c>
      <c r="AM1" s="20"/>
      <c r="AN1" s="20"/>
      <c r="AO1" s="20"/>
      <c r="AP1" s="20"/>
      <c r="AQ1" s="20"/>
      <c r="AR1" s="20"/>
      <c r="AS1" s="20"/>
      <c r="AT1" s="20"/>
      <c r="AU1" s="20"/>
      <c r="AV1" s="20"/>
    </row>
    <row r="2" spans="1:48" ht="14.5">
      <c r="A2" s="478"/>
      <c r="B2" s="478"/>
      <c r="C2" s="478"/>
      <c r="D2" s="478"/>
      <c r="E2" s="478"/>
      <c r="F2" s="478"/>
      <c r="G2" s="615"/>
      <c r="H2" s="615"/>
      <c r="I2" s="478"/>
      <c r="J2" s="478"/>
      <c r="K2" s="616"/>
      <c r="L2" s="478"/>
      <c r="M2" s="478"/>
      <c r="N2" s="478"/>
      <c r="O2" s="478"/>
      <c r="P2" s="478"/>
      <c r="Q2" s="615"/>
      <c r="R2" s="478"/>
      <c r="S2" s="478"/>
      <c r="T2" s="478"/>
      <c r="U2" s="387"/>
      <c r="V2" s="478"/>
      <c r="W2" s="478"/>
      <c r="X2" s="478"/>
      <c r="Y2" s="617"/>
      <c r="Z2" s="615"/>
      <c r="AA2" s="478"/>
      <c r="AB2" s="617"/>
      <c r="AC2" s="478"/>
      <c r="AD2" s="478"/>
      <c r="AE2" s="478"/>
      <c r="AF2" s="478"/>
      <c r="AG2" s="478"/>
      <c r="AH2" s="478"/>
      <c r="AI2" s="478"/>
      <c r="AJ2" s="478"/>
      <c r="AK2" s="478"/>
      <c r="AL2" s="478"/>
      <c r="AM2" s="478"/>
      <c r="AN2" s="478"/>
      <c r="AO2" s="478"/>
      <c r="AP2" s="478"/>
      <c r="AQ2" s="478"/>
      <c r="AR2" s="478"/>
      <c r="AS2" s="478"/>
      <c r="AT2" s="478"/>
      <c r="AU2" s="478"/>
      <c r="AV2" s="478"/>
    </row>
    <row r="3" spans="1:48" ht="44.25" customHeight="1">
      <c r="A3" s="17"/>
      <c r="B3" s="17"/>
      <c r="C3" s="84" t="s">
        <v>100</v>
      </c>
      <c r="D3" s="45" t="s">
        <v>55</v>
      </c>
      <c r="E3" s="404"/>
      <c r="F3" s="583"/>
      <c r="G3" s="33" t="s">
        <v>2274</v>
      </c>
      <c r="H3" s="28" t="s">
        <v>2275</v>
      </c>
      <c r="I3" s="70"/>
      <c r="J3" s="22" t="s">
        <v>60</v>
      </c>
      <c r="K3" s="30">
        <v>36088</v>
      </c>
      <c r="L3" s="22">
        <f ca="1">DATEDIF(K3,TODAY(),"Y")</f>
        <v>27</v>
      </c>
      <c r="M3" s="22" t="s">
        <v>149</v>
      </c>
      <c r="N3" s="22" t="s">
        <v>1350</v>
      </c>
      <c r="O3" s="584" t="s">
        <v>2276</v>
      </c>
      <c r="P3" s="70" t="s">
        <v>2277</v>
      </c>
      <c r="Q3" s="379" t="s">
        <v>1849</v>
      </c>
      <c r="R3" s="35" t="s">
        <v>136</v>
      </c>
      <c r="S3" s="372" t="s">
        <v>1687</v>
      </c>
      <c r="T3" s="64">
        <v>10000</v>
      </c>
      <c r="U3" s="425">
        <v>45726</v>
      </c>
      <c r="V3" s="91"/>
      <c r="W3" s="14"/>
      <c r="X3" s="16"/>
      <c r="Y3" s="70"/>
      <c r="Z3" s="59"/>
      <c r="AA3" s="42"/>
      <c r="AB3" s="30"/>
      <c r="AC3" s="42"/>
      <c r="AD3" s="42"/>
      <c r="AE3" s="42"/>
      <c r="AF3" s="42"/>
      <c r="AG3" s="30"/>
      <c r="AH3" s="22"/>
      <c r="AI3" s="92"/>
      <c r="AJ3" s="168"/>
      <c r="AK3" s="168"/>
      <c r="AL3" s="168" t="s">
        <v>2278</v>
      </c>
      <c r="AM3" s="478"/>
      <c r="AN3" s="478"/>
      <c r="AO3" s="478"/>
      <c r="AP3" s="478"/>
      <c r="AQ3" s="478"/>
      <c r="AR3" s="478"/>
      <c r="AS3" s="478"/>
      <c r="AT3" s="478"/>
      <c r="AU3" s="478"/>
      <c r="AV3" s="478"/>
    </row>
    <row r="4" spans="1:48" ht="50.25" customHeight="1">
      <c r="A4" s="352"/>
      <c r="B4" s="22"/>
      <c r="C4" s="84" t="s">
        <v>100</v>
      </c>
      <c r="D4" s="45" t="s">
        <v>55</v>
      </c>
      <c r="E4" s="404"/>
      <c r="F4" s="618"/>
      <c r="G4" s="118" t="s">
        <v>3147</v>
      </c>
      <c r="H4" s="28" t="s">
        <v>3148</v>
      </c>
      <c r="I4" s="619"/>
      <c r="J4" s="22" t="s">
        <v>60</v>
      </c>
      <c r="K4" s="89">
        <v>39110</v>
      </c>
      <c r="L4" s="22">
        <v>19</v>
      </c>
      <c r="M4" s="70" t="s">
        <v>134</v>
      </c>
      <c r="N4" s="22" t="s">
        <v>1350</v>
      </c>
      <c r="O4" s="70" t="s">
        <v>3149</v>
      </c>
      <c r="P4" s="404" t="s">
        <v>3150</v>
      </c>
      <c r="Q4" s="379" t="s">
        <v>1849</v>
      </c>
      <c r="R4" s="47" t="s">
        <v>1213</v>
      </c>
      <c r="S4" s="404" t="s">
        <v>82</v>
      </c>
      <c r="T4" s="620" t="s">
        <v>3151</v>
      </c>
      <c r="U4" s="621"/>
      <c r="V4" s="267"/>
      <c r="W4" s="14"/>
      <c r="X4" s="17"/>
      <c r="Y4" s="253"/>
      <c r="Z4" s="59"/>
      <c r="AA4" s="101"/>
      <c r="AB4" s="53"/>
      <c r="AC4" s="53"/>
      <c r="AD4" s="36"/>
      <c r="AE4" s="36"/>
      <c r="AF4" s="36"/>
      <c r="AG4" s="22"/>
      <c r="AH4" s="103" t="s">
        <v>154</v>
      </c>
      <c r="AI4" s="357"/>
      <c r="AJ4" s="381"/>
      <c r="AK4" s="352"/>
      <c r="AL4" s="622" t="s">
        <v>3152</v>
      </c>
      <c r="AM4" s="190"/>
      <c r="AN4" s="190"/>
      <c r="AO4" s="190"/>
      <c r="AP4" s="190"/>
      <c r="AQ4" s="552"/>
      <c r="AR4" s="552"/>
      <c r="AS4" s="552"/>
      <c r="AT4" s="552"/>
      <c r="AU4" s="552"/>
      <c r="AV4" s="552"/>
    </row>
    <row r="5" spans="1:48" ht="44.25" customHeight="1">
      <c r="A5" s="395"/>
      <c r="B5" s="395"/>
      <c r="C5" s="553"/>
      <c r="D5" s="554"/>
      <c r="E5" s="372"/>
      <c r="F5" s="372"/>
      <c r="G5" s="623"/>
      <c r="H5" s="624"/>
      <c r="I5" s="395"/>
      <c r="J5" s="395"/>
      <c r="K5" s="98"/>
      <c r="L5" s="395"/>
      <c r="M5" s="395"/>
      <c r="N5" s="395"/>
      <c r="O5" s="625"/>
      <c r="P5" s="626"/>
      <c r="Q5" s="627"/>
      <c r="R5" s="273"/>
      <c r="S5" s="372"/>
      <c r="T5" s="164"/>
      <c r="U5" s="628"/>
      <c r="V5" s="98"/>
      <c r="W5" s="176"/>
      <c r="X5" s="413"/>
      <c r="Y5" s="395"/>
      <c r="Z5" s="273"/>
      <c r="AA5" s="178"/>
      <c r="AB5" s="98"/>
      <c r="AC5" s="178"/>
      <c r="AD5" s="178"/>
      <c r="AE5" s="178"/>
      <c r="AF5" s="178"/>
      <c r="AG5" s="98"/>
      <c r="AH5" s="395"/>
      <c r="AI5" s="54"/>
      <c r="AJ5" s="381"/>
      <c r="AK5" s="381"/>
      <c r="AL5" s="629"/>
      <c r="AM5" s="630"/>
      <c r="AN5" s="630"/>
      <c r="AO5" s="630"/>
      <c r="AP5" s="630"/>
      <c r="AQ5" s="630"/>
      <c r="AR5" s="630"/>
      <c r="AS5" s="630"/>
      <c r="AT5" s="630"/>
      <c r="AU5" s="630"/>
      <c r="AV5" s="630"/>
    </row>
    <row r="6" spans="1:48" ht="47.25" customHeight="1">
      <c r="A6" s="17"/>
      <c r="B6" s="17"/>
      <c r="C6" s="84" t="s">
        <v>100</v>
      </c>
      <c r="D6" s="45" t="s">
        <v>55</v>
      </c>
      <c r="E6" s="404"/>
      <c r="F6" s="583"/>
      <c r="G6" s="33" t="s">
        <v>2263</v>
      </c>
      <c r="H6" s="137" t="s">
        <v>2264</v>
      </c>
      <c r="I6" s="17" t="s">
        <v>2265</v>
      </c>
      <c r="J6" s="22" t="s">
        <v>60</v>
      </c>
      <c r="K6" s="30">
        <v>37885</v>
      </c>
      <c r="L6" s="22">
        <v>22</v>
      </c>
      <c r="M6" s="22" t="s">
        <v>79</v>
      </c>
      <c r="N6" s="395" t="s">
        <v>61</v>
      </c>
      <c r="O6" s="574">
        <v>46143</v>
      </c>
      <c r="P6" s="579"/>
      <c r="Q6" s="379" t="s">
        <v>1849</v>
      </c>
      <c r="R6" s="96" t="s">
        <v>3153</v>
      </c>
      <c r="S6" s="457" t="s">
        <v>1687</v>
      </c>
      <c r="T6" s="580">
        <v>10000</v>
      </c>
      <c r="U6" s="581"/>
      <c r="V6" s="91"/>
      <c r="W6" s="14"/>
      <c r="X6" s="16"/>
      <c r="Y6" s="70"/>
      <c r="Z6" s="59"/>
      <c r="AA6" s="42"/>
      <c r="AB6" s="30"/>
      <c r="AC6" s="42"/>
      <c r="AD6" s="42"/>
      <c r="AE6" s="42"/>
      <c r="AF6" s="42"/>
      <c r="AG6" s="30"/>
      <c r="AH6" s="22"/>
      <c r="AI6" s="92"/>
      <c r="AJ6" s="168"/>
      <c r="AK6" s="168"/>
      <c r="AL6" s="168" t="s">
        <v>2268</v>
      </c>
      <c r="AM6" s="478"/>
      <c r="AN6" s="478"/>
      <c r="AO6" s="478"/>
      <c r="AP6" s="478"/>
      <c r="AQ6" s="478"/>
      <c r="AR6" s="478"/>
      <c r="AS6" s="478"/>
      <c r="AT6" s="478"/>
      <c r="AU6" s="478"/>
      <c r="AV6" s="478"/>
    </row>
    <row r="7" spans="1:48" ht="44.25" customHeight="1">
      <c r="A7" s="395"/>
      <c r="B7" s="395"/>
      <c r="C7" s="631"/>
      <c r="D7" s="554"/>
      <c r="E7" s="372"/>
      <c r="F7" s="372"/>
      <c r="G7" s="47"/>
      <c r="H7" s="174"/>
      <c r="I7" s="395"/>
      <c r="J7" s="395"/>
      <c r="K7" s="98"/>
      <c r="L7" s="395"/>
      <c r="M7" s="395"/>
      <c r="N7" s="395"/>
      <c r="O7" s="632"/>
      <c r="P7" s="626"/>
      <c r="Q7" s="463"/>
      <c r="R7" s="273"/>
      <c r="S7" s="372"/>
      <c r="T7" s="549"/>
      <c r="U7" s="633"/>
      <c r="V7" s="98"/>
      <c r="W7" s="176"/>
      <c r="X7" s="413"/>
      <c r="Y7" s="395"/>
      <c r="Z7" s="273"/>
      <c r="AA7" s="178"/>
      <c r="AB7" s="98"/>
      <c r="AC7" s="178"/>
      <c r="AD7" s="178"/>
      <c r="AE7" s="178"/>
      <c r="AF7" s="178"/>
      <c r="AG7" s="98"/>
      <c r="AH7" s="395"/>
      <c r="AI7" s="54"/>
      <c r="AJ7" s="381"/>
      <c r="AK7" s="381"/>
      <c r="AL7" s="381"/>
      <c r="AM7" s="630"/>
      <c r="AN7" s="630"/>
      <c r="AO7" s="630"/>
      <c r="AP7" s="630"/>
      <c r="AQ7" s="630"/>
      <c r="AR7" s="630"/>
      <c r="AS7" s="630"/>
      <c r="AT7" s="630"/>
      <c r="AU7" s="630"/>
      <c r="AV7" s="630"/>
    </row>
    <row r="8" spans="1:48" ht="14.5">
      <c r="Q8" s="595"/>
    </row>
    <row r="10" spans="1:48" ht="47.25" customHeight="1">
      <c r="A10" s="70"/>
      <c r="B10" s="17"/>
      <c r="C10" s="135" t="s">
        <v>54</v>
      </c>
      <c r="D10" s="136" t="s">
        <v>611</v>
      </c>
      <c r="E10" s="283"/>
      <c r="F10" s="567"/>
      <c r="G10" s="88" t="s">
        <v>2270</v>
      </c>
      <c r="H10" s="137" t="s">
        <v>2271</v>
      </c>
      <c r="I10" s="88"/>
      <c r="J10" s="17" t="s">
        <v>60</v>
      </c>
      <c r="K10" s="89">
        <v>35080</v>
      </c>
      <c r="L10" s="17">
        <v>30</v>
      </c>
      <c r="M10" s="22" t="s">
        <v>149</v>
      </c>
      <c r="N10" s="395" t="s">
        <v>2228</v>
      </c>
      <c r="O10" s="634" t="s">
        <v>3154</v>
      </c>
      <c r="P10" s="404"/>
      <c r="Q10" s="160" t="s">
        <v>81</v>
      </c>
      <c r="R10" s="88" t="s">
        <v>3155</v>
      </c>
      <c r="S10" s="575" t="s">
        <v>149</v>
      </c>
      <c r="T10" s="342"/>
      <c r="U10" s="315"/>
      <c r="V10" s="128"/>
      <c r="W10" s="94"/>
      <c r="X10" s="14"/>
      <c r="Y10" s="14"/>
      <c r="Z10" s="59"/>
      <c r="AA10" s="107"/>
      <c r="AB10" s="107"/>
      <c r="AC10" s="107"/>
      <c r="AD10" s="107"/>
      <c r="AE10" s="279"/>
      <c r="AF10" s="279"/>
      <c r="AG10" s="70"/>
      <c r="AH10" s="569" t="s">
        <v>154</v>
      </c>
      <c r="AI10" s="376"/>
      <c r="AJ10" s="93"/>
      <c r="AK10" s="70"/>
      <c r="AL10" s="577" t="s">
        <v>2272</v>
      </c>
      <c r="AM10" s="576"/>
      <c r="AN10" s="635"/>
      <c r="AO10" s="566"/>
      <c r="AP10" s="566"/>
      <c r="AQ10" s="566"/>
      <c r="AR10" s="566"/>
      <c r="AS10" s="566"/>
      <c r="AT10" s="566"/>
      <c r="AU10" s="566"/>
      <c r="AV10" s="566"/>
    </row>
    <row r="11" spans="1:48" ht="47.25" customHeight="1">
      <c r="A11" s="70"/>
      <c r="B11" s="70"/>
      <c r="C11" s="636" t="s">
        <v>54</v>
      </c>
      <c r="D11" s="172" t="s">
        <v>611</v>
      </c>
      <c r="E11" s="575"/>
      <c r="F11" s="637"/>
      <c r="G11" s="402" t="s">
        <v>2257</v>
      </c>
      <c r="H11" s="388" t="s">
        <v>2258</v>
      </c>
      <c r="I11" s="402" t="s">
        <v>2259</v>
      </c>
      <c r="J11" s="70" t="s">
        <v>261</v>
      </c>
      <c r="K11" s="91">
        <v>36119</v>
      </c>
      <c r="L11" s="70">
        <v>27</v>
      </c>
      <c r="M11" s="22" t="s">
        <v>149</v>
      </c>
      <c r="N11" s="395" t="s">
        <v>2228</v>
      </c>
      <c r="O11" s="634" t="s">
        <v>3154</v>
      </c>
      <c r="P11" s="404"/>
      <c r="Q11" s="160" t="s">
        <v>81</v>
      </c>
      <c r="R11" s="88" t="s">
        <v>2260</v>
      </c>
      <c r="S11" s="575" t="s">
        <v>149</v>
      </c>
      <c r="T11" s="342"/>
      <c r="U11" s="315"/>
      <c r="V11" s="128"/>
      <c r="W11" s="94"/>
      <c r="X11" s="14"/>
      <c r="Y11" s="14"/>
      <c r="Z11" s="59"/>
      <c r="AA11" s="107"/>
      <c r="AB11" s="107"/>
      <c r="AC11" s="107"/>
      <c r="AD11" s="107"/>
      <c r="AE11" s="279"/>
      <c r="AF11" s="279"/>
      <c r="AG11" s="70"/>
      <c r="AH11" s="569" t="s">
        <v>154</v>
      </c>
      <c r="AI11" s="376"/>
      <c r="AJ11" s="93"/>
      <c r="AK11" s="70"/>
      <c r="AL11" s="577" t="s">
        <v>2261</v>
      </c>
      <c r="AM11" s="576"/>
      <c r="AN11" s="635"/>
      <c r="AO11" s="566"/>
      <c r="AP11" s="566"/>
      <c r="AQ11" s="566"/>
      <c r="AR11" s="566"/>
      <c r="AS11" s="566"/>
      <c r="AT11" s="566"/>
      <c r="AU11" s="566"/>
      <c r="AV11" s="566"/>
    </row>
    <row r="12" spans="1:48" ht="47.25" customHeight="1">
      <c r="A12" s="70"/>
      <c r="B12" s="70"/>
      <c r="C12" s="636" t="s">
        <v>54</v>
      </c>
      <c r="D12" s="172" t="s">
        <v>611</v>
      </c>
      <c r="E12" s="575"/>
      <c r="F12" s="637"/>
      <c r="G12" s="402" t="s">
        <v>3156</v>
      </c>
      <c r="H12" s="388" t="s">
        <v>3157</v>
      </c>
      <c r="I12" s="402"/>
      <c r="J12" s="70" t="s">
        <v>261</v>
      </c>
      <c r="K12" s="91">
        <v>35924</v>
      </c>
      <c r="L12" s="70">
        <v>27</v>
      </c>
      <c r="M12" s="22" t="s">
        <v>149</v>
      </c>
      <c r="N12" s="395" t="s">
        <v>2228</v>
      </c>
      <c r="O12" s="634" t="s">
        <v>3154</v>
      </c>
      <c r="P12" s="404"/>
      <c r="Q12" s="160" t="s">
        <v>81</v>
      </c>
      <c r="R12" s="88" t="s">
        <v>3158</v>
      </c>
      <c r="S12" s="575" t="s">
        <v>149</v>
      </c>
      <c r="T12" s="342"/>
      <c r="U12" s="315"/>
      <c r="V12" s="128"/>
      <c r="W12" s="94"/>
      <c r="X12" s="14"/>
      <c r="Y12" s="14"/>
      <c r="Z12" s="59"/>
      <c r="AA12" s="107"/>
      <c r="AB12" s="107"/>
      <c r="AC12" s="107"/>
      <c r="AD12" s="107"/>
      <c r="AE12" s="279"/>
      <c r="AF12" s="279"/>
      <c r="AG12" s="70"/>
      <c r="AH12" s="70"/>
      <c r="AI12" s="376"/>
      <c r="AJ12" s="93"/>
      <c r="AK12" s="70"/>
      <c r="AL12" s="577" t="s">
        <v>3159</v>
      </c>
      <c r="AM12" s="576"/>
      <c r="AN12" s="635"/>
      <c r="AO12" s="566"/>
      <c r="AP12" s="566"/>
      <c r="AQ12" s="566"/>
      <c r="AR12" s="566"/>
      <c r="AS12" s="566"/>
      <c r="AT12" s="566"/>
      <c r="AU12" s="566"/>
      <c r="AV12" s="566"/>
    </row>
    <row r="13" spans="1:48" ht="15.75" customHeight="1">
      <c r="A13" s="591"/>
      <c r="B13" s="591"/>
      <c r="C13" s="638"/>
      <c r="D13" s="639"/>
      <c r="E13" s="640"/>
      <c r="F13" s="640"/>
      <c r="G13" s="458"/>
      <c r="H13" s="62"/>
      <c r="I13" s="591"/>
      <c r="J13" s="591"/>
      <c r="K13" s="641"/>
      <c r="L13" s="591"/>
      <c r="M13" s="591"/>
      <c r="N13" s="642"/>
      <c r="O13" s="642"/>
      <c r="P13" s="643"/>
      <c r="Q13" s="644"/>
      <c r="R13" s="276"/>
      <c r="S13" s="640"/>
      <c r="T13" s="645"/>
      <c r="U13" s="646"/>
      <c r="V13" s="641"/>
      <c r="W13" s="20"/>
      <c r="X13" s="465"/>
      <c r="Y13" s="591"/>
      <c r="Z13" s="276"/>
      <c r="AA13" s="589"/>
      <c r="AB13" s="641"/>
      <c r="AC13" s="589"/>
      <c r="AD13" s="589"/>
      <c r="AE13" s="589"/>
      <c r="AF13" s="589"/>
      <c r="AG13" s="641"/>
      <c r="AH13" s="591"/>
      <c r="AI13" s="647"/>
      <c r="AJ13" s="292"/>
      <c r="AK13" s="292"/>
      <c r="AL13" s="292"/>
      <c r="AM13" s="478"/>
      <c r="AN13" s="478"/>
      <c r="AO13" s="478"/>
      <c r="AP13" s="478"/>
      <c r="AQ13" s="478"/>
      <c r="AR13" s="478"/>
      <c r="AS13" s="478"/>
      <c r="AT13" s="478"/>
      <c r="AU13" s="478"/>
      <c r="AV13" s="478"/>
    </row>
    <row r="14" spans="1:48" ht="45.75" customHeight="1">
      <c r="A14" s="17"/>
      <c r="B14" s="17"/>
      <c r="C14" s="636"/>
      <c r="D14" s="136" t="s">
        <v>55</v>
      </c>
      <c r="E14" s="111"/>
      <c r="F14" s="111"/>
      <c r="G14" s="88" t="s">
        <v>3160</v>
      </c>
      <c r="H14" s="137" t="s">
        <v>3161</v>
      </c>
      <c r="I14" s="17"/>
      <c r="J14" s="17" t="s">
        <v>60</v>
      </c>
      <c r="K14" s="89">
        <v>38635</v>
      </c>
      <c r="L14" s="17">
        <f t="shared" ref="L14:L25" ca="1" si="0">DATEDIF(K14,TODAY(),"Y")</f>
        <v>20</v>
      </c>
      <c r="M14" s="17"/>
      <c r="N14" s="395" t="s">
        <v>2228</v>
      </c>
      <c r="O14" s="634"/>
      <c r="P14" s="446"/>
      <c r="Q14" s="648" t="s">
        <v>3162</v>
      </c>
      <c r="R14" s="15"/>
      <c r="S14" s="111"/>
      <c r="T14" s="64"/>
      <c r="U14" s="425"/>
      <c r="V14" s="89"/>
      <c r="W14" s="141"/>
      <c r="X14" s="16"/>
      <c r="Y14" s="17"/>
      <c r="Z14" s="15"/>
      <c r="AA14" s="90"/>
      <c r="AB14" s="89"/>
      <c r="AC14" s="90"/>
      <c r="AD14" s="90"/>
      <c r="AE14" s="90"/>
      <c r="AF14" s="90"/>
      <c r="AG14" s="89"/>
      <c r="AH14" s="17"/>
      <c r="AI14" s="86"/>
      <c r="AJ14" s="142"/>
      <c r="AK14" s="142"/>
      <c r="AL14" s="142"/>
      <c r="AM14" s="476"/>
      <c r="AN14" s="478"/>
      <c r="AO14" s="478"/>
      <c r="AP14" s="478"/>
      <c r="AQ14" s="478"/>
      <c r="AR14" s="478"/>
      <c r="AS14" s="478"/>
      <c r="AT14" s="478"/>
      <c r="AU14" s="478"/>
      <c r="AV14" s="478"/>
    </row>
    <row r="15" spans="1:48" ht="45.75" customHeight="1">
      <c r="A15" s="17"/>
      <c r="B15" s="17"/>
      <c r="C15" s="636"/>
      <c r="D15" s="136" t="s">
        <v>55</v>
      </c>
      <c r="E15" s="111"/>
      <c r="F15" s="111"/>
      <c r="G15" s="88" t="s">
        <v>3163</v>
      </c>
      <c r="H15" s="137" t="s">
        <v>3164</v>
      </c>
      <c r="I15" s="17"/>
      <c r="J15" s="17" t="s">
        <v>60</v>
      </c>
      <c r="K15" s="89">
        <v>38130</v>
      </c>
      <c r="L15" s="17">
        <f t="shared" ca="1" si="0"/>
        <v>21</v>
      </c>
      <c r="M15" s="17"/>
      <c r="N15" s="395" t="s">
        <v>2228</v>
      </c>
      <c r="O15" s="634"/>
      <c r="P15" s="446"/>
      <c r="Q15" s="648" t="s">
        <v>3162</v>
      </c>
      <c r="R15" s="15"/>
      <c r="S15" s="111"/>
      <c r="T15" s="64"/>
      <c r="U15" s="425"/>
      <c r="V15" s="89"/>
      <c r="W15" s="141"/>
      <c r="X15" s="16"/>
      <c r="Y15" s="17"/>
      <c r="Z15" s="15"/>
      <c r="AA15" s="90"/>
      <c r="AB15" s="89"/>
      <c r="AC15" s="90"/>
      <c r="AD15" s="90"/>
      <c r="AE15" s="90"/>
      <c r="AF15" s="90"/>
      <c r="AG15" s="89"/>
      <c r="AH15" s="17"/>
      <c r="AI15" s="86"/>
      <c r="AJ15" s="142"/>
      <c r="AK15" s="142"/>
      <c r="AL15" s="142"/>
      <c r="AM15" s="476"/>
      <c r="AN15" s="478"/>
      <c r="AO15" s="478"/>
      <c r="AP15" s="478"/>
      <c r="AQ15" s="478"/>
      <c r="AR15" s="478"/>
      <c r="AS15" s="478"/>
      <c r="AT15" s="478"/>
      <c r="AU15" s="478"/>
      <c r="AV15" s="478"/>
    </row>
    <row r="16" spans="1:48" ht="45.75" customHeight="1">
      <c r="A16" s="17"/>
      <c r="B16" s="17"/>
      <c r="C16" s="636"/>
      <c r="D16" s="136" t="s">
        <v>55</v>
      </c>
      <c r="E16" s="111"/>
      <c r="F16" s="111"/>
      <c r="G16" s="88" t="s">
        <v>3165</v>
      </c>
      <c r="H16" s="137" t="s">
        <v>3166</v>
      </c>
      <c r="I16" s="17"/>
      <c r="J16" s="17" t="s">
        <v>60</v>
      </c>
      <c r="K16" s="89">
        <v>38295</v>
      </c>
      <c r="L16" s="17">
        <f t="shared" ca="1" si="0"/>
        <v>21</v>
      </c>
      <c r="M16" s="17"/>
      <c r="N16" s="395" t="s">
        <v>2228</v>
      </c>
      <c r="O16" s="634"/>
      <c r="P16" s="446"/>
      <c r="Q16" s="648" t="s">
        <v>3162</v>
      </c>
      <c r="R16" s="15"/>
      <c r="S16" s="111"/>
      <c r="T16" s="64"/>
      <c r="U16" s="425"/>
      <c r="V16" s="89"/>
      <c r="W16" s="141"/>
      <c r="X16" s="16"/>
      <c r="Y16" s="17"/>
      <c r="Z16" s="15"/>
      <c r="AA16" s="90"/>
      <c r="AB16" s="89"/>
      <c r="AC16" s="90"/>
      <c r="AD16" s="90"/>
      <c r="AE16" s="90"/>
      <c r="AF16" s="90"/>
      <c r="AG16" s="89"/>
      <c r="AH16" s="17"/>
      <c r="AI16" s="86"/>
      <c r="AJ16" s="142"/>
      <c r="AK16" s="142"/>
      <c r="AL16" s="142"/>
      <c r="AM16" s="476"/>
      <c r="AN16" s="478"/>
      <c r="AO16" s="478"/>
      <c r="AP16" s="478"/>
      <c r="AQ16" s="478"/>
      <c r="AR16" s="478"/>
      <c r="AS16" s="478"/>
      <c r="AT16" s="478"/>
      <c r="AU16" s="478"/>
      <c r="AV16" s="478"/>
    </row>
    <row r="17" spans="1:48" ht="45.75" customHeight="1">
      <c r="A17" s="17"/>
      <c r="B17" s="17"/>
      <c r="C17" s="636"/>
      <c r="D17" s="136" t="s">
        <v>55</v>
      </c>
      <c r="E17" s="111"/>
      <c r="F17" s="111"/>
      <c r="G17" s="88" t="s">
        <v>3167</v>
      </c>
      <c r="H17" s="137" t="s">
        <v>3168</v>
      </c>
      <c r="I17" s="17"/>
      <c r="J17" s="17" t="s">
        <v>60</v>
      </c>
      <c r="K17" s="89">
        <v>38321</v>
      </c>
      <c r="L17" s="17">
        <f t="shared" ca="1" si="0"/>
        <v>21</v>
      </c>
      <c r="M17" s="17"/>
      <c r="N17" s="395" t="s">
        <v>2228</v>
      </c>
      <c r="O17" s="634"/>
      <c r="P17" s="446"/>
      <c r="Q17" s="648" t="s">
        <v>3162</v>
      </c>
      <c r="R17" s="15"/>
      <c r="S17" s="111"/>
      <c r="T17" s="64"/>
      <c r="U17" s="425"/>
      <c r="V17" s="89"/>
      <c r="W17" s="141"/>
      <c r="X17" s="16"/>
      <c r="Y17" s="17"/>
      <c r="Z17" s="15"/>
      <c r="AA17" s="90"/>
      <c r="AB17" s="89"/>
      <c r="AC17" s="90"/>
      <c r="AD17" s="90"/>
      <c r="AE17" s="90"/>
      <c r="AF17" s="90"/>
      <c r="AG17" s="89"/>
      <c r="AH17" s="17"/>
      <c r="AI17" s="86"/>
      <c r="AJ17" s="142"/>
      <c r="AK17" s="142"/>
      <c r="AL17" s="142"/>
      <c r="AM17" s="476"/>
      <c r="AN17" s="478"/>
      <c r="AO17" s="478"/>
      <c r="AP17" s="478"/>
      <c r="AQ17" s="478"/>
      <c r="AR17" s="478"/>
      <c r="AS17" s="478"/>
      <c r="AT17" s="478"/>
      <c r="AU17" s="478"/>
      <c r="AV17" s="478"/>
    </row>
    <row r="18" spans="1:48" ht="45.75" customHeight="1">
      <c r="A18" s="17"/>
      <c r="B18" s="17"/>
      <c r="C18" s="636"/>
      <c r="D18" s="136" t="s">
        <v>55</v>
      </c>
      <c r="E18" s="111"/>
      <c r="F18" s="111"/>
      <c r="G18" s="88" t="s">
        <v>3169</v>
      </c>
      <c r="H18" s="137" t="s">
        <v>3170</v>
      </c>
      <c r="I18" s="17"/>
      <c r="J18" s="17" t="s">
        <v>60</v>
      </c>
      <c r="K18" s="89">
        <v>38692</v>
      </c>
      <c r="L18" s="17">
        <f t="shared" ca="1" si="0"/>
        <v>20</v>
      </c>
      <c r="M18" s="17"/>
      <c r="N18" s="395" t="s">
        <v>2228</v>
      </c>
      <c r="O18" s="634"/>
      <c r="P18" s="446"/>
      <c r="Q18" s="648" t="s">
        <v>3162</v>
      </c>
      <c r="R18" s="15"/>
      <c r="S18" s="111"/>
      <c r="T18" s="64"/>
      <c r="U18" s="425"/>
      <c r="V18" s="89"/>
      <c r="W18" s="141"/>
      <c r="X18" s="16"/>
      <c r="Y18" s="17"/>
      <c r="Z18" s="15"/>
      <c r="AA18" s="90"/>
      <c r="AB18" s="89"/>
      <c r="AC18" s="90"/>
      <c r="AD18" s="90"/>
      <c r="AE18" s="90"/>
      <c r="AF18" s="90"/>
      <c r="AG18" s="89"/>
      <c r="AH18" s="17"/>
      <c r="AI18" s="86"/>
      <c r="AJ18" s="142"/>
      <c r="AK18" s="142"/>
      <c r="AL18" s="142"/>
      <c r="AM18" s="476"/>
      <c r="AN18" s="478"/>
      <c r="AO18" s="478"/>
      <c r="AP18" s="478"/>
      <c r="AQ18" s="478"/>
      <c r="AR18" s="478"/>
      <c r="AS18" s="478"/>
      <c r="AT18" s="478"/>
      <c r="AU18" s="478"/>
      <c r="AV18" s="478"/>
    </row>
    <row r="19" spans="1:48" ht="45.75" customHeight="1">
      <c r="A19" s="17"/>
      <c r="B19" s="17"/>
      <c r="C19" s="636"/>
      <c r="D19" s="136" t="s">
        <v>55</v>
      </c>
      <c r="E19" s="111"/>
      <c r="F19" s="111"/>
      <c r="G19" s="88" t="s">
        <v>3171</v>
      </c>
      <c r="H19" s="137" t="s">
        <v>3172</v>
      </c>
      <c r="I19" s="17"/>
      <c r="J19" s="17" t="s">
        <v>60</v>
      </c>
      <c r="K19" s="100">
        <v>38288</v>
      </c>
      <c r="L19" s="17">
        <f t="shared" ca="1" si="0"/>
        <v>21</v>
      </c>
      <c r="M19" s="17"/>
      <c r="N19" s="395" t="s">
        <v>2228</v>
      </c>
      <c r="O19" s="634"/>
      <c r="P19" s="446"/>
      <c r="Q19" s="648" t="s">
        <v>3162</v>
      </c>
      <c r="R19" s="15"/>
      <c r="S19" s="111"/>
      <c r="T19" s="64"/>
      <c r="U19" s="425"/>
      <c r="V19" s="89"/>
      <c r="W19" s="141"/>
      <c r="X19" s="16"/>
      <c r="Y19" s="17"/>
      <c r="Z19" s="15"/>
      <c r="AA19" s="90"/>
      <c r="AB19" s="89"/>
      <c r="AC19" s="90"/>
      <c r="AD19" s="90"/>
      <c r="AE19" s="90"/>
      <c r="AF19" s="90"/>
      <c r="AG19" s="89"/>
      <c r="AH19" s="17"/>
      <c r="AI19" s="86"/>
      <c r="AJ19" s="142"/>
      <c r="AK19" s="142"/>
      <c r="AL19" s="142"/>
      <c r="AM19" s="476"/>
      <c r="AN19" s="478"/>
      <c r="AO19" s="478"/>
      <c r="AP19" s="478"/>
      <c r="AQ19" s="478"/>
      <c r="AR19" s="478"/>
      <c r="AS19" s="478"/>
      <c r="AT19" s="478"/>
      <c r="AU19" s="478"/>
      <c r="AV19" s="478"/>
    </row>
    <row r="20" spans="1:48" ht="45.75" customHeight="1">
      <c r="A20" s="17"/>
      <c r="B20" s="17"/>
      <c r="C20" s="636"/>
      <c r="D20" s="136" t="s">
        <v>55</v>
      </c>
      <c r="E20" s="111"/>
      <c r="F20" s="111"/>
      <c r="G20" s="88" t="s">
        <v>3173</v>
      </c>
      <c r="H20" s="137" t="s">
        <v>3174</v>
      </c>
      <c r="I20" s="17"/>
      <c r="J20" s="17" t="s">
        <v>60</v>
      </c>
      <c r="K20" s="89">
        <v>38631</v>
      </c>
      <c r="L20" s="17">
        <f t="shared" ca="1" si="0"/>
        <v>20</v>
      </c>
      <c r="M20" s="17"/>
      <c r="N20" s="395" t="s">
        <v>2228</v>
      </c>
      <c r="O20" s="634"/>
      <c r="P20" s="446"/>
      <c r="Q20" s="648" t="s">
        <v>3162</v>
      </c>
      <c r="R20" s="15"/>
      <c r="S20" s="111"/>
      <c r="T20" s="64"/>
      <c r="U20" s="425"/>
      <c r="V20" s="89"/>
      <c r="W20" s="141"/>
      <c r="X20" s="16"/>
      <c r="Y20" s="17"/>
      <c r="Z20" s="15"/>
      <c r="AA20" s="90"/>
      <c r="AB20" s="89"/>
      <c r="AC20" s="90"/>
      <c r="AD20" s="90"/>
      <c r="AE20" s="90"/>
      <c r="AF20" s="90"/>
      <c r="AG20" s="89"/>
      <c r="AH20" s="17"/>
      <c r="AI20" s="86"/>
      <c r="AJ20" s="142"/>
      <c r="AK20" s="142"/>
      <c r="AL20" s="142"/>
      <c r="AM20" s="476"/>
      <c r="AN20" s="478"/>
      <c r="AO20" s="478"/>
      <c r="AP20" s="478"/>
      <c r="AQ20" s="478"/>
      <c r="AR20" s="478"/>
      <c r="AS20" s="478"/>
      <c r="AT20" s="478"/>
      <c r="AU20" s="478"/>
      <c r="AV20" s="478"/>
    </row>
    <row r="21" spans="1:48" ht="45.75" customHeight="1">
      <c r="A21" s="17"/>
      <c r="B21" s="17"/>
      <c r="C21" s="636"/>
      <c r="D21" s="136" t="s">
        <v>55</v>
      </c>
      <c r="E21" s="111"/>
      <c r="F21" s="111"/>
      <c r="G21" s="88" t="s">
        <v>3175</v>
      </c>
      <c r="H21" s="137" t="s">
        <v>3176</v>
      </c>
      <c r="I21" s="17"/>
      <c r="J21" s="17" t="s">
        <v>60</v>
      </c>
      <c r="K21" s="89">
        <v>38032</v>
      </c>
      <c r="L21" s="17">
        <f t="shared" ca="1" si="0"/>
        <v>22</v>
      </c>
      <c r="M21" s="17"/>
      <c r="N21" s="395" t="s">
        <v>2228</v>
      </c>
      <c r="O21" s="634"/>
      <c r="P21" s="446"/>
      <c r="Q21" s="648" t="s">
        <v>3162</v>
      </c>
      <c r="R21" s="15"/>
      <c r="S21" s="111"/>
      <c r="T21" s="64"/>
      <c r="U21" s="425"/>
      <c r="V21" s="89"/>
      <c r="W21" s="141"/>
      <c r="X21" s="16"/>
      <c r="Y21" s="17"/>
      <c r="Z21" s="15"/>
      <c r="AA21" s="90"/>
      <c r="AB21" s="89"/>
      <c r="AC21" s="90"/>
      <c r="AD21" s="90"/>
      <c r="AE21" s="90"/>
      <c r="AF21" s="90"/>
      <c r="AG21" s="89"/>
      <c r="AH21" s="17"/>
      <c r="AI21" s="86"/>
      <c r="AJ21" s="142"/>
      <c r="AK21" s="142"/>
      <c r="AL21" s="142"/>
      <c r="AM21" s="476"/>
      <c r="AN21" s="478"/>
      <c r="AO21" s="478"/>
      <c r="AP21" s="478"/>
      <c r="AQ21" s="478"/>
      <c r="AR21" s="478"/>
      <c r="AS21" s="478"/>
      <c r="AT21" s="478"/>
      <c r="AU21" s="478"/>
      <c r="AV21" s="478"/>
    </row>
    <row r="22" spans="1:48" ht="45.75" customHeight="1">
      <c r="A22" s="17"/>
      <c r="B22" s="17"/>
      <c r="C22" s="636"/>
      <c r="D22" s="136" t="s">
        <v>55</v>
      </c>
      <c r="E22" s="111"/>
      <c r="F22" s="111"/>
      <c r="G22" s="88" t="s">
        <v>3177</v>
      </c>
      <c r="H22" s="137" t="s">
        <v>3178</v>
      </c>
      <c r="I22" s="17"/>
      <c r="J22" s="17" t="s">
        <v>60</v>
      </c>
      <c r="K22" s="89">
        <v>38355</v>
      </c>
      <c r="L22" s="17">
        <f t="shared" ca="1" si="0"/>
        <v>21</v>
      </c>
      <c r="M22" s="17"/>
      <c r="N22" s="395" t="s">
        <v>2228</v>
      </c>
      <c r="O22" s="634"/>
      <c r="P22" s="446"/>
      <c r="Q22" s="648" t="s">
        <v>3162</v>
      </c>
      <c r="R22" s="15"/>
      <c r="S22" s="111"/>
      <c r="T22" s="64"/>
      <c r="U22" s="425"/>
      <c r="V22" s="89"/>
      <c r="W22" s="141"/>
      <c r="X22" s="16"/>
      <c r="Y22" s="17"/>
      <c r="Z22" s="15"/>
      <c r="AA22" s="90"/>
      <c r="AB22" s="89"/>
      <c r="AC22" s="90"/>
      <c r="AD22" s="90"/>
      <c r="AE22" s="90"/>
      <c r="AF22" s="90"/>
      <c r="AG22" s="89"/>
      <c r="AH22" s="17"/>
      <c r="AI22" s="86"/>
      <c r="AJ22" s="142"/>
      <c r="AK22" s="142"/>
      <c r="AL22" s="142"/>
      <c r="AM22" s="476"/>
      <c r="AN22" s="478"/>
      <c r="AO22" s="478"/>
      <c r="AP22" s="478"/>
      <c r="AQ22" s="478"/>
      <c r="AR22" s="478"/>
      <c r="AS22" s="478"/>
      <c r="AT22" s="478"/>
      <c r="AU22" s="478"/>
      <c r="AV22" s="478"/>
    </row>
    <row r="23" spans="1:48" ht="45.75" customHeight="1">
      <c r="A23" s="17"/>
      <c r="B23" s="17"/>
      <c r="C23" s="636"/>
      <c r="D23" s="136" t="s">
        <v>55</v>
      </c>
      <c r="E23" s="111"/>
      <c r="F23" s="111"/>
      <c r="G23" s="88" t="s">
        <v>3179</v>
      </c>
      <c r="H23" s="137" t="s">
        <v>3180</v>
      </c>
      <c r="I23" s="17"/>
      <c r="J23" s="17" t="s">
        <v>60</v>
      </c>
      <c r="K23" s="89">
        <v>38234</v>
      </c>
      <c r="L23" s="17">
        <f t="shared" ca="1" si="0"/>
        <v>21</v>
      </c>
      <c r="M23" s="17"/>
      <c r="N23" s="395" t="s">
        <v>2228</v>
      </c>
      <c r="O23" s="634"/>
      <c r="P23" s="446"/>
      <c r="Q23" s="648" t="s">
        <v>3162</v>
      </c>
      <c r="R23" s="15"/>
      <c r="S23" s="111"/>
      <c r="T23" s="64"/>
      <c r="U23" s="425"/>
      <c r="V23" s="89"/>
      <c r="W23" s="141"/>
      <c r="X23" s="16"/>
      <c r="Y23" s="17"/>
      <c r="Z23" s="15"/>
      <c r="AA23" s="90"/>
      <c r="AB23" s="89"/>
      <c r="AC23" s="90"/>
      <c r="AD23" s="90"/>
      <c r="AE23" s="90"/>
      <c r="AF23" s="90"/>
      <c r="AG23" s="89"/>
      <c r="AH23" s="17"/>
      <c r="AI23" s="86"/>
      <c r="AJ23" s="142"/>
      <c r="AK23" s="142"/>
      <c r="AL23" s="142"/>
      <c r="AM23" s="476"/>
      <c r="AN23" s="478"/>
      <c r="AO23" s="478"/>
      <c r="AP23" s="478"/>
      <c r="AQ23" s="478"/>
      <c r="AR23" s="478"/>
      <c r="AS23" s="478"/>
      <c r="AT23" s="478"/>
      <c r="AU23" s="478"/>
      <c r="AV23" s="478"/>
    </row>
    <row r="24" spans="1:48" ht="45.75" customHeight="1">
      <c r="A24" s="17"/>
      <c r="B24" s="17"/>
      <c r="C24" s="636"/>
      <c r="D24" s="136" t="s">
        <v>55</v>
      </c>
      <c r="E24" s="111"/>
      <c r="F24" s="111"/>
      <c r="G24" s="88" t="s">
        <v>3181</v>
      </c>
      <c r="H24" s="137" t="s">
        <v>3182</v>
      </c>
      <c r="I24" s="17"/>
      <c r="J24" s="17" t="s">
        <v>60</v>
      </c>
      <c r="K24" s="89">
        <v>38513</v>
      </c>
      <c r="L24" s="17">
        <f t="shared" ca="1" si="0"/>
        <v>20</v>
      </c>
      <c r="M24" s="17"/>
      <c r="N24" s="395" t="s">
        <v>2228</v>
      </c>
      <c r="O24" s="634"/>
      <c r="P24" s="446"/>
      <c r="Q24" s="648" t="s">
        <v>3162</v>
      </c>
      <c r="R24" s="15"/>
      <c r="S24" s="111"/>
      <c r="T24" s="64"/>
      <c r="U24" s="425"/>
      <c r="V24" s="89"/>
      <c r="W24" s="141"/>
      <c r="X24" s="16"/>
      <c r="Y24" s="17"/>
      <c r="Z24" s="15"/>
      <c r="AA24" s="90"/>
      <c r="AB24" s="89"/>
      <c r="AC24" s="90"/>
      <c r="AD24" s="90"/>
      <c r="AE24" s="90"/>
      <c r="AF24" s="90"/>
      <c r="AG24" s="89"/>
      <c r="AH24" s="17"/>
      <c r="AI24" s="86"/>
      <c r="AJ24" s="142"/>
      <c r="AK24" s="142"/>
      <c r="AL24" s="142"/>
      <c r="AM24" s="476"/>
      <c r="AN24" s="478"/>
      <c r="AO24" s="478"/>
      <c r="AP24" s="478"/>
      <c r="AQ24" s="478"/>
      <c r="AR24" s="478"/>
      <c r="AS24" s="478"/>
      <c r="AT24" s="478"/>
      <c r="AU24" s="478"/>
      <c r="AV24" s="478"/>
    </row>
    <row r="25" spans="1:48" ht="45.75" customHeight="1">
      <c r="A25" s="17"/>
      <c r="B25" s="17"/>
      <c r="C25" s="636"/>
      <c r="D25" s="136" t="s">
        <v>55</v>
      </c>
      <c r="E25" s="111"/>
      <c r="F25" s="111"/>
      <c r="G25" s="88" t="s">
        <v>3183</v>
      </c>
      <c r="H25" s="137" t="s">
        <v>3184</v>
      </c>
      <c r="I25" s="17"/>
      <c r="J25" s="17" t="s">
        <v>60</v>
      </c>
      <c r="K25" s="89">
        <v>38655</v>
      </c>
      <c r="L25" s="17">
        <f t="shared" ca="1" si="0"/>
        <v>20</v>
      </c>
      <c r="M25" s="17"/>
      <c r="N25" s="395" t="s">
        <v>2228</v>
      </c>
      <c r="O25" s="634"/>
      <c r="P25" s="446"/>
      <c r="Q25" s="648" t="s">
        <v>3162</v>
      </c>
      <c r="R25" s="15"/>
      <c r="S25" s="111"/>
      <c r="T25" s="64"/>
      <c r="U25" s="425"/>
      <c r="V25" s="89"/>
      <c r="W25" s="141"/>
      <c r="X25" s="16"/>
      <c r="Y25" s="17"/>
      <c r="Z25" s="15"/>
      <c r="AA25" s="90"/>
      <c r="AB25" s="89"/>
      <c r="AC25" s="90"/>
      <c r="AD25" s="90"/>
      <c r="AE25" s="90"/>
      <c r="AF25" s="90"/>
      <c r="AG25" s="89"/>
      <c r="AH25" s="17"/>
      <c r="AI25" s="86"/>
      <c r="AJ25" s="142"/>
      <c r="AK25" s="142"/>
      <c r="AL25" s="142"/>
      <c r="AM25" s="476"/>
      <c r="AN25" s="478"/>
      <c r="AO25" s="478"/>
      <c r="AP25" s="478"/>
      <c r="AQ25" s="478"/>
      <c r="AR25" s="478"/>
      <c r="AS25" s="478"/>
      <c r="AT25" s="478"/>
      <c r="AU25" s="478"/>
      <c r="AV25" s="478"/>
    </row>
    <row r="26" spans="1:48" ht="15.75" customHeight="1">
      <c r="A26" s="591"/>
      <c r="B26" s="591"/>
      <c r="C26" s="638"/>
      <c r="D26" s="639"/>
      <c r="E26" s="640"/>
      <c r="F26" s="640"/>
      <c r="G26" s="458"/>
      <c r="H26" s="62"/>
      <c r="I26" s="591"/>
      <c r="J26" s="591"/>
      <c r="K26" s="641"/>
      <c r="L26" s="591"/>
      <c r="M26" s="591"/>
      <c r="N26" s="395"/>
      <c r="O26" s="642"/>
      <c r="P26" s="643"/>
      <c r="Q26" s="644"/>
      <c r="R26" s="276"/>
      <c r="S26" s="640"/>
      <c r="T26" s="645"/>
      <c r="U26" s="646"/>
      <c r="V26" s="641"/>
      <c r="W26" s="20"/>
      <c r="X26" s="465"/>
      <c r="Y26" s="591"/>
      <c r="Z26" s="276"/>
      <c r="AA26" s="589"/>
      <c r="AB26" s="641"/>
      <c r="AC26" s="589"/>
      <c r="AD26" s="589"/>
      <c r="AE26" s="589"/>
      <c r="AF26" s="589"/>
      <c r="AG26" s="641"/>
      <c r="AH26" s="591"/>
      <c r="AI26" s="647"/>
      <c r="AJ26" s="292"/>
      <c r="AK26" s="292"/>
      <c r="AL26" s="292"/>
      <c r="AM26" s="478"/>
      <c r="AN26" s="478"/>
      <c r="AO26" s="478"/>
      <c r="AP26" s="478"/>
      <c r="AQ26" s="478"/>
      <c r="AR26" s="478"/>
      <c r="AS26" s="478"/>
      <c r="AT26" s="478"/>
      <c r="AU26" s="478"/>
      <c r="AV26" s="478"/>
    </row>
    <row r="27" spans="1:48" ht="47.25" customHeight="1">
      <c r="A27" s="17"/>
      <c r="B27" s="17"/>
      <c r="C27" s="135" t="s">
        <v>54</v>
      </c>
      <c r="D27" s="136" t="s">
        <v>611</v>
      </c>
      <c r="E27" s="111"/>
      <c r="F27" s="111"/>
      <c r="G27" s="88" t="s">
        <v>3185</v>
      </c>
      <c r="H27" s="137" t="s">
        <v>3186</v>
      </c>
      <c r="I27" s="17"/>
      <c r="J27" s="17" t="s">
        <v>261</v>
      </c>
      <c r="K27" s="89">
        <v>37439</v>
      </c>
      <c r="L27" s="17">
        <v>23</v>
      </c>
      <c r="M27" s="17"/>
      <c r="N27" s="395" t="s">
        <v>2228</v>
      </c>
      <c r="O27" s="634"/>
      <c r="P27" s="446"/>
      <c r="Q27" s="649" t="s">
        <v>81</v>
      </c>
      <c r="R27" s="15" t="s">
        <v>3187</v>
      </c>
      <c r="S27" s="111"/>
      <c r="T27" s="64"/>
      <c r="U27" s="425"/>
      <c r="V27" s="89"/>
      <c r="W27" s="141"/>
      <c r="X27" s="16"/>
      <c r="Y27" s="17"/>
      <c r="Z27" s="15"/>
      <c r="AA27" s="90"/>
      <c r="AB27" s="89"/>
      <c r="AC27" s="90"/>
      <c r="AD27" s="90"/>
      <c r="AE27" s="90"/>
      <c r="AF27" s="90"/>
      <c r="AG27" s="89"/>
      <c r="AH27" s="17"/>
      <c r="AI27" s="86"/>
      <c r="AJ27" s="142"/>
      <c r="AK27" s="142"/>
      <c r="AL27" s="142"/>
      <c r="AM27" s="476"/>
      <c r="AN27" s="476"/>
      <c r="AO27" s="478"/>
      <c r="AP27" s="478"/>
      <c r="AQ27" s="478"/>
      <c r="AR27" s="478"/>
      <c r="AS27" s="478"/>
      <c r="AT27" s="478"/>
      <c r="AU27" s="478"/>
      <c r="AV27" s="478"/>
    </row>
    <row r="28" spans="1:48" ht="47.25" customHeight="1">
      <c r="A28" s="17"/>
      <c r="B28" s="17"/>
      <c r="C28" s="135" t="s">
        <v>54</v>
      </c>
      <c r="D28" s="136" t="s">
        <v>611</v>
      </c>
      <c r="E28" s="111"/>
      <c r="F28" s="111"/>
      <c r="G28" s="88" t="s">
        <v>3188</v>
      </c>
      <c r="H28" s="137" t="s">
        <v>3189</v>
      </c>
      <c r="I28" s="17"/>
      <c r="J28" s="17" t="s">
        <v>261</v>
      </c>
      <c r="K28" s="100">
        <v>37928</v>
      </c>
      <c r="L28" s="17">
        <v>22</v>
      </c>
      <c r="M28" s="17"/>
      <c r="N28" s="395" t="s">
        <v>2228</v>
      </c>
      <c r="O28" s="634"/>
      <c r="P28" s="446"/>
      <c r="Q28" s="649" t="s">
        <v>81</v>
      </c>
      <c r="R28" s="15" t="s">
        <v>3190</v>
      </c>
      <c r="S28" s="111"/>
      <c r="T28" s="64"/>
      <c r="U28" s="425"/>
      <c r="V28" s="89"/>
      <c r="W28" s="141"/>
      <c r="X28" s="16"/>
      <c r="Y28" s="17"/>
      <c r="Z28" s="15"/>
      <c r="AA28" s="90"/>
      <c r="AB28" s="89"/>
      <c r="AC28" s="90"/>
      <c r="AD28" s="90"/>
      <c r="AE28" s="90"/>
      <c r="AF28" s="90"/>
      <c r="AG28" s="89"/>
      <c r="AH28" s="17"/>
      <c r="AI28" s="86"/>
      <c r="AJ28" s="142"/>
      <c r="AK28" s="142"/>
      <c r="AL28" s="142" t="s">
        <v>3191</v>
      </c>
      <c r="AM28" s="476"/>
      <c r="AN28" s="476"/>
      <c r="AO28" s="478"/>
      <c r="AP28" s="478"/>
      <c r="AQ28" s="478"/>
      <c r="AR28" s="478"/>
      <c r="AS28" s="478"/>
      <c r="AT28" s="478"/>
      <c r="AU28" s="478"/>
      <c r="AV28" s="478"/>
    </row>
    <row r="29" spans="1:48" ht="47.25" customHeight="1">
      <c r="A29" s="17"/>
      <c r="B29" s="17"/>
      <c r="C29" s="135" t="s">
        <v>54</v>
      </c>
      <c r="D29" s="136" t="s">
        <v>611</v>
      </c>
      <c r="E29" s="111"/>
      <c r="F29" s="111"/>
      <c r="G29" s="88" t="s">
        <v>3192</v>
      </c>
      <c r="H29" s="137" t="s">
        <v>3193</v>
      </c>
      <c r="I29" s="17"/>
      <c r="J29" s="17" t="s">
        <v>261</v>
      </c>
      <c r="K29" s="100">
        <v>37950</v>
      </c>
      <c r="L29" s="17">
        <v>22</v>
      </c>
      <c r="M29" s="17"/>
      <c r="N29" s="395" t="s">
        <v>2228</v>
      </c>
      <c r="O29" s="634"/>
      <c r="P29" s="446"/>
      <c r="Q29" s="649" t="s">
        <v>81</v>
      </c>
      <c r="R29" s="15" t="s">
        <v>3190</v>
      </c>
      <c r="S29" s="111"/>
      <c r="T29" s="64"/>
      <c r="U29" s="425"/>
      <c r="V29" s="89"/>
      <c r="W29" s="141"/>
      <c r="X29" s="16"/>
      <c r="Y29" s="17"/>
      <c r="Z29" s="15"/>
      <c r="AA29" s="90"/>
      <c r="AB29" s="89"/>
      <c r="AC29" s="90"/>
      <c r="AD29" s="90"/>
      <c r="AE29" s="90"/>
      <c r="AF29" s="90"/>
      <c r="AG29" s="89"/>
      <c r="AH29" s="17"/>
      <c r="AI29" s="86"/>
      <c r="AJ29" s="142"/>
      <c r="AK29" s="142"/>
      <c r="AL29" s="142" t="s">
        <v>3191</v>
      </c>
      <c r="AM29" s="476"/>
      <c r="AN29" s="476"/>
      <c r="AO29" s="478"/>
      <c r="AP29" s="478"/>
      <c r="AQ29" s="478"/>
      <c r="AR29" s="478"/>
      <c r="AS29" s="478"/>
      <c r="AT29" s="478"/>
      <c r="AU29" s="478"/>
      <c r="AV29" s="478"/>
    </row>
    <row r="30" spans="1:48" ht="47.25" customHeight="1">
      <c r="A30" s="17"/>
      <c r="B30" s="17"/>
      <c r="C30" s="135" t="s">
        <v>54</v>
      </c>
      <c r="D30" s="136" t="s">
        <v>611</v>
      </c>
      <c r="E30" s="111"/>
      <c r="F30" s="111"/>
      <c r="G30" s="88" t="s">
        <v>3194</v>
      </c>
      <c r="H30" s="137" t="s">
        <v>3195</v>
      </c>
      <c r="I30" s="17"/>
      <c r="J30" s="17" t="s">
        <v>261</v>
      </c>
      <c r="K30" s="89">
        <v>37428</v>
      </c>
      <c r="L30" s="17">
        <v>23</v>
      </c>
      <c r="M30" s="17"/>
      <c r="N30" s="395" t="s">
        <v>2228</v>
      </c>
      <c r="O30" s="634"/>
      <c r="P30" s="446"/>
      <c r="Q30" s="649" t="s">
        <v>81</v>
      </c>
      <c r="R30" s="15" t="s">
        <v>3196</v>
      </c>
      <c r="S30" s="111"/>
      <c r="T30" s="64"/>
      <c r="U30" s="425"/>
      <c r="V30" s="89"/>
      <c r="W30" s="141"/>
      <c r="X30" s="16"/>
      <c r="Y30" s="17"/>
      <c r="Z30" s="15"/>
      <c r="AA30" s="90"/>
      <c r="AB30" s="89"/>
      <c r="AC30" s="90"/>
      <c r="AD30" s="90"/>
      <c r="AE30" s="90"/>
      <c r="AF30" s="90"/>
      <c r="AG30" s="89"/>
      <c r="AH30" s="17"/>
      <c r="AI30" s="86"/>
      <c r="AJ30" s="142"/>
      <c r="AK30" s="142"/>
      <c r="AL30" s="142" t="s">
        <v>3191</v>
      </c>
      <c r="AM30" s="476"/>
      <c r="AN30" s="476"/>
      <c r="AO30" s="478"/>
      <c r="AP30" s="478"/>
      <c r="AQ30" s="478"/>
      <c r="AR30" s="478"/>
      <c r="AS30" s="478"/>
      <c r="AT30" s="478"/>
      <c r="AU30" s="478"/>
      <c r="AV30" s="478"/>
    </row>
    <row r="31" spans="1:48" ht="47.25" customHeight="1">
      <c r="A31" s="17"/>
      <c r="B31" s="17"/>
      <c r="C31" s="135" t="s">
        <v>54</v>
      </c>
      <c r="D31" s="136" t="s">
        <v>611</v>
      </c>
      <c r="E31" s="111"/>
      <c r="F31" s="111"/>
      <c r="G31" s="88" t="s">
        <v>3197</v>
      </c>
      <c r="H31" s="137" t="s">
        <v>3198</v>
      </c>
      <c r="I31" s="17"/>
      <c r="J31" s="17" t="s">
        <v>60</v>
      </c>
      <c r="K31" s="89">
        <v>37856</v>
      </c>
      <c r="L31" s="17">
        <v>22</v>
      </c>
      <c r="M31" s="17"/>
      <c r="N31" s="395" t="s">
        <v>2228</v>
      </c>
      <c r="O31" s="634"/>
      <c r="P31" s="446"/>
      <c r="Q31" s="649" t="s">
        <v>81</v>
      </c>
      <c r="R31" s="15" t="s">
        <v>3199</v>
      </c>
      <c r="S31" s="111"/>
      <c r="T31" s="64"/>
      <c r="U31" s="425"/>
      <c r="V31" s="89"/>
      <c r="W31" s="141"/>
      <c r="X31" s="16"/>
      <c r="Y31" s="17"/>
      <c r="Z31" s="15"/>
      <c r="AA31" s="90"/>
      <c r="AB31" s="89"/>
      <c r="AC31" s="90"/>
      <c r="AD31" s="90"/>
      <c r="AE31" s="90"/>
      <c r="AF31" s="90"/>
      <c r="AG31" s="89"/>
      <c r="AH31" s="17"/>
      <c r="AI31" s="86"/>
      <c r="AJ31" s="142"/>
      <c r="AK31" s="142"/>
      <c r="AL31" s="142" t="s">
        <v>3200</v>
      </c>
      <c r="AM31" s="476"/>
      <c r="AN31" s="476"/>
      <c r="AO31" s="478"/>
      <c r="AP31" s="478"/>
      <c r="AQ31" s="478"/>
      <c r="AR31" s="478"/>
      <c r="AS31" s="478"/>
      <c r="AT31" s="478"/>
      <c r="AU31" s="478"/>
      <c r="AV31" s="478"/>
    </row>
    <row r="32" spans="1:48" ht="47.25" customHeight="1">
      <c r="A32" s="17"/>
      <c r="B32" s="17"/>
      <c r="C32" s="135" t="s">
        <v>54</v>
      </c>
      <c r="D32" s="136" t="s">
        <v>611</v>
      </c>
      <c r="E32" s="111"/>
      <c r="F32" s="111"/>
      <c r="G32" s="88" t="s">
        <v>3201</v>
      </c>
      <c r="H32" s="137" t="s">
        <v>3202</v>
      </c>
      <c r="I32" s="17"/>
      <c r="J32" s="17" t="s">
        <v>60</v>
      </c>
      <c r="K32" s="89">
        <v>38591</v>
      </c>
      <c r="L32" s="17">
        <v>20</v>
      </c>
      <c r="M32" s="17"/>
      <c r="N32" s="395" t="s">
        <v>2228</v>
      </c>
      <c r="O32" s="634"/>
      <c r="P32" s="446"/>
      <c r="Q32" s="649" t="s">
        <v>81</v>
      </c>
      <c r="R32" s="15" t="s">
        <v>3203</v>
      </c>
      <c r="S32" s="111"/>
      <c r="T32" s="64"/>
      <c r="U32" s="425"/>
      <c r="V32" s="89"/>
      <c r="W32" s="141"/>
      <c r="X32" s="16"/>
      <c r="Y32" s="17"/>
      <c r="Z32" s="15"/>
      <c r="AA32" s="90"/>
      <c r="AB32" s="89"/>
      <c r="AC32" s="90"/>
      <c r="AD32" s="90"/>
      <c r="AE32" s="90"/>
      <c r="AF32" s="90"/>
      <c r="AG32" s="89"/>
      <c r="AH32" s="17"/>
      <c r="AI32" s="86"/>
      <c r="AJ32" s="142"/>
      <c r="AK32" s="142"/>
      <c r="AL32" s="142" t="s">
        <v>3200</v>
      </c>
      <c r="AM32" s="476"/>
      <c r="AN32" s="476"/>
      <c r="AO32" s="478"/>
      <c r="AP32" s="478"/>
      <c r="AQ32" s="478"/>
      <c r="AR32" s="478"/>
      <c r="AS32" s="478"/>
      <c r="AT32" s="478"/>
      <c r="AU32" s="478"/>
      <c r="AV32" s="478"/>
    </row>
    <row r="33" spans="1:48" ht="14.5">
      <c r="Q33" s="595"/>
    </row>
    <row r="34" spans="1:48" ht="44.25" customHeight="1">
      <c r="A34" s="17" t="s">
        <v>2028</v>
      </c>
      <c r="B34" s="17"/>
      <c r="C34" s="553" t="s">
        <v>54</v>
      </c>
      <c r="D34" s="45" t="s">
        <v>611</v>
      </c>
      <c r="E34" s="404"/>
      <c r="F34" s="404"/>
      <c r="G34" s="47" t="s">
        <v>2280</v>
      </c>
      <c r="H34" s="28" t="s">
        <v>2281</v>
      </c>
      <c r="I34" s="22" t="s">
        <v>2282</v>
      </c>
      <c r="J34" s="22" t="s">
        <v>261</v>
      </c>
      <c r="K34" s="30">
        <v>36320</v>
      </c>
      <c r="L34" s="22">
        <v>26</v>
      </c>
      <c r="M34" s="22" t="s">
        <v>134</v>
      </c>
      <c r="N34" s="395"/>
      <c r="O34" s="650">
        <v>46023</v>
      </c>
      <c r="P34" s="446"/>
      <c r="Q34" s="49" t="s">
        <v>81</v>
      </c>
      <c r="R34" s="15" t="s">
        <v>2283</v>
      </c>
      <c r="S34" s="404" t="s">
        <v>1687</v>
      </c>
      <c r="T34" s="345"/>
      <c r="U34" s="425">
        <v>45778</v>
      </c>
      <c r="V34" s="91"/>
      <c r="W34" s="14"/>
      <c r="X34" s="16"/>
      <c r="Y34" s="22"/>
      <c r="Z34" s="59"/>
      <c r="AA34" s="42"/>
      <c r="AB34" s="30"/>
      <c r="AC34" s="42"/>
      <c r="AD34" s="42"/>
      <c r="AE34" s="42"/>
      <c r="AF34" s="42"/>
      <c r="AG34" s="30"/>
      <c r="AH34" s="22"/>
      <c r="AI34" s="92"/>
      <c r="AJ34" s="168"/>
      <c r="AK34" s="168"/>
      <c r="AL34" s="168" t="s">
        <v>2284</v>
      </c>
      <c r="AM34" s="478"/>
      <c r="AN34" s="478"/>
      <c r="AO34" s="478"/>
      <c r="AP34" s="478"/>
      <c r="AQ34" s="478"/>
      <c r="AR34" s="478"/>
      <c r="AS34" s="478"/>
      <c r="AT34" s="478"/>
      <c r="AU34" s="478"/>
      <c r="AV34" s="478"/>
    </row>
    <row r="35" spans="1:48" ht="44.25" customHeight="1">
      <c r="A35" s="17" t="s">
        <v>2028</v>
      </c>
      <c r="B35" s="17"/>
      <c r="C35" s="553" t="s">
        <v>54</v>
      </c>
      <c r="D35" s="45" t="s">
        <v>611</v>
      </c>
      <c r="E35" s="404"/>
      <c r="F35" s="404"/>
      <c r="G35" s="47" t="s">
        <v>3204</v>
      </c>
      <c r="H35" s="388" t="s">
        <v>3205</v>
      </c>
      <c r="I35" s="22" t="s">
        <v>3206</v>
      </c>
      <c r="J35" s="22" t="s">
        <v>261</v>
      </c>
      <c r="K35" s="30">
        <v>37822</v>
      </c>
      <c r="L35" s="22">
        <v>22</v>
      </c>
      <c r="M35" s="22" t="s">
        <v>134</v>
      </c>
      <c r="N35" s="395"/>
      <c r="O35" s="650">
        <v>46023</v>
      </c>
      <c r="P35" s="446"/>
      <c r="Q35" s="49" t="s">
        <v>81</v>
      </c>
      <c r="R35" s="59"/>
      <c r="S35" s="404" t="s">
        <v>1687</v>
      </c>
      <c r="T35" s="345"/>
      <c r="U35" s="425">
        <v>45778</v>
      </c>
      <c r="V35" s="91"/>
      <c r="W35" s="14"/>
      <c r="X35" s="16"/>
      <c r="Y35" s="22"/>
      <c r="Z35" s="59"/>
      <c r="AA35" s="42"/>
      <c r="AB35" s="30"/>
      <c r="AC35" s="42"/>
      <c r="AD35" s="42"/>
      <c r="AE35" s="42"/>
      <c r="AF35" s="42"/>
      <c r="AG35" s="30"/>
      <c r="AH35" s="22"/>
      <c r="AI35" s="92"/>
      <c r="AJ35" s="168"/>
      <c r="AK35" s="168"/>
      <c r="AL35" s="168" t="s">
        <v>2284</v>
      </c>
      <c r="AM35" s="478"/>
      <c r="AN35" s="478"/>
      <c r="AO35" s="478"/>
      <c r="AP35" s="478"/>
      <c r="AQ35" s="478"/>
      <c r="AR35" s="478"/>
      <c r="AS35" s="478"/>
      <c r="AT35" s="478"/>
      <c r="AU35" s="478"/>
      <c r="AV35" s="478"/>
    </row>
    <row r="36" spans="1:48" ht="44.25" customHeight="1">
      <c r="A36" s="17" t="s">
        <v>2028</v>
      </c>
      <c r="B36" s="17"/>
      <c r="C36" s="553" t="s">
        <v>54</v>
      </c>
      <c r="D36" s="45" t="s">
        <v>611</v>
      </c>
      <c r="E36" s="404"/>
      <c r="F36" s="404"/>
      <c r="G36" s="47" t="s">
        <v>3207</v>
      </c>
      <c r="H36" s="388" t="s">
        <v>3208</v>
      </c>
      <c r="I36" s="22" t="s">
        <v>3209</v>
      </c>
      <c r="J36" s="22" t="s">
        <v>261</v>
      </c>
      <c r="K36" s="30">
        <v>36228</v>
      </c>
      <c r="L36" s="70">
        <v>26</v>
      </c>
      <c r="M36" s="22" t="s">
        <v>134</v>
      </c>
      <c r="N36" s="395"/>
      <c r="O36" s="650">
        <v>46023</v>
      </c>
      <c r="P36" s="446"/>
      <c r="Q36" s="49" t="s">
        <v>81</v>
      </c>
      <c r="R36" s="59"/>
      <c r="S36" s="404" t="s">
        <v>1687</v>
      </c>
      <c r="T36" s="345"/>
      <c r="U36" s="425">
        <v>45778</v>
      </c>
      <c r="V36" s="91"/>
      <c r="W36" s="14"/>
      <c r="X36" s="16"/>
      <c r="Y36" s="22"/>
      <c r="Z36" s="59"/>
      <c r="AA36" s="42"/>
      <c r="AB36" s="30"/>
      <c r="AC36" s="42"/>
      <c r="AD36" s="42"/>
      <c r="AE36" s="42"/>
      <c r="AF36" s="42"/>
      <c r="AG36" s="30"/>
      <c r="AH36" s="22"/>
      <c r="AI36" s="92"/>
      <c r="AJ36" s="168"/>
      <c r="AK36" s="168"/>
      <c r="AL36" s="168" t="s">
        <v>2284</v>
      </c>
      <c r="AM36" s="478"/>
      <c r="AN36" s="478"/>
      <c r="AO36" s="478"/>
      <c r="AP36" s="478"/>
      <c r="AQ36" s="478"/>
      <c r="AR36" s="478"/>
      <c r="AS36" s="478"/>
      <c r="AT36" s="478"/>
      <c r="AU36" s="478"/>
      <c r="AV36" s="478"/>
    </row>
    <row r="37" spans="1:48" ht="44.25" customHeight="1">
      <c r="A37" s="17" t="s">
        <v>2028</v>
      </c>
      <c r="B37" s="17"/>
      <c r="C37" s="553" t="s">
        <v>54</v>
      </c>
      <c r="D37" s="45" t="s">
        <v>611</v>
      </c>
      <c r="E37" s="404"/>
      <c r="F37" s="404"/>
      <c r="G37" s="47" t="s">
        <v>3210</v>
      </c>
      <c r="H37" s="388" t="s">
        <v>3211</v>
      </c>
      <c r="I37" s="22" t="s">
        <v>3212</v>
      </c>
      <c r="J37" s="22" t="s">
        <v>261</v>
      </c>
      <c r="K37" s="30">
        <v>38361</v>
      </c>
      <c r="L37" s="395">
        <v>21</v>
      </c>
      <c r="M37" s="22" t="s">
        <v>134</v>
      </c>
      <c r="N37" s="395"/>
      <c r="O37" s="650">
        <v>46023</v>
      </c>
      <c r="P37" s="446"/>
      <c r="Q37" s="49" t="s">
        <v>81</v>
      </c>
      <c r="R37" s="59"/>
      <c r="S37" s="404" t="s">
        <v>1687</v>
      </c>
      <c r="T37" s="345"/>
      <c r="U37" s="425">
        <v>45778</v>
      </c>
      <c r="V37" s="91"/>
      <c r="W37" s="14"/>
      <c r="X37" s="16"/>
      <c r="Y37" s="22"/>
      <c r="Z37" s="59"/>
      <c r="AA37" s="42"/>
      <c r="AB37" s="30"/>
      <c r="AC37" s="42"/>
      <c r="AD37" s="42"/>
      <c r="AE37" s="42"/>
      <c r="AF37" s="42"/>
      <c r="AG37" s="30"/>
      <c r="AH37" s="22"/>
      <c r="AI37" s="92"/>
      <c r="AJ37" s="168"/>
      <c r="AK37" s="168"/>
      <c r="AL37" s="168" t="s">
        <v>2284</v>
      </c>
      <c r="AM37" s="478"/>
      <c r="AN37" s="478"/>
      <c r="AO37" s="478"/>
      <c r="AP37" s="478"/>
      <c r="AQ37" s="478"/>
      <c r="AR37" s="478"/>
      <c r="AS37" s="478"/>
      <c r="AT37" s="478"/>
      <c r="AU37" s="478"/>
      <c r="AV37" s="478"/>
    </row>
    <row r="38" spans="1:48" ht="44.25" customHeight="1">
      <c r="A38" s="17" t="s">
        <v>2028</v>
      </c>
      <c r="B38" s="17"/>
      <c r="C38" s="553" t="s">
        <v>54</v>
      </c>
      <c r="D38" s="45" t="s">
        <v>611</v>
      </c>
      <c r="E38" s="404"/>
      <c r="F38" s="404"/>
      <c r="G38" s="47" t="s">
        <v>2286</v>
      </c>
      <c r="H38" s="28" t="s">
        <v>2287</v>
      </c>
      <c r="I38" s="22" t="s">
        <v>2288</v>
      </c>
      <c r="J38" s="22" t="s">
        <v>261</v>
      </c>
      <c r="K38" s="30">
        <v>38534</v>
      </c>
      <c r="L38" s="22">
        <v>20</v>
      </c>
      <c r="M38" s="22" t="s">
        <v>134</v>
      </c>
      <c r="N38" s="395"/>
      <c r="O38" s="650">
        <v>46023</v>
      </c>
      <c r="P38" s="446"/>
      <c r="Q38" s="49" t="s">
        <v>81</v>
      </c>
      <c r="R38" s="15" t="s">
        <v>2283</v>
      </c>
      <c r="S38" s="404" t="s">
        <v>1687</v>
      </c>
      <c r="T38" s="345"/>
      <c r="U38" s="425">
        <v>45778</v>
      </c>
      <c r="V38" s="91"/>
      <c r="W38" s="14"/>
      <c r="X38" s="16"/>
      <c r="Y38" s="22"/>
      <c r="Z38" s="59"/>
      <c r="AA38" s="42"/>
      <c r="AB38" s="30"/>
      <c r="AC38" s="42"/>
      <c r="AD38" s="42"/>
      <c r="AE38" s="42"/>
      <c r="AF38" s="42"/>
      <c r="AG38" s="30"/>
      <c r="AH38" s="22"/>
      <c r="AI38" s="92"/>
      <c r="AJ38" s="168"/>
      <c r="AK38" s="168"/>
      <c r="AL38" s="168" t="s">
        <v>2284</v>
      </c>
      <c r="AM38" s="478"/>
      <c r="AN38" s="478"/>
      <c r="AO38" s="478"/>
      <c r="AP38" s="478"/>
      <c r="AQ38" s="478"/>
      <c r="AR38" s="478"/>
      <c r="AS38" s="478"/>
      <c r="AT38" s="478"/>
      <c r="AU38" s="478"/>
      <c r="AV38" s="478"/>
    </row>
    <row r="39" spans="1:48" ht="44.25" customHeight="1">
      <c r="A39" s="17" t="s">
        <v>2028</v>
      </c>
      <c r="B39" s="17"/>
      <c r="C39" s="553" t="s">
        <v>54</v>
      </c>
      <c r="D39" s="45" t="s">
        <v>611</v>
      </c>
      <c r="E39" s="404"/>
      <c r="F39" s="404"/>
      <c r="G39" s="651" t="s">
        <v>3213</v>
      </c>
      <c r="H39" s="388" t="s">
        <v>3214</v>
      </c>
      <c r="I39" s="22" t="s">
        <v>3215</v>
      </c>
      <c r="J39" s="22" t="s">
        <v>60</v>
      </c>
      <c r="K39" s="30">
        <v>37302</v>
      </c>
      <c r="L39" s="70">
        <v>23</v>
      </c>
      <c r="M39" s="22" t="s">
        <v>134</v>
      </c>
      <c r="N39" s="395"/>
      <c r="O39" s="650">
        <v>46023</v>
      </c>
      <c r="P39" s="446"/>
      <c r="Q39" s="49" t="s">
        <v>81</v>
      </c>
      <c r="R39" s="273" t="s">
        <v>3216</v>
      </c>
      <c r="S39" s="404" t="s">
        <v>1687</v>
      </c>
      <c r="T39" s="345"/>
      <c r="U39" s="425">
        <v>45778</v>
      </c>
      <c r="V39" s="91"/>
      <c r="W39" s="14"/>
      <c r="X39" s="16"/>
      <c r="Y39" s="22"/>
      <c r="Z39" s="59"/>
      <c r="AA39" s="42"/>
      <c r="AB39" s="30"/>
      <c r="AC39" s="42"/>
      <c r="AD39" s="42"/>
      <c r="AE39" s="42"/>
      <c r="AF39" s="42"/>
      <c r="AG39" s="30"/>
      <c r="AH39" s="22"/>
      <c r="AI39" s="92"/>
      <c r="AJ39" s="168"/>
      <c r="AK39" s="168"/>
      <c r="AL39" s="168" t="s">
        <v>2284</v>
      </c>
      <c r="AM39" s="478"/>
      <c r="AN39" s="478"/>
      <c r="AO39" s="478"/>
      <c r="AP39" s="478"/>
      <c r="AQ39" s="478"/>
      <c r="AR39" s="478"/>
      <c r="AS39" s="478"/>
      <c r="AT39" s="478"/>
      <c r="AU39" s="478"/>
      <c r="AV39" s="478"/>
    </row>
    <row r="40" spans="1:48" ht="44.25" customHeight="1">
      <c r="A40" s="17" t="s">
        <v>2028</v>
      </c>
      <c r="B40" s="17"/>
      <c r="C40" s="553" t="s">
        <v>54</v>
      </c>
      <c r="D40" s="45" t="s">
        <v>611</v>
      </c>
      <c r="E40" s="404"/>
      <c r="F40" s="404"/>
      <c r="G40" s="651" t="s">
        <v>3217</v>
      </c>
      <c r="H40" s="388" t="s">
        <v>3218</v>
      </c>
      <c r="I40" s="22" t="s">
        <v>3219</v>
      </c>
      <c r="J40" s="22" t="s">
        <v>60</v>
      </c>
      <c r="K40" s="30">
        <v>36977</v>
      </c>
      <c r="L40" s="22">
        <v>24</v>
      </c>
      <c r="M40" s="22" t="s">
        <v>134</v>
      </c>
      <c r="N40" s="395"/>
      <c r="O40" s="650">
        <v>46023</v>
      </c>
      <c r="P40" s="446"/>
      <c r="Q40" s="49" t="s">
        <v>81</v>
      </c>
      <c r="R40" s="273" t="s">
        <v>3216</v>
      </c>
      <c r="S40" s="404" t="s">
        <v>1687</v>
      </c>
      <c r="T40" s="345"/>
      <c r="U40" s="425">
        <v>45778</v>
      </c>
      <c r="V40" s="91"/>
      <c r="W40" s="14"/>
      <c r="X40" s="16"/>
      <c r="Y40" s="22"/>
      <c r="Z40" s="59"/>
      <c r="AA40" s="42"/>
      <c r="AB40" s="30"/>
      <c r="AC40" s="42"/>
      <c r="AD40" s="42"/>
      <c r="AE40" s="42"/>
      <c r="AF40" s="42"/>
      <c r="AG40" s="30"/>
      <c r="AH40" s="22"/>
      <c r="AI40" s="92"/>
      <c r="AJ40" s="168"/>
      <c r="AK40" s="168"/>
      <c r="AL40" s="168" t="s">
        <v>2284</v>
      </c>
      <c r="AM40" s="478"/>
      <c r="AN40" s="478"/>
      <c r="AO40" s="478"/>
      <c r="AP40" s="478"/>
      <c r="AQ40" s="478"/>
      <c r="AR40" s="478"/>
      <c r="AS40" s="478"/>
      <c r="AT40" s="478"/>
      <c r="AU40" s="478"/>
      <c r="AV40" s="478"/>
    </row>
    <row r="41" spans="1:48" ht="44.25" customHeight="1">
      <c r="A41" s="17" t="s">
        <v>2028</v>
      </c>
      <c r="B41" s="17"/>
      <c r="C41" s="553" t="s">
        <v>54</v>
      </c>
      <c r="D41" s="45" t="s">
        <v>611</v>
      </c>
      <c r="E41" s="404"/>
      <c r="F41" s="404"/>
      <c r="G41" s="651" t="s">
        <v>3220</v>
      </c>
      <c r="H41" s="388" t="s">
        <v>3221</v>
      </c>
      <c r="I41" s="22" t="s">
        <v>3222</v>
      </c>
      <c r="J41" s="22" t="s">
        <v>60</v>
      </c>
      <c r="K41" s="30">
        <v>35581</v>
      </c>
      <c r="L41" s="22">
        <v>28</v>
      </c>
      <c r="M41" s="22" t="s">
        <v>134</v>
      </c>
      <c r="N41" s="395"/>
      <c r="O41" s="650">
        <v>46023</v>
      </c>
      <c r="P41" s="446"/>
      <c r="Q41" s="49" t="s">
        <v>81</v>
      </c>
      <c r="R41" s="273" t="s">
        <v>3216</v>
      </c>
      <c r="S41" s="404" t="s">
        <v>1687</v>
      </c>
      <c r="T41" s="345"/>
      <c r="U41" s="425">
        <v>45778</v>
      </c>
      <c r="V41" s="91"/>
      <c r="W41" s="14"/>
      <c r="X41" s="16"/>
      <c r="Y41" s="22"/>
      <c r="Z41" s="59"/>
      <c r="AA41" s="42"/>
      <c r="AB41" s="30"/>
      <c r="AC41" s="42"/>
      <c r="AD41" s="42"/>
      <c r="AE41" s="42"/>
      <c r="AF41" s="42"/>
      <c r="AG41" s="30"/>
      <c r="AH41" s="22"/>
      <c r="AI41" s="92"/>
      <c r="AJ41" s="168"/>
      <c r="AK41" s="168"/>
      <c r="AL41" s="168" t="s">
        <v>2284</v>
      </c>
      <c r="AM41" s="478"/>
      <c r="AN41" s="478"/>
      <c r="AO41" s="478"/>
      <c r="AP41" s="478"/>
      <c r="AQ41" s="478"/>
      <c r="AR41" s="478"/>
      <c r="AS41" s="478"/>
      <c r="AT41" s="478"/>
      <c r="AU41" s="478"/>
      <c r="AV41" s="478"/>
    </row>
    <row r="42" spans="1:48" ht="44.25" customHeight="1">
      <c r="A42" s="17" t="s">
        <v>2028</v>
      </c>
      <c r="B42" s="17"/>
      <c r="C42" s="553" t="s">
        <v>54</v>
      </c>
      <c r="D42" s="45" t="s">
        <v>611</v>
      </c>
      <c r="E42" s="404"/>
      <c r="F42" s="404"/>
      <c r="G42" s="651" t="s">
        <v>3223</v>
      </c>
      <c r="H42" s="388" t="s">
        <v>3224</v>
      </c>
      <c r="I42" s="22" t="s">
        <v>3225</v>
      </c>
      <c r="J42" s="22" t="s">
        <v>60</v>
      </c>
      <c r="K42" s="30">
        <v>35156</v>
      </c>
      <c r="L42" s="22">
        <v>29</v>
      </c>
      <c r="M42" s="22" t="s">
        <v>134</v>
      </c>
      <c r="N42" s="395"/>
      <c r="O42" s="650">
        <v>46023</v>
      </c>
      <c r="P42" s="446"/>
      <c r="Q42" s="49" t="s">
        <v>81</v>
      </c>
      <c r="R42" s="273" t="s">
        <v>3216</v>
      </c>
      <c r="S42" s="404" t="s">
        <v>1687</v>
      </c>
      <c r="T42" s="345"/>
      <c r="U42" s="425">
        <v>45778</v>
      </c>
      <c r="V42" s="91"/>
      <c r="W42" s="14"/>
      <c r="X42" s="16"/>
      <c r="Y42" s="22"/>
      <c r="Z42" s="59"/>
      <c r="AA42" s="42"/>
      <c r="AB42" s="30"/>
      <c r="AC42" s="42"/>
      <c r="AD42" s="42"/>
      <c r="AE42" s="42"/>
      <c r="AF42" s="42"/>
      <c r="AG42" s="30"/>
      <c r="AH42" s="22"/>
      <c r="AI42" s="92"/>
      <c r="AJ42" s="168"/>
      <c r="AK42" s="168"/>
      <c r="AL42" s="168" t="s">
        <v>2284</v>
      </c>
      <c r="AM42" s="478"/>
      <c r="AN42" s="478"/>
      <c r="AO42" s="478"/>
      <c r="AP42" s="478"/>
      <c r="AQ42" s="478"/>
      <c r="AR42" s="478"/>
      <c r="AS42" s="478"/>
      <c r="AT42" s="478"/>
      <c r="AU42" s="478"/>
      <c r="AV42" s="478"/>
    </row>
    <row r="43" spans="1:48" ht="44.25" customHeight="1">
      <c r="A43" s="17" t="s">
        <v>2028</v>
      </c>
      <c r="B43" s="17"/>
      <c r="C43" s="553" t="s">
        <v>54</v>
      </c>
      <c r="D43" s="45" t="s">
        <v>611</v>
      </c>
      <c r="E43" s="404"/>
      <c r="F43" s="404"/>
      <c r="G43" s="651" t="s">
        <v>3226</v>
      </c>
      <c r="H43" s="388" t="s">
        <v>3227</v>
      </c>
      <c r="I43" s="22" t="s">
        <v>1874</v>
      </c>
      <c r="J43" s="22" t="s">
        <v>60</v>
      </c>
      <c r="K43" s="30">
        <v>38239</v>
      </c>
      <c r="L43" s="22">
        <v>21</v>
      </c>
      <c r="M43" s="22" t="s">
        <v>134</v>
      </c>
      <c r="N43" s="395"/>
      <c r="O43" s="650">
        <v>46023</v>
      </c>
      <c r="P43" s="446"/>
      <c r="Q43" s="49" t="s">
        <v>81</v>
      </c>
      <c r="R43" s="273" t="s">
        <v>3216</v>
      </c>
      <c r="S43" s="404" t="s">
        <v>1687</v>
      </c>
      <c r="T43" s="345"/>
      <c r="U43" s="425">
        <v>45778</v>
      </c>
      <c r="V43" s="91"/>
      <c r="W43" s="14"/>
      <c r="X43" s="16"/>
      <c r="Y43" s="22"/>
      <c r="Z43" s="59"/>
      <c r="AA43" s="42"/>
      <c r="AB43" s="30"/>
      <c r="AC43" s="42"/>
      <c r="AD43" s="42"/>
      <c r="AE43" s="42"/>
      <c r="AF43" s="42"/>
      <c r="AG43" s="30"/>
      <c r="AH43" s="22"/>
      <c r="AI43" s="92"/>
      <c r="AJ43" s="168"/>
      <c r="AK43" s="168"/>
      <c r="AL43" s="168" t="s">
        <v>2284</v>
      </c>
      <c r="AM43" s="478"/>
      <c r="AN43" s="478"/>
      <c r="AO43" s="478"/>
      <c r="AP43" s="478"/>
      <c r="AQ43" s="478"/>
      <c r="AR43" s="478"/>
      <c r="AS43" s="478"/>
      <c r="AT43" s="478"/>
      <c r="AU43" s="478"/>
      <c r="AV43" s="478"/>
    </row>
    <row r="44" spans="1:48" ht="44.25" customHeight="1">
      <c r="A44" s="17" t="s">
        <v>2028</v>
      </c>
      <c r="B44" s="17"/>
      <c r="C44" s="553" t="s">
        <v>54</v>
      </c>
      <c r="D44" s="45" t="s">
        <v>611</v>
      </c>
      <c r="E44" s="404"/>
      <c r="F44" s="404"/>
      <c r="G44" s="651" t="s">
        <v>3228</v>
      </c>
      <c r="H44" s="388" t="s">
        <v>3229</v>
      </c>
      <c r="I44" s="22" t="s">
        <v>3230</v>
      </c>
      <c r="J44" s="22" t="s">
        <v>60</v>
      </c>
      <c r="K44" s="30">
        <v>36613</v>
      </c>
      <c r="L44" s="22">
        <v>25</v>
      </c>
      <c r="M44" s="22" t="s">
        <v>134</v>
      </c>
      <c r="N44" s="395"/>
      <c r="O44" s="650">
        <v>46023</v>
      </c>
      <c r="P44" s="446"/>
      <c r="Q44" s="49" t="s">
        <v>81</v>
      </c>
      <c r="R44" s="273" t="s">
        <v>3216</v>
      </c>
      <c r="S44" s="404" t="s">
        <v>1687</v>
      </c>
      <c r="T44" s="345"/>
      <c r="U44" s="425">
        <v>45778</v>
      </c>
      <c r="V44" s="91"/>
      <c r="W44" s="14"/>
      <c r="X44" s="16"/>
      <c r="Y44" s="22"/>
      <c r="Z44" s="59"/>
      <c r="AA44" s="42"/>
      <c r="AB44" s="30"/>
      <c r="AC44" s="42"/>
      <c r="AD44" s="42"/>
      <c r="AE44" s="42"/>
      <c r="AF44" s="42"/>
      <c r="AG44" s="30"/>
      <c r="AH44" s="22"/>
      <c r="AI44" s="92"/>
      <c r="AJ44" s="168"/>
      <c r="AK44" s="168"/>
      <c r="AL44" s="168" t="s">
        <v>2284</v>
      </c>
      <c r="AM44" s="478"/>
      <c r="AN44" s="478"/>
      <c r="AO44" s="478"/>
      <c r="AP44" s="478"/>
      <c r="AQ44" s="478"/>
      <c r="AR44" s="478"/>
      <c r="AS44" s="478"/>
      <c r="AT44" s="478"/>
      <c r="AU44" s="478"/>
      <c r="AV44" s="478"/>
    </row>
    <row r="45" spans="1:48" ht="44.25" customHeight="1">
      <c r="A45" s="17" t="s">
        <v>2028</v>
      </c>
      <c r="B45" s="17"/>
      <c r="C45" s="553" t="s">
        <v>54</v>
      </c>
      <c r="D45" s="45" t="s">
        <v>611</v>
      </c>
      <c r="E45" s="404"/>
      <c r="F45" s="404"/>
      <c r="G45" s="651" t="s">
        <v>3231</v>
      </c>
      <c r="H45" s="388" t="s">
        <v>3232</v>
      </c>
      <c r="I45" s="22" t="s">
        <v>3233</v>
      </c>
      <c r="J45" s="22" t="s">
        <v>261</v>
      </c>
      <c r="K45" s="30">
        <v>38352</v>
      </c>
      <c r="L45" s="395">
        <v>21</v>
      </c>
      <c r="M45" s="22" t="s">
        <v>134</v>
      </c>
      <c r="N45" s="395"/>
      <c r="O45" s="650">
        <v>46023</v>
      </c>
      <c r="P45" s="446"/>
      <c r="Q45" s="49" t="s">
        <v>81</v>
      </c>
      <c r="R45" s="59" t="s">
        <v>3234</v>
      </c>
      <c r="S45" s="404" t="s">
        <v>1687</v>
      </c>
      <c r="T45" s="345"/>
      <c r="U45" s="425">
        <v>45778</v>
      </c>
      <c r="V45" s="91"/>
      <c r="W45" s="14"/>
      <c r="X45" s="16"/>
      <c r="Y45" s="22"/>
      <c r="Z45" s="59"/>
      <c r="AA45" s="42"/>
      <c r="AB45" s="30"/>
      <c r="AC45" s="42"/>
      <c r="AD45" s="42"/>
      <c r="AE45" s="42"/>
      <c r="AF45" s="42"/>
      <c r="AG45" s="30"/>
      <c r="AH45" s="22"/>
      <c r="AI45" s="92"/>
      <c r="AJ45" s="168"/>
      <c r="AK45" s="168"/>
      <c r="AL45" s="168" t="s">
        <v>2284</v>
      </c>
      <c r="AM45" s="478"/>
      <c r="AN45" s="478"/>
      <c r="AO45" s="478"/>
      <c r="AP45" s="478"/>
      <c r="AQ45" s="478"/>
      <c r="AR45" s="478"/>
      <c r="AS45" s="478"/>
      <c r="AT45" s="478"/>
      <c r="AU45" s="478"/>
      <c r="AV45" s="478"/>
    </row>
    <row r="46" spans="1:48" ht="44.25" customHeight="1">
      <c r="A46" s="17" t="s">
        <v>2028</v>
      </c>
      <c r="B46" s="17"/>
      <c r="C46" s="553" t="s">
        <v>54</v>
      </c>
      <c r="D46" s="45" t="s">
        <v>611</v>
      </c>
      <c r="E46" s="404"/>
      <c r="F46" s="404"/>
      <c r="G46" s="651" t="s">
        <v>3235</v>
      </c>
      <c r="H46" s="388" t="s">
        <v>3236</v>
      </c>
      <c r="I46" s="22" t="s">
        <v>3237</v>
      </c>
      <c r="J46" s="22" t="s">
        <v>261</v>
      </c>
      <c r="K46" s="30">
        <v>35637</v>
      </c>
      <c r="L46" s="22">
        <v>28</v>
      </c>
      <c r="M46" s="22" t="s">
        <v>134</v>
      </c>
      <c r="N46" s="395"/>
      <c r="O46" s="650">
        <v>46023</v>
      </c>
      <c r="P46" s="446"/>
      <c r="Q46" s="49" t="s">
        <v>81</v>
      </c>
      <c r="R46" s="59"/>
      <c r="S46" s="404" t="s">
        <v>1687</v>
      </c>
      <c r="T46" s="345"/>
      <c r="U46" s="425">
        <v>45778</v>
      </c>
      <c r="V46" s="91"/>
      <c r="W46" s="14"/>
      <c r="X46" s="16"/>
      <c r="Y46" s="22"/>
      <c r="Z46" s="59"/>
      <c r="AA46" s="42"/>
      <c r="AB46" s="30"/>
      <c r="AC46" s="42"/>
      <c r="AD46" s="42"/>
      <c r="AE46" s="42"/>
      <c r="AF46" s="42"/>
      <c r="AG46" s="30"/>
      <c r="AH46" s="22"/>
      <c r="AI46" s="92"/>
      <c r="AJ46" s="168"/>
      <c r="AK46" s="168"/>
      <c r="AL46" s="168" t="s">
        <v>2284</v>
      </c>
      <c r="AM46" s="478"/>
      <c r="AN46" s="478"/>
      <c r="AO46" s="478"/>
      <c r="AP46" s="478"/>
      <c r="AQ46" s="478"/>
      <c r="AR46" s="478"/>
      <c r="AS46" s="478"/>
      <c r="AT46" s="478"/>
      <c r="AU46" s="478"/>
      <c r="AV46" s="478"/>
    </row>
    <row r="47" spans="1:48" ht="44.25" customHeight="1">
      <c r="A47" s="17" t="s">
        <v>2028</v>
      </c>
      <c r="B47" s="17"/>
      <c r="C47" s="553" t="s">
        <v>54</v>
      </c>
      <c r="D47" s="45" t="s">
        <v>611</v>
      </c>
      <c r="E47" s="404"/>
      <c r="F47" s="404"/>
      <c r="G47" s="651" t="s">
        <v>3238</v>
      </c>
      <c r="H47" s="388" t="s">
        <v>3239</v>
      </c>
      <c r="I47" s="22" t="s">
        <v>3240</v>
      </c>
      <c r="J47" s="22" t="s">
        <v>261</v>
      </c>
      <c r="K47" s="30">
        <v>37311</v>
      </c>
      <c r="L47" s="70">
        <v>23</v>
      </c>
      <c r="M47" s="22" t="s">
        <v>134</v>
      </c>
      <c r="N47" s="395"/>
      <c r="O47" s="650">
        <v>46023</v>
      </c>
      <c r="P47" s="446"/>
      <c r="Q47" s="49" t="s">
        <v>81</v>
      </c>
      <c r="R47" s="59"/>
      <c r="S47" s="404" t="s">
        <v>1687</v>
      </c>
      <c r="T47" s="345"/>
      <c r="U47" s="425">
        <v>45778</v>
      </c>
      <c r="V47" s="91"/>
      <c r="W47" s="14"/>
      <c r="X47" s="16"/>
      <c r="Y47" s="22"/>
      <c r="Z47" s="59"/>
      <c r="AA47" s="42"/>
      <c r="AB47" s="30"/>
      <c r="AC47" s="42"/>
      <c r="AD47" s="42"/>
      <c r="AE47" s="42"/>
      <c r="AF47" s="42"/>
      <c r="AG47" s="30"/>
      <c r="AH47" s="22"/>
      <c r="AI47" s="92"/>
      <c r="AJ47" s="168"/>
      <c r="AK47" s="168"/>
      <c r="AL47" s="168" t="s">
        <v>2284</v>
      </c>
      <c r="AM47" s="478"/>
      <c r="AN47" s="478"/>
      <c r="AO47" s="478"/>
      <c r="AP47" s="478"/>
      <c r="AQ47" s="478"/>
      <c r="AR47" s="478"/>
      <c r="AS47" s="478"/>
      <c r="AT47" s="478"/>
      <c r="AU47" s="478"/>
      <c r="AV47" s="478"/>
    </row>
    <row r="48" spans="1:48" ht="44.25" customHeight="1">
      <c r="A48" s="17" t="s">
        <v>2028</v>
      </c>
      <c r="B48" s="17"/>
      <c r="C48" s="553" t="s">
        <v>54</v>
      </c>
      <c r="D48" s="45" t="s">
        <v>611</v>
      </c>
      <c r="E48" s="404"/>
      <c r="F48" s="404"/>
      <c r="G48" s="651" t="s">
        <v>3241</v>
      </c>
      <c r="H48" s="652" t="s">
        <v>3242</v>
      </c>
      <c r="I48" s="22" t="s">
        <v>3243</v>
      </c>
      <c r="J48" s="22" t="s">
        <v>261</v>
      </c>
      <c r="K48" s="30">
        <v>38238</v>
      </c>
      <c r="L48" s="22">
        <v>21</v>
      </c>
      <c r="M48" s="22" t="s">
        <v>134</v>
      </c>
      <c r="N48" s="395"/>
      <c r="O48" s="650">
        <v>46023</v>
      </c>
      <c r="P48" s="446"/>
      <c r="Q48" s="49" t="s">
        <v>81</v>
      </c>
      <c r="R48" s="59"/>
      <c r="S48" s="404" t="s">
        <v>1687</v>
      </c>
      <c r="T48" s="345"/>
      <c r="U48" s="425">
        <v>45778</v>
      </c>
      <c r="V48" s="91"/>
      <c r="W48" s="14"/>
      <c r="X48" s="16"/>
      <c r="Y48" s="22"/>
      <c r="Z48" s="59"/>
      <c r="AA48" s="42"/>
      <c r="AB48" s="30"/>
      <c r="AC48" s="42"/>
      <c r="AD48" s="42"/>
      <c r="AE48" s="42"/>
      <c r="AF48" s="42"/>
      <c r="AG48" s="30"/>
      <c r="AH48" s="22"/>
      <c r="AI48" s="92"/>
      <c r="AJ48" s="168"/>
      <c r="AK48" s="168"/>
      <c r="AL48" s="168" t="s">
        <v>2284</v>
      </c>
      <c r="AM48" s="478"/>
      <c r="AN48" s="478"/>
      <c r="AO48" s="478"/>
      <c r="AP48" s="478"/>
      <c r="AQ48" s="478"/>
      <c r="AR48" s="478"/>
      <c r="AS48" s="478"/>
      <c r="AT48" s="478"/>
      <c r="AU48" s="478"/>
      <c r="AV48" s="478"/>
    </row>
    <row r="49" spans="1:48" ht="44.25" customHeight="1">
      <c r="A49" s="17" t="s">
        <v>2028</v>
      </c>
      <c r="B49" s="17"/>
      <c r="C49" s="553" t="s">
        <v>54</v>
      </c>
      <c r="D49" s="45" t="s">
        <v>611</v>
      </c>
      <c r="E49" s="404"/>
      <c r="F49" s="404"/>
      <c r="G49" s="651" t="s">
        <v>3244</v>
      </c>
      <c r="H49" s="388" t="s">
        <v>3245</v>
      </c>
      <c r="I49" s="22" t="s">
        <v>3246</v>
      </c>
      <c r="J49" s="22" t="s">
        <v>261</v>
      </c>
      <c r="K49" s="30">
        <v>34565</v>
      </c>
      <c r="L49" s="22">
        <v>31</v>
      </c>
      <c r="M49" s="22" t="s">
        <v>134</v>
      </c>
      <c r="N49" s="395"/>
      <c r="O49" s="650">
        <v>46023</v>
      </c>
      <c r="P49" s="446"/>
      <c r="Q49" s="49" t="s">
        <v>81</v>
      </c>
      <c r="R49" s="59"/>
      <c r="S49" s="404" t="s">
        <v>1687</v>
      </c>
      <c r="T49" s="345"/>
      <c r="U49" s="425">
        <v>45778</v>
      </c>
      <c r="V49" s="91"/>
      <c r="W49" s="14"/>
      <c r="X49" s="16"/>
      <c r="Y49" s="22"/>
      <c r="Z49" s="59"/>
      <c r="AA49" s="42"/>
      <c r="AB49" s="30"/>
      <c r="AC49" s="42"/>
      <c r="AD49" s="42"/>
      <c r="AE49" s="42"/>
      <c r="AF49" s="42"/>
      <c r="AG49" s="30"/>
      <c r="AH49" s="22"/>
      <c r="AI49" s="92"/>
      <c r="AJ49" s="168"/>
      <c r="AK49" s="168"/>
      <c r="AL49" s="168" t="s">
        <v>2284</v>
      </c>
      <c r="AM49" s="478"/>
      <c r="AN49" s="478"/>
      <c r="AO49" s="478"/>
      <c r="AP49" s="478"/>
      <c r="AQ49" s="478"/>
      <c r="AR49" s="478"/>
      <c r="AS49" s="478"/>
      <c r="AT49" s="478"/>
      <c r="AU49" s="478"/>
      <c r="AV49" s="478"/>
    </row>
    <row r="50" spans="1:48" ht="14.5">
      <c r="A50" s="653"/>
      <c r="B50" s="653"/>
      <c r="C50" s="653"/>
      <c r="D50" s="653"/>
      <c r="E50" s="653"/>
      <c r="F50" s="653"/>
      <c r="G50" s="654"/>
      <c r="H50" s="654"/>
      <c r="I50" s="653"/>
      <c r="J50" s="653"/>
      <c r="K50" s="655"/>
      <c r="L50" s="653"/>
      <c r="M50" s="653"/>
      <c r="N50" s="653"/>
      <c r="O50" s="653"/>
      <c r="P50" s="653"/>
      <c r="Q50" s="653"/>
      <c r="R50" s="653"/>
      <c r="S50" s="653"/>
      <c r="T50" s="653"/>
      <c r="U50" s="656"/>
      <c r="V50" s="653"/>
      <c r="W50" s="653"/>
      <c r="X50" s="653"/>
      <c r="Y50" s="657"/>
      <c r="Z50" s="615"/>
      <c r="AA50" s="653"/>
      <c r="AB50" s="657"/>
      <c r="AC50" s="653"/>
      <c r="AD50" s="653"/>
      <c r="AE50" s="653"/>
      <c r="AF50" s="653"/>
      <c r="AG50" s="653"/>
      <c r="AH50" s="653"/>
      <c r="AI50" s="653"/>
      <c r="AJ50" s="653"/>
      <c r="AK50" s="653"/>
      <c r="AL50" s="653"/>
      <c r="AM50" s="653"/>
      <c r="AN50" s="653"/>
      <c r="AO50" s="653"/>
      <c r="AP50" s="653"/>
      <c r="AQ50" s="653"/>
      <c r="AR50" s="653"/>
      <c r="AS50" s="653"/>
      <c r="AT50" s="653"/>
      <c r="AU50" s="653"/>
      <c r="AV50" s="653"/>
    </row>
    <row r="51" spans="1:48" ht="45" customHeight="1">
      <c r="A51" s="537"/>
      <c r="B51" s="537"/>
      <c r="C51" s="658"/>
      <c r="D51" s="659" t="s">
        <v>55</v>
      </c>
      <c r="E51" s="658"/>
      <c r="F51" s="658"/>
      <c r="G51" s="660" t="s">
        <v>3247</v>
      </c>
      <c r="H51" s="476" t="s">
        <v>3248</v>
      </c>
      <c r="I51" s="658"/>
      <c r="J51" s="22" t="s">
        <v>60</v>
      </c>
      <c r="K51" s="661">
        <v>38306</v>
      </c>
      <c r="L51" s="659">
        <v>21</v>
      </c>
      <c r="M51" s="22" t="s">
        <v>134</v>
      </c>
      <c r="N51" s="658"/>
      <c r="O51" s="658"/>
      <c r="P51" s="658"/>
      <c r="Q51" s="160" t="s">
        <v>81</v>
      </c>
      <c r="R51" s="658"/>
      <c r="S51" s="658"/>
      <c r="T51" s="658"/>
      <c r="U51" s="658"/>
      <c r="V51" s="658"/>
      <c r="W51" s="658"/>
      <c r="X51" s="658"/>
      <c r="Y51" s="658"/>
      <c r="Z51" s="658"/>
      <c r="AA51" s="658"/>
      <c r="AB51" s="658"/>
      <c r="AC51" s="658"/>
      <c r="AD51" s="658"/>
      <c r="AE51" s="658"/>
      <c r="AF51" s="658"/>
      <c r="AG51" s="658"/>
      <c r="AH51" s="658"/>
      <c r="AI51" s="658"/>
      <c r="AJ51" s="658"/>
      <c r="AK51" s="658"/>
      <c r="AL51" s="658"/>
      <c r="AM51" s="653"/>
    </row>
    <row r="52" spans="1:48" ht="45" customHeight="1">
      <c r="A52" s="537"/>
      <c r="B52" s="537"/>
      <c r="C52" s="658"/>
      <c r="D52" s="659" t="s">
        <v>55</v>
      </c>
      <c r="E52" s="658"/>
      <c r="F52" s="658"/>
      <c r="G52" s="660" t="s">
        <v>3249</v>
      </c>
      <c r="H52" s="476" t="s">
        <v>3250</v>
      </c>
      <c r="I52" s="658"/>
      <c r="J52" s="22" t="s">
        <v>60</v>
      </c>
      <c r="K52" s="661">
        <v>37156</v>
      </c>
      <c r="L52" s="659">
        <v>24</v>
      </c>
      <c r="M52" s="22" t="s">
        <v>134</v>
      </c>
      <c r="N52" s="658"/>
      <c r="O52" s="658"/>
      <c r="P52" s="658"/>
      <c r="Q52" s="160" t="s">
        <v>81</v>
      </c>
      <c r="R52" s="658"/>
      <c r="S52" s="658"/>
      <c r="T52" s="658"/>
      <c r="U52" s="658"/>
      <c r="V52" s="658"/>
      <c r="W52" s="658"/>
      <c r="X52" s="658"/>
      <c r="Y52" s="658"/>
      <c r="Z52" s="658"/>
      <c r="AA52" s="658"/>
      <c r="AB52" s="658"/>
      <c r="AC52" s="658"/>
      <c r="AD52" s="658"/>
      <c r="AE52" s="658"/>
      <c r="AF52" s="658"/>
      <c r="AG52" s="658"/>
      <c r="AH52" s="658"/>
      <c r="AI52" s="658"/>
      <c r="AJ52" s="658"/>
      <c r="AK52" s="658"/>
      <c r="AL52" s="658"/>
      <c r="AM52" s="653"/>
    </row>
    <row r="53" spans="1:48" ht="45" customHeight="1">
      <c r="A53" s="537"/>
      <c r="B53" s="537"/>
      <c r="C53" s="658"/>
      <c r="D53" s="659" t="s">
        <v>55</v>
      </c>
      <c r="E53" s="658"/>
      <c r="F53" s="658"/>
      <c r="G53" s="660" t="s">
        <v>3251</v>
      </c>
      <c r="H53" s="476" t="s">
        <v>3252</v>
      </c>
      <c r="I53" s="658"/>
      <c r="J53" s="22" t="s">
        <v>60</v>
      </c>
      <c r="K53" s="661">
        <v>37596</v>
      </c>
      <c r="L53" s="659">
        <v>23</v>
      </c>
      <c r="M53" s="22" t="s">
        <v>134</v>
      </c>
      <c r="N53" s="658"/>
      <c r="O53" s="658"/>
      <c r="P53" s="658"/>
      <c r="Q53" s="160" t="s">
        <v>81</v>
      </c>
      <c r="R53" s="658"/>
      <c r="S53" s="658"/>
      <c r="T53" s="658"/>
      <c r="U53" s="658"/>
      <c r="V53" s="658"/>
      <c r="W53" s="658"/>
      <c r="X53" s="658"/>
      <c r="Y53" s="658"/>
      <c r="Z53" s="658"/>
      <c r="AA53" s="658"/>
      <c r="AB53" s="658"/>
      <c r="AC53" s="658"/>
      <c r="AD53" s="658"/>
      <c r="AE53" s="658"/>
      <c r="AF53" s="658"/>
      <c r="AG53" s="658"/>
      <c r="AH53" s="658"/>
      <c r="AI53" s="658"/>
      <c r="AJ53" s="658"/>
      <c r="AK53" s="658"/>
      <c r="AL53" s="658"/>
      <c r="AM53" s="653"/>
    </row>
    <row r="54" spans="1:48" ht="45" customHeight="1">
      <c r="A54" s="537"/>
      <c r="B54" s="537"/>
      <c r="C54" s="658"/>
      <c r="D54" s="659" t="s">
        <v>55</v>
      </c>
      <c r="E54" s="658"/>
      <c r="F54" s="658"/>
      <c r="G54" s="660" t="s">
        <v>3253</v>
      </c>
      <c r="H54" s="476" t="s">
        <v>3254</v>
      </c>
      <c r="I54" s="658"/>
      <c r="J54" s="22" t="s">
        <v>261</v>
      </c>
      <c r="K54" s="661">
        <v>38462</v>
      </c>
      <c r="L54" s="659">
        <v>20</v>
      </c>
      <c r="M54" s="22" t="s">
        <v>134</v>
      </c>
      <c r="N54" s="658"/>
      <c r="O54" s="658"/>
      <c r="P54" s="658"/>
      <c r="Q54" s="160" t="s">
        <v>81</v>
      </c>
      <c r="R54" s="658"/>
      <c r="S54" s="658"/>
      <c r="T54" s="658"/>
      <c r="U54" s="658"/>
      <c r="V54" s="658"/>
      <c r="W54" s="658"/>
      <c r="X54" s="658"/>
      <c r="Y54" s="658"/>
      <c r="Z54" s="658"/>
      <c r="AA54" s="658"/>
      <c r="AB54" s="658"/>
      <c r="AC54" s="658"/>
      <c r="AD54" s="658"/>
      <c r="AE54" s="658"/>
      <c r="AF54" s="658"/>
      <c r="AG54" s="658"/>
      <c r="AH54" s="658"/>
      <c r="AI54" s="658"/>
      <c r="AJ54" s="658"/>
      <c r="AK54" s="658"/>
      <c r="AL54" s="658"/>
      <c r="AM54" s="653"/>
    </row>
    <row r="55" spans="1:48" ht="45" customHeight="1">
      <c r="A55" s="537"/>
      <c r="B55" s="537"/>
      <c r="C55" s="658"/>
      <c r="D55" s="659" t="s">
        <v>55</v>
      </c>
      <c r="E55" s="658"/>
      <c r="F55" s="658"/>
      <c r="G55" s="660" t="s">
        <v>3255</v>
      </c>
      <c r="H55" s="476" t="s">
        <v>3256</v>
      </c>
      <c r="I55" s="658"/>
      <c r="J55" s="22" t="s">
        <v>60</v>
      </c>
      <c r="K55" s="661">
        <v>32543</v>
      </c>
      <c r="L55" s="659">
        <v>36</v>
      </c>
      <c r="M55" s="22" t="s">
        <v>79</v>
      </c>
      <c r="N55" s="658"/>
      <c r="O55" s="658"/>
      <c r="P55" s="658"/>
      <c r="Q55" s="160" t="s">
        <v>81</v>
      </c>
      <c r="R55" s="658"/>
      <c r="S55" s="658"/>
      <c r="T55" s="658"/>
      <c r="U55" s="658"/>
      <c r="V55" s="658"/>
      <c r="W55" s="658"/>
      <c r="X55" s="658"/>
      <c r="Y55" s="658"/>
      <c r="Z55" s="658"/>
      <c r="AA55" s="658"/>
      <c r="AB55" s="658"/>
      <c r="AC55" s="658"/>
      <c r="AD55" s="658"/>
      <c r="AE55" s="658"/>
      <c r="AF55" s="658"/>
      <c r="AG55" s="658"/>
      <c r="AH55" s="658"/>
      <c r="AI55" s="658"/>
      <c r="AJ55" s="658"/>
      <c r="AK55" s="658"/>
      <c r="AL55" s="658"/>
      <c r="AM55" s="653"/>
    </row>
    <row r="56" spans="1:48" ht="45" customHeight="1">
      <c r="A56" s="537"/>
      <c r="B56" s="537"/>
      <c r="C56" s="658"/>
      <c r="D56" s="659" t="s">
        <v>55</v>
      </c>
      <c r="E56" s="658"/>
      <c r="F56" s="658"/>
      <c r="G56" s="660" t="s">
        <v>3257</v>
      </c>
      <c r="H56" s="476" t="s">
        <v>3258</v>
      </c>
      <c r="I56" s="658"/>
      <c r="J56" s="22" t="s">
        <v>60</v>
      </c>
      <c r="K56" s="661">
        <v>34494</v>
      </c>
      <c r="L56" s="659">
        <v>31</v>
      </c>
      <c r="M56" s="22" t="s">
        <v>79</v>
      </c>
      <c r="N56" s="658"/>
      <c r="O56" s="658"/>
      <c r="P56" s="658"/>
      <c r="Q56" s="160" t="s">
        <v>81</v>
      </c>
      <c r="R56" s="658"/>
      <c r="S56" s="658"/>
      <c r="T56" s="658"/>
      <c r="U56" s="658"/>
      <c r="V56" s="658"/>
      <c r="W56" s="658"/>
      <c r="X56" s="658"/>
      <c r="Y56" s="658"/>
      <c r="Z56" s="658"/>
      <c r="AA56" s="658"/>
      <c r="AB56" s="658"/>
      <c r="AC56" s="658"/>
      <c r="AD56" s="658"/>
      <c r="AE56" s="658"/>
      <c r="AF56" s="658"/>
      <c r="AG56" s="658"/>
      <c r="AH56" s="658"/>
      <c r="AI56" s="658"/>
      <c r="AJ56" s="658"/>
      <c r="AK56" s="658"/>
      <c r="AL56" s="658"/>
      <c r="AM56" s="653"/>
    </row>
    <row r="57" spans="1:48" ht="45" customHeight="1">
      <c r="A57" s="537"/>
      <c r="B57" s="537"/>
      <c r="C57" s="658"/>
      <c r="D57" s="659" t="s">
        <v>55</v>
      </c>
      <c r="E57" s="658"/>
      <c r="F57" s="658"/>
      <c r="G57" s="660" t="s">
        <v>3259</v>
      </c>
      <c r="H57" s="476" t="s">
        <v>3260</v>
      </c>
      <c r="I57" s="658"/>
      <c r="J57" s="22" t="s">
        <v>261</v>
      </c>
      <c r="K57" s="661">
        <v>36702</v>
      </c>
      <c r="L57" s="659">
        <v>25</v>
      </c>
      <c r="M57" s="22" t="s">
        <v>134</v>
      </c>
      <c r="N57" s="658"/>
      <c r="O57" s="658"/>
      <c r="P57" s="658"/>
      <c r="Q57" s="160" t="s">
        <v>81</v>
      </c>
      <c r="R57" s="658"/>
      <c r="S57" s="658"/>
      <c r="T57" s="658"/>
      <c r="U57" s="658"/>
      <c r="V57" s="658"/>
      <c r="W57" s="658"/>
      <c r="X57" s="658"/>
      <c r="Y57" s="658"/>
      <c r="Z57" s="658"/>
      <c r="AA57" s="658"/>
      <c r="AB57" s="658"/>
      <c r="AC57" s="658"/>
      <c r="AD57" s="658"/>
      <c r="AE57" s="658"/>
      <c r="AF57" s="658"/>
      <c r="AG57" s="658"/>
      <c r="AH57" s="658"/>
      <c r="AI57" s="658"/>
      <c r="AJ57" s="658"/>
      <c r="AK57" s="658"/>
      <c r="AL57" s="658"/>
      <c r="AM57" s="653"/>
    </row>
    <row r="58" spans="1:48" ht="45" customHeight="1">
      <c r="A58" s="537"/>
      <c r="B58" s="537"/>
      <c r="C58" s="658"/>
      <c r="D58" s="659" t="s">
        <v>55</v>
      </c>
      <c r="E58" s="658"/>
      <c r="F58" s="658"/>
      <c r="G58" s="660" t="s">
        <v>3261</v>
      </c>
      <c r="H58" s="476" t="s">
        <v>3262</v>
      </c>
      <c r="I58" s="658"/>
      <c r="J58" s="22" t="s">
        <v>60</v>
      </c>
      <c r="K58" s="661">
        <v>33646</v>
      </c>
      <c r="L58" s="659">
        <v>34</v>
      </c>
      <c r="M58" s="22" t="s">
        <v>79</v>
      </c>
      <c r="N58" s="658"/>
      <c r="O58" s="658"/>
      <c r="P58" s="658"/>
      <c r="Q58" s="160" t="s">
        <v>81</v>
      </c>
      <c r="R58" s="658"/>
      <c r="S58" s="658"/>
      <c r="T58" s="658"/>
      <c r="U58" s="658"/>
      <c r="V58" s="658"/>
      <c r="W58" s="658"/>
      <c r="X58" s="658"/>
      <c r="Y58" s="658"/>
      <c r="Z58" s="658"/>
      <c r="AA58" s="658"/>
      <c r="AB58" s="658"/>
      <c r="AC58" s="658"/>
      <c r="AD58" s="658"/>
      <c r="AE58" s="658"/>
      <c r="AF58" s="658"/>
      <c r="AG58" s="658"/>
      <c r="AH58" s="658"/>
      <c r="AI58" s="658"/>
      <c r="AJ58" s="658"/>
      <c r="AK58" s="658"/>
      <c r="AL58" s="658"/>
      <c r="AM58" s="653"/>
    </row>
    <row r="59" spans="1:48" ht="48" customHeight="1">
      <c r="A59" s="537"/>
      <c r="B59" s="537"/>
      <c r="C59" s="658"/>
      <c r="D59" s="659" t="s">
        <v>55</v>
      </c>
      <c r="E59" s="658"/>
      <c r="F59" s="658"/>
      <c r="G59" s="660" t="s">
        <v>3263</v>
      </c>
      <c r="H59" s="476" t="s">
        <v>3264</v>
      </c>
      <c r="I59" s="658"/>
      <c r="J59" s="22" t="s">
        <v>60</v>
      </c>
      <c r="K59" s="661">
        <v>37370</v>
      </c>
      <c r="L59" s="659">
        <v>23</v>
      </c>
      <c r="M59" s="22" t="s">
        <v>134</v>
      </c>
      <c r="N59" s="658"/>
      <c r="O59" s="658"/>
      <c r="P59" s="658"/>
      <c r="Q59" s="160" t="s">
        <v>81</v>
      </c>
      <c r="R59" s="658"/>
      <c r="S59" s="658"/>
      <c r="T59" s="658"/>
      <c r="U59" s="658"/>
      <c r="V59" s="658"/>
      <c r="W59" s="658"/>
      <c r="X59" s="658"/>
      <c r="Y59" s="658"/>
      <c r="Z59" s="658"/>
      <c r="AA59" s="658"/>
      <c r="AB59" s="658"/>
      <c r="AC59" s="658"/>
      <c r="AD59" s="658"/>
      <c r="AE59" s="658"/>
      <c r="AF59" s="658"/>
      <c r="AG59" s="658"/>
      <c r="AH59" s="658"/>
      <c r="AI59" s="658"/>
      <c r="AJ59" s="658"/>
      <c r="AK59" s="658"/>
      <c r="AL59" s="658"/>
      <c r="AM59" s="653"/>
    </row>
    <row r="60" spans="1:48" ht="22.5" customHeight="1">
      <c r="A60" s="591"/>
      <c r="B60" s="591"/>
      <c r="C60" s="638"/>
      <c r="D60" s="639"/>
      <c r="E60" s="640"/>
      <c r="F60" s="640"/>
      <c r="G60" s="662"/>
      <c r="H60" s="663"/>
      <c r="I60" s="591"/>
      <c r="J60" s="591"/>
      <c r="K60" s="641"/>
      <c r="L60" s="659"/>
      <c r="M60" s="22"/>
      <c r="N60" s="591"/>
      <c r="O60" s="664"/>
      <c r="P60" s="643"/>
      <c r="Q60" s="644"/>
      <c r="R60" s="276"/>
      <c r="S60" s="640"/>
      <c r="T60" s="665"/>
      <c r="U60" s="646"/>
      <c r="V60" s="641"/>
      <c r="W60" s="20"/>
      <c r="X60" s="465"/>
      <c r="Y60" s="591"/>
      <c r="Z60" s="276"/>
      <c r="AA60" s="589"/>
      <c r="AB60" s="641"/>
      <c r="AC60" s="589"/>
      <c r="AD60" s="589"/>
      <c r="AE60" s="589"/>
      <c r="AF60" s="589"/>
      <c r="AG60" s="641"/>
      <c r="AH60" s="591"/>
      <c r="AI60" s="647"/>
      <c r="AJ60" s="292"/>
      <c r="AK60" s="292"/>
      <c r="AL60" s="469"/>
      <c r="AM60" s="478"/>
      <c r="AN60" s="478"/>
      <c r="AO60" s="478"/>
      <c r="AP60" s="478"/>
      <c r="AQ60" s="478"/>
      <c r="AR60" s="478"/>
      <c r="AS60" s="478"/>
      <c r="AT60" s="478"/>
      <c r="AU60" s="478"/>
      <c r="AV60" s="478"/>
    </row>
    <row r="61" spans="1:48" ht="48" customHeight="1">
      <c r="A61" s="17"/>
      <c r="B61" s="17"/>
      <c r="C61" s="135"/>
      <c r="D61" s="659" t="s">
        <v>55</v>
      </c>
      <c r="E61" s="111"/>
      <c r="F61" s="111"/>
      <c r="G61" s="666" t="s">
        <v>3265</v>
      </c>
      <c r="H61" s="407" t="s">
        <v>3266</v>
      </c>
      <c r="I61" s="17"/>
      <c r="J61" s="22" t="s">
        <v>60</v>
      </c>
      <c r="K61" s="89">
        <v>38204</v>
      </c>
      <c r="L61" s="22">
        <f t="shared" ref="L61:L74" ca="1" si="1">DATEDIF(K61,TODAY(),"Y")</f>
        <v>21</v>
      </c>
      <c r="M61" s="22" t="s">
        <v>134</v>
      </c>
      <c r="N61" s="17"/>
      <c r="O61" s="667"/>
      <c r="P61" s="446"/>
      <c r="Q61" s="160" t="s">
        <v>81</v>
      </c>
      <c r="R61" s="276"/>
      <c r="S61" s="640"/>
      <c r="T61" s="665"/>
      <c r="U61" s="646"/>
      <c r="V61" s="641"/>
      <c r="W61" s="20"/>
      <c r="X61" s="465"/>
      <c r="Y61" s="591"/>
      <c r="Z61" s="276"/>
      <c r="AA61" s="589"/>
      <c r="AB61" s="641"/>
      <c r="AC61" s="589"/>
      <c r="AD61" s="589"/>
      <c r="AE61" s="589"/>
      <c r="AF61" s="589"/>
      <c r="AG61" s="641"/>
      <c r="AH61" s="591"/>
      <c r="AI61" s="647"/>
      <c r="AJ61" s="292"/>
      <c r="AK61" s="292"/>
      <c r="AL61" s="469"/>
      <c r="AM61" s="478"/>
      <c r="AN61" s="478"/>
      <c r="AO61" s="478"/>
      <c r="AP61" s="478"/>
      <c r="AQ61" s="478"/>
      <c r="AR61" s="478"/>
      <c r="AS61" s="478"/>
      <c r="AT61" s="478"/>
      <c r="AU61" s="478"/>
      <c r="AV61" s="478"/>
    </row>
    <row r="62" spans="1:48" ht="48" customHeight="1">
      <c r="A62" s="17"/>
      <c r="B62" s="17"/>
      <c r="C62" s="135"/>
      <c r="D62" s="659" t="s">
        <v>55</v>
      </c>
      <c r="E62" s="111"/>
      <c r="F62" s="111"/>
      <c r="G62" s="666" t="s">
        <v>3267</v>
      </c>
      <c r="H62" s="407" t="s">
        <v>3268</v>
      </c>
      <c r="I62" s="17"/>
      <c r="J62" s="22" t="s">
        <v>60</v>
      </c>
      <c r="K62" s="89">
        <v>38236</v>
      </c>
      <c r="L62" s="22">
        <f t="shared" ca="1" si="1"/>
        <v>21</v>
      </c>
      <c r="M62" s="22" t="s">
        <v>134</v>
      </c>
      <c r="N62" s="17"/>
      <c r="O62" s="667"/>
      <c r="P62" s="446"/>
      <c r="Q62" s="160" t="s">
        <v>81</v>
      </c>
      <c r="R62" s="276"/>
      <c r="S62" s="640"/>
      <c r="T62" s="665"/>
      <c r="U62" s="646"/>
      <c r="V62" s="641"/>
      <c r="W62" s="20"/>
      <c r="X62" s="465"/>
      <c r="Y62" s="591"/>
      <c r="Z62" s="276"/>
      <c r="AA62" s="589"/>
      <c r="AB62" s="641"/>
      <c r="AC62" s="589"/>
      <c r="AD62" s="589"/>
      <c r="AE62" s="589"/>
      <c r="AF62" s="589"/>
      <c r="AG62" s="641"/>
      <c r="AH62" s="591"/>
      <c r="AI62" s="647"/>
      <c r="AJ62" s="292"/>
      <c r="AK62" s="292"/>
      <c r="AL62" s="469"/>
      <c r="AM62" s="478"/>
      <c r="AN62" s="478"/>
      <c r="AO62" s="478"/>
      <c r="AP62" s="478"/>
      <c r="AQ62" s="478"/>
      <c r="AR62" s="478"/>
      <c r="AS62" s="478"/>
      <c r="AT62" s="478"/>
      <c r="AU62" s="478"/>
      <c r="AV62" s="478"/>
    </row>
    <row r="63" spans="1:48" ht="48" customHeight="1">
      <c r="A63" s="17"/>
      <c r="B63" s="17"/>
      <c r="C63" s="135"/>
      <c r="D63" s="659" t="s">
        <v>55</v>
      </c>
      <c r="E63" s="111"/>
      <c r="F63" s="111"/>
      <c r="G63" s="666" t="s">
        <v>3269</v>
      </c>
      <c r="H63" s="407" t="s">
        <v>3270</v>
      </c>
      <c r="I63" s="17"/>
      <c r="J63" s="22" t="s">
        <v>261</v>
      </c>
      <c r="K63" s="100">
        <v>37792</v>
      </c>
      <c r="L63" s="22">
        <f t="shared" ca="1" si="1"/>
        <v>22</v>
      </c>
      <c r="M63" s="22" t="s">
        <v>134</v>
      </c>
      <c r="N63" s="17"/>
      <c r="O63" s="667"/>
      <c r="P63" s="446"/>
      <c r="Q63" s="160" t="s">
        <v>81</v>
      </c>
      <c r="R63" s="276"/>
      <c r="S63" s="640"/>
      <c r="T63" s="665"/>
      <c r="U63" s="646"/>
      <c r="V63" s="641"/>
      <c r="W63" s="20"/>
      <c r="X63" s="465"/>
      <c r="Y63" s="591"/>
      <c r="Z63" s="276"/>
      <c r="AA63" s="589"/>
      <c r="AB63" s="641"/>
      <c r="AC63" s="589"/>
      <c r="AD63" s="589"/>
      <c r="AE63" s="589"/>
      <c r="AF63" s="589"/>
      <c r="AG63" s="641"/>
      <c r="AH63" s="591"/>
      <c r="AI63" s="647"/>
      <c r="AJ63" s="292"/>
      <c r="AK63" s="292"/>
      <c r="AL63" s="469"/>
      <c r="AM63" s="478"/>
      <c r="AN63" s="478"/>
      <c r="AO63" s="478"/>
      <c r="AP63" s="478"/>
      <c r="AQ63" s="478"/>
      <c r="AR63" s="478"/>
      <c r="AS63" s="478"/>
      <c r="AT63" s="478"/>
      <c r="AU63" s="478"/>
      <c r="AV63" s="478"/>
    </row>
    <row r="64" spans="1:48" ht="48" customHeight="1">
      <c r="A64" s="17"/>
      <c r="B64" s="17"/>
      <c r="C64" s="135"/>
      <c r="D64" s="659" t="s">
        <v>55</v>
      </c>
      <c r="E64" s="111"/>
      <c r="F64" s="111"/>
      <c r="G64" s="666" t="s">
        <v>3271</v>
      </c>
      <c r="H64" s="407" t="s">
        <v>3272</v>
      </c>
      <c r="I64" s="17"/>
      <c r="J64" s="22" t="s">
        <v>60</v>
      </c>
      <c r="K64" s="89">
        <v>35481</v>
      </c>
      <c r="L64" s="22">
        <f t="shared" ca="1" si="1"/>
        <v>29</v>
      </c>
      <c r="M64" s="22" t="s">
        <v>134</v>
      </c>
      <c r="N64" s="17"/>
      <c r="O64" s="667"/>
      <c r="P64" s="446"/>
      <c r="Q64" s="160" t="s">
        <v>81</v>
      </c>
      <c r="R64" s="276"/>
      <c r="S64" s="640"/>
      <c r="T64" s="665"/>
      <c r="U64" s="646"/>
      <c r="V64" s="641"/>
      <c r="W64" s="20"/>
      <c r="X64" s="465"/>
      <c r="Y64" s="591"/>
      <c r="Z64" s="276"/>
      <c r="AA64" s="589"/>
      <c r="AB64" s="641"/>
      <c r="AC64" s="589"/>
      <c r="AD64" s="589"/>
      <c r="AE64" s="589"/>
      <c r="AF64" s="589"/>
      <c r="AG64" s="641"/>
      <c r="AH64" s="591"/>
      <c r="AI64" s="647"/>
      <c r="AJ64" s="292"/>
      <c r="AK64" s="292"/>
      <c r="AL64" s="469"/>
      <c r="AM64" s="478"/>
      <c r="AN64" s="478"/>
      <c r="AO64" s="478"/>
      <c r="AP64" s="478"/>
      <c r="AQ64" s="478"/>
      <c r="AR64" s="478"/>
      <c r="AS64" s="478"/>
      <c r="AT64" s="478"/>
      <c r="AU64" s="478"/>
      <c r="AV64" s="478"/>
    </row>
    <row r="65" spans="1:48" ht="48" customHeight="1">
      <c r="A65" s="17"/>
      <c r="B65" s="17"/>
      <c r="C65" s="135"/>
      <c r="D65" s="659" t="s">
        <v>55</v>
      </c>
      <c r="E65" s="111"/>
      <c r="F65" s="111"/>
      <c r="G65" s="666" t="s">
        <v>3273</v>
      </c>
      <c r="H65" s="407" t="s">
        <v>3274</v>
      </c>
      <c r="I65" s="17"/>
      <c r="J65" s="22" t="s">
        <v>261</v>
      </c>
      <c r="K65" s="89">
        <v>36731</v>
      </c>
      <c r="L65" s="22">
        <f t="shared" ca="1" si="1"/>
        <v>25</v>
      </c>
      <c r="M65" s="22" t="s">
        <v>134</v>
      </c>
      <c r="N65" s="17"/>
      <c r="O65" s="667"/>
      <c r="P65" s="446"/>
      <c r="Q65" s="160" t="s">
        <v>81</v>
      </c>
      <c r="R65" s="276"/>
      <c r="S65" s="640"/>
      <c r="T65" s="665"/>
      <c r="U65" s="646"/>
      <c r="V65" s="641"/>
      <c r="W65" s="20"/>
      <c r="X65" s="465"/>
      <c r="Y65" s="591"/>
      <c r="Z65" s="276"/>
      <c r="AA65" s="589"/>
      <c r="AB65" s="641"/>
      <c r="AC65" s="589"/>
      <c r="AD65" s="589"/>
      <c r="AE65" s="589"/>
      <c r="AF65" s="589"/>
      <c r="AG65" s="641"/>
      <c r="AH65" s="591"/>
      <c r="AI65" s="647"/>
      <c r="AJ65" s="292"/>
      <c r="AK65" s="292"/>
      <c r="AL65" s="469"/>
      <c r="AM65" s="478"/>
      <c r="AN65" s="478"/>
      <c r="AO65" s="478"/>
      <c r="AP65" s="478"/>
      <c r="AQ65" s="478"/>
      <c r="AR65" s="478"/>
      <c r="AS65" s="478"/>
      <c r="AT65" s="478"/>
      <c r="AU65" s="478"/>
      <c r="AV65" s="478"/>
    </row>
    <row r="66" spans="1:48" ht="48" customHeight="1">
      <c r="A66" s="17"/>
      <c r="B66" s="17"/>
      <c r="C66" s="135"/>
      <c r="D66" s="659" t="s">
        <v>55</v>
      </c>
      <c r="E66" s="111"/>
      <c r="F66" s="111"/>
      <c r="G66" s="666" t="s">
        <v>3275</v>
      </c>
      <c r="H66" s="407" t="s">
        <v>3276</v>
      </c>
      <c r="I66" s="17"/>
      <c r="J66" s="22" t="s">
        <v>60</v>
      </c>
      <c r="K66" s="89">
        <v>31252</v>
      </c>
      <c r="L66" s="22">
        <f t="shared" ca="1" si="1"/>
        <v>40</v>
      </c>
      <c r="M66" s="22" t="s">
        <v>134</v>
      </c>
      <c r="N66" s="17"/>
      <c r="O66" s="667"/>
      <c r="P66" s="446"/>
      <c r="Q66" s="160" t="s">
        <v>81</v>
      </c>
      <c r="R66" s="276"/>
      <c r="S66" s="640"/>
      <c r="T66" s="665"/>
      <c r="U66" s="646"/>
      <c r="V66" s="641"/>
      <c r="W66" s="20"/>
      <c r="X66" s="465"/>
      <c r="Y66" s="591"/>
      <c r="Z66" s="276"/>
      <c r="AA66" s="589"/>
      <c r="AB66" s="641"/>
      <c r="AC66" s="589"/>
      <c r="AD66" s="589"/>
      <c r="AE66" s="589"/>
      <c r="AF66" s="589"/>
      <c r="AG66" s="641"/>
      <c r="AH66" s="591"/>
      <c r="AI66" s="647"/>
      <c r="AJ66" s="292"/>
      <c r="AK66" s="292"/>
      <c r="AL66" s="469"/>
      <c r="AM66" s="478"/>
      <c r="AN66" s="478"/>
      <c r="AO66" s="478"/>
      <c r="AP66" s="478"/>
      <c r="AQ66" s="478"/>
      <c r="AR66" s="478"/>
      <c r="AS66" s="478"/>
      <c r="AT66" s="478"/>
      <c r="AU66" s="478"/>
      <c r="AV66" s="478"/>
    </row>
    <row r="67" spans="1:48" ht="48" customHeight="1">
      <c r="A67" s="17"/>
      <c r="B67" s="17"/>
      <c r="C67" s="135"/>
      <c r="D67" s="659" t="s">
        <v>55</v>
      </c>
      <c r="E67" s="111"/>
      <c r="F67" s="111"/>
      <c r="G67" s="666" t="s">
        <v>3277</v>
      </c>
      <c r="H67" s="407" t="s">
        <v>3278</v>
      </c>
      <c r="I67" s="17"/>
      <c r="J67" s="22" t="s">
        <v>60</v>
      </c>
      <c r="K67" s="89">
        <v>33031</v>
      </c>
      <c r="L67" s="22">
        <f t="shared" ca="1" si="1"/>
        <v>35</v>
      </c>
      <c r="M67" s="22" t="s">
        <v>79</v>
      </c>
      <c r="N67" s="17"/>
      <c r="O67" s="667"/>
      <c r="P67" s="446"/>
      <c r="Q67" s="160" t="s">
        <v>81</v>
      </c>
      <c r="R67" s="276"/>
      <c r="S67" s="640"/>
      <c r="T67" s="665"/>
      <c r="U67" s="646"/>
      <c r="V67" s="641"/>
      <c r="W67" s="20"/>
      <c r="X67" s="465"/>
      <c r="Y67" s="591"/>
      <c r="Z67" s="276"/>
      <c r="AA67" s="589"/>
      <c r="AB67" s="641"/>
      <c r="AC67" s="589"/>
      <c r="AD67" s="589"/>
      <c r="AE67" s="589"/>
      <c r="AF67" s="589"/>
      <c r="AG67" s="641"/>
      <c r="AH67" s="591"/>
      <c r="AI67" s="647"/>
      <c r="AJ67" s="292"/>
      <c r="AK67" s="292"/>
      <c r="AL67" s="469"/>
      <c r="AM67" s="478"/>
      <c r="AN67" s="478"/>
      <c r="AO67" s="478"/>
      <c r="AP67" s="478"/>
      <c r="AQ67" s="478"/>
      <c r="AR67" s="478"/>
      <c r="AS67" s="478"/>
      <c r="AT67" s="478"/>
      <c r="AU67" s="478"/>
      <c r="AV67" s="478"/>
    </row>
    <row r="68" spans="1:48" ht="48" customHeight="1">
      <c r="A68" s="17"/>
      <c r="B68" s="17"/>
      <c r="C68" s="135"/>
      <c r="D68" s="659" t="s">
        <v>55</v>
      </c>
      <c r="E68" s="111"/>
      <c r="F68" s="111"/>
      <c r="G68" s="666" t="s">
        <v>3279</v>
      </c>
      <c r="H68" s="407" t="s">
        <v>3280</v>
      </c>
      <c r="I68" s="17"/>
      <c r="J68" s="22" t="s">
        <v>60</v>
      </c>
      <c r="K68" s="89">
        <v>33453</v>
      </c>
      <c r="L68" s="22">
        <f t="shared" ca="1" si="1"/>
        <v>34</v>
      </c>
      <c r="M68" s="22" t="s">
        <v>134</v>
      </c>
      <c r="N68" s="17"/>
      <c r="O68" s="667"/>
      <c r="P68" s="446"/>
      <c r="Q68" s="160" t="s">
        <v>81</v>
      </c>
      <c r="R68" s="276"/>
      <c r="S68" s="640"/>
      <c r="T68" s="665"/>
      <c r="U68" s="646"/>
      <c r="V68" s="641"/>
      <c r="W68" s="20"/>
      <c r="X68" s="465"/>
      <c r="Y68" s="591"/>
      <c r="Z68" s="276"/>
      <c r="AA68" s="589"/>
      <c r="AB68" s="641"/>
      <c r="AC68" s="589"/>
      <c r="AD68" s="589"/>
      <c r="AE68" s="589"/>
      <c r="AF68" s="589"/>
      <c r="AG68" s="641"/>
      <c r="AH68" s="591"/>
      <c r="AI68" s="647"/>
      <c r="AJ68" s="292"/>
      <c r="AK68" s="292"/>
      <c r="AL68" s="469"/>
      <c r="AM68" s="478"/>
      <c r="AN68" s="478"/>
      <c r="AO68" s="478"/>
      <c r="AP68" s="478"/>
      <c r="AQ68" s="478"/>
      <c r="AR68" s="478"/>
      <c r="AS68" s="478"/>
      <c r="AT68" s="478"/>
      <c r="AU68" s="478"/>
      <c r="AV68" s="478"/>
    </row>
    <row r="69" spans="1:48" ht="48" customHeight="1">
      <c r="A69" s="17"/>
      <c r="B69" s="17"/>
      <c r="C69" s="135"/>
      <c r="D69" s="659" t="s">
        <v>55</v>
      </c>
      <c r="E69" s="111"/>
      <c r="F69" s="111"/>
      <c r="G69" s="666" t="s">
        <v>3281</v>
      </c>
      <c r="H69" s="407" t="s">
        <v>3282</v>
      </c>
      <c r="I69" s="17"/>
      <c r="J69" s="22" t="s">
        <v>60</v>
      </c>
      <c r="K69" s="89">
        <v>33131</v>
      </c>
      <c r="L69" s="22">
        <f t="shared" ca="1" si="1"/>
        <v>35</v>
      </c>
      <c r="M69" s="22" t="s">
        <v>79</v>
      </c>
      <c r="N69" s="17"/>
      <c r="O69" s="667"/>
      <c r="P69" s="446"/>
      <c r="Q69" s="160" t="s">
        <v>81</v>
      </c>
      <c r="R69" s="276"/>
      <c r="S69" s="640"/>
      <c r="T69" s="665"/>
      <c r="U69" s="646"/>
      <c r="V69" s="641"/>
      <c r="W69" s="20"/>
      <c r="X69" s="465"/>
      <c r="Y69" s="591"/>
      <c r="Z69" s="276"/>
      <c r="AA69" s="589"/>
      <c r="AB69" s="641"/>
      <c r="AC69" s="589"/>
      <c r="AD69" s="589"/>
      <c r="AE69" s="589"/>
      <c r="AF69" s="589"/>
      <c r="AG69" s="641"/>
      <c r="AH69" s="591"/>
      <c r="AI69" s="647"/>
      <c r="AJ69" s="292"/>
      <c r="AK69" s="292"/>
      <c r="AL69" s="469"/>
      <c r="AM69" s="478"/>
      <c r="AN69" s="478"/>
      <c r="AO69" s="478"/>
      <c r="AP69" s="478"/>
      <c r="AQ69" s="478"/>
      <c r="AR69" s="478"/>
      <c r="AS69" s="478"/>
      <c r="AT69" s="478"/>
      <c r="AU69" s="478"/>
      <c r="AV69" s="478"/>
    </row>
    <row r="70" spans="1:48" ht="48" customHeight="1">
      <c r="A70" s="17"/>
      <c r="B70" s="17"/>
      <c r="C70" s="135"/>
      <c r="D70" s="659" t="s">
        <v>55</v>
      </c>
      <c r="E70" s="111"/>
      <c r="F70" s="111"/>
      <c r="G70" s="666" t="s">
        <v>3283</v>
      </c>
      <c r="H70" s="407" t="s">
        <v>3284</v>
      </c>
      <c r="I70" s="17"/>
      <c r="J70" s="22" t="s">
        <v>60</v>
      </c>
      <c r="K70" s="89">
        <v>36680</v>
      </c>
      <c r="L70" s="22">
        <f t="shared" ca="1" si="1"/>
        <v>25</v>
      </c>
      <c r="M70" s="22" t="s">
        <v>79</v>
      </c>
      <c r="N70" s="17"/>
      <c r="O70" s="667"/>
      <c r="P70" s="446"/>
      <c r="Q70" s="160" t="s">
        <v>81</v>
      </c>
      <c r="R70" s="276"/>
      <c r="S70" s="640"/>
      <c r="T70" s="665"/>
      <c r="U70" s="646"/>
      <c r="V70" s="641"/>
      <c r="W70" s="20"/>
      <c r="X70" s="465"/>
      <c r="Y70" s="591"/>
      <c r="Z70" s="276"/>
      <c r="AA70" s="589"/>
      <c r="AB70" s="641"/>
      <c r="AC70" s="589"/>
      <c r="AD70" s="589"/>
      <c r="AE70" s="589"/>
      <c r="AF70" s="589"/>
      <c r="AG70" s="641"/>
      <c r="AH70" s="591"/>
      <c r="AI70" s="647"/>
      <c r="AJ70" s="292"/>
      <c r="AK70" s="292"/>
      <c r="AL70" s="469"/>
      <c r="AM70" s="478"/>
      <c r="AN70" s="478"/>
      <c r="AO70" s="478"/>
      <c r="AP70" s="478"/>
      <c r="AQ70" s="478"/>
      <c r="AR70" s="478"/>
      <c r="AS70" s="478"/>
      <c r="AT70" s="478"/>
      <c r="AU70" s="478"/>
      <c r="AV70" s="478"/>
    </row>
    <row r="71" spans="1:48" ht="48" customHeight="1">
      <c r="A71" s="17"/>
      <c r="B71" s="17"/>
      <c r="C71" s="135"/>
      <c r="D71" s="659" t="s">
        <v>55</v>
      </c>
      <c r="E71" s="111"/>
      <c r="F71" s="111"/>
      <c r="G71" s="666" t="s">
        <v>3285</v>
      </c>
      <c r="H71" s="407" t="s">
        <v>3286</v>
      </c>
      <c r="I71" s="17"/>
      <c r="J71" s="22" t="s">
        <v>60</v>
      </c>
      <c r="K71" s="89">
        <v>34306</v>
      </c>
      <c r="L71" s="22">
        <f t="shared" ca="1" si="1"/>
        <v>32</v>
      </c>
      <c r="M71" s="22" t="s">
        <v>79</v>
      </c>
      <c r="N71" s="17"/>
      <c r="O71" s="667"/>
      <c r="P71" s="446"/>
      <c r="Q71" s="160" t="s">
        <v>81</v>
      </c>
      <c r="R71" s="276"/>
      <c r="S71" s="640"/>
      <c r="T71" s="665"/>
      <c r="U71" s="646"/>
      <c r="V71" s="641"/>
      <c r="W71" s="20"/>
      <c r="X71" s="465"/>
      <c r="Y71" s="591"/>
      <c r="Z71" s="276"/>
      <c r="AA71" s="589"/>
      <c r="AB71" s="641"/>
      <c r="AC71" s="589"/>
      <c r="AD71" s="589"/>
      <c r="AE71" s="589"/>
      <c r="AF71" s="589"/>
      <c r="AG71" s="641"/>
      <c r="AH71" s="591"/>
      <c r="AI71" s="647"/>
      <c r="AJ71" s="292"/>
      <c r="AK71" s="292"/>
      <c r="AL71" s="469"/>
      <c r="AM71" s="478"/>
      <c r="AN71" s="478"/>
      <c r="AO71" s="478"/>
      <c r="AP71" s="478"/>
      <c r="AQ71" s="478"/>
      <c r="AR71" s="478"/>
      <c r="AS71" s="478"/>
      <c r="AT71" s="478"/>
      <c r="AU71" s="478"/>
      <c r="AV71" s="478"/>
    </row>
    <row r="72" spans="1:48" ht="48" customHeight="1">
      <c r="A72" s="17"/>
      <c r="B72" s="17"/>
      <c r="C72" s="135"/>
      <c r="D72" s="659" t="s">
        <v>55</v>
      </c>
      <c r="E72" s="111"/>
      <c r="F72" s="111"/>
      <c r="G72" s="666" t="s">
        <v>3287</v>
      </c>
      <c r="H72" s="407" t="s">
        <v>3288</v>
      </c>
      <c r="I72" s="17"/>
      <c r="J72" s="22" t="s">
        <v>60</v>
      </c>
      <c r="K72" s="89">
        <v>34390</v>
      </c>
      <c r="L72" s="22">
        <f t="shared" ca="1" si="1"/>
        <v>32</v>
      </c>
      <c r="M72" s="22" t="s">
        <v>79</v>
      </c>
      <c r="N72" s="17"/>
      <c r="O72" s="667"/>
      <c r="P72" s="446"/>
      <c r="Q72" s="160" t="s">
        <v>81</v>
      </c>
      <c r="R72" s="276"/>
      <c r="S72" s="640"/>
      <c r="T72" s="665"/>
      <c r="U72" s="646"/>
      <c r="V72" s="641"/>
      <c r="W72" s="20"/>
      <c r="X72" s="465"/>
      <c r="Y72" s="591"/>
      <c r="Z72" s="276"/>
      <c r="AA72" s="589"/>
      <c r="AB72" s="641"/>
      <c r="AC72" s="589"/>
      <c r="AD72" s="589"/>
      <c r="AE72" s="589"/>
      <c r="AF72" s="589"/>
      <c r="AG72" s="641"/>
      <c r="AH72" s="591"/>
      <c r="AI72" s="647"/>
      <c r="AJ72" s="292"/>
      <c r="AK72" s="292"/>
      <c r="AL72" s="469"/>
      <c r="AM72" s="478"/>
      <c r="AN72" s="478"/>
      <c r="AO72" s="478"/>
      <c r="AP72" s="478"/>
      <c r="AQ72" s="478"/>
      <c r="AR72" s="478"/>
      <c r="AS72" s="478"/>
      <c r="AT72" s="478"/>
      <c r="AU72" s="478"/>
      <c r="AV72" s="478"/>
    </row>
    <row r="73" spans="1:48" ht="48" customHeight="1">
      <c r="A73" s="17"/>
      <c r="B73" s="17"/>
      <c r="C73" s="135"/>
      <c r="D73" s="659" t="s">
        <v>55</v>
      </c>
      <c r="E73" s="111"/>
      <c r="F73" s="111"/>
      <c r="G73" s="666" t="s">
        <v>3289</v>
      </c>
      <c r="H73" s="407" t="s">
        <v>3290</v>
      </c>
      <c r="I73" s="17"/>
      <c r="J73" s="22" t="s">
        <v>60</v>
      </c>
      <c r="K73" s="89">
        <v>38097</v>
      </c>
      <c r="L73" s="22">
        <f t="shared" ca="1" si="1"/>
        <v>22</v>
      </c>
      <c r="M73" s="22" t="s">
        <v>134</v>
      </c>
      <c r="N73" s="17"/>
      <c r="O73" s="667"/>
      <c r="P73" s="446"/>
      <c r="Q73" s="160" t="s">
        <v>81</v>
      </c>
      <c r="R73" s="276"/>
      <c r="S73" s="640"/>
      <c r="T73" s="665"/>
      <c r="U73" s="646"/>
      <c r="V73" s="641"/>
      <c r="W73" s="20"/>
      <c r="X73" s="465"/>
      <c r="Y73" s="591"/>
      <c r="Z73" s="276"/>
      <c r="AA73" s="589"/>
      <c r="AB73" s="641"/>
      <c r="AC73" s="589"/>
      <c r="AD73" s="589"/>
      <c r="AE73" s="589"/>
      <c r="AF73" s="589"/>
      <c r="AG73" s="641"/>
      <c r="AH73" s="591"/>
      <c r="AI73" s="647"/>
      <c r="AJ73" s="292"/>
      <c r="AK73" s="292"/>
      <c r="AL73" s="469"/>
      <c r="AM73" s="478"/>
      <c r="AN73" s="478"/>
      <c r="AO73" s="478"/>
      <c r="AP73" s="478"/>
      <c r="AQ73" s="478"/>
      <c r="AR73" s="478"/>
      <c r="AS73" s="478"/>
      <c r="AT73" s="478"/>
      <c r="AU73" s="478"/>
      <c r="AV73" s="478"/>
    </row>
    <row r="74" spans="1:48" ht="48" customHeight="1">
      <c r="A74" s="17"/>
      <c r="B74" s="17"/>
      <c r="C74" s="135"/>
      <c r="D74" s="659" t="s">
        <v>55</v>
      </c>
      <c r="E74" s="111"/>
      <c r="F74" s="111"/>
      <c r="G74" s="666" t="s">
        <v>3291</v>
      </c>
      <c r="H74" s="407" t="s">
        <v>3292</v>
      </c>
      <c r="I74" s="17"/>
      <c r="J74" s="22" t="s">
        <v>261</v>
      </c>
      <c r="K74" s="89">
        <v>35665</v>
      </c>
      <c r="L74" s="22">
        <f t="shared" ca="1" si="1"/>
        <v>28</v>
      </c>
      <c r="M74" s="22" t="s">
        <v>134</v>
      </c>
      <c r="N74" s="17"/>
      <c r="O74" s="667"/>
      <c r="P74" s="446"/>
      <c r="Q74" s="160" t="s">
        <v>81</v>
      </c>
      <c r="R74" s="276"/>
      <c r="S74" s="640"/>
      <c r="T74" s="665"/>
      <c r="U74" s="646"/>
      <c r="V74" s="641"/>
      <c r="W74" s="20"/>
      <c r="X74" s="465"/>
      <c r="Y74" s="591"/>
      <c r="Z74" s="276"/>
      <c r="AA74" s="589"/>
      <c r="AB74" s="641"/>
      <c r="AC74" s="589"/>
      <c r="AD74" s="589"/>
      <c r="AE74" s="589"/>
      <c r="AF74" s="589"/>
      <c r="AG74" s="641"/>
      <c r="AH74" s="591"/>
      <c r="AI74" s="647"/>
      <c r="AJ74" s="292"/>
      <c r="AK74" s="292"/>
      <c r="AL74" s="469"/>
      <c r="AM74" s="478"/>
      <c r="AN74" s="478"/>
      <c r="AO74" s="478"/>
      <c r="AP74" s="478"/>
      <c r="AQ74" s="478"/>
      <c r="AR74" s="478"/>
      <c r="AS74" s="478"/>
      <c r="AT74" s="478"/>
      <c r="AU74" s="478"/>
      <c r="AV74" s="478"/>
    </row>
    <row r="75" spans="1:48" ht="21" customHeight="1">
      <c r="A75" s="591"/>
      <c r="B75" s="591"/>
      <c r="C75" s="638"/>
      <c r="D75" s="639"/>
      <c r="E75" s="640"/>
      <c r="F75" s="640"/>
      <c r="G75" s="662"/>
      <c r="H75" s="663"/>
      <c r="I75" s="591"/>
      <c r="J75" s="591"/>
      <c r="K75" s="641"/>
      <c r="L75" s="22"/>
      <c r="M75" s="22"/>
      <c r="N75" s="591"/>
      <c r="O75" s="664"/>
      <c r="P75" s="643"/>
      <c r="Q75" s="644"/>
      <c r="R75" s="276"/>
      <c r="S75" s="640"/>
      <c r="T75" s="665"/>
      <c r="U75" s="646"/>
      <c r="V75" s="641"/>
      <c r="W75" s="20"/>
      <c r="X75" s="465"/>
      <c r="Y75" s="591"/>
      <c r="Z75" s="276"/>
      <c r="AA75" s="589"/>
      <c r="AB75" s="641"/>
      <c r="AC75" s="589"/>
      <c r="AD75" s="589"/>
      <c r="AE75" s="589"/>
      <c r="AF75" s="589"/>
      <c r="AG75" s="641"/>
      <c r="AH75" s="591"/>
      <c r="AI75" s="647"/>
      <c r="AJ75" s="292"/>
      <c r="AK75" s="292"/>
      <c r="AL75" s="469"/>
      <c r="AM75" s="478"/>
      <c r="AN75" s="478"/>
      <c r="AO75" s="478"/>
      <c r="AP75" s="478"/>
      <c r="AQ75" s="478"/>
      <c r="AR75" s="478"/>
      <c r="AS75" s="478"/>
      <c r="AT75" s="478"/>
      <c r="AU75" s="478"/>
      <c r="AV75" s="478"/>
    </row>
    <row r="76" spans="1:48" ht="44.25" customHeight="1">
      <c r="A76" s="17" t="s">
        <v>2028</v>
      </c>
      <c r="B76" s="17"/>
      <c r="C76" s="135"/>
      <c r="D76" s="136" t="s">
        <v>611</v>
      </c>
      <c r="E76" s="500"/>
      <c r="F76" s="111"/>
      <c r="G76" s="423" t="s">
        <v>3293</v>
      </c>
      <c r="H76" s="137" t="s">
        <v>3294</v>
      </c>
      <c r="I76" s="17"/>
      <c r="J76" s="22" t="s">
        <v>261</v>
      </c>
      <c r="K76" s="89">
        <v>36367</v>
      </c>
      <c r="L76" s="22">
        <f t="shared" ref="L76:L85" ca="1" si="2">DATEDIF(K76,TODAY(),"Y")</f>
        <v>26</v>
      </c>
      <c r="M76" s="22" t="s">
        <v>134</v>
      </c>
      <c r="N76" s="17"/>
      <c r="O76" s="18"/>
      <c r="P76" s="446"/>
      <c r="Q76" s="160" t="s">
        <v>81</v>
      </c>
      <c r="R76" s="276"/>
      <c r="S76" s="640"/>
      <c r="T76" s="665"/>
      <c r="U76" s="646"/>
      <c r="V76" s="641"/>
      <c r="W76" s="20"/>
      <c r="X76" s="465"/>
      <c r="Y76" s="591"/>
      <c r="Z76" s="276"/>
      <c r="AA76" s="589"/>
      <c r="AB76" s="641"/>
      <c r="AC76" s="589"/>
      <c r="AD76" s="589"/>
      <c r="AE76" s="589"/>
      <c r="AF76" s="589"/>
      <c r="AG76" s="641"/>
      <c r="AH76" s="591"/>
      <c r="AI76" s="647"/>
      <c r="AJ76" s="292"/>
      <c r="AK76" s="292"/>
      <c r="AL76" s="292" t="s">
        <v>3295</v>
      </c>
      <c r="AM76" s="478"/>
      <c r="AN76" s="478"/>
      <c r="AO76" s="478"/>
      <c r="AP76" s="478"/>
      <c r="AQ76" s="478"/>
      <c r="AR76" s="478"/>
      <c r="AS76" s="478"/>
      <c r="AT76" s="478"/>
      <c r="AU76" s="478"/>
      <c r="AV76" s="478"/>
    </row>
    <row r="77" spans="1:48" ht="44.25" customHeight="1">
      <c r="A77" s="17" t="s">
        <v>2028</v>
      </c>
      <c r="B77" s="17"/>
      <c r="C77" s="135"/>
      <c r="D77" s="136" t="s">
        <v>611</v>
      </c>
      <c r="E77" s="500"/>
      <c r="F77" s="111"/>
      <c r="G77" s="423" t="s">
        <v>3296</v>
      </c>
      <c r="H77" s="137" t="s">
        <v>3297</v>
      </c>
      <c r="I77" s="17"/>
      <c r="J77" s="22" t="s">
        <v>261</v>
      </c>
      <c r="K77" s="89">
        <v>36350</v>
      </c>
      <c r="L77" s="22">
        <f t="shared" ca="1" si="2"/>
        <v>26</v>
      </c>
      <c r="M77" s="22" t="s">
        <v>134</v>
      </c>
      <c r="N77" s="17"/>
      <c r="O77" s="18"/>
      <c r="P77" s="446"/>
      <c r="Q77" s="160" t="s">
        <v>81</v>
      </c>
      <c r="R77" s="276"/>
      <c r="S77" s="640"/>
      <c r="T77" s="665"/>
      <c r="U77" s="646"/>
      <c r="V77" s="641"/>
      <c r="W77" s="20"/>
      <c r="X77" s="465"/>
      <c r="Y77" s="591"/>
      <c r="Z77" s="276"/>
      <c r="AA77" s="589"/>
      <c r="AB77" s="641"/>
      <c r="AC77" s="589"/>
      <c r="AD77" s="589"/>
      <c r="AE77" s="589"/>
      <c r="AF77" s="589"/>
      <c r="AG77" s="641"/>
      <c r="AH77" s="591"/>
      <c r="AI77" s="647"/>
      <c r="AJ77" s="292"/>
      <c r="AK77" s="292"/>
      <c r="AL77" s="292" t="s">
        <v>3295</v>
      </c>
      <c r="AM77" s="478"/>
      <c r="AN77" s="478"/>
      <c r="AO77" s="478"/>
      <c r="AP77" s="478"/>
      <c r="AQ77" s="478"/>
      <c r="AR77" s="478"/>
      <c r="AS77" s="478"/>
      <c r="AT77" s="478"/>
      <c r="AU77" s="478"/>
      <c r="AV77" s="478"/>
    </row>
    <row r="78" spans="1:48" ht="44.25" customHeight="1">
      <c r="A78" s="17" t="s">
        <v>2028</v>
      </c>
      <c r="B78" s="17"/>
      <c r="C78" s="135"/>
      <c r="D78" s="136" t="s">
        <v>611</v>
      </c>
      <c r="E78" s="111"/>
      <c r="F78" s="111"/>
      <c r="G78" s="423" t="s">
        <v>3298</v>
      </c>
      <c r="H78" s="668" t="s">
        <v>3299</v>
      </c>
      <c r="I78" s="17"/>
      <c r="J78" s="22" t="s">
        <v>261</v>
      </c>
      <c r="K78" s="89">
        <v>38313</v>
      </c>
      <c r="L78" s="22">
        <f t="shared" ca="1" si="2"/>
        <v>21</v>
      </c>
      <c r="M78" s="22" t="s">
        <v>134</v>
      </c>
      <c r="N78" s="17"/>
      <c r="O78" s="18"/>
      <c r="P78" s="446"/>
      <c r="Q78" s="160" t="s">
        <v>81</v>
      </c>
      <c r="R78" s="276"/>
      <c r="S78" s="640"/>
      <c r="T78" s="665"/>
      <c r="U78" s="646"/>
      <c r="V78" s="641"/>
      <c r="W78" s="20"/>
      <c r="X78" s="465"/>
      <c r="Y78" s="591"/>
      <c r="Z78" s="276"/>
      <c r="AA78" s="589"/>
      <c r="AB78" s="641"/>
      <c r="AC78" s="589"/>
      <c r="AD78" s="589"/>
      <c r="AE78" s="589"/>
      <c r="AF78" s="589"/>
      <c r="AG78" s="641"/>
      <c r="AH78" s="591"/>
      <c r="AI78" s="647"/>
      <c r="AJ78" s="292"/>
      <c r="AK78" s="292"/>
      <c r="AL78" s="292" t="s">
        <v>3295</v>
      </c>
      <c r="AM78" s="478"/>
      <c r="AN78" s="478"/>
      <c r="AO78" s="478"/>
      <c r="AP78" s="478"/>
      <c r="AQ78" s="478"/>
      <c r="AR78" s="478"/>
      <c r="AS78" s="478"/>
      <c r="AT78" s="478"/>
      <c r="AU78" s="478"/>
      <c r="AV78" s="478"/>
    </row>
    <row r="79" spans="1:48" ht="44.25" customHeight="1">
      <c r="A79" s="17" t="s">
        <v>2028</v>
      </c>
      <c r="B79" s="17"/>
      <c r="C79" s="135"/>
      <c r="D79" s="136" t="s">
        <v>611</v>
      </c>
      <c r="E79" s="111"/>
      <c r="F79" s="111"/>
      <c r="G79" s="423" t="s">
        <v>3300</v>
      </c>
      <c r="H79" s="668" t="s">
        <v>3301</v>
      </c>
      <c r="I79" s="17"/>
      <c r="J79" s="22" t="s">
        <v>261</v>
      </c>
      <c r="K79" s="89">
        <v>38977</v>
      </c>
      <c r="L79" s="22">
        <f t="shared" ca="1" si="2"/>
        <v>19</v>
      </c>
      <c r="M79" s="22" t="s">
        <v>134</v>
      </c>
      <c r="N79" s="17"/>
      <c r="O79" s="18"/>
      <c r="P79" s="446"/>
      <c r="Q79" s="160" t="s">
        <v>81</v>
      </c>
      <c r="R79" s="276"/>
      <c r="S79" s="640"/>
      <c r="T79" s="665"/>
      <c r="U79" s="646"/>
      <c r="V79" s="641"/>
      <c r="W79" s="20"/>
      <c r="X79" s="465"/>
      <c r="Y79" s="591"/>
      <c r="Z79" s="276"/>
      <c r="AA79" s="589"/>
      <c r="AB79" s="641"/>
      <c r="AC79" s="589"/>
      <c r="AD79" s="589"/>
      <c r="AE79" s="589"/>
      <c r="AF79" s="589"/>
      <c r="AG79" s="641"/>
      <c r="AH79" s="591"/>
      <c r="AI79" s="647"/>
      <c r="AJ79" s="292"/>
      <c r="AK79" s="292"/>
      <c r="AL79" s="292" t="s">
        <v>3295</v>
      </c>
      <c r="AM79" s="478"/>
      <c r="AN79" s="478"/>
      <c r="AO79" s="478"/>
      <c r="AP79" s="478"/>
      <c r="AQ79" s="478"/>
      <c r="AR79" s="478"/>
      <c r="AS79" s="478"/>
      <c r="AT79" s="478"/>
      <c r="AU79" s="478"/>
      <c r="AV79" s="478"/>
    </row>
    <row r="80" spans="1:48" ht="44.25" customHeight="1">
      <c r="A80" s="17" t="s">
        <v>2028</v>
      </c>
      <c r="B80" s="17"/>
      <c r="C80" s="135"/>
      <c r="D80" s="136" t="s">
        <v>611</v>
      </c>
      <c r="E80" s="111"/>
      <c r="F80" s="111"/>
      <c r="G80" s="423" t="s">
        <v>3302</v>
      </c>
      <c r="H80" s="668" t="s">
        <v>3303</v>
      </c>
      <c r="I80" s="17"/>
      <c r="J80" s="22" t="s">
        <v>261</v>
      </c>
      <c r="K80" s="89">
        <v>36352</v>
      </c>
      <c r="L80" s="22">
        <f t="shared" ca="1" si="2"/>
        <v>26</v>
      </c>
      <c r="M80" s="22" t="s">
        <v>79</v>
      </c>
      <c r="N80" s="17"/>
      <c r="O80" s="18"/>
      <c r="P80" s="446"/>
      <c r="Q80" s="160" t="s">
        <v>81</v>
      </c>
      <c r="R80" s="276"/>
      <c r="S80" s="640"/>
      <c r="T80" s="665"/>
      <c r="U80" s="646"/>
      <c r="V80" s="641"/>
      <c r="W80" s="20"/>
      <c r="X80" s="465"/>
      <c r="Y80" s="591"/>
      <c r="Z80" s="276"/>
      <c r="AA80" s="589"/>
      <c r="AB80" s="641"/>
      <c r="AC80" s="589"/>
      <c r="AD80" s="589"/>
      <c r="AE80" s="589"/>
      <c r="AF80" s="589"/>
      <c r="AG80" s="641"/>
      <c r="AH80" s="591"/>
      <c r="AI80" s="647"/>
      <c r="AJ80" s="292"/>
      <c r="AK80" s="292"/>
      <c r="AL80" s="292" t="s">
        <v>3295</v>
      </c>
      <c r="AM80" s="478"/>
      <c r="AN80" s="478"/>
      <c r="AO80" s="478"/>
      <c r="AP80" s="478"/>
      <c r="AQ80" s="478"/>
      <c r="AR80" s="478"/>
      <c r="AS80" s="478"/>
      <c r="AT80" s="478"/>
      <c r="AU80" s="478"/>
      <c r="AV80" s="478"/>
    </row>
    <row r="81" spans="1:48" ht="44.25" customHeight="1">
      <c r="A81" s="17" t="s">
        <v>2028</v>
      </c>
      <c r="B81" s="17"/>
      <c r="C81" s="135"/>
      <c r="D81" s="136" t="s">
        <v>611</v>
      </c>
      <c r="E81" s="111"/>
      <c r="F81" s="111"/>
      <c r="G81" s="423" t="s">
        <v>3304</v>
      </c>
      <c r="H81" s="668" t="s">
        <v>3305</v>
      </c>
      <c r="I81" s="17"/>
      <c r="J81" s="22" t="s">
        <v>261</v>
      </c>
      <c r="K81" s="89">
        <v>38524</v>
      </c>
      <c r="L81" s="22">
        <f t="shared" ca="1" si="2"/>
        <v>20</v>
      </c>
      <c r="M81" s="22" t="s">
        <v>134</v>
      </c>
      <c r="N81" s="17"/>
      <c r="O81" s="18"/>
      <c r="P81" s="446"/>
      <c r="Q81" s="160" t="s">
        <v>81</v>
      </c>
      <c r="R81" s="276"/>
      <c r="S81" s="640"/>
      <c r="T81" s="665"/>
      <c r="U81" s="646"/>
      <c r="V81" s="641"/>
      <c r="W81" s="20"/>
      <c r="X81" s="465"/>
      <c r="Y81" s="591"/>
      <c r="Z81" s="276"/>
      <c r="AA81" s="589"/>
      <c r="AB81" s="641"/>
      <c r="AC81" s="589"/>
      <c r="AD81" s="589"/>
      <c r="AE81" s="589"/>
      <c r="AF81" s="589"/>
      <c r="AG81" s="641"/>
      <c r="AH81" s="591"/>
      <c r="AI81" s="647"/>
      <c r="AJ81" s="292"/>
      <c r="AK81" s="292"/>
      <c r="AL81" s="292" t="s">
        <v>3295</v>
      </c>
      <c r="AM81" s="478"/>
      <c r="AN81" s="478"/>
      <c r="AO81" s="478"/>
      <c r="AP81" s="478"/>
      <c r="AQ81" s="478"/>
      <c r="AR81" s="478"/>
      <c r="AS81" s="478"/>
      <c r="AT81" s="478"/>
      <c r="AU81" s="478"/>
      <c r="AV81" s="478"/>
    </row>
    <row r="82" spans="1:48" ht="44.25" customHeight="1">
      <c r="A82" s="17" t="s">
        <v>2028</v>
      </c>
      <c r="B82" s="17"/>
      <c r="C82" s="135"/>
      <c r="D82" s="136" t="s">
        <v>611</v>
      </c>
      <c r="E82" s="111"/>
      <c r="F82" s="111"/>
      <c r="G82" s="423" t="s">
        <v>3306</v>
      </c>
      <c r="H82" s="668" t="s">
        <v>3307</v>
      </c>
      <c r="I82" s="17"/>
      <c r="J82" s="22" t="s">
        <v>261</v>
      </c>
      <c r="K82" s="89">
        <v>35403</v>
      </c>
      <c r="L82" s="22">
        <f t="shared" ca="1" si="2"/>
        <v>29</v>
      </c>
      <c r="M82" s="22" t="s">
        <v>134</v>
      </c>
      <c r="N82" s="17"/>
      <c r="O82" s="18"/>
      <c r="P82" s="446"/>
      <c r="Q82" s="160" t="s">
        <v>81</v>
      </c>
      <c r="R82" s="276"/>
      <c r="S82" s="640"/>
      <c r="T82" s="665"/>
      <c r="U82" s="646"/>
      <c r="V82" s="641"/>
      <c r="W82" s="20"/>
      <c r="X82" s="465"/>
      <c r="Y82" s="591"/>
      <c r="Z82" s="276"/>
      <c r="AA82" s="589"/>
      <c r="AB82" s="641"/>
      <c r="AC82" s="589"/>
      <c r="AD82" s="589"/>
      <c r="AE82" s="589"/>
      <c r="AF82" s="589"/>
      <c r="AG82" s="641"/>
      <c r="AH82" s="591"/>
      <c r="AI82" s="647"/>
      <c r="AJ82" s="292"/>
      <c r="AK82" s="292"/>
      <c r="AL82" s="292" t="s">
        <v>3295</v>
      </c>
      <c r="AM82" s="478"/>
      <c r="AN82" s="478"/>
      <c r="AO82" s="478"/>
      <c r="AP82" s="478"/>
      <c r="AQ82" s="478"/>
      <c r="AR82" s="478"/>
      <c r="AS82" s="478"/>
      <c r="AT82" s="478"/>
      <c r="AU82" s="478"/>
      <c r="AV82" s="478"/>
    </row>
    <row r="83" spans="1:48" ht="44.25" customHeight="1">
      <c r="A83" s="17" t="s">
        <v>2028</v>
      </c>
      <c r="B83" s="17"/>
      <c r="C83" s="135"/>
      <c r="D83" s="136" t="s">
        <v>611</v>
      </c>
      <c r="E83" s="111"/>
      <c r="F83" s="111"/>
      <c r="G83" s="423" t="s">
        <v>3308</v>
      </c>
      <c r="H83" s="668" t="s">
        <v>3309</v>
      </c>
      <c r="I83" s="17"/>
      <c r="J83" s="22" t="s">
        <v>60</v>
      </c>
      <c r="K83" s="89">
        <v>37899</v>
      </c>
      <c r="L83" s="22">
        <f t="shared" ca="1" si="2"/>
        <v>22</v>
      </c>
      <c r="M83" s="22" t="s">
        <v>134</v>
      </c>
      <c r="N83" s="17"/>
      <c r="O83" s="18"/>
      <c r="P83" s="446"/>
      <c r="Q83" s="160" t="s">
        <v>81</v>
      </c>
      <c r="R83" s="276"/>
      <c r="S83" s="640"/>
      <c r="T83" s="665"/>
      <c r="U83" s="646"/>
      <c r="V83" s="641"/>
      <c r="W83" s="20"/>
      <c r="X83" s="465"/>
      <c r="Y83" s="591"/>
      <c r="Z83" s="276"/>
      <c r="AA83" s="589"/>
      <c r="AB83" s="641"/>
      <c r="AC83" s="589"/>
      <c r="AD83" s="589"/>
      <c r="AE83" s="589"/>
      <c r="AF83" s="589"/>
      <c r="AG83" s="641"/>
      <c r="AH83" s="591"/>
      <c r="AI83" s="647"/>
      <c r="AJ83" s="292"/>
      <c r="AK83" s="292"/>
      <c r="AL83" s="292" t="s">
        <v>3295</v>
      </c>
      <c r="AM83" s="478"/>
      <c r="AN83" s="478"/>
      <c r="AO83" s="478"/>
      <c r="AP83" s="478"/>
      <c r="AQ83" s="478"/>
      <c r="AR83" s="478"/>
      <c r="AS83" s="478"/>
      <c r="AT83" s="478"/>
      <c r="AU83" s="478"/>
      <c r="AV83" s="478"/>
    </row>
    <row r="84" spans="1:48" ht="44.25" customHeight="1">
      <c r="A84" s="17" t="s">
        <v>2028</v>
      </c>
      <c r="B84" s="17"/>
      <c r="C84" s="135"/>
      <c r="D84" s="136" t="s">
        <v>611</v>
      </c>
      <c r="E84" s="111"/>
      <c r="F84" s="111"/>
      <c r="G84" s="423" t="s">
        <v>3310</v>
      </c>
      <c r="H84" s="668" t="s">
        <v>3311</v>
      </c>
      <c r="I84" s="17"/>
      <c r="J84" s="22" t="s">
        <v>60</v>
      </c>
      <c r="K84" s="89">
        <v>35897</v>
      </c>
      <c r="L84" s="22">
        <f t="shared" ca="1" si="2"/>
        <v>28</v>
      </c>
      <c r="M84" s="22" t="s">
        <v>79</v>
      </c>
      <c r="N84" s="17"/>
      <c r="O84" s="18"/>
      <c r="P84" s="446"/>
      <c r="Q84" s="160" t="s">
        <v>81</v>
      </c>
      <c r="R84" s="276"/>
      <c r="S84" s="640"/>
      <c r="T84" s="665"/>
      <c r="U84" s="646"/>
      <c r="V84" s="641"/>
      <c r="W84" s="20"/>
      <c r="X84" s="465"/>
      <c r="Y84" s="591"/>
      <c r="Z84" s="276"/>
      <c r="AA84" s="589"/>
      <c r="AB84" s="641"/>
      <c r="AC84" s="589"/>
      <c r="AD84" s="589"/>
      <c r="AE84" s="589"/>
      <c r="AF84" s="589"/>
      <c r="AG84" s="641"/>
      <c r="AH84" s="591"/>
      <c r="AI84" s="647"/>
      <c r="AJ84" s="292"/>
      <c r="AK84" s="292"/>
      <c r="AL84" s="292" t="s">
        <v>3295</v>
      </c>
      <c r="AM84" s="478"/>
      <c r="AN84" s="478"/>
      <c r="AO84" s="478"/>
      <c r="AP84" s="478"/>
      <c r="AQ84" s="478"/>
      <c r="AR84" s="478"/>
      <c r="AS84" s="478"/>
      <c r="AT84" s="478"/>
      <c r="AU84" s="478"/>
      <c r="AV84" s="478"/>
    </row>
    <row r="85" spans="1:48" ht="44.25" customHeight="1">
      <c r="A85" s="17" t="s">
        <v>2028</v>
      </c>
      <c r="B85" s="17"/>
      <c r="C85" s="135"/>
      <c r="D85" s="136" t="s">
        <v>611</v>
      </c>
      <c r="E85" s="111"/>
      <c r="F85" s="111"/>
      <c r="G85" s="423" t="s">
        <v>3312</v>
      </c>
      <c r="H85" s="668" t="s">
        <v>3313</v>
      </c>
      <c r="I85" s="17"/>
      <c r="J85" s="22" t="s">
        <v>60</v>
      </c>
      <c r="K85" s="89">
        <v>38957</v>
      </c>
      <c r="L85" s="22">
        <f t="shared" ca="1" si="2"/>
        <v>19</v>
      </c>
      <c r="M85" s="22" t="s">
        <v>134</v>
      </c>
      <c r="N85" s="17"/>
      <c r="O85" s="18"/>
      <c r="P85" s="446"/>
      <c r="Q85" s="160" t="s">
        <v>81</v>
      </c>
      <c r="R85" s="276"/>
      <c r="S85" s="640"/>
      <c r="T85" s="665"/>
      <c r="U85" s="646"/>
      <c r="V85" s="641"/>
      <c r="W85" s="20"/>
      <c r="X85" s="465"/>
      <c r="Y85" s="591"/>
      <c r="Z85" s="276"/>
      <c r="AA85" s="589"/>
      <c r="AB85" s="641"/>
      <c r="AC85" s="589"/>
      <c r="AD85" s="589"/>
      <c r="AE85" s="589"/>
      <c r="AF85" s="589"/>
      <c r="AG85" s="641"/>
      <c r="AH85" s="591"/>
      <c r="AI85" s="647"/>
      <c r="AJ85" s="292"/>
      <c r="AK85" s="292"/>
      <c r="AL85" s="292" t="s">
        <v>3295</v>
      </c>
      <c r="AM85" s="478"/>
      <c r="AN85" s="478"/>
      <c r="AO85" s="478"/>
      <c r="AP85" s="478"/>
      <c r="AQ85" s="478"/>
      <c r="AR85" s="478"/>
      <c r="AS85" s="478"/>
      <c r="AT85" s="478"/>
      <c r="AU85" s="478"/>
      <c r="AV85" s="478"/>
    </row>
    <row r="86" spans="1:48" ht="44.25" customHeight="1">
      <c r="A86" s="591"/>
      <c r="B86" s="591"/>
      <c r="C86" s="638"/>
      <c r="D86" s="639"/>
      <c r="E86" s="640"/>
      <c r="F86" s="640"/>
      <c r="G86" s="662"/>
      <c r="H86" s="663"/>
      <c r="I86" s="591"/>
      <c r="J86" s="591"/>
      <c r="K86" s="641"/>
      <c r="L86" s="22"/>
      <c r="M86" s="591"/>
      <c r="N86" s="591"/>
      <c r="O86" s="664"/>
      <c r="P86" s="643"/>
      <c r="Q86" s="644"/>
      <c r="R86" s="276"/>
      <c r="S86" s="640"/>
      <c r="T86" s="665"/>
      <c r="U86" s="646"/>
      <c r="V86" s="641"/>
      <c r="W86" s="20"/>
      <c r="X86" s="465"/>
      <c r="Y86" s="591"/>
      <c r="Z86" s="276"/>
      <c r="AA86" s="589"/>
      <c r="AB86" s="641"/>
      <c r="AC86" s="589"/>
      <c r="AD86" s="589"/>
      <c r="AE86" s="589"/>
      <c r="AF86" s="589"/>
      <c r="AG86" s="641"/>
      <c r="AH86" s="591"/>
      <c r="AI86" s="647"/>
      <c r="AJ86" s="292"/>
      <c r="AK86" s="292"/>
      <c r="AL86" s="469"/>
      <c r="AM86" s="478"/>
      <c r="AN86" s="478"/>
      <c r="AO86" s="478"/>
      <c r="AP86" s="478"/>
      <c r="AQ86" s="478"/>
      <c r="AR86" s="478"/>
      <c r="AS86" s="478"/>
      <c r="AT86" s="478"/>
      <c r="AU86" s="478"/>
      <c r="AV86" s="478"/>
    </row>
    <row r="87" spans="1:48" ht="44.25" customHeight="1">
      <c r="A87" s="17"/>
      <c r="B87" s="17"/>
      <c r="C87" s="135"/>
      <c r="D87" s="136" t="s">
        <v>611</v>
      </c>
      <c r="E87" s="111"/>
      <c r="F87" s="111"/>
      <c r="G87" s="666" t="s">
        <v>3314</v>
      </c>
      <c r="H87" s="137" t="s">
        <v>3315</v>
      </c>
      <c r="I87" s="17" t="s">
        <v>3316</v>
      </c>
      <c r="J87" s="22" t="s">
        <v>60</v>
      </c>
      <c r="K87" s="89">
        <v>37649</v>
      </c>
      <c r="L87" s="22">
        <f t="shared" ref="L87:L104" ca="1" si="3">DATEDIF(K87,TODAY(),"Y")</f>
        <v>23</v>
      </c>
      <c r="M87" s="17" t="s">
        <v>134</v>
      </c>
      <c r="N87" s="17"/>
      <c r="O87" s="667"/>
      <c r="P87" s="446"/>
      <c r="Q87" s="160" t="s">
        <v>81</v>
      </c>
      <c r="R87" s="276"/>
      <c r="S87" s="640"/>
      <c r="T87" s="665"/>
      <c r="U87" s="646"/>
      <c r="V87" s="641"/>
      <c r="W87" s="20"/>
      <c r="X87" s="465"/>
      <c r="Y87" s="591"/>
      <c r="Z87" s="276"/>
      <c r="AA87" s="589"/>
      <c r="AB87" s="641"/>
      <c r="AC87" s="589"/>
      <c r="AD87" s="589"/>
      <c r="AE87" s="589"/>
      <c r="AF87" s="589"/>
      <c r="AG87" s="641"/>
      <c r="AH87" s="591"/>
      <c r="AI87" s="647"/>
      <c r="AJ87" s="292"/>
      <c r="AK87" s="292"/>
      <c r="AL87" s="469"/>
      <c r="AM87" s="478"/>
      <c r="AN87" s="478"/>
      <c r="AO87" s="478"/>
      <c r="AP87" s="478"/>
      <c r="AQ87" s="478"/>
      <c r="AR87" s="478"/>
      <c r="AS87" s="478"/>
      <c r="AT87" s="478"/>
      <c r="AU87" s="478"/>
      <c r="AV87" s="478"/>
    </row>
    <row r="88" spans="1:48" ht="44.25" customHeight="1">
      <c r="A88" s="17"/>
      <c r="B88" s="17"/>
      <c r="C88" s="135"/>
      <c r="D88" s="136" t="s">
        <v>611</v>
      </c>
      <c r="E88" s="111"/>
      <c r="F88" s="111"/>
      <c r="G88" s="666" t="s">
        <v>3317</v>
      </c>
      <c r="H88" s="137" t="s">
        <v>3318</v>
      </c>
      <c r="I88" s="17" t="s">
        <v>2058</v>
      </c>
      <c r="J88" s="22" t="s">
        <v>60</v>
      </c>
      <c r="K88" s="89">
        <v>39222</v>
      </c>
      <c r="L88" s="22">
        <f t="shared" ca="1" si="3"/>
        <v>18</v>
      </c>
      <c r="M88" s="17" t="s">
        <v>134</v>
      </c>
      <c r="N88" s="17"/>
      <c r="O88" s="667"/>
      <c r="P88" s="446"/>
      <c r="Q88" s="160" t="s">
        <v>81</v>
      </c>
      <c r="R88" s="276"/>
      <c r="S88" s="640"/>
      <c r="T88" s="665"/>
      <c r="U88" s="646"/>
      <c r="V88" s="641"/>
      <c r="W88" s="20"/>
      <c r="X88" s="465"/>
      <c r="Y88" s="591"/>
      <c r="Z88" s="276"/>
      <c r="AA88" s="589"/>
      <c r="AB88" s="641"/>
      <c r="AC88" s="589"/>
      <c r="AD88" s="589"/>
      <c r="AE88" s="589"/>
      <c r="AF88" s="589"/>
      <c r="AG88" s="641"/>
      <c r="AH88" s="591"/>
      <c r="AI88" s="647"/>
      <c r="AJ88" s="292"/>
      <c r="AK88" s="292"/>
      <c r="AL88" s="469"/>
      <c r="AM88" s="478"/>
      <c r="AN88" s="478"/>
      <c r="AO88" s="478"/>
      <c r="AP88" s="478"/>
      <c r="AQ88" s="478"/>
      <c r="AR88" s="478"/>
      <c r="AS88" s="478"/>
      <c r="AT88" s="478"/>
      <c r="AU88" s="478"/>
      <c r="AV88" s="478"/>
    </row>
    <row r="89" spans="1:48" ht="44.25" customHeight="1">
      <c r="A89" s="17"/>
      <c r="B89" s="17"/>
      <c r="C89" s="135"/>
      <c r="D89" s="136" t="s">
        <v>611</v>
      </c>
      <c r="E89" s="111"/>
      <c r="F89" s="111"/>
      <c r="G89" s="666" t="s">
        <v>3319</v>
      </c>
      <c r="H89" s="137" t="s">
        <v>3320</v>
      </c>
      <c r="I89" s="17" t="s">
        <v>3321</v>
      </c>
      <c r="J89" s="22" t="s">
        <v>60</v>
      </c>
      <c r="K89" s="89">
        <v>35750</v>
      </c>
      <c r="L89" s="22">
        <f t="shared" ca="1" si="3"/>
        <v>28</v>
      </c>
      <c r="M89" s="17" t="s">
        <v>134</v>
      </c>
      <c r="N89" s="17"/>
      <c r="O89" s="667"/>
      <c r="P89" s="446"/>
      <c r="Q89" s="160" t="s">
        <v>81</v>
      </c>
      <c r="R89" s="276"/>
      <c r="S89" s="640"/>
      <c r="T89" s="665"/>
      <c r="U89" s="646"/>
      <c r="V89" s="641"/>
      <c r="W89" s="20"/>
      <c r="X89" s="465"/>
      <c r="Y89" s="591"/>
      <c r="Z89" s="276"/>
      <c r="AA89" s="589"/>
      <c r="AB89" s="641"/>
      <c r="AC89" s="589"/>
      <c r="AD89" s="589"/>
      <c r="AE89" s="589"/>
      <c r="AF89" s="589"/>
      <c r="AG89" s="641"/>
      <c r="AH89" s="591"/>
      <c r="AI89" s="647"/>
      <c r="AJ89" s="292"/>
      <c r="AK89" s="292"/>
      <c r="AL89" s="469"/>
      <c r="AM89" s="478"/>
      <c r="AN89" s="478"/>
      <c r="AO89" s="478"/>
      <c r="AP89" s="478"/>
      <c r="AQ89" s="478"/>
      <c r="AR89" s="478"/>
      <c r="AS89" s="478"/>
      <c r="AT89" s="478"/>
      <c r="AU89" s="478"/>
      <c r="AV89" s="478"/>
    </row>
    <row r="90" spans="1:48" ht="44.25" customHeight="1">
      <c r="A90" s="17"/>
      <c r="B90" s="17"/>
      <c r="C90" s="135"/>
      <c r="D90" s="136" t="s">
        <v>611</v>
      </c>
      <c r="E90" s="111"/>
      <c r="F90" s="111"/>
      <c r="G90" s="666" t="s">
        <v>3322</v>
      </c>
      <c r="H90" s="137" t="s">
        <v>3323</v>
      </c>
      <c r="I90" s="17" t="s">
        <v>3324</v>
      </c>
      <c r="J90" s="22" t="s">
        <v>60</v>
      </c>
      <c r="K90" s="89">
        <v>38030</v>
      </c>
      <c r="L90" s="22">
        <f t="shared" ca="1" si="3"/>
        <v>22</v>
      </c>
      <c r="M90" s="17" t="s">
        <v>134</v>
      </c>
      <c r="N90" s="17"/>
      <c r="O90" s="667"/>
      <c r="P90" s="446"/>
      <c r="Q90" s="160" t="s">
        <v>81</v>
      </c>
      <c r="R90" s="276"/>
      <c r="S90" s="640"/>
      <c r="T90" s="665"/>
      <c r="U90" s="646"/>
      <c r="V90" s="641"/>
      <c r="W90" s="20"/>
      <c r="X90" s="465"/>
      <c r="Y90" s="591"/>
      <c r="Z90" s="276"/>
      <c r="AA90" s="589"/>
      <c r="AB90" s="641"/>
      <c r="AC90" s="589"/>
      <c r="AD90" s="589"/>
      <c r="AE90" s="589"/>
      <c r="AF90" s="589"/>
      <c r="AG90" s="641"/>
      <c r="AH90" s="591"/>
      <c r="AI90" s="647"/>
      <c r="AJ90" s="292"/>
      <c r="AK90" s="292"/>
      <c r="AL90" s="469"/>
      <c r="AM90" s="478"/>
      <c r="AN90" s="478"/>
      <c r="AO90" s="478"/>
      <c r="AP90" s="478"/>
      <c r="AQ90" s="478"/>
      <c r="AR90" s="478"/>
      <c r="AS90" s="478"/>
      <c r="AT90" s="478"/>
      <c r="AU90" s="478"/>
      <c r="AV90" s="478"/>
    </row>
    <row r="91" spans="1:48" ht="44.25" customHeight="1">
      <c r="A91" s="17"/>
      <c r="B91" s="17"/>
      <c r="C91" s="135"/>
      <c r="D91" s="136" t="s">
        <v>611</v>
      </c>
      <c r="E91" s="111"/>
      <c r="F91" s="111"/>
      <c r="G91" s="666" t="s">
        <v>3325</v>
      </c>
      <c r="H91" s="137" t="s">
        <v>3326</v>
      </c>
      <c r="I91" s="17" t="s">
        <v>3327</v>
      </c>
      <c r="J91" s="22" t="s">
        <v>60</v>
      </c>
      <c r="K91" s="89">
        <v>38739</v>
      </c>
      <c r="L91" s="22">
        <f t="shared" ca="1" si="3"/>
        <v>20</v>
      </c>
      <c r="M91" s="17" t="s">
        <v>134</v>
      </c>
      <c r="N91" s="17"/>
      <c r="O91" s="667"/>
      <c r="P91" s="446"/>
      <c r="Q91" s="160" t="s">
        <v>81</v>
      </c>
      <c r="R91" s="276"/>
      <c r="S91" s="640"/>
      <c r="T91" s="665"/>
      <c r="U91" s="646"/>
      <c r="V91" s="641"/>
      <c r="W91" s="20"/>
      <c r="X91" s="465"/>
      <c r="Y91" s="591"/>
      <c r="Z91" s="276"/>
      <c r="AA91" s="589"/>
      <c r="AB91" s="641"/>
      <c r="AC91" s="589"/>
      <c r="AD91" s="589"/>
      <c r="AE91" s="589"/>
      <c r="AF91" s="589"/>
      <c r="AG91" s="641"/>
      <c r="AH91" s="591"/>
      <c r="AI91" s="647"/>
      <c r="AJ91" s="292"/>
      <c r="AK91" s="292"/>
      <c r="AL91" s="469"/>
      <c r="AM91" s="478"/>
      <c r="AN91" s="478"/>
      <c r="AO91" s="478"/>
      <c r="AP91" s="478"/>
      <c r="AQ91" s="478"/>
      <c r="AR91" s="478"/>
      <c r="AS91" s="478"/>
      <c r="AT91" s="478"/>
      <c r="AU91" s="478"/>
      <c r="AV91" s="478"/>
    </row>
    <row r="92" spans="1:48" ht="44.25" customHeight="1">
      <c r="A92" s="17"/>
      <c r="B92" s="17"/>
      <c r="C92" s="135"/>
      <c r="D92" s="136" t="s">
        <v>611</v>
      </c>
      <c r="E92" s="111"/>
      <c r="F92" s="111"/>
      <c r="G92" s="666" t="s">
        <v>3328</v>
      </c>
      <c r="H92" s="137" t="s">
        <v>3329</v>
      </c>
      <c r="I92" s="17" t="s">
        <v>956</v>
      </c>
      <c r="J92" s="22" t="s">
        <v>60</v>
      </c>
      <c r="K92" s="89">
        <v>36397</v>
      </c>
      <c r="L92" s="22">
        <f t="shared" ca="1" si="3"/>
        <v>26</v>
      </c>
      <c r="M92" s="17" t="s">
        <v>134</v>
      </c>
      <c r="N92" s="17"/>
      <c r="O92" s="667"/>
      <c r="P92" s="446"/>
      <c r="Q92" s="160" t="s">
        <v>81</v>
      </c>
      <c r="R92" s="276"/>
      <c r="S92" s="640"/>
      <c r="T92" s="665"/>
      <c r="U92" s="646"/>
      <c r="V92" s="641"/>
      <c r="W92" s="20"/>
      <c r="X92" s="465"/>
      <c r="Y92" s="591"/>
      <c r="Z92" s="276"/>
      <c r="AA92" s="589"/>
      <c r="AB92" s="641"/>
      <c r="AC92" s="589"/>
      <c r="AD92" s="589"/>
      <c r="AE92" s="589"/>
      <c r="AF92" s="589"/>
      <c r="AG92" s="641"/>
      <c r="AH92" s="591"/>
      <c r="AI92" s="647"/>
      <c r="AJ92" s="292"/>
      <c r="AK92" s="292"/>
      <c r="AL92" s="469"/>
      <c r="AM92" s="478"/>
      <c r="AN92" s="478"/>
      <c r="AO92" s="478"/>
      <c r="AP92" s="478"/>
      <c r="AQ92" s="478"/>
      <c r="AR92" s="478"/>
      <c r="AS92" s="478"/>
      <c r="AT92" s="478"/>
      <c r="AU92" s="478"/>
      <c r="AV92" s="478"/>
    </row>
    <row r="93" spans="1:48" ht="44.25" customHeight="1">
      <c r="A93" s="17"/>
      <c r="B93" s="17"/>
      <c r="C93" s="135"/>
      <c r="D93" s="136" t="s">
        <v>611</v>
      </c>
      <c r="E93" s="111"/>
      <c r="F93" s="111"/>
      <c r="G93" s="666" t="s">
        <v>3330</v>
      </c>
      <c r="H93" s="137" t="s">
        <v>3331</v>
      </c>
      <c r="I93" s="17" t="s">
        <v>3332</v>
      </c>
      <c r="J93" s="22" t="s">
        <v>261</v>
      </c>
      <c r="K93" s="89">
        <v>38894</v>
      </c>
      <c r="L93" s="22">
        <f t="shared" ca="1" si="3"/>
        <v>19</v>
      </c>
      <c r="M93" s="17" t="s">
        <v>134</v>
      </c>
      <c r="N93" s="17"/>
      <c r="O93" s="667"/>
      <c r="P93" s="446"/>
      <c r="Q93" s="160" t="s">
        <v>81</v>
      </c>
      <c r="R93" s="276"/>
      <c r="S93" s="640"/>
      <c r="T93" s="665"/>
      <c r="U93" s="646"/>
      <c r="V93" s="641"/>
      <c r="W93" s="20"/>
      <c r="X93" s="465"/>
      <c r="Y93" s="591"/>
      <c r="Z93" s="276"/>
      <c r="AA93" s="589"/>
      <c r="AB93" s="641"/>
      <c r="AC93" s="589"/>
      <c r="AD93" s="589"/>
      <c r="AE93" s="589"/>
      <c r="AF93" s="589"/>
      <c r="AG93" s="641"/>
      <c r="AH93" s="591"/>
      <c r="AI93" s="647"/>
      <c r="AJ93" s="292"/>
      <c r="AK93" s="292"/>
      <c r="AL93" s="469"/>
      <c r="AM93" s="478"/>
      <c r="AN93" s="478"/>
      <c r="AO93" s="478"/>
      <c r="AP93" s="478"/>
      <c r="AQ93" s="478"/>
      <c r="AR93" s="478"/>
      <c r="AS93" s="478"/>
      <c r="AT93" s="478"/>
      <c r="AU93" s="478"/>
      <c r="AV93" s="478"/>
    </row>
    <row r="94" spans="1:48" ht="44.25" customHeight="1">
      <c r="A94" s="17"/>
      <c r="B94" s="17"/>
      <c r="C94" s="135"/>
      <c r="D94" s="136" t="s">
        <v>611</v>
      </c>
      <c r="E94" s="111"/>
      <c r="F94" s="111"/>
      <c r="G94" s="666" t="s">
        <v>3333</v>
      </c>
      <c r="H94" s="137" t="s">
        <v>3334</v>
      </c>
      <c r="I94" s="17"/>
      <c r="J94" s="22" t="s">
        <v>261</v>
      </c>
      <c r="K94" s="89">
        <v>38002</v>
      </c>
      <c r="L94" s="22">
        <f t="shared" ca="1" si="3"/>
        <v>22</v>
      </c>
      <c r="M94" s="17" t="s">
        <v>134</v>
      </c>
      <c r="N94" s="17"/>
      <c r="O94" s="667"/>
      <c r="P94" s="446"/>
      <c r="Q94" s="160" t="s">
        <v>81</v>
      </c>
      <c r="R94" s="276"/>
      <c r="S94" s="640"/>
      <c r="T94" s="665"/>
      <c r="U94" s="646"/>
      <c r="V94" s="641"/>
      <c r="W94" s="20"/>
      <c r="X94" s="465"/>
      <c r="Y94" s="591"/>
      <c r="Z94" s="276"/>
      <c r="AA94" s="589"/>
      <c r="AB94" s="641"/>
      <c r="AC94" s="589"/>
      <c r="AD94" s="589"/>
      <c r="AE94" s="589"/>
      <c r="AF94" s="589"/>
      <c r="AG94" s="641"/>
      <c r="AH94" s="591"/>
      <c r="AI94" s="647"/>
      <c r="AJ94" s="292"/>
      <c r="AK94" s="292"/>
      <c r="AL94" s="469"/>
      <c r="AM94" s="478"/>
      <c r="AN94" s="478"/>
      <c r="AO94" s="478"/>
      <c r="AP94" s="478"/>
      <c r="AQ94" s="478"/>
      <c r="AR94" s="478"/>
      <c r="AS94" s="478"/>
      <c r="AT94" s="478"/>
      <c r="AU94" s="478"/>
      <c r="AV94" s="478"/>
    </row>
    <row r="95" spans="1:48" ht="44.25" customHeight="1">
      <c r="A95" s="17"/>
      <c r="B95" s="17"/>
      <c r="C95" s="135"/>
      <c r="D95" s="136" t="s">
        <v>611</v>
      </c>
      <c r="E95" s="111"/>
      <c r="F95" s="111"/>
      <c r="G95" s="666" t="s">
        <v>3335</v>
      </c>
      <c r="H95" s="137" t="s">
        <v>3336</v>
      </c>
      <c r="I95" s="17"/>
      <c r="J95" s="22" t="s">
        <v>261</v>
      </c>
      <c r="K95" s="89">
        <v>35317</v>
      </c>
      <c r="L95" s="22">
        <f t="shared" ca="1" si="3"/>
        <v>29</v>
      </c>
      <c r="M95" s="17" t="s">
        <v>134</v>
      </c>
      <c r="N95" s="17"/>
      <c r="O95" s="667"/>
      <c r="P95" s="446"/>
      <c r="Q95" s="160" t="s">
        <v>81</v>
      </c>
      <c r="R95" s="276"/>
      <c r="S95" s="640"/>
      <c r="T95" s="665"/>
      <c r="U95" s="646"/>
      <c r="V95" s="641"/>
      <c r="W95" s="20"/>
      <c r="X95" s="465"/>
      <c r="Y95" s="591"/>
      <c r="Z95" s="276"/>
      <c r="AA95" s="589"/>
      <c r="AB95" s="641"/>
      <c r="AC95" s="589"/>
      <c r="AD95" s="589"/>
      <c r="AE95" s="589"/>
      <c r="AF95" s="589"/>
      <c r="AG95" s="641"/>
      <c r="AH95" s="591"/>
      <c r="AI95" s="647"/>
      <c r="AJ95" s="292"/>
      <c r="AK95" s="292"/>
      <c r="AL95" s="469"/>
      <c r="AM95" s="478"/>
      <c r="AN95" s="478"/>
      <c r="AO95" s="478"/>
      <c r="AP95" s="478"/>
      <c r="AQ95" s="478"/>
      <c r="AR95" s="478"/>
      <c r="AS95" s="478"/>
      <c r="AT95" s="478"/>
      <c r="AU95" s="478"/>
      <c r="AV95" s="478"/>
    </row>
    <row r="96" spans="1:48" ht="44.25" customHeight="1">
      <c r="A96" s="17"/>
      <c r="B96" s="17"/>
      <c r="C96" s="135"/>
      <c r="D96" s="136" t="s">
        <v>611</v>
      </c>
      <c r="E96" s="111"/>
      <c r="F96" s="111"/>
      <c r="G96" s="666" t="s">
        <v>3337</v>
      </c>
      <c r="H96" s="137" t="s">
        <v>3338</v>
      </c>
      <c r="I96" s="17" t="s">
        <v>3339</v>
      </c>
      <c r="J96" s="22" t="s">
        <v>261</v>
      </c>
      <c r="K96" s="89">
        <v>36597</v>
      </c>
      <c r="L96" s="22">
        <f t="shared" ca="1" si="3"/>
        <v>26</v>
      </c>
      <c r="M96" s="17" t="s">
        <v>134</v>
      </c>
      <c r="N96" s="17"/>
      <c r="O96" s="667"/>
      <c r="P96" s="446"/>
      <c r="Q96" s="160" t="s">
        <v>81</v>
      </c>
      <c r="R96" s="276"/>
      <c r="S96" s="640"/>
      <c r="T96" s="665"/>
      <c r="U96" s="646"/>
      <c r="V96" s="641"/>
      <c r="W96" s="20"/>
      <c r="X96" s="465"/>
      <c r="Y96" s="591"/>
      <c r="Z96" s="276"/>
      <c r="AA96" s="589"/>
      <c r="AB96" s="641"/>
      <c r="AC96" s="589"/>
      <c r="AD96" s="589"/>
      <c r="AE96" s="589"/>
      <c r="AF96" s="589"/>
      <c r="AG96" s="641"/>
      <c r="AH96" s="591"/>
      <c r="AI96" s="647"/>
      <c r="AJ96" s="292"/>
      <c r="AK96" s="292"/>
      <c r="AL96" s="469"/>
      <c r="AM96" s="478"/>
      <c r="AN96" s="478"/>
      <c r="AO96" s="478"/>
      <c r="AP96" s="478"/>
      <c r="AQ96" s="478"/>
      <c r="AR96" s="478"/>
      <c r="AS96" s="478"/>
      <c r="AT96" s="478"/>
      <c r="AU96" s="478"/>
      <c r="AV96" s="478"/>
    </row>
    <row r="97" spans="1:48" ht="44.25" customHeight="1">
      <c r="A97" s="17"/>
      <c r="B97" s="17"/>
      <c r="C97" s="135"/>
      <c r="D97" s="136" t="s">
        <v>611</v>
      </c>
      <c r="E97" s="111"/>
      <c r="F97" s="111"/>
      <c r="G97" s="666" t="s">
        <v>3340</v>
      </c>
      <c r="H97" s="137" t="s">
        <v>3341</v>
      </c>
      <c r="I97" s="17" t="s">
        <v>3342</v>
      </c>
      <c r="J97" s="22" t="s">
        <v>60</v>
      </c>
      <c r="K97" s="89">
        <v>37444</v>
      </c>
      <c r="L97" s="22">
        <f t="shared" ca="1" si="3"/>
        <v>23</v>
      </c>
      <c r="M97" s="17" t="s">
        <v>134</v>
      </c>
      <c r="N97" s="17"/>
      <c r="O97" s="667"/>
      <c r="P97" s="446"/>
      <c r="Q97" s="160" t="s">
        <v>81</v>
      </c>
      <c r="R97" s="276"/>
      <c r="S97" s="640"/>
      <c r="T97" s="665"/>
      <c r="U97" s="646"/>
      <c r="V97" s="641"/>
      <c r="W97" s="20"/>
      <c r="X97" s="465"/>
      <c r="Y97" s="591"/>
      <c r="Z97" s="276"/>
      <c r="AA97" s="589"/>
      <c r="AB97" s="641"/>
      <c r="AC97" s="589"/>
      <c r="AD97" s="589"/>
      <c r="AE97" s="589"/>
      <c r="AF97" s="589"/>
      <c r="AG97" s="641"/>
      <c r="AH97" s="591"/>
      <c r="AI97" s="647"/>
      <c r="AJ97" s="292"/>
      <c r="AK97" s="292"/>
      <c r="AL97" s="469"/>
      <c r="AM97" s="478"/>
      <c r="AN97" s="478"/>
      <c r="AO97" s="478"/>
      <c r="AP97" s="478"/>
      <c r="AQ97" s="478"/>
      <c r="AR97" s="478"/>
      <c r="AS97" s="478"/>
      <c r="AT97" s="478"/>
      <c r="AU97" s="478"/>
      <c r="AV97" s="478"/>
    </row>
    <row r="98" spans="1:48" ht="44.25" customHeight="1">
      <c r="A98" s="17"/>
      <c r="B98" s="17"/>
      <c r="C98" s="135"/>
      <c r="D98" s="136" t="s">
        <v>611</v>
      </c>
      <c r="E98" s="111"/>
      <c r="F98" s="111"/>
      <c r="G98" s="666" t="s">
        <v>3343</v>
      </c>
      <c r="H98" s="137" t="s">
        <v>3344</v>
      </c>
      <c r="I98" s="17" t="s">
        <v>3345</v>
      </c>
      <c r="J98" s="22" t="s">
        <v>60</v>
      </c>
      <c r="K98" s="89">
        <v>37449</v>
      </c>
      <c r="L98" s="22">
        <f t="shared" ca="1" si="3"/>
        <v>23</v>
      </c>
      <c r="M98" s="17" t="s">
        <v>134</v>
      </c>
      <c r="N98" s="17"/>
      <c r="O98" s="667"/>
      <c r="P98" s="446"/>
      <c r="Q98" s="160" t="s">
        <v>81</v>
      </c>
      <c r="R98" s="276"/>
      <c r="S98" s="640"/>
      <c r="T98" s="665"/>
      <c r="U98" s="646"/>
      <c r="V98" s="641"/>
      <c r="W98" s="20"/>
      <c r="X98" s="465"/>
      <c r="Y98" s="591"/>
      <c r="Z98" s="276"/>
      <c r="AA98" s="589"/>
      <c r="AB98" s="641"/>
      <c r="AC98" s="589"/>
      <c r="AD98" s="589"/>
      <c r="AE98" s="589"/>
      <c r="AF98" s="589"/>
      <c r="AG98" s="641"/>
      <c r="AH98" s="591"/>
      <c r="AI98" s="647"/>
      <c r="AJ98" s="292"/>
      <c r="AK98" s="292"/>
      <c r="AL98" s="469"/>
      <c r="AM98" s="478"/>
      <c r="AN98" s="478"/>
      <c r="AO98" s="478"/>
      <c r="AP98" s="478"/>
      <c r="AQ98" s="478"/>
      <c r="AR98" s="478"/>
      <c r="AS98" s="478"/>
      <c r="AT98" s="478"/>
      <c r="AU98" s="478"/>
      <c r="AV98" s="478"/>
    </row>
    <row r="99" spans="1:48" ht="44.25" customHeight="1">
      <c r="A99" s="17"/>
      <c r="B99" s="17"/>
      <c r="C99" s="135"/>
      <c r="D99" s="136" t="s">
        <v>611</v>
      </c>
      <c r="E99" s="111"/>
      <c r="F99" s="111"/>
      <c r="G99" s="666" t="s">
        <v>3346</v>
      </c>
      <c r="H99" s="137" t="s">
        <v>3347</v>
      </c>
      <c r="I99" s="17" t="s">
        <v>3348</v>
      </c>
      <c r="J99" s="22" t="s">
        <v>60</v>
      </c>
      <c r="K99" s="89">
        <v>39135</v>
      </c>
      <c r="L99" s="22">
        <f t="shared" ca="1" si="3"/>
        <v>19</v>
      </c>
      <c r="M99" s="17" t="s">
        <v>134</v>
      </c>
      <c r="N99" s="17"/>
      <c r="O99" s="667"/>
      <c r="P99" s="446"/>
      <c r="Q99" s="160" t="s">
        <v>81</v>
      </c>
      <c r="R99" s="276"/>
      <c r="S99" s="640"/>
      <c r="T99" s="665"/>
      <c r="U99" s="646"/>
      <c r="V99" s="641"/>
      <c r="W99" s="20"/>
      <c r="X99" s="465"/>
      <c r="Y99" s="591"/>
      <c r="Z99" s="276"/>
      <c r="AA99" s="589"/>
      <c r="AB99" s="641"/>
      <c r="AC99" s="589"/>
      <c r="AD99" s="589"/>
      <c r="AE99" s="589"/>
      <c r="AF99" s="589"/>
      <c r="AG99" s="641"/>
      <c r="AH99" s="591"/>
      <c r="AI99" s="647"/>
      <c r="AJ99" s="292"/>
      <c r="AK99" s="292"/>
      <c r="AL99" s="469"/>
      <c r="AM99" s="478"/>
      <c r="AN99" s="478"/>
      <c r="AO99" s="478"/>
      <c r="AP99" s="478"/>
      <c r="AQ99" s="478"/>
      <c r="AR99" s="478"/>
      <c r="AS99" s="478"/>
      <c r="AT99" s="478"/>
      <c r="AU99" s="478"/>
      <c r="AV99" s="478"/>
    </row>
    <row r="100" spans="1:48" ht="44.25" customHeight="1">
      <c r="A100" s="17"/>
      <c r="B100" s="17"/>
      <c r="C100" s="135"/>
      <c r="D100" s="136" t="s">
        <v>611</v>
      </c>
      <c r="E100" s="111"/>
      <c r="F100" s="111"/>
      <c r="G100" s="666" t="s">
        <v>3349</v>
      </c>
      <c r="H100" s="137" t="s">
        <v>3350</v>
      </c>
      <c r="I100" s="17" t="s">
        <v>3351</v>
      </c>
      <c r="J100" s="22" t="s">
        <v>60</v>
      </c>
      <c r="K100" s="89">
        <v>38846</v>
      </c>
      <c r="L100" s="22">
        <f t="shared" ca="1" si="3"/>
        <v>19</v>
      </c>
      <c r="M100" s="17" t="s">
        <v>134</v>
      </c>
      <c r="N100" s="17"/>
      <c r="O100" s="667"/>
      <c r="P100" s="446"/>
      <c r="Q100" s="160" t="s">
        <v>81</v>
      </c>
      <c r="R100" s="276"/>
      <c r="S100" s="640"/>
      <c r="T100" s="665"/>
      <c r="U100" s="646"/>
      <c r="V100" s="641"/>
      <c r="W100" s="20"/>
      <c r="X100" s="465"/>
      <c r="Y100" s="591"/>
      <c r="Z100" s="276"/>
      <c r="AA100" s="589"/>
      <c r="AB100" s="641"/>
      <c r="AC100" s="589"/>
      <c r="AD100" s="589"/>
      <c r="AE100" s="589"/>
      <c r="AF100" s="589"/>
      <c r="AG100" s="641"/>
      <c r="AH100" s="591"/>
      <c r="AI100" s="647"/>
      <c r="AJ100" s="292"/>
      <c r="AK100" s="292"/>
      <c r="AL100" s="469"/>
      <c r="AM100" s="478"/>
      <c r="AN100" s="478"/>
      <c r="AO100" s="478"/>
      <c r="AP100" s="478"/>
      <c r="AQ100" s="478"/>
      <c r="AR100" s="478"/>
      <c r="AS100" s="478"/>
      <c r="AT100" s="478"/>
      <c r="AU100" s="478"/>
      <c r="AV100" s="478"/>
    </row>
    <row r="101" spans="1:48" ht="44.25" customHeight="1">
      <c r="A101" s="17"/>
      <c r="B101" s="17"/>
      <c r="C101" s="135"/>
      <c r="D101" s="136" t="s">
        <v>611</v>
      </c>
      <c r="E101" s="111"/>
      <c r="F101" s="111"/>
      <c r="G101" s="666" t="s">
        <v>3352</v>
      </c>
      <c r="H101" s="137" t="s">
        <v>3353</v>
      </c>
      <c r="I101" s="17" t="s">
        <v>3354</v>
      </c>
      <c r="J101" s="22" t="s">
        <v>60</v>
      </c>
      <c r="K101" s="89">
        <v>38448</v>
      </c>
      <c r="L101" s="22">
        <f t="shared" ca="1" si="3"/>
        <v>21</v>
      </c>
      <c r="M101" s="17" t="s">
        <v>134</v>
      </c>
      <c r="N101" s="17"/>
      <c r="O101" s="667"/>
      <c r="P101" s="446"/>
      <c r="Q101" s="160" t="s">
        <v>81</v>
      </c>
      <c r="R101" s="276"/>
      <c r="S101" s="640"/>
      <c r="T101" s="665"/>
      <c r="U101" s="646"/>
      <c r="V101" s="641"/>
      <c r="W101" s="20"/>
      <c r="X101" s="465"/>
      <c r="Y101" s="591"/>
      <c r="Z101" s="276"/>
      <c r="AA101" s="589"/>
      <c r="AB101" s="641"/>
      <c r="AC101" s="589"/>
      <c r="AD101" s="589"/>
      <c r="AE101" s="589"/>
      <c r="AF101" s="589"/>
      <c r="AG101" s="641"/>
      <c r="AH101" s="591"/>
      <c r="AI101" s="647"/>
      <c r="AJ101" s="292"/>
      <c r="AK101" s="292"/>
      <c r="AL101" s="469"/>
      <c r="AM101" s="478"/>
      <c r="AN101" s="478"/>
      <c r="AO101" s="478"/>
      <c r="AP101" s="478"/>
      <c r="AQ101" s="478"/>
      <c r="AR101" s="478"/>
      <c r="AS101" s="478"/>
      <c r="AT101" s="478"/>
      <c r="AU101" s="478"/>
      <c r="AV101" s="478"/>
    </row>
    <row r="102" spans="1:48" ht="44.25" customHeight="1">
      <c r="A102" s="17"/>
      <c r="B102" s="17"/>
      <c r="C102" s="135"/>
      <c r="D102" s="136" t="s">
        <v>611</v>
      </c>
      <c r="E102" s="111"/>
      <c r="F102" s="111"/>
      <c r="G102" s="666" t="s">
        <v>3355</v>
      </c>
      <c r="H102" s="137" t="s">
        <v>3356</v>
      </c>
      <c r="I102" s="17" t="s">
        <v>3357</v>
      </c>
      <c r="J102" s="22" t="s">
        <v>60</v>
      </c>
      <c r="K102" s="89">
        <v>37321</v>
      </c>
      <c r="L102" s="22">
        <f t="shared" ca="1" si="3"/>
        <v>24</v>
      </c>
      <c r="M102" s="17" t="s">
        <v>134</v>
      </c>
      <c r="N102" s="17"/>
      <c r="O102" s="667"/>
      <c r="P102" s="446"/>
      <c r="Q102" s="160" t="s">
        <v>81</v>
      </c>
      <c r="R102" s="276"/>
      <c r="S102" s="640"/>
      <c r="T102" s="665"/>
      <c r="U102" s="646"/>
      <c r="V102" s="641"/>
      <c r="W102" s="20"/>
      <c r="X102" s="465"/>
      <c r="Y102" s="591"/>
      <c r="Z102" s="276"/>
      <c r="AA102" s="589"/>
      <c r="AB102" s="641"/>
      <c r="AC102" s="589"/>
      <c r="AD102" s="589"/>
      <c r="AE102" s="589"/>
      <c r="AF102" s="589"/>
      <c r="AG102" s="641"/>
      <c r="AH102" s="591"/>
      <c r="AI102" s="647"/>
      <c r="AJ102" s="292"/>
      <c r="AK102" s="292"/>
      <c r="AL102" s="469"/>
      <c r="AM102" s="478"/>
      <c r="AN102" s="478"/>
      <c r="AO102" s="478"/>
      <c r="AP102" s="478"/>
      <c r="AQ102" s="478"/>
      <c r="AR102" s="478"/>
      <c r="AS102" s="478"/>
      <c r="AT102" s="478"/>
      <c r="AU102" s="478"/>
      <c r="AV102" s="478"/>
    </row>
    <row r="103" spans="1:48" ht="44.25" customHeight="1">
      <c r="A103" s="17"/>
      <c r="B103" s="17"/>
      <c r="C103" s="135"/>
      <c r="D103" s="136" t="s">
        <v>611</v>
      </c>
      <c r="E103" s="111"/>
      <c r="F103" s="111"/>
      <c r="G103" s="666" t="s">
        <v>3358</v>
      </c>
      <c r="H103" s="137" t="s">
        <v>3359</v>
      </c>
      <c r="I103" s="17" t="s">
        <v>2282</v>
      </c>
      <c r="J103" s="22" t="s">
        <v>261</v>
      </c>
      <c r="K103" s="89">
        <v>38642</v>
      </c>
      <c r="L103" s="22">
        <f t="shared" ca="1" si="3"/>
        <v>20</v>
      </c>
      <c r="M103" s="17" t="s">
        <v>134</v>
      </c>
      <c r="N103" s="17"/>
      <c r="O103" s="667"/>
      <c r="P103" s="446"/>
      <c r="Q103" s="160" t="s">
        <v>81</v>
      </c>
      <c r="R103" s="276"/>
      <c r="S103" s="640"/>
      <c r="T103" s="665"/>
      <c r="U103" s="646"/>
      <c r="V103" s="641"/>
      <c r="W103" s="20"/>
      <c r="X103" s="465"/>
      <c r="Y103" s="591"/>
      <c r="Z103" s="276"/>
      <c r="AA103" s="589"/>
      <c r="AB103" s="641"/>
      <c r="AC103" s="589"/>
      <c r="AD103" s="589"/>
      <c r="AE103" s="589"/>
      <c r="AF103" s="589"/>
      <c r="AG103" s="641"/>
      <c r="AH103" s="591"/>
      <c r="AI103" s="647"/>
      <c r="AJ103" s="292"/>
      <c r="AK103" s="292"/>
      <c r="AL103" s="469"/>
      <c r="AM103" s="478"/>
      <c r="AN103" s="478"/>
      <c r="AO103" s="478"/>
      <c r="AP103" s="478"/>
      <c r="AQ103" s="478"/>
      <c r="AR103" s="478"/>
      <c r="AS103" s="478"/>
      <c r="AT103" s="478"/>
      <c r="AU103" s="478"/>
      <c r="AV103" s="478"/>
    </row>
    <row r="104" spans="1:48" ht="44.25" customHeight="1">
      <c r="A104" s="17"/>
      <c r="B104" s="17"/>
      <c r="C104" s="135"/>
      <c r="D104" s="136" t="s">
        <v>611</v>
      </c>
      <c r="E104" s="111"/>
      <c r="F104" s="111"/>
      <c r="G104" s="666" t="s">
        <v>3360</v>
      </c>
      <c r="H104" s="137" t="s">
        <v>3361</v>
      </c>
      <c r="I104" s="17" t="s">
        <v>3362</v>
      </c>
      <c r="J104" s="22" t="s">
        <v>60</v>
      </c>
      <c r="K104" s="89">
        <v>38496</v>
      </c>
      <c r="L104" s="22">
        <f t="shared" ca="1" si="3"/>
        <v>20</v>
      </c>
      <c r="M104" s="17" t="s">
        <v>134</v>
      </c>
      <c r="N104" s="17"/>
      <c r="O104" s="667"/>
      <c r="P104" s="446"/>
      <c r="Q104" s="160" t="s">
        <v>81</v>
      </c>
      <c r="R104" s="276"/>
      <c r="S104" s="640"/>
      <c r="T104" s="665"/>
      <c r="U104" s="646"/>
      <c r="V104" s="641"/>
      <c r="W104" s="20"/>
      <c r="X104" s="465"/>
      <c r="Y104" s="591"/>
      <c r="Z104" s="276"/>
      <c r="AA104" s="589"/>
      <c r="AB104" s="641"/>
      <c r="AC104" s="589"/>
      <c r="AD104" s="589"/>
      <c r="AE104" s="589"/>
      <c r="AF104" s="589"/>
      <c r="AG104" s="641"/>
      <c r="AH104" s="591"/>
      <c r="AI104" s="647"/>
      <c r="AJ104" s="292"/>
      <c r="AK104" s="292"/>
      <c r="AL104" s="469"/>
      <c r="AM104" s="478"/>
      <c r="AN104" s="478"/>
      <c r="AO104" s="478"/>
      <c r="AP104" s="478"/>
      <c r="AQ104" s="478"/>
      <c r="AR104" s="478"/>
      <c r="AS104" s="478"/>
      <c r="AT104" s="478"/>
      <c r="AU104" s="478"/>
      <c r="AV104" s="478"/>
    </row>
    <row r="105" spans="1:48" ht="44.25" customHeight="1">
      <c r="A105" s="591"/>
      <c r="B105" s="591"/>
      <c r="C105" s="638"/>
      <c r="D105" s="639"/>
      <c r="E105" s="640"/>
      <c r="F105" s="640"/>
      <c r="G105" s="662"/>
      <c r="H105" s="663"/>
      <c r="I105" s="591"/>
      <c r="J105" s="591"/>
      <c r="K105" s="641"/>
      <c r="L105" s="591"/>
      <c r="M105" s="591"/>
      <c r="N105" s="591"/>
      <c r="O105" s="664"/>
      <c r="P105" s="643"/>
      <c r="Q105" s="644"/>
      <c r="R105" s="276"/>
      <c r="S105" s="640"/>
      <c r="T105" s="665"/>
      <c r="U105" s="646"/>
      <c r="V105" s="641"/>
      <c r="W105" s="20"/>
      <c r="X105" s="465"/>
      <c r="Y105" s="591"/>
      <c r="Z105" s="276"/>
      <c r="AA105" s="589"/>
      <c r="AB105" s="641"/>
      <c r="AC105" s="589"/>
      <c r="AD105" s="589"/>
      <c r="AE105" s="589"/>
      <c r="AF105" s="589"/>
      <c r="AG105" s="641"/>
      <c r="AH105" s="591"/>
      <c r="AI105" s="647"/>
      <c r="AJ105" s="292"/>
      <c r="AK105" s="292"/>
      <c r="AL105" s="469"/>
      <c r="AM105" s="478"/>
      <c r="AN105" s="478"/>
      <c r="AO105" s="478"/>
      <c r="AP105" s="478"/>
      <c r="AQ105" s="478"/>
      <c r="AR105" s="478"/>
      <c r="AS105" s="478"/>
      <c r="AT105" s="478"/>
      <c r="AU105" s="478"/>
      <c r="AV105" s="478"/>
    </row>
    <row r="106" spans="1:48" ht="44.25" customHeight="1">
      <c r="A106" s="479"/>
      <c r="B106" s="479"/>
      <c r="C106" s="480" t="s">
        <v>54</v>
      </c>
      <c r="D106" s="481" t="s">
        <v>55</v>
      </c>
      <c r="E106" s="483"/>
      <c r="F106" s="483"/>
      <c r="G106" s="669" t="s">
        <v>3363</v>
      </c>
      <c r="H106" s="670" t="s">
        <v>3364</v>
      </c>
      <c r="I106" s="479" t="s">
        <v>1338</v>
      </c>
      <c r="J106" s="479" t="s">
        <v>60</v>
      </c>
      <c r="K106" s="486">
        <v>37624</v>
      </c>
      <c r="L106" s="479">
        <f t="shared" ref="L106:L109" ca="1" si="4">DATEDIF(K106,TODAY(),"Y")</f>
        <v>23</v>
      </c>
      <c r="M106" s="479"/>
      <c r="N106" s="479" t="s">
        <v>1350</v>
      </c>
      <c r="O106" s="671" t="s">
        <v>3365</v>
      </c>
      <c r="P106" s="487">
        <v>47757</v>
      </c>
      <c r="Q106" s="672" t="s">
        <v>81</v>
      </c>
      <c r="R106" s="489" t="s">
        <v>3366</v>
      </c>
      <c r="S106" s="483" t="s">
        <v>1687</v>
      </c>
      <c r="T106" s="673"/>
      <c r="U106" s="674"/>
      <c r="V106" s="486"/>
      <c r="W106" s="675"/>
      <c r="X106" s="676"/>
      <c r="Y106" s="479"/>
      <c r="Z106" s="489" t="s">
        <v>719</v>
      </c>
      <c r="AA106" s="491"/>
      <c r="AB106" s="486"/>
      <c r="AC106" s="491"/>
      <c r="AD106" s="491"/>
      <c r="AE106" s="491"/>
      <c r="AF106" s="491"/>
      <c r="AG106" s="486"/>
      <c r="AH106" s="479"/>
      <c r="AI106" s="677"/>
      <c r="AJ106" s="495"/>
      <c r="AK106" s="495"/>
      <c r="AL106" s="678" t="s">
        <v>3367</v>
      </c>
      <c r="AM106" s="679"/>
      <c r="AN106" s="679"/>
      <c r="AO106" s="679"/>
      <c r="AP106" s="679"/>
      <c r="AQ106" s="679"/>
      <c r="AR106" s="679"/>
      <c r="AS106" s="679"/>
      <c r="AT106" s="679"/>
      <c r="AU106" s="679"/>
      <c r="AV106" s="679"/>
    </row>
    <row r="107" spans="1:48" ht="44.25" customHeight="1">
      <c r="A107" s="479" t="s">
        <v>2028</v>
      </c>
      <c r="B107" s="479"/>
      <c r="C107" s="480" t="s">
        <v>54</v>
      </c>
      <c r="D107" s="481" t="s">
        <v>611</v>
      </c>
      <c r="E107" s="483" t="s">
        <v>3368</v>
      </c>
      <c r="F107" s="483"/>
      <c r="G107" s="484" t="s">
        <v>3369</v>
      </c>
      <c r="H107" s="680" t="s">
        <v>3370</v>
      </c>
      <c r="I107" s="479" t="s">
        <v>3371</v>
      </c>
      <c r="J107" s="479" t="s">
        <v>261</v>
      </c>
      <c r="K107" s="486">
        <v>38017</v>
      </c>
      <c r="L107" s="479">
        <f t="shared" ca="1" si="4"/>
        <v>22</v>
      </c>
      <c r="M107" s="479" t="s">
        <v>134</v>
      </c>
      <c r="N107" s="681"/>
      <c r="O107" s="681" t="s">
        <v>3372</v>
      </c>
      <c r="P107" s="487"/>
      <c r="Q107" s="672" t="s">
        <v>81</v>
      </c>
      <c r="R107" s="489"/>
      <c r="S107" s="483" t="s">
        <v>1687</v>
      </c>
      <c r="T107" s="682">
        <v>10000</v>
      </c>
      <c r="U107" s="674"/>
      <c r="V107" s="486"/>
      <c r="W107" s="675"/>
      <c r="X107" s="676"/>
      <c r="Y107" s="479"/>
      <c r="Z107" s="489"/>
      <c r="AA107" s="491"/>
      <c r="AB107" s="486"/>
      <c r="AC107" s="491"/>
      <c r="AD107" s="491"/>
      <c r="AE107" s="491"/>
      <c r="AF107" s="491"/>
      <c r="AG107" s="486"/>
      <c r="AH107" s="479"/>
      <c r="AI107" s="677"/>
      <c r="AJ107" s="495"/>
      <c r="AK107" s="495"/>
      <c r="AL107" s="495" t="s">
        <v>3373</v>
      </c>
      <c r="AM107" s="478"/>
      <c r="AN107" s="478"/>
      <c r="AO107" s="478"/>
      <c r="AP107" s="478"/>
      <c r="AQ107" s="478"/>
      <c r="AR107" s="478"/>
      <c r="AS107" s="478"/>
      <c r="AT107" s="478"/>
      <c r="AU107" s="478"/>
      <c r="AV107" s="478"/>
    </row>
    <row r="108" spans="1:48" ht="44.25" customHeight="1">
      <c r="A108" s="479"/>
      <c r="B108" s="479"/>
      <c r="C108" s="480" t="s">
        <v>54</v>
      </c>
      <c r="D108" s="481" t="s">
        <v>611</v>
      </c>
      <c r="E108" s="483" t="s">
        <v>3368</v>
      </c>
      <c r="F108" s="483"/>
      <c r="G108" s="484" t="s">
        <v>3374</v>
      </c>
      <c r="H108" s="680" t="s">
        <v>3375</v>
      </c>
      <c r="I108" s="479"/>
      <c r="J108" s="479" t="s">
        <v>60</v>
      </c>
      <c r="K108" s="486">
        <v>34908</v>
      </c>
      <c r="L108" s="479">
        <f t="shared" ca="1" si="4"/>
        <v>30</v>
      </c>
      <c r="M108" s="479" t="s">
        <v>134</v>
      </c>
      <c r="N108" s="681"/>
      <c r="O108" s="681" t="s">
        <v>3372</v>
      </c>
      <c r="P108" s="487"/>
      <c r="Q108" s="672" t="s">
        <v>81</v>
      </c>
      <c r="R108" s="489"/>
      <c r="S108" s="483" t="s">
        <v>1687</v>
      </c>
      <c r="T108" s="682">
        <v>10000</v>
      </c>
      <c r="U108" s="674"/>
      <c r="V108" s="486"/>
      <c r="W108" s="675"/>
      <c r="X108" s="676"/>
      <c r="Y108" s="479"/>
      <c r="Z108" s="489"/>
      <c r="AA108" s="491"/>
      <c r="AB108" s="486"/>
      <c r="AC108" s="491"/>
      <c r="AD108" s="491"/>
      <c r="AE108" s="491"/>
      <c r="AF108" s="491"/>
      <c r="AG108" s="486"/>
      <c r="AH108" s="479"/>
      <c r="AI108" s="677"/>
      <c r="AJ108" s="495"/>
      <c r="AK108" s="495"/>
      <c r="AL108" s="495" t="s">
        <v>3376</v>
      </c>
      <c r="AM108" s="478"/>
      <c r="AN108" s="478"/>
      <c r="AO108" s="478"/>
      <c r="AP108" s="478"/>
      <c r="AQ108" s="478"/>
      <c r="AR108" s="478"/>
      <c r="AS108" s="478"/>
      <c r="AT108" s="478"/>
      <c r="AU108" s="478"/>
      <c r="AV108" s="478"/>
    </row>
    <row r="109" spans="1:48" ht="44.25" customHeight="1">
      <c r="A109" s="479"/>
      <c r="B109" s="479"/>
      <c r="C109" s="480" t="s">
        <v>54</v>
      </c>
      <c r="D109" s="481" t="s">
        <v>611</v>
      </c>
      <c r="E109" s="483" t="s">
        <v>3368</v>
      </c>
      <c r="F109" s="483"/>
      <c r="G109" s="484" t="s">
        <v>3377</v>
      </c>
      <c r="H109" s="680" t="s">
        <v>3378</v>
      </c>
      <c r="I109" s="479"/>
      <c r="J109" s="479" t="s">
        <v>60</v>
      </c>
      <c r="K109" s="486">
        <v>37856</v>
      </c>
      <c r="L109" s="479">
        <f t="shared" ca="1" si="4"/>
        <v>22</v>
      </c>
      <c r="M109" s="479" t="s">
        <v>134</v>
      </c>
      <c r="N109" s="681"/>
      <c r="O109" s="681" t="s">
        <v>3372</v>
      </c>
      <c r="P109" s="487"/>
      <c r="Q109" s="672" t="s">
        <v>81</v>
      </c>
      <c r="R109" s="489"/>
      <c r="S109" s="483" t="s">
        <v>1687</v>
      </c>
      <c r="T109" s="682">
        <v>10000</v>
      </c>
      <c r="U109" s="674"/>
      <c r="V109" s="486"/>
      <c r="W109" s="675"/>
      <c r="X109" s="676"/>
      <c r="Y109" s="479"/>
      <c r="Z109" s="489"/>
      <c r="AA109" s="491"/>
      <c r="AB109" s="486"/>
      <c r="AC109" s="491"/>
      <c r="AD109" s="491"/>
      <c r="AE109" s="491"/>
      <c r="AF109" s="491"/>
      <c r="AG109" s="486"/>
      <c r="AH109" s="479"/>
      <c r="AI109" s="677"/>
      <c r="AJ109" s="495"/>
      <c r="AK109" s="495"/>
      <c r="AL109" s="495" t="s">
        <v>3376</v>
      </c>
      <c r="AM109" s="478"/>
      <c r="AN109" s="478"/>
      <c r="AO109" s="478"/>
      <c r="AP109" s="478"/>
      <c r="AQ109" s="478"/>
      <c r="AR109" s="478"/>
      <c r="AS109" s="478"/>
      <c r="AT109" s="478"/>
      <c r="AU109" s="478"/>
      <c r="AV109" s="478"/>
    </row>
    <row r="110" spans="1:48" ht="14.5">
      <c r="A110" s="653"/>
      <c r="B110" s="653"/>
      <c r="C110" s="653"/>
      <c r="D110" s="653"/>
      <c r="E110" s="653"/>
      <c r="F110" s="653"/>
      <c r="G110" s="654"/>
      <c r="H110" s="654"/>
      <c r="I110" s="653"/>
      <c r="J110" s="653"/>
      <c r="K110" s="655"/>
      <c r="L110" s="653"/>
      <c r="M110" s="653"/>
      <c r="N110" s="653"/>
      <c r="O110" s="653"/>
      <c r="P110" s="653"/>
      <c r="Q110" s="653"/>
      <c r="R110" s="653"/>
      <c r="S110" s="653"/>
      <c r="T110" s="653"/>
      <c r="U110" s="656"/>
      <c r="V110" s="653"/>
      <c r="W110" s="653"/>
      <c r="X110" s="653"/>
      <c r="Y110" s="657"/>
      <c r="Z110" s="615"/>
      <c r="AA110" s="653"/>
      <c r="AB110" s="657"/>
      <c r="AC110" s="653"/>
      <c r="AD110" s="653"/>
      <c r="AE110" s="653"/>
      <c r="AF110" s="653"/>
      <c r="AG110" s="653"/>
      <c r="AH110" s="653"/>
      <c r="AI110" s="653"/>
      <c r="AJ110" s="653"/>
      <c r="AK110" s="653"/>
      <c r="AL110" s="653"/>
      <c r="AM110" s="653"/>
      <c r="AN110" s="653"/>
      <c r="AO110" s="653"/>
      <c r="AP110" s="653"/>
      <c r="AQ110" s="653"/>
      <c r="AR110" s="653"/>
      <c r="AS110" s="653"/>
      <c r="AT110" s="653"/>
      <c r="AU110" s="653"/>
      <c r="AV110" s="653"/>
    </row>
    <row r="111" spans="1:48" ht="44.25" customHeight="1">
      <c r="A111" s="479"/>
      <c r="B111" s="479"/>
      <c r="C111" s="480" t="s">
        <v>54</v>
      </c>
      <c r="D111" s="481" t="s">
        <v>55</v>
      </c>
      <c r="E111" s="483" t="s">
        <v>3368</v>
      </c>
      <c r="F111" s="483"/>
      <c r="G111" s="484" t="s">
        <v>3379</v>
      </c>
      <c r="H111" s="680" t="s">
        <v>3380</v>
      </c>
      <c r="I111" s="479"/>
      <c r="J111" s="479" t="s">
        <v>261</v>
      </c>
      <c r="K111" s="486">
        <v>37661</v>
      </c>
      <c r="L111" s="479">
        <f t="shared" ref="L111:L114" ca="1" si="5">DATEDIF(K111,TODAY(),"Y")</f>
        <v>23</v>
      </c>
      <c r="M111" s="479" t="s">
        <v>134</v>
      </c>
      <c r="N111" s="681"/>
      <c r="O111" s="681" t="s">
        <v>3381</v>
      </c>
      <c r="P111" s="487"/>
      <c r="Q111" s="672" t="s">
        <v>81</v>
      </c>
      <c r="R111" s="489"/>
      <c r="S111" s="483" t="s">
        <v>1687</v>
      </c>
      <c r="T111" s="682">
        <v>10000</v>
      </c>
      <c r="U111" s="674"/>
      <c r="V111" s="486"/>
      <c r="W111" s="675"/>
      <c r="X111" s="676"/>
      <c r="Y111" s="479"/>
      <c r="Z111" s="489"/>
      <c r="AA111" s="491"/>
      <c r="AB111" s="486"/>
      <c r="AC111" s="491"/>
      <c r="AD111" s="491"/>
      <c r="AE111" s="491"/>
      <c r="AF111" s="491"/>
      <c r="AG111" s="486"/>
      <c r="AH111" s="479"/>
      <c r="AI111" s="677"/>
      <c r="AJ111" s="495"/>
      <c r="AK111" s="495"/>
      <c r="AL111" s="495" t="s">
        <v>3382</v>
      </c>
      <c r="AM111" s="478"/>
      <c r="AN111" s="478"/>
      <c r="AO111" s="478"/>
      <c r="AP111" s="478"/>
      <c r="AQ111" s="478"/>
      <c r="AR111" s="478"/>
      <c r="AS111" s="478"/>
      <c r="AT111" s="478"/>
      <c r="AU111" s="478"/>
      <c r="AV111" s="478"/>
    </row>
    <row r="112" spans="1:48" ht="44.25" customHeight="1">
      <c r="A112" s="479"/>
      <c r="B112" s="479"/>
      <c r="C112" s="480" t="s">
        <v>54</v>
      </c>
      <c r="D112" s="481" t="s">
        <v>55</v>
      </c>
      <c r="E112" s="483" t="s">
        <v>3368</v>
      </c>
      <c r="F112" s="483"/>
      <c r="G112" s="484" t="s">
        <v>3383</v>
      </c>
      <c r="H112" s="680" t="s">
        <v>3384</v>
      </c>
      <c r="I112" s="479"/>
      <c r="J112" s="479" t="s">
        <v>261</v>
      </c>
      <c r="K112" s="486">
        <v>34174</v>
      </c>
      <c r="L112" s="479">
        <f t="shared" ca="1" si="5"/>
        <v>32</v>
      </c>
      <c r="M112" s="479" t="s">
        <v>134</v>
      </c>
      <c r="N112" s="681"/>
      <c r="O112" s="681" t="s">
        <v>3381</v>
      </c>
      <c r="P112" s="487"/>
      <c r="Q112" s="672" t="s">
        <v>81</v>
      </c>
      <c r="R112" s="489"/>
      <c r="S112" s="483" t="s">
        <v>1687</v>
      </c>
      <c r="T112" s="682">
        <v>10000</v>
      </c>
      <c r="U112" s="674"/>
      <c r="V112" s="486"/>
      <c r="W112" s="675"/>
      <c r="X112" s="676"/>
      <c r="Y112" s="479"/>
      <c r="Z112" s="489"/>
      <c r="AA112" s="491"/>
      <c r="AB112" s="486"/>
      <c r="AC112" s="491"/>
      <c r="AD112" s="491"/>
      <c r="AE112" s="491"/>
      <c r="AF112" s="491"/>
      <c r="AG112" s="486"/>
      <c r="AH112" s="479"/>
      <c r="AI112" s="677"/>
      <c r="AJ112" s="495"/>
      <c r="AK112" s="495"/>
      <c r="AL112" s="495" t="s">
        <v>3385</v>
      </c>
      <c r="AM112" s="478"/>
      <c r="AN112" s="478"/>
      <c r="AO112" s="478"/>
      <c r="AP112" s="478"/>
      <c r="AQ112" s="478"/>
      <c r="AR112" s="478"/>
      <c r="AS112" s="478"/>
      <c r="AT112" s="478"/>
      <c r="AU112" s="478"/>
      <c r="AV112" s="478"/>
    </row>
    <row r="113" spans="1:48" ht="44.25" customHeight="1">
      <c r="A113" s="479" t="s">
        <v>2028</v>
      </c>
      <c r="B113" s="479"/>
      <c r="C113" s="480" t="s">
        <v>54</v>
      </c>
      <c r="D113" s="481" t="s">
        <v>611</v>
      </c>
      <c r="E113" s="483" t="s">
        <v>3368</v>
      </c>
      <c r="F113" s="483"/>
      <c r="G113" s="484" t="s">
        <v>3386</v>
      </c>
      <c r="H113" s="680" t="s">
        <v>3387</v>
      </c>
      <c r="I113" s="479"/>
      <c r="J113" s="479" t="s">
        <v>60</v>
      </c>
      <c r="K113" s="486">
        <v>38005</v>
      </c>
      <c r="L113" s="479">
        <f t="shared" ca="1" si="5"/>
        <v>22</v>
      </c>
      <c r="M113" s="479" t="s">
        <v>134</v>
      </c>
      <c r="N113" s="681"/>
      <c r="O113" s="681" t="s">
        <v>3388</v>
      </c>
      <c r="P113" s="487"/>
      <c r="Q113" s="672" t="s">
        <v>81</v>
      </c>
      <c r="R113" s="489"/>
      <c r="S113" s="483" t="s">
        <v>1687</v>
      </c>
      <c r="T113" s="682">
        <v>10000</v>
      </c>
      <c r="U113" s="674"/>
      <c r="V113" s="486"/>
      <c r="W113" s="675"/>
      <c r="X113" s="676"/>
      <c r="Y113" s="479"/>
      <c r="Z113" s="489"/>
      <c r="AA113" s="491"/>
      <c r="AB113" s="486"/>
      <c r="AC113" s="491"/>
      <c r="AD113" s="491"/>
      <c r="AE113" s="491"/>
      <c r="AF113" s="491"/>
      <c r="AG113" s="486"/>
      <c r="AH113" s="479"/>
      <c r="AI113" s="677"/>
      <c r="AJ113" s="495"/>
      <c r="AK113" s="495"/>
      <c r="AL113" s="495" t="s">
        <v>3389</v>
      </c>
      <c r="AM113" s="478"/>
      <c r="AN113" s="478"/>
      <c r="AO113" s="478"/>
      <c r="AP113" s="478"/>
      <c r="AQ113" s="478"/>
      <c r="AR113" s="478"/>
      <c r="AS113" s="478"/>
      <c r="AT113" s="478"/>
      <c r="AU113" s="478"/>
      <c r="AV113" s="478"/>
    </row>
    <row r="114" spans="1:48" ht="44.25" customHeight="1">
      <c r="A114" s="479" t="s">
        <v>2028</v>
      </c>
      <c r="B114" s="479"/>
      <c r="C114" s="480" t="s">
        <v>54</v>
      </c>
      <c r="D114" s="481" t="s">
        <v>611</v>
      </c>
      <c r="E114" s="483" t="s">
        <v>3368</v>
      </c>
      <c r="F114" s="483"/>
      <c r="G114" s="484" t="s">
        <v>3390</v>
      </c>
      <c r="H114" s="680" t="s">
        <v>3391</v>
      </c>
      <c r="I114" s="479" t="s">
        <v>3392</v>
      </c>
      <c r="J114" s="479" t="s">
        <v>60</v>
      </c>
      <c r="K114" s="486">
        <v>36423</v>
      </c>
      <c r="L114" s="479">
        <f t="shared" ca="1" si="5"/>
        <v>26</v>
      </c>
      <c r="M114" s="479" t="s">
        <v>134</v>
      </c>
      <c r="N114" s="681"/>
      <c r="O114" s="681" t="s">
        <v>3372</v>
      </c>
      <c r="P114" s="487"/>
      <c r="Q114" s="672" t="s">
        <v>81</v>
      </c>
      <c r="R114" s="489"/>
      <c r="S114" s="483" t="s">
        <v>1687</v>
      </c>
      <c r="T114" s="682">
        <v>10000</v>
      </c>
      <c r="U114" s="674"/>
      <c r="V114" s="486"/>
      <c r="W114" s="675"/>
      <c r="X114" s="676"/>
      <c r="Y114" s="479"/>
      <c r="Z114" s="489"/>
      <c r="AA114" s="491"/>
      <c r="AB114" s="486"/>
      <c r="AC114" s="491"/>
      <c r="AD114" s="491"/>
      <c r="AE114" s="491"/>
      <c r="AF114" s="491"/>
      <c r="AG114" s="486"/>
      <c r="AH114" s="479"/>
      <c r="AI114" s="677"/>
      <c r="AJ114" s="495"/>
      <c r="AK114" s="495"/>
      <c r="AL114" s="495" t="s">
        <v>3393</v>
      </c>
      <c r="AM114" s="478"/>
      <c r="AN114" s="478"/>
      <c r="AO114" s="478"/>
      <c r="AP114" s="478"/>
      <c r="AQ114" s="478"/>
      <c r="AR114" s="478"/>
      <c r="AS114" s="478"/>
      <c r="AT114" s="478"/>
      <c r="AU114" s="478"/>
      <c r="AV114" s="478"/>
    </row>
    <row r="115" spans="1:48" ht="14.5">
      <c r="A115" s="653"/>
      <c r="B115" s="653"/>
      <c r="C115" s="653"/>
      <c r="D115" s="653"/>
      <c r="E115" s="653"/>
      <c r="F115" s="653"/>
      <c r="G115" s="654"/>
      <c r="H115" s="654"/>
      <c r="I115" s="653"/>
      <c r="J115" s="653"/>
      <c r="K115" s="486"/>
      <c r="L115" s="479"/>
      <c r="M115" s="653"/>
      <c r="N115" s="653"/>
      <c r="O115" s="653"/>
      <c r="P115" s="653"/>
      <c r="Q115" s="653"/>
      <c r="R115" s="653"/>
      <c r="S115" s="653"/>
      <c r="T115" s="653"/>
      <c r="U115" s="656"/>
      <c r="V115" s="653"/>
      <c r="W115" s="653"/>
      <c r="X115" s="653"/>
      <c r="Y115" s="657"/>
      <c r="Z115" s="615"/>
      <c r="AA115" s="653"/>
      <c r="AB115" s="657"/>
      <c r="AC115" s="653"/>
      <c r="AD115" s="653"/>
      <c r="AE115" s="653"/>
      <c r="AF115" s="653"/>
      <c r="AG115" s="653"/>
      <c r="AH115" s="653"/>
      <c r="AI115" s="653"/>
      <c r="AJ115" s="653"/>
      <c r="AK115" s="653"/>
      <c r="AL115" s="653"/>
      <c r="AM115" s="653"/>
      <c r="AN115" s="653"/>
      <c r="AO115" s="653"/>
      <c r="AP115" s="653"/>
      <c r="AQ115" s="653"/>
      <c r="AR115" s="653"/>
      <c r="AS115" s="653"/>
      <c r="AT115" s="653"/>
      <c r="AU115" s="653"/>
      <c r="AV115" s="653"/>
    </row>
    <row r="116" spans="1:48" ht="14.5">
      <c r="A116" s="653"/>
      <c r="B116" s="653"/>
      <c r="C116" s="653"/>
      <c r="D116" s="654" t="s">
        <v>100</v>
      </c>
      <c r="E116" s="653"/>
      <c r="F116" s="653"/>
      <c r="G116" s="654"/>
      <c r="H116" s="654" t="s">
        <v>54</v>
      </c>
      <c r="I116" s="653"/>
      <c r="J116" s="653"/>
      <c r="K116" s="655"/>
      <c r="L116" s="653"/>
      <c r="M116" s="653"/>
      <c r="N116" s="653"/>
      <c r="O116" s="653"/>
      <c r="P116" s="653"/>
      <c r="Q116" s="653"/>
      <c r="R116" s="653"/>
      <c r="S116" s="653"/>
      <c r="T116" s="653"/>
      <c r="U116" s="656"/>
      <c r="V116" s="653"/>
      <c r="W116" s="653"/>
      <c r="X116" s="653"/>
      <c r="Y116" s="657"/>
      <c r="Z116" s="615"/>
      <c r="AA116" s="653"/>
      <c r="AB116" s="657"/>
      <c r="AC116" s="653"/>
      <c r="AD116" s="653"/>
      <c r="AE116" s="653"/>
      <c r="AF116" s="653"/>
      <c r="AG116" s="653"/>
      <c r="AH116" s="653"/>
      <c r="AI116" s="653"/>
      <c r="AJ116" s="653"/>
      <c r="AK116" s="653"/>
      <c r="AL116" s="653"/>
      <c r="AM116" s="653"/>
      <c r="AN116" s="653"/>
      <c r="AO116" s="653"/>
      <c r="AP116" s="653"/>
      <c r="AQ116" s="653"/>
      <c r="AR116" s="653"/>
      <c r="AS116" s="653"/>
      <c r="AT116" s="653"/>
      <c r="AU116" s="653"/>
      <c r="AV116" s="653"/>
    </row>
    <row r="117" spans="1:48" ht="14.5">
      <c r="A117" s="653"/>
      <c r="B117" s="653"/>
      <c r="C117" s="653"/>
      <c r="D117" s="654" t="s">
        <v>3394</v>
      </c>
      <c r="E117" s="653"/>
      <c r="F117" s="653"/>
      <c r="G117" s="654"/>
      <c r="H117" s="654" t="s">
        <v>3395</v>
      </c>
      <c r="I117" s="653"/>
      <c r="J117" s="653"/>
      <c r="K117" s="653" t="s">
        <v>3396</v>
      </c>
      <c r="L117" s="653"/>
      <c r="M117" s="653"/>
      <c r="N117" s="653"/>
      <c r="O117" s="653"/>
      <c r="P117" s="653"/>
      <c r="Q117" s="653"/>
      <c r="R117" s="653"/>
      <c r="S117" s="653"/>
      <c r="T117" s="653"/>
      <c r="U117" s="656"/>
      <c r="V117" s="653"/>
      <c r="W117" s="653"/>
      <c r="X117" s="653"/>
      <c r="Y117" s="657"/>
      <c r="Z117" s="615"/>
      <c r="AA117" s="653"/>
      <c r="AB117" s="657"/>
      <c r="AC117" s="653"/>
      <c r="AD117" s="653"/>
      <c r="AE117" s="653"/>
      <c r="AF117" s="653"/>
      <c r="AG117" s="653"/>
      <c r="AH117" s="653"/>
      <c r="AI117" s="653"/>
      <c r="AJ117" s="653"/>
      <c r="AK117" s="653"/>
      <c r="AL117" s="653"/>
      <c r="AM117" s="653"/>
      <c r="AN117" s="653"/>
      <c r="AO117" s="653"/>
      <c r="AP117" s="653"/>
      <c r="AQ117" s="653"/>
      <c r="AR117" s="653"/>
      <c r="AS117" s="653"/>
      <c r="AT117" s="653"/>
      <c r="AU117" s="653"/>
      <c r="AV117" s="653"/>
    </row>
    <row r="118" spans="1:48" ht="14.5">
      <c r="A118" s="653"/>
      <c r="B118" s="653"/>
      <c r="C118" s="653"/>
      <c r="D118" s="653"/>
      <c r="E118" s="653"/>
      <c r="F118" s="653"/>
      <c r="G118" s="654"/>
      <c r="H118" s="654" t="s">
        <v>3397</v>
      </c>
      <c r="I118" s="653"/>
      <c r="J118" s="653"/>
      <c r="K118" s="653" t="s">
        <v>3398</v>
      </c>
      <c r="L118" s="653"/>
      <c r="M118" s="653"/>
      <c r="N118" s="653"/>
      <c r="O118" s="653"/>
      <c r="P118" s="653"/>
      <c r="Q118" s="653"/>
      <c r="R118" s="653"/>
      <c r="S118" s="653"/>
      <c r="T118" s="653"/>
      <c r="U118" s="656"/>
      <c r="V118" s="653"/>
      <c r="W118" s="653"/>
      <c r="X118" s="653"/>
      <c r="Y118" s="657"/>
      <c r="Z118" s="615"/>
      <c r="AA118" s="653"/>
      <c r="AB118" s="657"/>
      <c r="AC118" s="653"/>
      <c r="AD118" s="653"/>
      <c r="AE118" s="653"/>
      <c r="AF118" s="653"/>
      <c r="AG118" s="653"/>
      <c r="AH118" s="653"/>
      <c r="AI118" s="653"/>
      <c r="AJ118" s="653"/>
      <c r="AK118" s="653"/>
      <c r="AL118" s="653"/>
      <c r="AM118" s="653"/>
      <c r="AN118" s="653"/>
      <c r="AO118" s="653"/>
      <c r="AP118" s="653"/>
      <c r="AQ118" s="653"/>
      <c r="AR118" s="653"/>
      <c r="AS118" s="653"/>
      <c r="AT118" s="653"/>
      <c r="AU118" s="653"/>
      <c r="AV118" s="653"/>
    </row>
    <row r="119" spans="1:48" ht="14.5">
      <c r="A119" s="653"/>
      <c r="B119" s="653"/>
      <c r="C119" s="653"/>
      <c r="D119" s="653"/>
      <c r="E119" s="653"/>
      <c r="F119" s="653"/>
      <c r="G119" s="654"/>
      <c r="H119" s="654" t="s">
        <v>3399</v>
      </c>
      <c r="I119" s="653"/>
      <c r="J119" s="653"/>
      <c r="K119" s="655"/>
      <c r="L119" s="653"/>
      <c r="M119" s="653"/>
      <c r="N119" s="653"/>
      <c r="O119" s="653"/>
      <c r="P119" s="653"/>
      <c r="Q119" s="653"/>
      <c r="R119" s="653"/>
      <c r="S119" s="653"/>
      <c r="T119" s="653"/>
      <c r="U119" s="656"/>
      <c r="V119" s="653"/>
      <c r="W119" s="653"/>
      <c r="X119" s="653"/>
      <c r="Y119" s="657"/>
      <c r="Z119" s="615"/>
      <c r="AA119" s="653"/>
      <c r="AB119" s="657"/>
      <c r="AC119" s="653"/>
      <c r="AD119" s="653"/>
      <c r="AE119" s="653"/>
      <c r="AF119" s="653"/>
      <c r="AG119" s="653"/>
      <c r="AH119" s="653"/>
      <c r="AI119" s="653"/>
      <c r="AJ119" s="653"/>
      <c r="AK119" s="653"/>
      <c r="AL119" s="653"/>
      <c r="AM119" s="653"/>
      <c r="AN119" s="653"/>
      <c r="AO119" s="653"/>
      <c r="AP119" s="653"/>
      <c r="AQ119" s="653"/>
      <c r="AR119" s="653"/>
      <c r="AS119" s="653"/>
      <c r="AT119" s="653"/>
      <c r="AU119" s="653"/>
      <c r="AV119" s="653"/>
    </row>
    <row r="120" spans="1:48" ht="14.5">
      <c r="A120" s="653"/>
      <c r="B120" s="653"/>
      <c r="C120" s="653"/>
      <c r="D120" s="653"/>
      <c r="E120" s="653"/>
      <c r="F120" s="653"/>
      <c r="G120" s="654"/>
      <c r="H120" s="654"/>
      <c r="I120" s="653"/>
      <c r="J120" s="653"/>
      <c r="K120" s="653" t="s">
        <v>3400</v>
      </c>
      <c r="L120" s="653"/>
      <c r="M120" s="653"/>
      <c r="N120" s="653"/>
      <c r="O120" s="653"/>
      <c r="P120" s="653"/>
      <c r="Q120" s="653"/>
      <c r="R120" s="653"/>
      <c r="S120" s="653"/>
      <c r="T120" s="653"/>
      <c r="U120" s="656"/>
      <c r="V120" s="653"/>
      <c r="W120" s="653"/>
      <c r="X120" s="653"/>
      <c r="Y120" s="657"/>
      <c r="Z120" s="615"/>
      <c r="AA120" s="653"/>
      <c r="AB120" s="657"/>
      <c r="AC120" s="653"/>
      <c r="AD120" s="653"/>
      <c r="AE120" s="653"/>
      <c r="AF120" s="653"/>
      <c r="AG120" s="653"/>
      <c r="AH120" s="653"/>
      <c r="AI120" s="653"/>
      <c r="AJ120" s="653"/>
      <c r="AK120" s="653"/>
      <c r="AL120" s="653"/>
      <c r="AM120" s="653"/>
      <c r="AN120" s="653"/>
      <c r="AO120" s="653"/>
      <c r="AP120" s="653"/>
      <c r="AQ120" s="653"/>
      <c r="AR120" s="653"/>
      <c r="AS120" s="653"/>
      <c r="AT120" s="653"/>
      <c r="AU120" s="653"/>
      <c r="AV120" s="653"/>
    </row>
    <row r="121" spans="1:48" ht="14.5">
      <c r="A121" s="653"/>
      <c r="B121" s="653"/>
      <c r="C121" s="653"/>
      <c r="D121" s="653"/>
      <c r="E121" s="653"/>
      <c r="F121" s="653"/>
      <c r="G121" s="654"/>
      <c r="I121" s="653"/>
      <c r="J121" s="653"/>
      <c r="K121" s="653" t="s">
        <v>3401</v>
      </c>
      <c r="L121" s="653"/>
      <c r="M121" s="653"/>
      <c r="N121" s="653"/>
      <c r="O121" s="653"/>
      <c r="P121" s="653"/>
      <c r="Q121" s="653"/>
      <c r="R121" s="653"/>
      <c r="S121" s="653"/>
      <c r="T121" s="653"/>
      <c r="U121" s="656"/>
      <c r="V121" s="653"/>
      <c r="W121" s="653"/>
      <c r="X121" s="653"/>
      <c r="Y121" s="657"/>
      <c r="Z121" s="615"/>
      <c r="AA121" s="653"/>
      <c r="AB121" s="657"/>
      <c r="AC121" s="653"/>
      <c r="AD121" s="653"/>
      <c r="AE121" s="653"/>
      <c r="AF121" s="653"/>
      <c r="AG121" s="653"/>
      <c r="AH121" s="653"/>
      <c r="AI121" s="653"/>
      <c r="AJ121" s="653"/>
      <c r="AK121" s="653"/>
      <c r="AL121" s="653"/>
      <c r="AM121" s="653"/>
      <c r="AN121" s="653"/>
      <c r="AO121" s="653"/>
      <c r="AP121" s="653"/>
      <c r="AQ121" s="653"/>
      <c r="AR121" s="653"/>
      <c r="AS121" s="653"/>
      <c r="AT121" s="653"/>
      <c r="AU121" s="653"/>
      <c r="AV121" s="653"/>
    </row>
    <row r="122" spans="1:48" ht="14.5">
      <c r="A122" s="653"/>
      <c r="B122" s="653"/>
      <c r="C122" s="653"/>
      <c r="D122" s="653"/>
      <c r="E122" s="653"/>
      <c r="F122" s="653"/>
      <c r="G122" s="654"/>
      <c r="I122" s="653"/>
      <c r="J122" s="653"/>
      <c r="K122" s="655"/>
      <c r="L122" s="653"/>
      <c r="M122" s="653"/>
      <c r="N122" s="653"/>
      <c r="O122" s="653"/>
      <c r="P122" s="653"/>
      <c r="Q122" s="653"/>
      <c r="R122" s="653"/>
      <c r="S122" s="653"/>
      <c r="T122" s="653"/>
      <c r="U122" s="656"/>
      <c r="V122" s="653"/>
      <c r="W122" s="653"/>
      <c r="X122" s="653"/>
      <c r="Y122" s="657"/>
      <c r="Z122" s="615"/>
      <c r="AA122" s="653"/>
      <c r="AB122" s="657"/>
      <c r="AC122" s="653"/>
      <c r="AD122" s="653"/>
      <c r="AE122" s="653"/>
      <c r="AF122" s="653"/>
      <c r="AG122" s="653"/>
      <c r="AH122" s="653"/>
      <c r="AI122" s="653"/>
      <c r="AJ122" s="653"/>
      <c r="AK122" s="653"/>
      <c r="AL122" s="653"/>
      <c r="AM122" s="653"/>
      <c r="AN122" s="653"/>
      <c r="AO122" s="653"/>
      <c r="AP122" s="653"/>
      <c r="AQ122" s="653"/>
      <c r="AR122" s="653"/>
      <c r="AS122" s="653"/>
      <c r="AT122" s="653"/>
      <c r="AU122" s="653"/>
      <c r="AV122" s="653"/>
    </row>
    <row r="123" spans="1:48" ht="14.5">
      <c r="A123" s="653"/>
      <c r="B123" s="653"/>
      <c r="C123" s="653"/>
      <c r="D123" s="653"/>
      <c r="E123" s="653"/>
      <c r="F123" s="653"/>
      <c r="G123" s="654"/>
      <c r="H123" s="654"/>
      <c r="I123" s="653"/>
      <c r="J123" s="653"/>
      <c r="K123" s="653" t="s">
        <v>3402</v>
      </c>
      <c r="L123" s="653"/>
      <c r="M123" s="653"/>
      <c r="N123" s="653"/>
      <c r="O123" s="653"/>
      <c r="P123" s="653"/>
      <c r="Q123" s="653"/>
      <c r="R123" s="653"/>
      <c r="S123" s="653"/>
      <c r="T123" s="653"/>
      <c r="U123" s="656"/>
      <c r="V123" s="653"/>
      <c r="W123" s="653"/>
      <c r="X123" s="653"/>
      <c r="Y123" s="657"/>
      <c r="Z123" s="615"/>
      <c r="AA123" s="653"/>
      <c r="AB123" s="657"/>
      <c r="AC123" s="653"/>
      <c r="AD123" s="653"/>
      <c r="AE123" s="653"/>
      <c r="AF123" s="653"/>
      <c r="AG123" s="653"/>
      <c r="AH123" s="653"/>
      <c r="AI123" s="653"/>
      <c r="AJ123" s="653"/>
      <c r="AK123" s="653"/>
      <c r="AL123" s="653"/>
      <c r="AM123" s="653"/>
      <c r="AN123" s="653"/>
      <c r="AO123" s="653"/>
      <c r="AP123" s="653"/>
      <c r="AQ123" s="653"/>
      <c r="AR123" s="653"/>
      <c r="AS123" s="653"/>
      <c r="AT123" s="653"/>
      <c r="AU123" s="653"/>
      <c r="AV123" s="653"/>
    </row>
    <row r="124" spans="1:48" ht="14.5">
      <c r="A124" s="653"/>
      <c r="B124" s="653"/>
      <c r="C124" s="653"/>
      <c r="D124" s="653"/>
      <c r="E124" s="653"/>
      <c r="F124" s="653"/>
      <c r="G124" s="654"/>
      <c r="H124" s="654"/>
      <c r="I124" s="653"/>
      <c r="J124" s="653"/>
      <c r="K124" s="653" t="s">
        <v>3403</v>
      </c>
      <c r="L124" s="653"/>
      <c r="M124" s="653"/>
      <c r="N124" s="653"/>
      <c r="O124" s="653"/>
      <c r="P124" s="653"/>
      <c r="Q124" s="653"/>
      <c r="R124" s="653"/>
      <c r="S124" s="653"/>
      <c r="T124" s="653"/>
      <c r="U124" s="656"/>
      <c r="V124" s="653"/>
      <c r="W124" s="653"/>
      <c r="X124" s="653"/>
      <c r="Y124" s="657"/>
      <c r="Z124" s="615"/>
      <c r="AA124" s="653"/>
      <c r="AB124" s="657"/>
      <c r="AC124" s="653"/>
      <c r="AD124" s="653"/>
      <c r="AE124" s="653"/>
      <c r="AF124" s="653"/>
      <c r="AG124" s="653"/>
      <c r="AH124" s="653"/>
      <c r="AI124" s="653"/>
      <c r="AJ124" s="653"/>
      <c r="AK124" s="653"/>
      <c r="AL124" s="653"/>
      <c r="AM124" s="653"/>
      <c r="AN124" s="653"/>
      <c r="AO124" s="653"/>
      <c r="AP124" s="653"/>
      <c r="AQ124" s="653"/>
      <c r="AR124" s="653"/>
      <c r="AS124" s="653"/>
      <c r="AT124" s="653"/>
      <c r="AU124" s="653"/>
      <c r="AV124" s="653"/>
    </row>
    <row r="125" spans="1:48" ht="14.5">
      <c r="A125" s="653"/>
      <c r="B125" s="653"/>
      <c r="C125" s="653"/>
      <c r="D125" s="653"/>
      <c r="E125" s="653"/>
      <c r="F125" s="653"/>
      <c r="G125" s="654"/>
      <c r="H125" s="654"/>
      <c r="I125" s="653"/>
      <c r="J125" s="653"/>
      <c r="K125" s="655"/>
      <c r="L125" s="653"/>
      <c r="M125" s="653"/>
      <c r="N125" s="653"/>
      <c r="O125" s="653"/>
      <c r="P125" s="653"/>
      <c r="Q125" s="653"/>
      <c r="R125" s="653"/>
      <c r="S125" s="653"/>
      <c r="T125" s="653"/>
      <c r="U125" s="656"/>
      <c r="V125" s="653"/>
      <c r="W125" s="653"/>
      <c r="X125" s="653"/>
      <c r="Y125" s="657"/>
      <c r="Z125" s="615"/>
      <c r="AA125" s="653"/>
      <c r="AB125" s="657"/>
      <c r="AC125" s="653"/>
      <c r="AD125" s="653"/>
      <c r="AE125" s="653"/>
      <c r="AF125" s="653"/>
      <c r="AG125" s="653"/>
      <c r="AH125" s="653"/>
      <c r="AI125" s="653"/>
      <c r="AJ125" s="653"/>
      <c r="AK125" s="653"/>
      <c r="AL125" s="653"/>
      <c r="AM125" s="653"/>
      <c r="AN125" s="653"/>
      <c r="AO125" s="653"/>
      <c r="AP125" s="653"/>
      <c r="AQ125" s="653"/>
      <c r="AR125" s="653"/>
      <c r="AS125" s="653"/>
      <c r="AT125" s="653"/>
      <c r="AU125" s="653"/>
      <c r="AV125" s="653"/>
    </row>
    <row r="126" spans="1:48" ht="14.5">
      <c r="A126" s="653"/>
      <c r="B126" s="653"/>
      <c r="C126" s="653"/>
      <c r="D126" s="653"/>
      <c r="E126" s="653"/>
      <c r="F126" s="653"/>
      <c r="G126" s="654"/>
      <c r="H126" s="654"/>
      <c r="I126" s="653"/>
      <c r="J126" s="653"/>
      <c r="K126" s="655"/>
      <c r="L126" s="653"/>
      <c r="M126" s="653"/>
      <c r="N126" s="653"/>
      <c r="O126" s="653"/>
      <c r="P126" s="653"/>
      <c r="Q126" s="653"/>
      <c r="R126" s="653"/>
      <c r="S126" s="653"/>
      <c r="T126" s="653"/>
      <c r="U126" s="656"/>
      <c r="V126" s="653"/>
      <c r="W126" s="653"/>
      <c r="X126" s="653"/>
      <c r="Y126" s="657"/>
      <c r="Z126" s="615"/>
      <c r="AA126" s="653"/>
      <c r="AB126" s="657"/>
      <c r="AC126" s="653"/>
      <c r="AD126" s="653"/>
      <c r="AE126" s="653"/>
      <c r="AF126" s="653"/>
      <c r="AG126" s="653"/>
      <c r="AH126" s="653"/>
      <c r="AI126" s="653"/>
      <c r="AJ126" s="653"/>
      <c r="AK126" s="653"/>
      <c r="AL126" s="653"/>
      <c r="AM126" s="653"/>
      <c r="AN126" s="653"/>
      <c r="AO126" s="653"/>
      <c r="AP126" s="653"/>
      <c r="AQ126" s="653"/>
      <c r="AR126" s="653"/>
      <c r="AS126" s="653"/>
      <c r="AT126" s="653"/>
      <c r="AU126" s="653"/>
      <c r="AV126" s="653"/>
    </row>
    <row r="127" spans="1:48" ht="14.5">
      <c r="A127" s="653"/>
      <c r="B127" s="653"/>
      <c r="C127" s="653"/>
      <c r="D127" s="653"/>
      <c r="E127" s="653"/>
      <c r="F127" s="653"/>
      <c r="G127" s="654"/>
      <c r="H127" s="654"/>
      <c r="I127" s="653"/>
      <c r="J127" s="653"/>
      <c r="K127" s="655"/>
      <c r="L127" s="653"/>
      <c r="M127" s="653"/>
      <c r="N127" s="653"/>
      <c r="O127" s="653"/>
      <c r="P127" s="653"/>
      <c r="Q127" s="653"/>
      <c r="R127" s="653"/>
      <c r="S127" s="653"/>
      <c r="T127" s="653"/>
      <c r="U127" s="656"/>
      <c r="V127" s="653"/>
      <c r="W127" s="653"/>
      <c r="X127" s="653"/>
      <c r="Y127" s="657"/>
      <c r="Z127" s="615"/>
      <c r="AA127" s="653"/>
      <c r="AB127" s="657"/>
      <c r="AC127" s="653"/>
      <c r="AD127" s="653"/>
      <c r="AE127" s="653"/>
      <c r="AF127" s="653"/>
      <c r="AG127" s="653"/>
      <c r="AH127" s="653"/>
      <c r="AI127" s="653"/>
      <c r="AJ127" s="653"/>
      <c r="AK127" s="653"/>
      <c r="AL127" s="653"/>
      <c r="AM127" s="653"/>
      <c r="AN127" s="653"/>
      <c r="AO127" s="653"/>
      <c r="AP127" s="653"/>
      <c r="AQ127" s="653"/>
      <c r="AR127" s="653"/>
      <c r="AS127" s="653"/>
      <c r="AT127" s="653"/>
      <c r="AU127" s="653"/>
      <c r="AV127" s="653"/>
    </row>
    <row r="128" spans="1:48" ht="14.5">
      <c r="A128" s="653"/>
      <c r="B128" s="653"/>
      <c r="C128" s="653"/>
      <c r="D128" s="653"/>
      <c r="E128" s="653"/>
      <c r="F128" s="653"/>
      <c r="G128" s="654"/>
      <c r="H128" s="654"/>
      <c r="I128" s="653"/>
      <c r="J128" s="653"/>
      <c r="K128" s="655"/>
      <c r="L128" s="653"/>
      <c r="M128" s="653"/>
      <c r="N128" s="653"/>
      <c r="O128" s="653"/>
      <c r="P128" s="653"/>
      <c r="Q128" s="653"/>
      <c r="R128" s="653"/>
      <c r="S128" s="653"/>
      <c r="T128" s="653"/>
      <c r="U128" s="656"/>
      <c r="V128" s="653"/>
      <c r="W128" s="653"/>
      <c r="X128" s="653"/>
      <c r="Y128" s="657"/>
      <c r="Z128" s="615"/>
      <c r="AA128" s="653"/>
      <c r="AB128" s="657"/>
      <c r="AC128" s="653"/>
      <c r="AD128" s="653"/>
      <c r="AE128" s="653"/>
      <c r="AF128" s="653"/>
      <c r="AG128" s="653"/>
      <c r="AH128" s="653"/>
      <c r="AI128" s="653"/>
      <c r="AJ128" s="653"/>
      <c r="AK128" s="653"/>
      <c r="AL128" s="653"/>
      <c r="AM128" s="653"/>
      <c r="AN128" s="653"/>
      <c r="AO128" s="653"/>
      <c r="AP128" s="653"/>
      <c r="AQ128" s="653"/>
      <c r="AR128" s="653"/>
      <c r="AS128" s="653"/>
      <c r="AT128" s="653"/>
      <c r="AU128" s="653"/>
      <c r="AV128" s="653"/>
    </row>
    <row r="129" spans="1:48" ht="14.5">
      <c r="A129" s="653"/>
      <c r="B129" s="653"/>
      <c r="C129" s="653"/>
      <c r="D129" s="653"/>
      <c r="E129" s="653"/>
      <c r="F129" s="653"/>
      <c r="G129" s="654"/>
      <c r="H129" s="654"/>
      <c r="I129" s="653"/>
      <c r="J129" s="653"/>
      <c r="K129" s="655"/>
      <c r="L129" s="653"/>
      <c r="M129" s="653"/>
      <c r="N129" s="653"/>
      <c r="O129" s="653"/>
      <c r="P129" s="653"/>
      <c r="Q129" s="653"/>
      <c r="R129" s="653"/>
      <c r="S129" s="653"/>
      <c r="T129" s="653"/>
      <c r="U129" s="656"/>
      <c r="V129" s="653"/>
      <c r="W129" s="653"/>
      <c r="X129" s="653"/>
      <c r="Y129" s="657"/>
      <c r="Z129" s="615"/>
      <c r="AA129" s="653"/>
      <c r="AB129" s="657"/>
      <c r="AC129" s="653"/>
      <c r="AD129" s="653"/>
      <c r="AE129" s="653"/>
      <c r="AF129" s="653"/>
      <c r="AG129" s="653"/>
      <c r="AH129" s="653"/>
      <c r="AI129" s="653"/>
      <c r="AJ129" s="653"/>
      <c r="AK129" s="653"/>
      <c r="AL129" s="653"/>
      <c r="AM129" s="653"/>
      <c r="AN129" s="653"/>
      <c r="AO129" s="653"/>
      <c r="AP129" s="653"/>
      <c r="AQ129" s="653"/>
      <c r="AR129" s="653"/>
      <c r="AS129" s="653"/>
      <c r="AT129" s="653"/>
      <c r="AU129" s="653"/>
      <c r="AV129" s="653"/>
    </row>
    <row r="130" spans="1:48" ht="14.5">
      <c r="A130" s="653"/>
      <c r="B130" s="653"/>
      <c r="C130" s="653"/>
      <c r="D130" s="653"/>
      <c r="E130" s="653"/>
      <c r="F130" s="653"/>
      <c r="G130" s="654"/>
      <c r="H130" s="654"/>
      <c r="I130" s="653"/>
      <c r="J130" s="653"/>
      <c r="K130" s="655"/>
      <c r="L130" s="653"/>
      <c r="M130" s="653"/>
      <c r="N130" s="653"/>
      <c r="O130" s="653"/>
      <c r="P130" s="653"/>
      <c r="Q130" s="653"/>
      <c r="R130" s="653"/>
      <c r="S130" s="653"/>
      <c r="T130" s="653"/>
      <c r="U130" s="656"/>
      <c r="V130" s="653"/>
      <c r="W130" s="653"/>
      <c r="X130" s="653"/>
      <c r="Y130" s="657"/>
      <c r="Z130" s="615"/>
      <c r="AA130" s="653"/>
      <c r="AB130" s="657"/>
      <c r="AC130" s="653"/>
      <c r="AD130" s="653"/>
      <c r="AE130" s="653"/>
      <c r="AF130" s="653"/>
      <c r="AG130" s="653"/>
      <c r="AH130" s="653"/>
      <c r="AI130" s="653"/>
      <c r="AJ130" s="653"/>
      <c r="AK130" s="653"/>
      <c r="AL130" s="653"/>
      <c r="AM130" s="653"/>
      <c r="AN130" s="653"/>
      <c r="AO130" s="653"/>
      <c r="AP130" s="653"/>
      <c r="AQ130" s="653"/>
      <c r="AR130" s="653"/>
      <c r="AS130" s="653"/>
      <c r="AT130" s="653"/>
      <c r="AU130" s="653"/>
      <c r="AV130" s="653"/>
    </row>
    <row r="131" spans="1:48" ht="14.5">
      <c r="A131" s="653"/>
      <c r="B131" s="653"/>
      <c r="C131" s="653"/>
      <c r="D131" s="653"/>
      <c r="E131" s="653"/>
      <c r="F131" s="653"/>
      <c r="G131" s="654"/>
      <c r="H131" s="654"/>
      <c r="I131" s="653"/>
      <c r="J131" s="653"/>
      <c r="K131" s="655"/>
      <c r="L131" s="653"/>
      <c r="M131" s="653"/>
      <c r="N131" s="653"/>
      <c r="O131" s="653"/>
      <c r="P131" s="653"/>
      <c r="Q131" s="653"/>
      <c r="R131" s="653"/>
      <c r="S131" s="653"/>
      <c r="T131" s="653"/>
      <c r="U131" s="656"/>
      <c r="V131" s="653"/>
      <c r="W131" s="653"/>
      <c r="X131" s="653"/>
      <c r="Y131" s="657"/>
      <c r="Z131" s="615"/>
      <c r="AA131" s="653"/>
      <c r="AB131" s="657"/>
      <c r="AC131" s="653"/>
      <c r="AD131" s="653"/>
      <c r="AE131" s="653"/>
      <c r="AF131" s="653"/>
      <c r="AG131" s="653"/>
      <c r="AH131" s="653"/>
      <c r="AI131" s="653"/>
      <c r="AJ131" s="653"/>
      <c r="AK131" s="653"/>
      <c r="AL131" s="653"/>
      <c r="AM131" s="653"/>
      <c r="AN131" s="653"/>
      <c r="AO131" s="653"/>
      <c r="AP131" s="653"/>
      <c r="AQ131" s="653"/>
      <c r="AR131" s="653"/>
      <c r="AS131" s="653"/>
      <c r="AT131" s="653"/>
      <c r="AU131" s="653"/>
      <c r="AV131" s="653"/>
    </row>
    <row r="132" spans="1:48" ht="14.5">
      <c r="A132" s="653"/>
      <c r="B132" s="653"/>
      <c r="C132" s="653"/>
      <c r="D132" s="653"/>
      <c r="E132" s="653"/>
      <c r="F132" s="653"/>
      <c r="G132" s="654"/>
      <c r="H132" s="654"/>
      <c r="I132" s="653"/>
      <c r="J132" s="653"/>
      <c r="K132" s="655"/>
      <c r="L132" s="653"/>
      <c r="M132" s="653"/>
      <c r="N132" s="653"/>
      <c r="O132" s="653"/>
      <c r="P132" s="653"/>
      <c r="Q132" s="653"/>
      <c r="R132" s="653"/>
      <c r="S132" s="653"/>
      <c r="T132" s="653"/>
      <c r="U132" s="656"/>
      <c r="V132" s="653"/>
      <c r="W132" s="653"/>
      <c r="X132" s="653"/>
      <c r="Y132" s="657"/>
      <c r="Z132" s="615"/>
      <c r="AA132" s="653"/>
      <c r="AB132" s="657"/>
      <c r="AC132" s="653"/>
      <c r="AD132" s="653"/>
      <c r="AE132" s="653"/>
      <c r="AF132" s="653"/>
      <c r="AG132" s="653"/>
      <c r="AH132" s="653"/>
      <c r="AI132" s="653"/>
      <c r="AJ132" s="653"/>
      <c r="AK132" s="653"/>
      <c r="AL132" s="653"/>
      <c r="AM132" s="653"/>
      <c r="AN132" s="653"/>
      <c r="AO132" s="653"/>
      <c r="AP132" s="653"/>
      <c r="AQ132" s="653"/>
      <c r="AR132" s="653"/>
      <c r="AS132" s="653"/>
      <c r="AT132" s="653"/>
      <c r="AU132" s="653"/>
      <c r="AV132" s="653"/>
    </row>
    <row r="133" spans="1:48" ht="14.5">
      <c r="A133" s="653"/>
      <c r="B133" s="653"/>
      <c r="C133" s="653"/>
      <c r="D133" s="653"/>
      <c r="E133" s="653"/>
      <c r="F133" s="653"/>
      <c r="G133" s="654"/>
      <c r="H133" s="654"/>
      <c r="I133" s="653"/>
      <c r="J133" s="653"/>
      <c r="K133" s="655"/>
      <c r="L133" s="653"/>
      <c r="M133" s="653"/>
      <c r="N133" s="653"/>
      <c r="O133" s="653"/>
      <c r="P133" s="653"/>
      <c r="Q133" s="653"/>
      <c r="R133" s="653"/>
      <c r="S133" s="653"/>
      <c r="T133" s="653"/>
      <c r="U133" s="656"/>
      <c r="V133" s="653"/>
      <c r="W133" s="653"/>
      <c r="X133" s="653"/>
      <c r="Y133" s="657"/>
      <c r="Z133" s="615"/>
      <c r="AA133" s="653"/>
      <c r="AB133" s="657"/>
      <c r="AC133" s="653"/>
      <c r="AD133" s="653"/>
      <c r="AE133" s="653"/>
      <c r="AF133" s="653"/>
      <c r="AG133" s="653"/>
      <c r="AH133" s="653"/>
      <c r="AI133" s="653"/>
      <c r="AJ133" s="653"/>
      <c r="AK133" s="653"/>
      <c r="AL133" s="653"/>
      <c r="AM133" s="653"/>
      <c r="AN133" s="653"/>
      <c r="AO133" s="653"/>
      <c r="AP133" s="653"/>
      <c r="AQ133" s="653"/>
      <c r="AR133" s="653"/>
      <c r="AS133" s="653"/>
      <c r="AT133" s="653"/>
      <c r="AU133" s="653"/>
      <c r="AV133" s="653"/>
    </row>
    <row r="134" spans="1:48" ht="14.5">
      <c r="A134" s="653"/>
      <c r="B134" s="653"/>
      <c r="C134" s="653"/>
      <c r="D134" s="653"/>
      <c r="E134" s="653"/>
      <c r="F134" s="653"/>
      <c r="G134" s="654"/>
      <c r="H134" s="654"/>
      <c r="I134" s="653"/>
      <c r="J134" s="653"/>
      <c r="K134" s="655"/>
      <c r="L134" s="653"/>
      <c r="M134" s="653"/>
      <c r="N134" s="653"/>
      <c r="O134" s="653"/>
      <c r="P134" s="653"/>
      <c r="Q134" s="653"/>
      <c r="R134" s="653"/>
      <c r="S134" s="653"/>
      <c r="T134" s="653"/>
      <c r="U134" s="656"/>
      <c r="V134" s="653"/>
      <c r="W134" s="653"/>
      <c r="X134" s="653"/>
      <c r="Y134" s="657"/>
      <c r="Z134" s="615"/>
      <c r="AA134" s="653"/>
      <c r="AB134" s="657"/>
      <c r="AC134" s="653"/>
      <c r="AD134" s="653"/>
      <c r="AE134" s="653"/>
      <c r="AF134" s="653"/>
      <c r="AG134" s="653"/>
      <c r="AH134" s="653"/>
      <c r="AI134" s="653"/>
      <c r="AJ134" s="653"/>
      <c r="AK134" s="653"/>
      <c r="AL134" s="653"/>
      <c r="AM134" s="653"/>
      <c r="AN134" s="653"/>
      <c r="AO134" s="653"/>
      <c r="AP134" s="653"/>
      <c r="AQ134" s="653"/>
      <c r="AR134" s="653"/>
      <c r="AS134" s="653"/>
      <c r="AT134" s="653"/>
      <c r="AU134" s="653"/>
      <c r="AV134" s="653"/>
    </row>
    <row r="135" spans="1:48" ht="14.5">
      <c r="A135" s="653"/>
      <c r="B135" s="653"/>
      <c r="C135" s="653"/>
      <c r="D135" s="653"/>
      <c r="E135" s="653"/>
      <c r="F135" s="653"/>
      <c r="G135" s="654"/>
      <c r="H135" s="654"/>
      <c r="I135" s="653"/>
      <c r="J135" s="653"/>
      <c r="K135" s="655"/>
      <c r="L135" s="653"/>
      <c r="M135" s="653"/>
      <c r="N135" s="653"/>
      <c r="O135" s="653"/>
      <c r="P135" s="653"/>
      <c r="Q135" s="653"/>
      <c r="R135" s="653"/>
      <c r="S135" s="653"/>
      <c r="T135" s="653"/>
      <c r="U135" s="656"/>
      <c r="V135" s="653"/>
      <c r="W135" s="653"/>
      <c r="X135" s="653"/>
      <c r="Y135" s="657"/>
      <c r="Z135" s="615"/>
      <c r="AA135" s="653"/>
      <c r="AB135" s="657"/>
      <c r="AC135" s="653"/>
      <c r="AD135" s="653"/>
      <c r="AE135" s="653"/>
      <c r="AF135" s="653"/>
      <c r="AG135" s="653"/>
      <c r="AH135" s="653"/>
      <c r="AI135" s="653"/>
      <c r="AJ135" s="653"/>
      <c r="AK135" s="653"/>
      <c r="AL135" s="653"/>
      <c r="AM135" s="653"/>
      <c r="AN135" s="653"/>
      <c r="AO135" s="653"/>
      <c r="AP135" s="653"/>
      <c r="AQ135" s="653"/>
      <c r="AR135" s="653"/>
      <c r="AS135" s="653"/>
      <c r="AT135" s="653"/>
      <c r="AU135" s="653"/>
      <c r="AV135" s="653"/>
    </row>
    <row r="136" spans="1:48" ht="14.5">
      <c r="A136" s="653"/>
      <c r="B136" s="653"/>
      <c r="C136" s="653"/>
      <c r="D136" s="653"/>
      <c r="E136" s="653"/>
      <c r="F136" s="653"/>
      <c r="G136" s="654"/>
      <c r="H136" s="654"/>
      <c r="I136" s="653"/>
      <c r="J136" s="653"/>
      <c r="K136" s="655"/>
      <c r="L136" s="653"/>
      <c r="M136" s="653"/>
      <c r="N136" s="653"/>
      <c r="O136" s="653"/>
      <c r="P136" s="653"/>
      <c r="Q136" s="653"/>
      <c r="R136" s="653"/>
      <c r="S136" s="653"/>
      <c r="T136" s="653"/>
      <c r="U136" s="656"/>
      <c r="V136" s="653"/>
      <c r="W136" s="653"/>
      <c r="X136" s="653"/>
      <c r="Y136" s="657"/>
      <c r="Z136" s="615"/>
      <c r="AA136" s="653"/>
      <c r="AB136" s="657"/>
      <c r="AC136" s="653"/>
      <c r="AD136" s="653"/>
      <c r="AE136" s="653"/>
      <c r="AF136" s="653"/>
      <c r="AG136" s="653"/>
      <c r="AH136" s="653"/>
      <c r="AI136" s="653"/>
      <c r="AJ136" s="653"/>
      <c r="AK136" s="653"/>
      <c r="AL136" s="653"/>
      <c r="AM136" s="653"/>
      <c r="AN136" s="653"/>
      <c r="AO136" s="653"/>
      <c r="AP136" s="653"/>
      <c r="AQ136" s="653"/>
      <c r="AR136" s="653"/>
      <c r="AS136" s="653"/>
      <c r="AT136" s="653"/>
      <c r="AU136" s="653"/>
      <c r="AV136" s="653"/>
    </row>
    <row r="137" spans="1:48" ht="14.5">
      <c r="A137" s="653"/>
      <c r="B137" s="653"/>
      <c r="C137" s="653"/>
      <c r="D137" s="653"/>
      <c r="E137" s="653"/>
      <c r="F137" s="653"/>
      <c r="G137" s="654"/>
      <c r="H137" s="654"/>
      <c r="I137" s="653"/>
      <c r="J137" s="653"/>
      <c r="K137" s="655"/>
      <c r="L137" s="653"/>
      <c r="M137" s="653"/>
      <c r="N137" s="653"/>
      <c r="O137" s="653"/>
      <c r="P137" s="653"/>
      <c r="Q137" s="653"/>
      <c r="R137" s="653"/>
      <c r="S137" s="653"/>
      <c r="T137" s="653"/>
      <c r="U137" s="656"/>
      <c r="V137" s="653"/>
      <c r="W137" s="653"/>
      <c r="X137" s="653"/>
      <c r="Y137" s="657"/>
      <c r="Z137" s="615"/>
      <c r="AA137" s="653"/>
      <c r="AB137" s="657"/>
      <c r="AC137" s="653"/>
      <c r="AD137" s="653"/>
      <c r="AE137" s="653"/>
      <c r="AF137" s="653"/>
      <c r="AG137" s="653"/>
      <c r="AH137" s="653"/>
      <c r="AI137" s="653"/>
      <c r="AJ137" s="653"/>
      <c r="AK137" s="653"/>
      <c r="AL137" s="653"/>
      <c r="AM137" s="653"/>
      <c r="AN137" s="653"/>
      <c r="AO137" s="653"/>
      <c r="AP137" s="653"/>
      <c r="AQ137" s="653"/>
      <c r="AR137" s="653"/>
      <c r="AS137" s="653"/>
      <c r="AT137" s="653"/>
      <c r="AU137" s="653"/>
      <c r="AV137" s="653"/>
    </row>
    <row r="138" spans="1:48" ht="14.5">
      <c r="A138" s="653"/>
      <c r="B138" s="653"/>
      <c r="C138" s="653"/>
      <c r="D138" s="653"/>
      <c r="E138" s="653"/>
      <c r="F138" s="653"/>
      <c r="G138" s="654"/>
      <c r="H138" s="654"/>
      <c r="I138" s="653"/>
      <c r="J138" s="653"/>
      <c r="K138" s="655"/>
      <c r="L138" s="653"/>
      <c r="M138" s="653"/>
      <c r="N138" s="653"/>
      <c r="O138" s="653"/>
      <c r="P138" s="653"/>
      <c r="Q138" s="653"/>
      <c r="R138" s="653"/>
      <c r="S138" s="653"/>
      <c r="T138" s="653"/>
      <c r="U138" s="656"/>
      <c r="V138" s="653"/>
      <c r="W138" s="653"/>
      <c r="X138" s="653"/>
      <c r="Y138" s="657"/>
      <c r="Z138" s="615"/>
      <c r="AA138" s="653"/>
      <c r="AB138" s="657"/>
      <c r="AC138" s="653"/>
      <c r="AD138" s="653"/>
      <c r="AE138" s="653"/>
      <c r="AF138" s="653"/>
      <c r="AG138" s="653"/>
      <c r="AH138" s="653"/>
      <c r="AI138" s="653"/>
      <c r="AJ138" s="653"/>
      <c r="AK138" s="653"/>
      <c r="AL138" s="653"/>
      <c r="AM138" s="653"/>
      <c r="AN138" s="653"/>
      <c r="AO138" s="653"/>
      <c r="AP138" s="653"/>
      <c r="AQ138" s="653"/>
      <c r="AR138" s="653"/>
      <c r="AS138" s="653"/>
      <c r="AT138" s="653"/>
      <c r="AU138" s="653"/>
      <c r="AV138" s="653"/>
    </row>
    <row r="139" spans="1:48" ht="14.5">
      <c r="A139" s="653"/>
      <c r="B139" s="653"/>
      <c r="C139" s="653"/>
      <c r="D139" s="653"/>
      <c r="E139" s="653"/>
      <c r="F139" s="653"/>
      <c r="G139" s="654"/>
      <c r="H139" s="654"/>
      <c r="I139" s="653"/>
      <c r="J139" s="653"/>
      <c r="K139" s="655"/>
      <c r="L139" s="653"/>
      <c r="M139" s="653"/>
      <c r="N139" s="653"/>
      <c r="O139" s="653"/>
      <c r="P139" s="653"/>
      <c r="Q139" s="653"/>
      <c r="R139" s="653"/>
      <c r="S139" s="653"/>
      <c r="T139" s="653"/>
      <c r="U139" s="656"/>
      <c r="V139" s="653"/>
      <c r="W139" s="653"/>
      <c r="X139" s="653"/>
      <c r="Y139" s="657"/>
      <c r="Z139" s="615"/>
      <c r="AA139" s="653"/>
      <c r="AB139" s="657"/>
      <c r="AC139" s="653"/>
      <c r="AD139" s="653"/>
      <c r="AE139" s="653"/>
      <c r="AF139" s="653"/>
      <c r="AG139" s="653"/>
      <c r="AH139" s="653"/>
      <c r="AI139" s="653"/>
      <c r="AJ139" s="653"/>
      <c r="AK139" s="653"/>
      <c r="AL139" s="653"/>
      <c r="AM139" s="653"/>
      <c r="AN139" s="653"/>
      <c r="AO139" s="653"/>
      <c r="AP139" s="653"/>
      <c r="AQ139" s="653"/>
      <c r="AR139" s="653"/>
      <c r="AS139" s="653"/>
      <c r="AT139" s="653"/>
      <c r="AU139" s="653"/>
      <c r="AV139" s="653"/>
    </row>
    <row r="140" spans="1:48" ht="14.5">
      <c r="A140" s="653"/>
      <c r="B140" s="653"/>
      <c r="C140" s="653"/>
      <c r="D140" s="653"/>
      <c r="E140" s="653"/>
      <c r="F140" s="653"/>
      <c r="G140" s="654"/>
      <c r="H140" s="654"/>
      <c r="I140" s="653"/>
      <c r="J140" s="653"/>
      <c r="K140" s="655"/>
      <c r="L140" s="653"/>
      <c r="M140" s="653"/>
      <c r="N140" s="653"/>
      <c r="O140" s="653"/>
      <c r="P140" s="653"/>
      <c r="Q140" s="653"/>
      <c r="R140" s="653"/>
      <c r="S140" s="653"/>
      <c r="T140" s="653"/>
      <c r="U140" s="656"/>
      <c r="V140" s="653"/>
      <c r="W140" s="653"/>
      <c r="X140" s="653"/>
      <c r="Y140" s="657"/>
      <c r="Z140" s="615"/>
      <c r="AA140" s="653"/>
      <c r="AB140" s="657"/>
      <c r="AC140" s="653"/>
      <c r="AD140" s="653"/>
      <c r="AE140" s="653"/>
      <c r="AF140" s="653"/>
      <c r="AG140" s="653"/>
      <c r="AH140" s="653"/>
      <c r="AI140" s="653"/>
      <c r="AJ140" s="653"/>
      <c r="AK140" s="653"/>
      <c r="AL140" s="653"/>
      <c r="AM140" s="653"/>
      <c r="AN140" s="653"/>
      <c r="AO140" s="653"/>
      <c r="AP140" s="653"/>
      <c r="AQ140" s="653"/>
      <c r="AR140" s="653"/>
      <c r="AS140" s="653"/>
      <c r="AT140" s="653"/>
      <c r="AU140" s="653"/>
      <c r="AV140" s="653"/>
    </row>
    <row r="141" spans="1:48" ht="14.5">
      <c r="A141" s="653"/>
      <c r="B141" s="653"/>
      <c r="C141" s="653"/>
      <c r="D141" s="653"/>
      <c r="E141" s="653"/>
      <c r="F141" s="653"/>
      <c r="G141" s="654"/>
      <c r="H141" s="654"/>
      <c r="I141" s="653"/>
      <c r="J141" s="653"/>
      <c r="K141" s="655"/>
      <c r="L141" s="653"/>
      <c r="M141" s="653"/>
      <c r="N141" s="653"/>
      <c r="O141" s="653"/>
      <c r="P141" s="653"/>
      <c r="Q141" s="653"/>
      <c r="R141" s="653"/>
      <c r="S141" s="653"/>
      <c r="T141" s="653"/>
      <c r="U141" s="656"/>
      <c r="V141" s="653"/>
      <c r="W141" s="653"/>
      <c r="X141" s="653"/>
      <c r="Y141" s="657"/>
      <c r="Z141" s="615"/>
      <c r="AA141" s="653"/>
      <c r="AB141" s="657"/>
      <c r="AC141" s="653"/>
      <c r="AD141" s="653"/>
      <c r="AE141" s="653"/>
      <c r="AF141" s="653"/>
      <c r="AG141" s="653"/>
      <c r="AH141" s="653"/>
      <c r="AI141" s="653"/>
      <c r="AJ141" s="653"/>
      <c r="AK141" s="653"/>
      <c r="AL141" s="653"/>
      <c r="AM141" s="653"/>
      <c r="AN141" s="653"/>
      <c r="AO141" s="653"/>
      <c r="AP141" s="653"/>
      <c r="AQ141" s="653"/>
      <c r="AR141" s="653"/>
      <c r="AS141" s="653"/>
      <c r="AT141" s="653"/>
      <c r="AU141" s="653"/>
      <c r="AV141" s="653"/>
    </row>
    <row r="142" spans="1:48" ht="14.5">
      <c r="A142" s="653"/>
      <c r="B142" s="653"/>
      <c r="C142" s="653"/>
      <c r="D142" s="653"/>
      <c r="E142" s="653"/>
      <c r="F142" s="653"/>
      <c r="G142" s="654"/>
      <c r="H142" s="654"/>
      <c r="I142" s="653"/>
      <c r="J142" s="653"/>
      <c r="K142" s="655"/>
      <c r="L142" s="653"/>
      <c r="M142" s="653"/>
      <c r="N142" s="653"/>
      <c r="O142" s="653"/>
      <c r="P142" s="653"/>
      <c r="Q142" s="653"/>
      <c r="R142" s="653"/>
      <c r="S142" s="653"/>
      <c r="T142" s="653"/>
      <c r="U142" s="656"/>
      <c r="V142" s="653"/>
      <c r="W142" s="653"/>
      <c r="X142" s="653"/>
      <c r="Y142" s="657"/>
      <c r="Z142" s="615"/>
      <c r="AA142" s="653"/>
      <c r="AB142" s="657"/>
      <c r="AC142" s="653"/>
      <c r="AD142" s="653"/>
      <c r="AE142" s="653"/>
      <c r="AF142" s="653"/>
      <c r="AG142" s="653"/>
      <c r="AH142" s="653"/>
      <c r="AI142" s="653"/>
      <c r="AJ142" s="653"/>
      <c r="AK142" s="653"/>
      <c r="AL142" s="653"/>
      <c r="AM142" s="653"/>
      <c r="AN142" s="653"/>
      <c r="AO142" s="653"/>
      <c r="AP142" s="653"/>
      <c r="AQ142" s="653"/>
      <c r="AR142" s="653"/>
      <c r="AS142" s="653"/>
      <c r="AT142" s="653"/>
      <c r="AU142" s="653"/>
      <c r="AV142" s="653"/>
    </row>
    <row r="143" spans="1:48" ht="14.5">
      <c r="A143" s="653"/>
      <c r="B143" s="653"/>
      <c r="C143" s="653"/>
      <c r="D143" s="653"/>
      <c r="E143" s="653"/>
      <c r="F143" s="653"/>
      <c r="G143" s="654"/>
      <c r="H143" s="654"/>
      <c r="I143" s="653"/>
      <c r="J143" s="653"/>
      <c r="K143" s="655"/>
      <c r="L143" s="653"/>
      <c r="M143" s="653"/>
      <c r="N143" s="653"/>
      <c r="O143" s="653"/>
      <c r="P143" s="653"/>
      <c r="Q143" s="653"/>
      <c r="R143" s="653"/>
      <c r="S143" s="653"/>
      <c r="T143" s="653"/>
      <c r="U143" s="656"/>
      <c r="V143" s="653"/>
      <c r="W143" s="653"/>
      <c r="X143" s="653"/>
      <c r="Y143" s="657"/>
      <c r="Z143" s="615"/>
      <c r="AA143" s="653"/>
      <c r="AB143" s="657"/>
      <c r="AC143" s="653"/>
      <c r="AD143" s="653"/>
      <c r="AE143" s="653"/>
      <c r="AF143" s="653"/>
      <c r="AG143" s="653"/>
      <c r="AH143" s="653"/>
      <c r="AI143" s="653"/>
      <c r="AJ143" s="653"/>
      <c r="AK143" s="653"/>
      <c r="AL143" s="653"/>
      <c r="AM143" s="653"/>
      <c r="AN143" s="653"/>
      <c r="AO143" s="653"/>
      <c r="AP143" s="653"/>
      <c r="AQ143" s="653"/>
      <c r="AR143" s="653"/>
      <c r="AS143" s="653"/>
      <c r="AT143" s="653"/>
      <c r="AU143" s="653"/>
      <c r="AV143" s="653"/>
    </row>
    <row r="144" spans="1:48" ht="14.5">
      <c r="A144" s="653"/>
      <c r="B144" s="653"/>
      <c r="C144" s="653"/>
      <c r="D144" s="653"/>
      <c r="E144" s="653"/>
      <c r="F144" s="653"/>
      <c r="G144" s="654"/>
      <c r="H144" s="654"/>
      <c r="I144" s="653"/>
      <c r="J144" s="653"/>
      <c r="K144" s="655"/>
      <c r="L144" s="653"/>
      <c r="M144" s="653"/>
      <c r="N144" s="653"/>
      <c r="O144" s="653"/>
      <c r="P144" s="653"/>
      <c r="Q144" s="653"/>
      <c r="R144" s="653"/>
      <c r="S144" s="653"/>
      <c r="T144" s="653"/>
      <c r="U144" s="656"/>
      <c r="V144" s="653"/>
      <c r="W144" s="653"/>
      <c r="X144" s="653"/>
      <c r="Y144" s="657"/>
      <c r="Z144" s="615"/>
      <c r="AA144" s="653"/>
      <c r="AB144" s="657"/>
      <c r="AC144" s="653"/>
      <c r="AD144" s="653"/>
      <c r="AE144" s="653"/>
      <c r="AF144" s="653"/>
      <c r="AG144" s="653"/>
      <c r="AH144" s="653"/>
      <c r="AI144" s="653"/>
      <c r="AJ144" s="653"/>
      <c r="AK144" s="653"/>
      <c r="AL144" s="653"/>
      <c r="AM144" s="653"/>
      <c r="AN144" s="653"/>
      <c r="AO144" s="653"/>
      <c r="AP144" s="653"/>
      <c r="AQ144" s="653"/>
      <c r="AR144" s="653"/>
      <c r="AS144" s="653"/>
      <c r="AT144" s="653"/>
      <c r="AU144" s="653"/>
      <c r="AV144" s="653"/>
    </row>
    <row r="145" spans="1:48" ht="14.5">
      <c r="A145" s="653"/>
      <c r="B145" s="653"/>
      <c r="C145" s="653"/>
      <c r="D145" s="653"/>
      <c r="E145" s="653"/>
      <c r="F145" s="653"/>
      <c r="G145" s="654"/>
      <c r="H145" s="654"/>
      <c r="I145" s="653"/>
      <c r="J145" s="653"/>
      <c r="K145" s="655"/>
      <c r="L145" s="653"/>
      <c r="M145" s="653"/>
      <c r="N145" s="653"/>
      <c r="O145" s="653"/>
      <c r="P145" s="653"/>
      <c r="Q145" s="653"/>
      <c r="R145" s="653"/>
      <c r="S145" s="653"/>
      <c r="T145" s="653"/>
      <c r="U145" s="656"/>
      <c r="V145" s="653"/>
      <c r="W145" s="653"/>
      <c r="X145" s="653"/>
      <c r="Y145" s="657"/>
      <c r="Z145" s="615"/>
      <c r="AA145" s="653"/>
      <c r="AB145" s="657"/>
      <c r="AC145" s="653"/>
      <c r="AD145" s="653"/>
      <c r="AE145" s="653"/>
      <c r="AF145" s="653"/>
      <c r="AG145" s="653"/>
      <c r="AH145" s="653"/>
      <c r="AI145" s="653"/>
      <c r="AJ145" s="653"/>
      <c r="AK145" s="653"/>
      <c r="AL145" s="653"/>
      <c r="AM145" s="653"/>
      <c r="AN145" s="653"/>
      <c r="AO145" s="653"/>
      <c r="AP145" s="653"/>
      <c r="AQ145" s="653"/>
      <c r="AR145" s="653"/>
      <c r="AS145" s="653"/>
      <c r="AT145" s="653"/>
      <c r="AU145" s="653"/>
      <c r="AV145" s="653"/>
    </row>
    <row r="146" spans="1:48" ht="14.5">
      <c r="A146" s="653"/>
      <c r="B146" s="653"/>
      <c r="C146" s="653"/>
      <c r="D146" s="653"/>
      <c r="E146" s="653"/>
      <c r="F146" s="653"/>
      <c r="G146" s="654"/>
      <c r="H146" s="654"/>
      <c r="I146" s="653"/>
      <c r="J146" s="653"/>
      <c r="K146" s="655"/>
      <c r="L146" s="653"/>
      <c r="M146" s="653"/>
      <c r="N146" s="653"/>
      <c r="O146" s="653"/>
      <c r="P146" s="653"/>
      <c r="Q146" s="653"/>
      <c r="R146" s="653"/>
      <c r="S146" s="653"/>
      <c r="T146" s="653"/>
      <c r="U146" s="656"/>
      <c r="V146" s="653"/>
      <c r="W146" s="653"/>
      <c r="X146" s="653"/>
      <c r="Y146" s="657"/>
      <c r="Z146" s="615"/>
      <c r="AA146" s="653"/>
      <c r="AB146" s="657"/>
      <c r="AC146" s="653"/>
      <c r="AD146" s="653"/>
      <c r="AE146" s="653"/>
      <c r="AF146" s="653"/>
      <c r="AG146" s="653"/>
      <c r="AH146" s="653"/>
      <c r="AI146" s="653"/>
      <c r="AJ146" s="653"/>
      <c r="AK146" s="653"/>
      <c r="AL146" s="653"/>
      <c r="AM146" s="653"/>
      <c r="AN146" s="653"/>
      <c r="AO146" s="653"/>
      <c r="AP146" s="653"/>
      <c r="AQ146" s="653"/>
      <c r="AR146" s="653"/>
      <c r="AS146" s="653"/>
      <c r="AT146" s="653"/>
      <c r="AU146" s="653"/>
      <c r="AV146" s="653"/>
    </row>
    <row r="147" spans="1:48" ht="14.5">
      <c r="A147" s="653"/>
      <c r="B147" s="653"/>
      <c r="C147" s="653"/>
      <c r="D147" s="653"/>
      <c r="E147" s="653"/>
      <c r="F147" s="653"/>
      <c r="G147" s="654"/>
      <c r="H147" s="654"/>
      <c r="I147" s="653"/>
      <c r="J147" s="653"/>
      <c r="K147" s="655"/>
      <c r="L147" s="653"/>
      <c r="M147" s="653"/>
      <c r="N147" s="653"/>
      <c r="O147" s="653"/>
      <c r="P147" s="653"/>
      <c r="Q147" s="653"/>
      <c r="R147" s="653"/>
      <c r="S147" s="653"/>
      <c r="T147" s="653"/>
      <c r="U147" s="656"/>
      <c r="V147" s="653"/>
      <c r="W147" s="653"/>
      <c r="X147" s="653"/>
      <c r="Y147" s="657"/>
      <c r="Z147" s="615"/>
      <c r="AA147" s="653"/>
      <c r="AB147" s="657"/>
      <c r="AC147" s="653"/>
      <c r="AD147" s="653"/>
      <c r="AE147" s="653"/>
      <c r="AF147" s="653"/>
      <c r="AG147" s="653"/>
      <c r="AH147" s="653"/>
      <c r="AI147" s="653"/>
      <c r="AJ147" s="653"/>
      <c r="AK147" s="653"/>
      <c r="AL147" s="653"/>
      <c r="AM147" s="653"/>
      <c r="AN147" s="653"/>
      <c r="AO147" s="653"/>
      <c r="AP147" s="653"/>
      <c r="AQ147" s="653"/>
      <c r="AR147" s="653"/>
      <c r="AS147" s="653"/>
      <c r="AT147" s="653"/>
      <c r="AU147" s="653"/>
      <c r="AV147" s="653"/>
    </row>
    <row r="148" spans="1:48" ht="14.5">
      <c r="A148" s="653"/>
      <c r="B148" s="653"/>
      <c r="C148" s="653"/>
      <c r="D148" s="653"/>
      <c r="E148" s="653"/>
      <c r="F148" s="653"/>
      <c r="G148" s="654"/>
      <c r="H148" s="654"/>
      <c r="I148" s="653"/>
      <c r="J148" s="653"/>
      <c r="K148" s="655"/>
      <c r="L148" s="653"/>
      <c r="M148" s="653"/>
      <c r="N148" s="653"/>
      <c r="O148" s="653"/>
      <c r="P148" s="653"/>
      <c r="Q148" s="653"/>
      <c r="R148" s="653"/>
      <c r="S148" s="653"/>
      <c r="T148" s="653"/>
      <c r="U148" s="656"/>
      <c r="V148" s="653"/>
      <c r="W148" s="653"/>
      <c r="X148" s="653"/>
      <c r="Y148" s="657"/>
      <c r="Z148" s="615"/>
      <c r="AA148" s="653"/>
      <c r="AB148" s="657"/>
      <c r="AC148" s="653"/>
      <c r="AD148" s="653"/>
      <c r="AE148" s="653"/>
      <c r="AF148" s="653"/>
      <c r="AG148" s="653"/>
      <c r="AH148" s="653"/>
      <c r="AI148" s="653"/>
      <c r="AJ148" s="653"/>
      <c r="AK148" s="653"/>
      <c r="AL148" s="653"/>
      <c r="AM148" s="653"/>
      <c r="AN148" s="653"/>
      <c r="AO148" s="653"/>
      <c r="AP148" s="653"/>
      <c r="AQ148" s="653"/>
      <c r="AR148" s="653"/>
      <c r="AS148" s="653"/>
      <c r="AT148" s="653"/>
      <c r="AU148" s="653"/>
      <c r="AV148" s="653"/>
    </row>
    <row r="149" spans="1:48" ht="14.5">
      <c r="A149" s="653"/>
      <c r="B149" s="653"/>
      <c r="C149" s="653"/>
      <c r="D149" s="653"/>
      <c r="E149" s="653"/>
      <c r="F149" s="653"/>
      <c r="G149" s="654"/>
      <c r="H149" s="654"/>
      <c r="I149" s="653"/>
      <c r="J149" s="653"/>
      <c r="K149" s="655"/>
      <c r="L149" s="653"/>
      <c r="M149" s="653"/>
      <c r="N149" s="653"/>
      <c r="O149" s="653"/>
      <c r="P149" s="653"/>
      <c r="Q149" s="653"/>
      <c r="R149" s="653"/>
      <c r="S149" s="653"/>
      <c r="T149" s="653"/>
      <c r="U149" s="656"/>
      <c r="V149" s="653"/>
      <c r="W149" s="653"/>
      <c r="X149" s="653"/>
      <c r="Y149" s="657"/>
      <c r="Z149" s="615"/>
      <c r="AA149" s="653"/>
      <c r="AB149" s="657"/>
      <c r="AC149" s="653"/>
      <c r="AD149" s="653"/>
      <c r="AE149" s="653"/>
      <c r="AF149" s="653"/>
      <c r="AG149" s="653"/>
      <c r="AH149" s="653"/>
      <c r="AI149" s="653"/>
      <c r="AJ149" s="653"/>
      <c r="AK149" s="653"/>
      <c r="AL149" s="653"/>
      <c r="AM149" s="653"/>
      <c r="AN149" s="653"/>
      <c r="AO149" s="653"/>
      <c r="AP149" s="653"/>
      <c r="AQ149" s="653"/>
      <c r="AR149" s="653"/>
      <c r="AS149" s="653"/>
      <c r="AT149" s="653"/>
      <c r="AU149" s="653"/>
      <c r="AV149" s="653"/>
    </row>
    <row r="150" spans="1:48" ht="14.5">
      <c r="A150" s="653"/>
      <c r="B150" s="653"/>
      <c r="C150" s="653"/>
      <c r="D150" s="653"/>
      <c r="E150" s="653"/>
      <c r="F150" s="653"/>
      <c r="G150" s="654"/>
      <c r="H150" s="654"/>
      <c r="I150" s="653"/>
      <c r="J150" s="653"/>
      <c r="K150" s="655"/>
      <c r="L150" s="653"/>
      <c r="M150" s="653"/>
      <c r="N150" s="653"/>
      <c r="O150" s="653"/>
      <c r="P150" s="653"/>
      <c r="Q150" s="653"/>
      <c r="R150" s="653"/>
      <c r="S150" s="653"/>
      <c r="T150" s="653"/>
      <c r="U150" s="656"/>
      <c r="V150" s="653"/>
      <c r="W150" s="653"/>
      <c r="X150" s="653"/>
      <c r="Y150" s="657"/>
      <c r="Z150" s="615"/>
      <c r="AA150" s="653"/>
      <c r="AB150" s="657"/>
      <c r="AC150" s="653"/>
      <c r="AD150" s="653"/>
      <c r="AE150" s="653"/>
      <c r="AF150" s="653"/>
      <c r="AG150" s="653"/>
      <c r="AH150" s="653"/>
      <c r="AI150" s="653"/>
      <c r="AJ150" s="653"/>
      <c r="AK150" s="653"/>
      <c r="AL150" s="653"/>
      <c r="AM150" s="653"/>
      <c r="AN150" s="653"/>
      <c r="AO150" s="653"/>
      <c r="AP150" s="653"/>
      <c r="AQ150" s="653"/>
      <c r="AR150" s="653"/>
      <c r="AS150" s="653"/>
      <c r="AT150" s="653"/>
      <c r="AU150" s="653"/>
      <c r="AV150" s="653"/>
    </row>
    <row r="151" spans="1:48" ht="14.5">
      <c r="A151" s="653"/>
      <c r="B151" s="653"/>
      <c r="C151" s="653"/>
      <c r="D151" s="653"/>
      <c r="E151" s="653"/>
      <c r="F151" s="653"/>
      <c r="G151" s="654"/>
      <c r="H151" s="654"/>
      <c r="I151" s="653"/>
      <c r="J151" s="653"/>
      <c r="K151" s="655"/>
      <c r="L151" s="653"/>
      <c r="M151" s="653"/>
      <c r="N151" s="653"/>
      <c r="O151" s="653"/>
      <c r="P151" s="653"/>
      <c r="Q151" s="653"/>
      <c r="R151" s="653"/>
      <c r="S151" s="653"/>
      <c r="T151" s="653"/>
      <c r="U151" s="656"/>
      <c r="V151" s="653"/>
      <c r="W151" s="653"/>
      <c r="X151" s="653"/>
      <c r="Y151" s="657"/>
      <c r="Z151" s="615"/>
      <c r="AA151" s="653"/>
      <c r="AB151" s="657"/>
      <c r="AC151" s="653"/>
      <c r="AD151" s="653"/>
      <c r="AE151" s="653"/>
      <c r="AF151" s="653"/>
      <c r="AG151" s="653"/>
      <c r="AH151" s="653"/>
      <c r="AI151" s="653"/>
      <c r="AJ151" s="653"/>
      <c r="AK151" s="653"/>
      <c r="AL151" s="653"/>
      <c r="AM151" s="653"/>
      <c r="AN151" s="653"/>
      <c r="AO151" s="653"/>
      <c r="AP151" s="653"/>
      <c r="AQ151" s="653"/>
      <c r="AR151" s="653"/>
      <c r="AS151" s="653"/>
      <c r="AT151" s="653"/>
      <c r="AU151" s="653"/>
      <c r="AV151" s="653"/>
    </row>
    <row r="152" spans="1:48" ht="14.5">
      <c r="A152" s="653"/>
      <c r="B152" s="653"/>
      <c r="C152" s="653"/>
      <c r="D152" s="653"/>
      <c r="E152" s="653"/>
      <c r="F152" s="653"/>
      <c r="G152" s="654"/>
      <c r="H152" s="654"/>
      <c r="I152" s="653"/>
      <c r="J152" s="653"/>
      <c r="K152" s="655"/>
      <c r="L152" s="653"/>
      <c r="M152" s="653"/>
      <c r="N152" s="653"/>
      <c r="O152" s="653"/>
      <c r="P152" s="653"/>
      <c r="Q152" s="653"/>
      <c r="R152" s="653"/>
      <c r="S152" s="653"/>
      <c r="T152" s="653"/>
      <c r="U152" s="656"/>
      <c r="V152" s="653"/>
      <c r="W152" s="653"/>
      <c r="X152" s="653"/>
      <c r="Y152" s="657"/>
      <c r="Z152" s="615"/>
      <c r="AA152" s="653"/>
      <c r="AB152" s="657"/>
      <c r="AC152" s="653"/>
      <c r="AD152" s="653"/>
      <c r="AE152" s="653"/>
      <c r="AF152" s="653"/>
      <c r="AG152" s="653"/>
      <c r="AH152" s="653"/>
      <c r="AI152" s="653"/>
      <c r="AJ152" s="653"/>
      <c r="AK152" s="653"/>
      <c r="AL152" s="653"/>
      <c r="AM152" s="653"/>
      <c r="AN152" s="653"/>
      <c r="AO152" s="653"/>
      <c r="AP152" s="653"/>
      <c r="AQ152" s="653"/>
      <c r="AR152" s="653"/>
      <c r="AS152" s="653"/>
      <c r="AT152" s="653"/>
      <c r="AU152" s="653"/>
      <c r="AV152" s="653"/>
    </row>
    <row r="153" spans="1:48" ht="14.5">
      <c r="A153" s="653"/>
      <c r="B153" s="653"/>
      <c r="C153" s="653"/>
      <c r="D153" s="653"/>
      <c r="E153" s="653"/>
      <c r="F153" s="653"/>
      <c r="G153" s="654"/>
      <c r="H153" s="654"/>
      <c r="I153" s="653"/>
      <c r="J153" s="653"/>
      <c r="K153" s="655"/>
      <c r="L153" s="653"/>
      <c r="M153" s="653"/>
      <c r="N153" s="653"/>
      <c r="O153" s="653"/>
      <c r="P153" s="653"/>
      <c r="Q153" s="653"/>
      <c r="R153" s="653"/>
      <c r="S153" s="653"/>
      <c r="T153" s="653"/>
      <c r="U153" s="656"/>
      <c r="V153" s="653"/>
      <c r="W153" s="653"/>
      <c r="X153" s="653"/>
      <c r="Y153" s="657"/>
      <c r="Z153" s="615"/>
      <c r="AA153" s="653"/>
      <c r="AB153" s="657"/>
      <c r="AC153" s="653"/>
      <c r="AD153" s="653"/>
      <c r="AE153" s="653"/>
      <c r="AF153" s="653"/>
      <c r="AG153" s="653"/>
      <c r="AH153" s="653"/>
      <c r="AI153" s="653"/>
      <c r="AJ153" s="653"/>
      <c r="AK153" s="653"/>
      <c r="AL153" s="653"/>
      <c r="AM153" s="653"/>
      <c r="AN153" s="653"/>
      <c r="AO153" s="653"/>
      <c r="AP153" s="653"/>
      <c r="AQ153" s="653"/>
      <c r="AR153" s="653"/>
      <c r="AS153" s="653"/>
      <c r="AT153" s="653"/>
      <c r="AU153" s="653"/>
      <c r="AV153" s="653"/>
    </row>
    <row r="154" spans="1:48" ht="14.5">
      <c r="A154" s="653"/>
      <c r="B154" s="653"/>
      <c r="C154" s="653"/>
      <c r="D154" s="653"/>
      <c r="E154" s="653"/>
      <c r="F154" s="653"/>
      <c r="G154" s="654"/>
      <c r="H154" s="654"/>
      <c r="I154" s="653"/>
      <c r="J154" s="653"/>
      <c r="K154" s="655"/>
      <c r="L154" s="653"/>
      <c r="M154" s="653"/>
      <c r="N154" s="653"/>
      <c r="O154" s="653"/>
      <c r="P154" s="653"/>
      <c r="Q154" s="653"/>
      <c r="R154" s="653"/>
      <c r="S154" s="653"/>
      <c r="T154" s="653"/>
      <c r="U154" s="656"/>
      <c r="V154" s="653"/>
      <c r="W154" s="653"/>
      <c r="X154" s="653"/>
      <c r="Y154" s="657"/>
      <c r="Z154" s="615"/>
      <c r="AA154" s="653"/>
      <c r="AB154" s="657"/>
      <c r="AC154" s="653"/>
      <c r="AD154" s="653"/>
      <c r="AE154" s="653"/>
      <c r="AF154" s="653"/>
      <c r="AG154" s="653"/>
      <c r="AH154" s="653"/>
      <c r="AI154" s="653"/>
      <c r="AJ154" s="653"/>
      <c r="AK154" s="653"/>
      <c r="AL154" s="653"/>
      <c r="AM154" s="653"/>
      <c r="AN154" s="653"/>
      <c r="AO154" s="653"/>
      <c r="AP154" s="653"/>
      <c r="AQ154" s="653"/>
      <c r="AR154" s="653"/>
      <c r="AS154" s="653"/>
      <c r="AT154" s="653"/>
      <c r="AU154" s="653"/>
      <c r="AV154" s="653"/>
    </row>
    <row r="155" spans="1:48" ht="14.5">
      <c r="A155" s="653"/>
      <c r="B155" s="653"/>
      <c r="C155" s="653"/>
      <c r="D155" s="653"/>
      <c r="E155" s="653"/>
      <c r="F155" s="653"/>
      <c r="G155" s="654"/>
      <c r="H155" s="654"/>
      <c r="I155" s="653"/>
      <c r="J155" s="653"/>
      <c r="K155" s="655"/>
      <c r="L155" s="653"/>
      <c r="M155" s="653"/>
      <c r="N155" s="653"/>
      <c r="O155" s="653"/>
      <c r="P155" s="653"/>
      <c r="Q155" s="653"/>
      <c r="R155" s="653"/>
      <c r="S155" s="653"/>
      <c r="T155" s="653"/>
      <c r="U155" s="656"/>
      <c r="V155" s="653"/>
      <c r="W155" s="653"/>
      <c r="X155" s="653"/>
      <c r="Y155" s="657"/>
      <c r="Z155" s="615"/>
      <c r="AA155" s="653"/>
      <c r="AB155" s="657"/>
      <c r="AC155" s="653"/>
      <c r="AD155" s="653"/>
      <c r="AE155" s="653"/>
      <c r="AF155" s="653"/>
      <c r="AG155" s="653"/>
      <c r="AH155" s="653"/>
      <c r="AI155" s="653"/>
      <c r="AJ155" s="653"/>
      <c r="AK155" s="653"/>
      <c r="AL155" s="653"/>
      <c r="AM155" s="653"/>
      <c r="AN155" s="653"/>
      <c r="AO155" s="653"/>
      <c r="AP155" s="653"/>
      <c r="AQ155" s="653"/>
      <c r="AR155" s="653"/>
      <c r="AS155" s="653"/>
      <c r="AT155" s="653"/>
      <c r="AU155" s="653"/>
      <c r="AV155" s="653"/>
    </row>
    <row r="156" spans="1:48" ht="14.5">
      <c r="A156" s="653"/>
      <c r="B156" s="653"/>
      <c r="C156" s="653"/>
      <c r="D156" s="653"/>
      <c r="E156" s="653"/>
      <c r="F156" s="653"/>
      <c r="G156" s="654"/>
      <c r="H156" s="654"/>
      <c r="I156" s="653"/>
      <c r="J156" s="653"/>
      <c r="K156" s="655"/>
      <c r="L156" s="653"/>
      <c r="M156" s="653"/>
      <c r="N156" s="653"/>
      <c r="O156" s="653"/>
      <c r="P156" s="653"/>
      <c r="Q156" s="653"/>
      <c r="R156" s="653"/>
      <c r="S156" s="653"/>
      <c r="T156" s="653"/>
      <c r="U156" s="656"/>
      <c r="V156" s="653"/>
      <c r="W156" s="653"/>
      <c r="X156" s="653"/>
      <c r="Y156" s="657"/>
      <c r="Z156" s="615"/>
      <c r="AA156" s="653"/>
      <c r="AB156" s="657"/>
      <c r="AC156" s="653"/>
      <c r="AD156" s="653"/>
      <c r="AE156" s="653"/>
      <c r="AF156" s="653"/>
      <c r="AG156" s="653"/>
      <c r="AH156" s="653"/>
      <c r="AI156" s="653"/>
      <c r="AJ156" s="653"/>
      <c r="AK156" s="653"/>
      <c r="AL156" s="653"/>
      <c r="AM156" s="653"/>
      <c r="AN156" s="653"/>
      <c r="AO156" s="653"/>
      <c r="AP156" s="653"/>
      <c r="AQ156" s="653"/>
      <c r="AR156" s="653"/>
      <c r="AS156" s="653"/>
      <c r="AT156" s="653"/>
      <c r="AU156" s="653"/>
      <c r="AV156" s="653"/>
    </row>
    <row r="157" spans="1:48" ht="14.5">
      <c r="A157" s="653"/>
      <c r="B157" s="653"/>
      <c r="C157" s="653"/>
      <c r="D157" s="653"/>
      <c r="E157" s="653"/>
      <c r="F157" s="653"/>
      <c r="G157" s="654"/>
      <c r="H157" s="654"/>
      <c r="I157" s="653"/>
      <c r="J157" s="653"/>
      <c r="K157" s="655"/>
      <c r="L157" s="653"/>
      <c r="M157" s="653"/>
      <c r="N157" s="653"/>
      <c r="O157" s="653"/>
      <c r="P157" s="653"/>
      <c r="Q157" s="653"/>
      <c r="R157" s="653"/>
      <c r="S157" s="653"/>
      <c r="T157" s="653"/>
      <c r="U157" s="656"/>
      <c r="V157" s="653"/>
      <c r="W157" s="653"/>
      <c r="X157" s="653"/>
      <c r="Y157" s="657"/>
      <c r="Z157" s="615"/>
      <c r="AA157" s="653"/>
      <c r="AB157" s="657"/>
      <c r="AC157" s="653"/>
      <c r="AD157" s="653"/>
      <c r="AE157" s="653"/>
      <c r="AF157" s="653"/>
      <c r="AG157" s="653"/>
      <c r="AH157" s="653"/>
      <c r="AI157" s="653"/>
      <c r="AJ157" s="653"/>
      <c r="AK157" s="653"/>
      <c r="AL157" s="653"/>
      <c r="AM157" s="653"/>
      <c r="AN157" s="653"/>
      <c r="AO157" s="653"/>
      <c r="AP157" s="653"/>
      <c r="AQ157" s="653"/>
      <c r="AR157" s="653"/>
      <c r="AS157" s="653"/>
      <c r="AT157" s="653"/>
      <c r="AU157" s="653"/>
      <c r="AV157" s="653"/>
    </row>
    <row r="158" spans="1:48" ht="14.5">
      <c r="A158" s="653"/>
      <c r="B158" s="653"/>
      <c r="C158" s="653"/>
      <c r="D158" s="653"/>
      <c r="E158" s="653"/>
      <c r="F158" s="653"/>
      <c r="G158" s="654"/>
      <c r="H158" s="654"/>
      <c r="I158" s="653"/>
      <c r="J158" s="653"/>
      <c r="K158" s="655"/>
      <c r="L158" s="653"/>
      <c r="M158" s="653"/>
      <c r="N158" s="653"/>
      <c r="O158" s="653"/>
      <c r="P158" s="653"/>
      <c r="Q158" s="653"/>
      <c r="R158" s="653"/>
      <c r="S158" s="653"/>
      <c r="T158" s="653"/>
      <c r="U158" s="656"/>
      <c r="V158" s="653"/>
      <c r="W158" s="653"/>
      <c r="X158" s="653"/>
      <c r="Y158" s="657"/>
      <c r="Z158" s="615"/>
      <c r="AA158" s="653"/>
      <c r="AB158" s="657"/>
      <c r="AC158" s="653"/>
      <c r="AD158" s="653"/>
      <c r="AE158" s="653"/>
      <c r="AF158" s="653"/>
      <c r="AG158" s="653"/>
      <c r="AH158" s="653"/>
      <c r="AI158" s="653"/>
      <c r="AJ158" s="653"/>
      <c r="AK158" s="653"/>
      <c r="AL158" s="653"/>
      <c r="AM158" s="653"/>
      <c r="AN158" s="653"/>
      <c r="AO158" s="653"/>
      <c r="AP158" s="653"/>
      <c r="AQ158" s="653"/>
      <c r="AR158" s="653"/>
      <c r="AS158" s="653"/>
      <c r="AT158" s="653"/>
      <c r="AU158" s="653"/>
      <c r="AV158" s="653"/>
    </row>
    <row r="159" spans="1:48" ht="14.5">
      <c r="A159" s="653"/>
      <c r="B159" s="653"/>
      <c r="C159" s="653"/>
      <c r="D159" s="653"/>
      <c r="E159" s="653"/>
      <c r="F159" s="653"/>
      <c r="G159" s="654"/>
      <c r="H159" s="654"/>
      <c r="I159" s="653"/>
      <c r="J159" s="653"/>
      <c r="K159" s="655"/>
      <c r="L159" s="653"/>
      <c r="M159" s="653"/>
      <c r="N159" s="653"/>
      <c r="O159" s="653"/>
      <c r="P159" s="653"/>
      <c r="Q159" s="653"/>
      <c r="R159" s="653"/>
      <c r="S159" s="653"/>
      <c r="T159" s="653"/>
      <c r="U159" s="656"/>
      <c r="V159" s="653"/>
      <c r="W159" s="653"/>
      <c r="X159" s="653"/>
      <c r="Y159" s="657"/>
      <c r="Z159" s="615"/>
      <c r="AA159" s="653"/>
      <c r="AB159" s="657"/>
      <c r="AC159" s="653"/>
      <c r="AD159" s="653"/>
      <c r="AE159" s="653"/>
      <c r="AF159" s="653"/>
      <c r="AG159" s="653"/>
      <c r="AH159" s="653"/>
      <c r="AI159" s="653"/>
      <c r="AJ159" s="653"/>
      <c r="AK159" s="653"/>
      <c r="AL159" s="653"/>
      <c r="AM159" s="653"/>
      <c r="AN159" s="653"/>
      <c r="AO159" s="653"/>
      <c r="AP159" s="653"/>
      <c r="AQ159" s="653"/>
      <c r="AR159" s="653"/>
      <c r="AS159" s="653"/>
      <c r="AT159" s="653"/>
      <c r="AU159" s="653"/>
      <c r="AV159" s="653"/>
    </row>
    <row r="160" spans="1:48" ht="14.5">
      <c r="A160" s="653"/>
      <c r="B160" s="653"/>
      <c r="C160" s="653"/>
      <c r="D160" s="653"/>
      <c r="E160" s="653"/>
      <c r="F160" s="653"/>
      <c r="G160" s="654"/>
      <c r="H160" s="654"/>
      <c r="I160" s="653"/>
      <c r="J160" s="653"/>
      <c r="K160" s="655"/>
      <c r="L160" s="653"/>
      <c r="M160" s="653"/>
      <c r="N160" s="653"/>
      <c r="O160" s="653"/>
      <c r="P160" s="653"/>
      <c r="Q160" s="653"/>
      <c r="R160" s="653"/>
      <c r="S160" s="653"/>
      <c r="T160" s="653"/>
      <c r="U160" s="656"/>
      <c r="V160" s="653"/>
      <c r="W160" s="653"/>
      <c r="X160" s="653"/>
      <c r="Y160" s="657"/>
      <c r="Z160" s="615"/>
      <c r="AA160" s="653"/>
      <c r="AB160" s="657"/>
      <c r="AC160" s="653"/>
      <c r="AD160" s="653"/>
      <c r="AE160" s="653"/>
      <c r="AF160" s="653"/>
      <c r="AG160" s="653"/>
      <c r="AH160" s="653"/>
      <c r="AI160" s="653"/>
      <c r="AJ160" s="653"/>
      <c r="AK160" s="653"/>
      <c r="AL160" s="653"/>
      <c r="AM160" s="653"/>
      <c r="AN160" s="653"/>
      <c r="AO160" s="653"/>
      <c r="AP160" s="653"/>
      <c r="AQ160" s="653"/>
      <c r="AR160" s="653"/>
      <c r="AS160" s="653"/>
      <c r="AT160" s="653"/>
      <c r="AU160" s="653"/>
      <c r="AV160" s="653"/>
    </row>
    <row r="161" spans="1:48" ht="14.5">
      <c r="A161" s="653"/>
      <c r="B161" s="653"/>
      <c r="C161" s="653"/>
      <c r="D161" s="653"/>
      <c r="E161" s="653"/>
      <c r="F161" s="653"/>
      <c r="G161" s="654"/>
      <c r="H161" s="654"/>
      <c r="I161" s="653"/>
      <c r="J161" s="653"/>
      <c r="K161" s="655"/>
      <c r="L161" s="653"/>
      <c r="M161" s="653"/>
      <c r="N161" s="653"/>
      <c r="O161" s="653"/>
      <c r="P161" s="653"/>
      <c r="Q161" s="653"/>
      <c r="R161" s="653"/>
      <c r="S161" s="653"/>
      <c r="T161" s="653"/>
      <c r="U161" s="656"/>
      <c r="V161" s="653"/>
      <c r="W161" s="653"/>
      <c r="X161" s="653"/>
      <c r="Y161" s="657"/>
      <c r="Z161" s="615"/>
      <c r="AA161" s="653"/>
      <c r="AB161" s="657"/>
      <c r="AC161" s="653"/>
      <c r="AD161" s="653"/>
      <c r="AE161" s="653"/>
      <c r="AF161" s="653"/>
      <c r="AG161" s="653"/>
      <c r="AH161" s="653"/>
      <c r="AI161" s="653"/>
      <c r="AJ161" s="653"/>
      <c r="AK161" s="653"/>
      <c r="AL161" s="653"/>
      <c r="AM161" s="653"/>
      <c r="AN161" s="653"/>
      <c r="AO161" s="653"/>
      <c r="AP161" s="653"/>
      <c r="AQ161" s="653"/>
      <c r="AR161" s="653"/>
      <c r="AS161" s="653"/>
      <c r="AT161" s="653"/>
      <c r="AU161" s="653"/>
      <c r="AV161" s="653"/>
    </row>
    <row r="162" spans="1:48" ht="14.5">
      <c r="A162" s="653"/>
      <c r="B162" s="653"/>
      <c r="C162" s="653"/>
      <c r="D162" s="653"/>
      <c r="E162" s="653"/>
      <c r="F162" s="653"/>
      <c r="G162" s="654"/>
      <c r="H162" s="654"/>
      <c r="I162" s="653"/>
      <c r="J162" s="653"/>
      <c r="K162" s="655"/>
      <c r="L162" s="653"/>
      <c r="M162" s="653"/>
      <c r="N162" s="653"/>
      <c r="O162" s="653"/>
      <c r="P162" s="653"/>
      <c r="Q162" s="653"/>
      <c r="R162" s="653"/>
      <c r="S162" s="653"/>
      <c r="T162" s="653"/>
      <c r="U162" s="656"/>
      <c r="V162" s="653"/>
      <c r="W162" s="653"/>
      <c r="X162" s="653"/>
      <c r="Y162" s="657"/>
      <c r="Z162" s="615"/>
      <c r="AA162" s="653"/>
      <c r="AB162" s="657"/>
      <c r="AC162" s="653"/>
      <c r="AD162" s="653"/>
      <c r="AE162" s="653"/>
      <c r="AF162" s="653"/>
      <c r="AG162" s="653"/>
      <c r="AH162" s="653"/>
      <c r="AI162" s="653"/>
      <c r="AJ162" s="653"/>
      <c r="AK162" s="653"/>
      <c r="AL162" s="653"/>
      <c r="AM162" s="653"/>
      <c r="AN162" s="653"/>
      <c r="AO162" s="653"/>
      <c r="AP162" s="653"/>
      <c r="AQ162" s="653"/>
      <c r="AR162" s="653"/>
      <c r="AS162" s="653"/>
      <c r="AT162" s="653"/>
      <c r="AU162" s="653"/>
      <c r="AV162" s="653"/>
    </row>
    <row r="163" spans="1:48" ht="14.5">
      <c r="A163" s="653"/>
      <c r="B163" s="653"/>
      <c r="C163" s="653"/>
      <c r="D163" s="653"/>
      <c r="E163" s="653"/>
      <c r="F163" s="653"/>
      <c r="G163" s="654"/>
      <c r="H163" s="654"/>
      <c r="I163" s="653"/>
      <c r="J163" s="653"/>
      <c r="K163" s="655"/>
      <c r="L163" s="653"/>
      <c r="M163" s="653"/>
      <c r="N163" s="653"/>
      <c r="O163" s="653"/>
      <c r="P163" s="653"/>
      <c r="Q163" s="653"/>
      <c r="R163" s="653"/>
      <c r="S163" s="653"/>
      <c r="T163" s="653"/>
      <c r="U163" s="656"/>
      <c r="V163" s="653"/>
      <c r="W163" s="653"/>
      <c r="X163" s="653"/>
      <c r="Y163" s="657"/>
      <c r="Z163" s="615"/>
      <c r="AA163" s="653"/>
      <c r="AB163" s="657"/>
      <c r="AC163" s="653"/>
      <c r="AD163" s="653"/>
      <c r="AE163" s="653"/>
      <c r="AF163" s="653"/>
      <c r="AG163" s="653"/>
      <c r="AH163" s="653"/>
      <c r="AI163" s="653"/>
      <c r="AJ163" s="653"/>
      <c r="AK163" s="653"/>
      <c r="AL163" s="653"/>
      <c r="AM163" s="653"/>
      <c r="AN163" s="653"/>
      <c r="AO163" s="653"/>
      <c r="AP163" s="653"/>
      <c r="AQ163" s="653"/>
      <c r="AR163" s="653"/>
      <c r="AS163" s="653"/>
      <c r="AT163" s="653"/>
      <c r="AU163" s="653"/>
      <c r="AV163" s="653"/>
    </row>
    <row r="164" spans="1:48" ht="14.5">
      <c r="A164" s="653"/>
      <c r="B164" s="653"/>
      <c r="C164" s="653"/>
      <c r="D164" s="653"/>
      <c r="E164" s="653"/>
      <c r="F164" s="653"/>
      <c r="G164" s="654"/>
      <c r="H164" s="654"/>
      <c r="I164" s="653"/>
      <c r="J164" s="653"/>
      <c r="K164" s="655"/>
      <c r="L164" s="653"/>
      <c r="M164" s="653"/>
      <c r="N164" s="653"/>
      <c r="O164" s="653"/>
      <c r="P164" s="653"/>
      <c r="Q164" s="653"/>
      <c r="R164" s="653"/>
      <c r="S164" s="653"/>
      <c r="T164" s="653"/>
      <c r="U164" s="656"/>
      <c r="V164" s="653"/>
      <c r="W164" s="653"/>
      <c r="X164" s="653"/>
      <c r="Y164" s="657"/>
      <c r="Z164" s="615"/>
      <c r="AA164" s="653"/>
      <c r="AB164" s="657"/>
      <c r="AC164" s="653"/>
      <c r="AD164" s="653"/>
      <c r="AE164" s="653"/>
      <c r="AF164" s="653"/>
      <c r="AG164" s="653"/>
      <c r="AH164" s="653"/>
      <c r="AI164" s="653"/>
      <c r="AJ164" s="653"/>
      <c r="AK164" s="653"/>
      <c r="AL164" s="653"/>
      <c r="AM164" s="653"/>
      <c r="AN164" s="653"/>
      <c r="AO164" s="653"/>
      <c r="AP164" s="653"/>
      <c r="AQ164" s="653"/>
      <c r="AR164" s="653"/>
      <c r="AS164" s="653"/>
      <c r="AT164" s="653"/>
      <c r="AU164" s="653"/>
      <c r="AV164" s="653"/>
    </row>
    <row r="165" spans="1:48" ht="14.5">
      <c r="A165" s="653"/>
      <c r="B165" s="653"/>
      <c r="C165" s="653"/>
      <c r="D165" s="653"/>
      <c r="E165" s="653"/>
      <c r="F165" s="653"/>
      <c r="G165" s="654"/>
      <c r="H165" s="654"/>
      <c r="I165" s="653"/>
      <c r="J165" s="653"/>
      <c r="K165" s="655"/>
      <c r="L165" s="653"/>
      <c r="M165" s="653"/>
      <c r="N165" s="653"/>
      <c r="O165" s="653"/>
      <c r="P165" s="653"/>
      <c r="Q165" s="653"/>
      <c r="R165" s="653"/>
      <c r="S165" s="653"/>
      <c r="T165" s="653"/>
      <c r="U165" s="656"/>
      <c r="V165" s="653"/>
      <c r="W165" s="653"/>
      <c r="X165" s="653"/>
      <c r="Y165" s="657"/>
      <c r="Z165" s="615"/>
      <c r="AA165" s="653"/>
      <c r="AB165" s="657"/>
      <c r="AC165" s="653"/>
      <c r="AD165" s="653"/>
      <c r="AE165" s="653"/>
      <c r="AF165" s="653"/>
      <c r="AG165" s="653"/>
      <c r="AH165" s="653"/>
      <c r="AI165" s="653"/>
      <c r="AJ165" s="653"/>
      <c r="AK165" s="653"/>
      <c r="AL165" s="653"/>
      <c r="AM165" s="653"/>
      <c r="AN165" s="653"/>
      <c r="AO165" s="653"/>
      <c r="AP165" s="653"/>
      <c r="AQ165" s="653"/>
      <c r="AR165" s="653"/>
      <c r="AS165" s="653"/>
      <c r="AT165" s="653"/>
      <c r="AU165" s="653"/>
      <c r="AV165" s="653"/>
    </row>
    <row r="166" spans="1:48" ht="14.5">
      <c r="A166" s="653"/>
      <c r="B166" s="653"/>
      <c r="C166" s="653"/>
      <c r="D166" s="653"/>
      <c r="E166" s="653"/>
      <c r="F166" s="653"/>
      <c r="G166" s="654"/>
      <c r="H166" s="654"/>
      <c r="I166" s="653"/>
      <c r="J166" s="653"/>
      <c r="K166" s="655"/>
      <c r="L166" s="653"/>
      <c r="M166" s="653"/>
      <c r="N166" s="653"/>
      <c r="O166" s="653"/>
      <c r="P166" s="653"/>
      <c r="Q166" s="653"/>
      <c r="R166" s="653"/>
      <c r="S166" s="653"/>
      <c r="T166" s="653"/>
      <c r="U166" s="656"/>
      <c r="V166" s="653"/>
      <c r="W166" s="653"/>
      <c r="X166" s="653"/>
      <c r="Y166" s="657"/>
      <c r="Z166" s="615"/>
      <c r="AA166" s="653"/>
      <c r="AB166" s="657"/>
      <c r="AC166" s="653"/>
      <c r="AD166" s="653"/>
      <c r="AE166" s="653"/>
      <c r="AF166" s="653"/>
      <c r="AG166" s="653"/>
      <c r="AH166" s="653"/>
      <c r="AI166" s="653"/>
      <c r="AJ166" s="653"/>
      <c r="AK166" s="653"/>
      <c r="AL166" s="653"/>
      <c r="AM166" s="653"/>
      <c r="AN166" s="653"/>
      <c r="AO166" s="653"/>
      <c r="AP166" s="653"/>
      <c r="AQ166" s="653"/>
      <c r="AR166" s="653"/>
      <c r="AS166" s="653"/>
      <c r="AT166" s="653"/>
      <c r="AU166" s="653"/>
      <c r="AV166" s="653"/>
    </row>
    <row r="167" spans="1:48" ht="14.5">
      <c r="A167" s="653"/>
      <c r="B167" s="653"/>
      <c r="C167" s="653"/>
      <c r="D167" s="653"/>
      <c r="E167" s="653"/>
      <c r="F167" s="653"/>
      <c r="G167" s="654"/>
      <c r="H167" s="654"/>
      <c r="I167" s="653"/>
      <c r="J167" s="653"/>
      <c r="K167" s="655"/>
      <c r="L167" s="653"/>
      <c r="M167" s="653"/>
      <c r="N167" s="653"/>
      <c r="O167" s="653"/>
      <c r="P167" s="653"/>
      <c r="Q167" s="653"/>
      <c r="R167" s="653"/>
      <c r="S167" s="653"/>
      <c r="T167" s="653"/>
      <c r="U167" s="656"/>
      <c r="V167" s="653"/>
      <c r="W167" s="653"/>
      <c r="X167" s="653"/>
      <c r="Y167" s="657"/>
      <c r="Z167" s="615"/>
      <c r="AA167" s="653"/>
      <c r="AB167" s="657"/>
      <c r="AC167" s="653"/>
      <c r="AD167" s="653"/>
      <c r="AE167" s="653"/>
      <c r="AF167" s="653"/>
      <c r="AG167" s="653"/>
      <c r="AH167" s="653"/>
      <c r="AI167" s="653"/>
      <c r="AJ167" s="653"/>
      <c r="AK167" s="653"/>
      <c r="AL167" s="653"/>
      <c r="AM167" s="653"/>
      <c r="AN167" s="653"/>
      <c r="AO167" s="653"/>
      <c r="AP167" s="653"/>
      <c r="AQ167" s="653"/>
      <c r="AR167" s="653"/>
      <c r="AS167" s="653"/>
      <c r="AT167" s="653"/>
      <c r="AU167" s="653"/>
      <c r="AV167" s="653"/>
    </row>
    <row r="168" spans="1:48" ht="14.5">
      <c r="A168" s="653"/>
      <c r="B168" s="653"/>
      <c r="C168" s="653"/>
      <c r="D168" s="653"/>
      <c r="E168" s="653"/>
      <c r="F168" s="653"/>
      <c r="G168" s="654"/>
      <c r="H168" s="654"/>
      <c r="I168" s="653"/>
      <c r="J168" s="653"/>
      <c r="K168" s="655"/>
      <c r="L168" s="653"/>
      <c r="M168" s="653"/>
      <c r="N168" s="653"/>
      <c r="O168" s="653"/>
      <c r="P168" s="653"/>
      <c r="Q168" s="653"/>
      <c r="R168" s="653"/>
      <c r="S168" s="653"/>
      <c r="T168" s="653"/>
      <c r="U168" s="656"/>
      <c r="V168" s="653"/>
      <c r="W168" s="653"/>
      <c r="X168" s="653"/>
      <c r="Y168" s="657"/>
      <c r="Z168" s="615"/>
      <c r="AA168" s="653"/>
      <c r="AB168" s="657"/>
      <c r="AC168" s="653"/>
      <c r="AD168" s="653"/>
      <c r="AE168" s="653"/>
      <c r="AF168" s="653"/>
      <c r="AG168" s="653"/>
      <c r="AH168" s="653"/>
      <c r="AI168" s="653"/>
      <c r="AJ168" s="653"/>
      <c r="AK168" s="653"/>
      <c r="AL168" s="653"/>
      <c r="AM168" s="653"/>
      <c r="AN168" s="653"/>
      <c r="AO168" s="653"/>
      <c r="AP168" s="653"/>
      <c r="AQ168" s="653"/>
      <c r="AR168" s="653"/>
      <c r="AS168" s="653"/>
      <c r="AT168" s="653"/>
      <c r="AU168" s="653"/>
      <c r="AV168" s="653"/>
    </row>
    <row r="169" spans="1:48" ht="14.5">
      <c r="A169" s="653"/>
      <c r="B169" s="653"/>
      <c r="C169" s="653"/>
      <c r="D169" s="653"/>
      <c r="E169" s="653"/>
      <c r="F169" s="653"/>
      <c r="G169" s="654"/>
      <c r="H169" s="654"/>
      <c r="I169" s="653"/>
      <c r="J169" s="653"/>
      <c r="K169" s="655"/>
      <c r="L169" s="653"/>
      <c r="M169" s="653"/>
      <c r="N169" s="653"/>
      <c r="O169" s="653"/>
      <c r="P169" s="653"/>
      <c r="Q169" s="653"/>
      <c r="R169" s="653"/>
      <c r="S169" s="653"/>
      <c r="T169" s="653"/>
      <c r="U169" s="656"/>
      <c r="V169" s="653"/>
      <c r="W169" s="653"/>
      <c r="X169" s="653"/>
      <c r="Y169" s="657"/>
      <c r="Z169" s="615"/>
      <c r="AA169" s="653"/>
      <c r="AB169" s="657"/>
      <c r="AC169" s="653"/>
      <c r="AD169" s="653"/>
      <c r="AE169" s="653"/>
      <c r="AF169" s="653"/>
      <c r="AG169" s="653"/>
      <c r="AH169" s="653"/>
      <c r="AI169" s="653"/>
      <c r="AJ169" s="653"/>
      <c r="AK169" s="653"/>
      <c r="AL169" s="653"/>
      <c r="AM169" s="653"/>
      <c r="AN169" s="653"/>
      <c r="AO169" s="653"/>
      <c r="AP169" s="653"/>
      <c r="AQ169" s="653"/>
      <c r="AR169" s="653"/>
      <c r="AS169" s="653"/>
      <c r="AT169" s="653"/>
      <c r="AU169" s="653"/>
      <c r="AV169" s="653"/>
    </row>
    <row r="170" spans="1:48" ht="14.5">
      <c r="A170" s="653"/>
      <c r="B170" s="653"/>
      <c r="C170" s="653"/>
      <c r="D170" s="653"/>
      <c r="E170" s="653"/>
      <c r="F170" s="653"/>
      <c r="G170" s="654"/>
      <c r="H170" s="654"/>
      <c r="I170" s="653"/>
      <c r="J170" s="653"/>
      <c r="K170" s="655"/>
      <c r="L170" s="653"/>
      <c r="M170" s="653"/>
      <c r="N170" s="653"/>
      <c r="O170" s="653"/>
      <c r="P170" s="653"/>
      <c r="Q170" s="653"/>
      <c r="R170" s="653"/>
      <c r="S170" s="653"/>
      <c r="T170" s="653"/>
      <c r="U170" s="656"/>
      <c r="V170" s="653"/>
      <c r="W170" s="653"/>
      <c r="X170" s="653"/>
      <c r="Y170" s="657"/>
      <c r="Z170" s="615"/>
      <c r="AA170" s="653"/>
      <c r="AB170" s="657"/>
      <c r="AC170" s="653"/>
      <c r="AD170" s="653"/>
      <c r="AE170" s="653"/>
      <c r="AF170" s="653"/>
      <c r="AG170" s="653"/>
      <c r="AH170" s="653"/>
      <c r="AI170" s="653"/>
      <c r="AJ170" s="653"/>
      <c r="AK170" s="653"/>
      <c r="AL170" s="653"/>
      <c r="AM170" s="653"/>
      <c r="AN170" s="653"/>
      <c r="AO170" s="653"/>
      <c r="AP170" s="653"/>
      <c r="AQ170" s="653"/>
      <c r="AR170" s="653"/>
      <c r="AS170" s="653"/>
      <c r="AT170" s="653"/>
      <c r="AU170" s="653"/>
      <c r="AV170" s="653"/>
    </row>
    <row r="171" spans="1:48" ht="14.5">
      <c r="A171" s="653"/>
      <c r="B171" s="653"/>
      <c r="C171" s="653"/>
      <c r="D171" s="653"/>
      <c r="E171" s="653"/>
      <c r="F171" s="653"/>
      <c r="G171" s="654"/>
      <c r="H171" s="654"/>
      <c r="I171" s="653"/>
      <c r="J171" s="653"/>
      <c r="K171" s="655"/>
      <c r="L171" s="653"/>
      <c r="M171" s="653"/>
      <c r="N171" s="653"/>
      <c r="O171" s="653"/>
      <c r="P171" s="653"/>
      <c r="Q171" s="653"/>
      <c r="R171" s="653"/>
      <c r="S171" s="653"/>
      <c r="T171" s="653"/>
      <c r="U171" s="656"/>
      <c r="V171" s="653"/>
      <c r="W171" s="653"/>
      <c r="X171" s="653"/>
      <c r="Y171" s="657"/>
      <c r="Z171" s="615"/>
      <c r="AA171" s="653"/>
      <c r="AB171" s="657"/>
      <c r="AC171" s="653"/>
      <c r="AD171" s="653"/>
      <c r="AE171" s="653"/>
      <c r="AF171" s="653"/>
      <c r="AG171" s="653"/>
      <c r="AH171" s="653"/>
      <c r="AI171" s="653"/>
      <c r="AJ171" s="653"/>
      <c r="AK171" s="653"/>
      <c r="AL171" s="653"/>
      <c r="AM171" s="653"/>
      <c r="AN171" s="653"/>
      <c r="AO171" s="653"/>
      <c r="AP171" s="653"/>
      <c r="AQ171" s="653"/>
      <c r="AR171" s="653"/>
      <c r="AS171" s="653"/>
      <c r="AT171" s="653"/>
      <c r="AU171" s="653"/>
      <c r="AV171" s="653"/>
    </row>
    <row r="172" spans="1:48" ht="14.5">
      <c r="A172" s="653"/>
      <c r="B172" s="653"/>
      <c r="C172" s="653"/>
      <c r="D172" s="653"/>
      <c r="E172" s="653"/>
      <c r="F172" s="653"/>
      <c r="G172" s="654"/>
      <c r="H172" s="654"/>
      <c r="I172" s="653"/>
      <c r="J172" s="653"/>
      <c r="K172" s="655"/>
      <c r="L172" s="653"/>
      <c r="M172" s="653"/>
      <c r="N172" s="653"/>
      <c r="O172" s="653"/>
      <c r="P172" s="653"/>
      <c r="Q172" s="653"/>
      <c r="R172" s="653"/>
      <c r="S172" s="653"/>
      <c r="T172" s="653"/>
      <c r="U172" s="656"/>
      <c r="V172" s="653"/>
      <c r="W172" s="653"/>
      <c r="X172" s="653"/>
      <c r="Y172" s="657"/>
      <c r="Z172" s="615"/>
      <c r="AA172" s="653"/>
      <c r="AB172" s="657"/>
      <c r="AC172" s="653"/>
      <c r="AD172" s="653"/>
      <c r="AE172" s="653"/>
      <c r="AF172" s="653"/>
      <c r="AG172" s="653"/>
      <c r="AH172" s="653"/>
      <c r="AI172" s="653"/>
      <c r="AJ172" s="653"/>
      <c r="AK172" s="653"/>
      <c r="AL172" s="653"/>
      <c r="AM172" s="653"/>
      <c r="AN172" s="653"/>
      <c r="AO172" s="653"/>
      <c r="AP172" s="653"/>
      <c r="AQ172" s="653"/>
      <c r="AR172" s="653"/>
      <c r="AS172" s="653"/>
      <c r="AT172" s="653"/>
      <c r="AU172" s="653"/>
      <c r="AV172" s="653"/>
    </row>
    <row r="173" spans="1:48" ht="14.5">
      <c r="A173" s="653"/>
      <c r="B173" s="653"/>
      <c r="C173" s="653"/>
      <c r="D173" s="653"/>
      <c r="E173" s="653"/>
      <c r="F173" s="653"/>
      <c r="G173" s="654"/>
      <c r="H173" s="654"/>
      <c r="I173" s="653"/>
      <c r="J173" s="653"/>
      <c r="K173" s="655"/>
      <c r="L173" s="653"/>
      <c r="M173" s="653"/>
      <c r="N173" s="653"/>
      <c r="O173" s="653"/>
      <c r="P173" s="653"/>
      <c r="Q173" s="653"/>
      <c r="R173" s="653"/>
      <c r="S173" s="653"/>
      <c r="T173" s="653"/>
      <c r="U173" s="656"/>
      <c r="V173" s="653"/>
      <c r="W173" s="653"/>
      <c r="X173" s="653"/>
      <c r="Y173" s="657"/>
      <c r="Z173" s="615"/>
      <c r="AA173" s="653"/>
      <c r="AB173" s="657"/>
      <c r="AC173" s="653"/>
      <c r="AD173" s="653"/>
      <c r="AE173" s="653"/>
      <c r="AF173" s="653"/>
      <c r="AG173" s="653"/>
      <c r="AH173" s="653"/>
      <c r="AI173" s="653"/>
      <c r="AJ173" s="653"/>
      <c r="AK173" s="653"/>
      <c r="AL173" s="653"/>
      <c r="AM173" s="653"/>
      <c r="AN173" s="653"/>
      <c r="AO173" s="653"/>
      <c r="AP173" s="653"/>
      <c r="AQ173" s="653"/>
      <c r="AR173" s="653"/>
      <c r="AS173" s="653"/>
      <c r="AT173" s="653"/>
      <c r="AU173" s="653"/>
      <c r="AV173" s="653"/>
    </row>
    <row r="174" spans="1:48" ht="14.5">
      <c r="A174" s="653"/>
      <c r="B174" s="653"/>
      <c r="C174" s="653"/>
      <c r="D174" s="653"/>
      <c r="E174" s="653"/>
      <c r="F174" s="653"/>
      <c r="G174" s="654"/>
      <c r="H174" s="654"/>
      <c r="I174" s="653"/>
      <c r="J174" s="653"/>
      <c r="K174" s="655"/>
      <c r="L174" s="653"/>
      <c r="M174" s="653"/>
      <c r="N174" s="653"/>
      <c r="O174" s="653"/>
      <c r="P174" s="653"/>
      <c r="Q174" s="653"/>
      <c r="R174" s="653"/>
      <c r="S174" s="653"/>
      <c r="T174" s="653"/>
      <c r="U174" s="656"/>
      <c r="V174" s="653"/>
      <c r="W174" s="653"/>
      <c r="X174" s="653"/>
      <c r="Y174" s="657"/>
      <c r="Z174" s="615"/>
      <c r="AA174" s="653"/>
      <c r="AB174" s="657"/>
      <c r="AC174" s="653"/>
      <c r="AD174" s="653"/>
      <c r="AE174" s="653"/>
      <c r="AF174" s="653"/>
      <c r="AG174" s="653"/>
      <c r="AH174" s="653"/>
      <c r="AI174" s="653"/>
      <c r="AJ174" s="653"/>
      <c r="AK174" s="653"/>
      <c r="AL174" s="653"/>
      <c r="AM174" s="653"/>
      <c r="AN174" s="653"/>
      <c r="AO174" s="653"/>
      <c r="AP174" s="653"/>
      <c r="AQ174" s="653"/>
      <c r="AR174" s="653"/>
      <c r="AS174" s="653"/>
      <c r="AT174" s="653"/>
      <c r="AU174" s="653"/>
      <c r="AV174" s="653"/>
    </row>
    <row r="175" spans="1:48" ht="14.5">
      <c r="A175" s="653"/>
      <c r="B175" s="653"/>
      <c r="C175" s="653"/>
      <c r="D175" s="653"/>
      <c r="E175" s="653"/>
      <c r="F175" s="653"/>
      <c r="G175" s="654"/>
      <c r="H175" s="654"/>
      <c r="I175" s="653"/>
      <c r="J175" s="653"/>
      <c r="K175" s="655"/>
      <c r="L175" s="653"/>
      <c r="M175" s="653"/>
      <c r="N175" s="653"/>
      <c r="O175" s="653"/>
      <c r="P175" s="653"/>
      <c r="Q175" s="653"/>
      <c r="R175" s="653"/>
      <c r="S175" s="653"/>
      <c r="T175" s="653"/>
      <c r="U175" s="656"/>
      <c r="V175" s="653"/>
      <c r="W175" s="653"/>
      <c r="X175" s="653"/>
      <c r="Y175" s="657"/>
      <c r="Z175" s="615"/>
      <c r="AA175" s="653"/>
      <c r="AB175" s="657"/>
      <c r="AC175" s="653"/>
      <c r="AD175" s="653"/>
      <c r="AE175" s="653"/>
      <c r="AF175" s="653"/>
      <c r="AG175" s="653"/>
      <c r="AH175" s="653"/>
      <c r="AI175" s="653"/>
      <c r="AJ175" s="653"/>
      <c r="AK175" s="653"/>
      <c r="AL175" s="653"/>
      <c r="AM175" s="653"/>
      <c r="AN175" s="653"/>
      <c r="AO175" s="653"/>
      <c r="AP175" s="653"/>
      <c r="AQ175" s="653"/>
      <c r="AR175" s="653"/>
      <c r="AS175" s="653"/>
      <c r="AT175" s="653"/>
      <c r="AU175" s="653"/>
      <c r="AV175" s="653"/>
    </row>
    <row r="176" spans="1:48" ht="14.5">
      <c r="A176" s="653"/>
      <c r="B176" s="653"/>
      <c r="C176" s="653"/>
      <c r="D176" s="653"/>
      <c r="E176" s="653"/>
      <c r="F176" s="653"/>
      <c r="G176" s="654"/>
      <c r="H176" s="654"/>
      <c r="I176" s="653"/>
      <c r="J176" s="653"/>
      <c r="K176" s="655"/>
      <c r="L176" s="653"/>
      <c r="M176" s="653"/>
      <c r="N176" s="653"/>
      <c r="O176" s="653"/>
      <c r="P176" s="653"/>
      <c r="Q176" s="653"/>
      <c r="R176" s="653"/>
      <c r="S176" s="653"/>
      <c r="T176" s="653"/>
      <c r="U176" s="656"/>
      <c r="V176" s="653"/>
      <c r="W176" s="653"/>
      <c r="X176" s="653"/>
      <c r="Y176" s="657"/>
      <c r="Z176" s="615"/>
      <c r="AA176" s="653"/>
      <c r="AB176" s="657"/>
      <c r="AC176" s="653"/>
      <c r="AD176" s="653"/>
      <c r="AE176" s="653"/>
      <c r="AF176" s="653"/>
      <c r="AG176" s="653"/>
      <c r="AH176" s="653"/>
      <c r="AI176" s="653"/>
      <c r="AJ176" s="653"/>
      <c r="AK176" s="653"/>
      <c r="AL176" s="653"/>
      <c r="AM176" s="653"/>
      <c r="AN176" s="653"/>
      <c r="AO176" s="653"/>
      <c r="AP176" s="653"/>
      <c r="AQ176" s="653"/>
      <c r="AR176" s="653"/>
      <c r="AS176" s="653"/>
      <c r="AT176" s="653"/>
      <c r="AU176" s="653"/>
      <c r="AV176" s="653"/>
    </row>
    <row r="177" spans="1:48" ht="14.5">
      <c r="A177" s="653"/>
      <c r="B177" s="653"/>
      <c r="C177" s="653"/>
      <c r="D177" s="653"/>
      <c r="E177" s="653"/>
      <c r="F177" s="653"/>
      <c r="G177" s="654"/>
      <c r="H177" s="654"/>
      <c r="I177" s="653"/>
      <c r="J177" s="653"/>
      <c r="K177" s="655"/>
      <c r="L177" s="653"/>
      <c r="M177" s="653"/>
      <c r="N177" s="653"/>
      <c r="O177" s="653"/>
      <c r="P177" s="653"/>
      <c r="Q177" s="653"/>
      <c r="R177" s="653"/>
      <c r="S177" s="653"/>
      <c r="T177" s="653"/>
      <c r="U177" s="656"/>
      <c r="V177" s="653"/>
      <c r="W177" s="653"/>
      <c r="X177" s="653"/>
      <c r="Y177" s="657"/>
      <c r="Z177" s="615"/>
      <c r="AA177" s="653"/>
      <c r="AB177" s="657"/>
      <c r="AC177" s="653"/>
      <c r="AD177" s="653"/>
      <c r="AE177" s="653"/>
      <c r="AF177" s="653"/>
      <c r="AG177" s="653"/>
      <c r="AH177" s="653"/>
      <c r="AI177" s="653"/>
      <c r="AJ177" s="653"/>
      <c r="AK177" s="653"/>
      <c r="AL177" s="653"/>
      <c r="AM177" s="653"/>
      <c r="AN177" s="653"/>
      <c r="AO177" s="653"/>
      <c r="AP177" s="653"/>
      <c r="AQ177" s="653"/>
      <c r="AR177" s="653"/>
      <c r="AS177" s="653"/>
      <c r="AT177" s="653"/>
      <c r="AU177" s="653"/>
      <c r="AV177" s="653"/>
    </row>
    <row r="178" spans="1:48" ht="14.5">
      <c r="A178" s="653"/>
      <c r="B178" s="653"/>
      <c r="C178" s="653"/>
      <c r="D178" s="653"/>
      <c r="E178" s="653"/>
      <c r="F178" s="653"/>
      <c r="G178" s="654"/>
      <c r="H178" s="654"/>
      <c r="I178" s="653"/>
      <c r="J178" s="653"/>
      <c r="K178" s="655"/>
      <c r="L178" s="653"/>
      <c r="M178" s="653"/>
      <c r="N178" s="653"/>
      <c r="O178" s="653"/>
      <c r="P178" s="653"/>
      <c r="Q178" s="653"/>
      <c r="R178" s="653"/>
      <c r="S178" s="653"/>
      <c r="T178" s="653"/>
      <c r="U178" s="656"/>
      <c r="V178" s="653"/>
      <c r="W178" s="653"/>
      <c r="X178" s="653"/>
      <c r="Y178" s="657"/>
      <c r="Z178" s="615"/>
      <c r="AA178" s="653"/>
      <c r="AB178" s="657"/>
      <c r="AC178" s="653"/>
      <c r="AD178" s="653"/>
      <c r="AE178" s="653"/>
      <c r="AF178" s="653"/>
      <c r="AG178" s="653"/>
      <c r="AH178" s="653"/>
      <c r="AI178" s="653"/>
      <c r="AJ178" s="653"/>
      <c r="AK178" s="653"/>
      <c r="AL178" s="653"/>
      <c r="AM178" s="653"/>
      <c r="AN178" s="653"/>
      <c r="AO178" s="653"/>
      <c r="AP178" s="653"/>
      <c r="AQ178" s="653"/>
      <c r="AR178" s="653"/>
      <c r="AS178" s="653"/>
      <c r="AT178" s="653"/>
      <c r="AU178" s="653"/>
      <c r="AV178" s="653"/>
    </row>
    <row r="179" spans="1:48" ht="14.5">
      <c r="A179" s="653"/>
      <c r="B179" s="653"/>
      <c r="C179" s="653"/>
      <c r="D179" s="653"/>
      <c r="E179" s="653"/>
      <c r="F179" s="653"/>
      <c r="G179" s="654"/>
      <c r="H179" s="654"/>
      <c r="I179" s="653"/>
      <c r="J179" s="653"/>
      <c r="K179" s="655"/>
      <c r="L179" s="653"/>
      <c r="M179" s="653"/>
      <c r="N179" s="653"/>
      <c r="O179" s="653"/>
      <c r="P179" s="653"/>
      <c r="Q179" s="653"/>
      <c r="R179" s="653"/>
      <c r="S179" s="653"/>
      <c r="T179" s="653"/>
      <c r="U179" s="656"/>
      <c r="V179" s="653"/>
      <c r="W179" s="653"/>
      <c r="X179" s="653"/>
      <c r="Y179" s="657"/>
      <c r="Z179" s="615"/>
      <c r="AA179" s="653"/>
      <c r="AB179" s="657"/>
      <c r="AC179" s="653"/>
      <c r="AD179" s="653"/>
      <c r="AE179" s="653"/>
      <c r="AF179" s="653"/>
      <c r="AG179" s="653"/>
      <c r="AH179" s="653"/>
      <c r="AI179" s="653"/>
      <c r="AJ179" s="653"/>
      <c r="AK179" s="653"/>
      <c r="AL179" s="653"/>
      <c r="AM179" s="653"/>
      <c r="AN179" s="653"/>
      <c r="AO179" s="653"/>
      <c r="AP179" s="653"/>
      <c r="AQ179" s="653"/>
      <c r="AR179" s="653"/>
      <c r="AS179" s="653"/>
      <c r="AT179" s="653"/>
      <c r="AU179" s="653"/>
      <c r="AV179" s="653"/>
    </row>
    <row r="180" spans="1:48" ht="14.5">
      <c r="A180" s="653"/>
      <c r="B180" s="653"/>
      <c r="C180" s="653"/>
      <c r="D180" s="653"/>
      <c r="E180" s="653"/>
      <c r="F180" s="653"/>
      <c r="G180" s="654"/>
      <c r="H180" s="654"/>
      <c r="I180" s="653"/>
      <c r="J180" s="653"/>
      <c r="K180" s="655"/>
      <c r="L180" s="653"/>
      <c r="M180" s="653"/>
      <c r="N180" s="653"/>
      <c r="O180" s="653"/>
      <c r="P180" s="653"/>
      <c r="Q180" s="653"/>
      <c r="R180" s="653"/>
      <c r="S180" s="653"/>
      <c r="T180" s="653"/>
      <c r="U180" s="656"/>
      <c r="V180" s="653"/>
      <c r="W180" s="653"/>
      <c r="X180" s="653"/>
      <c r="Y180" s="657"/>
      <c r="Z180" s="615"/>
      <c r="AA180" s="653"/>
      <c r="AB180" s="657"/>
      <c r="AC180" s="653"/>
      <c r="AD180" s="653"/>
      <c r="AE180" s="653"/>
      <c r="AF180" s="653"/>
      <c r="AG180" s="653"/>
      <c r="AH180" s="653"/>
      <c r="AI180" s="653"/>
      <c r="AJ180" s="653"/>
      <c r="AK180" s="653"/>
      <c r="AL180" s="653"/>
      <c r="AM180" s="653"/>
      <c r="AN180" s="653"/>
      <c r="AO180" s="653"/>
      <c r="AP180" s="653"/>
      <c r="AQ180" s="653"/>
      <c r="AR180" s="653"/>
      <c r="AS180" s="653"/>
      <c r="AT180" s="653"/>
      <c r="AU180" s="653"/>
      <c r="AV180" s="653"/>
    </row>
    <row r="181" spans="1:48" ht="14.5">
      <c r="A181" s="653"/>
      <c r="B181" s="653"/>
      <c r="C181" s="653"/>
      <c r="D181" s="653"/>
      <c r="E181" s="653"/>
      <c r="F181" s="653"/>
      <c r="G181" s="654"/>
      <c r="H181" s="654"/>
      <c r="I181" s="653"/>
      <c r="J181" s="653"/>
      <c r="K181" s="655"/>
      <c r="L181" s="653"/>
      <c r="M181" s="653"/>
      <c r="N181" s="653"/>
      <c r="O181" s="653"/>
      <c r="P181" s="653"/>
      <c r="Q181" s="653"/>
      <c r="R181" s="653"/>
      <c r="S181" s="653"/>
      <c r="T181" s="653"/>
      <c r="U181" s="656"/>
      <c r="V181" s="653"/>
      <c r="W181" s="653"/>
      <c r="X181" s="653"/>
      <c r="Y181" s="657"/>
      <c r="Z181" s="615"/>
      <c r="AA181" s="653"/>
      <c r="AB181" s="657"/>
      <c r="AC181" s="653"/>
      <c r="AD181" s="653"/>
      <c r="AE181" s="653"/>
      <c r="AF181" s="653"/>
      <c r="AG181" s="653"/>
      <c r="AH181" s="653"/>
      <c r="AI181" s="653"/>
      <c r="AJ181" s="653"/>
      <c r="AK181" s="653"/>
      <c r="AL181" s="653"/>
      <c r="AM181" s="653"/>
      <c r="AN181" s="653"/>
      <c r="AO181" s="653"/>
      <c r="AP181" s="653"/>
      <c r="AQ181" s="653"/>
      <c r="AR181" s="653"/>
      <c r="AS181" s="653"/>
      <c r="AT181" s="653"/>
      <c r="AU181" s="653"/>
      <c r="AV181" s="653"/>
    </row>
    <row r="182" spans="1:48" ht="14.5">
      <c r="A182" s="653"/>
      <c r="B182" s="653"/>
      <c r="C182" s="653"/>
      <c r="D182" s="653"/>
      <c r="E182" s="653"/>
      <c r="F182" s="653"/>
      <c r="G182" s="654"/>
      <c r="H182" s="654"/>
      <c r="I182" s="653"/>
      <c r="J182" s="653"/>
      <c r="K182" s="655"/>
      <c r="L182" s="653"/>
      <c r="M182" s="653"/>
      <c r="N182" s="653"/>
      <c r="O182" s="653"/>
      <c r="P182" s="653"/>
      <c r="Q182" s="653"/>
      <c r="R182" s="653"/>
      <c r="S182" s="653"/>
      <c r="T182" s="653"/>
      <c r="U182" s="656"/>
      <c r="V182" s="653"/>
      <c r="W182" s="653"/>
      <c r="X182" s="653"/>
      <c r="Y182" s="657"/>
      <c r="Z182" s="615"/>
      <c r="AA182" s="653"/>
      <c r="AB182" s="657"/>
      <c r="AC182" s="653"/>
      <c r="AD182" s="653"/>
      <c r="AE182" s="653"/>
      <c r="AF182" s="653"/>
      <c r="AG182" s="653"/>
      <c r="AH182" s="653"/>
      <c r="AI182" s="653"/>
      <c r="AJ182" s="653"/>
      <c r="AK182" s="653"/>
      <c r="AL182" s="653"/>
      <c r="AM182" s="653"/>
      <c r="AN182" s="653"/>
      <c r="AO182" s="653"/>
      <c r="AP182" s="653"/>
      <c r="AQ182" s="653"/>
      <c r="AR182" s="653"/>
      <c r="AS182" s="653"/>
      <c r="AT182" s="653"/>
      <c r="AU182" s="653"/>
      <c r="AV182" s="653"/>
    </row>
    <row r="183" spans="1:48" ht="14.5">
      <c r="A183" s="653"/>
      <c r="B183" s="653"/>
      <c r="C183" s="653"/>
      <c r="D183" s="653"/>
      <c r="E183" s="653"/>
      <c r="F183" s="653"/>
      <c r="G183" s="654"/>
      <c r="H183" s="654"/>
      <c r="I183" s="653"/>
      <c r="J183" s="653"/>
      <c r="K183" s="655"/>
      <c r="L183" s="653"/>
      <c r="M183" s="653"/>
      <c r="N183" s="653"/>
      <c r="O183" s="653"/>
      <c r="P183" s="653"/>
      <c r="Q183" s="653"/>
      <c r="R183" s="653"/>
      <c r="S183" s="653"/>
      <c r="T183" s="653"/>
      <c r="U183" s="656"/>
      <c r="V183" s="653"/>
      <c r="W183" s="653"/>
      <c r="X183" s="653"/>
      <c r="Y183" s="657"/>
      <c r="Z183" s="615"/>
      <c r="AA183" s="653"/>
      <c r="AB183" s="657"/>
      <c r="AC183" s="653"/>
      <c r="AD183" s="653"/>
      <c r="AE183" s="653"/>
      <c r="AF183" s="653"/>
      <c r="AG183" s="653"/>
      <c r="AH183" s="653"/>
      <c r="AI183" s="653"/>
      <c r="AJ183" s="653"/>
      <c r="AK183" s="653"/>
      <c r="AL183" s="653"/>
      <c r="AM183" s="653"/>
      <c r="AN183" s="653"/>
      <c r="AO183" s="653"/>
      <c r="AP183" s="653"/>
      <c r="AQ183" s="653"/>
      <c r="AR183" s="653"/>
      <c r="AS183" s="653"/>
      <c r="AT183" s="653"/>
      <c r="AU183" s="653"/>
      <c r="AV183" s="653"/>
    </row>
    <row r="184" spans="1:48" ht="14.5">
      <c r="A184" s="653"/>
      <c r="B184" s="653"/>
      <c r="C184" s="653"/>
      <c r="D184" s="653"/>
      <c r="E184" s="653"/>
      <c r="F184" s="653"/>
      <c r="G184" s="654"/>
      <c r="H184" s="654"/>
      <c r="I184" s="653"/>
      <c r="J184" s="653"/>
      <c r="K184" s="655"/>
      <c r="L184" s="653"/>
      <c r="M184" s="653"/>
      <c r="N184" s="653"/>
      <c r="O184" s="653"/>
      <c r="P184" s="653"/>
      <c r="Q184" s="653"/>
      <c r="R184" s="653"/>
      <c r="S184" s="653"/>
      <c r="T184" s="653"/>
      <c r="U184" s="656"/>
      <c r="V184" s="653"/>
      <c r="W184" s="653"/>
      <c r="X184" s="653"/>
      <c r="Y184" s="657"/>
      <c r="Z184" s="615"/>
      <c r="AA184" s="653"/>
      <c r="AB184" s="657"/>
      <c r="AC184" s="653"/>
      <c r="AD184" s="653"/>
      <c r="AE184" s="653"/>
      <c r="AF184" s="653"/>
      <c r="AG184" s="653"/>
      <c r="AH184" s="653"/>
      <c r="AI184" s="653"/>
      <c r="AJ184" s="653"/>
      <c r="AK184" s="653"/>
      <c r="AL184" s="653"/>
      <c r="AM184" s="653"/>
      <c r="AN184" s="653"/>
      <c r="AO184" s="653"/>
      <c r="AP184" s="653"/>
      <c r="AQ184" s="653"/>
      <c r="AR184" s="653"/>
      <c r="AS184" s="653"/>
      <c r="AT184" s="653"/>
      <c r="AU184" s="653"/>
      <c r="AV184" s="653"/>
    </row>
    <row r="185" spans="1:48" ht="14.5">
      <c r="A185" s="653"/>
      <c r="B185" s="653"/>
      <c r="C185" s="653"/>
      <c r="D185" s="653"/>
      <c r="E185" s="653"/>
      <c r="F185" s="653"/>
      <c r="G185" s="654"/>
      <c r="H185" s="654"/>
      <c r="I185" s="653"/>
      <c r="J185" s="653"/>
      <c r="K185" s="655"/>
      <c r="L185" s="653"/>
      <c r="M185" s="653"/>
      <c r="N185" s="653"/>
      <c r="O185" s="653"/>
      <c r="P185" s="653"/>
      <c r="Q185" s="653"/>
      <c r="R185" s="653"/>
      <c r="S185" s="653"/>
      <c r="T185" s="653"/>
      <c r="U185" s="656"/>
      <c r="V185" s="653"/>
      <c r="W185" s="653"/>
      <c r="X185" s="653"/>
      <c r="Y185" s="657"/>
      <c r="Z185" s="615"/>
      <c r="AA185" s="653"/>
      <c r="AB185" s="657"/>
      <c r="AC185" s="653"/>
      <c r="AD185" s="653"/>
      <c r="AE185" s="653"/>
      <c r="AF185" s="653"/>
      <c r="AG185" s="653"/>
      <c r="AH185" s="653"/>
      <c r="AI185" s="653"/>
      <c r="AJ185" s="653"/>
      <c r="AK185" s="653"/>
      <c r="AL185" s="653"/>
      <c r="AM185" s="653"/>
      <c r="AN185" s="653"/>
      <c r="AO185" s="653"/>
      <c r="AP185" s="653"/>
      <c r="AQ185" s="653"/>
      <c r="AR185" s="653"/>
      <c r="AS185" s="653"/>
      <c r="AT185" s="653"/>
      <c r="AU185" s="653"/>
      <c r="AV185" s="653"/>
    </row>
    <row r="186" spans="1:48" ht="14.5">
      <c r="A186" s="653"/>
      <c r="B186" s="653"/>
      <c r="C186" s="653"/>
      <c r="D186" s="653"/>
      <c r="E186" s="653"/>
      <c r="F186" s="653"/>
      <c r="G186" s="654"/>
      <c r="H186" s="654"/>
      <c r="I186" s="653"/>
      <c r="J186" s="653"/>
      <c r="K186" s="655"/>
      <c r="L186" s="653"/>
      <c r="M186" s="653"/>
      <c r="N186" s="653"/>
      <c r="O186" s="653"/>
      <c r="P186" s="653"/>
      <c r="Q186" s="653"/>
      <c r="R186" s="653"/>
      <c r="S186" s="653"/>
      <c r="T186" s="653"/>
      <c r="U186" s="656"/>
      <c r="V186" s="653"/>
      <c r="W186" s="653"/>
      <c r="X186" s="653"/>
      <c r="Y186" s="657"/>
      <c r="Z186" s="615"/>
      <c r="AA186" s="653"/>
      <c r="AB186" s="657"/>
      <c r="AC186" s="653"/>
      <c r="AD186" s="653"/>
      <c r="AE186" s="653"/>
      <c r="AF186" s="653"/>
      <c r="AG186" s="653"/>
      <c r="AH186" s="653"/>
      <c r="AI186" s="653"/>
      <c r="AJ186" s="653"/>
      <c r="AK186" s="653"/>
      <c r="AL186" s="653"/>
      <c r="AM186" s="653"/>
      <c r="AN186" s="653"/>
      <c r="AO186" s="653"/>
      <c r="AP186" s="653"/>
      <c r="AQ186" s="653"/>
      <c r="AR186" s="653"/>
      <c r="AS186" s="653"/>
      <c r="AT186" s="653"/>
      <c r="AU186" s="653"/>
      <c r="AV186" s="653"/>
    </row>
    <row r="187" spans="1:48" ht="14.5">
      <c r="A187" s="653"/>
      <c r="B187" s="653"/>
      <c r="C187" s="653"/>
      <c r="D187" s="653"/>
      <c r="E187" s="653"/>
      <c r="F187" s="653"/>
      <c r="G187" s="654"/>
      <c r="H187" s="654"/>
      <c r="I187" s="653"/>
      <c r="J187" s="653"/>
      <c r="K187" s="655"/>
      <c r="L187" s="653"/>
      <c r="M187" s="653"/>
      <c r="N187" s="653"/>
      <c r="O187" s="653"/>
      <c r="P187" s="653"/>
      <c r="Q187" s="653"/>
      <c r="R187" s="653"/>
      <c r="S187" s="653"/>
      <c r="T187" s="653"/>
      <c r="U187" s="656"/>
      <c r="V187" s="653"/>
      <c r="W187" s="653"/>
      <c r="X187" s="653"/>
      <c r="Y187" s="657"/>
      <c r="Z187" s="615"/>
      <c r="AA187" s="653"/>
      <c r="AB187" s="657"/>
      <c r="AC187" s="653"/>
      <c r="AD187" s="653"/>
      <c r="AE187" s="653"/>
      <c r="AF187" s="653"/>
      <c r="AG187" s="653"/>
      <c r="AH187" s="653"/>
      <c r="AI187" s="653"/>
      <c r="AJ187" s="653"/>
      <c r="AK187" s="653"/>
      <c r="AL187" s="653"/>
      <c r="AM187" s="653"/>
      <c r="AN187" s="653"/>
      <c r="AO187" s="653"/>
      <c r="AP187" s="653"/>
      <c r="AQ187" s="653"/>
      <c r="AR187" s="653"/>
      <c r="AS187" s="653"/>
      <c r="AT187" s="653"/>
      <c r="AU187" s="653"/>
      <c r="AV187" s="653"/>
    </row>
    <row r="188" spans="1:48" ht="14.5">
      <c r="A188" s="653"/>
      <c r="B188" s="653"/>
      <c r="C188" s="653"/>
      <c r="D188" s="653"/>
      <c r="E188" s="653"/>
      <c r="F188" s="653"/>
      <c r="G188" s="654"/>
      <c r="H188" s="654"/>
      <c r="I188" s="653"/>
      <c r="J188" s="653"/>
      <c r="K188" s="655"/>
      <c r="L188" s="653"/>
      <c r="M188" s="653"/>
      <c r="N188" s="653"/>
      <c r="O188" s="653"/>
      <c r="P188" s="653"/>
      <c r="Q188" s="653"/>
      <c r="R188" s="653"/>
      <c r="S188" s="653"/>
      <c r="T188" s="653"/>
      <c r="U188" s="656"/>
      <c r="V188" s="653"/>
      <c r="W188" s="653"/>
      <c r="X188" s="653"/>
      <c r="Y188" s="657"/>
      <c r="Z188" s="615"/>
      <c r="AA188" s="653"/>
      <c r="AB188" s="657"/>
      <c r="AC188" s="653"/>
      <c r="AD188" s="653"/>
      <c r="AE188" s="653"/>
      <c r="AF188" s="653"/>
      <c r="AG188" s="653"/>
      <c r="AH188" s="653"/>
      <c r="AI188" s="653"/>
      <c r="AJ188" s="653"/>
      <c r="AK188" s="653"/>
      <c r="AL188" s="653"/>
      <c r="AM188" s="653"/>
      <c r="AN188" s="653"/>
      <c r="AO188" s="653"/>
      <c r="AP188" s="653"/>
      <c r="AQ188" s="653"/>
      <c r="AR188" s="653"/>
      <c r="AS188" s="653"/>
      <c r="AT188" s="653"/>
      <c r="AU188" s="653"/>
      <c r="AV188" s="653"/>
    </row>
    <row r="189" spans="1:48" ht="14.5">
      <c r="A189" s="653"/>
      <c r="B189" s="653"/>
      <c r="C189" s="653"/>
      <c r="D189" s="653"/>
      <c r="E189" s="653"/>
      <c r="F189" s="653"/>
      <c r="G189" s="654"/>
      <c r="H189" s="654"/>
      <c r="I189" s="653"/>
      <c r="J189" s="653"/>
      <c r="K189" s="655"/>
      <c r="L189" s="653"/>
      <c r="M189" s="653"/>
      <c r="N189" s="653"/>
      <c r="O189" s="653"/>
      <c r="P189" s="653"/>
      <c r="Q189" s="653"/>
      <c r="R189" s="653"/>
      <c r="S189" s="653"/>
      <c r="T189" s="653"/>
      <c r="U189" s="656"/>
      <c r="V189" s="653"/>
      <c r="W189" s="653"/>
      <c r="X189" s="653"/>
      <c r="Y189" s="657"/>
      <c r="Z189" s="615"/>
      <c r="AA189" s="653"/>
      <c r="AB189" s="657"/>
      <c r="AC189" s="653"/>
      <c r="AD189" s="653"/>
      <c r="AE189" s="653"/>
      <c r="AF189" s="653"/>
      <c r="AG189" s="653"/>
      <c r="AH189" s="653"/>
      <c r="AI189" s="653"/>
      <c r="AJ189" s="653"/>
      <c r="AK189" s="653"/>
      <c r="AL189" s="653"/>
      <c r="AM189" s="653"/>
      <c r="AN189" s="653"/>
      <c r="AO189" s="653"/>
      <c r="AP189" s="653"/>
      <c r="AQ189" s="653"/>
      <c r="AR189" s="653"/>
      <c r="AS189" s="653"/>
      <c r="AT189" s="653"/>
      <c r="AU189" s="653"/>
      <c r="AV189" s="653"/>
    </row>
    <row r="190" spans="1:48" ht="14.5">
      <c r="A190" s="653"/>
      <c r="B190" s="653"/>
      <c r="C190" s="653"/>
      <c r="D190" s="653"/>
      <c r="E190" s="653"/>
      <c r="F190" s="653"/>
      <c r="G190" s="654"/>
      <c r="H190" s="654"/>
      <c r="I190" s="653"/>
      <c r="J190" s="653"/>
      <c r="K190" s="655"/>
      <c r="L190" s="653"/>
      <c r="M190" s="653"/>
      <c r="N190" s="653"/>
      <c r="O190" s="653"/>
      <c r="P190" s="653"/>
      <c r="Q190" s="653"/>
      <c r="R190" s="653"/>
      <c r="S190" s="653"/>
      <c r="T190" s="653"/>
      <c r="U190" s="656"/>
      <c r="V190" s="653"/>
      <c r="W190" s="653"/>
      <c r="X190" s="653"/>
      <c r="Y190" s="657"/>
      <c r="Z190" s="615"/>
      <c r="AA190" s="653"/>
      <c r="AB190" s="657"/>
      <c r="AC190" s="653"/>
      <c r="AD190" s="653"/>
      <c r="AE190" s="653"/>
      <c r="AF190" s="653"/>
      <c r="AG190" s="653"/>
      <c r="AH190" s="653"/>
      <c r="AI190" s="653"/>
      <c r="AJ190" s="653"/>
      <c r="AK190" s="653"/>
      <c r="AL190" s="653"/>
      <c r="AM190" s="653"/>
      <c r="AN190" s="653"/>
      <c r="AO190" s="653"/>
      <c r="AP190" s="653"/>
      <c r="AQ190" s="653"/>
      <c r="AR190" s="653"/>
      <c r="AS190" s="653"/>
      <c r="AT190" s="653"/>
      <c r="AU190" s="653"/>
      <c r="AV190" s="653"/>
    </row>
    <row r="191" spans="1:48" ht="14.5">
      <c r="A191" s="653"/>
      <c r="B191" s="653"/>
      <c r="C191" s="653"/>
      <c r="D191" s="653"/>
      <c r="E191" s="653"/>
      <c r="F191" s="653"/>
      <c r="G191" s="654"/>
      <c r="H191" s="654"/>
      <c r="I191" s="653"/>
      <c r="J191" s="653"/>
      <c r="K191" s="655"/>
      <c r="L191" s="653"/>
      <c r="M191" s="653"/>
      <c r="N191" s="653"/>
      <c r="O191" s="653"/>
      <c r="P191" s="653"/>
      <c r="Q191" s="653"/>
      <c r="R191" s="653"/>
      <c r="S191" s="653"/>
      <c r="T191" s="653"/>
      <c r="U191" s="656"/>
      <c r="V191" s="653"/>
      <c r="W191" s="653"/>
      <c r="X191" s="653"/>
      <c r="Y191" s="657"/>
      <c r="Z191" s="615"/>
      <c r="AA191" s="653"/>
      <c r="AB191" s="657"/>
      <c r="AC191" s="653"/>
      <c r="AD191" s="653"/>
      <c r="AE191" s="653"/>
      <c r="AF191" s="653"/>
      <c r="AG191" s="653"/>
      <c r="AH191" s="653"/>
      <c r="AI191" s="653"/>
      <c r="AJ191" s="653"/>
      <c r="AK191" s="653"/>
      <c r="AL191" s="653"/>
      <c r="AM191" s="653"/>
      <c r="AN191" s="653"/>
      <c r="AO191" s="653"/>
      <c r="AP191" s="653"/>
      <c r="AQ191" s="653"/>
      <c r="AR191" s="653"/>
      <c r="AS191" s="653"/>
      <c r="AT191" s="653"/>
      <c r="AU191" s="653"/>
      <c r="AV191" s="653"/>
    </row>
    <row r="192" spans="1:48" ht="14.5">
      <c r="A192" s="653"/>
      <c r="B192" s="653"/>
      <c r="C192" s="653"/>
      <c r="D192" s="653"/>
      <c r="E192" s="653"/>
      <c r="F192" s="653"/>
      <c r="G192" s="654"/>
      <c r="H192" s="654"/>
      <c r="I192" s="653"/>
      <c r="J192" s="653"/>
      <c r="K192" s="655"/>
      <c r="L192" s="653"/>
      <c r="M192" s="653"/>
      <c r="N192" s="653"/>
      <c r="O192" s="653"/>
      <c r="P192" s="653"/>
      <c r="Q192" s="653"/>
      <c r="R192" s="653"/>
      <c r="S192" s="653"/>
      <c r="T192" s="653"/>
      <c r="U192" s="656"/>
      <c r="V192" s="653"/>
      <c r="W192" s="653"/>
      <c r="X192" s="653"/>
      <c r="Y192" s="657"/>
      <c r="Z192" s="615"/>
      <c r="AA192" s="653"/>
      <c r="AB192" s="657"/>
      <c r="AC192" s="653"/>
      <c r="AD192" s="653"/>
      <c r="AE192" s="653"/>
      <c r="AF192" s="653"/>
      <c r="AG192" s="653"/>
      <c r="AH192" s="653"/>
      <c r="AI192" s="653"/>
      <c r="AJ192" s="653"/>
      <c r="AK192" s="653"/>
      <c r="AL192" s="653"/>
      <c r="AM192" s="653"/>
      <c r="AN192" s="653"/>
      <c r="AO192" s="653"/>
      <c r="AP192" s="653"/>
      <c r="AQ192" s="653"/>
      <c r="AR192" s="653"/>
      <c r="AS192" s="653"/>
      <c r="AT192" s="653"/>
      <c r="AU192" s="653"/>
      <c r="AV192" s="653"/>
    </row>
    <row r="193" spans="1:48" ht="14.5">
      <c r="A193" s="653"/>
      <c r="B193" s="653"/>
      <c r="C193" s="653"/>
      <c r="D193" s="653"/>
      <c r="E193" s="653"/>
      <c r="F193" s="653"/>
      <c r="G193" s="654"/>
      <c r="H193" s="654"/>
      <c r="I193" s="653"/>
      <c r="J193" s="653"/>
      <c r="K193" s="655"/>
      <c r="L193" s="653"/>
      <c r="M193" s="653"/>
      <c r="N193" s="653"/>
      <c r="O193" s="653"/>
      <c r="P193" s="653"/>
      <c r="Q193" s="653"/>
      <c r="R193" s="653"/>
      <c r="S193" s="653"/>
      <c r="T193" s="653"/>
      <c r="U193" s="656"/>
      <c r="V193" s="653"/>
      <c r="W193" s="653"/>
      <c r="X193" s="653"/>
      <c r="Y193" s="657"/>
      <c r="Z193" s="615"/>
      <c r="AA193" s="653"/>
      <c r="AB193" s="657"/>
      <c r="AC193" s="653"/>
      <c r="AD193" s="653"/>
      <c r="AE193" s="653"/>
      <c r="AF193" s="653"/>
      <c r="AG193" s="653"/>
      <c r="AH193" s="653"/>
      <c r="AI193" s="653"/>
      <c r="AJ193" s="653"/>
      <c r="AK193" s="653"/>
      <c r="AL193" s="653"/>
      <c r="AM193" s="653"/>
      <c r="AN193" s="653"/>
      <c r="AO193" s="653"/>
      <c r="AP193" s="653"/>
      <c r="AQ193" s="653"/>
      <c r="AR193" s="653"/>
      <c r="AS193" s="653"/>
      <c r="AT193" s="653"/>
      <c r="AU193" s="653"/>
      <c r="AV193" s="653"/>
    </row>
    <row r="194" spans="1:48" ht="14.5">
      <c r="A194" s="653"/>
      <c r="B194" s="653"/>
      <c r="C194" s="653"/>
      <c r="D194" s="653"/>
      <c r="E194" s="653"/>
      <c r="F194" s="653"/>
      <c r="G194" s="654"/>
      <c r="H194" s="654"/>
      <c r="I194" s="653"/>
      <c r="J194" s="653"/>
      <c r="K194" s="655"/>
      <c r="L194" s="653"/>
      <c r="M194" s="653"/>
      <c r="N194" s="653"/>
      <c r="O194" s="653"/>
      <c r="P194" s="653"/>
      <c r="Q194" s="653"/>
      <c r="R194" s="653"/>
      <c r="S194" s="653"/>
      <c r="T194" s="653"/>
      <c r="U194" s="656"/>
      <c r="V194" s="653"/>
      <c r="W194" s="653"/>
      <c r="X194" s="653"/>
      <c r="Y194" s="657"/>
      <c r="Z194" s="615"/>
      <c r="AA194" s="653"/>
      <c r="AB194" s="657"/>
      <c r="AC194" s="653"/>
      <c r="AD194" s="653"/>
      <c r="AE194" s="653"/>
      <c r="AF194" s="653"/>
      <c r="AG194" s="653"/>
      <c r="AH194" s="653"/>
      <c r="AI194" s="653"/>
      <c r="AJ194" s="653"/>
      <c r="AK194" s="653"/>
      <c r="AL194" s="653"/>
      <c r="AM194" s="653"/>
      <c r="AN194" s="653"/>
      <c r="AO194" s="653"/>
      <c r="AP194" s="653"/>
      <c r="AQ194" s="653"/>
      <c r="AR194" s="653"/>
      <c r="AS194" s="653"/>
      <c r="AT194" s="653"/>
      <c r="AU194" s="653"/>
      <c r="AV194" s="653"/>
    </row>
    <row r="195" spans="1:48" ht="14.5">
      <c r="A195" s="653"/>
      <c r="B195" s="653"/>
      <c r="C195" s="653"/>
      <c r="D195" s="653"/>
      <c r="E195" s="653"/>
      <c r="F195" s="653"/>
      <c r="G195" s="654"/>
      <c r="H195" s="654"/>
      <c r="I195" s="653"/>
      <c r="J195" s="653"/>
      <c r="K195" s="655"/>
      <c r="L195" s="653"/>
      <c r="M195" s="653"/>
      <c r="N195" s="653"/>
      <c r="O195" s="653"/>
      <c r="P195" s="653"/>
      <c r="Q195" s="653"/>
      <c r="R195" s="653"/>
      <c r="S195" s="653"/>
      <c r="T195" s="653"/>
      <c r="U195" s="656"/>
      <c r="V195" s="653"/>
      <c r="W195" s="653"/>
      <c r="X195" s="653"/>
      <c r="Y195" s="657"/>
      <c r="Z195" s="615"/>
      <c r="AA195" s="653"/>
      <c r="AB195" s="657"/>
      <c r="AC195" s="653"/>
      <c r="AD195" s="653"/>
      <c r="AE195" s="653"/>
      <c r="AF195" s="653"/>
      <c r="AG195" s="653"/>
      <c r="AH195" s="653"/>
      <c r="AI195" s="653"/>
      <c r="AJ195" s="653"/>
      <c r="AK195" s="653"/>
      <c r="AL195" s="653"/>
      <c r="AM195" s="653"/>
      <c r="AN195" s="653"/>
      <c r="AO195" s="653"/>
      <c r="AP195" s="653"/>
      <c r="AQ195" s="653"/>
      <c r="AR195" s="653"/>
      <c r="AS195" s="653"/>
      <c r="AT195" s="653"/>
      <c r="AU195" s="653"/>
      <c r="AV195" s="653"/>
    </row>
    <row r="196" spans="1:48" ht="14.5">
      <c r="A196" s="653"/>
      <c r="B196" s="653"/>
      <c r="C196" s="653"/>
      <c r="D196" s="653"/>
      <c r="E196" s="653"/>
      <c r="F196" s="653"/>
      <c r="G196" s="654"/>
      <c r="H196" s="654"/>
      <c r="I196" s="653"/>
      <c r="J196" s="653"/>
      <c r="K196" s="655"/>
      <c r="L196" s="653"/>
      <c r="M196" s="653"/>
      <c r="N196" s="653"/>
      <c r="O196" s="653"/>
      <c r="P196" s="653"/>
      <c r="Q196" s="653"/>
      <c r="R196" s="653"/>
      <c r="S196" s="653"/>
      <c r="T196" s="653"/>
      <c r="U196" s="656"/>
      <c r="V196" s="653"/>
      <c r="W196" s="653"/>
      <c r="X196" s="653"/>
      <c r="Y196" s="657"/>
      <c r="Z196" s="615"/>
      <c r="AA196" s="653"/>
      <c r="AB196" s="657"/>
      <c r="AC196" s="653"/>
      <c r="AD196" s="653"/>
      <c r="AE196" s="653"/>
      <c r="AF196" s="653"/>
      <c r="AG196" s="653"/>
      <c r="AH196" s="653"/>
      <c r="AI196" s="653"/>
      <c r="AJ196" s="653"/>
      <c r="AK196" s="653"/>
      <c r="AL196" s="653"/>
      <c r="AM196" s="653"/>
      <c r="AN196" s="653"/>
      <c r="AO196" s="653"/>
      <c r="AP196" s="653"/>
      <c r="AQ196" s="653"/>
      <c r="AR196" s="653"/>
      <c r="AS196" s="653"/>
      <c r="AT196" s="653"/>
      <c r="AU196" s="653"/>
      <c r="AV196" s="653"/>
    </row>
    <row r="197" spans="1:48" ht="14.5">
      <c r="A197" s="653"/>
      <c r="B197" s="653"/>
      <c r="C197" s="653"/>
      <c r="D197" s="653"/>
      <c r="E197" s="653"/>
      <c r="F197" s="653"/>
      <c r="G197" s="654"/>
      <c r="H197" s="654"/>
      <c r="I197" s="653"/>
      <c r="J197" s="653"/>
      <c r="K197" s="655"/>
      <c r="L197" s="653"/>
      <c r="M197" s="653"/>
      <c r="N197" s="653"/>
      <c r="O197" s="653"/>
      <c r="P197" s="653"/>
      <c r="Q197" s="653"/>
      <c r="R197" s="653"/>
      <c r="S197" s="653"/>
      <c r="T197" s="653"/>
      <c r="U197" s="656"/>
      <c r="V197" s="653"/>
      <c r="W197" s="653"/>
      <c r="X197" s="653"/>
      <c r="Y197" s="657"/>
      <c r="Z197" s="615"/>
      <c r="AA197" s="653"/>
      <c r="AB197" s="657"/>
      <c r="AC197" s="653"/>
      <c r="AD197" s="653"/>
      <c r="AE197" s="653"/>
      <c r="AF197" s="653"/>
      <c r="AG197" s="653"/>
      <c r="AH197" s="653"/>
      <c r="AI197" s="653"/>
      <c r="AJ197" s="653"/>
      <c r="AK197" s="653"/>
      <c r="AL197" s="653"/>
      <c r="AM197" s="653"/>
      <c r="AN197" s="653"/>
      <c r="AO197" s="653"/>
      <c r="AP197" s="653"/>
      <c r="AQ197" s="653"/>
      <c r="AR197" s="653"/>
      <c r="AS197" s="653"/>
      <c r="AT197" s="653"/>
      <c r="AU197" s="653"/>
      <c r="AV197" s="653"/>
    </row>
    <row r="198" spans="1:48" ht="14.5">
      <c r="A198" s="653"/>
      <c r="B198" s="653"/>
      <c r="C198" s="653"/>
      <c r="D198" s="653"/>
      <c r="E198" s="653"/>
      <c r="F198" s="653"/>
      <c r="G198" s="654"/>
      <c r="H198" s="654"/>
      <c r="I198" s="653"/>
      <c r="J198" s="653"/>
      <c r="K198" s="655"/>
      <c r="L198" s="653"/>
      <c r="M198" s="653"/>
      <c r="N198" s="653"/>
      <c r="O198" s="653"/>
      <c r="P198" s="653"/>
      <c r="Q198" s="653"/>
      <c r="R198" s="653"/>
      <c r="S198" s="653"/>
      <c r="T198" s="653"/>
      <c r="U198" s="656"/>
      <c r="V198" s="653"/>
      <c r="W198" s="653"/>
      <c r="X198" s="653"/>
      <c r="Y198" s="657"/>
      <c r="Z198" s="615"/>
      <c r="AA198" s="653"/>
      <c r="AB198" s="657"/>
      <c r="AC198" s="653"/>
      <c r="AD198" s="653"/>
      <c r="AE198" s="653"/>
      <c r="AF198" s="653"/>
      <c r="AG198" s="653"/>
      <c r="AH198" s="653"/>
      <c r="AI198" s="653"/>
      <c r="AJ198" s="653"/>
      <c r="AK198" s="653"/>
      <c r="AL198" s="653"/>
      <c r="AM198" s="653"/>
      <c r="AN198" s="653"/>
      <c r="AO198" s="653"/>
      <c r="AP198" s="653"/>
      <c r="AQ198" s="653"/>
      <c r="AR198" s="653"/>
      <c r="AS198" s="653"/>
      <c r="AT198" s="653"/>
      <c r="AU198" s="653"/>
      <c r="AV198" s="653"/>
    </row>
    <row r="199" spans="1:48" ht="14.5">
      <c r="A199" s="653"/>
      <c r="B199" s="653"/>
      <c r="C199" s="653"/>
      <c r="D199" s="653"/>
      <c r="E199" s="653"/>
      <c r="F199" s="653"/>
      <c r="G199" s="654"/>
      <c r="H199" s="654"/>
      <c r="I199" s="653"/>
      <c r="J199" s="653"/>
      <c r="K199" s="655"/>
      <c r="L199" s="653"/>
      <c r="M199" s="653"/>
      <c r="N199" s="653"/>
      <c r="O199" s="653"/>
      <c r="P199" s="653"/>
      <c r="Q199" s="653"/>
      <c r="R199" s="653"/>
      <c r="S199" s="653"/>
      <c r="T199" s="653"/>
      <c r="U199" s="656"/>
      <c r="V199" s="653"/>
      <c r="W199" s="653"/>
      <c r="X199" s="653"/>
      <c r="Y199" s="657"/>
      <c r="Z199" s="615"/>
      <c r="AA199" s="653"/>
      <c r="AB199" s="657"/>
      <c r="AC199" s="653"/>
      <c r="AD199" s="653"/>
      <c r="AE199" s="653"/>
      <c r="AF199" s="653"/>
      <c r="AG199" s="653"/>
      <c r="AH199" s="653"/>
      <c r="AI199" s="653"/>
      <c r="AJ199" s="653"/>
      <c r="AK199" s="653"/>
      <c r="AL199" s="653"/>
      <c r="AM199" s="653"/>
      <c r="AN199" s="653"/>
      <c r="AO199" s="653"/>
      <c r="AP199" s="653"/>
      <c r="AQ199" s="653"/>
      <c r="AR199" s="653"/>
      <c r="AS199" s="653"/>
      <c r="AT199" s="653"/>
      <c r="AU199" s="653"/>
      <c r="AV199" s="653"/>
    </row>
    <row r="200" spans="1:48" ht="14.5">
      <c r="A200" s="653"/>
      <c r="B200" s="653"/>
      <c r="C200" s="653"/>
      <c r="D200" s="653"/>
      <c r="E200" s="653"/>
      <c r="F200" s="653"/>
      <c r="G200" s="654"/>
      <c r="H200" s="654"/>
      <c r="I200" s="653"/>
      <c r="J200" s="653"/>
      <c r="K200" s="655"/>
      <c r="L200" s="653"/>
      <c r="M200" s="653"/>
      <c r="N200" s="653"/>
      <c r="O200" s="653"/>
      <c r="P200" s="653"/>
      <c r="Q200" s="653"/>
      <c r="R200" s="653"/>
      <c r="S200" s="653"/>
      <c r="T200" s="653"/>
      <c r="U200" s="656"/>
      <c r="V200" s="653"/>
      <c r="W200" s="653"/>
      <c r="X200" s="653"/>
      <c r="Y200" s="657"/>
      <c r="Z200" s="615"/>
      <c r="AA200" s="653"/>
      <c r="AB200" s="657"/>
      <c r="AC200" s="653"/>
      <c r="AD200" s="653"/>
      <c r="AE200" s="653"/>
      <c r="AF200" s="653"/>
      <c r="AG200" s="653"/>
      <c r="AH200" s="653"/>
      <c r="AI200" s="653"/>
      <c r="AJ200" s="653"/>
      <c r="AK200" s="653"/>
      <c r="AL200" s="653"/>
      <c r="AM200" s="653"/>
      <c r="AN200" s="653"/>
      <c r="AO200" s="653"/>
      <c r="AP200" s="653"/>
      <c r="AQ200" s="653"/>
      <c r="AR200" s="653"/>
      <c r="AS200" s="653"/>
      <c r="AT200" s="653"/>
      <c r="AU200" s="653"/>
      <c r="AV200" s="653"/>
    </row>
    <row r="201" spans="1:48" ht="14.5">
      <c r="A201" s="653"/>
      <c r="B201" s="653"/>
      <c r="C201" s="653"/>
      <c r="D201" s="653"/>
      <c r="E201" s="653"/>
      <c r="F201" s="653"/>
      <c r="G201" s="654"/>
      <c r="H201" s="654"/>
      <c r="I201" s="653"/>
      <c r="J201" s="653"/>
      <c r="K201" s="655"/>
      <c r="L201" s="653"/>
      <c r="M201" s="653"/>
      <c r="N201" s="653"/>
      <c r="O201" s="653"/>
      <c r="P201" s="653"/>
      <c r="Q201" s="653"/>
      <c r="R201" s="653"/>
      <c r="S201" s="653"/>
      <c r="T201" s="653"/>
      <c r="U201" s="656"/>
      <c r="V201" s="653"/>
      <c r="W201" s="653"/>
      <c r="X201" s="653"/>
      <c r="Y201" s="657"/>
      <c r="Z201" s="615"/>
      <c r="AA201" s="653"/>
      <c r="AB201" s="657"/>
      <c r="AC201" s="653"/>
      <c r="AD201" s="653"/>
      <c r="AE201" s="653"/>
      <c r="AF201" s="653"/>
      <c r="AG201" s="653"/>
      <c r="AH201" s="653"/>
      <c r="AI201" s="653"/>
      <c r="AJ201" s="653"/>
      <c r="AK201" s="653"/>
      <c r="AL201" s="653"/>
      <c r="AM201" s="653"/>
      <c r="AN201" s="653"/>
      <c r="AO201" s="653"/>
      <c r="AP201" s="653"/>
      <c r="AQ201" s="653"/>
      <c r="AR201" s="653"/>
      <c r="AS201" s="653"/>
      <c r="AT201" s="653"/>
      <c r="AU201" s="653"/>
      <c r="AV201" s="653"/>
    </row>
    <row r="202" spans="1:48" ht="14.5">
      <c r="A202" s="653"/>
      <c r="B202" s="653"/>
      <c r="C202" s="653"/>
      <c r="D202" s="653"/>
      <c r="E202" s="653"/>
      <c r="F202" s="653"/>
      <c r="G202" s="654"/>
      <c r="H202" s="654"/>
      <c r="I202" s="653"/>
      <c r="J202" s="653"/>
      <c r="K202" s="655"/>
      <c r="L202" s="653"/>
      <c r="M202" s="653"/>
      <c r="N202" s="653"/>
      <c r="O202" s="653"/>
      <c r="P202" s="653"/>
      <c r="Q202" s="653"/>
      <c r="R202" s="653"/>
      <c r="S202" s="653"/>
      <c r="T202" s="653"/>
      <c r="U202" s="656"/>
      <c r="V202" s="653"/>
      <c r="W202" s="653"/>
      <c r="X202" s="653"/>
      <c r="Y202" s="657"/>
      <c r="Z202" s="615"/>
      <c r="AA202" s="653"/>
      <c r="AB202" s="657"/>
      <c r="AC202" s="653"/>
      <c r="AD202" s="653"/>
      <c r="AE202" s="653"/>
      <c r="AF202" s="653"/>
      <c r="AG202" s="653"/>
      <c r="AH202" s="653"/>
      <c r="AI202" s="653"/>
      <c r="AJ202" s="653"/>
      <c r="AK202" s="653"/>
      <c r="AL202" s="653"/>
      <c r="AM202" s="653"/>
      <c r="AN202" s="653"/>
      <c r="AO202" s="653"/>
      <c r="AP202" s="653"/>
      <c r="AQ202" s="653"/>
      <c r="AR202" s="653"/>
      <c r="AS202" s="653"/>
      <c r="AT202" s="653"/>
      <c r="AU202" s="653"/>
      <c r="AV202" s="653"/>
    </row>
    <row r="203" spans="1:48" ht="14.5">
      <c r="A203" s="653"/>
      <c r="B203" s="653"/>
      <c r="C203" s="653"/>
      <c r="D203" s="653"/>
      <c r="E203" s="653"/>
      <c r="F203" s="653"/>
      <c r="G203" s="654"/>
      <c r="H203" s="654"/>
      <c r="I203" s="653"/>
      <c r="J203" s="653"/>
      <c r="K203" s="655"/>
      <c r="L203" s="653"/>
      <c r="M203" s="653"/>
      <c r="N203" s="653"/>
      <c r="O203" s="653"/>
      <c r="P203" s="653"/>
      <c r="Q203" s="653"/>
      <c r="R203" s="653"/>
      <c r="S203" s="653"/>
      <c r="T203" s="653"/>
      <c r="U203" s="656"/>
      <c r="V203" s="653"/>
      <c r="W203" s="653"/>
      <c r="X203" s="653"/>
      <c r="Y203" s="657"/>
      <c r="Z203" s="615"/>
      <c r="AA203" s="653"/>
      <c r="AB203" s="657"/>
      <c r="AC203" s="653"/>
      <c r="AD203" s="653"/>
      <c r="AE203" s="653"/>
      <c r="AF203" s="653"/>
      <c r="AG203" s="653"/>
      <c r="AH203" s="653"/>
      <c r="AI203" s="653"/>
      <c r="AJ203" s="653"/>
      <c r="AK203" s="653"/>
      <c r="AL203" s="653"/>
      <c r="AM203" s="653"/>
      <c r="AN203" s="653"/>
      <c r="AO203" s="653"/>
      <c r="AP203" s="653"/>
      <c r="AQ203" s="653"/>
      <c r="AR203" s="653"/>
      <c r="AS203" s="653"/>
      <c r="AT203" s="653"/>
      <c r="AU203" s="653"/>
      <c r="AV203" s="653"/>
    </row>
    <row r="204" spans="1:48" ht="14.5">
      <c r="A204" s="653"/>
      <c r="B204" s="653"/>
      <c r="C204" s="653"/>
      <c r="D204" s="653"/>
      <c r="E204" s="653"/>
      <c r="F204" s="653"/>
      <c r="G204" s="654"/>
      <c r="H204" s="654"/>
      <c r="I204" s="653"/>
      <c r="J204" s="653"/>
      <c r="K204" s="655"/>
      <c r="L204" s="653"/>
      <c r="M204" s="653"/>
      <c r="N204" s="653"/>
      <c r="O204" s="653"/>
      <c r="P204" s="653"/>
      <c r="Q204" s="653"/>
      <c r="R204" s="653"/>
      <c r="S204" s="653"/>
      <c r="T204" s="653"/>
      <c r="U204" s="656"/>
      <c r="V204" s="653"/>
      <c r="W204" s="653"/>
      <c r="X204" s="653"/>
      <c r="Y204" s="657"/>
      <c r="Z204" s="615"/>
      <c r="AA204" s="653"/>
      <c r="AB204" s="657"/>
      <c r="AC204" s="653"/>
      <c r="AD204" s="653"/>
      <c r="AE204" s="653"/>
      <c r="AF204" s="653"/>
      <c r="AG204" s="653"/>
      <c r="AH204" s="653"/>
      <c r="AI204" s="653"/>
      <c r="AJ204" s="653"/>
      <c r="AK204" s="653"/>
      <c r="AL204" s="653"/>
      <c r="AM204" s="653"/>
      <c r="AN204" s="653"/>
      <c r="AO204" s="653"/>
      <c r="AP204" s="653"/>
      <c r="AQ204" s="653"/>
      <c r="AR204" s="653"/>
      <c r="AS204" s="653"/>
      <c r="AT204" s="653"/>
      <c r="AU204" s="653"/>
      <c r="AV204" s="653"/>
    </row>
    <row r="205" spans="1:48" ht="14.5">
      <c r="A205" s="653"/>
      <c r="B205" s="653"/>
      <c r="C205" s="653"/>
      <c r="D205" s="653"/>
      <c r="E205" s="653"/>
      <c r="F205" s="653"/>
      <c r="G205" s="654"/>
      <c r="H205" s="654"/>
      <c r="I205" s="653"/>
      <c r="J205" s="653"/>
      <c r="K205" s="655"/>
      <c r="L205" s="653"/>
      <c r="M205" s="653"/>
      <c r="N205" s="653"/>
      <c r="O205" s="653"/>
      <c r="P205" s="653"/>
      <c r="Q205" s="653"/>
      <c r="R205" s="653"/>
      <c r="S205" s="653"/>
      <c r="T205" s="653"/>
      <c r="U205" s="656"/>
      <c r="V205" s="653"/>
      <c r="W205" s="653"/>
      <c r="X205" s="653"/>
      <c r="Y205" s="657"/>
      <c r="Z205" s="615"/>
      <c r="AA205" s="653"/>
      <c r="AB205" s="657"/>
      <c r="AC205" s="653"/>
      <c r="AD205" s="653"/>
      <c r="AE205" s="653"/>
      <c r="AF205" s="653"/>
      <c r="AG205" s="653"/>
      <c r="AH205" s="653"/>
      <c r="AI205" s="653"/>
      <c r="AJ205" s="653"/>
      <c r="AK205" s="653"/>
      <c r="AL205" s="653"/>
      <c r="AM205" s="653"/>
      <c r="AN205" s="653"/>
      <c r="AO205" s="653"/>
      <c r="AP205" s="653"/>
      <c r="AQ205" s="653"/>
      <c r="AR205" s="653"/>
      <c r="AS205" s="653"/>
      <c r="AT205" s="653"/>
      <c r="AU205" s="653"/>
      <c r="AV205" s="653"/>
    </row>
    <row r="206" spans="1:48" ht="14.5">
      <c r="A206" s="653"/>
      <c r="B206" s="653"/>
      <c r="C206" s="653"/>
      <c r="D206" s="653"/>
      <c r="E206" s="653"/>
      <c r="F206" s="653"/>
      <c r="G206" s="654"/>
      <c r="H206" s="654"/>
      <c r="I206" s="653"/>
      <c r="J206" s="653"/>
      <c r="K206" s="655"/>
      <c r="L206" s="653"/>
      <c r="M206" s="653"/>
      <c r="N206" s="653"/>
      <c r="O206" s="653"/>
      <c r="P206" s="653"/>
      <c r="Q206" s="653"/>
      <c r="R206" s="653"/>
      <c r="S206" s="653"/>
      <c r="T206" s="653"/>
      <c r="U206" s="656"/>
      <c r="V206" s="653"/>
      <c r="W206" s="653"/>
      <c r="X206" s="653"/>
      <c r="Y206" s="657"/>
      <c r="Z206" s="615"/>
      <c r="AA206" s="653"/>
      <c r="AB206" s="657"/>
      <c r="AC206" s="653"/>
      <c r="AD206" s="653"/>
      <c r="AE206" s="653"/>
      <c r="AF206" s="653"/>
      <c r="AG206" s="653"/>
      <c r="AH206" s="653"/>
      <c r="AI206" s="653"/>
      <c r="AJ206" s="653"/>
      <c r="AK206" s="653"/>
      <c r="AL206" s="653"/>
      <c r="AM206" s="653"/>
      <c r="AN206" s="653"/>
      <c r="AO206" s="653"/>
      <c r="AP206" s="653"/>
      <c r="AQ206" s="653"/>
      <c r="AR206" s="653"/>
      <c r="AS206" s="653"/>
      <c r="AT206" s="653"/>
      <c r="AU206" s="653"/>
      <c r="AV206" s="653"/>
    </row>
    <row r="207" spans="1:48" ht="14.5">
      <c r="A207" s="653"/>
      <c r="B207" s="653"/>
      <c r="C207" s="653"/>
      <c r="D207" s="653"/>
      <c r="E207" s="653"/>
      <c r="F207" s="653"/>
      <c r="G207" s="654"/>
      <c r="H207" s="654"/>
      <c r="I207" s="653"/>
      <c r="J207" s="653"/>
      <c r="K207" s="655"/>
      <c r="L207" s="653"/>
      <c r="M207" s="653"/>
      <c r="N207" s="653"/>
      <c r="O207" s="653"/>
      <c r="P207" s="653"/>
      <c r="Q207" s="653"/>
      <c r="R207" s="653"/>
      <c r="S207" s="653"/>
      <c r="T207" s="653"/>
      <c r="U207" s="656"/>
      <c r="V207" s="653"/>
      <c r="W207" s="653"/>
      <c r="X207" s="653"/>
      <c r="Y207" s="657"/>
      <c r="Z207" s="615"/>
      <c r="AA207" s="653"/>
      <c r="AB207" s="657"/>
      <c r="AC207" s="653"/>
      <c r="AD207" s="653"/>
      <c r="AE207" s="653"/>
      <c r="AF207" s="653"/>
      <c r="AG207" s="653"/>
      <c r="AH207" s="653"/>
      <c r="AI207" s="653"/>
      <c r="AJ207" s="653"/>
      <c r="AK207" s="653"/>
      <c r="AL207" s="653"/>
      <c r="AM207" s="653"/>
      <c r="AN207" s="653"/>
      <c r="AO207" s="653"/>
      <c r="AP207" s="653"/>
      <c r="AQ207" s="653"/>
      <c r="AR207" s="653"/>
      <c r="AS207" s="653"/>
      <c r="AT207" s="653"/>
      <c r="AU207" s="653"/>
      <c r="AV207" s="653"/>
    </row>
    <row r="208" spans="1:48" ht="14.5">
      <c r="A208" s="653"/>
      <c r="B208" s="653"/>
      <c r="C208" s="653"/>
      <c r="D208" s="653"/>
      <c r="E208" s="653"/>
      <c r="F208" s="653"/>
      <c r="G208" s="654"/>
      <c r="H208" s="654"/>
      <c r="I208" s="653"/>
      <c r="J208" s="653"/>
      <c r="K208" s="655"/>
      <c r="L208" s="653"/>
      <c r="M208" s="653"/>
      <c r="N208" s="653"/>
      <c r="O208" s="653"/>
      <c r="P208" s="653"/>
      <c r="Q208" s="653"/>
      <c r="R208" s="653"/>
      <c r="S208" s="653"/>
      <c r="T208" s="653"/>
      <c r="U208" s="656"/>
      <c r="V208" s="653"/>
      <c r="W208" s="653"/>
      <c r="X208" s="653"/>
      <c r="Y208" s="657"/>
      <c r="Z208" s="615"/>
      <c r="AA208" s="653"/>
      <c r="AB208" s="657"/>
      <c r="AC208" s="653"/>
      <c r="AD208" s="653"/>
      <c r="AE208" s="653"/>
      <c r="AF208" s="653"/>
      <c r="AG208" s="653"/>
      <c r="AH208" s="653"/>
      <c r="AI208" s="653"/>
      <c r="AJ208" s="653"/>
      <c r="AK208" s="653"/>
      <c r="AL208" s="653"/>
      <c r="AM208" s="653"/>
      <c r="AN208" s="653"/>
      <c r="AO208" s="653"/>
      <c r="AP208" s="653"/>
      <c r="AQ208" s="653"/>
      <c r="AR208" s="653"/>
      <c r="AS208" s="653"/>
      <c r="AT208" s="653"/>
      <c r="AU208" s="653"/>
      <c r="AV208" s="653"/>
    </row>
    <row r="209" spans="1:48" ht="14.5">
      <c r="A209" s="653"/>
      <c r="B209" s="653"/>
      <c r="C209" s="653"/>
      <c r="D209" s="653"/>
      <c r="E209" s="653"/>
      <c r="F209" s="653"/>
      <c r="G209" s="654"/>
      <c r="H209" s="654"/>
      <c r="I209" s="653"/>
      <c r="J209" s="653"/>
      <c r="K209" s="655"/>
      <c r="L209" s="653"/>
      <c r="M209" s="653"/>
      <c r="N209" s="653"/>
      <c r="O209" s="653"/>
      <c r="P209" s="653"/>
      <c r="Q209" s="653"/>
      <c r="R209" s="653"/>
      <c r="S209" s="653"/>
      <c r="T209" s="653"/>
      <c r="U209" s="656"/>
      <c r="V209" s="653"/>
      <c r="W209" s="653"/>
      <c r="X209" s="653"/>
      <c r="Y209" s="657"/>
      <c r="Z209" s="615"/>
      <c r="AA209" s="653"/>
      <c r="AB209" s="657"/>
      <c r="AC209" s="653"/>
      <c r="AD209" s="653"/>
      <c r="AE209" s="653"/>
      <c r="AF209" s="653"/>
      <c r="AG209" s="653"/>
      <c r="AH209" s="653"/>
      <c r="AI209" s="653"/>
      <c r="AJ209" s="653"/>
      <c r="AK209" s="653"/>
      <c r="AL209" s="653"/>
      <c r="AM209" s="653"/>
      <c r="AN209" s="653"/>
      <c r="AO209" s="653"/>
      <c r="AP209" s="653"/>
      <c r="AQ209" s="653"/>
      <c r="AR209" s="653"/>
      <c r="AS209" s="653"/>
      <c r="AT209" s="653"/>
      <c r="AU209" s="653"/>
      <c r="AV209" s="653"/>
    </row>
    <row r="210" spans="1:48" ht="14.5">
      <c r="A210" s="653"/>
      <c r="B210" s="653"/>
      <c r="C210" s="653"/>
      <c r="D210" s="653"/>
      <c r="E210" s="653"/>
      <c r="F210" s="653"/>
      <c r="G210" s="654"/>
      <c r="H210" s="654"/>
      <c r="I210" s="653"/>
      <c r="J210" s="653"/>
      <c r="K210" s="655"/>
      <c r="L210" s="653"/>
      <c r="M210" s="653"/>
      <c r="N210" s="653"/>
      <c r="O210" s="653"/>
      <c r="P210" s="653"/>
      <c r="Q210" s="653"/>
      <c r="R210" s="653"/>
      <c r="S210" s="653"/>
      <c r="T210" s="653"/>
      <c r="U210" s="656"/>
      <c r="V210" s="653"/>
      <c r="W210" s="653"/>
      <c r="X210" s="653"/>
      <c r="Y210" s="657"/>
      <c r="Z210" s="615"/>
      <c r="AA210" s="653"/>
      <c r="AB210" s="657"/>
      <c r="AC210" s="653"/>
      <c r="AD210" s="653"/>
      <c r="AE210" s="653"/>
      <c r="AF210" s="653"/>
      <c r="AG210" s="653"/>
      <c r="AH210" s="653"/>
      <c r="AI210" s="653"/>
      <c r="AJ210" s="653"/>
      <c r="AK210" s="653"/>
      <c r="AL210" s="653"/>
      <c r="AM210" s="653"/>
      <c r="AN210" s="653"/>
      <c r="AO210" s="653"/>
      <c r="AP210" s="653"/>
      <c r="AQ210" s="653"/>
      <c r="AR210" s="653"/>
      <c r="AS210" s="653"/>
      <c r="AT210" s="653"/>
      <c r="AU210" s="653"/>
      <c r="AV210" s="653"/>
    </row>
    <row r="211" spans="1:48" ht="14.5">
      <c r="A211" s="653"/>
      <c r="B211" s="653"/>
      <c r="C211" s="653"/>
      <c r="D211" s="653"/>
      <c r="E211" s="653"/>
      <c r="F211" s="653"/>
      <c r="G211" s="654"/>
      <c r="H211" s="654"/>
      <c r="I211" s="653"/>
      <c r="J211" s="653"/>
      <c r="K211" s="655"/>
      <c r="L211" s="653"/>
      <c r="M211" s="653"/>
      <c r="N211" s="653"/>
      <c r="O211" s="653"/>
      <c r="P211" s="653"/>
      <c r="Q211" s="653"/>
      <c r="R211" s="653"/>
      <c r="S211" s="653"/>
      <c r="T211" s="653"/>
      <c r="U211" s="656"/>
      <c r="V211" s="653"/>
      <c r="W211" s="653"/>
      <c r="X211" s="653"/>
      <c r="Y211" s="657"/>
      <c r="Z211" s="615"/>
      <c r="AA211" s="653"/>
      <c r="AB211" s="657"/>
      <c r="AC211" s="653"/>
      <c r="AD211" s="653"/>
      <c r="AE211" s="653"/>
      <c r="AF211" s="653"/>
      <c r="AG211" s="653"/>
      <c r="AH211" s="653"/>
      <c r="AI211" s="653"/>
      <c r="AJ211" s="653"/>
      <c r="AK211" s="653"/>
      <c r="AL211" s="653"/>
      <c r="AM211" s="653"/>
      <c r="AN211" s="653"/>
      <c r="AO211" s="653"/>
      <c r="AP211" s="653"/>
      <c r="AQ211" s="653"/>
      <c r="AR211" s="653"/>
      <c r="AS211" s="653"/>
      <c r="AT211" s="653"/>
      <c r="AU211" s="653"/>
      <c r="AV211" s="653"/>
    </row>
    <row r="212" spans="1:48" ht="14.5">
      <c r="A212" s="653"/>
      <c r="B212" s="653"/>
      <c r="C212" s="653"/>
      <c r="D212" s="653"/>
      <c r="E212" s="653"/>
      <c r="F212" s="653"/>
      <c r="G212" s="654"/>
      <c r="H212" s="654"/>
      <c r="I212" s="653"/>
      <c r="J212" s="653"/>
      <c r="K212" s="655"/>
      <c r="L212" s="653"/>
      <c r="M212" s="653"/>
      <c r="N212" s="653"/>
      <c r="O212" s="653"/>
      <c r="P212" s="653"/>
      <c r="Q212" s="653"/>
      <c r="R212" s="653"/>
      <c r="S212" s="653"/>
      <c r="T212" s="653"/>
      <c r="U212" s="656"/>
      <c r="V212" s="653"/>
      <c r="W212" s="653"/>
      <c r="X212" s="653"/>
      <c r="Y212" s="657"/>
      <c r="Z212" s="615"/>
      <c r="AA212" s="653"/>
      <c r="AB212" s="657"/>
      <c r="AC212" s="653"/>
      <c r="AD212" s="653"/>
      <c r="AE212" s="653"/>
      <c r="AF212" s="653"/>
      <c r="AG212" s="653"/>
      <c r="AH212" s="653"/>
      <c r="AI212" s="653"/>
      <c r="AJ212" s="653"/>
      <c r="AK212" s="653"/>
      <c r="AL212" s="653"/>
      <c r="AM212" s="653"/>
      <c r="AN212" s="653"/>
      <c r="AO212" s="653"/>
      <c r="AP212" s="653"/>
      <c r="AQ212" s="653"/>
      <c r="AR212" s="653"/>
      <c r="AS212" s="653"/>
      <c r="AT212" s="653"/>
      <c r="AU212" s="653"/>
      <c r="AV212" s="653"/>
    </row>
    <row r="213" spans="1:48" ht="14.5">
      <c r="A213" s="653"/>
      <c r="B213" s="653"/>
      <c r="C213" s="653"/>
      <c r="D213" s="653"/>
      <c r="E213" s="653"/>
      <c r="F213" s="653"/>
      <c r="G213" s="654"/>
      <c r="H213" s="654"/>
      <c r="I213" s="653"/>
      <c r="J213" s="653"/>
      <c r="K213" s="655"/>
      <c r="L213" s="653"/>
      <c r="M213" s="653"/>
      <c r="N213" s="653"/>
      <c r="O213" s="653"/>
      <c r="P213" s="653"/>
      <c r="Q213" s="653"/>
      <c r="R213" s="653"/>
      <c r="S213" s="653"/>
      <c r="T213" s="653"/>
      <c r="U213" s="656"/>
      <c r="V213" s="653"/>
      <c r="W213" s="653"/>
      <c r="X213" s="653"/>
      <c r="Y213" s="657"/>
      <c r="Z213" s="615"/>
      <c r="AA213" s="653"/>
      <c r="AB213" s="657"/>
      <c r="AC213" s="653"/>
      <c r="AD213" s="653"/>
      <c r="AE213" s="653"/>
      <c r="AF213" s="653"/>
      <c r="AG213" s="653"/>
      <c r="AH213" s="653"/>
      <c r="AI213" s="653"/>
      <c r="AJ213" s="653"/>
      <c r="AK213" s="653"/>
      <c r="AL213" s="653"/>
      <c r="AM213" s="653"/>
      <c r="AN213" s="653"/>
      <c r="AO213" s="653"/>
      <c r="AP213" s="653"/>
      <c r="AQ213" s="653"/>
      <c r="AR213" s="653"/>
      <c r="AS213" s="653"/>
      <c r="AT213" s="653"/>
      <c r="AU213" s="653"/>
      <c r="AV213" s="653"/>
    </row>
    <row r="214" spans="1:48" ht="14.5">
      <c r="A214" s="653"/>
      <c r="B214" s="653"/>
      <c r="C214" s="653"/>
      <c r="D214" s="653"/>
      <c r="E214" s="653"/>
      <c r="F214" s="653"/>
      <c r="G214" s="654"/>
      <c r="H214" s="654"/>
      <c r="I214" s="653"/>
      <c r="J214" s="653"/>
      <c r="K214" s="655"/>
      <c r="L214" s="653"/>
      <c r="M214" s="653"/>
      <c r="N214" s="653"/>
      <c r="O214" s="653"/>
      <c r="P214" s="653"/>
      <c r="Q214" s="653"/>
      <c r="R214" s="653"/>
      <c r="S214" s="653"/>
      <c r="T214" s="653"/>
      <c r="U214" s="656"/>
      <c r="V214" s="653"/>
      <c r="W214" s="653"/>
      <c r="X214" s="653"/>
      <c r="Y214" s="657"/>
      <c r="Z214" s="615"/>
      <c r="AA214" s="653"/>
      <c r="AB214" s="657"/>
      <c r="AC214" s="653"/>
      <c r="AD214" s="653"/>
      <c r="AE214" s="653"/>
      <c r="AF214" s="653"/>
      <c r="AG214" s="653"/>
      <c r="AH214" s="653"/>
      <c r="AI214" s="653"/>
      <c r="AJ214" s="653"/>
      <c r="AK214" s="653"/>
      <c r="AL214" s="653"/>
      <c r="AM214" s="653"/>
      <c r="AN214" s="653"/>
      <c r="AO214" s="653"/>
      <c r="AP214" s="653"/>
      <c r="AQ214" s="653"/>
      <c r="AR214" s="653"/>
      <c r="AS214" s="653"/>
      <c r="AT214" s="653"/>
      <c r="AU214" s="653"/>
      <c r="AV214" s="653"/>
    </row>
    <row r="215" spans="1:48" ht="14.5">
      <c r="A215" s="653"/>
      <c r="B215" s="653"/>
      <c r="C215" s="653"/>
      <c r="D215" s="653"/>
      <c r="E215" s="653"/>
      <c r="F215" s="653"/>
      <c r="G215" s="654"/>
      <c r="H215" s="654"/>
      <c r="I215" s="653"/>
      <c r="J215" s="653"/>
      <c r="K215" s="655"/>
      <c r="L215" s="653"/>
      <c r="M215" s="653"/>
      <c r="N215" s="653"/>
      <c r="O215" s="653"/>
      <c r="P215" s="653"/>
      <c r="Q215" s="653"/>
      <c r="R215" s="653"/>
      <c r="S215" s="653"/>
      <c r="T215" s="653"/>
      <c r="U215" s="656"/>
      <c r="V215" s="653"/>
      <c r="W215" s="653"/>
      <c r="X215" s="653"/>
      <c r="Y215" s="657"/>
      <c r="Z215" s="615"/>
      <c r="AA215" s="653"/>
      <c r="AB215" s="657"/>
      <c r="AC215" s="653"/>
      <c r="AD215" s="653"/>
      <c r="AE215" s="653"/>
      <c r="AF215" s="653"/>
      <c r="AG215" s="653"/>
      <c r="AH215" s="653"/>
      <c r="AI215" s="653"/>
      <c r="AJ215" s="653"/>
      <c r="AK215" s="653"/>
      <c r="AL215" s="653"/>
      <c r="AM215" s="653"/>
      <c r="AN215" s="653"/>
      <c r="AO215" s="653"/>
      <c r="AP215" s="653"/>
      <c r="AQ215" s="653"/>
      <c r="AR215" s="653"/>
      <c r="AS215" s="653"/>
      <c r="AT215" s="653"/>
      <c r="AU215" s="653"/>
      <c r="AV215" s="653"/>
    </row>
    <row r="216" spans="1:48" ht="14.5">
      <c r="A216" s="653"/>
      <c r="B216" s="653"/>
      <c r="C216" s="653"/>
      <c r="D216" s="653"/>
      <c r="E216" s="653"/>
      <c r="F216" s="653"/>
      <c r="G216" s="654"/>
      <c r="H216" s="654"/>
      <c r="I216" s="653"/>
      <c r="J216" s="653"/>
      <c r="K216" s="655"/>
      <c r="L216" s="653"/>
      <c r="M216" s="653"/>
      <c r="N216" s="653"/>
      <c r="O216" s="653"/>
      <c r="P216" s="653"/>
      <c r="Q216" s="653"/>
      <c r="R216" s="653"/>
      <c r="S216" s="653"/>
      <c r="T216" s="653"/>
      <c r="U216" s="656"/>
      <c r="V216" s="653"/>
      <c r="W216" s="653"/>
      <c r="X216" s="653"/>
      <c r="Y216" s="657"/>
      <c r="Z216" s="615"/>
      <c r="AA216" s="653"/>
      <c r="AB216" s="657"/>
      <c r="AC216" s="653"/>
      <c r="AD216" s="653"/>
      <c r="AE216" s="653"/>
      <c r="AF216" s="653"/>
      <c r="AG216" s="653"/>
      <c r="AH216" s="653"/>
      <c r="AI216" s="653"/>
      <c r="AJ216" s="653"/>
      <c r="AK216" s="653"/>
      <c r="AL216" s="653"/>
      <c r="AM216" s="653"/>
      <c r="AN216" s="653"/>
      <c r="AO216" s="653"/>
      <c r="AP216" s="653"/>
      <c r="AQ216" s="653"/>
      <c r="AR216" s="653"/>
      <c r="AS216" s="653"/>
      <c r="AT216" s="653"/>
      <c r="AU216" s="653"/>
      <c r="AV216" s="653"/>
    </row>
    <row r="217" spans="1:48" ht="14.5">
      <c r="A217" s="653"/>
      <c r="B217" s="653"/>
      <c r="C217" s="653"/>
      <c r="D217" s="653"/>
      <c r="E217" s="653"/>
      <c r="F217" s="653"/>
      <c r="G217" s="654"/>
      <c r="H217" s="654"/>
      <c r="I217" s="653"/>
      <c r="J217" s="653"/>
      <c r="K217" s="655"/>
      <c r="L217" s="653"/>
      <c r="M217" s="653"/>
      <c r="N217" s="653"/>
      <c r="O217" s="653"/>
      <c r="P217" s="653"/>
      <c r="Q217" s="653"/>
      <c r="R217" s="653"/>
      <c r="S217" s="653"/>
      <c r="T217" s="653"/>
      <c r="U217" s="656"/>
      <c r="V217" s="653"/>
      <c r="W217" s="653"/>
      <c r="X217" s="653"/>
      <c r="Y217" s="657"/>
      <c r="Z217" s="615"/>
      <c r="AA217" s="653"/>
      <c r="AB217" s="657"/>
      <c r="AC217" s="653"/>
      <c r="AD217" s="653"/>
      <c r="AE217" s="653"/>
      <c r="AF217" s="653"/>
      <c r="AG217" s="653"/>
      <c r="AH217" s="653"/>
      <c r="AI217" s="653"/>
      <c r="AJ217" s="653"/>
      <c r="AK217" s="653"/>
      <c r="AL217" s="653"/>
      <c r="AM217" s="653"/>
      <c r="AN217" s="653"/>
      <c r="AO217" s="653"/>
      <c r="AP217" s="653"/>
      <c r="AQ217" s="653"/>
      <c r="AR217" s="653"/>
      <c r="AS217" s="653"/>
      <c r="AT217" s="653"/>
      <c r="AU217" s="653"/>
      <c r="AV217" s="653"/>
    </row>
    <row r="218" spans="1:48" ht="14.5">
      <c r="A218" s="653"/>
      <c r="B218" s="653"/>
      <c r="C218" s="653"/>
      <c r="D218" s="653"/>
      <c r="E218" s="653"/>
      <c r="F218" s="653"/>
      <c r="G218" s="654"/>
      <c r="H218" s="654"/>
      <c r="I218" s="653"/>
      <c r="J218" s="653"/>
      <c r="K218" s="655"/>
      <c r="L218" s="653"/>
      <c r="M218" s="653"/>
      <c r="N218" s="653"/>
      <c r="O218" s="653"/>
      <c r="P218" s="653"/>
      <c r="Q218" s="653"/>
      <c r="R218" s="653"/>
      <c r="S218" s="653"/>
      <c r="T218" s="653"/>
      <c r="U218" s="656"/>
      <c r="V218" s="653"/>
      <c r="W218" s="653"/>
      <c r="X218" s="653"/>
      <c r="Y218" s="657"/>
      <c r="Z218" s="615"/>
      <c r="AA218" s="653"/>
      <c r="AB218" s="657"/>
      <c r="AC218" s="653"/>
      <c r="AD218" s="653"/>
      <c r="AE218" s="653"/>
      <c r="AF218" s="653"/>
      <c r="AG218" s="653"/>
      <c r="AH218" s="653"/>
      <c r="AI218" s="653"/>
      <c r="AJ218" s="653"/>
      <c r="AK218" s="653"/>
      <c r="AL218" s="653"/>
      <c r="AM218" s="653"/>
      <c r="AN218" s="653"/>
      <c r="AO218" s="653"/>
      <c r="AP218" s="653"/>
      <c r="AQ218" s="653"/>
      <c r="AR218" s="653"/>
      <c r="AS218" s="653"/>
      <c r="AT218" s="653"/>
      <c r="AU218" s="653"/>
      <c r="AV218" s="653"/>
    </row>
    <row r="219" spans="1:48" ht="14.5">
      <c r="A219" s="653"/>
      <c r="B219" s="653"/>
      <c r="C219" s="653"/>
      <c r="D219" s="653"/>
      <c r="E219" s="653"/>
      <c r="F219" s="653"/>
      <c r="G219" s="654"/>
      <c r="H219" s="654"/>
      <c r="I219" s="653"/>
      <c r="J219" s="653"/>
      <c r="K219" s="655"/>
      <c r="L219" s="653"/>
      <c r="M219" s="653"/>
      <c r="N219" s="653"/>
      <c r="O219" s="653"/>
      <c r="P219" s="653"/>
      <c r="Q219" s="653"/>
      <c r="R219" s="653"/>
      <c r="S219" s="653"/>
      <c r="T219" s="653"/>
      <c r="U219" s="656"/>
      <c r="V219" s="653"/>
      <c r="W219" s="653"/>
      <c r="X219" s="653"/>
      <c r="Y219" s="657"/>
      <c r="Z219" s="615"/>
      <c r="AA219" s="653"/>
      <c r="AB219" s="657"/>
      <c r="AC219" s="653"/>
      <c r="AD219" s="653"/>
      <c r="AE219" s="653"/>
      <c r="AF219" s="653"/>
      <c r="AG219" s="653"/>
      <c r="AH219" s="653"/>
      <c r="AI219" s="653"/>
      <c r="AJ219" s="653"/>
      <c r="AK219" s="653"/>
      <c r="AL219" s="653"/>
      <c r="AM219" s="653"/>
      <c r="AN219" s="653"/>
      <c r="AO219" s="653"/>
      <c r="AP219" s="653"/>
      <c r="AQ219" s="653"/>
      <c r="AR219" s="653"/>
      <c r="AS219" s="653"/>
      <c r="AT219" s="653"/>
      <c r="AU219" s="653"/>
      <c r="AV219" s="653"/>
    </row>
    <row r="220" spans="1:48" ht="14.5">
      <c r="A220" s="653"/>
      <c r="B220" s="653"/>
      <c r="C220" s="653"/>
      <c r="D220" s="653"/>
      <c r="E220" s="653"/>
      <c r="F220" s="653"/>
      <c r="G220" s="654"/>
      <c r="H220" s="654"/>
      <c r="I220" s="653"/>
      <c r="J220" s="653"/>
      <c r="K220" s="655"/>
      <c r="L220" s="653"/>
      <c r="M220" s="653"/>
      <c r="N220" s="653"/>
      <c r="O220" s="653"/>
      <c r="P220" s="653"/>
      <c r="Q220" s="653"/>
      <c r="R220" s="653"/>
      <c r="S220" s="653"/>
      <c r="T220" s="653"/>
      <c r="U220" s="656"/>
      <c r="V220" s="653"/>
      <c r="W220" s="653"/>
      <c r="X220" s="653"/>
      <c r="Y220" s="657"/>
      <c r="Z220" s="615"/>
      <c r="AA220" s="653"/>
      <c r="AB220" s="657"/>
      <c r="AC220" s="653"/>
      <c r="AD220" s="653"/>
      <c r="AE220" s="653"/>
      <c r="AF220" s="653"/>
      <c r="AG220" s="653"/>
      <c r="AH220" s="653"/>
      <c r="AI220" s="653"/>
      <c r="AJ220" s="653"/>
      <c r="AK220" s="653"/>
      <c r="AL220" s="653"/>
      <c r="AM220" s="653"/>
      <c r="AN220" s="653"/>
      <c r="AO220" s="653"/>
      <c r="AP220" s="653"/>
      <c r="AQ220" s="653"/>
      <c r="AR220" s="653"/>
      <c r="AS220" s="653"/>
      <c r="AT220" s="653"/>
      <c r="AU220" s="653"/>
      <c r="AV220" s="653"/>
    </row>
    <row r="221" spans="1:48" ht="14.5">
      <c r="A221" s="653"/>
      <c r="B221" s="653"/>
      <c r="C221" s="653"/>
      <c r="D221" s="653"/>
      <c r="E221" s="653"/>
      <c r="F221" s="653"/>
      <c r="G221" s="654"/>
      <c r="H221" s="654"/>
      <c r="I221" s="653"/>
      <c r="J221" s="653"/>
      <c r="K221" s="655"/>
      <c r="L221" s="653"/>
      <c r="M221" s="653"/>
      <c r="N221" s="653"/>
      <c r="O221" s="653"/>
      <c r="P221" s="653"/>
      <c r="Q221" s="653"/>
      <c r="R221" s="653"/>
      <c r="S221" s="653"/>
      <c r="T221" s="653"/>
      <c r="U221" s="656"/>
      <c r="V221" s="653"/>
      <c r="W221" s="653"/>
      <c r="X221" s="653"/>
      <c r="Y221" s="657"/>
      <c r="Z221" s="615"/>
      <c r="AA221" s="653"/>
      <c r="AB221" s="657"/>
      <c r="AC221" s="653"/>
      <c r="AD221" s="653"/>
      <c r="AE221" s="653"/>
      <c r="AF221" s="653"/>
      <c r="AG221" s="653"/>
      <c r="AH221" s="653"/>
      <c r="AI221" s="653"/>
      <c r="AJ221" s="653"/>
      <c r="AK221" s="653"/>
      <c r="AL221" s="653"/>
      <c r="AM221" s="653"/>
      <c r="AN221" s="653"/>
      <c r="AO221" s="653"/>
      <c r="AP221" s="653"/>
      <c r="AQ221" s="653"/>
      <c r="AR221" s="653"/>
      <c r="AS221" s="653"/>
      <c r="AT221" s="653"/>
      <c r="AU221" s="653"/>
      <c r="AV221" s="653"/>
    </row>
    <row r="222" spans="1:48" ht="14.5">
      <c r="A222" s="653"/>
      <c r="B222" s="653"/>
      <c r="C222" s="653"/>
      <c r="D222" s="653"/>
      <c r="E222" s="653"/>
      <c r="F222" s="653"/>
      <c r="G222" s="654"/>
      <c r="H222" s="654"/>
      <c r="I222" s="653"/>
      <c r="J222" s="653"/>
      <c r="K222" s="655"/>
      <c r="L222" s="653"/>
      <c r="M222" s="653"/>
      <c r="N222" s="653"/>
      <c r="O222" s="653"/>
      <c r="P222" s="653"/>
      <c r="Q222" s="653"/>
      <c r="R222" s="653"/>
      <c r="S222" s="653"/>
      <c r="T222" s="653"/>
      <c r="U222" s="656"/>
      <c r="V222" s="653"/>
      <c r="W222" s="653"/>
      <c r="X222" s="653"/>
      <c r="Y222" s="657"/>
      <c r="Z222" s="615"/>
      <c r="AA222" s="653"/>
      <c r="AB222" s="657"/>
      <c r="AC222" s="653"/>
      <c r="AD222" s="653"/>
      <c r="AE222" s="653"/>
      <c r="AF222" s="653"/>
      <c r="AG222" s="653"/>
      <c r="AH222" s="653"/>
      <c r="AI222" s="653"/>
      <c r="AJ222" s="653"/>
      <c r="AK222" s="653"/>
      <c r="AL222" s="653"/>
      <c r="AM222" s="653"/>
      <c r="AN222" s="653"/>
      <c r="AO222" s="653"/>
      <c r="AP222" s="653"/>
      <c r="AQ222" s="653"/>
      <c r="AR222" s="653"/>
      <c r="AS222" s="653"/>
      <c r="AT222" s="653"/>
      <c r="AU222" s="653"/>
      <c r="AV222" s="653"/>
    </row>
    <row r="223" spans="1:48" ht="14.5">
      <c r="A223" s="653"/>
      <c r="B223" s="653"/>
      <c r="C223" s="653"/>
      <c r="D223" s="653"/>
      <c r="E223" s="653"/>
      <c r="F223" s="653"/>
      <c r="G223" s="654"/>
      <c r="H223" s="654"/>
      <c r="I223" s="653"/>
      <c r="J223" s="653"/>
      <c r="K223" s="655"/>
      <c r="L223" s="653"/>
      <c r="M223" s="653"/>
      <c r="N223" s="653"/>
      <c r="O223" s="653"/>
      <c r="P223" s="653"/>
      <c r="Q223" s="653"/>
      <c r="R223" s="653"/>
      <c r="S223" s="653"/>
      <c r="T223" s="653"/>
      <c r="U223" s="656"/>
      <c r="V223" s="653"/>
      <c r="W223" s="653"/>
      <c r="X223" s="653"/>
      <c r="Y223" s="657"/>
      <c r="Z223" s="615"/>
      <c r="AA223" s="653"/>
      <c r="AB223" s="657"/>
      <c r="AC223" s="653"/>
      <c r="AD223" s="653"/>
      <c r="AE223" s="653"/>
      <c r="AF223" s="653"/>
      <c r="AG223" s="653"/>
      <c r="AH223" s="653"/>
      <c r="AI223" s="653"/>
      <c r="AJ223" s="653"/>
      <c r="AK223" s="653"/>
      <c r="AL223" s="653"/>
      <c r="AM223" s="653"/>
      <c r="AN223" s="653"/>
      <c r="AO223" s="653"/>
      <c r="AP223" s="653"/>
      <c r="AQ223" s="653"/>
      <c r="AR223" s="653"/>
      <c r="AS223" s="653"/>
      <c r="AT223" s="653"/>
      <c r="AU223" s="653"/>
      <c r="AV223" s="653"/>
    </row>
    <row r="224" spans="1:48" ht="14.5">
      <c r="A224" s="653"/>
      <c r="B224" s="653"/>
      <c r="C224" s="653"/>
      <c r="D224" s="653"/>
      <c r="E224" s="653"/>
      <c r="F224" s="653"/>
      <c r="G224" s="654"/>
      <c r="H224" s="654"/>
      <c r="I224" s="653"/>
      <c r="J224" s="653"/>
      <c r="K224" s="655"/>
      <c r="L224" s="653"/>
      <c r="M224" s="653"/>
      <c r="N224" s="653"/>
      <c r="O224" s="653"/>
      <c r="P224" s="653"/>
      <c r="Q224" s="653"/>
      <c r="R224" s="653"/>
      <c r="S224" s="653"/>
      <c r="T224" s="653"/>
      <c r="U224" s="656"/>
      <c r="V224" s="653"/>
      <c r="W224" s="653"/>
      <c r="X224" s="653"/>
      <c r="Y224" s="657"/>
      <c r="Z224" s="615"/>
      <c r="AA224" s="653"/>
      <c r="AB224" s="657"/>
      <c r="AC224" s="653"/>
      <c r="AD224" s="653"/>
      <c r="AE224" s="653"/>
      <c r="AF224" s="653"/>
      <c r="AG224" s="653"/>
      <c r="AH224" s="653"/>
      <c r="AI224" s="653"/>
      <c r="AJ224" s="653"/>
      <c r="AK224" s="653"/>
      <c r="AL224" s="653"/>
      <c r="AM224" s="653"/>
      <c r="AN224" s="653"/>
      <c r="AO224" s="653"/>
      <c r="AP224" s="653"/>
      <c r="AQ224" s="653"/>
      <c r="AR224" s="653"/>
      <c r="AS224" s="653"/>
      <c r="AT224" s="653"/>
      <c r="AU224" s="653"/>
      <c r="AV224" s="653"/>
    </row>
    <row r="225" spans="1:48" ht="14.5">
      <c r="A225" s="653"/>
      <c r="B225" s="653"/>
      <c r="C225" s="653"/>
      <c r="D225" s="653"/>
      <c r="E225" s="653"/>
      <c r="F225" s="653"/>
      <c r="G225" s="654"/>
      <c r="H225" s="654"/>
      <c r="I225" s="653"/>
      <c r="J225" s="653"/>
      <c r="K225" s="655"/>
      <c r="L225" s="653"/>
      <c r="M225" s="653"/>
      <c r="N225" s="653"/>
      <c r="O225" s="653"/>
      <c r="P225" s="653"/>
      <c r="Q225" s="653"/>
      <c r="R225" s="653"/>
      <c r="S225" s="653"/>
      <c r="T225" s="653"/>
      <c r="U225" s="656"/>
      <c r="V225" s="653"/>
      <c r="W225" s="653"/>
      <c r="X225" s="653"/>
      <c r="Y225" s="657"/>
      <c r="Z225" s="615"/>
      <c r="AA225" s="653"/>
      <c r="AB225" s="657"/>
      <c r="AC225" s="653"/>
      <c r="AD225" s="653"/>
      <c r="AE225" s="653"/>
      <c r="AF225" s="653"/>
      <c r="AG225" s="653"/>
      <c r="AH225" s="653"/>
      <c r="AI225" s="653"/>
      <c r="AJ225" s="653"/>
      <c r="AK225" s="653"/>
      <c r="AL225" s="653"/>
      <c r="AM225" s="653"/>
      <c r="AN225" s="653"/>
      <c r="AO225" s="653"/>
      <c r="AP225" s="653"/>
      <c r="AQ225" s="653"/>
      <c r="AR225" s="653"/>
      <c r="AS225" s="653"/>
      <c r="AT225" s="653"/>
      <c r="AU225" s="653"/>
      <c r="AV225" s="653"/>
    </row>
    <row r="226" spans="1:48" ht="14.5">
      <c r="A226" s="653"/>
      <c r="B226" s="653"/>
      <c r="C226" s="653"/>
      <c r="D226" s="653"/>
      <c r="E226" s="653"/>
      <c r="F226" s="653"/>
      <c r="G226" s="654"/>
      <c r="H226" s="654"/>
      <c r="I226" s="653"/>
      <c r="J226" s="653"/>
      <c r="K226" s="655"/>
      <c r="L226" s="653"/>
      <c r="M226" s="653"/>
      <c r="N226" s="653"/>
      <c r="O226" s="653"/>
      <c r="P226" s="653"/>
      <c r="Q226" s="653"/>
      <c r="R226" s="653"/>
      <c r="S226" s="653"/>
      <c r="T226" s="653"/>
      <c r="U226" s="656"/>
      <c r="V226" s="653"/>
      <c r="W226" s="653"/>
      <c r="X226" s="653"/>
      <c r="Y226" s="657"/>
      <c r="Z226" s="615"/>
      <c r="AA226" s="653"/>
      <c r="AB226" s="657"/>
      <c r="AC226" s="653"/>
      <c r="AD226" s="653"/>
      <c r="AE226" s="653"/>
      <c r="AF226" s="653"/>
      <c r="AG226" s="653"/>
      <c r="AH226" s="653"/>
      <c r="AI226" s="653"/>
      <c r="AJ226" s="653"/>
      <c r="AK226" s="653"/>
      <c r="AL226" s="653"/>
      <c r="AM226" s="653"/>
      <c r="AN226" s="653"/>
      <c r="AO226" s="653"/>
      <c r="AP226" s="653"/>
      <c r="AQ226" s="653"/>
      <c r="AR226" s="653"/>
      <c r="AS226" s="653"/>
      <c r="AT226" s="653"/>
      <c r="AU226" s="653"/>
      <c r="AV226" s="653"/>
    </row>
    <row r="227" spans="1:48" ht="14.5">
      <c r="A227" s="653"/>
      <c r="B227" s="653"/>
      <c r="C227" s="653"/>
      <c r="D227" s="653"/>
      <c r="E227" s="653"/>
      <c r="F227" s="653"/>
      <c r="G227" s="654"/>
      <c r="H227" s="654"/>
      <c r="I227" s="653"/>
      <c r="J227" s="653"/>
      <c r="K227" s="655"/>
      <c r="L227" s="653"/>
      <c r="M227" s="653"/>
      <c r="N227" s="653"/>
      <c r="O227" s="653"/>
      <c r="P227" s="653"/>
      <c r="Q227" s="653"/>
      <c r="R227" s="653"/>
      <c r="S227" s="653"/>
      <c r="T227" s="653"/>
      <c r="U227" s="656"/>
      <c r="V227" s="653"/>
      <c r="W227" s="653"/>
      <c r="X227" s="653"/>
      <c r="Y227" s="657"/>
      <c r="Z227" s="615"/>
      <c r="AA227" s="653"/>
      <c r="AB227" s="657"/>
      <c r="AC227" s="653"/>
      <c r="AD227" s="653"/>
      <c r="AE227" s="653"/>
      <c r="AF227" s="653"/>
      <c r="AG227" s="653"/>
      <c r="AH227" s="653"/>
      <c r="AI227" s="653"/>
      <c r="AJ227" s="653"/>
      <c r="AK227" s="653"/>
      <c r="AL227" s="653"/>
      <c r="AM227" s="653"/>
      <c r="AN227" s="653"/>
      <c r="AO227" s="653"/>
      <c r="AP227" s="653"/>
      <c r="AQ227" s="653"/>
      <c r="AR227" s="653"/>
      <c r="AS227" s="653"/>
      <c r="AT227" s="653"/>
      <c r="AU227" s="653"/>
      <c r="AV227" s="653"/>
    </row>
    <row r="228" spans="1:48" ht="14.5">
      <c r="A228" s="653"/>
      <c r="B228" s="653"/>
      <c r="C228" s="653"/>
      <c r="D228" s="653"/>
      <c r="E228" s="653"/>
      <c r="F228" s="653"/>
      <c r="G228" s="654"/>
      <c r="H228" s="654"/>
      <c r="I228" s="653"/>
      <c r="J228" s="653"/>
      <c r="K228" s="655"/>
      <c r="L228" s="653"/>
      <c r="M228" s="653"/>
      <c r="N228" s="653"/>
      <c r="O228" s="653"/>
      <c r="P228" s="653"/>
      <c r="Q228" s="653"/>
      <c r="R228" s="653"/>
      <c r="S228" s="653"/>
      <c r="T228" s="653"/>
      <c r="U228" s="656"/>
      <c r="V228" s="653"/>
      <c r="W228" s="653"/>
      <c r="X228" s="653"/>
      <c r="Y228" s="657"/>
      <c r="Z228" s="615"/>
      <c r="AA228" s="653"/>
      <c r="AB228" s="657"/>
      <c r="AC228" s="653"/>
      <c r="AD228" s="653"/>
      <c r="AE228" s="653"/>
      <c r="AF228" s="653"/>
      <c r="AG228" s="653"/>
      <c r="AH228" s="653"/>
      <c r="AI228" s="653"/>
      <c r="AJ228" s="653"/>
      <c r="AK228" s="653"/>
      <c r="AL228" s="653"/>
      <c r="AM228" s="653"/>
      <c r="AN228" s="653"/>
      <c r="AO228" s="653"/>
      <c r="AP228" s="653"/>
      <c r="AQ228" s="653"/>
      <c r="AR228" s="653"/>
      <c r="AS228" s="653"/>
      <c r="AT228" s="653"/>
      <c r="AU228" s="653"/>
      <c r="AV228" s="653"/>
    </row>
    <row r="229" spans="1:48" ht="14.5">
      <c r="A229" s="653"/>
      <c r="B229" s="653"/>
      <c r="C229" s="653"/>
      <c r="D229" s="653"/>
      <c r="E229" s="653"/>
      <c r="F229" s="653"/>
      <c r="G229" s="654"/>
      <c r="H229" s="654"/>
      <c r="I229" s="653"/>
      <c r="J229" s="653"/>
      <c r="K229" s="655"/>
      <c r="L229" s="653"/>
      <c r="M229" s="653"/>
      <c r="N229" s="653"/>
      <c r="O229" s="653"/>
      <c r="P229" s="653"/>
      <c r="Q229" s="653"/>
      <c r="R229" s="653"/>
      <c r="S229" s="653"/>
      <c r="T229" s="653"/>
      <c r="U229" s="656"/>
      <c r="V229" s="653"/>
      <c r="W229" s="653"/>
      <c r="X229" s="653"/>
      <c r="Y229" s="657"/>
      <c r="Z229" s="615"/>
      <c r="AA229" s="653"/>
      <c r="AB229" s="657"/>
      <c r="AC229" s="653"/>
      <c r="AD229" s="653"/>
      <c r="AE229" s="653"/>
      <c r="AF229" s="653"/>
      <c r="AG229" s="653"/>
      <c r="AH229" s="653"/>
      <c r="AI229" s="653"/>
      <c r="AJ229" s="653"/>
      <c r="AK229" s="653"/>
      <c r="AL229" s="653"/>
      <c r="AM229" s="653"/>
      <c r="AN229" s="653"/>
      <c r="AO229" s="653"/>
      <c r="AP229" s="653"/>
      <c r="AQ229" s="653"/>
      <c r="AR229" s="653"/>
      <c r="AS229" s="653"/>
      <c r="AT229" s="653"/>
      <c r="AU229" s="653"/>
      <c r="AV229" s="653"/>
    </row>
    <row r="230" spans="1:48" ht="14.5">
      <c r="A230" s="653"/>
      <c r="B230" s="653"/>
      <c r="C230" s="653"/>
      <c r="D230" s="653"/>
      <c r="E230" s="653"/>
      <c r="F230" s="653"/>
      <c r="G230" s="654"/>
      <c r="H230" s="654"/>
      <c r="I230" s="653"/>
      <c r="J230" s="653"/>
      <c r="K230" s="655"/>
      <c r="L230" s="653"/>
      <c r="M230" s="653"/>
      <c r="N230" s="653"/>
      <c r="O230" s="653"/>
      <c r="P230" s="653"/>
      <c r="Q230" s="653"/>
      <c r="R230" s="653"/>
      <c r="S230" s="653"/>
      <c r="T230" s="653"/>
      <c r="U230" s="656"/>
      <c r="V230" s="653"/>
      <c r="W230" s="653"/>
      <c r="X230" s="653"/>
      <c r="Y230" s="657"/>
      <c r="Z230" s="615"/>
      <c r="AA230" s="653"/>
      <c r="AB230" s="657"/>
      <c r="AC230" s="653"/>
      <c r="AD230" s="653"/>
      <c r="AE230" s="653"/>
      <c r="AF230" s="653"/>
      <c r="AG230" s="653"/>
      <c r="AH230" s="653"/>
      <c r="AI230" s="653"/>
      <c r="AJ230" s="653"/>
      <c r="AK230" s="653"/>
      <c r="AL230" s="653"/>
      <c r="AM230" s="653"/>
      <c r="AN230" s="653"/>
      <c r="AO230" s="653"/>
      <c r="AP230" s="653"/>
      <c r="AQ230" s="653"/>
      <c r="AR230" s="653"/>
      <c r="AS230" s="653"/>
      <c r="AT230" s="653"/>
      <c r="AU230" s="653"/>
      <c r="AV230" s="653"/>
    </row>
    <row r="231" spans="1:48" ht="14.5">
      <c r="A231" s="653"/>
      <c r="B231" s="653"/>
      <c r="C231" s="653"/>
      <c r="D231" s="653"/>
      <c r="E231" s="653"/>
      <c r="F231" s="653"/>
      <c r="G231" s="654"/>
      <c r="H231" s="654"/>
      <c r="I231" s="653"/>
      <c r="J231" s="653"/>
      <c r="K231" s="655"/>
      <c r="L231" s="653"/>
      <c r="M231" s="653"/>
      <c r="N231" s="653"/>
      <c r="O231" s="653"/>
      <c r="P231" s="653"/>
      <c r="Q231" s="653"/>
      <c r="R231" s="653"/>
      <c r="S231" s="653"/>
      <c r="T231" s="653"/>
      <c r="U231" s="656"/>
      <c r="V231" s="653"/>
      <c r="W231" s="653"/>
      <c r="X231" s="653"/>
      <c r="Y231" s="657"/>
      <c r="Z231" s="615"/>
      <c r="AA231" s="653"/>
      <c r="AB231" s="657"/>
      <c r="AC231" s="653"/>
      <c r="AD231" s="653"/>
      <c r="AE231" s="653"/>
      <c r="AF231" s="653"/>
      <c r="AG231" s="653"/>
      <c r="AH231" s="653"/>
      <c r="AI231" s="653"/>
      <c r="AJ231" s="653"/>
      <c r="AK231" s="653"/>
      <c r="AL231" s="653"/>
      <c r="AM231" s="653"/>
      <c r="AN231" s="653"/>
      <c r="AO231" s="653"/>
      <c r="AP231" s="653"/>
      <c r="AQ231" s="653"/>
      <c r="AR231" s="653"/>
      <c r="AS231" s="653"/>
      <c r="AT231" s="653"/>
      <c r="AU231" s="653"/>
      <c r="AV231" s="653"/>
    </row>
    <row r="232" spans="1:48" ht="14.5">
      <c r="A232" s="653"/>
      <c r="B232" s="653"/>
      <c r="C232" s="653"/>
      <c r="D232" s="653"/>
      <c r="E232" s="653"/>
      <c r="F232" s="653"/>
      <c r="G232" s="654"/>
      <c r="H232" s="654"/>
      <c r="I232" s="653"/>
      <c r="J232" s="653"/>
      <c r="K232" s="655"/>
      <c r="L232" s="653"/>
      <c r="M232" s="653"/>
      <c r="N232" s="653"/>
      <c r="O232" s="653"/>
      <c r="P232" s="653"/>
      <c r="Q232" s="653"/>
      <c r="R232" s="653"/>
      <c r="S232" s="653"/>
      <c r="T232" s="653"/>
      <c r="U232" s="656"/>
      <c r="V232" s="653"/>
      <c r="W232" s="653"/>
      <c r="X232" s="653"/>
      <c r="Y232" s="657"/>
      <c r="Z232" s="615"/>
      <c r="AA232" s="653"/>
      <c r="AB232" s="657"/>
      <c r="AC232" s="653"/>
      <c r="AD232" s="653"/>
      <c r="AE232" s="653"/>
      <c r="AF232" s="653"/>
      <c r="AG232" s="653"/>
      <c r="AH232" s="653"/>
      <c r="AI232" s="653"/>
      <c r="AJ232" s="653"/>
      <c r="AK232" s="653"/>
      <c r="AL232" s="653"/>
      <c r="AM232" s="653"/>
      <c r="AN232" s="653"/>
      <c r="AO232" s="653"/>
      <c r="AP232" s="653"/>
      <c r="AQ232" s="653"/>
      <c r="AR232" s="653"/>
      <c r="AS232" s="653"/>
      <c r="AT232" s="653"/>
      <c r="AU232" s="653"/>
      <c r="AV232" s="653"/>
    </row>
    <row r="233" spans="1:48" ht="14.5">
      <c r="A233" s="653"/>
      <c r="B233" s="653"/>
      <c r="C233" s="653"/>
      <c r="D233" s="653"/>
      <c r="E233" s="653"/>
      <c r="F233" s="653"/>
      <c r="G233" s="654"/>
      <c r="H233" s="654"/>
      <c r="I233" s="653"/>
      <c r="J233" s="653"/>
      <c r="K233" s="655"/>
      <c r="L233" s="653"/>
      <c r="M233" s="653"/>
      <c r="N233" s="653"/>
      <c r="O233" s="653"/>
      <c r="P233" s="653"/>
      <c r="Q233" s="653"/>
      <c r="R233" s="653"/>
      <c r="S233" s="653"/>
      <c r="T233" s="653"/>
      <c r="U233" s="656"/>
      <c r="V233" s="653"/>
      <c r="W233" s="653"/>
      <c r="X233" s="653"/>
      <c r="Y233" s="657"/>
      <c r="Z233" s="615"/>
      <c r="AA233" s="653"/>
      <c r="AB233" s="657"/>
      <c r="AC233" s="653"/>
      <c r="AD233" s="653"/>
      <c r="AE233" s="653"/>
      <c r="AF233" s="653"/>
      <c r="AG233" s="653"/>
      <c r="AH233" s="653"/>
      <c r="AI233" s="653"/>
      <c r="AJ233" s="653"/>
      <c r="AK233" s="653"/>
      <c r="AL233" s="653"/>
      <c r="AM233" s="653"/>
      <c r="AN233" s="653"/>
      <c r="AO233" s="653"/>
      <c r="AP233" s="653"/>
      <c r="AQ233" s="653"/>
      <c r="AR233" s="653"/>
      <c r="AS233" s="653"/>
      <c r="AT233" s="653"/>
      <c r="AU233" s="653"/>
      <c r="AV233" s="653"/>
    </row>
    <row r="234" spans="1:48" ht="14.5">
      <c r="A234" s="653"/>
      <c r="B234" s="653"/>
      <c r="C234" s="653"/>
      <c r="D234" s="653"/>
      <c r="E234" s="653"/>
      <c r="F234" s="653"/>
      <c r="G234" s="654"/>
      <c r="H234" s="654"/>
      <c r="I234" s="653"/>
      <c r="J234" s="653"/>
      <c r="K234" s="655"/>
      <c r="L234" s="653"/>
      <c r="M234" s="653"/>
      <c r="N234" s="653"/>
      <c r="O234" s="653"/>
      <c r="P234" s="653"/>
      <c r="Q234" s="653"/>
      <c r="R234" s="653"/>
      <c r="S234" s="653"/>
      <c r="T234" s="653"/>
      <c r="U234" s="656"/>
      <c r="V234" s="653"/>
      <c r="W234" s="653"/>
      <c r="X234" s="653"/>
      <c r="Y234" s="657"/>
      <c r="Z234" s="615"/>
      <c r="AA234" s="653"/>
      <c r="AB234" s="657"/>
      <c r="AC234" s="653"/>
      <c r="AD234" s="653"/>
      <c r="AE234" s="653"/>
      <c r="AF234" s="653"/>
      <c r="AG234" s="653"/>
      <c r="AH234" s="653"/>
      <c r="AI234" s="653"/>
      <c r="AJ234" s="653"/>
      <c r="AK234" s="653"/>
      <c r="AL234" s="653"/>
      <c r="AM234" s="653"/>
      <c r="AN234" s="653"/>
      <c r="AO234" s="653"/>
      <c r="AP234" s="653"/>
      <c r="AQ234" s="653"/>
      <c r="AR234" s="653"/>
      <c r="AS234" s="653"/>
      <c r="AT234" s="653"/>
      <c r="AU234" s="653"/>
      <c r="AV234" s="653"/>
    </row>
    <row r="235" spans="1:48" ht="14.5">
      <c r="A235" s="653"/>
      <c r="B235" s="653"/>
      <c r="C235" s="653"/>
      <c r="D235" s="653"/>
      <c r="E235" s="653"/>
      <c r="F235" s="653"/>
      <c r="G235" s="654"/>
      <c r="H235" s="654"/>
      <c r="I235" s="653"/>
      <c r="J235" s="653"/>
      <c r="K235" s="655"/>
      <c r="L235" s="653"/>
      <c r="M235" s="653"/>
      <c r="N235" s="653"/>
      <c r="O235" s="653"/>
      <c r="P235" s="653"/>
      <c r="Q235" s="653"/>
      <c r="R235" s="653"/>
      <c r="S235" s="653"/>
      <c r="T235" s="653"/>
      <c r="U235" s="656"/>
      <c r="V235" s="653"/>
      <c r="W235" s="653"/>
      <c r="X235" s="653"/>
      <c r="Y235" s="657"/>
      <c r="Z235" s="615"/>
      <c r="AA235" s="653"/>
      <c r="AB235" s="657"/>
      <c r="AC235" s="653"/>
      <c r="AD235" s="653"/>
      <c r="AE235" s="653"/>
      <c r="AF235" s="653"/>
      <c r="AG235" s="653"/>
      <c r="AH235" s="653"/>
      <c r="AI235" s="653"/>
      <c r="AJ235" s="653"/>
      <c r="AK235" s="653"/>
      <c r="AL235" s="653"/>
      <c r="AM235" s="653"/>
      <c r="AN235" s="653"/>
      <c r="AO235" s="653"/>
      <c r="AP235" s="653"/>
      <c r="AQ235" s="653"/>
      <c r="AR235" s="653"/>
      <c r="AS235" s="653"/>
      <c r="AT235" s="653"/>
      <c r="AU235" s="653"/>
      <c r="AV235" s="653"/>
    </row>
    <row r="236" spans="1:48" ht="14.5">
      <c r="A236" s="653"/>
      <c r="B236" s="653"/>
      <c r="C236" s="653"/>
      <c r="D236" s="653"/>
      <c r="E236" s="653"/>
      <c r="F236" s="653"/>
      <c r="G236" s="654"/>
      <c r="H236" s="654"/>
      <c r="I236" s="653"/>
      <c r="J236" s="653"/>
      <c r="K236" s="655"/>
      <c r="L236" s="653"/>
      <c r="M236" s="653"/>
      <c r="N236" s="653"/>
      <c r="O236" s="653"/>
      <c r="P236" s="653"/>
      <c r="Q236" s="653"/>
      <c r="R236" s="653"/>
      <c r="S236" s="653"/>
      <c r="T236" s="653"/>
      <c r="U236" s="656"/>
      <c r="V236" s="653"/>
      <c r="W236" s="653"/>
      <c r="X236" s="653"/>
      <c r="Y236" s="657"/>
      <c r="Z236" s="615"/>
      <c r="AA236" s="653"/>
      <c r="AB236" s="657"/>
      <c r="AC236" s="653"/>
      <c r="AD236" s="653"/>
      <c r="AE236" s="653"/>
      <c r="AF236" s="653"/>
      <c r="AG236" s="653"/>
      <c r="AH236" s="653"/>
      <c r="AI236" s="653"/>
      <c r="AJ236" s="653"/>
      <c r="AK236" s="653"/>
      <c r="AL236" s="653"/>
      <c r="AM236" s="653"/>
      <c r="AN236" s="653"/>
      <c r="AO236" s="653"/>
      <c r="AP236" s="653"/>
      <c r="AQ236" s="653"/>
      <c r="AR236" s="653"/>
      <c r="AS236" s="653"/>
      <c r="AT236" s="653"/>
      <c r="AU236" s="653"/>
      <c r="AV236" s="653"/>
    </row>
    <row r="237" spans="1:48" ht="14.5">
      <c r="A237" s="653"/>
      <c r="B237" s="653"/>
      <c r="C237" s="653"/>
      <c r="D237" s="653"/>
      <c r="E237" s="653"/>
      <c r="F237" s="653"/>
      <c r="G237" s="654"/>
      <c r="H237" s="654"/>
      <c r="I237" s="653"/>
      <c r="J237" s="653"/>
      <c r="K237" s="655"/>
      <c r="L237" s="653"/>
      <c r="M237" s="653"/>
      <c r="N237" s="653"/>
      <c r="O237" s="653"/>
      <c r="P237" s="653"/>
      <c r="Q237" s="653"/>
      <c r="R237" s="653"/>
      <c r="S237" s="653"/>
      <c r="T237" s="653"/>
      <c r="U237" s="656"/>
      <c r="V237" s="653"/>
      <c r="W237" s="653"/>
      <c r="X237" s="653"/>
      <c r="Y237" s="657"/>
      <c r="Z237" s="615"/>
      <c r="AA237" s="653"/>
      <c r="AB237" s="657"/>
      <c r="AC237" s="653"/>
      <c r="AD237" s="653"/>
      <c r="AE237" s="653"/>
      <c r="AF237" s="653"/>
      <c r="AG237" s="653"/>
      <c r="AH237" s="653"/>
      <c r="AI237" s="653"/>
      <c r="AJ237" s="653"/>
      <c r="AK237" s="653"/>
      <c r="AL237" s="653"/>
      <c r="AM237" s="653"/>
      <c r="AN237" s="653"/>
      <c r="AO237" s="653"/>
      <c r="AP237" s="653"/>
      <c r="AQ237" s="653"/>
      <c r="AR237" s="653"/>
      <c r="AS237" s="653"/>
      <c r="AT237" s="653"/>
      <c r="AU237" s="653"/>
      <c r="AV237" s="653"/>
    </row>
    <row r="238" spans="1:48" ht="14.5">
      <c r="A238" s="653"/>
      <c r="B238" s="653"/>
      <c r="C238" s="653"/>
      <c r="D238" s="653"/>
      <c r="E238" s="653"/>
      <c r="F238" s="653"/>
      <c r="G238" s="654"/>
      <c r="H238" s="654"/>
      <c r="I238" s="653"/>
      <c r="J238" s="653"/>
      <c r="K238" s="655"/>
      <c r="L238" s="653"/>
      <c r="M238" s="653"/>
      <c r="N238" s="653"/>
      <c r="O238" s="653"/>
      <c r="P238" s="653"/>
      <c r="Q238" s="653"/>
      <c r="R238" s="653"/>
      <c r="S238" s="653"/>
      <c r="T238" s="653"/>
      <c r="U238" s="656"/>
      <c r="V238" s="653"/>
      <c r="W238" s="653"/>
      <c r="X238" s="653"/>
      <c r="Y238" s="657"/>
      <c r="Z238" s="615"/>
      <c r="AA238" s="653"/>
      <c r="AB238" s="657"/>
      <c r="AC238" s="653"/>
      <c r="AD238" s="653"/>
      <c r="AE238" s="653"/>
      <c r="AF238" s="653"/>
      <c r="AG238" s="653"/>
      <c r="AH238" s="653"/>
      <c r="AI238" s="653"/>
      <c r="AJ238" s="653"/>
      <c r="AK238" s="653"/>
      <c r="AL238" s="653"/>
      <c r="AM238" s="653"/>
      <c r="AN238" s="653"/>
      <c r="AO238" s="653"/>
      <c r="AP238" s="653"/>
      <c r="AQ238" s="653"/>
      <c r="AR238" s="653"/>
      <c r="AS238" s="653"/>
      <c r="AT238" s="653"/>
      <c r="AU238" s="653"/>
      <c r="AV238" s="653"/>
    </row>
    <row r="239" spans="1:48" ht="14.5">
      <c r="A239" s="653"/>
      <c r="B239" s="653"/>
      <c r="C239" s="653"/>
      <c r="D239" s="653"/>
      <c r="E239" s="653"/>
      <c r="F239" s="653"/>
      <c r="G239" s="654"/>
      <c r="H239" s="654"/>
      <c r="I239" s="653"/>
      <c r="J239" s="653"/>
      <c r="K239" s="655"/>
      <c r="L239" s="653"/>
      <c r="M239" s="653"/>
      <c r="N239" s="653"/>
      <c r="O239" s="653"/>
      <c r="P239" s="653"/>
      <c r="Q239" s="653"/>
      <c r="R239" s="653"/>
      <c r="S239" s="653"/>
      <c r="T239" s="653"/>
      <c r="U239" s="656"/>
      <c r="V239" s="653"/>
      <c r="W239" s="653"/>
      <c r="X239" s="653"/>
      <c r="Y239" s="657"/>
      <c r="Z239" s="615"/>
      <c r="AA239" s="653"/>
      <c r="AB239" s="657"/>
      <c r="AC239" s="653"/>
      <c r="AD239" s="653"/>
      <c r="AE239" s="653"/>
      <c r="AF239" s="653"/>
      <c r="AG239" s="653"/>
      <c r="AH239" s="653"/>
      <c r="AI239" s="653"/>
      <c r="AJ239" s="653"/>
      <c r="AK239" s="653"/>
      <c r="AL239" s="653"/>
      <c r="AM239" s="653"/>
      <c r="AN239" s="653"/>
      <c r="AO239" s="653"/>
      <c r="AP239" s="653"/>
      <c r="AQ239" s="653"/>
      <c r="AR239" s="653"/>
      <c r="AS239" s="653"/>
      <c r="AT239" s="653"/>
      <c r="AU239" s="653"/>
      <c r="AV239" s="653"/>
    </row>
    <row r="240" spans="1:48" ht="14.5">
      <c r="A240" s="653"/>
      <c r="B240" s="653"/>
      <c r="C240" s="653"/>
      <c r="D240" s="653"/>
      <c r="E240" s="653"/>
      <c r="F240" s="653"/>
      <c r="G240" s="654"/>
      <c r="H240" s="654"/>
      <c r="I240" s="653"/>
      <c r="J240" s="653"/>
      <c r="K240" s="655"/>
      <c r="L240" s="653"/>
      <c r="M240" s="653"/>
      <c r="N240" s="653"/>
      <c r="O240" s="653"/>
      <c r="P240" s="653"/>
      <c r="Q240" s="653"/>
      <c r="R240" s="653"/>
      <c r="S240" s="653"/>
      <c r="T240" s="653"/>
      <c r="U240" s="656"/>
      <c r="V240" s="653"/>
      <c r="W240" s="653"/>
      <c r="X240" s="653"/>
      <c r="Y240" s="657"/>
      <c r="Z240" s="615"/>
      <c r="AA240" s="653"/>
      <c r="AB240" s="657"/>
      <c r="AC240" s="653"/>
      <c r="AD240" s="653"/>
      <c r="AE240" s="653"/>
      <c r="AF240" s="653"/>
      <c r="AG240" s="653"/>
      <c r="AH240" s="653"/>
      <c r="AI240" s="653"/>
      <c r="AJ240" s="653"/>
      <c r="AK240" s="653"/>
      <c r="AL240" s="653"/>
      <c r="AM240" s="653"/>
      <c r="AN240" s="653"/>
      <c r="AO240" s="653"/>
      <c r="AP240" s="653"/>
      <c r="AQ240" s="653"/>
      <c r="AR240" s="653"/>
      <c r="AS240" s="653"/>
      <c r="AT240" s="653"/>
      <c r="AU240" s="653"/>
      <c r="AV240" s="653"/>
    </row>
    <row r="241" spans="1:48" ht="14.5">
      <c r="A241" s="653"/>
      <c r="B241" s="653"/>
      <c r="C241" s="653"/>
      <c r="D241" s="653"/>
      <c r="E241" s="653"/>
      <c r="F241" s="653"/>
      <c r="G241" s="654"/>
      <c r="H241" s="654"/>
      <c r="I241" s="653"/>
      <c r="J241" s="653"/>
      <c r="K241" s="655"/>
      <c r="L241" s="653"/>
      <c r="M241" s="653"/>
      <c r="N241" s="653"/>
      <c r="O241" s="653"/>
      <c r="P241" s="653"/>
      <c r="Q241" s="653"/>
      <c r="R241" s="653"/>
      <c r="S241" s="653"/>
      <c r="T241" s="653"/>
      <c r="U241" s="656"/>
      <c r="V241" s="653"/>
      <c r="W241" s="653"/>
      <c r="X241" s="653"/>
      <c r="Y241" s="657"/>
      <c r="Z241" s="615"/>
      <c r="AA241" s="653"/>
      <c r="AB241" s="657"/>
      <c r="AC241" s="653"/>
      <c r="AD241" s="653"/>
      <c r="AE241" s="653"/>
      <c r="AF241" s="653"/>
      <c r="AG241" s="653"/>
      <c r="AH241" s="653"/>
      <c r="AI241" s="653"/>
      <c r="AJ241" s="653"/>
      <c r="AK241" s="653"/>
      <c r="AL241" s="653"/>
      <c r="AM241" s="653"/>
      <c r="AN241" s="653"/>
      <c r="AO241" s="653"/>
      <c r="AP241" s="653"/>
      <c r="AQ241" s="653"/>
      <c r="AR241" s="653"/>
      <c r="AS241" s="653"/>
      <c r="AT241" s="653"/>
      <c r="AU241" s="653"/>
      <c r="AV241" s="653"/>
    </row>
    <row r="242" spans="1:48" ht="14.5">
      <c r="A242" s="653"/>
      <c r="B242" s="653"/>
      <c r="C242" s="653"/>
      <c r="D242" s="653"/>
      <c r="E242" s="653"/>
      <c r="F242" s="653"/>
      <c r="G242" s="654"/>
      <c r="H242" s="654"/>
      <c r="I242" s="653"/>
      <c r="J242" s="653"/>
      <c r="K242" s="655"/>
      <c r="L242" s="653"/>
      <c r="M242" s="653"/>
      <c r="N242" s="653"/>
      <c r="O242" s="653"/>
      <c r="P242" s="653"/>
      <c r="Q242" s="653"/>
      <c r="R242" s="653"/>
      <c r="S242" s="653"/>
      <c r="T242" s="653"/>
      <c r="U242" s="656"/>
      <c r="V242" s="653"/>
      <c r="W242" s="653"/>
      <c r="X242" s="653"/>
      <c r="Y242" s="657"/>
      <c r="Z242" s="615"/>
      <c r="AA242" s="653"/>
      <c r="AB242" s="657"/>
      <c r="AC242" s="653"/>
      <c r="AD242" s="653"/>
      <c r="AE242" s="653"/>
      <c r="AF242" s="653"/>
      <c r="AG242" s="653"/>
      <c r="AH242" s="653"/>
      <c r="AI242" s="653"/>
      <c r="AJ242" s="653"/>
      <c r="AK242" s="653"/>
      <c r="AL242" s="653"/>
      <c r="AM242" s="653"/>
      <c r="AN242" s="653"/>
      <c r="AO242" s="653"/>
      <c r="AP242" s="653"/>
      <c r="AQ242" s="653"/>
      <c r="AR242" s="653"/>
      <c r="AS242" s="653"/>
      <c r="AT242" s="653"/>
      <c r="AU242" s="653"/>
      <c r="AV242" s="653"/>
    </row>
    <row r="243" spans="1:48" ht="14.5">
      <c r="A243" s="653"/>
      <c r="B243" s="653"/>
      <c r="C243" s="653"/>
      <c r="D243" s="653"/>
      <c r="E243" s="653"/>
      <c r="F243" s="653"/>
      <c r="G243" s="654"/>
      <c r="H243" s="654"/>
      <c r="I243" s="653"/>
      <c r="J243" s="653"/>
      <c r="K243" s="655"/>
      <c r="L243" s="653"/>
      <c r="M243" s="653"/>
      <c r="N243" s="653"/>
      <c r="O243" s="653"/>
      <c r="P243" s="653"/>
      <c r="Q243" s="653"/>
      <c r="R243" s="653"/>
      <c r="S243" s="653"/>
      <c r="T243" s="653"/>
      <c r="U243" s="656"/>
      <c r="V243" s="653"/>
      <c r="W243" s="653"/>
      <c r="X243" s="653"/>
      <c r="Y243" s="657"/>
      <c r="Z243" s="615"/>
      <c r="AA243" s="653"/>
      <c r="AB243" s="657"/>
      <c r="AC243" s="653"/>
      <c r="AD243" s="653"/>
      <c r="AE243" s="653"/>
      <c r="AF243" s="653"/>
      <c r="AG243" s="653"/>
      <c r="AH243" s="653"/>
      <c r="AI243" s="653"/>
      <c r="AJ243" s="653"/>
      <c r="AK243" s="653"/>
      <c r="AL243" s="653"/>
      <c r="AM243" s="653"/>
      <c r="AN243" s="653"/>
      <c r="AO243" s="653"/>
      <c r="AP243" s="653"/>
      <c r="AQ243" s="653"/>
      <c r="AR243" s="653"/>
      <c r="AS243" s="653"/>
      <c r="AT243" s="653"/>
      <c r="AU243" s="653"/>
      <c r="AV243" s="653"/>
    </row>
    <row r="244" spans="1:48" ht="14.5">
      <c r="A244" s="653"/>
      <c r="B244" s="653"/>
      <c r="C244" s="653"/>
      <c r="D244" s="653"/>
      <c r="E244" s="653"/>
      <c r="F244" s="653"/>
      <c r="G244" s="654"/>
      <c r="H244" s="654"/>
      <c r="I244" s="653"/>
      <c r="J244" s="653"/>
      <c r="K244" s="655"/>
      <c r="L244" s="653"/>
      <c r="M244" s="653"/>
      <c r="N244" s="653"/>
      <c r="O244" s="653"/>
      <c r="P244" s="653"/>
      <c r="Q244" s="653"/>
      <c r="R244" s="653"/>
      <c r="S244" s="653"/>
      <c r="T244" s="653"/>
      <c r="U244" s="656"/>
      <c r="V244" s="653"/>
      <c r="W244" s="653"/>
      <c r="X244" s="653"/>
      <c r="Y244" s="657"/>
      <c r="Z244" s="615"/>
      <c r="AA244" s="653"/>
      <c r="AB244" s="657"/>
      <c r="AC244" s="653"/>
      <c r="AD244" s="653"/>
      <c r="AE244" s="653"/>
      <c r="AF244" s="653"/>
      <c r="AG244" s="653"/>
      <c r="AH244" s="653"/>
      <c r="AI244" s="653"/>
      <c r="AJ244" s="653"/>
      <c r="AK244" s="653"/>
      <c r="AL244" s="653"/>
      <c r="AM244" s="653"/>
      <c r="AN244" s="653"/>
      <c r="AO244" s="653"/>
      <c r="AP244" s="653"/>
      <c r="AQ244" s="653"/>
      <c r="AR244" s="653"/>
      <c r="AS244" s="653"/>
      <c r="AT244" s="653"/>
      <c r="AU244" s="653"/>
      <c r="AV244" s="653"/>
    </row>
    <row r="245" spans="1:48" ht="14.5">
      <c r="A245" s="653"/>
      <c r="B245" s="653"/>
      <c r="C245" s="653"/>
      <c r="D245" s="653"/>
      <c r="E245" s="653"/>
      <c r="F245" s="653"/>
      <c r="G245" s="654"/>
      <c r="H245" s="654"/>
      <c r="I245" s="653"/>
      <c r="J245" s="653"/>
      <c r="K245" s="655"/>
      <c r="L245" s="653"/>
      <c r="M245" s="653"/>
      <c r="N245" s="653"/>
      <c r="O245" s="653"/>
      <c r="P245" s="653"/>
      <c r="Q245" s="653"/>
      <c r="R245" s="653"/>
      <c r="S245" s="653"/>
      <c r="T245" s="653"/>
      <c r="U245" s="656"/>
      <c r="V245" s="653"/>
      <c r="W245" s="653"/>
      <c r="X245" s="653"/>
      <c r="Y245" s="657"/>
      <c r="Z245" s="615"/>
      <c r="AA245" s="653"/>
      <c r="AB245" s="657"/>
      <c r="AC245" s="653"/>
      <c r="AD245" s="653"/>
      <c r="AE245" s="653"/>
      <c r="AF245" s="653"/>
      <c r="AG245" s="653"/>
      <c r="AH245" s="653"/>
      <c r="AI245" s="653"/>
      <c r="AJ245" s="653"/>
      <c r="AK245" s="653"/>
      <c r="AL245" s="653"/>
      <c r="AM245" s="653"/>
      <c r="AN245" s="653"/>
      <c r="AO245" s="653"/>
      <c r="AP245" s="653"/>
      <c r="AQ245" s="653"/>
      <c r="AR245" s="653"/>
      <c r="AS245" s="653"/>
      <c r="AT245" s="653"/>
      <c r="AU245" s="653"/>
      <c r="AV245" s="653"/>
    </row>
    <row r="246" spans="1:48" ht="14.5">
      <c r="A246" s="653"/>
      <c r="B246" s="653"/>
      <c r="C246" s="653"/>
      <c r="D246" s="653"/>
      <c r="E246" s="653"/>
      <c r="F246" s="653"/>
      <c r="G246" s="654"/>
      <c r="H246" s="654"/>
      <c r="I246" s="653"/>
      <c r="J246" s="653"/>
      <c r="K246" s="655"/>
      <c r="L246" s="653"/>
      <c r="M246" s="653"/>
      <c r="N246" s="653"/>
      <c r="O246" s="653"/>
      <c r="P246" s="653"/>
      <c r="Q246" s="653"/>
      <c r="R246" s="653"/>
      <c r="S246" s="653"/>
      <c r="T246" s="653"/>
      <c r="U246" s="656"/>
      <c r="V246" s="653"/>
      <c r="W246" s="653"/>
      <c r="X246" s="653"/>
      <c r="Y246" s="657"/>
      <c r="Z246" s="615"/>
      <c r="AA246" s="653"/>
      <c r="AB246" s="657"/>
      <c r="AC246" s="653"/>
      <c r="AD246" s="653"/>
      <c r="AE246" s="653"/>
      <c r="AF246" s="653"/>
      <c r="AG246" s="653"/>
      <c r="AH246" s="653"/>
      <c r="AI246" s="653"/>
      <c r="AJ246" s="653"/>
      <c r="AK246" s="653"/>
      <c r="AL246" s="653"/>
      <c r="AM246" s="653"/>
      <c r="AN246" s="653"/>
      <c r="AO246" s="653"/>
      <c r="AP246" s="653"/>
      <c r="AQ246" s="653"/>
      <c r="AR246" s="653"/>
      <c r="AS246" s="653"/>
      <c r="AT246" s="653"/>
      <c r="AU246" s="653"/>
      <c r="AV246" s="653"/>
    </row>
    <row r="247" spans="1:48" ht="14.5">
      <c r="A247" s="653"/>
      <c r="B247" s="653"/>
      <c r="C247" s="653"/>
      <c r="D247" s="653"/>
      <c r="E247" s="653"/>
      <c r="F247" s="653"/>
      <c r="G247" s="654"/>
      <c r="H247" s="654"/>
      <c r="I247" s="653"/>
      <c r="J247" s="653"/>
      <c r="K247" s="655"/>
      <c r="L247" s="653"/>
      <c r="M247" s="653"/>
      <c r="N247" s="653"/>
      <c r="O247" s="653"/>
      <c r="P247" s="653"/>
      <c r="Q247" s="653"/>
      <c r="R247" s="653"/>
      <c r="S247" s="653"/>
      <c r="T247" s="653"/>
      <c r="U247" s="656"/>
      <c r="V247" s="653"/>
      <c r="W247" s="653"/>
      <c r="X247" s="653"/>
      <c r="Y247" s="657"/>
      <c r="Z247" s="615"/>
      <c r="AA247" s="653"/>
      <c r="AB247" s="657"/>
      <c r="AC247" s="653"/>
      <c r="AD247" s="653"/>
      <c r="AE247" s="653"/>
      <c r="AF247" s="653"/>
      <c r="AG247" s="653"/>
      <c r="AH247" s="653"/>
      <c r="AI247" s="653"/>
      <c r="AJ247" s="653"/>
      <c r="AK247" s="653"/>
      <c r="AL247" s="653"/>
      <c r="AM247" s="653"/>
      <c r="AN247" s="653"/>
      <c r="AO247" s="653"/>
      <c r="AP247" s="653"/>
      <c r="AQ247" s="653"/>
      <c r="AR247" s="653"/>
      <c r="AS247" s="653"/>
      <c r="AT247" s="653"/>
      <c r="AU247" s="653"/>
      <c r="AV247" s="653"/>
    </row>
    <row r="248" spans="1:48" ht="14.5">
      <c r="A248" s="653"/>
      <c r="B248" s="653"/>
      <c r="C248" s="653"/>
      <c r="D248" s="653"/>
      <c r="E248" s="653"/>
      <c r="F248" s="653"/>
      <c r="G248" s="654"/>
      <c r="H248" s="654"/>
      <c r="I248" s="653"/>
      <c r="J248" s="653"/>
      <c r="K248" s="655"/>
      <c r="L248" s="653"/>
      <c r="M248" s="653"/>
      <c r="N248" s="653"/>
      <c r="O248" s="653"/>
      <c r="P248" s="653"/>
      <c r="Q248" s="653"/>
      <c r="R248" s="653"/>
      <c r="S248" s="653"/>
      <c r="T248" s="653"/>
      <c r="U248" s="656"/>
      <c r="V248" s="653"/>
      <c r="W248" s="653"/>
      <c r="X248" s="653"/>
      <c r="Y248" s="657"/>
      <c r="Z248" s="615"/>
      <c r="AA248" s="653"/>
      <c r="AB248" s="657"/>
      <c r="AC248" s="653"/>
      <c r="AD248" s="653"/>
      <c r="AE248" s="653"/>
      <c r="AF248" s="653"/>
      <c r="AG248" s="653"/>
      <c r="AH248" s="653"/>
      <c r="AI248" s="653"/>
      <c r="AJ248" s="653"/>
      <c r="AK248" s="653"/>
      <c r="AL248" s="653"/>
      <c r="AM248" s="653"/>
      <c r="AN248" s="653"/>
      <c r="AO248" s="653"/>
      <c r="AP248" s="653"/>
      <c r="AQ248" s="653"/>
      <c r="AR248" s="653"/>
      <c r="AS248" s="653"/>
      <c r="AT248" s="653"/>
      <c r="AU248" s="653"/>
      <c r="AV248" s="653"/>
    </row>
    <row r="249" spans="1:48" ht="14.5">
      <c r="A249" s="653"/>
      <c r="B249" s="653"/>
      <c r="C249" s="653"/>
      <c r="D249" s="653"/>
      <c r="E249" s="653"/>
      <c r="F249" s="653"/>
      <c r="G249" s="654"/>
      <c r="H249" s="654"/>
      <c r="I249" s="653"/>
      <c r="J249" s="653"/>
      <c r="K249" s="655"/>
      <c r="L249" s="653"/>
      <c r="M249" s="653"/>
      <c r="N249" s="653"/>
      <c r="O249" s="653"/>
      <c r="P249" s="653"/>
      <c r="Q249" s="653"/>
      <c r="R249" s="653"/>
      <c r="S249" s="653"/>
      <c r="T249" s="653"/>
      <c r="U249" s="656"/>
      <c r="V249" s="653"/>
      <c r="W249" s="653"/>
      <c r="X249" s="653"/>
      <c r="Y249" s="657"/>
      <c r="Z249" s="615"/>
      <c r="AA249" s="653"/>
      <c r="AB249" s="657"/>
      <c r="AC249" s="653"/>
      <c r="AD249" s="653"/>
      <c r="AE249" s="653"/>
      <c r="AF249" s="653"/>
      <c r="AG249" s="653"/>
      <c r="AH249" s="653"/>
      <c r="AI249" s="653"/>
      <c r="AJ249" s="653"/>
      <c r="AK249" s="653"/>
      <c r="AL249" s="653"/>
      <c r="AM249" s="653"/>
      <c r="AN249" s="653"/>
      <c r="AO249" s="653"/>
      <c r="AP249" s="653"/>
      <c r="AQ249" s="653"/>
      <c r="AR249" s="653"/>
      <c r="AS249" s="653"/>
      <c r="AT249" s="653"/>
      <c r="AU249" s="653"/>
      <c r="AV249" s="653"/>
    </row>
    <row r="250" spans="1:48" ht="14.5">
      <c r="A250" s="653"/>
      <c r="B250" s="653"/>
      <c r="C250" s="653"/>
      <c r="D250" s="653"/>
      <c r="E250" s="653"/>
      <c r="F250" s="653"/>
      <c r="G250" s="654"/>
      <c r="H250" s="654"/>
      <c r="I250" s="653"/>
      <c r="J250" s="653"/>
      <c r="K250" s="655"/>
      <c r="L250" s="653"/>
      <c r="M250" s="653"/>
      <c r="N250" s="653"/>
      <c r="O250" s="653"/>
      <c r="P250" s="653"/>
      <c r="Q250" s="653"/>
      <c r="R250" s="653"/>
      <c r="S250" s="653"/>
      <c r="T250" s="653"/>
      <c r="U250" s="656"/>
      <c r="V250" s="653"/>
      <c r="W250" s="653"/>
      <c r="X250" s="653"/>
      <c r="Y250" s="657"/>
      <c r="Z250" s="615"/>
      <c r="AA250" s="653"/>
      <c r="AB250" s="657"/>
      <c r="AC250" s="653"/>
      <c r="AD250" s="653"/>
      <c r="AE250" s="653"/>
      <c r="AF250" s="653"/>
      <c r="AG250" s="653"/>
      <c r="AH250" s="653"/>
      <c r="AI250" s="653"/>
      <c r="AJ250" s="653"/>
      <c r="AK250" s="653"/>
      <c r="AL250" s="653"/>
      <c r="AM250" s="653"/>
      <c r="AN250" s="653"/>
      <c r="AO250" s="653"/>
      <c r="AP250" s="653"/>
      <c r="AQ250" s="653"/>
      <c r="AR250" s="653"/>
      <c r="AS250" s="653"/>
      <c r="AT250" s="653"/>
      <c r="AU250" s="653"/>
      <c r="AV250" s="653"/>
    </row>
    <row r="251" spans="1:48" ht="14.5">
      <c r="A251" s="653"/>
      <c r="B251" s="653"/>
      <c r="C251" s="653"/>
      <c r="D251" s="653"/>
      <c r="E251" s="653"/>
      <c r="F251" s="653"/>
      <c r="G251" s="654"/>
      <c r="H251" s="654"/>
      <c r="I251" s="653"/>
      <c r="J251" s="653"/>
      <c r="K251" s="655"/>
      <c r="L251" s="653"/>
      <c r="M251" s="653"/>
      <c r="N251" s="653"/>
      <c r="O251" s="653"/>
      <c r="P251" s="653"/>
      <c r="Q251" s="653"/>
      <c r="R251" s="653"/>
      <c r="S251" s="653"/>
      <c r="T251" s="653"/>
      <c r="U251" s="656"/>
      <c r="V251" s="653"/>
      <c r="W251" s="653"/>
      <c r="X251" s="653"/>
      <c r="Y251" s="657"/>
      <c r="Z251" s="615"/>
      <c r="AA251" s="653"/>
      <c r="AB251" s="657"/>
      <c r="AC251" s="653"/>
      <c r="AD251" s="653"/>
      <c r="AE251" s="653"/>
      <c r="AF251" s="653"/>
      <c r="AG251" s="653"/>
      <c r="AH251" s="653"/>
      <c r="AI251" s="653"/>
      <c r="AJ251" s="653"/>
      <c r="AK251" s="653"/>
      <c r="AL251" s="653"/>
      <c r="AM251" s="653"/>
      <c r="AN251" s="653"/>
      <c r="AO251" s="653"/>
      <c r="AP251" s="653"/>
      <c r="AQ251" s="653"/>
      <c r="AR251" s="653"/>
      <c r="AS251" s="653"/>
      <c r="AT251" s="653"/>
      <c r="AU251" s="653"/>
      <c r="AV251" s="653"/>
    </row>
    <row r="252" spans="1:48" ht="14.5">
      <c r="A252" s="653"/>
      <c r="B252" s="653"/>
      <c r="C252" s="653"/>
      <c r="D252" s="653"/>
      <c r="E252" s="653"/>
      <c r="F252" s="653"/>
      <c r="G252" s="654"/>
      <c r="H252" s="654"/>
      <c r="I252" s="653"/>
      <c r="J252" s="653"/>
      <c r="K252" s="655"/>
      <c r="L252" s="653"/>
      <c r="M252" s="653"/>
      <c r="N252" s="653"/>
      <c r="O252" s="653"/>
      <c r="P252" s="653"/>
      <c r="Q252" s="653"/>
      <c r="R252" s="653"/>
      <c r="S252" s="653"/>
      <c r="T252" s="653"/>
      <c r="U252" s="656"/>
      <c r="V252" s="653"/>
      <c r="W252" s="653"/>
      <c r="X252" s="653"/>
      <c r="Y252" s="657"/>
      <c r="Z252" s="615"/>
      <c r="AA252" s="653"/>
      <c r="AB252" s="657"/>
      <c r="AC252" s="653"/>
      <c r="AD252" s="653"/>
      <c r="AE252" s="653"/>
      <c r="AF252" s="653"/>
      <c r="AG252" s="653"/>
      <c r="AH252" s="653"/>
      <c r="AI252" s="653"/>
      <c r="AJ252" s="653"/>
      <c r="AK252" s="653"/>
      <c r="AL252" s="653"/>
      <c r="AM252" s="653"/>
      <c r="AN252" s="653"/>
      <c r="AO252" s="653"/>
      <c r="AP252" s="653"/>
      <c r="AQ252" s="653"/>
      <c r="AR252" s="653"/>
      <c r="AS252" s="653"/>
      <c r="AT252" s="653"/>
      <c r="AU252" s="653"/>
      <c r="AV252" s="653"/>
    </row>
    <row r="253" spans="1:48" ht="14.5">
      <c r="A253" s="653"/>
      <c r="B253" s="653"/>
      <c r="C253" s="653"/>
      <c r="D253" s="653"/>
      <c r="E253" s="653"/>
      <c r="F253" s="653"/>
      <c r="G253" s="654"/>
      <c r="H253" s="654"/>
      <c r="I253" s="653"/>
      <c r="J253" s="653"/>
      <c r="K253" s="655"/>
      <c r="L253" s="653"/>
      <c r="M253" s="653"/>
      <c r="N253" s="653"/>
      <c r="O253" s="653"/>
      <c r="P253" s="653"/>
      <c r="Q253" s="653"/>
      <c r="R253" s="653"/>
      <c r="S253" s="653"/>
      <c r="T253" s="653"/>
      <c r="U253" s="656"/>
      <c r="V253" s="653"/>
      <c r="W253" s="653"/>
      <c r="X253" s="653"/>
      <c r="Y253" s="657"/>
      <c r="Z253" s="615"/>
      <c r="AA253" s="653"/>
      <c r="AB253" s="657"/>
      <c r="AC253" s="653"/>
      <c r="AD253" s="653"/>
      <c r="AE253" s="653"/>
      <c r="AF253" s="653"/>
      <c r="AG253" s="653"/>
      <c r="AH253" s="653"/>
      <c r="AI253" s="653"/>
      <c r="AJ253" s="653"/>
      <c r="AK253" s="653"/>
      <c r="AL253" s="653"/>
      <c r="AM253" s="653"/>
      <c r="AN253" s="653"/>
      <c r="AO253" s="653"/>
      <c r="AP253" s="653"/>
      <c r="AQ253" s="653"/>
      <c r="AR253" s="653"/>
      <c r="AS253" s="653"/>
      <c r="AT253" s="653"/>
      <c r="AU253" s="653"/>
      <c r="AV253" s="653"/>
    </row>
    <row r="254" spans="1:48" ht="14.5">
      <c r="A254" s="653"/>
      <c r="B254" s="653"/>
      <c r="C254" s="653"/>
      <c r="D254" s="653"/>
      <c r="E254" s="653"/>
      <c r="F254" s="653"/>
      <c r="G254" s="654"/>
      <c r="H254" s="654"/>
      <c r="I254" s="653"/>
      <c r="J254" s="653"/>
      <c r="K254" s="655"/>
      <c r="L254" s="653"/>
      <c r="M254" s="653"/>
      <c r="N254" s="653"/>
      <c r="O254" s="653"/>
      <c r="P254" s="653"/>
      <c r="Q254" s="653"/>
      <c r="R254" s="653"/>
      <c r="S254" s="653"/>
      <c r="T254" s="653"/>
      <c r="U254" s="656"/>
      <c r="V254" s="653"/>
      <c r="W254" s="653"/>
      <c r="X254" s="653"/>
      <c r="Y254" s="657"/>
      <c r="Z254" s="615"/>
      <c r="AA254" s="653"/>
      <c r="AB254" s="657"/>
      <c r="AC254" s="653"/>
      <c r="AD254" s="653"/>
      <c r="AE254" s="653"/>
      <c r="AF254" s="653"/>
      <c r="AG254" s="653"/>
      <c r="AH254" s="653"/>
      <c r="AI254" s="653"/>
      <c r="AJ254" s="653"/>
      <c r="AK254" s="653"/>
      <c r="AL254" s="653"/>
      <c r="AM254" s="653"/>
      <c r="AN254" s="653"/>
      <c r="AO254" s="653"/>
      <c r="AP254" s="653"/>
      <c r="AQ254" s="653"/>
      <c r="AR254" s="653"/>
      <c r="AS254" s="653"/>
      <c r="AT254" s="653"/>
      <c r="AU254" s="653"/>
      <c r="AV254" s="653"/>
    </row>
    <row r="255" spans="1:48" ht="14.5">
      <c r="A255" s="653"/>
      <c r="B255" s="653"/>
      <c r="C255" s="653"/>
      <c r="D255" s="653"/>
      <c r="E255" s="653"/>
      <c r="F255" s="653"/>
      <c r="G255" s="654"/>
      <c r="H255" s="654"/>
      <c r="I255" s="653"/>
      <c r="J255" s="653"/>
      <c r="K255" s="655"/>
      <c r="L255" s="653"/>
      <c r="M255" s="653"/>
      <c r="N255" s="653"/>
      <c r="O255" s="653"/>
      <c r="P255" s="653"/>
      <c r="Q255" s="653"/>
      <c r="R255" s="653"/>
      <c r="S255" s="653"/>
      <c r="T255" s="653"/>
      <c r="U255" s="656"/>
      <c r="V255" s="653"/>
      <c r="W255" s="653"/>
      <c r="X255" s="653"/>
      <c r="Y255" s="657"/>
      <c r="Z255" s="615"/>
      <c r="AA255" s="653"/>
      <c r="AB255" s="657"/>
      <c r="AC255" s="653"/>
      <c r="AD255" s="653"/>
      <c r="AE255" s="653"/>
      <c r="AF255" s="653"/>
      <c r="AG255" s="653"/>
      <c r="AH255" s="653"/>
      <c r="AI255" s="653"/>
      <c r="AJ255" s="653"/>
      <c r="AK255" s="653"/>
      <c r="AL255" s="653"/>
      <c r="AM255" s="653"/>
      <c r="AN255" s="653"/>
      <c r="AO255" s="653"/>
      <c r="AP255" s="653"/>
      <c r="AQ255" s="653"/>
      <c r="AR255" s="653"/>
      <c r="AS255" s="653"/>
      <c r="AT255" s="653"/>
      <c r="AU255" s="653"/>
      <c r="AV255" s="653"/>
    </row>
    <row r="256" spans="1:48" ht="14.5">
      <c r="A256" s="653"/>
      <c r="B256" s="653"/>
      <c r="C256" s="653"/>
      <c r="D256" s="653"/>
      <c r="E256" s="653"/>
      <c r="F256" s="653"/>
      <c r="G256" s="654"/>
      <c r="H256" s="654"/>
      <c r="I256" s="653"/>
      <c r="J256" s="653"/>
      <c r="K256" s="655"/>
      <c r="L256" s="653"/>
      <c r="M256" s="653"/>
      <c r="N256" s="653"/>
      <c r="O256" s="653"/>
      <c r="P256" s="653"/>
      <c r="Q256" s="653"/>
      <c r="R256" s="653"/>
      <c r="S256" s="653"/>
      <c r="T256" s="653"/>
      <c r="U256" s="656"/>
      <c r="V256" s="653"/>
      <c r="W256" s="653"/>
      <c r="X256" s="653"/>
      <c r="Y256" s="657"/>
      <c r="Z256" s="615"/>
      <c r="AA256" s="653"/>
      <c r="AB256" s="657"/>
      <c r="AC256" s="653"/>
      <c r="AD256" s="653"/>
      <c r="AE256" s="653"/>
      <c r="AF256" s="653"/>
      <c r="AG256" s="653"/>
      <c r="AH256" s="653"/>
      <c r="AI256" s="653"/>
      <c r="AJ256" s="653"/>
      <c r="AK256" s="653"/>
      <c r="AL256" s="653"/>
      <c r="AM256" s="653"/>
      <c r="AN256" s="653"/>
      <c r="AO256" s="653"/>
      <c r="AP256" s="653"/>
      <c r="AQ256" s="653"/>
      <c r="AR256" s="653"/>
      <c r="AS256" s="653"/>
      <c r="AT256" s="653"/>
      <c r="AU256" s="653"/>
      <c r="AV256" s="653"/>
    </row>
    <row r="257" spans="1:48" ht="14.5">
      <c r="A257" s="653"/>
      <c r="B257" s="653"/>
      <c r="C257" s="653"/>
      <c r="D257" s="653"/>
      <c r="E257" s="653"/>
      <c r="F257" s="653"/>
      <c r="G257" s="654"/>
      <c r="H257" s="654"/>
      <c r="I257" s="653"/>
      <c r="J257" s="653"/>
      <c r="K257" s="655"/>
      <c r="L257" s="653"/>
      <c r="M257" s="653"/>
      <c r="N257" s="653"/>
      <c r="O257" s="653"/>
      <c r="P257" s="653"/>
      <c r="Q257" s="653"/>
      <c r="R257" s="653"/>
      <c r="S257" s="653"/>
      <c r="T257" s="653"/>
      <c r="U257" s="656"/>
      <c r="V257" s="653"/>
      <c r="W257" s="653"/>
      <c r="X257" s="653"/>
      <c r="Y257" s="657"/>
      <c r="Z257" s="615"/>
      <c r="AA257" s="653"/>
      <c r="AB257" s="657"/>
      <c r="AC257" s="653"/>
      <c r="AD257" s="653"/>
      <c r="AE257" s="653"/>
      <c r="AF257" s="653"/>
      <c r="AG257" s="653"/>
      <c r="AH257" s="653"/>
      <c r="AI257" s="653"/>
      <c r="AJ257" s="653"/>
      <c r="AK257" s="653"/>
      <c r="AL257" s="653"/>
      <c r="AM257" s="653"/>
      <c r="AN257" s="653"/>
      <c r="AO257" s="653"/>
      <c r="AP257" s="653"/>
      <c r="AQ257" s="653"/>
      <c r="AR257" s="653"/>
      <c r="AS257" s="653"/>
      <c r="AT257" s="653"/>
      <c r="AU257" s="653"/>
      <c r="AV257" s="653"/>
    </row>
    <row r="258" spans="1:48" ht="14.5">
      <c r="A258" s="653"/>
      <c r="B258" s="653"/>
      <c r="C258" s="653"/>
      <c r="D258" s="653"/>
      <c r="E258" s="653"/>
      <c r="F258" s="653"/>
      <c r="G258" s="654"/>
      <c r="H258" s="654"/>
      <c r="I258" s="653"/>
      <c r="J258" s="653"/>
      <c r="K258" s="655"/>
      <c r="L258" s="653"/>
      <c r="M258" s="653"/>
      <c r="N258" s="653"/>
      <c r="O258" s="653"/>
      <c r="P258" s="653"/>
      <c r="Q258" s="653"/>
      <c r="R258" s="653"/>
      <c r="S258" s="653"/>
      <c r="T258" s="653"/>
      <c r="U258" s="656"/>
      <c r="V258" s="653"/>
      <c r="W258" s="653"/>
      <c r="X258" s="653"/>
      <c r="Y258" s="657"/>
      <c r="Z258" s="615"/>
      <c r="AA258" s="653"/>
      <c r="AB258" s="657"/>
      <c r="AC258" s="653"/>
      <c r="AD258" s="653"/>
      <c r="AE258" s="653"/>
      <c r="AF258" s="653"/>
      <c r="AG258" s="653"/>
      <c r="AH258" s="653"/>
      <c r="AI258" s="653"/>
      <c r="AJ258" s="653"/>
      <c r="AK258" s="653"/>
      <c r="AL258" s="653"/>
      <c r="AM258" s="653"/>
      <c r="AN258" s="653"/>
      <c r="AO258" s="653"/>
      <c r="AP258" s="653"/>
      <c r="AQ258" s="653"/>
      <c r="AR258" s="653"/>
      <c r="AS258" s="653"/>
      <c r="AT258" s="653"/>
      <c r="AU258" s="653"/>
      <c r="AV258" s="653"/>
    </row>
    <row r="259" spans="1:48" ht="14.5">
      <c r="A259" s="653"/>
      <c r="B259" s="653"/>
      <c r="C259" s="653"/>
      <c r="D259" s="653"/>
      <c r="E259" s="653"/>
      <c r="F259" s="653"/>
      <c r="G259" s="654"/>
      <c r="H259" s="654"/>
      <c r="I259" s="653"/>
      <c r="J259" s="653"/>
      <c r="K259" s="655"/>
      <c r="L259" s="653"/>
      <c r="M259" s="653"/>
      <c r="N259" s="653"/>
      <c r="O259" s="653"/>
      <c r="P259" s="653"/>
      <c r="Q259" s="653"/>
      <c r="R259" s="653"/>
      <c r="S259" s="653"/>
      <c r="T259" s="653"/>
      <c r="U259" s="656"/>
      <c r="V259" s="653"/>
      <c r="W259" s="653"/>
      <c r="X259" s="653"/>
      <c r="Y259" s="657"/>
      <c r="Z259" s="615"/>
      <c r="AA259" s="653"/>
      <c r="AB259" s="657"/>
      <c r="AC259" s="653"/>
      <c r="AD259" s="653"/>
      <c r="AE259" s="653"/>
      <c r="AF259" s="653"/>
      <c r="AG259" s="653"/>
      <c r="AH259" s="653"/>
      <c r="AI259" s="653"/>
      <c r="AJ259" s="653"/>
      <c r="AK259" s="653"/>
      <c r="AL259" s="653"/>
      <c r="AM259" s="653"/>
      <c r="AN259" s="653"/>
      <c r="AO259" s="653"/>
      <c r="AP259" s="653"/>
      <c r="AQ259" s="653"/>
      <c r="AR259" s="653"/>
      <c r="AS259" s="653"/>
      <c r="AT259" s="653"/>
      <c r="AU259" s="653"/>
      <c r="AV259" s="653"/>
    </row>
    <row r="260" spans="1:48" ht="14.5">
      <c r="A260" s="653"/>
      <c r="B260" s="653"/>
      <c r="C260" s="653"/>
      <c r="D260" s="653"/>
      <c r="E260" s="653"/>
      <c r="F260" s="653"/>
      <c r="G260" s="654"/>
      <c r="H260" s="654"/>
      <c r="I260" s="653"/>
      <c r="J260" s="653"/>
      <c r="K260" s="655"/>
      <c r="L260" s="653"/>
      <c r="M260" s="653"/>
      <c r="N260" s="653"/>
      <c r="O260" s="653"/>
      <c r="P260" s="653"/>
      <c r="Q260" s="653"/>
      <c r="R260" s="653"/>
      <c r="S260" s="653"/>
      <c r="T260" s="653"/>
      <c r="U260" s="656"/>
      <c r="V260" s="653"/>
      <c r="W260" s="653"/>
      <c r="X260" s="653"/>
      <c r="Y260" s="657"/>
      <c r="Z260" s="615"/>
      <c r="AA260" s="653"/>
      <c r="AB260" s="657"/>
      <c r="AC260" s="653"/>
      <c r="AD260" s="653"/>
      <c r="AE260" s="653"/>
      <c r="AF260" s="653"/>
      <c r="AG260" s="653"/>
      <c r="AH260" s="653"/>
      <c r="AI260" s="653"/>
      <c r="AJ260" s="653"/>
      <c r="AK260" s="653"/>
      <c r="AL260" s="653"/>
      <c r="AM260" s="653"/>
      <c r="AN260" s="653"/>
      <c r="AO260" s="653"/>
      <c r="AP260" s="653"/>
      <c r="AQ260" s="653"/>
      <c r="AR260" s="653"/>
      <c r="AS260" s="653"/>
      <c r="AT260" s="653"/>
      <c r="AU260" s="653"/>
      <c r="AV260" s="653"/>
    </row>
    <row r="261" spans="1:48" ht="14.5">
      <c r="A261" s="653"/>
      <c r="B261" s="653"/>
      <c r="C261" s="653"/>
      <c r="D261" s="653"/>
      <c r="E261" s="653"/>
      <c r="F261" s="653"/>
      <c r="G261" s="654"/>
      <c r="H261" s="654"/>
      <c r="I261" s="653"/>
      <c r="J261" s="653"/>
      <c r="K261" s="655"/>
      <c r="L261" s="653"/>
      <c r="M261" s="653"/>
      <c r="N261" s="653"/>
      <c r="O261" s="653"/>
      <c r="P261" s="653"/>
      <c r="Q261" s="653"/>
      <c r="R261" s="653"/>
      <c r="S261" s="653"/>
      <c r="T261" s="653"/>
      <c r="U261" s="656"/>
      <c r="V261" s="653"/>
      <c r="W261" s="653"/>
      <c r="X261" s="653"/>
      <c r="Y261" s="657"/>
      <c r="Z261" s="615"/>
      <c r="AA261" s="653"/>
      <c r="AB261" s="657"/>
      <c r="AC261" s="653"/>
      <c r="AD261" s="653"/>
      <c r="AE261" s="653"/>
      <c r="AF261" s="653"/>
      <c r="AG261" s="653"/>
      <c r="AH261" s="653"/>
      <c r="AI261" s="653"/>
      <c r="AJ261" s="653"/>
      <c r="AK261" s="653"/>
      <c r="AL261" s="653"/>
      <c r="AM261" s="653"/>
      <c r="AN261" s="653"/>
      <c r="AO261" s="653"/>
      <c r="AP261" s="653"/>
      <c r="AQ261" s="653"/>
      <c r="AR261" s="653"/>
      <c r="AS261" s="653"/>
      <c r="AT261" s="653"/>
      <c r="AU261" s="653"/>
      <c r="AV261" s="653"/>
    </row>
    <row r="262" spans="1:48" ht="14.5">
      <c r="A262" s="653"/>
      <c r="B262" s="653"/>
      <c r="C262" s="653"/>
      <c r="D262" s="653"/>
      <c r="E262" s="653"/>
      <c r="F262" s="653"/>
      <c r="G262" s="654"/>
      <c r="H262" s="654"/>
      <c r="I262" s="653"/>
      <c r="J262" s="653"/>
      <c r="K262" s="655"/>
      <c r="L262" s="653"/>
      <c r="M262" s="653"/>
      <c r="N262" s="653"/>
      <c r="O262" s="653"/>
      <c r="P262" s="653"/>
      <c r="Q262" s="653"/>
      <c r="R262" s="653"/>
      <c r="S262" s="653"/>
      <c r="T262" s="653"/>
      <c r="U262" s="656"/>
      <c r="V262" s="653"/>
      <c r="W262" s="653"/>
      <c r="X262" s="653"/>
      <c r="Y262" s="657"/>
      <c r="Z262" s="615"/>
      <c r="AA262" s="653"/>
      <c r="AB262" s="657"/>
      <c r="AC262" s="653"/>
      <c r="AD262" s="653"/>
      <c r="AE262" s="653"/>
      <c r="AF262" s="653"/>
      <c r="AG262" s="653"/>
      <c r="AH262" s="653"/>
      <c r="AI262" s="653"/>
      <c r="AJ262" s="653"/>
      <c r="AK262" s="653"/>
      <c r="AL262" s="653"/>
      <c r="AM262" s="653"/>
      <c r="AN262" s="653"/>
      <c r="AO262" s="653"/>
      <c r="AP262" s="653"/>
      <c r="AQ262" s="653"/>
      <c r="AR262" s="653"/>
      <c r="AS262" s="653"/>
      <c r="AT262" s="653"/>
      <c r="AU262" s="653"/>
      <c r="AV262" s="653"/>
    </row>
    <row r="263" spans="1:48" ht="14.5">
      <c r="A263" s="653"/>
      <c r="B263" s="653"/>
      <c r="C263" s="653"/>
      <c r="D263" s="653"/>
      <c r="E263" s="653"/>
      <c r="F263" s="653"/>
      <c r="G263" s="654"/>
      <c r="H263" s="654"/>
      <c r="I263" s="653"/>
      <c r="J263" s="653"/>
      <c r="K263" s="655"/>
      <c r="L263" s="653"/>
      <c r="M263" s="653"/>
      <c r="N263" s="653"/>
      <c r="O263" s="653"/>
      <c r="P263" s="653"/>
      <c r="Q263" s="653"/>
      <c r="R263" s="653"/>
      <c r="S263" s="653"/>
      <c r="T263" s="653"/>
      <c r="U263" s="656"/>
      <c r="V263" s="653"/>
      <c r="W263" s="653"/>
      <c r="X263" s="653"/>
      <c r="Y263" s="657"/>
      <c r="Z263" s="615"/>
      <c r="AA263" s="653"/>
      <c r="AB263" s="657"/>
      <c r="AC263" s="653"/>
      <c r="AD263" s="653"/>
      <c r="AE263" s="653"/>
      <c r="AF263" s="653"/>
      <c r="AG263" s="653"/>
      <c r="AH263" s="653"/>
      <c r="AI263" s="653"/>
      <c r="AJ263" s="653"/>
      <c r="AK263" s="653"/>
      <c r="AL263" s="653"/>
      <c r="AM263" s="653"/>
      <c r="AN263" s="653"/>
      <c r="AO263" s="653"/>
      <c r="AP263" s="653"/>
      <c r="AQ263" s="653"/>
      <c r="AR263" s="653"/>
      <c r="AS263" s="653"/>
      <c r="AT263" s="653"/>
      <c r="AU263" s="653"/>
      <c r="AV263" s="653"/>
    </row>
    <row r="264" spans="1:48" ht="14.5">
      <c r="A264" s="653"/>
      <c r="B264" s="653"/>
      <c r="C264" s="653"/>
      <c r="D264" s="653"/>
      <c r="E264" s="653"/>
      <c r="F264" s="653"/>
      <c r="G264" s="654"/>
      <c r="H264" s="654"/>
      <c r="I264" s="653"/>
      <c r="J264" s="653"/>
      <c r="K264" s="655"/>
      <c r="L264" s="653"/>
      <c r="M264" s="653"/>
      <c r="N264" s="653"/>
      <c r="O264" s="653"/>
      <c r="P264" s="653"/>
      <c r="Q264" s="653"/>
      <c r="R264" s="653"/>
      <c r="S264" s="653"/>
      <c r="T264" s="653"/>
      <c r="U264" s="656"/>
      <c r="V264" s="653"/>
      <c r="W264" s="653"/>
      <c r="X264" s="653"/>
      <c r="Y264" s="657"/>
      <c r="Z264" s="615"/>
      <c r="AA264" s="653"/>
      <c r="AB264" s="657"/>
      <c r="AC264" s="653"/>
      <c r="AD264" s="653"/>
      <c r="AE264" s="653"/>
      <c r="AF264" s="653"/>
      <c r="AG264" s="653"/>
      <c r="AH264" s="653"/>
      <c r="AI264" s="653"/>
      <c r="AJ264" s="653"/>
      <c r="AK264" s="653"/>
      <c r="AL264" s="653"/>
      <c r="AM264" s="653"/>
      <c r="AN264" s="653"/>
      <c r="AO264" s="653"/>
      <c r="AP264" s="653"/>
      <c r="AQ264" s="653"/>
      <c r="AR264" s="653"/>
      <c r="AS264" s="653"/>
      <c r="AT264" s="653"/>
      <c r="AU264" s="653"/>
      <c r="AV264" s="653"/>
    </row>
    <row r="265" spans="1:48" ht="14.5">
      <c r="A265" s="653"/>
      <c r="B265" s="653"/>
      <c r="C265" s="653"/>
      <c r="D265" s="653"/>
      <c r="E265" s="653"/>
      <c r="F265" s="653"/>
      <c r="G265" s="654"/>
      <c r="H265" s="654"/>
      <c r="I265" s="653"/>
      <c r="J265" s="653"/>
      <c r="K265" s="655"/>
      <c r="L265" s="653"/>
      <c r="M265" s="653"/>
      <c r="N265" s="653"/>
      <c r="O265" s="653"/>
      <c r="P265" s="653"/>
      <c r="Q265" s="653"/>
      <c r="R265" s="653"/>
      <c r="S265" s="653"/>
      <c r="T265" s="653"/>
      <c r="U265" s="656"/>
      <c r="V265" s="653"/>
      <c r="W265" s="653"/>
      <c r="X265" s="653"/>
      <c r="Y265" s="657"/>
      <c r="Z265" s="615"/>
      <c r="AA265" s="653"/>
      <c r="AB265" s="657"/>
      <c r="AC265" s="653"/>
      <c r="AD265" s="653"/>
      <c r="AE265" s="653"/>
      <c r="AF265" s="653"/>
      <c r="AG265" s="653"/>
      <c r="AH265" s="653"/>
      <c r="AI265" s="653"/>
      <c r="AJ265" s="653"/>
      <c r="AK265" s="653"/>
      <c r="AL265" s="653"/>
      <c r="AM265" s="653"/>
      <c r="AN265" s="653"/>
      <c r="AO265" s="653"/>
      <c r="AP265" s="653"/>
      <c r="AQ265" s="653"/>
      <c r="AR265" s="653"/>
      <c r="AS265" s="653"/>
      <c r="AT265" s="653"/>
      <c r="AU265" s="653"/>
      <c r="AV265" s="653"/>
    </row>
    <row r="266" spans="1:48" ht="14.5">
      <c r="A266" s="653"/>
      <c r="B266" s="653"/>
      <c r="C266" s="653"/>
      <c r="D266" s="653"/>
      <c r="E266" s="653"/>
      <c r="F266" s="653"/>
      <c r="G266" s="654"/>
      <c r="H266" s="654"/>
      <c r="I266" s="653"/>
      <c r="J266" s="653"/>
      <c r="K266" s="655"/>
      <c r="L266" s="653"/>
      <c r="M266" s="653"/>
      <c r="N266" s="653"/>
      <c r="O266" s="653"/>
      <c r="P266" s="653"/>
      <c r="Q266" s="653"/>
      <c r="R266" s="653"/>
      <c r="S266" s="653"/>
      <c r="T266" s="653"/>
      <c r="U266" s="656"/>
      <c r="V266" s="653"/>
      <c r="W266" s="653"/>
      <c r="X266" s="653"/>
      <c r="Y266" s="657"/>
      <c r="Z266" s="615"/>
      <c r="AA266" s="653"/>
      <c r="AB266" s="657"/>
      <c r="AC266" s="653"/>
      <c r="AD266" s="653"/>
      <c r="AE266" s="653"/>
      <c r="AF266" s="653"/>
      <c r="AG266" s="653"/>
      <c r="AH266" s="653"/>
      <c r="AI266" s="653"/>
      <c r="AJ266" s="653"/>
      <c r="AK266" s="653"/>
      <c r="AL266" s="653"/>
      <c r="AM266" s="653"/>
      <c r="AN266" s="653"/>
      <c r="AO266" s="653"/>
      <c r="AP266" s="653"/>
      <c r="AQ266" s="653"/>
      <c r="AR266" s="653"/>
      <c r="AS266" s="653"/>
      <c r="AT266" s="653"/>
      <c r="AU266" s="653"/>
      <c r="AV266" s="653"/>
    </row>
    <row r="267" spans="1:48" ht="14.5">
      <c r="A267" s="653"/>
      <c r="B267" s="653"/>
      <c r="C267" s="653"/>
      <c r="D267" s="653"/>
      <c r="E267" s="653"/>
      <c r="F267" s="653"/>
      <c r="G267" s="654"/>
      <c r="H267" s="654"/>
      <c r="I267" s="653"/>
      <c r="J267" s="653"/>
      <c r="K267" s="655"/>
      <c r="L267" s="653"/>
      <c r="M267" s="653"/>
      <c r="N267" s="653"/>
      <c r="O267" s="653"/>
      <c r="P267" s="653"/>
      <c r="Q267" s="653"/>
      <c r="R267" s="653"/>
      <c r="S267" s="653"/>
      <c r="T267" s="653"/>
      <c r="U267" s="656"/>
      <c r="V267" s="653"/>
      <c r="W267" s="653"/>
      <c r="X267" s="653"/>
      <c r="Y267" s="657"/>
      <c r="Z267" s="615"/>
      <c r="AA267" s="653"/>
      <c r="AB267" s="657"/>
      <c r="AC267" s="653"/>
      <c r="AD267" s="653"/>
      <c r="AE267" s="653"/>
      <c r="AF267" s="653"/>
      <c r="AG267" s="653"/>
      <c r="AH267" s="653"/>
      <c r="AI267" s="653"/>
      <c r="AJ267" s="653"/>
      <c r="AK267" s="653"/>
      <c r="AL267" s="653"/>
      <c r="AM267" s="653"/>
      <c r="AN267" s="653"/>
      <c r="AO267" s="653"/>
      <c r="AP267" s="653"/>
      <c r="AQ267" s="653"/>
      <c r="AR267" s="653"/>
      <c r="AS267" s="653"/>
      <c r="AT267" s="653"/>
      <c r="AU267" s="653"/>
      <c r="AV267" s="653"/>
    </row>
    <row r="268" spans="1:48" ht="14.5">
      <c r="A268" s="653"/>
      <c r="B268" s="653"/>
      <c r="C268" s="653"/>
      <c r="D268" s="653"/>
      <c r="E268" s="653"/>
      <c r="F268" s="653"/>
      <c r="G268" s="654"/>
      <c r="H268" s="654"/>
      <c r="I268" s="653"/>
      <c r="J268" s="653"/>
      <c r="K268" s="655"/>
      <c r="L268" s="653"/>
      <c r="M268" s="653"/>
      <c r="N268" s="653"/>
      <c r="O268" s="653"/>
      <c r="P268" s="653"/>
      <c r="Q268" s="653"/>
      <c r="R268" s="653"/>
      <c r="S268" s="653"/>
      <c r="T268" s="653"/>
      <c r="U268" s="656"/>
      <c r="V268" s="653"/>
      <c r="W268" s="653"/>
      <c r="X268" s="653"/>
      <c r="Y268" s="657"/>
      <c r="Z268" s="615"/>
      <c r="AA268" s="653"/>
      <c r="AB268" s="657"/>
      <c r="AC268" s="653"/>
      <c r="AD268" s="653"/>
      <c r="AE268" s="653"/>
      <c r="AF268" s="653"/>
      <c r="AG268" s="653"/>
      <c r="AH268" s="653"/>
      <c r="AI268" s="653"/>
      <c r="AJ268" s="653"/>
      <c r="AK268" s="653"/>
      <c r="AL268" s="653"/>
      <c r="AM268" s="653"/>
      <c r="AN268" s="653"/>
      <c r="AO268" s="653"/>
      <c r="AP268" s="653"/>
      <c r="AQ268" s="653"/>
      <c r="AR268" s="653"/>
      <c r="AS268" s="653"/>
      <c r="AT268" s="653"/>
      <c r="AU268" s="653"/>
      <c r="AV268" s="653"/>
    </row>
    <row r="269" spans="1:48" ht="14.5">
      <c r="A269" s="653"/>
      <c r="B269" s="653"/>
      <c r="C269" s="653"/>
      <c r="D269" s="653"/>
      <c r="E269" s="653"/>
      <c r="F269" s="653"/>
      <c r="G269" s="654"/>
      <c r="H269" s="654"/>
      <c r="I269" s="653"/>
      <c r="J269" s="653"/>
      <c r="K269" s="655"/>
      <c r="L269" s="653"/>
      <c r="M269" s="653"/>
      <c r="N269" s="653"/>
      <c r="O269" s="653"/>
      <c r="P269" s="653"/>
      <c r="Q269" s="653"/>
      <c r="R269" s="653"/>
      <c r="S269" s="653"/>
      <c r="T269" s="653"/>
      <c r="U269" s="656"/>
      <c r="V269" s="653"/>
      <c r="W269" s="653"/>
      <c r="X269" s="653"/>
      <c r="Y269" s="657"/>
      <c r="Z269" s="615"/>
      <c r="AA269" s="653"/>
      <c r="AB269" s="657"/>
      <c r="AC269" s="653"/>
      <c r="AD269" s="653"/>
      <c r="AE269" s="653"/>
      <c r="AF269" s="653"/>
      <c r="AG269" s="653"/>
      <c r="AH269" s="653"/>
      <c r="AI269" s="653"/>
      <c r="AJ269" s="653"/>
      <c r="AK269" s="653"/>
      <c r="AL269" s="653"/>
      <c r="AM269" s="653"/>
      <c r="AN269" s="653"/>
      <c r="AO269" s="653"/>
      <c r="AP269" s="653"/>
      <c r="AQ269" s="653"/>
      <c r="AR269" s="653"/>
      <c r="AS269" s="653"/>
      <c r="AT269" s="653"/>
      <c r="AU269" s="653"/>
      <c r="AV269" s="653"/>
    </row>
    <row r="270" spans="1:48" ht="14.5">
      <c r="A270" s="653"/>
      <c r="B270" s="653"/>
      <c r="C270" s="653"/>
      <c r="D270" s="653"/>
      <c r="E270" s="653"/>
      <c r="F270" s="653"/>
      <c r="G270" s="654"/>
      <c r="H270" s="654"/>
      <c r="I270" s="653"/>
      <c r="J270" s="653"/>
      <c r="K270" s="655"/>
      <c r="L270" s="653"/>
      <c r="M270" s="653"/>
      <c r="N270" s="653"/>
      <c r="O270" s="653"/>
      <c r="P270" s="653"/>
      <c r="Q270" s="653"/>
      <c r="R270" s="653"/>
      <c r="S270" s="653"/>
      <c r="T270" s="653"/>
      <c r="U270" s="656"/>
      <c r="V270" s="653"/>
      <c r="W270" s="653"/>
      <c r="X270" s="653"/>
      <c r="Y270" s="657"/>
      <c r="Z270" s="615"/>
      <c r="AA270" s="653"/>
      <c r="AB270" s="657"/>
      <c r="AC270" s="653"/>
      <c r="AD270" s="653"/>
      <c r="AE270" s="653"/>
      <c r="AF270" s="653"/>
      <c r="AG270" s="653"/>
      <c r="AH270" s="653"/>
      <c r="AI270" s="653"/>
      <c r="AJ270" s="653"/>
      <c r="AK270" s="653"/>
      <c r="AL270" s="653"/>
      <c r="AM270" s="653"/>
      <c r="AN270" s="653"/>
      <c r="AO270" s="653"/>
      <c r="AP270" s="653"/>
      <c r="AQ270" s="653"/>
      <c r="AR270" s="653"/>
      <c r="AS270" s="653"/>
      <c r="AT270" s="653"/>
      <c r="AU270" s="653"/>
      <c r="AV270" s="653"/>
    </row>
    <row r="271" spans="1:48" ht="14.5">
      <c r="A271" s="653"/>
      <c r="B271" s="653"/>
      <c r="C271" s="653"/>
      <c r="D271" s="653"/>
      <c r="E271" s="653"/>
      <c r="F271" s="653"/>
      <c r="G271" s="654"/>
      <c r="H271" s="654"/>
      <c r="I271" s="653"/>
      <c r="J271" s="653"/>
      <c r="K271" s="655"/>
      <c r="L271" s="653"/>
      <c r="M271" s="653"/>
      <c r="N271" s="653"/>
      <c r="O271" s="653"/>
      <c r="P271" s="653"/>
      <c r="Q271" s="653"/>
      <c r="R271" s="653"/>
      <c r="S271" s="653"/>
      <c r="T271" s="653"/>
      <c r="U271" s="656"/>
      <c r="V271" s="653"/>
      <c r="W271" s="653"/>
      <c r="X271" s="653"/>
      <c r="Y271" s="657"/>
      <c r="Z271" s="615"/>
      <c r="AA271" s="653"/>
      <c r="AB271" s="657"/>
      <c r="AC271" s="653"/>
      <c r="AD271" s="653"/>
      <c r="AE271" s="653"/>
      <c r="AF271" s="653"/>
      <c r="AG271" s="653"/>
      <c r="AH271" s="653"/>
      <c r="AI271" s="653"/>
      <c r="AJ271" s="653"/>
      <c r="AK271" s="653"/>
      <c r="AL271" s="653"/>
      <c r="AM271" s="653"/>
      <c r="AN271" s="653"/>
      <c r="AO271" s="653"/>
      <c r="AP271" s="653"/>
      <c r="AQ271" s="653"/>
      <c r="AR271" s="653"/>
      <c r="AS271" s="653"/>
      <c r="AT271" s="653"/>
      <c r="AU271" s="653"/>
      <c r="AV271" s="653"/>
    </row>
    <row r="272" spans="1:48" ht="14.5">
      <c r="A272" s="653"/>
      <c r="B272" s="653"/>
      <c r="C272" s="653"/>
      <c r="D272" s="653"/>
      <c r="E272" s="653"/>
      <c r="F272" s="653"/>
      <c r="G272" s="654"/>
      <c r="H272" s="654"/>
      <c r="I272" s="653"/>
      <c r="J272" s="653"/>
      <c r="K272" s="655"/>
      <c r="L272" s="653"/>
      <c r="M272" s="653"/>
      <c r="N272" s="653"/>
      <c r="O272" s="653"/>
      <c r="P272" s="653"/>
      <c r="Q272" s="653"/>
      <c r="R272" s="653"/>
      <c r="S272" s="653"/>
      <c r="T272" s="653"/>
      <c r="U272" s="656"/>
      <c r="V272" s="653"/>
      <c r="W272" s="653"/>
      <c r="X272" s="653"/>
      <c r="Y272" s="657"/>
      <c r="Z272" s="615"/>
      <c r="AA272" s="653"/>
      <c r="AB272" s="657"/>
      <c r="AC272" s="653"/>
      <c r="AD272" s="653"/>
      <c r="AE272" s="653"/>
      <c r="AF272" s="653"/>
      <c r="AG272" s="653"/>
      <c r="AH272" s="653"/>
      <c r="AI272" s="653"/>
      <c r="AJ272" s="653"/>
      <c r="AK272" s="653"/>
      <c r="AL272" s="653"/>
      <c r="AM272" s="653"/>
      <c r="AN272" s="653"/>
      <c r="AO272" s="653"/>
      <c r="AP272" s="653"/>
      <c r="AQ272" s="653"/>
      <c r="AR272" s="653"/>
      <c r="AS272" s="653"/>
      <c r="AT272" s="653"/>
      <c r="AU272" s="653"/>
      <c r="AV272" s="653"/>
    </row>
    <row r="273" spans="1:48" ht="14.5">
      <c r="A273" s="653"/>
      <c r="B273" s="653"/>
      <c r="C273" s="653"/>
      <c r="D273" s="653"/>
      <c r="E273" s="653"/>
      <c r="F273" s="653"/>
      <c r="G273" s="654"/>
      <c r="H273" s="654"/>
      <c r="I273" s="653"/>
      <c r="J273" s="653"/>
      <c r="K273" s="655"/>
      <c r="L273" s="653"/>
      <c r="M273" s="653"/>
      <c r="N273" s="653"/>
      <c r="O273" s="653"/>
      <c r="P273" s="653"/>
      <c r="Q273" s="653"/>
      <c r="R273" s="653"/>
      <c r="S273" s="653"/>
      <c r="T273" s="653"/>
      <c r="U273" s="656"/>
      <c r="V273" s="653"/>
      <c r="W273" s="653"/>
      <c r="X273" s="653"/>
      <c r="Y273" s="657"/>
      <c r="Z273" s="615"/>
      <c r="AA273" s="653"/>
      <c r="AB273" s="657"/>
      <c r="AC273" s="653"/>
      <c r="AD273" s="653"/>
      <c r="AE273" s="653"/>
      <c r="AF273" s="653"/>
      <c r="AG273" s="653"/>
      <c r="AH273" s="653"/>
      <c r="AI273" s="653"/>
      <c r="AJ273" s="653"/>
      <c r="AK273" s="653"/>
      <c r="AL273" s="653"/>
      <c r="AM273" s="653"/>
      <c r="AN273" s="653"/>
      <c r="AO273" s="653"/>
      <c r="AP273" s="653"/>
      <c r="AQ273" s="653"/>
      <c r="AR273" s="653"/>
      <c r="AS273" s="653"/>
      <c r="AT273" s="653"/>
      <c r="AU273" s="653"/>
      <c r="AV273" s="653"/>
    </row>
    <row r="274" spans="1:48" ht="14.5">
      <c r="A274" s="653"/>
      <c r="B274" s="653"/>
      <c r="C274" s="653"/>
      <c r="D274" s="653"/>
      <c r="E274" s="653"/>
      <c r="F274" s="653"/>
      <c r="G274" s="654"/>
      <c r="H274" s="654"/>
      <c r="I274" s="653"/>
      <c r="J274" s="653"/>
      <c r="K274" s="655"/>
      <c r="L274" s="653"/>
      <c r="M274" s="653"/>
      <c r="N274" s="653"/>
      <c r="O274" s="653"/>
      <c r="P274" s="653"/>
      <c r="Q274" s="653"/>
      <c r="R274" s="653"/>
      <c r="S274" s="653"/>
      <c r="T274" s="653"/>
      <c r="U274" s="656"/>
      <c r="V274" s="653"/>
      <c r="W274" s="653"/>
      <c r="X274" s="653"/>
      <c r="Y274" s="657"/>
      <c r="Z274" s="615"/>
      <c r="AA274" s="653"/>
      <c r="AB274" s="657"/>
      <c r="AC274" s="653"/>
      <c r="AD274" s="653"/>
      <c r="AE274" s="653"/>
      <c r="AF274" s="653"/>
      <c r="AG274" s="653"/>
      <c r="AH274" s="653"/>
      <c r="AI274" s="653"/>
      <c r="AJ274" s="653"/>
      <c r="AK274" s="653"/>
      <c r="AL274" s="653"/>
      <c r="AM274" s="653"/>
      <c r="AN274" s="653"/>
      <c r="AO274" s="653"/>
      <c r="AP274" s="653"/>
      <c r="AQ274" s="653"/>
      <c r="AR274" s="653"/>
      <c r="AS274" s="653"/>
      <c r="AT274" s="653"/>
      <c r="AU274" s="653"/>
      <c r="AV274" s="653"/>
    </row>
    <row r="275" spans="1:48" ht="14.5">
      <c r="A275" s="653"/>
      <c r="B275" s="653"/>
      <c r="C275" s="653"/>
      <c r="D275" s="653"/>
      <c r="E275" s="653"/>
      <c r="F275" s="653"/>
      <c r="G275" s="654"/>
      <c r="H275" s="654"/>
      <c r="I275" s="653"/>
      <c r="J275" s="653"/>
      <c r="K275" s="655"/>
      <c r="L275" s="653"/>
      <c r="M275" s="653"/>
      <c r="N275" s="653"/>
      <c r="O275" s="653"/>
      <c r="P275" s="653"/>
      <c r="Q275" s="653"/>
      <c r="R275" s="653"/>
      <c r="S275" s="653"/>
      <c r="T275" s="653"/>
      <c r="U275" s="656"/>
      <c r="V275" s="653"/>
      <c r="W275" s="653"/>
      <c r="X275" s="653"/>
      <c r="Y275" s="657"/>
      <c r="Z275" s="615"/>
      <c r="AA275" s="653"/>
      <c r="AB275" s="657"/>
      <c r="AC275" s="653"/>
      <c r="AD275" s="653"/>
      <c r="AE275" s="653"/>
      <c r="AF275" s="653"/>
      <c r="AG275" s="653"/>
      <c r="AH275" s="653"/>
      <c r="AI275" s="653"/>
      <c r="AJ275" s="653"/>
      <c r="AK275" s="653"/>
      <c r="AL275" s="653"/>
      <c r="AM275" s="653"/>
      <c r="AN275" s="653"/>
      <c r="AO275" s="653"/>
      <c r="AP275" s="653"/>
      <c r="AQ275" s="653"/>
      <c r="AR275" s="653"/>
      <c r="AS275" s="653"/>
      <c r="AT275" s="653"/>
      <c r="AU275" s="653"/>
      <c r="AV275" s="653"/>
    </row>
    <row r="276" spans="1:48" ht="14.5">
      <c r="A276" s="653"/>
      <c r="B276" s="653"/>
      <c r="C276" s="653"/>
      <c r="D276" s="653"/>
      <c r="E276" s="653"/>
      <c r="F276" s="653"/>
      <c r="G276" s="654"/>
      <c r="H276" s="654"/>
      <c r="I276" s="653"/>
      <c r="J276" s="653"/>
      <c r="K276" s="655"/>
      <c r="L276" s="653"/>
      <c r="M276" s="653"/>
      <c r="N276" s="653"/>
      <c r="O276" s="653"/>
      <c r="P276" s="653"/>
      <c r="Q276" s="653"/>
      <c r="R276" s="653"/>
      <c r="S276" s="653"/>
      <c r="T276" s="653"/>
      <c r="U276" s="656"/>
      <c r="V276" s="653"/>
      <c r="W276" s="653"/>
      <c r="X276" s="653"/>
      <c r="Y276" s="657"/>
      <c r="Z276" s="615"/>
      <c r="AA276" s="653"/>
      <c r="AB276" s="657"/>
      <c r="AC276" s="653"/>
      <c r="AD276" s="653"/>
      <c r="AE276" s="653"/>
      <c r="AF276" s="653"/>
      <c r="AG276" s="653"/>
      <c r="AH276" s="653"/>
      <c r="AI276" s="653"/>
      <c r="AJ276" s="653"/>
      <c r="AK276" s="653"/>
      <c r="AL276" s="653"/>
      <c r="AM276" s="653"/>
      <c r="AN276" s="653"/>
      <c r="AO276" s="653"/>
      <c r="AP276" s="653"/>
      <c r="AQ276" s="653"/>
      <c r="AR276" s="653"/>
      <c r="AS276" s="653"/>
      <c r="AT276" s="653"/>
      <c r="AU276" s="653"/>
      <c r="AV276" s="653"/>
    </row>
    <row r="277" spans="1:48" ht="14.5">
      <c r="A277" s="653"/>
      <c r="B277" s="653"/>
      <c r="C277" s="653"/>
      <c r="D277" s="653"/>
      <c r="E277" s="653"/>
      <c r="F277" s="653"/>
      <c r="G277" s="654"/>
      <c r="H277" s="654"/>
      <c r="I277" s="653"/>
      <c r="J277" s="653"/>
      <c r="K277" s="655"/>
      <c r="L277" s="653"/>
      <c r="M277" s="653"/>
      <c r="N277" s="653"/>
      <c r="O277" s="653"/>
      <c r="P277" s="653"/>
      <c r="Q277" s="653"/>
      <c r="R277" s="653"/>
      <c r="S277" s="653"/>
      <c r="T277" s="653"/>
      <c r="U277" s="656"/>
      <c r="V277" s="653"/>
      <c r="W277" s="653"/>
      <c r="X277" s="653"/>
      <c r="Y277" s="657"/>
      <c r="Z277" s="615"/>
      <c r="AA277" s="653"/>
      <c r="AB277" s="657"/>
      <c r="AC277" s="653"/>
      <c r="AD277" s="653"/>
      <c r="AE277" s="653"/>
      <c r="AF277" s="653"/>
      <c r="AG277" s="653"/>
      <c r="AH277" s="653"/>
      <c r="AI277" s="653"/>
      <c r="AJ277" s="653"/>
      <c r="AK277" s="653"/>
      <c r="AL277" s="653"/>
      <c r="AM277" s="653"/>
      <c r="AN277" s="653"/>
      <c r="AO277" s="653"/>
      <c r="AP277" s="653"/>
      <c r="AQ277" s="653"/>
      <c r="AR277" s="653"/>
      <c r="AS277" s="653"/>
      <c r="AT277" s="653"/>
      <c r="AU277" s="653"/>
      <c r="AV277" s="653"/>
    </row>
    <row r="278" spans="1:48" ht="14.5">
      <c r="A278" s="653"/>
      <c r="B278" s="653"/>
      <c r="C278" s="653"/>
      <c r="D278" s="653"/>
      <c r="E278" s="653"/>
      <c r="F278" s="653"/>
      <c r="G278" s="654"/>
      <c r="H278" s="654"/>
      <c r="I278" s="653"/>
      <c r="J278" s="653"/>
      <c r="K278" s="655"/>
      <c r="L278" s="653"/>
      <c r="M278" s="653"/>
      <c r="N278" s="653"/>
      <c r="O278" s="653"/>
      <c r="P278" s="653"/>
      <c r="Q278" s="653"/>
      <c r="R278" s="653"/>
      <c r="S278" s="653"/>
      <c r="T278" s="653"/>
      <c r="U278" s="656"/>
      <c r="V278" s="653"/>
      <c r="W278" s="653"/>
      <c r="X278" s="653"/>
      <c r="Y278" s="657"/>
      <c r="Z278" s="615"/>
      <c r="AA278" s="653"/>
      <c r="AB278" s="657"/>
      <c r="AC278" s="653"/>
      <c r="AD278" s="653"/>
      <c r="AE278" s="653"/>
      <c r="AF278" s="653"/>
      <c r="AG278" s="653"/>
      <c r="AH278" s="653"/>
      <c r="AI278" s="653"/>
      <c r="AJ278" s="653"/>
      <c r="AK278" s="653"/>
      <c r="AL278" s="653"/>
      <c r="AM278" s="653"/>
      <c r="AN278" s="653"/>
      <c r="AO278" s="653"/>
      <c r="AP278" s="653"/>
      <c r="AQ278" s="653"/>
      <c r="AR278" s="653"/>
      <c r="AS278" s="653"/>
      <c r="AT278" s="653"/>
      <c r="AU278" s="653"/>
      <c r="AV278" s="653"/>
    </row>
    <row r="279" spans="1:48" ht="14.5">
      <c r="A279" s="653"/>
      <c r="B279" s="653"/>
      <c r="C279" s="653"/>
      <c r="D279" s="653"/>
      <c r="E279" s="653"/>
      <c r="F279" s="653"/>
      <c r="G279" s="654"/>
      <c r="H279" s="654"/>
      <c r="I279" s="653"/>
      <c r="J279" s="653"/>
      <c r="K279" s="655"/>
      <c r="L279" s="653"/>
      <c r="M279" s="653"/>
      <c r="N279" s="653"/>
      <c r="O279" s="653"/>
      <c r="P279" s="653"/>
      <c r="Q279" s="653"/>
      <c r="R279" s="653"/>
      <c r="S279" s="653"/>
      <c r="T279" s="653"/>
      <c r="U279" s="656"/>
      <c r="V279" s="653"/>
      <c r="W279" s="653"/>
      <c r="X279" s="653"/>
      <c r="Y279" s="657"/>
      <c r="Z279" s="615"/>
      <c r="AA279" s="653"/>
      <c r="AB279" s="657"/>
      <c r="AC279" s="653"/>
      <c r="AD279" s="653"/>
      <c r="AE279" s="653"/>
      <c r="AF279" s="653"/>
      <c r="AG279" s="653"/>
      <c r="AH279" s="653"/>
      <c r="AI279" s="653"/>
      <c r="AJ279" s="653"/>
      <c r="AK279" s="653"/>
      <c r="AL279" s="653"/>
      <c r="AM279" s="653"/>
      <c r="AN279" s="653"/>
      <c r="AO279" s="653"/>
      <c r="AP279" s="653"/>
      <c r="AQ279" s="653"/>
      <c r="AR279" s="653"/>
      <c r="AS279" s="653"/>
      <c r="AT279" s="653"/>
      <c r="AU279" s="653"/>
      <c r="AV279" s="653"/>
    </row>
    <row r="280" spans="1:48" ht="14.5">
      <c r="A280" s="653"/>
      <c r="B280" s="653"/>
      <c r="C280" s="653"/>
      <c r="D280" s="653"/>
      <c r="E280" s="653"/>
      <c r="F280" s="653"/>
      <c r="G280" s="654"/>
      <c r="H280" s="654"/>
      <c r="I280" s="653"/>
      <c r="J280" s="653"/>
      <c r="K280" s="655"/>
      <c r="L280" s="653"/>
      <c r="M280" s="653"/>
      <c r="N280" s="653"/>
      <c r="O280" s="653"/>
      <c r="P280" s="653"/>
      <c r="Q280" s="653"/>
      <c r="R280" s="653"/>
      <c r="S280" s="653"/>
      <c r="T280" s="653"/>
      <c r="U280" s="656"/>
      <c r="V280" s="653"/>
      <c r="W280" s="653"/>
      <c r="X280" s="653"/>
      <c r="Y280" s="657"/>
      <c r="Z280" s="615"/>
      <c r="AA280" s="653"/>
      <c r="AB280" s="657"/>
      <c r="AC280" s="653"/>
      <c r="AD280" s="653"/>
      <c r="AE280" s="653"/>
      <c r="AF280" s="653"/>
      <c r="AG280" s="653"/>
      <c r="AH280" s="653"/>
      <c r="AI280" s="653"/>
      <c r="AJ280" s="653"/>
      <c r="AK280" s="653"/>
      <c r="AL280" s="653"/>
      <c r="AM280" s="653"/>
      <c r="AN280" s="653"/>
      <c r="AO280" s="653"/>
      <c r="AP280" s="653"/>
      <c r="AQ280" s="653"/>
      <c r="AR280" s="653"/>
      <c r="AS280" s="653"/>
      <c r="AT280" s="653"/>
      <c r="AU280" s="653"/>
      <c r="AV280" s="653"/>
    </row>
    <row r="281" spans="1:48" ht="14.5">
      <c r="A281" s="653"/>
      <c r="B281" s="653"/>
      <c r="C281" s="653"/>
      <c r="D281" s="653"/>
      <c r="E281" s="653"/>
      <c r="F281" s="653"/>
      <c r="G281" s="654"/>
      <c r="H281" s="654"/>
      <c r="I281" s="653"/>
      <c r="J281" s="653"/>
      <c r="K281" s="655"/>
      <c r="L281" s="653"/>
      <c r="M281" s="653"/>
      <c r="N281" s="653"/>
      <c r="O281" s="653"/>
      <c r="P281" s="653"/>
      <c r="Q281" s="653"/>
      <c r="R281" s="653"/>
      <c r="S281" s="653"/>
      <c r="T281" s="653"/>
      <c r="U281" s="656"/>
      <c r="V281" s="653"/>
      <c r="W281" s="653"/>
      <c r="X281" s="653"/>
      <c r="Y281" s="657"/>
      <c r="Z281" s="615"/>
      <c r="AA281" s="653"/>
      <c r="AB281" s="657"/>
      <c r="AC281" s="653"/>
      <c r="AD281" s="653"/>
      <c r="AE281" s="653"/>
      <c r="AF281" s="653"/>
      <c r="AG281" s="653"/>
      <c r="AH281" s="653"/>
      <c r="AI281" s="653"/>
      <c r="AJ281" s="653"/>
      <c r="AK281" s="653"/>
      <c r="AL281" s="653"/>
      <c r="AM281" s="653"/>
      <c r="AN281" s="653"/>
      <c r="AO281" s="653"/>
      <c r="AP281" s="653"/>
      <c r="AQ281" s="653"/>
      <c r="AR281" s="653"/>
      <c r="AS281" s="653"/>
      <c r="AT281" s="653"/>
      <c r="AU281" s="653"/>
      <c r="AV281" s="653"/>
    </row>
    <row r="282" spans="1:48" ht="14.5">
      <c r="A282" s="653"/>
      <c r="B282" s="653"/>
      <c r="C282" s="653"/>
      <c r="D282" s="653"/>
      <c r="E282" s="653"/>
      <c r="F282" s="653"/>
      <c r="G282" s="654"/>
      <c r="H282" s="654"/>
      <c r="I282" s="653"/>
      <c r="J282" s="653"/>
      <c r="K282" s="655"/>
      <c r="L282" s="653"/>
      <c r="M282" s="653"/>
      <c r="N282" s="653"/>
      <c r="O282" s="653"/>
      <c r="P282" s="653"/>
      <c r="Q282" s="653"/>
      <c r="R282" s="653"/>
      <c r="S282" s="653"/>
      <c r="T282" s="653"/>
      <c r="U282" s="656"/>
      <c r="V282" s="653"/>
      <c r="W282" s="653"/>
      <c r="X282" s="653"/>
      <c r="Y282" s="657"/>
      <c r="Z282" s="615"/>
      <c r="AA282" s="653"/>
      <c r="AB282" s="657"/>
      <c r="AC282" s="653"/>
      <c r="AD282" s="653"/>
      <c r="AE282" s="653"/>
      <c r="AF282" s="653"/>
      <c r="AG282" s="653"/>
      <c r="AH282" s="653"/>
      <c r="AI282" s="653"/>
      <c r="AJ282" s="653"/>
      <c r="AK282" s="653"/>
      <c r="AL282" s="653"/>
      <c r="AM282" s="653"/>
      <c r="AN282" s="653"/>
      <c r="AO282" s="653"/>
      <c r="AP282" s="653"/>
      <c r="AQ282" s="653"/>
      <c r="AR282" s="653"/>
      <c r="AS282" s="653"/>
      <c r="AT282" s="653"/>
      <c r="AU282" s="653"/>
      <c r="AV282" s="653"/>
    </row>
    <row r="283" spans="1:48" ht="14.5">
      <c r="A283" s="653"/>
      <c r="B283" s="653"/>
      <c r="C283" s="653"/>
      <c r="D283" s="653"/>
      <c r="E283" s="653"/>
      <c r="F283" s="653"/>
      <c r="G283" s="654"/>
      <c r="H283" s="654"/>
      <c r="I283" s="653"/>
      <c r="J283" s="653"/>
      <c r="K283" s="655"/>
      <c r="L283" s="653"/>
      <c r="M283" s="653"/>
      <c r="N283" s="653"/>
      <c r="O283" s="653"/>
      <c r="P283" s="653"/>
      <c r="Q283" s="653"/>
      <c r="R283" s="653"/>
      <c r="S283" s="653"/>
      <c r="T283" s="653"/>
      <c r="U283" s="656"/>
      <c r="V283" s="653"/>
      <c r="W283" s="653"/>
      <c r="X283" s="653"/>
      <c r="Y283" s="657"/>
      <c r="Z283" s="615"/>
      <c r="AA283" s="653"/>
      <c r="AB283" s="657"/>
      <c r="AC283" s="653"/>
      <c r="AD283" s="653"/>
      <c r="AE283" s="653"/>
      <c r="AF283" s="653"/>
      <c r="AG283" s="653"/>
      <c r="AH283" s="653"/>
      <c r="AI283" s="653"/>
      <c r="AJ283" s="653"/>
      <c r="AK283" s="653"/>
      <c r="AL283" s="653"/>
      <c r="AM283" s="653"/>
      <c r="AN283" s="653"/>
      <c r="AO283" s="653"/>
      <c r="AP283" s="653"/>
      <c r="AQ283" s="653"/>
      <c r="AR283" s="653"/>
      <c r="AS283" s="653"/>
      <c r="AT283" s="653"/>
      <c r="AU283" s="653"/>
      <c r="AV283" s="653"/>
    </row>
    <row r="284" spans="1:48" ht="14.5">
      <c r="A284" s="653"/>
      <c r="B284" s="653"/>
      <c r="C284" s="653"/>
      <c r="D284" s="653"/>
      <c r="E284" s="653"/>
      <c r="F284" s="653"/>
      <c r="G284" s="654"/>
      <c r="H284" s="654"/>
      <c r="I284" s="653"/>
      <c r="J284" s="653"/>
      <c r="K284" s="655"/>
      <c r="L284" s="653"/>
      <c r="M284" s="653"/>
      <c r="N284" s="653"/>
      <c r="O284" s="653"/>
      <c r="P284" s="653"/>
      <c r="Q284" s="653"/>
      <c r="R284" s="653"/>
      <c r="S284" s="653"/>
      <c r="T284" s="653"/>
      <c r="U284" s="656"/>
      <c r="V284" s="653"/>
      <c r="W284" s="653"/>
      <c r="X284" s="653"/>
      <c r="Y284" s="657"/>
      <c r="Z284" s="615"/>
      <c r="AA284" s="653"/>
      <c r="AB284" s="657"/>
      <c r="AC284" s="653"/>
      <c r="AD284" s="653"/>
      <c r="AE284" s="653"/>
      <c r="AF284" s="653"/>
      <c r="AG284" s="653"/>
      <c r="AH284" s="653"/>
      <c r="AI284" s="653"/>
      <c r="AJ284" s="653"/>
      <c r="AK284" s="653"/>
      <c r="AL284" s="653"/>
      <c r="AM284" s="653"/>
      <c r="AN284" s="653"/>
      <c r="AO284" s="653"/>
      <c r="AP284" s="653"/>
      <c r="AQ284" s="653"/>
      <c r="AR284" s="653"/>
      <c r="AS284" s="653"/>
      <c r="AT284" s="653"/>
      <c r="AU284" s="653"/>
      <c r="AV284" s="653"/>
    </row>
    <row r="285" spans="1:48" ht="14.5">
      <c r="A285" s="653"/>
      <c r="B285" s="653"/>
      <c r="C285" s="653"/>
      <c r="D285" s="653"/>
      <c r="E285" s="653"/>
      <c r="F285" s="653"/>
      <c r="G285" s="654"/>
      <c r="H285" s="654"/>
      <c r="I285" s="653"/>
      <c r="J285" s="653"/>
      <c r="K285" s="655"/>
      <c r="L285" s="653"/>
      <c r="M285" s="653"/>
      <c r="N285" s="653"/>
      <c r="O285" s="653"/>
      <c r="P285" s="653"/>
      <c r="Q285" s="653"/>
      <c r="R285" s="653"/>
      <c r="S285" s="653"/>
      <c r="T285" s="653"/>
      <c r="U285" s="656"/>
      <c r="V285" s="653"/>
      <c r="W285" s="653"/>
      <c r="X285" s="653"/>
      <c r="Y285" s="657"/>
      <c r="Z285" s="615"/>
      <c r="AA285" s="653"/>
      <c r="AB285" s="657"/>
      <c r="AC285" s="653"/>
      <c r="AD285" s="653"/>
      <c r="AE285" s="653"/>
      <c r="AF285" s="653"/>
      <c r="AG285" s="653"/>
      <c r="AH285" s="653"/>
      <c r="AI285" s="653"/>
      <c r="AJ285" s="653"/>
      <c r="AK285" s="653"/>
      <c r="AL285" s="653"/>
      <c r="AM285" s="653"/>
      <c r="AN285" s="653"/>
      <c r="AO285" s="653"/>
      <c r="AP285" s="653"/>
      <c r="AQ285" s="653"/>
      <c r="AR285" s="653"/>
      <c r="AS285" s="653"/>
      <c r="AT285" s="653"/>
      <c r="AU285" s="653"/>
      <c r="AV285" s="653"/>
    </row>
    <row r="286" spans="1:48" ht="14.5">
      <c r="A286" s="653"/>
      <c r="B286" s="653"/>
      <c r="C286" s="653"/>
      <c r="D286" s="653"/>
      <c r="E286" s="653"/>
      <c r="F286" s="653"/>
      <c r="G286" s="654"/>
      <c r="H286" s="654"/>
      <c r="I286" s="653"/>
      <c r="J286" s="653"/>
      <c r="K286" s="655"/>
      <c r="L286" s="653"/>
      <c r="M286" s="653"/>
      <c r="N286" s="653"/>
      <c r="O286" s="653"/>
      <c r="P286" s="653"/>
      <c r="Q286" s="653"/>
      <c r="R286" s="653"/>
      <c r="S286" s="653"/>
      <c r="T286" s="653"/>
      <c r="U286" s="656"/>
      <c r="V286" s="653"/>
      <c r="W286" s="653"/>
      <c r="X286" s="653"/>
      <c r="Y286" s="657"/>
      <c r="Z286" s="615"/>
      <c r="AA286" s="653"/>
      <c r="AB286" s="657"/>
      <c r="AC286" s="653"/>
      <c r="AD286" s="653"/>
      <c r="AE286" s="653"/>
      <c r="AF286" s="653"/>
      <c r="AG286" s="653"/>
      <c r="AH286" s="653"/>
      <c r="AI286" s="653"/>
      <c r="AJ286" s="653"/>
      <c r="AK286" s="653"/>
      <c r="AL286" s="653"/>
      <c r="AM286" s="653"/>
      <c r="AN286" s="653"/>
      <c r="AO286" s="653"/>
      <c r="AP286" s="653"/>
      <c r="AQ286" s="653"/>
      <c r="AR286" s="653"/>
      <c r="AS286" s="653"/>
      <c r="AT286" s="653"/>
      <c r="AU286" s="653"/>
      <c r="AV286" s="653"/>
    </row>
    <row r="287" spans="1:48" ht="14.5">
      <c r="A287" s="653"/>
      <c r="B287" s="653"/>
      <c r="C287" s="653"/>
      <c r="D287" s="653"/>
      <c r="E287" s="653"/>
      <c r="F287" s="653"/>
      <c r="G287" s="654"/>
      <c r="H287" s="654"/>
      <c r="I287" s="653"/>
      <c r="J287" s="653"/>
      <c r="K287" s="655"/>
      <c r="L287" s="653"/>
      <c r="M287" s="653"/>
      <c r="N287" s="653"/>
      <c r="O287" s="653"/>
      <c r="P287" s="653"/>
      <c r="Q287" s="653"/>
      <c r="R287" s="653"/>
      <c r="S287" s="653"/>
      <c r="T287" s="653"/>
      <c r="U287" s="656"/>
      <c r="V287" s="653"/>
      <c r="W287" s="653"/>
      <c r="X287" s="653"/>
      <c r="Y287" s="657"/>
      <c r="Z287" s="615"/>
      <c r="AA287" s="653"/>
      <c r="AB287" s="657"/>
      <c r="AC287" s="653"/>
      <c r="AD287" s="653"/>
      <c r="AE287" s="653"/>
      <c r="AF287" s="653"/>
      <c r="AG287" s="653"/>
      <c r="AH287" s="653"/>
      <c r="AI287" s="653"/>
      <c r="AJ287" s="653"/>
      <c r="AK287" s="653"/>
      <c r="AL287" s="653"/>
      <c r="AM287" s="653"/>
      <c r="AN287" s="653"/>
      <c r="AO287" s="653"/>
      <c r="AP287" s="653"/>
      <c r="AQ287" s="653"/>
      <c r="AR287" s="653"/>
      <c r="AS287" s="653"/>
      <c r="AT287" s="653"/>
      <c r="AU287" s="653"/>
      <c r="AV287" s="653"/>
    </row>
    <row r="288" spans="1:48" ht="14.5">
      <c r="A288" s="653"/>
      <c r="B288" s="653"/>
      <c r="C288" s="653"/>
      <c r="D288" s="653"/>
      <c r="E288" s="653"/>
      <c r="F288" s="653"/>
      <c r="G288" s="654"/>
      <c r="H288" s="654"/>
      <c r="I288" s="653"/>
      <c r="J288" s="653"/>
      <c r="K288" s="655"/>
      <c r="L288" s="653"/>
      <c r="M288" s="653"/>
      <c r="N288" s="653"/>
      <c r="O288" s="653"/>
      <c r="P288" s="653"/>
      <c r="Q288" s="653"/>
      <c r="R288" s="653"/>
      <c r="S288" s="653"/>
      <c r="T288" s="653"/>
      <c r="U288" s="656"/>
      <c r="V288" s="653"/>
      <c r="W288" s="653"/>
      <c r="X288" s="653"/>
      <c r="Y288" s="657"/>
      <c r="Z288" s="615"/>
      <c r="AA288" s="653"/>
      <c r="AB288" s="657"/>
      <c r="AC288" s="653"/>
      <c r="AD288" s="653"/>
      <c r="AE288" s="653"/>
      <c r="AF288" s="653"/>
      <c r="AG288" s="653"/>
      <c r="AH288" s="653"/>
      <c r="AI288" s="653"/>
      <c r="AJ288" s="653"/>
      <c r="AK288" s="653"/>
      <c r="AL288" s="653"/>
      <c r="AM288" s="653"/>
      <c r="AN288" s="653"/>
      <c r="AO288" s="653"/>
      <c r="AP288" s="653"/>
      <c r="AQ288" s="653"/>
      <c r="AR288" s="653"/>
      <c r="AS288" s="653"/>
      <c r="AT288" s="653"/>
      <c r="AU288" s="653"/>
      <c r="AV288" s="653"/>
    </row>
    <row r="289" spans="1:48" ht="14.5">
      <c r="A289" s="653"/>
      <c r="B289" s="653"/>
      <c r="C289" s="653"/>
      <c r="D289" s="653"/>
      <c r="E289" s="653"/>
      <c r="F289" s="653"/>
      <c r="G289" s="654"/>
      <c r="H289" s="654"/>
      <c r="I289" s="653"/>
      <c r="J289" s="653"/>
      <c r="K289" s="655"/>
      <c r="L289" s="653"/>
      <c r="M289" s="653"/>
      <c r="N289" s="653"/>
      <c r="O289" s="653"/>
      <c r="P289" s="653"/>
      <c r="Q289" s="653"/>
      <c r="R289" s="653"/>
      <c r="S289" s="653"/>
      <c r="T289" s="653"/>
      <c r="U289" s="656"/>
      <c r="V289" s="653"/>
      <c r="W289" s="653"/>
      <c r="X289" s="653"/>
      <c r="Y289" s="657"/>
      <c r="Z289" s="615"/>
      <c r="AA289" s="653"/>
      <c r="AB289" s="657"/>
      <c r="AC289" s="653"/>
      <c r="AD289" s="653"/>
      <c r="AE289" s="653"/>
      <c r="AF289" s="653"/>
      <c r="AG289" s="653"/>
      <c r="AH289" s="653"/>
      <c r="AI289" s="653"/>
      <c r="AJ289" s="653"/>
      <c r="AK289" s="653"/>
      <c r="AL289" s="653"/>
      <c r="AM289" s="653"/>
      <c r="AN289" s="653"/>
      <c r="AO289" s="653"/>
      <c r="AP289" s="653"/>
      <c r="AQ289" s="653"/>
      <c r="AR289" s="653"/>
      <c r="AS289" s="653"/>
      <c r="AT289" s="653"/>
      <c r="AU289" s="653"/>
      <c r="AV289" s="653"/>
    </row>
    <row r="290" spans="1:48" ht="14.5">
      <c r="A290" s="653"/>
      <c r="B290" s="653"/>
      <c r="C290" s="653"/>
      <c r="D290" s="653"/>
      <c r="E290" s="653"/>
      <c r="F290" s="653"/>
      <c r="G290" s="654"/>
      <c r="H290" s="654"/>
      <c r="I290" s="653"/>
      <c r="J290" s="653"/>
      <c r="K290" s="655"/>
      <c r="L290" s="653"/>
      <c r="M290" s="653"/>
      <c r="N290" s="653"/>
      <c r="O290" s="653"/>
      <c r="P290" s="653"/>
      <c r="Q290" s="653"/>
      <c r="R290" s="653"/>
      <c r="S290" s="653"/>
      <c r="T290" s="653"/>
      <c r="U290" s="656"/>
      <c r="V290" s="653"/>
      <c r="W290" s="653"/>
      <c r="X290" s="653"/>
      <c r="Y290" s="657"/>
      <c r="Z290" s="615"/>
      <c r="AA290" s="653"/>
      <c r="AB290" s="657"/>
      <c r="AC290" s="653"/>
      <c r="AD290" s="653"/>
      <c r="AE290" s="653"/>
      <c r="AF290" s="653"/>
      <c r="AG290" s="653"/>
      <c r="AH290" s="653"/>
      <c r="AI290" s="653"/>
      <c r="AJ290" s="653"/>
      <c r="AK290" s="653"/>
      <c r="AL290" s="653"/>
      <c r="AM290" s="653"/>
      <c r="AN290" s="653"/>
      <c r="AO290" s="653"/>
      <c r="AP290" s="653"/>
      <c r="AQ290" s="653"/>
      <c r="AR290" s="653"/>
      <c r="AS290" s="653"/>
      <c r="AT290" s="653"/>
      <c r="AU290" s="653"/>
      <c r="AV290" s="653"/>
    </row>
    <row r="291" spans="1:48" ht="14.5">
      <c r="A291" s="653"/>
      <c r="B291" s="653"/>
      <c r="C291" s="653"/>
      <c r="D291" s="653"/>
      <c r="E291" s="653"/>
      <c r="F291" s="653"/>
      <c r="G291" s="654"/>
      <c r="H291" s="654"/>
      <c r="I291" s="653"/>
      <c r="J291" s="653"/>
      <c r="K291" s="655"/>
      <c r="L291" s="653"/>
      <c r="M291" s="653"/>
      <c r="N291" s="653"/>
      <c r="O291" s="653"/>
      <c r="P291" s="653"/>
      <c r="Q291" s="653"/>
      <c r="R291" s="653"/>
      <c r="S291" s="653"/>
      <c r="T291" s="653"/>
      <c r="U291" s="656"/>
      <c r="V291" s="653"/>
      <c r="W291" s="653"/>
      <c r="X291" s="653"/>
      <c r="Y291" s="657"/>
      <c r="Z291" s="615"/>
      <c r="AA291" s="653"/>
      <c r="AB291" s="657"/>
      <c r="AC291" s="653"/>
      <c r="AD291" s="653"/>
      <c r="AE291" s="653"/>
      <c r="AF291" s="653"/>
      <c r="AG291" s="653"/>
      <c r="AH291" s="653"/>
      <c r="AI291" s="653"/>
      <c r="AJ291" s="653"/>
      <c r="AK291" s="653"/>
      <c r="AL291" s="653"/>
      <c r="AM291" s="653"/>
      <c r="AN291" s="653"/>
      <c r="AO291" s="653"/>
      <c r="AP291" s="653"/>
      <c r="AQ291" s="653"/>
      <c r="AR291" s="653"/>
      <c r="AS291" s="653"/>
      <c r="AT291" s="653"/>
      <c r="AU291" s="653"/>
      <c r="AV291" s="653"/>
    </row>
    <row r="292" spans="1:48" ht="14.5">
      <c r="A292" s="653"/>
      <c r="B292" s="653"/>
      <c r="C292" s="653"/>
      <c r="D292" s="653"/>
      <c r="E292" s="653"/>
      <c r="F292" s="653"/>
      <c r="G292" s="654"/>
      <c r="H292" s="654"/>
      <c r="I292" s="653"/>
      <c r="J292" s="653"/>
      <c r="K292" s="655"/>
      <c r="L292" s="653"/>
      <c r="M292" s="653"/>
      <c r="N292" s="653"/>
      <c r="O292" s="653"/>
      <c r="P292" s="653"/>
      <c r="Q292" s="653"/>
      <c r="R292" s="653"/>
      <c r="S292" s="653"/>
      <c r="T292" s="653"/>
      <c r="U292" s="656"/>
      <c r="V292" s="653"/>
      <c r="W292" s="653"/>
      <c r="X292" s="653"/>
      <c r="Y292" s="657"/>
      <c r="Z292" s="615"/>
      <c r="AA292" s="653"/>
      <c r="AB292" s="657"/>
      <c r="AC292" s="653"/>
      <c r="AD292" s="653"/>
      <c r="AE292" s="653"/>
      <c r="AF292" s="653"/>
      <c r="AG292" s="653"/>
      <c r="AH292" s="653"/>
      <c r="AI292" s="653"/>
      <c r="AJ292" s="653"/>
      <c r="AK292" s="653"/>
      <c r="AL292" s="653"/>
      <c r="AM292" s="653"/>
      <c r="AN292" s="653"/>
      <c r="AO292" s="653"/>
      <c r="AP292" s="653"/>
      <c r="AQ292" s="653"/>
      <c r="AR292" s="653"/>
      <c r="AS292" s="653"/>
      <c r="AT292" s="653"/>
      <c r="AU292" s="653"/>
      <c r="AV292" s="653"/>
    </row>
    <row r="293" spans="1:48" ht="14.5">
      <c r="A293" s="653"/>
      <c r="B293" s="653"/>
      <c r="C293" s="653"/>
      <c r="D293" s="653"/>
      <c r="E293" s="653"/>
      <c r="F293" s="653"/>
      <c r="G293" s="654"/>
      <c r="H293" s="654"/>
      <c r="I293" s="653"/>
      <c r="J293" s="653"/>
      <c r="K293" s="655"/>
      <c r="L293" s="653"/>
      <c r="M293" s="653"/>
      <c r="N293" s="653"/>
      <c r="O293" s="653"/>
      <c r="P293" s="653"/>
      <c r="Q293" s="653"/>
      <c r="R293" s="653"/>
      <c r="S293" s="653"/>
      <c r="T293" s="653"/>
      <c r="U293" s="656"/>
      <c r="V293" s="653"/>
      <c r="W293" s="653"/>
      <c r="X293" s="653"/>
      <c r="Y293" s="657"/>
      <c r="Z293" s="615"/>
      <c r="AA293" s="653"/>
      <c r="AB293" s="657"/>
      <c r="AC293" s="653"/>
      <c r="AD293" s="653"/>
      <c r="AE293" s="653"/>
      <c r="AF293" s="653"/>
      <c r="AG293" s="653"/>
      <c r="AH293" s="653"/>
      <c r="AI293" s="653"/>
      <c r="AJ293" s="653"/>
      <c r="AK293" s="653"/>
      <c r="AL293" s="653"/>
      <c r="AM293" s="653"/>
      <c r="AN293" s="653"/>
      <c r="AO293" s="653"/>
      <c r="AP293" s="653"/>
      <c r="AQ293" s="653"/>
      <c r="AR293" s="653"/>
      <c r="AS293" s="653"/>
      <c r="AT293" s="653"/>
      <c r="AU293" s="653"/>
      <c r="AV293" s="653"/>
    </row>
    <row r="294" spans="1:48" ht="14.5">
      <c r="A294" s="653"/>
      <c r="B294" s="653"/>
      <c r="C294" s="653"/>
      <c r="D294" s="653"/>
      <c r="E294" s="653"/>
      <c r="F294" s="653"/>
      <c r="G294" s="654"/>
      <c r="H294" s="654"/>
      <c r="I294" s="653"/>
      <c r="J294" s="653"/>
      <c r="K294" s="655"/>
      <c r="L294" s="653"/>
      <c r="M294" s="653"/>
      <c r="N294" s="653"/>
      <c r="O294" s="653"/>
      <c r="P294" s="653"/>
      <c r="Q294" s="653"/>
      <c r="R294" s="653"/>
      <c r="S294" s="653"/>
      <c r="T294" s="653"/>
      <c r="U294" s="656"/>
      <c r="V294" s="653"/>
      <c r="W294" s="653"/>
      <c r="X294" s="653"/>
      <c r="Y294" s="657"/>
      <c r="Z294" s="615"/>
      <c r="AA294" s="653"/>
      <c r="AB294" s="657"/>
      <c r="AC294" s="653"/>
      <c r="AD294" s="653"/>
      <c r="AE294" s="653"/>
      <c r="AF294" s="653"/>
      <c r="AG294" s="653"/>
      <c r="AH294" s="653"/>
      <c r="AI294" s="653"/>
      <c r="AJ294" s="653"/>
      <c r="AK294" s="653"/>
      <c r="AL294" s="653"/>
      <c r="AM294" s="653"/>
      <c r="AN294" s="653"/>
      <c r="AO294" s="653"/>
      <c r="AP294" s="653"/>
      <c r="AQ294" s="653"/>
      <c r="AR294" s="653"/>
      <c r="AS294" s="653"/>
      <c r="AT294" s="653"/>
      <c r="AU294" s="653"/>
      <c r="AV294" s="653"/>
    </row>
    <row r="295" spans="1:48" ht="14.5">
      <c r="A295" s="653"/>
      <c r="B295" s="653"/>
      <c r="C295" s="653"/>
      <c r="D295" s="653"/>
      <c r="E295" s="653"/>
      <c r="F295" s="653"/>
      <c r="G295" s="654"/>
      <c r="H295" s="654"/>
      <c r="I295" s="653"/>
      <c r="J295" s="653"/>
      <c r="K295" s="655"/>
      <c r="L295" s="653"/>
      <c r="M295" s="653"/>
      <c r="N295" s="653"/>
      <c r="O295" s="653"/>
      <c r="P295" s="653"/>
      <c r="Q295" s="653"/>
      <c r="R295" s="653"/>
      <c r="S295" s="653"/>
      <c r="T295" s="653"/>
      <c r="U295" s="656"/>
      <c r="V295" s="653"/>
      <c r="W295" s="653"/>
      <c r="X295" s="653"/>
      <c r="Y295" s="657"/>
      <c r="Z295" s="615"/>
      <c r="AA295" s="653"/>
      <c r="AB295" s="657"/>
      <c r="AC295" s="653"/>
      <c r="AD295" s="653"/>
      <c r="AE295" s="653"/>
      <c r="AF295" s="653"/>
      <c r="AG295" s="653"/>
      <c r="AH295" s="653"/>
      <c r="AI295" s="653"/>
      <c r="AJ295" s="653"/>
      <c r="AK295" s="653"/>
      <c r="AL295" s="653"/>
      <c r="AM295" s="653"/>
      <c r="AN295" s="653"/>
      <c r="AO295" s="653"/>
      <c r="AP295" s="653"/>
      <c r="AQ295" s="653"/>
      <c r="AR295" s="653"/>
      <c r="AS295" s="653"/>
      <c r="AT295" s="653"/>
      <c r="AU295" s="653"/>
      <c r="AV295" s="653"/>
    </row>
    <row r="296" spans="1:48" ht="14.5">
      <c r="A296" s="653"/>
      <c r="B296" s="653"/>
      <c r="C296" s="653"/>
      <c r="D296" s="653"/>
      <c r="E296" s="653"/>
      <c r="F296" s="653"/>
      <c r="G296" s="654"/>
      <c r="H296" s="654"/>
      <c r="I296" s="653"/>
      <c r="J296" s="653"/>
      <c r="K296" s="655"/>
      <c r="L296" s="653"/>
      <c r="M296" s="653"/>
      <c r="N296" s="653"/>
      <c r="O296" s="653"/>
      <c r="P296" s="653"/>
      <c r="Q296" s="653"/>
      <c r="R296" s="653"/>
      <c r="S296" s="653"/>
      <c r="T296" s="653"/>
      <c r="U296" s="656"/>
      <c r="V296" s="653"/>
      <c r="W296" s="653"/>
      <c r="X296" s="653"/>
      <c r="Y296" s="657"/>
      <c r="Z296" s="615"/>
      <c r="AA296" s="653"/>
      <c r="AB296" s="657"/>
      <c r="AC296" s="653"/>
      <c r="AD296" s="653"/>
      <c r="AE296" s="653"/>
      <c r="AF296" s="653"/>
      <c r="AG296" s="653"/>
      <c r="AH296" s="653"/>
      <c r="AI296" s="653"/>
      <c r="AJ296" s="653"/>
      <c r="AK296" s="653"/>
      <c r="AL296" s="653"/>
      <c r="AM296" s="653"/>
      <c r="AN296" s="653"/>
      <c r="AO296" s="653"/>
      <c r="AP296" s="653"/>
      <c r="AQ296" s="653"/>
      <c r="AR296" s="653"/>
      <c r="AS296" s="653"/>
      <c r="AT296" s="653"/>
      <c r="AU296" s="653"/>
      <c r="AV296" s="653"/>
    </row>
    <row r="297" spans="1:48" ht="14.5">
      <c r="A297" s="653"/>
      <c r="B297" s="653"/>
      <c r="C297" s="653"/>
      <c r="D297" s="653"/>
      <c r="E297" s="653"/>
      <c r="F297" s="653"/>
      <c r="G297" s="654"/>
      <c r="H297" s="654"/>
      <c r="I297" s="653"/>
      <c r="J297" s="653"/>
      <c r="K297" s="655"/>
      <c r="L297" s="653"/>
      <c r="M297" s="653"/>
      <c r="N297" s="653"/>
      <c r="O297" s="653"/>
      <c r="P297" s="653"/>
      <c r="Q297" s="653"/>
      <c r="R297" s="653"/>
      <c r="S297" s="653"/>
      <c r="T297" s="653"/>
      <c r="U297" s="656"/>
      <c r="V297" s="653"/>
      <c r="W297" s="653"/>
      <c r="X297" s="653"/>
      <c r="Y297" s="657"/>
      <c r="Z297" s="615"/>
      <c r="AA297" s="653"/>
      <c r="AB297" s="657"/>
      <c r="AC297" s="653"/>
      <c r="AD297" s="653"/>
      <c r="AE297" s="653"/>
      <c r="AF297" s="653"/>
      <c r="AG297" s="653"/>
      <c r="AH297" s="653"/>
      <c r="AI297" s="653"/>
      <c r="AJ297" s="653"/>
      <c r="AK297" s="653"/>
      <c r="AL297" s="653"/>
      <c r="AM297" s="653"/>
      <c r="AN297" s="653"/>
      <c r="AO297" s="653"/>
      <c r="AP297" s="653"/>
      <c r="AQ297" s="653"/>
      <c r="AR297" s="653"/>
      <c r="AS297" s="653"/>
      <c r="AT297" s="653"/>
      <c r="AU297" s="653"/>
      <c r="AV297" s="653"/>
    </row>
    <row r="298" spans="1:48" ht="14.5">
      <c r="A298" s="653"/>
      <c r="B298" s="653"/>
      <c r="C298" s="653"/>
      <c r="D298" s="653"/>
      <c r="E298" s="653"/>
      <c r="F298" s="653"/>
      <c r="G298" s="654"/>
      <c r="H298" s="654"/>
      <c r="I298" s="653"/>
      <c r="J298" s="653"/>
      <c r="K298" s="655"/>
      <c r="L298" s="653"/>
      <c r="M298" s="653"/>
      <c r="N298" s="653"/>
      <c r="O298" s="653"/>
      <c r="P298" s="653"/>
      <c r="Q298" s="653"/>
      <c r="R298" s="653"/>
      <c r="S298" s="653"/>
      <c r="T298" s="653"/>
      <c r="U298" s="656"/>
      <c r="V298" s="653"/>
      <c r="W298" s="653"/>
      <c r="X298" s="653"/>
      <c r="Y298" s="657"/>
      <c r="Z298" s="615"/>
      <c r="AA298" s="653"/>
      <c r="AB298" s="657"/>
      <c r="AC298" s="653"/>
      <c r="AD298" s="653"/>
      <c r="AE298" s="653"/>
      <c r="AF298" s="653"/>
      <c r="AG298" s="653"/>
      <c r="AH298" s="653"/>
      <c r="AI298" s="653"/>
      <c r="AJ298" s="653"/>
      <c r="AK298" s="653"/>
      <c r="AL298" s="653"/>
      <c r="AM298" s="653"/>
      <c r="AN298" s="653"/>
      <c r="AO298" s="653"/>
      <c r="AP298" s="653"/>
      <c r="AQ298" s="653"/>
      <c r="AR298" s="653"/>
      <c r="AS298" s="653"/>
      <c r="AT298" s="653"/>
      <c r="AU298" s="653"/>
      <c r="AV298" s="653"/>
    </row>
    <row r="299" spans="1:48" ht="14.5">
      <c r="A299" s="653"/>
      <c r="B299" s="653"/>
      <c r="C299" s="653"/>
      <c r="D299" s="653"/>
      <c r="E299" s="653"/>
      <c r="F299" s="653"/>
      <c r="G299" s="654"/>
      <c r="H299" s="654"/>
      <c r="I299" s="653"/>
      <c r="J299" s="653"/>
      <c r="K299" s="655"/>
      <c r="L299" s="653"/>
      <c r="M299" s="653"/>
      <c r="N299" s="653"/>
      <c r="O299" s="653"/>
      <c r="P299" s="653"/>
      <c r="Q299" s="653"/>
      <c r="R299" s="653"/>
      <c r="S299" s="653"/>
      <c r="T299" s="653"/>
      <c r="U299" s="656"/>
      <c r="V299" s="653"/>
      <c r="W299" s="653"/>
      <c r="X299" s="653"/>
      <c r="Y299" s="657"/>
      <c r="Z299" s="615"/>
      <c r="AA299" s="653"/>
      <c r="AB299" s="657"/>
      <c r="AC299" s="653"/>
      <c r="AD299" s="653"/>
      <c r="AE299" s="653"/>
      <c r="AF299" s="653"/>
      <c r="AG299" s="653"/>
      <c r="AH299" s="653"/>
      <c r="AI299" s="653"/>
      <c r="AJ299" s="653"/>
      <c r="AK299" s="653"/>
      <c r="AL299" s="653"/>
      <c r="AM299" s="653"/>
      <c r="AN299" s="653"/>
      <c r="AO299" s="653"/>
      <c r="AP299" s="653"/>
      <c r="AQ299" s="653"/>
      <c r="AR299" s="653"/>
      <c r="AS299" s="653"/>
      <c r="AT299" s="653"/>
      <c r="AU299" s="653"/>
      <c r="AV299" s="653"/>
    </row>
    <row r="300" spans="1:48" ht="14.5">
      <c r="A300" s="653"/>
      <c r="B300" s="653"/>
      <c r="C300" s="653"/>
      <c r="D300" s="653"/>
      <c r="E300" s="653"/>
      <c r="F300" s="653"/>
      <c r="G300" s="654"/>
      <c r="H300" s="654"/>
      <c r="I300" s="653"/>
      <c r="J300" s="653"/>
      <c r="K300" s="655"/>
      <c r="L300" s="653"/>
      <c r="M300" s="653"/>
      <c r="N300" s="653"/>
      <c r="O300" s="653"/>
      <c r="P300" s="653"/>
      <c r="Q300" s="653"/>
      <c r="R300" s="653"/>
      <c r="S300" s="653"/>
      <c r="T300" s="653"/>
      <c r="U300" s="656"/>
      <c r="V300" s="653"/>
      <c r="W300" s="653"/>
      <c r="X300" s="653"/>
      <c r="Y300" s="657"/>
      <c r="Z300" s="615"/>
      <c r="AA300" s="653"/>
      <c r="AB300" s="657"/>
      <c r="AC300" s="653"/>
      <c r="AD300" s="653"/>
      <c r="AE300" s="653"/>
      <c r="AF300" s="653"/>
      <c r="AG300" s="653"/>
      <c r="AH300" s="653"/>
      <c r="AI300" s="653"/>
      <c r="AJ300" s="653"/>
      <c r="AK300" s="653"/>
      <c r="AL300" s="653"/>
      <c r="AM300" s="653"/>
      <c r="AN300" s="653"/>
      <c r="AO300" s="653"/>
      <c r="AP300" s="653"/>
      <c r="AQ300" s="653"/>
      <c r="AR300" s="653"/>
      <c r="AS300" s="653"/>
      <c r="AT300" s="653"/>
      <c r="AU300" s="653"/>
      <c r="AV300" s="653"/>
    </row>
    <row r="301" spans="1:48" ht="14.5">
      <c r="A301" s="653"/>
      <c r="B301" s="653"/>
      <c r="C301" s="653"/>
      <c r="D301" s="653"/>
      <c r="E301" s="653"/>
      <c r="F301" s="653"/>
      <c r="G301" s="654"/>
      <c r="H301" s="654"/>
      <c r="I301" s="653"/>
      <c r="J301" s="653"/>
      <c r="K301" s="655"/>
      <c r="L301" s="653"/>
      <c r="M301" s="653"/>
      <c r="N301" s="653"/>
      <c r="O301" s="653"/>
      <c r="P301" s="653"/>
      <c r="Q301" s="653"/>
      <c r="R301" s="653"/>
      <c r="S301" s="653"/>
      <c r="T301" s="653"/>
      <c r="U301" s="656"/>
      <c r="V301" s="653"/>
      <c r="W301" s="653"/>
      <c r="X301" s="653"/>
      <c r="Y301" s="657"/>
      <c r="Z301" s="615"/>
      <c r="AA301" s="653"/>
      <c r="AB301" s="657"/>
      <c r="AC301" s="653"/>
      <c r="AD301" s="653"/>
      <c r="AE301" s="653"/>
      <c r="AF301" s="653"/>
      <c r="AG301" s="653"/>
      <c r="AH301" s="653"/>
      <c r="AI301" s="653"/>
      <c r="AJ301" s="653"/>
      <c r="AK301" s="653"/>
      <c r="AL301" s="653"/>
      <c r="AM301" s="653"/>
      <c r="AN301" s="653"/>
      <c r="AO301" s="653"/>
      <c r="AP301" s="653"/>
      <c r="AQ301" s="653"/>
      <c r="AR301" s="653"/>
      <c r="AS301" s="653"/>
      <c r="AT301" s="653"/>
      <c r="AU301" s="653"/>
      <c r="AV301" s="653"/>
    </row>
    <row r="302" spans="1:48" ht="14.5">
      <c r="A302" s="653"/>
      <c r="B302" s="653"/>
      <c r="C302" s="653"/>
      <c r="D302" s="653"/>
      <c r="E302" s="653"/>
      <c r="F302" s="653"/>
      <c r="G302" s="654"/>
      <c r="H302" s="654"/>
      <c r="I302" s="653"/>
      <c r="J302" s="653"/>
      <c r="K302" s="655"/>
      <c r="L302" s="653"/>
      <c r="M302" s="653"/>
      <c r="N302" s="653"/>
      <c r="O302" s="653"/>
      <c r="P302" s="653"/>
      <c r="Q302" s="653"/>
      <c r="R302" s="653"/>
      <c r="S302" s="653"/>
      <c r="T302" s="653"/>
      <c r="U302" s="656"/>
      <c r="V302" s="653"/>
      <c r="W302" s="653"/>
      <c r="X302" s="653"/>
      <c r="Y302" s="657"/>
      <c r="Z302" s="615"/>
      <c r="AA302" s="653"/>
      <c r="AB302" s="657"/>
      <c r="AC302" s="653"/>
      <c r="AD302" s="653"/>
      <c r="AE302" s="653"/>
      <c r="AF302" s="653"/>
      <c r="AG302" s="653"/>
      <c r="AH302" s="653"/>
      <c r="AI302" s="653"/>
      <c r="AJ302" s="653"/>
      <c r="AK302" s="653"/>
      <c r="AL302" s="653"/>
      <c r="AM302" s="653"/>
      <c r="AN302" s="653"/>
      <c r="AO302" s="653"/>
      <c r="AP302" s="653"/>
      <c r="AQ302" s="653"/>
      <c r="AR302" s="653"/>
      <c r="AS302" s="653"/>
      <c r="AT302" s="653"/>
      <c r="AU302" s="653"/>
      <c r="AV302" s="653"/>
    </row>
    <row r="303" spans="1:48" ht="14.5">
      <c r="A303" s="653"/>
      <c r="B303" s="653"/>
      <c r="C303" s="653"/>
      <c r="D303" s="653"/>
      <c r="E303" s="653"/>
      <c r="F303" s="653"/>
      <c r="G303" s="654"/>
      <c r="H303" s="654"/>
      <c r="I303" s="653"/>
      <c r="J303" s="653"/>
      <c r="K303" s="655"/>
      <c r="L303" s="653"/>
      <c r="M303" s="653"/>
      <c r="N303" s="653"/>
      <c r="O303" s="653"/>
      <c r="P303" s="653"/>
      <c r="Q303" s="653"/>
      <c r="R303" s="653"/>
      <c r="S303" s="653"/>
      <c r="T303" s="653"/>
      <c r="U303" s="656"/>
      <c r="V303" s="653"/>
      <c r="W303" s="653"/>
      <c r="X303" s="653"/>
      <c r="Y303" s="657"/>
      <c r="Z303" s="615"/>
      <c r="AA303" s="653"/>
      <c r="AB303" s="657"/>
      <c r="AC303" s="653"/>
      <c r="AD303" s="653"/>
      <c r="AE303" s="653"/>
      <c r="AF303" s="653"/>
      <c r="AG303" s="653"/>
      <c r="AH303" s="653"/>
      <c r="AI303" s="653"/>
      <c r="AJ303" s="653"/>
      <c r="AK303" s="653"/>
      <c r="AL303" s="653"/>
      <c r="AM303" s="653"/>
      <c r="AN303" s="653"/>
      <c r="AO303" s="653"/>
      <c r="AP303" s="653"/>
      <c r="AQ303" s="653"/>
      <c r="AR303" s="653"/>
      <c r="AS303" s="653"/>
      <c r="AT303" s="653"/>
      <c r="AU303" s="653"/>
      <c r="AV303" s="653"/>
    </row>
    <row r="304" spans="1:48" ht="14.5">
      <c r="A304" s="653"/>
      <c r="B304" s="653"/>
      <c r="C304" s="653"/>
      <c r="D304" s="653"/>
      <c r="E304" s="653"/>
      <c r="F304" s="653"/>
      <c r="G304" s="654"/>
      <c r="H304" s="654"/>
      <c r="I304" s="653"/>
      <c r="J304" s="653"/>
      <c r="K304" s="655"/>
      <c r="L304" s="653"/>
      <c r="M304" s="653"/>
      <c r="N304" s="653"/>
      <c r="O304" s="653"/>
      <c r="P304" s="653"/>
      <c r="Q304" s="653"/>
      <c r="R304" s="653"/>
      <c r="S304" s="653"/>
      <c r="T304" s="653"/>
      <c r="U304" s="656"/>
      <c r="V304" s="653"/>
      <c r="W304" s="653"/>
      <c r="X304" s="653"/>
      <c r="Y304" s="657"/>
      <c r="Z304" s="615"/>
      <c r="AA304" s="653"/>
      <c r="AB304" s="657"/>
      <c r="AC304" s="653"/>
      <c r="AD304" s="653"/>
      <c r="AE304" s="653"/>
      <c r="AF304" s="653"/>
      <c r="AG304" s="653"/>
      <c r="AH304" s="653"/>
      <c r="AI304" s="653"/>
      <c r="AJ304" s="653"/>
      <c r="AK304" s="653"/>
      <c r="AL304" s="653"/>
      <c r="AM304" s="653"/>
      <c r="AN304" s="653"/>
      <c r="AO304" s="653"/>
      <c r="AP304" s="653"/>
      <c r="AQ304" s="653"/>
      <c r="AR304" s="653"/>
      <c r="AS304" s="653"/>
      <c r="AT304" s="653"/>
      <c r="AU304" s="653"/>
      <c r="AV304" s="653"/>
    </row>
    <row r="305" spans="1:48" ht="14.5">
      <c r="A305" s="653"/>
      <c r="B305" s="653"/>
      <c r="C305" s="653"/>
      <c r="D305" s="653"/>
      <c r="E305" s="653"/>
      <c r="F305" s="653"/>
      <c r="G305" s="654"/>
      <c r="H305" s="654"/>
      <c r="I305" s="653"/>
      <c r="J305" s="653"/>
      <c r="K305" s="655"/>
      <c r="L305" s="653"/>
      <c r="M305" s="653"/>
      <c r="N305" s="653"/>
      <c r="O305" s="653"/>
      <c r="P305" s="653"/>
      <c r="Q305" s="653"/>
      <c r="R305" s="653"/>
      <c r="S305" s="653"/>
      <c r="T305" s="653"/>
      <c r="U305" s="656"/>
      <c r="V305" s="653"/>
      <c r="W305" s="653"/>
      <c r="X305" s="653"/>
      <c r="Y305" s="657"/>
      <c r="Z305" s="615"/>
      <c r="AA305" s="653"/>
      <c r="AB305" s="657"/>
      <c r="AC305" s="653"/>
      <c r="AD305" s="653"/>
      <c r="AE305" s="653"/>
      <c r="AF305" s="653"/>
      <c r="AG305" s="653"/>
      <c r="AH305" s="653"/>
      <c r="AI305" s="653"/>
      <c r="AJ305" s="653"/>
      <c r="AK305" s="653"/>
      <c r="AL305" s="653"/>
      <c r="AM305" s="653"/>
      <c r="AN305" s="653"/>
      <c r="AO305" s="653"/>
      <c r="AP305" s="653"/>
      <c r="AQ305" s="653"/>
      <c r="AR305" s="653"/>
      <c r="AS305" s="653"/>
      <c r="AT305" s="653"/>
      <c r="AU305" s="653"/>
      <c r="AV305" s="653"/>
    </row>
    <row r="306" spans="1:48" ht="14.5">
      <c r="A306" s="653"/>
      <c r="B306" s="653"/>
      <c r="C306" s="653"/>
      <c r="D306" s="653"/>
      <c r="E306" s="653"/>
      <c r="F306" s="653"/>
      <c r="G306" s="654"/>
      <c r="H306" s="654"/>
      <c r="I306" s="653"/>
      <c r="J306" s="653"/>
      <c r="K306" s="655"/>
      <c r="L306" s="653"/>
      <c r="M306" s="653"/>
      <c r="N306" s="653"/>
      <c r="O306" s="653"/>
      <c r="P306" s="653"/>
      <c r="Q306" s="653"/>
      <c r="R306" s="653"/>
      <c r="S306" s="653"/>
      <c r="T306" s="653"/>
      <c r="U306" s="656"/>
      <c r="V306" s="653"/>
      <c r="W306" s="653"/>
      <c r="X306" s="653"/>
      <c r="Y306" s="657"/>
      <c r="Z306" s="615"/>
      <c r="AA306" s="653"/>
      <c r="AB306" s="657"/>
      <c r="AC306" s="653"/>
      <c r="AD306" s="653"/>
      <c r="AE306" s="653"/>
      <c r="AF306" s="653"/>
      <c r="AG306" s="653"/>
      <c r="AH306" s="653"/>
      <c r="AI306" s="653"/>
      <c r="AJ306" s="653"/>
      <c r="AK306" s="653"/>
      <c r="AL306" s="653"/>
      <c r="AM306" s="653"/>
      <c r="AN306" s="653"/>
      <c r="AO306" s="653"/>
      <c r="AP306" s="653"/>
      <c r="AQ306" s="653"/>
      <c r="AR306" s="653"/>
      <c r="AS306" s="653"/>
      <c r="AT306" s="653"/>
      <c r="AU306" s="653"/>
      <c r="AV306" s="653"/>
    </row>
    <row r="307" spans="1:48" ht="14.5">
      <c r="A307" s="653"/>
      <c r="B307" s="653"/>
      <c r="C307" s="653"/>
      <c r="D307" s="653"/>
      <c r="E307" s="653"/>
      <c r="F307" s="653"/>
      <c r="G307" s="654"/>
      <c r="H307" s="654"/>
      <c r="I307" s="653"/>
      <c r="J307" s="653"/>
      <c r="K307" s="655"/>
      <c r="L307" s="653"/>
      <c r="M307" s="653"/>
      <c r="N307" s="653"/>
      <c r="O307" s="653"/>
      <c r="P307" s="653"/>
      <c r="Q307" s="653"/>
      <c r="R307" s="653"/>
      <c r="S307" s="653"/>
      <c r="T307" s="653"/>
      <c r="U307" s="656"/>
      <c r="V307" s="653"/>
      <c r="W307" s="653"/>
      <c r="X307" s="653"/>
      <c r="Y307" s="657"/>
      <c r="Z307" s="615"/>
      <c r="AA307" s="653"/>
      <c r="AB307" s="657"/>
      <c r="AC307" s="653"/>
      <c r="AD307" s="653"/>
      <c r="AE307" s="653"/>
      <c r="AF307" s="653"/>
      <c r="AG307" s="653"/>
      <c r="AH307" s="653"/>
      <c r="AI307" s="653"/>
      <c r="AJ307" s="653"/>
      <c r="AK307" s="653"/>
      <c r="AL307" s="653"/>
      <c r="AM307" s="653"/>
      <c r="AN307" s="653"/>
      <c r="AO307" s="653"/>
      <c r="AP307" s="653"/>
      <c r="AQ307" s="653"/>
      <c r="AR307" s="653"/>
      <c r="AS307" s="653"/>
      <c r="AT307" s="653"/>
      <c r="AU307" s="653"/>
      <c r="AV307" s="653"/>
    </row>
    <row r="308" spans="1:48" ht="14.5">
      <c r="A308" s="653"/>
      <c r="B308" s="653"/>
      <c r="C308" s="653"/>
      <c r="D308" s="653"/>
      <c r="E308" s="653"/>
      <c r="F308" s="653"/>
      <c r="G308" s="654"/>
      <c r="H308" s="654"/>
      <c r="I308" s="653"/>
      <c r="J308" s="653"/>
      <c r="K308" s="655"/>
      <c r="L308" s="653"/>
      <c r="M308" s="653"/>
      <c r="N308" s="653"/>
      <c r="O308" s="653"/>
      <c r="P308" s="653"/>
      <c r="Q308" s="653"/>
      <c r="R308" s="653"/>
      <c r="S308" s="653"/>
      <c r="T308" s="653"/>
      <c r="U308" s="656"/>
      <c r="V308" s="653"/>
      <c r="W308" s="653"/>
      <c r="X308" s="653"/>
      <c r="Y308" s="657"/>
      <c r="Z308" s="615"/>
      <c r="AA308" s="653"/>
      <c r="AB308" s="657"/>
      <c r="AC308" s="653"/>
      <c r="AD308" s="653"/>
      <c r="AE308" s="653"/>
      <c r="AF308" s="653"/>
      <c r="AG308" s="653"/>
      <c r="AH308" s="653"/>
      <c r="AI308" s="653"/>
      <c r="AJ308" s="653"/>
      <c r="AK308" s="653"/>
      <c r="AL308" s="653"/>
      <c r="AM308" s="653"/>
      <c r="AN308" s="653"/>
      <c r="AO308" s="653"/>
      <c r="AP308" s="653"/>
      <c r="AQ308" s="653"/>
      <c r="AR308" s="653"/>
      <c r="AS308" s="653"/>
      <c r="AT308" s="653"/>
      <c r="AU308" s="653"/>
      <c r="AV308" s="653"/>
    </row>
    <row r="309" spans="1:48" ht="14.5">
      <c r="A309" s="653"/>
      <c r="B309" s="653"/>
      <c r="C309" s="653"/>
      <c r="D309" s="653"/>
      <c r="E309" s="653"/>
      <c r="F309" s="653"/>
      <c r="G309" s="654"/>
      <c r="H309" s="654"/>
      <c r="I309" s="653"/>
      <c r="J309" s="653"/>
      <c r="K309" s="655"/>
      <c r="L309" s="653"/>
      <c r="M309" s="653"/>
      <c r="N309" s="653"/>
      <c r="O309" s="653"/>
      <c r="P309" s="653"/>
      <c r="Q309" s="653"/>
      <c r="R309" s="653"/>
      <c r="S309" s="653"/>
      <c r="T309" s="653"/>
      <c r="U309" s="656"/>
      <c r="V309" s="653"/>
      <c r="W309" s="653"/>
      <c r="X309" s="653"/>
      <c r="Y309" s="657"/>
      <c r="Z309" s="615"/>
      <c r="AA309" s="653"/>
      <c r="AB309" s="657"/>
      <c r="AC309" s="653"/>
      <c r="AD309" s="653"/>
      <c r="AE309" s="653"/>
      <c r="AF309" s="653"/>
      <c r="AG309" s="653"/>
      <c r="AH309" s="653"/>
      <c r="AI309" s="653"/>
      <c r="AJ309" s="653"/>
      <c r="AK309" s="653"/>
      <c r="AL309" s="653"/>
      <c r="AM309" s="653"/>
      <c r="AN309" s="653"/>
      <c r="AO309" s="653"/>
      <c r="AP309" s="653"/>
      <c r="AQ309" s="653"/>
      <c r="AR309" s="653"/>
      <c r="AS309" s="653"/>
      <c r="AT309" s="653"/>
      <c r="AU309" s="653"/>
      <c r="AV309" s="653"/>
    </row>
    <row r="310" spans="1:48" ht="14.5">
      <c r="A310" s="653"/>
      <c r="B310" s="653"/>
      <c r="C310" s="653"/>
      <c r="D310" s="653"/>
      <c r="E310" s="653"/>
      <c r="F310" s="653"/>
      <c r="G310" s="654"/>
      <c r="H310" s="654"/>
      <c r="I310" s="653"/>
      <c r="J310" s="653"/>
      <c r="K310" s="655"/>
      <c r="L310" s="653"/>
      <c r="M310" s="653"/>
      <c r="N310" s="653"/>
      <c r="O310" s="653"/>
      <c r="P310" s="653"/>
      <c r="Q310" s="653"/>
      <c r="R310" s="653"/>
      <c r="S310" s="653"/>
      <c r="T310" s="653"/>
      <c r="U310" s="656"/>
      <c r="V310" s="653"/>
      <c r="W310" s="653"/>
      <c r="X310" s="653"/>
      <c r="Y310" s="657"/>
      <c r="Z310" s="615"/>
      <c r="AA310" s="653"/>
      <c r="AB310" s="657"/>
      <c r="AC310" s="653"/>
      <c r="AD310" s="653"/>
      <c r="AE310" s="653"/>
      <c r="AF310" s="653"/>
      <c r="AG310" s="653"/>
      <c r="AH310" s="653"/>
      <c r="AI310" s="653"/>
      <c r="AJ310" s="653"/>
      <c r="AK310" s="653"/>
      <c r="AL310" s="653"/>
      <c r="AM310" s="653"/>
      <c r="AN310" s="653"/>
      <c r="AO310" s="653"/>
      <c r="AP310" s="653"/>
      <c r="AQ310" s="653"/>
      <c r="AR310" s="653"/>
      <c r="AS310" s="653"/>
      <c r="AT310" s="653"/>
      <c r="AU310" s="653"/>
      <c r="AV310" s="653"/>
    </row>
    <row r="311" spans="1:48" ht="14.5">
      <c r="A311" s="653"/>
      <c r="B311" s="653"/>
      <c r="C311" s="653"/>
      <c r="D311" s="653"/>
      <c r="E311" s="653"/>
      <c r="F311" s="653"/>
      <c r="G311" s="654"/>
      <c r="H311" s="654"/>
      <c r="I311" s="653"/>
      <c r="J311" s="653"/>
      <c r="K311" s="655"/>
      <c r="L311" s="653"/>
      <c r="M311" s="653"/>
      <c r="N311" s="653"/>
      <c r="O311" s="653"/>
      <c r="P311" s="653"/>
      <c r="Q311" s="653"/>
      <c r="R311" s="653"/>
      <c r="S311" s="653"/>
      <c r="T311" s="653"/>
      <c r="U311" s="656"/>
      <c r="V311" s="653"/>
      <c r="W311" s="653"/>
      <c r="X311" s="653"/>
      <c r="Y311" s="657"/>
      <c r="Z311" s="615"/>
      <c r="AA311" s="653"/>
      <c r="AB311" s="657"/>
      <c r="AC311" s="653"/>
      <c r="AD311" s="653"/>
      <c r="AE311" s="653"/>
      <c r="AF311" s="653"/>
      <c r="AG311" s="653"/>
      <c r="AH311" s="653"/>
      <c r="AI311" s="653"/>
      <c r="AJ311" s="653"/>
      <c r="AK311" s="653"/>
      <c r="AL311" s="653"/>
      <c r="AM311" s="653"/>
      <c r="AN311" s="653"/>
      <c r="AO311" s="653"/>
      <c r="AP311" s="653"/>
      <c r="AQ311" s="653"/>
      <c r="AR311" s="653"/>
      <c r="AS311" s="653"/>
      <c r="AT311" s="653"/>
      <c r="AU311" s="653"/>
      <c r="AV311" s="653"/>
    </row>
    <row r="312" spans="1:48" ht="14.5">
      <c r="A312" s="653"/>
      <c r="B312" s="653"/>
      <c r="C312" s="653"/>
      <c r="D312" s="653"/>
      <c r="E312" s="653"/>
      <c r="F312" s="653"/>
      <c r="G312" s="654"/>
      <c r="H312" s="654"/>
      <c r="I312" s="653"/>
      <c r="J312" s="653"/>
      <c r="K312" s="655"/>
      <c r="L312" s="653"/>
      <c r="M312" s="653"/>
      <c r="N312" s="653"/>
      <c r="O312" s="653"/>
      <c r="P312" s="653"/>
      <c r="Q312" s="653"/>
      <c r="R312" s="653"/>
      <c r="S312" s="653"/>
      <c r="T312" s="653"/>
      <c r="U312" s="656"/>
      <c r="V312" s="653"/>
      <c r="W312" s="653"/>
      <c r="X312" s="653"/>
      <c r="Y312" s="657"/>
      <c r="Z312" s="615"/>
      <c r="AA312" s="653"/>
      <c r="AB312" s="657"/>
      <c r="AC312" s="653"/>
      <c r="AD312" s="653"/>
      <c r="AE312" s="653"/>
      <c r="AF312" s="653"/>
      <c r="AG312" s="653"/>
      <c r="AH312" s="653"/>
      <c r="AI312" s="653"/>
      <c r="AJ312" s="653"/>
      <c r="AK312" s="653"/>
      <c r="AL312" s="653"/>
      <c r="AM312" s="653"/>
      <c r="AN312" s="653"/>
      <c r="AO312" s="653"/>
      <c r="AP312" s="653"/>
      <c r="AQ312" s="653"/>
      <c r="AR312" s="653"/>
      <c r="AS312" s="653"/>
      <c r="AT312" s="653"/>
      <c r="AU312" s="653"/>
      <c r="AV312" s="653"/>
    </row>
    <row r="313" spans="1:48" ht="14.5">
      <c r="A313" s="653"/>
      <c r="B313" s="653"/>
      <c r="C313" s="653"/>
      <c r="D313" s="653"/>
      <c r="E313" s="653"/>
      <c r="F313" s="653"/>
      <c r="G313" s="654"/>
      <c r="H313" s="654"/>
      <c r="I313" s="653"/>
      <c r="J313" s="653"/>
      <c r="K313" s="655"/>
      <c r="L313" s="653"/>
      <c r="M313" s="653"/>
      <c r="N313" s="653"/>
      <c r="O313" s="653"/>
      <c r="P313" s="653"/>
      <c r="Q313" s="653"/>
      <c r="R313" s="653"/>
      <c r="S313" s="653"/>
      <c r="T313" s="653"/>
      <c r="U313" s="656"/>
      <c r="V313" s="653"/>
      <c r="W313" s="653"/>
      <c r="X313" s="653"/>
      <c r="Y313" s="657"/>
      <c r="Z313" s="615"/>
      <c r="AA313" s="653"/>
      <c r="AB313" s="657"/>
      <c r="AC313" s="653"/>
      <c r="AD313" s="653"/>
      <c r="AE313" s="653"/>
      <c r="AF313" s="653"/>
      <c r="AG313" s="653"/>
      <c r="AH313" s="653"/>
      <c r="AI313" s="653"/>
      <c r="AJ313" s="653"/>
      <c r="AK313" s="653"/>
      <c r="AL313" s="653"/>
      <c r="AM313" s="653"/>
      <c r="AN313" s="653"/>
      <c r="AO313" s="653"/>
      <c r="AP313" s="653"/>
      <c r="AQ313" s="653"/>
      <c r="AR313" s="653"/>
      <c r="AS313" s="653"/>
      <c r="AT313" s="653"/>
      <c r="AU313" s="653"/>
      <c r="AV313" s="653"/>
    </row>
    <row r="314" spans="1:48" ht="14.5">
      <c r="A314" s="653"/>
      <c r="B314" s="653"/>
      <c r="C314" s="653"/>
      <c r="D314" s="653"/>
      <c r="E314" s="653"/>
      <c r="F314" s="653"/>
      <c r="G314" s="654"/>
      <c r="H314" s="654"/>
      <c r="I314" s="653"/>
      <c r="J314" s="653"/>
      <c r="K314" s="655"/>
      <c r="L314" s="653"/>
      <c r="M314" s="653"/>
      <c r="N314" s="653"/>
      <c r="O314" s="653"/>
      <c r="P314" s="653"/>
      <c r="Q314" s="653"/>
      <c r="R314" s="653"/>
      <c r="S314" s="653"/>
      <c r="T314" s="653"/>
      <c r="U314" s="656"/>
      <c r="V314" s="653"/>
      <c r="W314" s="653"/>
      <c r="X314" s="653"/>
      <c r="Y314" s="657"/>
      <c r="Z314" s="615"/>
      <c r="AA314" s="653"/>
      <c r="AB314" s="657"/>
      <c r="AC314" s="653"/>
      <c r="AD314" s="653"/>
      <c r="AE314" s="653"/>
      <c r="AF314" s="653"/>
      <c r="AG314" s="653"/>
      <c r="AH314" s="653"/>
      <c r="AI314" s="653"/>
      <c r="AJ314" s="653"/>
      <c r="AK314" s="653"/>
      <c r="AL314" s="653"/>
      <c r="AM314" s="653"/>
      <c r="AN314" s="653"/>
      <c r="AO314" s="653"/>
      <c r="AP314" s="653"/>
      <c r="AQ314" s="653"/>
      <c r="AR314" s="653"/>
      <c r="AS314" s="653"/>
      <c r="AT314" s="653"/>
      <c r="AU314" s="653"/>
      <c r="AV314" s="653"/>
    </row>
    <row r="315" spans="1:48" ht="14.5">
      <c r="A315" s="653"/>
      <c r="B315" s="653"/>
      <c r="C315" s="653"/>
      <c r="D315" s="653"/>
      <c r="E315" s="653"/>
      <c r="F315" s="653"/>
      <c r="G315" s="654"/>
      <c r="H315" s="654"/>
      <c r="I315" s="653"/>
      <c r="J315" s="653"/>
      <c r="K315" s="655"/>
      <c r="L315" s="653"/>
      <c r="M315" s="653"/>
      <c r="N315" s="653"/>
      <c r="O315" s="653"/>
      <c r="P315" s="653"/>
      <c r="Q315" s="653"/>
      <c r="R315" s="653"/>
      <c r="S315" s="653"/>
      <c r="T315" s="653"/>
      <c r="U315" s="656"/>
      <c r="V315" s="653"/>
      <c r="W315" s="653"/>
      <c r="X315" s="653"/>
      <c r="Y315" s="657"/>
      <c r="Z315" s="615"/>
      <c r="AA315" s="653"/>
      <c r="AB315" s="657"/>
      <c r="AC315" s="653"/>
      <c r="AD315" s="653"/>
      <c r="AE315" s="653"/>
      <c r="AF315" s="653"/>
      <c r="AG315" s="653"/>
      <c r="AH315" s="653"/>
      <c r="AI315" s="653"/>
      <c r="AJ315" s="653"/>
      <c r="AK315" s="653"/>
      <c r="AL315" s="653"/>
      <c r="AM315" s="653"/>
      <c r="AN315" s="653"/>
      <c r="AO315" s="653"/>
      <c r="AP315" s="653"/>
      <c r="AQ315" s="653"/>
      <c r="AR315" s="653"/>
      <c r="AS315" s="653"/>
      <c r="AT315" s="653"/>
      <c r="AU315" s="653"/>
      <c r="AV315" s="653"/>
    </row>
    <row r="316" spans="1:48" ht="14.5">
      <c r="A316" s="653"/>
      <c r="B316" s="653"/>
      <c r="C316" s="653"/>
      <c r="D316" s="653"/>
      <c r="E316" s="653"/>
      <c r="F316" s="653"/>
      <c r="G316" s="654"/>
      <c r="H316" s="654"/>
      <c r="I316" s="653"/>
      <c r="J316" s="653"/>
      <c r="K316" s="655"/>
      <c r="L316" s="653"/>
      <c r="M316" s="653"/>
      <c r="N316" s="653"/>
      <c r="O316" s="653"/>
      <c r="P316" s="653"/>
      <c r="Q316" s="653"/>
      <c r="R316" s="653"/>
      <c r="S316" s="653"/>
      <c r="T316" s="653"/>
      <c r="U316" s="656"/>
      <c r="V316" s="653"/>
      <c r="W316" s="653"/>
      <c r="X316" s="653"/>
      <c r="Y316" s="657"/>
      <c r="Z316" s="615"/>
      <c r="AA316" s="653"/>
      <c r="AB316" s="657"/>
      <c r="AC316" s="653"/>
      <c r="AD316" s="653"/>
      <c r="AE316" s="653"/>
      <c r="AF316" s="653"/>
      <c r="AG316" s="653"/>
      <c r="AH316" s="653"/>
      <c r="AI316" s="653"/>
      <c r="AJ316" s="653"/>
      <c r="AK316" s="653"/>
      <c r="AL316" s="653"/>
      <c r="AM316" s="653"/>
      <c r="AN316" s="653"/>
      <c r="AO316" s="653"/>
      <c r="AP316" s="653"/>
      <c r="AQ316" s="653"/>
      <c r="AR316" s="653"/>
      <c r="AS316" s="653"/>
      <c r="AT316" s="653"/>
      <c r="AU316" s="653"/>
      <c r="AV316" s="653"/>
    </row>
    <row r="317" spans="1:48" ht="14.5">
      <c r="A317" s="653"/>
      <c r="B317" s="653"/>
      <c r="C317" s="653"/>
      <c r="D317" s="653"/>
      <c r="E317" s="653"/>
      <c r="F317" s="653"/>
      <c r="G317" s="654"/>
      <c r="H317" s="654"/>
      <c r="I317" s="653"/>
      <c r="J317" s="653"/>
      <c r="K317" s="655"/>
      <c r="L317" s="653"/>
      <c r="M317" s="653"/>
      <c r="N317" s="653"/>
      <c r="O317" s="653"/>
      <c r="P317" s="653"/>
      <c r="Q317" s="653"/>
      <c r="R317" s="653"/>
      <c r="S317" s="653"/>
      <c r="T317" s="653"/>
      <c r="U317" s="656"/>
      <c r="V317" s="653"/>
      <c r="W317" s="653"/>
      <c r="X317" s="653"/>
      <c r="Y317" s="657"/>
      <c r="Z317" s="615"/>
      <c r="AA317" s="653"/>
      <c r="AB317" s="657"/>
      <c r="AC317" s="653"/>
      <c r="AD317" s="653"/>
      <c r="AE317" s="653"/>
      <c r="AF317" s="653"/>
      <c r="AG317" s="653"/>
      <c r="AH317" s="653"/>
      <c r="AI317" s="653"/>
      <c r="AJ317" s="653"/>
      <c r="AK317" s="653"/>
      <c r="AL317" s="653"/>
      <c r="AM317" s="653"/>
      <c r="AN317" s="653"/>
      <c r="AO317" s="653"/>
      <c r="AP317" s="653"/>
      <c r="AQ317" s="653"/>
      <c r="AR317" s="653"/>
      <c r="AS317" s="653"/>
      <c r="AT317" s="653"/>
      <c r="AU317" s="653"/>
      <c r="AV317" s="653"/>
    </row>
    <row r="318" spans="1:48" ht="14.5">
      <c r="A318" s="653"/>
      <c r="B318" s="653"/>
      <c r="C318" s="653"/>
      <c r="D318" s="653"/>
      <c r="E318" s="653"/>
      <c r="F318" s="653"/>
      <c r="G318" s="654"/>
      <c r="H318" s="654"/>
      <c r="I318" s="653"/>
      <c r="J318" s="653"/>
      <c r="K318" s="655"/>
      <c r="L318" s="653"/>
      <c r="M318" s="653"/>
      <c r="N318" s="653"/>
      <c r="O318" s="653"/>
      <c r="P318" s="653"/>
      <c r="Q318" s="653"/>
      <c r="R318" s="653"/>
      <c r="S318" s="653"/>
      <c r="T318" s="653"/>
      <c r="U318" s="656"/>
      <c r="V318" s="653"/>
      <c r="W318" s="653"/>
      <c r="X318" s="653"/>
      <c r="Y318" s="657"/>
      <c r="Z318" s="615"/>
      <c r="AA318" s="653"/>
      <c r="AB318" s="657"/>
      <c r="AC318" s="653"/>
      <c r="AD318" s="653"/>
      <c r="AE318" s="653"/>
      <c r="AF318" s="653"/>
      <c r="AG318" s="653"/>
      <c r="AH318" s="653"/>
      <c r="AI318" s="653"/>
      <c r="AJ318" s="653"/>
      <c r="AK318" s="653"/>
      <c r="AL318" s="653"/>
      <c r="AM318" s="653"/>
      <c r="AN318" s="653"/>
      <c r="AO318" s="653"/>
      <c r="AP318" s="653"/>
      <c r="AQ318" s="653"/>
      <c r="AR318" s="653"/>
      <c r="AS318" s="653"/>
      <c r="AT318" s="653"/>
      <c r="AU318" s="653"/>
      <c r="AV318" s="653"/>
    </row>
    <row r="319" spans="1:48" ht="14.5">
      <c r="A319" s="653"/>
      <c r="B319" s="653"/>
      <c r="C319" s="653"/>
      <c r="D319" s="653"/>
      <c r="E319" s="653"/>
      <c r="F319" s="653"/>
      <c r="G319" s="654"/>
      <c r="H319" s="654"/>
      <c r="I319" s="653"/>
      <c r="J319" s="653"/>
      <c r="K319" s="655"/>
      <c r="L319" s="653"/>
      <c r="M319" s="653"/>
      <c r="N319" s="653"/>
      <c r="O319" s="653"/>
      <c r="P319" s="653"/>
      <c r="Q319" s="653"/>
      <c r="R319" s="653"/>
      <c r="S319" s="653"/>
      <c r="T319" s="653"/>
      <c r="U319" s="656"/>
      <c r="V319" s="653"/>
      <c r="W319" s="653"/>
      <c r="X319" s="653"/>
      <c r="Y319" s="657"/>
      <c r="Z319" s="615"/>
      <c r="AA319" s="653"/>
      <c r="AB319" s="657"/>
      <c r="AC319" s="653"/>
      <c r="AD319" s="653"/>
      <c r="AE319" s="653"/>
      <c r="AF319" s="653"/>
      <c r="AG319" s="653"/>
      <c r="AH319" s="653"/>
      <c r="AI319" s="653"/>
      <c r="AJ319" s="653"/>
      <c r="AK319" s="653"/>
      <c r="AL319" s="653"/>
      <c r="AM319" s="653"/>
      <c r="AN319" s="653"/>
      <c r="AO319" s="653"/>
      <c r="AP319" s="653"/>
      <c r="AQ319" s="653"/>
      <c r="AR319" s="653"/>
      <c r="AS319" s="653"/>
      <c r="AT319" s="653"/>
      <c r="AU319" s="653"/>
      <c r="AV319" s="653"/>
    </row>
    <row r="320" spans="1:48" ht="14.5">
      <c r="A320" s="653"/>
      <c r="B320" s="653"/>
      <c r="C320" s="653"/>
      <c r="D320" s="653"/>
      <c r="E320" s="653"/>
      <c r="F320" s="653"/>
      <c r="G320" s="654"/>
      <c r="H320" s="654"/>
      <c r="I320" s="653"/>
      <c r="J320" s="653"/>
      <c r="K320" s="655"/>
      <c r="L320" s="653"/>
      <c r="M320" s="653"/>
      <c r="N320" s="653"/>
      <c r="O320" s="653"/>
      <c r="P320" s="653"/>
      <c r="Q320" s="653"/>
      <c r="R320" s="653"/>
      <c r="S320" s="653"/>
      <c r="T320" s="653"/>
      <c r="U320" s="656"/>
      <c r="V320" s="653"/>
      <c r="W320" s="653"/>
      <c r="X320" s="653"/>
      <c r="Y320" s="657"/>
      <c r="Z320" s="615"/>
      <c r="AA320" s="653"/>
      <c r="AB320" s="657"/>
      <c r="AC320" s="653"/>
      <c r="AD320" s="653"/>
      <c r="AE320" s="653"/>
      <c r="AF320" s="653"/>
      <c r="AG320" s="653"/>
      <c r="AH320" s="653"/>
      <c r="AI320" s="653"/>
      <c r="AJ320" s="653"/>
      <c r="AK320" s="653"/>
      <c r="AL320" s="653"/>
      <c r="AM320" s="653"/>
      <c r="AN320" s="653"/>
      <c r="AO320" s="653"/>
      <c r="AP320" s="653"/>
      <c r="AQ320" s="653"/>
      <c r="AR320" s="653"/>
      <c r="AS320" s="653"/>
      <c r="AT320" s="653"/>
      <c r="AU320" s="653"/>
      <c r="AV320" s="653"/>
    </row>
    <row r="321" spans="1:48" ht="14.5">
      <c r="A321" s="653"/>
      <c r="B321" s="653"/>
      <c r="C321" s="653"/>
      <c r="D321" s="653"/>
      <c r="E321" s="653"/>
      <c r="F321" s="653"/>
      <c r="G321" s="654"/>
      <c r="H321" s="654"/>
      <c r="I321" s="653"/>
      <c r="J321" s="653"/>
      <c r="K321" s="655"/>
      <c r="L321" s="653"/>
      <c r="M321" s="653"/>
      <c r="N321" s="653"/>
      <c r="O321" s="653"/>
      <c r="P321" s="653"/>
      <c r="Q321" s="653"/>
      <c r="R321" s="653"/>
      <c r="S321" s="653"/>
      <c r="T321" s="653"/>
      <c r="U321" s="656"/>
      <c r="V321" s="653"/>
      <c r="W321" s="653"/>
      <c r="X321" s="653"/>
      <c r="Y321" s="657"/>
      <c r="Z321" s="615"/>
      <c r="AA321" s="653"/>
      <c r="AB321" s="657"/>
      <c r="AC321" s="653"/>
      <c r="AD321" s="653"/>
      <c r="AE321" s="653"/>
      <c r="AF321" s="653"/>
      <c r="AG321" s="653"/>
      <c r="AH321" s="653"/>
      <c r="AI321" s="653"/>
      <c r="AJ321" s="653"/>
      <c r="AK321" s="653"/>
      <c r="AL321" s="653"/>
      <c r="AM321" s="653"/>
      <c r="AN321" s="653"/>
      <c r="AO321" s="653"/>
      <c r="AP321" s="653"/>
      <c r="AQ321" s="653"/>
      <c r="AR321" s="653"/>
      <c r="AS321" s="653"/>
      <c r="AT321" s="653"/>
      <c r="AU321" s="653"/>
      <c r="AV321" s="653"/>
    </row>
    <row r="322" spans="1:48" ht="14.5">
      <c r="A322" s="653"/>
      <c r="B322" s="653"/>
      <c r="C322" s="653"/>
      <c r="D322" s="653"/>
      <c r="E322" s="653"/>
      <c r="F322" s="653"/>
      <c r="G322" s="654"/>
      <c r="H322" s="654"/>
      <c r="I322" s="653"/>
      <c r="J322" s="653"/>
      <c r="K322" s="655"/>
      <c r="L322" s="653"/>
      <c r="M322" s="653"/>
      <c r="N322" s="653"/>
      <c r="O322" s="653"/>
      <c r="P322" s="653"/>
      <c r="Q322" s="653"/>
      <c r="R322" s="653"/>
      <c r="S322" s="653"/>
      <c r="T322" s="653"/>
      <c r="U322" s="656"/>
      <c r="V322" s="653"/>
      <c r="W322" s="653"/>
      <c r="X322" s="653"/>
      <c r="Y322" s="657"/>
      <c r="Z322" s="615"/>
      <c r="AA322" s="653"/>
      <c r="AB322" s="657"/>
      <c r="AC322" s="653"/>
      <c r="AD322" s="653"/>
      <c r="AE322" s="653"/>
      <c r="AF322" s="653"/>
      <c r="AG322" s="653"/>
      <c r="AH322" s="653"/>
      <c r="AI322" s="653"/>
      <c r="AJ322" s="653"/>
      <c r="AK322" s="653"/>
      <c r="AL322" s="653"/>
      <c r="AM322" s="653"/>
      <c r="AN322" s="653"/>
      <c r="AO322" s="653"/>
      <c r="AP322" s="653"/>
      <c r="AQ322" s="653"/>
      <c r="AR322" s="653"/>
      <c r="AS322" s="653"/>
      <c r="AT322" s="653"/>
      <c r="AU322" s="653"/>
      <c r="AV322" s="653"/>
    </row>
    <row r="323" spans="1:48" ht="14.5">
      <c r="A323" s="653"/>
      <c r="B323" s="653"/>
      <c r="C323" s="653"/>
      <c r="D323" s="653"/>
      <c r="E323" s="653"/>
      <c r="F323" s="653"/>
      <c r="G323" s="654"/>
      <c r="H323" s="654"/>
      <c r="I323" s="653"/>
      <c r="J323" s="653"/>
      <c r="K323" s="655"/>
      <c r="L323" s="653"/>
      <c r="M323" s="653"/>
      <c r="N323" s="653"/>
      <c r="O323" s="653"/>
      <c r="P323" s="653"/>
      <c r="Q323" s="653"/>
      <c r="R323" s="653"/>
      <c r="S323" s="653"/>
      <c r="T323" s="653"/>
      <c r="U323" s="656"/>
      <c r="V323" s="653"/>
      <c r="W323" s="653"/>
      <c r="X323" s="653"/>
      <c r="Y323" s="657"/>
      <c r="Z323" s="615"/>
      <c r="AA323" s="653"/>
      <c r="AB323" s="657"/>
      <c r="AC323" s="653"/>
      <c r="AD323" s="653"/>
      <c r="AE323" s="653"/>
      <c r="AF323" s="653"/>
      <c r="AG323" s="653"/>
      <c r="AH323" s="653"/>
      <c r="AI323" s="653"/>
      <c r="AJ323" s="653"/>
      <c r="AK323" s="653"/>
      <c r="AL323" s="653"/>
      <c r="AM323" s="653"/>
      <c r="AN323" s="653"/>
      <c r="AO323" s="653"/>
      <c r="AP323" s="653"/>
      <c r="AQ323" s="653"/>
      <c r="AR323" s="653"/>
      <c r="AS323" s="653"/>
      <c r="AT323" s="653"/>
      <c r="AU323" s="653"/>
      <c r="AV323" s="653"/>
    </row>
    <row r="324" spans="1:48" ht="14.5">
      <c r="A324" s="653"/>
      <c r="B324" s="653"/>
      <c r="C324" s="653"/>
      <c r="D324" s="653"/>
      <c r="E324" s="653"/>
      <c r="F324" s="653"/>
      <c r="G324" s="654"/>
      <c r="H324" s="654"/>
      <c r="I324" s="653"/>
      <c r="J324" s="653"/>
      <c r="K324" s="655"/>
      <c r="L324" s="653"/>
      <c r="M324" s="653"/>
      <c r="N324" s="653"/>
      <c r="O324" s="653"/>
      <c r="P324" s="653"/>
      <c r="Q324" s="653"/>
      <c r="R324" s="653"/>
      <c r="S324" s="653"/>
      <c r="T324" s="653"/>
      <c r="U324" s="656"/>
      <c r="V324" s="653"/>
      <c r="W324" s="653"/>
      <c r="X324" s="653"/>
      <c r="Y324" s="657"/>
      <c r="Z324" s="615"/>
      <c r="AA324" s="653"/>
      <c r="AB324" s="657"/>
      <c r="AC324" s="653"/>
      <c r="AD324" s="653"/>
      <c r="AE324" s="653"/>
      <c r="AF324" s="653"/>
      <c r="AG324" s="653"/>
      <c r="AH324" s="653"/>
      <c r="AI324" s="653"/>
      <c r="AJ324" s="653"/>
      <c r="AK324" s="653"/>
      <c r="AL324" s="653"/>
      <c r="AM324" s="653"/>
      <c r="AN324" s="653"/>
      <c r="AO324" s="653"/>
      <c r="AP324" s="653"/>
      <c r="AQ324" s="653"/>
      <c r="AR324" s="653"/>
      <c r="AS324" s="653"/>
      <c r="AT324" s="653"/>
      <c r="AU324" s="653"/>
      <c r="AV324" s="653"/>
    </row>
    <row r="325" spans="1:48" ht="14.5">
      <c r="A325" s="653"/>
      <c r="B325" s="653"/>
      <c r="C325" s="653"/>
      <c r="D325" s="653"/>
      <c r="E325" s="653"/>
      <c r="F325" s="653"/>
      <c r="G325" s="654"/>
      <c r="H325" s="654"/>
      <c r="I325" s="653"/>
      <c r="J325" s="653"/>
      <c r="K325" s="655"/>
      <c r="L325" s="653"/>
      <c r="M325" s="653"/>
      <c r="N325" s="653"/>
      <c r="O325" s="653"/>
      <c r="P325" s="653"/>
      <c r="Q325" s="653"/>
      <c r="R325" s="653"/>
      <c r="S325" s="653"/>
      <c r="T325" s="653"/>
      <c r="U325" s="656"/>
      <c r="V325" s="653"/>
      <c r="W325" s="653"/>
      <c r="X325" s="653"/>
      <c r="Y325" s="657"/>
      <c r="Z325" s="615"/>
      <c r="AA325" s="653"/>
      <c r="AB325" s="657"/>
      <c r="AC325" s="653"/>
      <c r="AD325" s="653"/>
      <c r="AE325" s="653"/>
      <c r="AF325" s="653"/>
      <c r="AG325" s="653"/>
      <c r="AH325" s="653"/>
      <c r="AI325" s="653"/>
      <c r="AJ325" s="653"/>
      <c r="AK325" s="653"/>
      <c r="AL325" s="653"/>
      <c r="AM325" s="653"/>
      <c r="AN325" s="653"/>
      <c r="AO325" s="653"/>
      <c r="AP325" s="653"/>
      <c r="AQ325" s="653"/>
      <c r="AR325" s="653"/>
      <c r="AS325" s="653"/>
      <c r="AT325" s="653"/>
      <c r="AU325" s="653"/>
      <c r="AV325" s="653"/>
    </row>
    <row r="326" spans="1:48" ht="14.5">
      <c r="A326" s="653"/>
      <c r="B326" s="653"/>
      <c r="C326" s="653"/>
      <c r="D326" s="653"/>
      <c r="E326" s="653"/>
      <c r="F326" s="653"/>
      <c r="G326" s="654"/>
      <c r="H326" s="654"/>
      <c r="I326" s="653"/>
      <c r="J326" s="653"/>
      <c r="K326" s="655"/>
      <c r="L326" s="653"/>
      <c r="M326" s="653"/>
      <c r="N326" s="653"/>
      <c r="O326" s="653"/>
      <c r="P326" s="653"/>
      <c r="Q326" s="653"/>
      <c r="R326" s="653"/>
      <c r="S326" s="653"/>
      <c r="T326" s="653"/>
      <c r="U326" s="656"/>
      <c r="V326" s="653"/>
      <c r="W326" s="653"/>
      <c r="X326" s="653"/>
      <c r="Y326" s="657"/>
      <c r="Z326" s="615"/>
      <c r="AA326" s="653"/>
      <c r="AB326" s="657"/>
      <c r="AC326" s="653"/>
      <c r="AD326" s="653"/>
      <c r="AE326" s="653"/>
      <c r="AF326" s="653"/>
      <c r="AG326" s="653"/>
      <c r="AH326" s="653"/>
      <c r="AI326" s="653"/>
      <c r="AJ326" s="653"/>
      <c r="AK326" s="653"/>
      <c r="AL326" s="653"/>
      <c r="AM326" s="653"/>
      <c r="AN326" s="653"/>
      <c r="AO326" s="653"/>
      <c r="AP326" s="653"/>
      <c r="AQ326" s="653"/>
      <c r="AR326" s="653"/>
      <c r="AS326" s="653"/>
      <c r="AT326" s="653"/>
      <c r="AU326" s="653"/>
      <c r="AV326" s="653"/>
    </row>
    <row r="327" spans="1:48" ht="14.5">
      <c r="A327" s="653"/>
      <c r="B327" s="653"/>
      <c r="C327" s="653"/>
      <c r="D327" s="653"/>
      <c r="E327" s="653"/>
      <c r="F327" s="653"/>
      <c r="G327" s="654"/>
      <c r="H327" s="654"/>
      <c r="I327" s="653"/>
      <c r="J327" s="653"/>
      <c r="K327" s="655"/>
      <c r="L327" s="653"/>
      <c r="M327" s="653"/>
      <c r="N327" s="653"/>
      <c r="O327" s="653"/>
      <c r="P327" s="653"/>
      <c r="Q327" s="653"/>
      <c r="R327" s="653"/>
      <c r="S327" s="653"/>
      <c r="T327" s="653"/>
      <c r="U327" s="656"/>
      <c r="V327" s="653"/>
      <c r="W327" s="653"/>
      <c r="X327" s="653"/>
      <c r="Y327" s="657"/>
      <c r="Z327" s="615"/>
      <c r="AA327" s="653"/>
      <c r="AB327" s="657"/>
      <c r="AC327" s="653"/>
      <c r="AD327" s="653"/>
      <c r="AE327" s="653"/>
      <c r="AF327" s="653"/>
      <c r="AG327" s="653"/>
      <c r="AH327" s="653"/>
      <c r="AI327" s="653"/>
      <c r="AJ327" s="653"/>
      <c r="AK327" s="653"/>
      <c r="AL327" s="653"/>
      <c r="AM327" s="653"/>
      <c r="AN327" s="653"/>
      <c r="AO327" s="653"/>
      <c r="AP327" s="653"/>
      <c r="AQ327" s="653"/>
      <c r="AR327" s="653"/>
      <c r="AS327" s="653"/>
      <c r="AT327" s="653"/>
      <c r="AU327" s="653"/>
      <c r="AV327" s="653"/>
    </row>
    <row r="328" spans="1:48" ht="14.5">
      <c r="A328" s="653"/>
      <c r="B328" s="653"/>
      <c r="C328" s="653"/>
      <c r="D328" s="653"/>
      <c r="E328" s="653"/>
      <c r="F328" s="653"/>
      <c r="G328" s="654"/>
      <c r="H328" s="654"/>
      <c r="I328" s="653"/>
      <c r="J328" s="653"/>
      <c r="K328" s="655"/>
      <c r="L328" s="653"/>
      <c r="M328" s="653"/>
      <c r="N328" s="653"/>
      <c r="O328" s="653"/>
      <c r="P328" s="653"/>
      <c r="Q328" s="653"/>
      <c r="R328" s="653"/>
      <c r="S328" s="653"/>
      <c r="T328" s="653"/>
      <c r="U328" s="656"/>
      <c r="V328" s="653"/>
      <c r="W328" s="653"/>
      <c r="X328" s="653"/>
      <c r="Y328" s="657"/>
      <c r="Z328" s="615"/>
      <c r="AA328" s="653"/>
      <c r="AB328" s="657"/>
      <c r="AC328" s="653"/>
      <c r="AD328" s="653"/>
      <c r="AE328" s="653"/>
      <c r="AF328" s="653"/>
      <c r="AG328" s="653"/>
      <c r="AH328" s="653"/>
      <c r="AI328" s="653"/>
      <c r="AJ328" s="653"/>
      <c r="AK328" s="653"/>
      <c r="AL328" s="653"/>
      <c r="AM328" s="653"/>
      <c r="AN328" s="653"/>
      <c r="AO328" s="653"/>
      <c r="AP328" s="653"/>
      <c r="AQ328" s="653"/>
      <c r="AR328" s="653"/>
      <c r="AS328" s="653"/>
      <c r="AT328" s="653"/>
      <c r="AU328" s="653"/>
      <c r="AV328" s="653"/>
    </row>
    <row r="329" spans="1:48" ht="14.5">
      <c r="A329" s="653"/>
      <c r="B329" s="653"/>
      <c r="C329" s="653"/>
      <c r="D329" s="653"/>
      <c r="E329" s="653"/>
      <c r="F329" s="653"/>
      <c r="G329" s="654"/>
      <c r="H329" s="654"/>
      <c r="I329" s="653"/>
      <c r="J329" s="653"/>
      <c r="K329" s="655"/>
      <c r="L329" s="653"/>
      <c r="M329" s="653"/>
      <c r="N329" s="653"/>
      <c r="O329" s="653"/>
      <c r="P329" s="653"/>
      <c r="Q329" s="653"/>
      <c r="R329" s="653"/>
      <c r="S329" s="653"/>
      <c r="T329" s="653"/>
      <c r="U329" s="656"/>
      <c r="V329" s="653"/>
      <c r="W329" s="653"/>
      <c r="X329" s="653"/>
      <c r="Y329" s="657"/>
      <c r="Z329" s="615"/>
      <c r="AA329" s="653"/>
      <c r="AB329" s="657"/>
      <c r="AC329" s="653"/>
      <c r="AD329" s="653"/>
      <c r="AE329" s="653"/>
      <c r="AF329" s="653"/>
      <c r="AG329" s="653"/>
      <c r="AH329" s="653"/>
      <c r="AI329" s="653"/>
      <c r="AJ329" s="653"/>
      <c r="AK329" s="653"/>
      <c r="AL329" s="653"/>
      <c r="AM329" s="653"/>
      <c r="AN329" s="653"/>
      <c r="AO329" s="653"/>
      <c r="AP329" s="653"/>
      <c r="AQ329" s="653"/>
      <c r="AR329" s="653"/>
      <c r="AS329" s="653"/>
      <c r="AT329" s="653"/>
      <c r="AU329" s="653"/>
      <c r="AV329" s="653"/>
    </row>
    <row r="330" spans="1:48" ht="14.5">
      <c r="A330" s="653"/>
      <c r="B330" s="653"/>
      <c r="C330" s="653"/>
      <c r="D330" s="653"/>
      <c r="E330" s="653"/>
      <c r="F330" s="653"/>
      <c r="G330" s="654"/>
      <c r="H330" s="654"/>
      <c r="I330" s="653"/>
      <c r="J330" s="653"/>
      <c r="K330" s="655"/>
      <c r="L330" s="653"/>
      <c r="M330" s="653"/>
      <c r="N330" s="653"/>
      <c r="O330" s="653"/>
      <c r="P330" s="653"/>
      <c r="Q330" s="653"/>
      <c r="R330" s="653"/>
      <c r="S330" s="653"/>
      <c r="T330" s="653"/>
      <c r="U330" s="656"/>
      <c r="V330" s="653"/>
      <c r="W330" s="653"/>
      <c r="X330" s="653"/>
      <c r="Y330" s="657"/>
      <c r="Z330" s="615"/>
      <c r="AA330" s="653"/>
      <c r="AB330" s="657"/>
      <c r="AC330" s="653"/>
      <c r="AD330" s="653"/>
      <c r="AE330" s="653"/>
      <c r="AF330" s="653"/>
      <c r="AG330" s="653"/>
      <c r="AH330" s="653"/>
      <c r="AI330" s="653"/>
      <c r="AJ330" s="653"/>
      <c r="AK330" s="653"/>
      <c r="AL330" s="653"/>
      <c r="AM330" s="653"/>
      <c r="AN330" s="653"/>
      <c r="AO330" s="653"/>
      <c r="AP330" s="653"/>
      <c r="AQ330" s="653"/>
      <c r="AR330" s="653"/>
      <c r="AS330" s="653"/>
      <c r="AT330" s="653"/>
      <c r="AU330" s="653"/>
      <c r="AV330" s="653"/>
    </row>
    <row r="331" spans="1:48" ht="14.5">
      <c r="A331" s="653"/>
      <c r="B331" s="653"/>
      <c r="C331" s="653"/>
      <c r="D331" s="653"/>
      <c r="E331" s="653"/>
      <c r="F331" s="653"/>
      <c r="G331" s="654"/>
      <c r="H331" s="654"/>
      <c r="I331" s="653"/>
      <c r="J331" s="653"/>
      <c r="K331" s="655"/>
      <c r="L331" s="653"/>
      <c r="M331" s="653"/>
      <c r="N331" s="653"/>
      <c r="O331" s="653"/>
      <c r="P331" s="653"/>
      <c r="Q331" s="653"/>
      <c r="R331" s="653"/>
      <c r="S331" s="653"/>
      <c r="T331" s="653"/>
      <c r="U331" s="656"/>
      <c r="V331" s="653"/>
      <c r="W331" s="653"/>
      <c r="X331" s="653"/>
      <c r="Y331" s="657"/>
      <c r="Z331" s="615"/>
      <c r="AA331" s="653"/>
      <c r="AB331" s="657"/>
      <c r="AC331" s="653"/>
      <c r="AD331" s="653"/>
      <c r="AE331" s="653"/>
      <c r="AF331" s="653"/>
      <c r="AG331" s="653"/>
      <c r="AH331" s="653"/>
      <c r="AI331" s="653"/>
      <c r="AJ331" s="653"/>
      <c r="AK331" s="653"/>
      <c r="AL331" s="653"/>
      <c r="AM331" s="653"/>
      <c r="AN331" s="653"/>
      <c r="AO331" s="653"/>
      <c r="AP331" s="653"/>
      <c r="AQ331" s="653"/>
      <c r="AR331" s="653"/>
      <c r="AS331" s="653"/>
      <c r="AT331" s="653"/>
      <c r="AU331" s="653"/>
      <c r="AV331" s="653"/>
    </row>
    <row r="332" spans="1:48" ht="14.5">
      <c r="A332" s="653"/>
      <c r="B332" s="653"/>
      <c r="C332" s="653"/>
      <c r="D332" s="653"/>
      <c r="E332" s="653"/>
      <c r="F332" s="653"/>
      <c r="G332" s="654"/>
      <c r="H332" s="654"/>
      <c r="I332" s="653"/>
      <c r="J332" s="653"/>
      <c r="K332" s="655"/>
      <c r="L332" s="653"/>
      <c r="M332" s="653"/>
      <c r="N332" s="653"/>
      <c r="O332" s="653"/>
      <c r="P332" s="653"/>
      <c r="Q332" s="653"/>
      <c r="R332" s="653"/>
      <c r="S332" s="653"/>
      <c r="T332" s="653"/>
      <c r="U332" s="656"/>
      <c r="V332" s="653"/>
      <c r="W332" s="653"/>
      <c r="X332" s="653"/>
      <c r="Y332" s="657"/>
      <c r="Z332" s="615"/>
      <c r="AA332" s="653"/>
      <c r="AB332" s="657"/>
      <c r="AC332" s="653"/>
      <c r="AD332" s="653"/>
      <c r="AE332" s="653"/>
      <c r="AF332" s="653"/>
      <c r="AG332" s="653"/>
      <c r="AH332" s="653"/>
      <c r="AI332" s="653"/>
      <c r="AJ332" s="653"/>
      <c r="AK332" s="653"/>
      <c r="AL332" s="653"/>
      <c r="AM332" s="653"/>
      <c r="AN332" s="653"/>
      <c r="AO332" s="653"/>
      <c r="AP332" s="653"/>
      <c r="AQ332" s="653"/>
      <c r="AR332" s="653"/>
      <c r="AS332" s="653"/>
      <c r="AT332" s="653"/>
      <c r="AU332" s="653"/>
      <c r="AV332" s="653"/>
    </row>
    <row r="333" spans="1:48" ht="14.5">
      <c r="A333" s="653"/>
      <c r="B333" s="653"/>
      <c r="C333" s="653"/>
      <c r="D333" s="653"/>
      <c r="E333" s="653"/>
      <c r="F333" s="653"/>
      <c r="G333" s="654"/>
      <c r="H333" s="654"/>
      <c r="I333" s="653"/>
      <c r="J333" s="653"/>
      <c r="K333" s="655"/>
      <c r="L333" s="653"/>
      <c r="M333" s="653"/>
      <c r="N333" s="653"/>
      <c r="O333" s="653"/>
      <c r="P333" s="653"/>
      <c r="Q333" s="653"/>
      <c r="R333" s="653"/>
      <c r="S333" s="653"/>
      <c r="T333" s="653"/>
      <c r="U333" s="656"/>
      <c r="V333" s="653"/>
      <c r="W333" s="653"/>
      <c r="X333" s="653"/>
      <c r="Y333" s="657"/>
      <c r="Z333" s="615"/>
      <c r="AA333" s="653"/>
      <c r="AB333" s="657"/>
      <c r="AC333" s="653"/>
      <c r="AD333" s="653"/>
      <c r="AE333" s="653"/>
      <c r="AF333" s="653"/>
      <c r="AG333" s="653"/>
      <c r="AH333" s="653"/>
      <c r="AI333" s="653"/>
      <c r="AJ333" s="653"/>
      <c r="AK333" s="653"/>
      <c r="AL333" s="653"/>
      <c r="AM333" s="653"/>
      <c r="AN333" s="653"/>
      <c r="AO333" s="653"/>
      <c r="AP333" s="653"/>
      <c r="AQ333" s="653"/>
      <c r="AR333" s="653"/>
      <c r="AS333" s="653"/>
      <c r="AT333" s="653"/>
      <c r="AU333" s="653"/>
      <c r="AV333" s="653"/>
    </row>
    <row r="334" spans="1:48" ht="14.5">
      <c r="A334" s="653"/>
      <c r="B334" s="653"/>
      <c r="C334" s="653"/>
      <c r="D334" s="653"/>
      <c r="E334" s="653"/>
      <c r="F334" s="653"/>
      <c r="G334" s="654"/>
      <c r="H334" s="654"/>
      <c r="I334" s="653"/>
      <c r="J334" s="653"/>
      <c r="K334" s="655"/>
      <c r="L334" s="653"/>
      <c r="M334" s="653"/>
      <c r="N334" s="653"/>
      <c r="O334" s="653"/>
      <c r="P334" s="653"/>
      <c r="Q334" s="653"/>
      <c r="R334" s="653"/>
      <c r="S334" s="653"/>
      <c r="T334" s="653"/>
      <c r="U334" s="656"/>
      <c r="V334" s="653"/>
      <c r="W334" s="653"/>
      <c r="X334" s="653"/>
      <c r="Y334" s="657"/>
      <c r="Z334" s="615"/>
      <c r="AA334" s="653"/>
      <c r="AB334" s="657"/>
      <c r="AC334" s="653"/>
      <c r="AD334" s="653"/>
      <c r="AE334" s="653"/>
      <c r="AF334" s="653"/>
      <c r="AG334" s="653"/>
      <c r="AH334" s="653"/>
      <c r="AI334" s="653"/>
      <c r="AJ334" s="653"/>
      <c r="AK334" s="653"/>
      <c r="AL334" s="653"/>
      <c r="AM334" s="653"/>
      <c r="AN334" s="653"/>
      <c r="AO334" s="653"/>
      <c r="AP334" s="653"/>
      <c r="AQ334" s="653"/>
      <c r="AR334" s="653"/>
      <c r="AS334" s="653"/>
      <c r="AT334" s="653"/>
      <c r="AU334" s="653"/>
      <c r="AV334" s="653"/>
    </row>
    <row r="335" spans="1:48" ht="14.5">
      <c r="A335" s="653"/>
      <c r="B335" s="653"/>
      <c r="C335" s="653"/>
      <c r="D335" s="653"/>
      <c r="E335" s="653"/>
      <c r="F335" s="653"/>
      <c r="G335" s="654"/>
      <c r="H335" s="654"/>
      <c r="I335" s="653"/>
      <c r="J335" s="653"/>
      <c r="K335" s="655"/>
      <c r="L335" s="653"/>
      <c r="M335" s="653"/>
      <c r="N335" s="653"/>
      <c r="O335" s="653"/>
      <c r="P335" s="653"/>
      <c r="Q335" s="653"/>
      <c r="R335" s="653"/>
      <c r="S335" s="653"/>
      <c r="T335" s="653"/>
      <c r="U335" s="656"/>
      <c r="V335" s="653"/>
      <c r="W335" s="653"/>
      <c r="X335" s="653"/>
      <c r="Y335" s="657"/>
      <c r="Z335" s="615"/>
      <c r="AA335" s="653"/>
      <c r="AB335" s="657"/>
      <c r="AC335" s="653"/>
      <c r="AD335" s="653"/>
      <c r="AE335" s="653"/>
      <c r="AF335" s="653"/>
      <c r="AG335" s="653"/>
      <c r="AH335" s="653"/>
      <c r="AI335" s="653"/>
      <c r="AJ335" s="653"/>
      <c r="AK335" s="653"/>
      <c r="AL335" s="653"/>
      <c r="AM335" s="653"/>
      <c r="AN335" s="653"/>
      <c r="AO335" s="653"/>
      <c r="AP335" s="653"/>
      <c r="AQ335" s="653"/>
      <c r="AR335" s="653"/>
      <c r="AS335" s="653"/>
      <c r="AT335" s="653"/>
      <c r="AU335" s="653"/>
      <c r="AV335" s="653"/>
    </row>
    <row r="336" spans="1:48" ht="14.5">
      <c r="A336" s="653"/>
      <c r="B336" s="653"/>
      <c r="C336" s="653"/>
      <c r="D336" s="653"/>
      <c r="E336" s="653"/>
      <c r="F336" s="653"/>
      <c r="G336" s="654"/>
      <c r="H336" s="654"/>
      <c r="I336" s="653"/>
      <c r="J336" s="653"/>
      <c r="K336" s="655"/>
      <c r="L336" s="653"/>
      <c r="M336" s="653"/>
      <c r="N336" s="653"/>
      <c r="O336" s="653"/>
      <c r="P336" s="653"/>
      <c r="Q336" s="653"/>
      <c r="R336" s="653"/>
      <c r="S336" s="653"/>
      <c r="T336" s="653"/>
      <c r="U336" s="656"/>
      <c r="V336" s="653"/>
      <c r="W336" s="653"/>
      <c r="X336" s="653"/>
      <c r="Y336" s="657"/>
      <c r="Z336" s="615"/>
      <c r="AA336" s="653"/>
      <c r="AB336" s="657"/>
      <c r="AC336" s="653"/>
      <c r="AD336" s="653"/>
      <c r="AE336" s="653"/>
      <c r="AF336" s="653"/>
      <c r="AG336" s="653"/>
      <c r="AH336" s="653"/>
      <c r="AI336" s="653"/>
      <c r="AJ336" s="653"/>
      <c r="AK336" s="653"/>
      <c r="AL336" s="653"/>
      <c r="AM336" s="653"/>
      <c r="AN336" s="653"/>
      <c r="AO336" s="653"/>
      <c r="AP336" s="653"/>
      <c r="AQ336" s="653"/>
      <c r="AR336" s="653"/>
      <c r="AS336" s="653"/>
      <c r="AT336" s="653"/>
      <c r="AU336" s="653"/>
      <c r="AV336" s="653"/>
    </row>
    <row r="337" spans="1:48" ht="14.5">
      <c r="A337" s="653"/>
      <c r="B337" s="653"/>
      <c r="C337" s="653"/>
      <c r="D337" s="653"/>
      <c r="E337" s="653"/>
      <c r="F337" s="653"/>
      <c r="G337" s="654"/>
      <c r="H337" s="654"/>
      <c r="I337" s="653"/>
      <c r="J337" s="653"/>
      <c r="K337" s="655"/>
      <c r="L337" s="653"/>
      <c r="M337" s="653"/>
      <c r="N337" s="653"/>
      <c r="O337" s="653"/>
      <c r="P337" s="653"/>
      <c r="Q337" s="653"/>
      <c r="R337" s="653"/>
      <c r="S337" s="653"/>
      <c r="T337" s="653"/>
      <c r="U337" s="656"/>
      <c r="V337" s="653"/>
      <c r="W337" s="653"/>
      <c r="X337" s="653"/>
      <c r="Y337" s="657"/>
      <c r="Z337" s="615"/>
      <c r="AA337" s="653"/>
      <c r="AB337" s="657"/>
      <c r="AC337" s="653"/>
      <c r="AD337" s="653"/>
      <c r="AE337" s="653"/>
      <c r="AF337" s="653"/>
      <c r="AG337" s="653"/>
      <c r="AH337" s="653"/>
      <c r="AI337" s="653"/>
      <c r="AJ337" s="653"/>
      <c r="AK337" s="653"/>
      <c r="AL337" s="653"/>
      <c r="AM337" s="653"/>
      <c r="AN337" s="653"/>
      <c r="AO337" s="653"/>
      <c r="AP337" s="653"/>
      <c r="AQ337" s="653"/>
      <c r="AR337" s="653"/>
      <c r="AS337" s="653"/>
      <c r="AT337" s="653"/>
      <c r="AU337" s="653"/>
      <c r="AV337" s="653"/>
    </row>
    <row r="338" spans="1:48" ht="14.5">
      <c r="A338" s="653"/>
      <c r="B338" s="653"/>
      <c r="C338" s="653"/>
      <c r="D338" s="653"/>
      <c r="E338" s="653"/>
      <c r="F338" s="653"/>
      <c r="G338" s="654"/>
      <c r="H338" s="654"/>
      <c r="I338" s="653"/>
      <c r="J338" s="653"/>
      <c r="K338" s="655"/>
      <c r="L338" s="653"/>
      <c r="M338" s="653"/>
      <c r="N338" s="653"/>
      <c r="O338" s="653"/>
      <c r="P338" s="653"/>
      <c r="Q338" s="653"/>
      <c r="R338" s="653"/>
      <c r="S338" s="653"/>
      <c r="T338" s="653"/>
      <c r="U338" s="656"/>
      <c r="V338" s="653"/>
      <c r="W338" s="653"/>
      <c r="X338" s="653"/>
      <c r="Y338" s="657"/>
      <c r="Z338" s="615"/>
      <c r="AA338" s="653"/>
      <c r="AB338" s="657"/>
      <c r="AC338" s="653"/>
      <c r="AD338" s="653"/>
      <c r="AE338" s="653"/>
      <c r="AF338" s="653"/>
      <c r="AG338" s="653"/>
      <c r="AH338" s="653"/>
      <c r="AI338" s="653"/>
      <c r="AJ338" s="653"/>
      <c r="AK338" s="653"/>
      <c r="AL338" s="653"/>
      <c r="AM338" s="653"/>
      <c r="AN338" s="653"/>
      <c r="AO338" s="653"/>
      <c r="AP338" s="653"/>
      <c r="AQ338" s="653"/>
      <c r="AR338" s="653"/>
      <c r="AS338" s="653"/>
      <c r="AT338" s="653"/>
      <c r="AU338" s="653"/>
      <c r="AV338" s="653"/>
    </row>
    <row r="339" spans="1:48" ht="14.5">
      <c r="A339" s="653"/>
      <c r="B339" s="653"/>
      <c r="C339" s="653"/>
      <c r="D339" s="653"/>
      <c r="E339" s="653"/>
      <c r="F339" s="653"/>
      <c r="G339" s="654"/>
      <c r="H339" s="654"/>
      <c r="I339" s="653"/>
      <c r="J339" s="653"/>
      <c r="K339" s="655"/>
      <c r="L339" s="653"/>
      <c r="M339" s="653"/>
      <c r="N339" s="653"/>
      <c r="O339" s="653"/>
      <c r="P339" s="653"/>
      <c r="Q339" s="653"/>
      <c r="R339" s="653"/>
      <c r="S339" s="653"/>
      <c r="T339" s="653"/>
      <c r="U339" s="656"/>
      <c r="V339" s="653"/>
      <c r="W339" s="653"/>
      <c r="X339" s="653"/>
      <c r="Y339" s="657"/>
      <c r="Z339" s="615"/>
      <c r="AA339" s="653"/>
      <c r="AB339" s="657"/>
      <c r="AC339" s="653"/>
      <c r="AD339" s="653"/>
      <c r="AE339" s="653"/>
      <c r="AF339" s="653"/>
      <c r="AG339" s="653"/>
      <c r="AH339" s="653"/>
      <c r="AI339" s="653"/>
      <c r="AJ339" s="653"/>
      <c r="AK339" s="653"/>
      <c r="AL339" s="653"/>
      <c r="AM339" s="653"/>
      <c r="AN339" s="653"/>
      <c r="AO339" s="653"/>
      <c r="AP339" s="653"/>
      <c r="AQ339" s="653"/>
      <c r="AR339" s="653"/>
      <c r="AS339" s="653"/>
      <c r="AT339" s="653"/>
      <c r="AU339" s="653"/>
      <c r="AV339" s="653"/>
    </row>
    <row r="340" spans="1:48" ht="14.5">
      <c r="A340" s="653"/>
      <c r="B340" s="653"/>
      <c r="C340" s="653"/>
      <c r="D340" s="653"/>
      <c r="E340" s="653"/>
      <c r="F340" s="653"/>
      <c r="G340" s="654"/>
      <c r="H340" s="654"/>
      <c r="I340" s="653"/>
      <c r="J340" s="653"/>
      <c r="K340" s="655"/>
      <c r="L340" s="653"/>
      <c r="M340" s="653"/>
      <c r="N340" s="653"/>
      <c r="O340" s="653"/>
      <c r="P340" s="653"/>
      <c r="Q340" s="653"/>
      <c r="R340" s="653"/>
      <c r="S340" s="653"/>
      <c r="T340" s="653"/>
      <c r="U340" s="656"/>
      <c r="V340" s="653"/>
      <c r="W340" s="653"/>
      <c r="X340" s="653"/>
      <c r="Y340" s="657"/>
      <c r="Z340" s="615"/>
      <c r="AA340" s="653"/>
      <c r="AB340" s="657"/>
      <c r="AC340" s="653"/>
      <c r="AD340" s="653"/>
      <c r="AE340" s="653"/>
      <c r="AF340" s="653"/>
      <c r="AG340" s="653"/>
      <c r="AH340" s="653"/>
      <c r="AI340" s="653"/>
      <c r="AJ340" s="653"/>
      <c r="AK340" s="653"/>
      <c r="AL340" s="653"/>
      <c r="AM340" s="653"/>
      <c r="AN340" s="653"/>
      <c r="AO340" s="653"/>
      <c r="AP340" s="653"/>
      <c r="AQ340" s="653"/>
      <c r="AR340" s="653"/>
      <c r="AS340" s="653"/>
      <c r="AT340" s="653"/>
      <c r="AU340" s="653"/>
      <c r="AV340" s="653"/>
    </row>
    <row r="341" spans="1:48" ht="14.5">
      <c r="A341" s="653"/>
      <c r="B341" s="653"/>
      <c r="C341" s="653"/>
      <c r="D341" s="653"/>
      <c r="E341" s="653"/>
      <c r="F341" s="653"/>
      <c r="G341" s="654"/>
      <c r="H341" s="654"/>
      <c r="I341" s="653"/>
      <c r="J341" s="653"/>
      <c r="K341" s="655"/>
      <c r="L341" s="653"/>
      <c r="M341" s="653"/>
      <c r="N341" s="653"/>
      <c r="O341" s="653"/>
      <c r="P341" s="653"/>
      <c r="Q341" s="653"/>
      <c r="R341" s="653"/>
      <c r="S341" s="653"/>
      <c r="T341" s="653"/>
      <c r="U341" s="656"/>
      <c r="V341" s="653"/>
      <c r="W341" s="653"/>
      <c r="X341" s="653"/>
      <c r="Y341" s="657"/>
      <c r="Z341" s="615"/>
      <c r="AA341" s="653"/>
      <c r="AB341" s="657"/>
      <c r="AC341" s="653"/>
      <c r="AD341" s="653"/>
      <c r="AE341" s="653"/>
      <c r="AF341" s="653"/>
      <c r="AG341" s="653"/>
      <c r="AH341" s="653"/>
      <c r="AI341" s="653"/>
      <c r="AJ341" s="653"/>
      <c r="AK341" s="653"/>
      <c r="AL341" s="653"/>
      <c r="AM341" s="653"/>
      <c r="AN341" s="653"/>
      <c r="AO341" s="653"/>
      <c r="AP341" s="653"/>
      <c r="AQ341" s="653"/>
      <c r="AR341" s="653"/>
      <c r="AS341" s="653"/>
      <c r="AT341" s="653"/>
      <c r="AU341" s="653"/>
      <c r="AV341" s="653"/>
    </row>
    <row r="342" spans="1:48" ht="14.5">
      <c r="A342" s="653"/>
      <c r="B342" s="653"/>
      <c r="C342" s="653"/>
      <c r="D342" s="653"/>
      <c r="E342" s="653"/>
      <c r="F342" s="653"/>
      <c r="G342" s="654"/>
      <c r="H342" s="654"/>
      <c r="I342" s="653"/>
      <c r="J342" s="653"/>
      <c r="K342" s="655"/>
      <c r="L342" s="653"/>
      <c r="M342" s="653"/>
      <c r="N342" s="653"/>
      <c r="O342" s="653"/>
      <c r="P342" s="653"/>
      <c r="Q342" s="653"/>
      <c r="R342" s="653"/>
      <c r="S342" s="653"/>
      <c r="T342" s="653"/>
      <c r="U342" s="656"/>
      <c r="V342" s="653"/>
      <c r="W342" s="653"/>
      <c r="X342" s="653"/>
      <c r="Y342" s="657"/>
      <c r="Z342" s="615"/>
      <c r="AA342" s="653"/>
      <c r="AB342" s="657"/>
      <c r="AC342" s="653"/>
      <c r="AD342" s="653"/>
      <c r="AE342" s="653"/>
      <c r="AF342" s="653"/>
      <c r="AG342" s="653"/>
      <c r="AH342" s="653"/>
      <c r="AI342" s="653"/>
      <c r="AJ342" s="653"/>
      <c r="AK342" s="653"/>
      <c r="AL342" s="653"/>
      <c r="AM342" s="653"/>
      <c r="AN342" s="653"/>
      <c r="AO342" s="653"/>
      <c r="AP342" s="653"/>
      <c r="AQ342" s="653"/>
      <c r="AR342" s="653"/>
      <c r="AS342" s="653"/>
      <c r="AT342" s="653"/>
      <c r="AU342" s="653"/>
      <c r="AV342" s="653"/>
    </row>
    <row r="343" spans="1:48" ht="14.5">
      <c r="A343" s="653"/>
      <c r="B343" s="653"/>
      <c r="C343" s="653"/>
      <c r="D343" s="653"/>
      <c r="E343" s="653"/>
      <c r="F343" s="653"/>
      <c r="G343" s="654"/>
      <c r="H343" s="654"/>
      <c r="I343" s="653"/>
      <c r="J343" s="653"/>
      <c r="K343" s="655"/>
      <c r="L343" s="653"/>
      <c r="M343" s="653"/>
      <c r="N343" s="653"/>
      <c r="O343" s="653"/>
      <c r="P343" s="653"/>
      <c r="Q343" s="653"/>
      <c r="R343" s="653"/>
      <c r="S343" s="653"/>
      <c r="T343" s="653"/>
      <c r="U343" s="656"/>
      <c r="V343" s="653"/>
      <c r="W343" s="653"/>
      <c r="X343" s="653"/>
      <c r="Y343" s="657"/>
      <c r="Z343" s="615"/>
      <c r="AA343" s="653"/>
      <c r="AB343" s="657"/>
      <c r="AC343" s="653"/>
      <c r="AD343" s="653"/>
      <c r="AE343" s="653"/>
      <c r="AF343" s="653"/>
      <c r="AG343" s="653"/>
      <c r="AH343" s="653"/>
      <c r="AI343" s="653"/>
      <c r="AJ343" s="653"/>
      <c r="AK343" s="653"/>
      <c r="AL343" s="653"/>
      <c r="AM343" s="653"/>
      <c r="AN343" s="653"/>
      <c r="AO343" s="653"/>
      <c r="AP343" s="653"/>
      <c r="AQ343" s="653"/>
      <c r="AR343" s="653"/>
      <c r="AS343" s="653"/>
      <c r="AT343" s="653"/>
      <c r="AU343" s="653"/>
      <c r="AV343" s="653"/>
    </row>
    <row r="344" spans="1:48" ht="14.5">
      <c r="A344" s="653"/>
      <c r="B344" s="653"/>
      <c r="C344" s="653"/>
      <c r="D344" s="653"/>
      <c r="E344" s="653"/>
      <c r="F344" s="653"/>
      <c r="G344" s="654"/>
      <c r="H344" s="654"/>
      <c r="I344" s="653"/>
      <c r="J344" s="653"/>
      <c r="K344" s="655"/>
      <c r="L344" s="653"/>
      <c r="M344" s="653"/>
      <c r="N344" s="653"/>
      <c r="O344" s="653"/>
      <c r="P344" s="653"/>
      <c r="Q344" s="653"/>
      <c r="R344" s="653"/>
      <c r="S344" s="653"/>
      <c r="T344" s="653"/>
      <c r="U344" s="656"/>
      <c r="V344" s="653"/>
      <c r="W344" s="653"/>
      <c r="X344" s="653"/>
      <c r="Y344" s="657"/>
      <c r="Z344" s="615"/>
      <c r="AA344" s="653"/>
      <c r="AB344" s="657"/>
      <c r="AC344" s="653"/>
      <c r="AD344" s="653"/>
      <c r="AE344" s="653"/>
      <c r="AF344" s="653"/>
      <c r="AG344" s="653"/>
      <c r="AH344" s="653"/>
      <c r="AI344" s="653"/>
      <c r="AJ344" s="653"/>
      <c r="AK344" s="653"/>
      <c r="AL344" s="653"/>
      <c r="AM344" s="653"/>
      <c r="AN344" s="653"/>
      <c r="AO344" s="653"/>
      <c r="AP344" s="653"/>
      <c r="AQ344" s="653"/>
      <c r="AR344" s="653"/>
      <c r="AS344" s="653"/>
      <c r="AT344" s="653"/>
      <c r="AU344" s="653"/>
      <c r="AV344" s="653"/>
    </row>
    <row r="345" spans="1:48" ht="14.5">
      <c r="A345" s="653"/>
      <c r="B345" s="653"/>
      <c r="C345" s="653"/>
      <c r="D345" s="653"/>
      <c r="E345" s="653"/>
      <c r="F345" s="653"/>
      <c r="G345" s="654"/>
      <c r="H345" s="654"/>
      <c r="I345" s="653"/>
      <c r="J345" s="653"/>
      <c r="K345" s="655"/>
      <c r="L345" s="653"/>
      <c r="M345" s="653"/>
      <c r="N345" s="653"/>
      <c r="O345" s="653"/>
      <c r="P345" s="653"/>
      <c r="Q345" s="653"/>
      <c r="R345" s="653"/>
      <c r="S345" s="653"/>
      <c r="T345" s="653"/>
      <c r="U345" s="656"/>
      <c r="V345" s="653"/>
      <c r="W345" s="653"/>
      <c r="X345" s="653"/>
      <c r="Y345" s="657"/>
      <c r="Z345" s="615"/>
      <c r="AA345" s="653"/>
      <c r="AB345" s="657"/>
      <c r="AC345" s="653"/>
      <c r="AD345" s="653"/>
      <c r="AE345" s="653"/>
      <c r="AF345" s="653"/>
      <c r="AG345" s="653"/>
      <c r="AH345" s="653"/>
      <c r="AI345" s="653"/>
      <c r="AJ345" s="653"/>
      <c r="AK345" s="653"/>
      <c r="AL345" s="653"/>
      <c r="AM345" s="653"/>
      <c r="AN345" s="653"/>
      <c r="AO345" s="653"/>
      <c r="AP345" s="653"/>
      <c r="AQ345" s="653"/>
      <c r="AR345" s="653"/>
      <c r="AS345" s="653"/>
      <c r="AT345" s="653"/>
      <c r="AU345" s="653"/>
      <c r="AV345" s="653"/>
    </row>
    <row r="346" spans="1:48" ht="14.5">
      <c r="A346" s="653"/>
      <c r="B346" s="653"/>
      <c r="C346" s="653"/>
      <c r="D346" s="653"/>
      <c r="E346" s="653"/>
      <c r="F346" s="653"/>
      <c r="G346" s="654"/>
      <c r="H346" s="654"/>
      <c r="I346" s="653"/>
      <c r="J346" s="653"/>
      <c r="K346" s="655"/>
      <c r="L346" s="653"/>
      <c r="M346" s="653"/>
      <c r="N346" s="653"/>
      <c r="O346" s="653"/>
      <c r="P346" s="653"/>
      <c r="Q346" s="653"/>
      <c r="R346" s="653"/>
      <c r="S346" s="653"/>
      <c r="T346" s="653"/>
      <c r="U346" s="656"/>
      <c r="V346" s="653"/>
      <c r="W346" s="653"/>
      <c r="X346" s="653"/>
      <c r="Y346" s="657"/>
      <c r="Z346" s="615"/>
      <c r="AA346" s="653"/>
      <c r="AB346" s="657"/>
      <c r="AC346" s="653"/>
      <c r="AD346" s="653"/>
      <c r="AE346" s="653"/>
      <c r="AF346" s="653"/>
      <c r="AG346" s="653"/>
      <c r="AH346" s="653"/>
      <c r="AI346" s="653"/>
      <c r="AJ346" s="653"/>
      <c r="AK346" s="653"/>
      <c r="AL346" s="653"/>
      <c r="AM346" s="653"/>
      <c r="AN346" s="653"/>
      <c r="AO346" s="653"/>
      <c r="AP346" s="653"/>
      <c r="AQ346" s="653"/>
      <c r="AR346" s="653"/>
      <c r="AS346" s="653"/>
      <c r="AT346" s="653"/>
      <c r="AU346" s="653"/>
      <c r="AV346" s="653"/>
    </row>
    <row r="347" spans="1:48" ht="14.5">
      <c r="A347" s="653"/>
      <c r="B347" s="653"/>
      <c r="C347" s="653"/>
      <c r="D347" s="653"/>
      <c r="E347" s="653"/>
      <c r="F347" s="653"/>
      <c r="G347" s="654"/>
      <c r="H347" s="654"/>
      <c r="I347" s="653"/>
      <c r="J347" s="653"/>
      <c r="K347" s="655"/>
      <c r="L347" s="653"/>
      <c r="M347" s="653"/>
      <c r="N347" s="653"/>
      <c r="O347" s="653"/>
      <c r="P347" s="653"/>
      <c r="Q347" s="653"/>
      <c r="R347" s="653"/>
      <c r="S347" s="653"/>
      <c r="T347" s="653"/>
      <c r="U347" s="656"/>
      <c r="V347" s="653"/>
      <c r="W347" s="653"/>
      <c r="X347" s="653"/>
      <c r="Y347" s="657"/>
      <c r="Z347" s="615"/>
      <c r="AA347" s="653"/>
      <c r="AB347" s="657"/>
      <c r="AC347" s="653"/>
      <c r="AD347" s="653"/>
      <c r="AE347" s="653"/>
      <c r="AF347" s="653"/>
      <c r="AG347" s="653"/>
      <c r="AH347" s="653"/>
      <c r="AI347" s="653"/>
      <c r="AJ347" s="653"/>
      <c r="AK347" s="653"/>
      <c r="AL347" s="653"/>
      <c r="AM347" s="653"/>
      <c r="AN347" s="653"/>
      <c r="AO347" s="653"/>
      <c r="AP347" s="653"/>
      <c r="AQ347" s="653"/>
      <c r="AR347" s="653"/>
      <c r="AS347" s="653"/>
      <c r="AT347" s="653"/>
      <c r="AU347" s="653"/>
      <c r="AV347" s="653"/>
    </row>
    <row r="348" spans="1:48" ht="14.5">
      <c r="A348" s="653"/>
      <c r="B348" s="653"/>
      <c r="C348" s="653"/>
      <c r="D348" s="653"/>
      <c r="E348" s="653"/>
      <c r="F348" s="653"/>
      <c r="G348" s="654"/>
      <c r="H348" s="654"/>
      <c r="I348" s="653"/>
      <c r="J348" s="653"/>
      <c r="K348" s="655"/>
      <c r="L348" s="653"/>
      <c r="M348" s="653"/>
      <c r="N348" s="653"/>
      <c r="O348" s="653"/>
      <c r="P348" s="653"/>
      <c r="Q348" s="653"/>
      <c r="R348" s="653"/>
      <c r="S348" s="653"/>
      <c r="T348" s="653"/>
      <c r="U348" s="656"/>
      <c r="V348" s="653"/>
      <c r="W348" s="653"/>
      <c r="X348" s="653"/>
      <c r="Y348" s="657"/>
      <c r="Z348" s="615"/>
      <c r="AA348" s="653"/>
      <c r="AB348" s="657"/>
      <c r="AC348" s="653"/>
      <c r="AD348" s="653"/>
      <c r="AE348" s="653"/>
      <c r="AF348" s="653"/>
      <c r="AG348" s="653"/>
      <c r="AH348" s="653"/>
      <c r="AI348" s="653"/>
      <c r="AJ348" s="653"/>
      <c r="AK348" s="653"/>
      <c r="AL348" s="653"/>
      <c r="AM348" s="653"/>
      <c r="AN348" s="653"/>
      <c r="AO348" s="653"/>
      <c r="AP348" s="653"/>
      <c r="AQ348" s="653"/>
      <c r="AR348" s="653"/>
      <c r="AS348" s="653"/>
      <c r="AT348" s="653"/>
      <c r="AU348" s="653"/>
      <c r="AV348" s="653"/>
    </row>
    <row r="349" spans="1:48" ht="14.5">
      <c r="A349" s="653"/>
      <c r="B349" s="653"/>
      <c r="C349" s="653"/>
      <c r="D349" s="653"/>
      <c r="E349" s="653"/>
      <c r="F349" s="653"/>
      <c r="G349" s="654"/>
      <c r="H349" s="654"/>
      <c r="I349" s="653"/>
      <c r="J349" s="653"/>
      <c r="K349" s="655"/>
      <c r="L349" s="653"/>
      <c r="M349" s="653"/>
      <c r="N349" s="653"/>
      <c r="O349" s="653"/>
      <c r="P349" s="653"/>
      <c r="Q349" s="653"/>
      <c r="R349" s="653"/>
      <c r="S349" s="653"/>
      <c r="T349" s="653"/>
      <c r="U349" s="656"/>
      <c r="V349" s="653"/>
      <c r="W349" s="653"/>
      <c r="X349" s="653"/>
      <c r="Y349" s="657"/>
      <c r="Z349" s="615"/>
      <c r="AA349" s="653"/>
      <c r="AB349" s="657"/>
      <c r="AC349" s="653"/>
      <c r="AD349" s="653"/>
      <c r="AE349" s="653"/>
      <c r="AF349" s="653"/>
      <c r="AG349" s="653"/>
      <c r="AH349" s="653"/>
      <c r="AI349" s="653"/>
      <c r="AJ349" s="653"/>
      <c r="AK349" s="653"/>
      <c r="AL349" s="653"/>
      <c r="AM349" s="653"/>
      <c r="AN349" s="653"/>
      <c r="AO349" s="653"/>
      <c r="AP349" s="653"/>
      <c r="AQ349" s="653"/>
      <c r="AR349" s="653"/>
      <c r="AS349" s="653"/>
      <c r="AT349" s="653"/>
      <c r="AU349" s="653"/>
      <c r="AV349" s="653"/>
    </row>
    <row r="350" spans="1:48" ht="14.5">
      <c r="A350" s="653"/>
      <c r="B350" s="653"/>
      <c r="C350" s="653"/>
      <c r="D350" s="653"/>
      <c r="E350" s="653"/>
      <c r="F350" s="653"/>
      <c r="G350" s="654"/>
      <c r="H350" s="654"/>
      <c r="I350" s="653"/>
      <c r="J350" s="653"/>
      <c r="K350" s="655"/>
      <c r="L350" s="653"/>
      <c r="M350" s="653"/>
      <c r="N350" s="653"/>
      <c r="O350" s="653"/>
      <c r="P350" s="653"/>
      <c r="Q350" s="653"/>
      <c r="R350" s="653"/>
      <c r="S350" s="653"/>
      <c r="T350" s="653"/>
      <c r="U350" s="656"/>
      <c r="V350" s="653"/>
      <c r="W350" s="653"/>
      <c r="X350" s="653"/>
      <c r="Y350" s="657"/>
      <c r="Z350" s="615"/>
      <c r="AA350" s="653"/>
      <c r="AB350" s="657"/>
      <c r="AC350" s="653"/>
      <c r="AD350" s="653"/>
      <c r="AE350" s="653"/>
      <c r="AF350" s="653"/>
      <c r="AG350" s="653"/>
      <c r="AH350" s="653"/>
      <c r="AI350" s="653"/>
      <c r="AJ350" s="653"/>
      <c r="AK350" s="653"/>
      <c r="AL350" s="653"/>
      <c r="AM350" s="653"/>
      <c r="AN350" s="653"/>
      <c r="AO350" s="653"/>
      <c r="AP350" s="653"/>
      <c r="AQ350" s="653"/>
      <c r="AR350" s="653"/>
      <c r="AS350" s="653"/>
      <c r="AT350" s="653"/>
      <c r="AU350" s="653"/>
      <c r="AV350" s="653"/>
    </row>
    <row r="351" spans="1:48" ht="14.5">
      <c r="A351" s="653"/>
      <c r="B351" s="653"/>
      <c r="C351" s="653"/>
      <c r="D351" s="653"/>
      <c r="E351" s="653"/>
      <c r="F351" s="653"/>
      <c r="G351" s="654"/>
      <c r="H351" s="654"/>
      <c r="I351" s="653"/>
      <c r="J351" s="653"/>
      <c r="K351" s="655"/>
      <c r="L351" s="653"/>
      <c r="M351" s="653"/>
      <c r="N351" s="653"/>
      <c r="O351" s="653"/>
      <c r="P351" s="653"/>
      <c r="Q351" s="653"/>
      <c r="R351" s="653"/>
      <c r="S351" s="653"/>
      <c r="T351" s="653"/>
      <c r="U351" s="656"/>
      <c r="V351" s="653"/>
      <c r="W351" s="653"/>
      <c r="X351" s="653"/>
      <c r="Y351" s="657"/>
      <c r="Z351" s="615"/>
      <c r="AA351" s="653"/>
      <c r="AB351" s="657"/>
      <c r="AC351" s="653"/>
      <c r="AD351" s="653"/>
      <c r="AE351" s="653"/>
      <c r="AF351" s="653"/>
      <c r="AG351" s="653"/>
      <c r="AH351" s="653"/>
      <c r="AI351" s="653"/>
      <c r="AJ351" s="653"/>
      <c r="AK351" s="653"/>
      <c r="AL351" s="653"/>
      <c r="AM351" s="653"/>
      <c r="AN351" s="653"/>
      <c r="AO351" s="653"/>
      <c r="AP351" s="653"/>
      <c r="AQ351" s="653"/>
      <c r="AR351" s="653"/>
      <c r="AS351" s="653"/>
      <c r="AT351" s="653"/>
      <c r="AU351" s="653"/>
      <c r="AV351" s="653"/>
    </row>
    <row r="352" spans="1:48" ht="14.5">
      <c r="A352" s="653"/>
      <c r="B352" s="653"/>
      <c r="C352" s="653"/>
      <c r="D352" s="653"/>
      <c r="E352" s="653"/>
      <c r="F352" s="653"/>
      <c r="G352" s="654"/>
      <c r="H352" s="654"/>
      <c r="I352" s="653"/>
      <c r="J352" s="653"/>
      <c r="K352" s="655"/>
      <c r="L352" s="653"/>
      <c r="M352" s="653"/>
      <c r="N352" s="653"/>
      <c r="O352" s="653"/>
      <c r="P352" s="653"/>
      <c r="Q352" s="653"/>
      <c r="R352" s="653"/>
      <c r="S352" s="653"/>
      <c r="T352" s="653"/>
      <c r="U352" s="656"/>
      <c r="V352" s="653"/>
      <c r="W352" s="653"/>
      <c r="X352" s="653"/>
      <c r="Y352" s="657"/>
      <c r="Z352" s="615"/>
      <c r="AA352" s="653"/>
      <c r="AB352" s="657"/>
      <c r="AC352" s="653"/>
      <c r="AD352" s="653"/>
      <c r="AE352" s="653"/>
      <c r="AF352" s="653"/>
      <c r="AG352" s="653"/>
      <c r="AH352" s="653"/>
      <c r="AI352" s="653"/>
      <c r="AJ352" s="653"/>
      <c r="AK352" s="653"/>
      <c r="AL352" s="653"/>
      <c r="AM352" s="653"/>
      <c r="AN352" s="653"/>
      <c r="AO352" s="653"/>
      <c r="AP352" s="653"/>
      <c r="AQ352" s="653"/>
      <c r="AR352" s="653"/>
      <c r="AS352" s="653"/>
      <c r="AT352" s="653"/>
      <c r="AU352" s="653"/>
      <c r="AV352" s="653"/>
    </row>
    <row r="353" spans="1:48" ht="14.5">
      <c r="A353" s="653"/>
      <c r="B353" s="653"/>
      <c r="C353" s="653"/>
      <c r="D353" s="653"/>
      <c r="E353" s="653"/>
      <c r="F353" s="653"/>
      <c r="G353" s="654"/>
      <c r="H353" s="654"/>
      <c r="I353" s="653"/>
      <c r="J353" s="653"/>
      <c r="K353" s="655"/>
      <c r="L353" s="653"/>
      <c r="M353" s="653"/>
      <c r="N353" s="653"/>
      <c r="O353" s="653"/>
      <c r="P353" s="653"/>
      <c r="Q353" s="653"/>
      <c r="R353" s="653"/>
      <c r="S353" s="653"/>
      <c r="T353" s="653"/>
      <c r="U353" s="656"/>
      <c r="V353" s="653"/>
      <c r="W353" s="653"/>
      <c r="X353" s="653"/>
      <c r="Y353" s="657"/>
      <c r="Z353" s="615"/>
      <c r="AA353" s="653"/>
      <c r="AB353" s="657"/>
      <c r="AC353" s="653"/>
      <c r="AD353" s="653"/>
      <c r="AE353" s="653"/>
      <c r="AF353" s="653"/>
      <c r="AG353" s="653"/>
      <c r="AH353" s="653"/>
      <c r="AI353" s="653"/>
      <c r="AJ353" s="653"/>
      <c r="AK353" s="653"/>
      <c r="AL353" s="653"/>
      <c r="AM353" s="653"/>
      <c r="AN353" s="653"/>
      <c r="AO353" s="653"/>
      <c r="AP353" s="653"/>
      <c r="AQ353" s="653"/>
      <c r="AR353" s="653"/>
      <c r="AS353" s="653"/>
      <c r="AT353" s="653"/>
      <c r="AU353" s="653"/>
      <c r="AV353" s="653"/>
    </row>
    <row r="354" spans="1:48" ht="14.5">
      <c r="A354" s="653"/>
      <c r="B354" s="653"/>
      <c r="C354" s="653"/>
      <c r="D354" s="653"/>
      <c r="E354" s="653"/>
      <c r="F354" s="653"/>
      <c r="G354" s="654"/>
      <c r="H354" s="654"/>
      <c r="I354" s="653"/>
      <c r="J354" s="653"/>
      <c r="K354" s="655"/>
      <c r="L354" s="653"/>
      <c r="M354" s="653"/>
      <c r="N354" s="653"/>
      <c r="O354" s="653"/>
      <c r="P354" s="653"/>
      <c r="Q354" s="653"/>
      <c r="R354" s="653"/>
      <c r="S354" s="653"/>
      <c r="T354" s="653"/>
      <c r="U354" s="656"/>
      <c r="V354" s="653"/>
      <c r="W354" s="653"/>
      <c r="X354" s="653"/>
      <c r="Y354" s="657"/>
      <c r="Z354" s="615"/>
      <c r="AA354" s="653"/>
      <c r="AB354" s="657"/>
      <c r="AC354" s="653"/>
      <c r="AD354" s="653"/>
      <c r="AE354" s="653"/>
      <c r="AF354" s="653"/>
      <c r="AG354" s="653"/>
      <c r="AH354" s="653"/>
      <c r="AI354" s="653"/>
      <c r="AJ354" s="653"/>
      <c r="AK354" s="653"/>
      <c r="AL354" s="653"/>
      <c r="AM354" s="653"/>
      <c r="AN354" s="653"/>
      <c r="AO354" s="653"/>
      <c r="AP354" s="653"/>
      <c r="AQ354" s="653"/>
      <c r="AR354" s="653"/>
      <c r="AS354" s="653"/>
      <c r="AT354" s="653"/>
      <c r="AU354" s="653"/>
      <c r="AV354" s="653"/>
    </row>
    <row r="355" spans="1:48" ht="14.5">
      <c r="A355" s="653"/>
      <c r="B355" s="653"/>
      <c r="C355" s="653"/>
      <c r="D355" s="653"/>
      <c r="E355" s="653"/>
      <c r="F355" s="653"/>
      <c r="G355" s="654"/>
      <c r="H355" s="654"/>
      <c r="I355" s="653"/>
      <c r="J355" s="653"/>
      <c r="K355" s="655"/>
      <c r="L355" s="653"/>
      <c r="M355" s="653"/>
      <c r="N355" s="653"/>
      <c r="O355" s="653"/>
      <c r="P355" s="653"/>
      <c r="Q355" s="653"/>
      <c r="R355" s="653"/>
      <c r="S355" s="653"/>
      <c r="T355" s="653"/>
      <c r="U355" s="656"/>
      <c r="V355" s="653"/>
      <c r="W355" s="653"/>
      <c r="X355" s="653"/>
      <c r="Y355" s="657"/>
      <c r="Z355" s="615"/>
      <c r="AA355" s="653"/>
      <c r="AB355" s="657"/>
      <c r="AC355" s="653"/>
      <c r="AD355" s="653"/>
      <c r="AE355" s="653"/>
      <c r="AF355" s="653"/>
      <c r="AG355" s="653"/>
      <c r="AH355" s="653"/>
      <c r="AI355" s="653"/>
      <c r="AJ355" s="653"/>
      <c r="AK355" s="653"/>
      <c r="AL355" s="653"/>
      <c r="AM355" s="653"/>
      <c r="AN355" s="653"/>
      <c r="AO355" s="653"/>
      <c r="AP355" s="653"/>
      <c r="AQ355" s="653"/>
      <c r="AR355" s="653"/>
      <c r="AS355" s="653"/>
      <c r="AT355" s="653"/>
      <c r="AU355" s="653"/>
      <c r="AV355" s="653"/>
    </row>
    <row r="356" spans="1:48" ht="14.5">
      <c r="A356" s="653"/>
      <c r="B356" s="653"/>
      <c r="C356" s="653"/>
      <c r="D356" s="653"/>
      <c r="E356" s="653"/>
      <c r="F356" s="653"/>
      <c r="G356" s="654"/>
      <c r="H356" s="654"/>
      <c r="I356" s="653"/>
      <c r="J356" s="653"/>
      <c r="K356" s="655"/>
      <c r="L356" s="653"/>
      <c r="M356" s="653"/>
      <c r="N356" s="653"/>
      <c r="O356" s="653"/>
      <c r="P356" s="653"/>
      <c r="Q356" s="653"/>
      <c r="R356" s="653"/>
      <c r="S356" s="653"/>
      <c r="T356" s="653"/>
      <c r="U356" s="656"/>
      <c r="V356" s="653"/>
      <c r="W356" s="653"/>
      <c r="X356" s="653"/>
      <c r="Y356" s="657"/>
      <c r="Z356" s="615"/>
      <c r="AA356" s="653"/>
      <c r="AB356" s="657"/>
      <c r="AC356" s="653"/>
      <c r="AD356" s="653"/>
      <c r="AE356" s="653"/>
      <c r="AF356" s="653"/>
      <c r="AG356" s="653"/>
      <c r="AH356" s="653"/>
      <c r="AI356" s="653"/>
      <c r="AJ356" s="653"/>
      <c r="AK356" s="653"/>
      <c r="AL356" s="653"/>
      <c r="AM356" s="653"/>
      <c r="AN356" s="653"/>
      <c r="AO356" s="653"/>
      <c r="AP356" s="653"/>
      <c r="AQ356" s="653"/>
      <c r="AR356" s="653"/>
      <c r="AS356" s="653"/>
      <c r="AT356" s="653"/>
      <c r="AU356" s="653"/>
      <c r="AV356" s="653"/>
    </row>
    <row r="357" spans="1:48" ht="14.5">
      <c r="A357" s="653"/>
      <c r="B357" s="653"/>
      <c r="C357" s="653"/>
      <c r="D357" s="653"/>
      <c r="E357" s="653"/>
      <c r="F357" s="653"/>
      <c r="G357" s="654"/>
      <c r="H357" s="654"/>
      <c r="I357" s="653"/>
      <c r="J357" s="653"/>
      <c r="K357" s="655"/>
      <c r="L357" s="653"/>
      <c r="M357" s="653"/>
      <c r="N357" s="653"/>
      <c r="O357" s="653"/>
      <c r="P357" s="653"/>
      <c r="Q357" s="653"/>
      <c r="R357" s="653"/>
      <c r="S357" s="653"/>
      <c r="T357" s="653"/>
      <c r="U357" s="656"/>
      <c r="V357" s="653"/>
      <c r="W357" s="653"/>
      <c r="X357" s="653"/>
      <c r="Y357" s="657"/>
      <c r="Z357" s="615"/>
      <c r="AA357" s="653"/>
      <c r="AB357" s="657"/>
      <c r="AC357" s="653"/>
      <c r="AD357" s="653"/>
      <c r="AE357" s="653"/>
      <c r="AF357" s="653"/>
      <c r="AG357" s="653"/>
      <c r="AH357" s="653"/>
      <c r="AI357" s="653"/>
      <c r="AJ357" s="653"/>
      <c r="AK357" s="653"/>
      <c r="AL357" s="653"/>
      <c r="AM357" s="653"/>
      <c r="AN357" s="653"/>
      <c r="AO357" s="653"/>
      <c r="AP357" s="653"/>
      <c r="AQ357" s="653"/>
      <c r="AR357" s="653"/>
      <c r="AS357" s="653"/>
      <c r="AT357" s="653"/>
      <c r="AU357" s="653"/>
      <c r="AV357" s="653"/>
    </row>
    <row r="358" spans="1:48" ht="14.5">
      <c r="A358" s="653"/>
      <c r="B358" s="653"/>
      <c r="C358" s="653"/>
      <c r="D358" s="653"/>
      <c r="E358" s="653"/>
      <c r="F358" s="653"/>
      <c r="G358" s="654"/>
      <c r="H358" s="654"/>
      <c r="I358" s="653"/>
      <c r="J358" s="653"/>
      <c r="K358" s="655"/>
      <c r="L358" s="653"/>
      <c r="M358" s="653"/>
      <c r="N358" s="653"/>
      <c r="O358" s="653"/>
      <c r="P358" s="653"/>
      <c r="Q358" s="653"/>
      <c r="R358" s="653"/>
      <c r="S358" s="653"/>
      <c r="T358" s="653"/>
      <c r="U358" s="656"/>
      <c r="V358" s="653"/>
      <c r="W358" s="653"/>
      <c r="X358" s="653"/>
      <c r="Y358" s="657"/>
      <c r="Z358" s="615"/>
      <c r="AA358" s="653"/>
      <c r="AB358" s="657"/>
      <c r="AC358" s="653"/>
      <c r="AD358" s="653"/>
      <c r="AE358" s="653"/>
      <c r="AF358" s="653"/>
      <c r="AG358" s="653"/>
      <c r="AH358" s="653"/>
      <c r="AI358" s="653"/>
      <c r="AJ358" s="653"/>
      <c r="AK358" s="653"/>
      <c r="AL358" s="653"/>
      <c r="AM358" s="653"/>
      <c r="AN358" s="653"/>
      <c r="AO358" s="653"/>
      <c r="AP358" s="653"/>
      <c r="AQ358" s="653"/>
      <c r="AR358" s="653"/>
      <c r="AS358" s="653"/>
      <c r="AT358" s="653"/>
      <c r="AU358" s="653"/>
      <c r="AV358" s="653"/>
    </row>
    <row r="359" spans="1:48" ht="14.5">
      <c r="A359" s="653"/>
      <c r="B359" s="653"/>
      <c r="C359" s="653"/>
      <c r="D359" s="653"/>
      <c r="E359" s="653"/>
      <c r="F359" s="653"/>
      <c r="G359" s="654"/>
      <c r="H359" s="654"/>
      <c r="I359" s="653"/>
      <c r="J359" s="653"/>
      <c r="K359" s="655"/>
      <c r="L359" s="653"/>
      <c r="M359" s="653"/>
      <c r="N359" s="653"/>
      <c r="O359" s="653"/>
      <c r="P359" s="653"/>
      <c r="Q359" s="653"/>
      <c r="R359" s="653"/>
      <c r="S359" s="653"/>
      <c r="T359" s="653"/>
      <c r="U359" s="656"/>
      <c r="V359" s="653"/>
      <c r="W359" s="653"/>
      <c r="X359" s="653"/>
      <c r="Y359" s="657"/>
      <c r="Z359" s="615"/>
      <c r="AA359" s="653"/>
      <c r="AB359" s="657"/>
      <c r="AC359" s="653"/>
      <c r="AD359" s="653"/>
      <c r="AE359" s="653"/>
      <c r="AF359" s="653"/>
      <c r="AG359" s="653"/>
      <c r="AH359" s="653"/>
      <c r="AI359" s="653"/>
      <c r="AJ359" s="653"/>
      <c r="AK359" s="653"/>
      <c r="AL359" s="653"/>
      <c r="AM359" s="653"/>
      <c r="AN359" s="653"/>
      <c r="AO359" s="653"/>
      <c r="AP359" s="653"/>
      <c r="AQ359" s="653"/>
      <c r="AR359" s="653"/>
      <c r="AS359" s="653"/>
      <c r="AT359" s="653"/>
      <c r="AU359" s="653"/>
      <c r="AV359" s="653"/>
    </row>
    <row r="360" spans="1:48" ht="14.5">
      <c r="A360" s="653"/>
      <c r="B360" s="653"/>
      <c r="C360" s="653"/>
      <c r="D360" s="653"/>
      <c r="E360" s="653"/>
      <c r="F360" s="653"/>
      <c r="G360" s="654"/>
      <c r="H360" s="654"/>
      <c r="I360" s="653"/>
      <c r="J360" s="653"/>
      <c r="K360" s="655"/>
      <c r="L360" s="653"/>
      <c r="M360" s="653"/>
      <c r="N360" s="653"/>
      <c r="O360" s="653"/>
      <c r="P360" s="653"/>
      <c r="Q360" s="653"/>
      <c r="R360" s="653"/>
      <c r="S360" s="653"/>
      <c r="T360" s="653"/>
      <c r="U360" s="656"/>
      <c r="V360" s="653"/>
      <c r="W360" s="653"/>
      <c r="X360" s="653"/>
      <c r="Y360" s="657"/>
      <c r="Z360" s="615"/>
      <c r="AA360" s="653"/>
      <c r="AB360" s="657"/>
      <c r="AC360" s="653"/>
      <c r="AD360" s="653"/>
      <c r="AE360" s="653"/>
      <c r="AF360" s="653"/>
      <c r="AG360" s="653"/>
      <c r="AH360" s="653"/>
      <c r="AI360" s="653"/>
      <c r="AJ360" s="653"/>
      <c r="AK360" s="653"/>
      <c r="AL360" s="653"/>
      <c r="AM360" s="653"/>
      <c r="AN360" s="653"/>
      <c r="AO360" s="653"/>
      <c r="AP360" s="653"/>
      <c r="AQ360" s="653"/>
      <c r="AR360" s="653"/>
      <c r="AS360" s="653"/>
      <c r="AT360" s="653"/>
      <c r="AU360" s="653"/>
      <c r="AV360" s="653"/>
    </row>
    <row r="361" spans="1:48" ht="14.5">
      <c r="A361" s="653"/>
      <c r="B361" s="653"/>
      <c r="C361" s="653"/>
      <c r="D361" s="653"/>
      <c r="E361" s="653"/>
      <c r="F361" s="653"/>
      <c r="G361" s="654"/>
      <c r="H361" s="654"/>
      <c r="I361" s="653"/>
      <c r="J361" s="653"/>
      <c r="K361" s="655"/>
      <c r="L361" s="653"/>
      <c r="M361" s="653"/>
      <c r="N361" s="653"/>
      <c r="O361" s="653"/>
      <c r="P361" s="653"/>
      <c r="Q361" s="653"/>
      <c r="R361" s="653"/>
      <c r="S361" s="653"/>
      <c r="T361" s="653"/>
      <c r="U361" s="656"/>
      <c r="V361" s="653"/>
      <c r="W361" s="653"/>
      <c r="X361" s="653"/>
      <c r="Y361" s="657"/>
      <c r="Z361" s="615"/>
      <c r="AA361" s="653"/>
      <c r="AB361" s="657"/>
      <c r="AC361" s="653"/>
      <c r="AD361" s="653"/>
      <c r="AE361" s="653"/>
      <c r="AF361" s="653"/>
      <c r="AG361" s="653"/>
      <c r="AH361" s="653"/>
      <c r="AI361" s="653"/>
      <c r="AJ361" s="653"/>
      <c r="AK361" s="653"/>
      <c r="AL361" s="653"/>
      <c r="AM361" s="653"/>
      <c r="AN361" s="653"/>
      <c r="AO361" s="653"/>
      <c r="AP361" s="653"/>
      <c r="AQ361" s="653"/>
      <c r="AR361" s="653"/>
      <c r="AS361" s="653"/>
      <c r="AT361" s="653"/>
      <c r="AU361" s="653"/>
      <c r="AV361" s="653"/>
    </row>
    <row r="362" spans="1:48" ht="14.5">
      <c r="A362" s="653"/>
      <c r="B362" s="653"/>
      <c r="C362" s="653"/>
      <c r="D362" s="653"/>
      <c r="E362" s="653"/>
      <c r="F362" s="653"/>
      <c r="G362" s="654"/>
      <c r="H362" s="654"/>
      <c r="I362" s="653"/>
      <c r="J362" s="653"/>
      <c r="K362" s="655"/>
      <c r="L362" s="653"/>
      <c r="M362" s="653"/>
      <c r="N362" s="653"/>
      <c r="O362" s="653"/>
      <c r="P362" s="653"/>
      <c r="Q362" s="653"/>
      <c r="R362" s="653"/>
      <c r="S362" s="653"/>
      <c r="T362" s="653"/>
      <c r="U362" s="656"/>
      <c r="V362" s="653"/>
      <c r="W362" s="653"/>
      <c r="X362" s="653"/>
      <c r="Y362" s="657"/>
      <c r="Z362" s="615"/>
      <c r="AA362" s="653"/>
      <c r="AB362" s="657"/>
      <c r="AC362" s="653"/>
      <c r="AD362" s="653"/>
      <c r="AE362" s="653"/>
      <c r="AF362" s="653"/>
      <c r="AG362" s="653"/>
      <c r="AH362" s="653"/>
      <c r="AI362" s="653"/>
      <c r="AJ362" s="653"/>
      <c r="AK362" s="653"/>
      <c r="AL362" s="653"/>
      <c r="AM362" s="653"/>
      <c r="AN362" s="653"/>
      <c r="AO362" s="653"/>
      <c r="AP362" s="653"/>
      <c r="AQ362" s="653"/>
      <c r="AR362" s="653"/>
      <c r="AS362" s="653"/>
      <c r="AT362" s="653"/>
      <c r="AU362" s="653"/>
      <c r="AV362" s="653"/>
    </row>
    <row r="363" spans="1:48" ht="14.5">
      <c r="A363" s="653"/>
      <c r="B363" s="653"/>
      <c r="C363" s="653"/>
      <c r="D363" s="653"/>
      <c r="E363" s="653"/>
      <c r="F363" s="653"/>
      <c r="G363" s="654"/>
      <c r="H363" s="654"/>
      <c r="I363" s="653"/>
      <c r="J363" s="653"/>
      <c r="K363" s="655"/>
      <c r="L363" s="653"/>
      <c r="M363" s="653"/>
      <c r="N363" s="653"/>
      <c r="O363" s="653"/>
      <c r="P363" s="653"/>
      <c r="Q363" s="653"/>
      <c r="R363" s="653"/>
      <c r="S363" s="653"/>
      <c r="T363" s="653"/>
      <c r="U363" s="656"/>
      <c r="V363" s="653"/>
      <c r="W363" s="653"/>
      <c r="X363" s="653"/>
      <c r="Y363" s="657"/>
      <c r="Z363" s="615"/>
      <c r="AA363" s="653"/>
      <c r="AB363" s="657"/>
      <c r="AC363" s="653"/>
      <c r="AD363" s="653"/>
      <c r="AE363" s="653"/>
      <c r="AF363" s="653"/>
      <c r="AG363" s="653"/>
      <c r="AH363" s="653"/>
      <c r="AI363" s="653"/>
      <c r="AJ363" s="653"/>
      <c r="AK363" s="653"/>
      <c r="AL363" s="653"/>
      <c r="AM363" s="653"/>
      <c r="AN363" s="653"/>
      <c r="AO363" s="653"/>
      <c r="AP363" s="653"/>
      <c r="AQ363" s="653"/>
      <c r="AR363" s="653"/>
      <c r="AS363" s="653"/>
      <c r="AT363" s="653"/>
      <c r="AU363" s="653"/>
      <c r="AV363" s="653"/>
    </row>
    <row r="364" spans="1:48" ht="14.5">
      <c r="A364" s="653"/>
      <c r="B364" s="653"/>
      <c r="C364" s="653"/>
      <c r="D364" s="653"/>
      <c r="E364" s="653"/>
      <c r="F364" s="653"/>
      <c r="G364" s="654"/>
      <c r="H364" s="654"/>
      <c r="I364" s="653"/>
      <c r="J364" s="653"/>
      <c r="K364" s="655"/>
      <c r="L364" s="653"/>
      <c r="M364" s="653"/>
      <c r="N364" s="653"/>
      <c r="O364" s="653"/>
      <c r="P364" s="653"/>
      <c r="Q364" s="653"/>
      <c r="R364" s="653"/>
      <c r="S364" s="653"/>
      <c r="T364" s="653"/>
      <c r="U364" s="656"/>
      <c r="V364" s="653"/>
      <c r="W364" s="653"/>
      <c r="X364" s="653"/>
      <c r="Y364" s="657"/>
      <c r="Z364" s="615"/>
      <c r="AA364" s="653"/>
      <c r="AB364" s="657"/>
      <c r="AC364" s="653"/>
      <c r="AD364" s="653"/>
      <c r="AE364" s="653"/>
      <c r="AF364" s="653"/>
      <c r="AG364" s="653"/>
      <c r="AH364" s="653"/>
      <c r="AI364" s="653"/>
      <c r="AJ364" s="653"/>
      <c r="AK364" s="653"/>
      <c r="AL364" s="653"/>
      <c r="AM364" s="653"/>
      <c r="AN364" s="653"/>
      <c r="AO364" s="653"/>
      <c r="AP364" s="653"/>
      <c r="AQ364" s="653"/>
      <c r="AR364" s="653"/>
      <c r="AS364" s="653"/>
      <c r="AT364" s="653"/>
      <c r="AU364" s="653"/>
      <c r="AV364" s="653"/>
    </row>
    <row r="365" spans="1:48" ht="14.5">
      <c r="A365" s="653"/>
      <c r="B365" s="653"/>
      <c r="C365" s="653"/>
      <c r="D365" s="653"/>
      <c r="E365" s="653"/>
      <c r="F365" s="653"/>
      <c r="G365" s="654"/>
      <c r="H365" s="654"/>
      <c r="I365" s="653"/>
      <c r="J365" s="653"/>
      <c r="K365" s="655"/>
      <c r="L365" s="653"/>
      <c r="M365" s="653"/>
      <c r="N365" s="653"/>
      <c r="O365" s="653"/>
      <c r="P365" s="653"/>
      <c r="Q365" s="653"/>
      <c r="R365" s="653"/>
      <c r="S365" s="653"/>
      <c r="T365" s="653"/>
      <c r="U365" s="656"/>
      <c r="V365" s="653"/>
      <c r="W365" s="653"/>
      <c r="X365" s="653"/>
      <c r="Y365" s="657"/>
      <c r="Z365" s="615"/>
      <c r="AA365" s="653"/>
      <c r="AB365" s="657"/>
      <c r="AC365" s="653"/>
      <c r="AD365" s="653"/>
      <c r="AE365" s="653"/>
      <c r="AF365" s="653"/>
      <c r="AG365" s="653"/>
      <c r="AH365" s="653"/>
      <c r="AI365" s="653"/>
      <c r="AJ365" s="653"/>
      <c r="AK365" s="653"/>
      <c r="AL365" s="653"/>
      <c r="AM365" s="653"/>
      <c r="AN365" s="653"/>
      <c r="AO365" s="653"/>
      <c r="AP365" s="653"/>
      <c r="AQ365" s="653"/>
      <c r="AR365" s="653"/>
      <c r="AS365" s="653"/>
      <c r="AT365" s="653"/>
      <c r="AU365" s="653"/>
      <c r="AV365" s="653"/>
    </row>
    <row r="366" spans="1:48" ht="14.5">
      <c r="A366" s="653"/>
      <c r="B366" s="653"/>
      <c r="C366" s="653"/>
      <c r="D366" s="653"/>
      <c r="E366" s="653"/>
      <c r="F366" s="653"/>
      <c r="G366" s="654"/>
      <c r="H366" s="654"/>
      <c r="I366" s="653"/>
      <c r="J366" s="653"/>
      <c r="K366" s="655"/>
      <c r="L366" s="653"/>
      <c r="M366" s="653"/>
      <c r="N366" s="653"/>
      <c r="O366" s="653"/>
      <c r="P366" s="653"/>
      <c r="Q366" s="653"/>
      <c r="R366" s="653"/>
      <c r="S366" s="653"/>
      <c r="T366" s="653"/>
      <c r="U366" s="656"/>
      <c r="V366" s="653"/>
      <c r="W366" s="653"/>
      <c r="X366" s="653"/>
      <c r="Y366" s="657"/>
      <c r="Z366" s="615"/>
      <c r="AA366" s="653"/>
      <c r="AB366" s="657"/>
      <c r="AC366" s="653"/>
      <c r="AD366" s="653"/>
      <c r="AE366" s="653"/>
      <c r="AF366" s="653"/>
      <c r="AG366" s="653"/>
      <c r="AH366" s="653"/>
      <c r="AI366" s="653"/>
      <c r="AJ366" s="653"/>
      <c r="AK366" s="653"/>
      <c r="AL366" s="653"/>
      <c r="AM366" s="653"/>
      <c r="AN366" s="653"/>
      <c r="AO366" s="653"/>
      <c r="AP366" s="653"/>
      <c r="AQ366" s="653"/>
      <c r="AR366" s="653"/>
      <c r="AS366" s="653"/>
      <c r="AT366" s="653"/>
      <c r="AU366" s="653"/>
      <c r="AV366" s="653"/>
    </row>
    <row r="367" spans="1:48" ht="14.5">
      <c r="A367" s="653"/>
      <c r="B367" s="653"/>
      <c r="C367" s="653"/>
      <c r="D367" s="653"/>
      <c r="E367" s="653"/>
      <c r="F367" s="653"/>
      <c r="G367" s="654"/>
      <c r="H367" s="654"/>
      <c r="I367" s="653"/>
      <c r="J367" s="653"/>
      <c r="K367" s="655"/>
      <c r="L367" s="653"/>
      <c r="M367" s="653"/>
      <c r="N367" s="653"/>
      <c r="O367" s="653"/>
      <c r="P367" s="653"/>
      <c r="Q367" s="653"/>
      <c r="R367" s="653"/>
      <c r="S367" s="653"/>
      <c r="T367" s="653"/>
      <c r="U367" s="656"/>
      <c r="V367" s="653"/>
      <c r="W367" s="653"/>
      <c r="X367" s="653"/>
      <c r="Y367" s="657"/>
      <c r="Z367" s="615"/>
      <c r="AA367" s="653"/>
      <c r="AB367" s="657"/>
      <c r="AC367" s="653"/>
      <c r="AD367" s="653"/>
      <c r="AE367" s="653"/>
      <c r="AF367" s="653"/>
      <c r="AG367" s="653"/>
      <c r="AH367" s="653"/>
      <c r="AI367" s="653"/>
      <c r="AJ367" s="653"/>
      <c r="AK367" s="653"/>
      <c r="AL367" s="653"/>
      <c r="AM367" s="653"/>
      <c r="AN367" s="653"/>
      <c r="AO367" s="653"/>
      <c r="AP367" s="653"/>
      <c r="AQ367" s="653"/>
      <c r="AR367" s="653"/>
      <c r="AS367" s="653"/>
      <c r="AT367" s="653"/>
      <c r="AU367" s="653"/>
      <c r="AV367" s="653"/>
    </row>
    <row r="368" spans="1:48" ht="14.5">
      <c r="A368" s="653"/>
      <c r="B368" s="653"/>
      <c r="C368" s="653"/>
      <c r="D368" s="653"/>
      <c r="E368" s="653"/>
      <c r="F368" s="653"/>
      <c r="G368" s="654"/>
      <c r="H368" s="654"/>
      <c r="I368" s="653"/>
      <c r="J368" s="653"/>
      <c r="K368" s="655"/>
      <c r="L368" s="653"/>
      <c r="M368" s="653"/>
      <c r="N368" s="653"/>
      <c r="O368" s="653"/>
      <c r="P368" s="653"/>
      <c r="Q368" s="653"/>
      <c r="R368" s="653"/>
      <c r="S368" s="653"/>
      <c r="T368" s="653"/>
      <c r="U368" s="656"/>
      <c r="V368" s="653"/>
      <c r="W368" s="653"/>
      <c r="X368" s="653"/>
      <c r="Y368" s="657"/>
      <c r="Z368" s="615"/>
      <c r="AA368" s="653"/>
      <c r="AB368" s="657"/>
      <c r="AC368" s="653"/>
      <c r="AD368" s="653"/>
      <c r="AE368" s="653"/>
      <c r="AF368" s="653"/>
      <c r="AG368" s="653"/>
      <c r="AH368" s="653"/>
      <c r="AI368" s="653"/>
      <c r="AJ368" s="653"/>
      <c r="AK368" s="653"/>
      <c r="AL368" s="653"/>
      <c r="AM368" s="653"/>
      <c r="AN368" s="653"/>
      <c r="AO368" s="653"/>
      <c r="AP368" s="653"/>
      <c r="AQ368" s="653"/>
      <c r="AR368" s="653"/>
      <c r="AS368" s="653"/>
      <c r="AT368" s="653"/>
      <c r="AU368" s="653"/>
      <c r="AV368" s="653"/>
    </row>
    <row r="369" spans="1:48" ht="14.5">
      <c r="A369" s="653"/>
      <c r="B369" s="653"/>
      <c r="C369" s="653"/>
      <c r="D369" s="653"/>
      <c r="E369" s="653"/>
      <c r="F369" s="653"/>
      <c r="G369" s="654"/>
      <c r="H369" s="654"/>
      <c r="I369" s="653"/>
      <c r="J369" s="653"/>
      <c r="K369" s="655"/>
      <c r="L369" s="653"/>
      <c r="M369" s="653"/>
      <c r="N369" s="653"/>
      <c r="O369" s="653"/>
      <c r="P369" s="653"/>
      <c r="Q369" s="653"/>
      <c r="R369" s="653"/>
      <c r="S369" s="653"/>
      <c r="T369" s="653"/>
      <c r="U369" s="656"/>
      <c r="V369" s="653"/>
      <c r="W369" s="653"/>
      <c r="X369" s="653"/>
      <c r="Y369" s="657"/>
      <c r="Z369" s="615"/>
      <c r="AA369" s="653"/>
      <c r="AB369" s="657"/>
      <c r="AC369" s="653"/>
      <c r="AD369" s="653"/>
      <c r="AE369" s="653"/>
      <c r="AF369" s="653"/>
      <c r="AG369" s="653"/>
      <c r="AH369" s="653"/>
      <c r="AI369" s="653"/>
      <c r="AJ369" s="653"/>
      <c r="AK369" s="653"/>
      <c r="AL369" s="653"/>
      <c r="AM369" s="653"/>
      <c r="AN369" s="653"/>
      <c r="AO369" s="653"/>
      <c r="AP369" s="653"/>
      <c r="AQ369" s="653"/>
      <c r="AR369" s="653"/>
      <c r="AS369" s="653"/>
      <c r="AT369" s="653"/>
      <c r="AU369" s="653"/>
      <c r="AV369" s="653"/>
    </row>
    <row r="370" spans="1:48" ht="14.5">
      <c r="A370" s="653"/>
      <c r="B370" s="653"/>
      <c r="C370" s="653"/>
      <c r="D370" s="653"/>
      <c r="E370" s="653"/>
      <c r="F370" s="653"/>
      <c r="G370" s="654"/>
      <c r="H370" s="654"/>
      <c r="I370" s="653"/>
      <c r="J370" s="653"/>
      <c r="K370" s="655"/>
      <c r="L370" s="653"/>
      <c r="M370" s="653"/>
      <c r="N370" s="653"/>
      <c r="O370" s="653"/>
      <c r="P370" s="653"/>
      <c r="Q370" s="653"/>
      <c r="R370" s="653"/>
      <c r="S370" s="653"/>
      <c r="T370" s="653"/>
      <c r="U370" s="656"/>
      <c r="V370" s="653"/>
      <c r="W370" s="653"/>
      <c r="X370" s="653"/>
      <c r="Y370" s="657"/>
      <c r="Z370" s="615"/>
      <c r="AA370" s="653"/>
      <c r="AB370" s="657"/>
      <c r="AC370" s="653"/>
      <c r="AD370" s="653"/>
      <c r="AE370" s="653"/>
      <c r="AF370" s="653"/>
      <c r="AG370" s="653"/>
      <c r="AH370" s="653"/>
      <c r="AI370" s="653"/>
      <c r="AJ370" s="653"/>
      <c r="AK370" s="653"/>
      <c r="AL370" s="653"/>
      <c r="AM370" s="653"/>
      <c r="AN370" s="653"/>
      <c r="AO370" s="653"/>
      <c r="AP370" s="653"/>
      <c r="AQ370" s="653"/>
      <c r="AR370" s="653"/>
      <c r="AS370" s="653"/>
      <c r="AT370" s="653"/>
      <c r="AU370" s="653"/>
      <c r="AV370" s="653"/>
    </row>
    <row r="371" spans="1:48" ht="14.5">
      <c r="A371" s="653"/>
      <c r="B371" s="653"/>
      <c r="C371" s="653"/>
      <c r="D371" s="653"/>
      <c r="E371" s="653"/>
      <c r="F371" s="653"/>
      <c r="G371" s="654"/>
      <c r="H371" s="654"/>
      <c r="I371" s="653"/>
      <c r="J371" s="653"/>
      <c r="K371" s="655"/>
      <c r="L371" s="653"/>
      <c r="M371" s="653"/>
      <c r="N371" s="653"/>
      <c r="O371" s="653"/>
      <c r="P371" s="653"/>
      <c r="Q371" s="653"/>
      <c r="R371" s="653"/>
      <c r="S371" s="653"/>
      <c r="T371" s="653"/>
      <c r="U371" s="656"/>
      <c r="V371" s="653"/>
      <c r="W371" s="653"/>
      <c r="X371" s="653"/>
      <c r="Y371" s="657"/>
      <c r="Z371" s="615"/>
      <c r="AA371" s="653"/>
      <c r="AB371" s="657"/>
      <c r="AC371" s="653"/>
      <c r="AD371" s="653"/>
      <c r="AE371" s="653"/>
      <c r="AF371" s="653"/>
      <c r="AG371" s="653"/>
      <c r="AH371" s="653"/>
      <c r="AI371" s="653"/>
      <c r="AJ371" s="653"/>
      <c r="AK371" s="653"/>
      <c r="AL371" s="653"/>
      <c r="AM371" s="653"/>
      <c r="AN371" s="653"/>
      <c r="AO371" s="653"/>
      <c r="AP371" s="653"/>
      <c r="AQ371" s="653"/>
      <c r="AR371" s="653"/>
      <c r="AS371" s="653"/>
      <c r="AT371" s="653"/>
      <c r="AU371" s="653"/>
      <c r="AV371" s="653"/>
    </row>
    <row r="372" spans="1:48" ht="14.5">
      <c r="A372" s="653"/>
      <c r="B372" s="653"/>
      <c r="C372" s="653"/>
      <c r="D372" s="653"/>
      <c r="E372" s="653"/>
      <c r="F372" s="653"/>
      <c r="G372" s="654"/>
      <c r="H372" s="654"/>
      <c r="I372" s="653"/>
      <c r="J372" s="653"/>
      <c r="K372" s="655"/>
      <c r="L372" s="653"/>
      <c r="M372" s="653"/>
      <c r="N372" s="653"/>
      <c r="O372" s="653"/>
      <c r="P372" s="653"/>
      <c r="Q372" s="653"/>
      <c r="R372" s="653"/>
      <c r="S372" s="653"/>
      <c r="T372" s="653"/>
      <c r="U372" s="656"/>
      <c r="V372" s="653"/>
      <c r="W372" s="653"/>
      <c r="X372" s="653"/>
      <c r="Y372" s="657"/>
      <c r="Z372" s="615"/>
      <c r="AA372" s="653"/>
      <c r="AB372" s="657"/>
      <c r="AC372" s="653"/>
      <c r="AD372" s="653"/>
      <c r="AE372" s="653"/>
      <c r="AF372" s="653"/>
      <c r="AG372" s="653"/>
      <c r="AH372" s="653"/>
      <c r="AI372" s="653"/>
      <c r="AJ372" s="653"/>
      <c r="AK372" s="653"/>
      <c r="AL372" s="653"/>
      <c r="AM372" s="653"/>
      <c r="AN372" s="653"/>
      <c r="AO372" s="653"/>
      <c r="AP372" s="653"/>
      <c r="AQ372" s="653"/>
      <c r="AR372" s="653"/>
      <c r="AS372" s="653"/>
      <c r="AT372" s="653"/>
      <c r="AU372" s="653"/>
      <c r="AV372" s="653"/>
    </row>
    <row r="373" spans="1:48" ht="14.5">
      <c r="A373" s="653"/>
      <c r="B373" s="653"/>
      <c r="C373" s="653"/>
      <c r="D373" s="653"/>
      <c r="E373" s="653"/>
      <c r="F373" s="653"/>
      <c r="G373" s="654"/>
      <c r="H373" s="654"/>
      <c r="I373" s="653"/>
      <c r="J373" s="653"/>
      <c r="K373" s="655"/>
      <c r="L373" s="653"/>
      <c r="M373" s="653"/>
      <c r="N373" s="653"/>
      <c r="O373" s="653"/>
      <c r="P373" s="653"/>
      <c r="Q373" s="653"/>
      <c r="R373" s="653"/>
      <c r="S373" s="653"/>
      <c r="T373" s="653"/>
      <c r="U373" s="656"/>
      <c r="V373" s="653"/>
      <c r="W373" s="653"/>
      <c r="X373" s="653"/>
      <c r="Y373" s="657"/>
      <c r="Z373" s="615"/>
      <c r="AA373" s="653"/>
      <c r="AB373" s="657"/>
      <c r="AC373" s="653"/>
      <c r="AD373" s="653"/>
      <c r="AE373" s="653"/>
      <c r="AF373" s="653"/>
      <c r="AG373" s="653"/>
      <c r="AH373" s="653"/>
      <c r="AI373" s="653"/>
      <c r="AJ373" s="653"/>
      <c r="AK373" s="653"/>
      <c r="AL373" s="653"/>
      <c r="AM373" s="653"/>
      <c r="AN373" s="653"/>
      <c r="AO373" s="653"/>
      <c r="AP373" s="653"/>
      <c r="AQ373" s="653"/>
      <c r="AR373" s="653"/>
      <c r="AS373" s="653"/>
      <c r="AT373" s="653"/>
      <c r="AU373" s="653"/>
      <c r="AV373" s="653"/>
    </row>
    <row r="374" spans="1:48" ht="14.5">
      <c r="A374" s="653"/>
      <c r="B374" s="653"/>
      <c r="C374" s="653"/>
      <c r="D374" s="653"/>
      <c r="E374" s="653"/>
      <c r="F374" s="653"/>
      <c r="G374" s="654"/>
      <c r="H374" s="654"/>
      <c r="I374" s="653"/>
      <c r="J374" s="653"/>
      <c r="K374" s="655"/>
      <c r="L374" s="653"/>
      <c r="M374" s="653"/>
      <c r="N374" s="653"/>
      <c r="O374" s="653"/>
      <c r="P374" s="653"/>
      <c r="Q374" s="653"/>
      <c r="R374" s="653"/>
      <c r="S374" s="653"/>
      <c r="T374" s="653"/>
      <c r="U374" s="656"/>
      <c r="V374" s="653"/>
      <c r="W374" s="653"/>
      <c r="X374" s="653"/>
      <c r="Y374" s="657"/>
      <c r="Z374" s="615"/>
      <c r="AA374" s="653"/>
      <c r="AB374" s="657"/>
      <c r="AC374" s="653"/>
      <c r="AD374" s="653"/>
      <c r="AE374" s="653"/>
      <c r="AF374" s="653"/>
      <c r="AG374" s="653"/>
      <c r="AH374" s="653"/>
      <c r="AI374" s="653"/>
      <c r="AJ374" s="653"/>
      <c r="AK374" s="653"/>
      <c r="AL374" s="653"/>
      <c r="AM374" s="653"/>
      <c r="AN374" s="653"/>
      <c r="AO374" s="653"/>
      <c r="AP374" s="653"/>
      <c r="AQ374" s="653"/>
      <c r="AR374" s="653"/>
      <c r="AS374" s="653"/>
      <c r="AT374" s="653"/>
      <c r="AU374" s="653"/>
      <c r="AV374" s="653"/>
    </row>
    <row r="375" spans="1:48" ht="14.5">
      <c r="A375" s="653"/>
      <c r="B375" s="653"/>
      <c r="C375" s="653"/>
      <c r="D375" s="653"/>
      <c r="E375" s="653"/>
      <c r="F375" s="653"/>
      <c r="G375" s="654"/>
      <c r="H375" s="654"/>
      <c r="I375" s="653"/>
      <c r="J375" s="653"/>
      <c r="K375" s="655"/>
      <c r="L375" s="653"/>
      <c r="M375" s="653"/>
      <c r="N375" s="653"/>
      <c r="O375" s="653"/>
      <c r="P375" s="653"/>
      <c r="Q375" s="653"/>
      <c r="R375" s="653"/>
      <c r="S375" s="653"/>
      <c r="T375" s="653"/>
      <c r="U375" s="656"/>
      <c r="V375" s="653"/>
      <c r="W375" s="653"/>
      <c r="X375" s="653"/>
      <c r="Y375" s="657"/>
      <c r="Z375" s="615"/>
      <c r="AA375" s="653"/>
      <c r="AB375" s="657"/>
      <c r="AC375" s="653"/>
      <c r="AD375" s="653"/>
      <c r="AE375" s="653"/>
      <c r="AF375" s="653"/>
      <c r="AG375" s="653"/>
      <c r="AH375" s="653"/>
      <c r="AI375" s="653"/>
      <c r="AJ375" s="653"/>
      <c r="AK375" s="653"/>
      <c r="AL375" s="653"/>
      <c r="AM375" s="653"/>
      <c r="AN375" s="653"/>
      <c r="AO375" s="653"/>
      <c r="AP375" s="653"/>
      <c r="AQ375" s="653"/>
      <c r="AR375" s="653"/>
      <c r="AS375" s="653"/>
      <c r="AT375" s="653"/>
      <c r="AU375" s="653"/>
      <c r="AV375" s="653"/>
    </row>
    <row r="376" spans="1:48" ht="14.5">
      <c r="A376" s="653"/>
      <c r="B376" s="653"/>
      <c r="C376" s="653"/>
      <c r="D376" s="653"/>
      <c r="E376" s="653"/>
      <c r="F376" s="653"/>
      <c r="G376" s="654"/>
      <c r="H376" s="654"/>
      <c r="I376" s="653"/>
      <c r="J376" s="653"/>
      <c r="K376" s="655"/>
      <c r="L376" s="653"/>
      <c r="M376" s="653"/>
      <c r="N376" s="653"/>
      <c r="O376" s="653"/>
      <c r="P376" s="653"/>
      <c r="Q376" s="653"/>
      <c r="R376" s="653"/>
      <c r="S376" s="653"/>
      <c r="T376" s="653"/>
      <c r="U376" s="656"/>
      <c r="V376" s="653"/>
      <c r="W376" s="653"/>
      <c r="X376" s="653"/>
      <c r="Y376" s="657"/>
      <c r="Z376" s="615"/>
      <c r="AA376" s="653"/>
      <c r="AB376" s="657"/>
      <c r="AC376" s="653"/>
      <c r="AD376" s="653"/>
      <c r="AE376" s="653"/>
      <c r="AF376" s="653"/>
      <c r="AG376" s="653"/>
      <c r="AH376" s="653"/>
      <c r="AI376" s="653"/>
      <c r="AJ376" s="653"/>
      <c r="AK376" s="653"/>
      <c r="AL376" s="653"/>
      <c r="AM376" s="653"/>
      <c r="AN376" s="653"/>
      <c r="AO376" s="653"/>
      <c r="AP376" s="653"/>
      <c r="AQ376" s="653"/>
      <c r="AR376" s="653"/>
      <c r="AS376" s="653"/>
      <c r="AT376" s="653"/>
      <c r="AU376" s="653"/>
      <c r="AV376" s="653"/>
    </row>
    <row r="377" spans="1:48" ht="14.5">
      <c r="A377" s="653"/>
      <c r="B377" s="653"/>
      <c r="C377" s="653"/>
      <c r="D377" s="653"/>
      <c r="E377" s="653"/>
      <c r="F377" s="653"/>
      <c r="G377" s="654"/>
      <c r="H377" s="654"/>
      <c r="I377" s="653"/>
      <c r="J377" s="653"/>
      <c r="K377" s="655"/>
      <c r="L377" s="653"/>
      <c r="M377" s="653"/>
      <c r="N377" s="653"/>
      <c r="O377" s="653"/>
      <c r="P377" s="653"/>
      <c r="Q377" s="653"/>
      <c r="R377" s="653"/>
      <c r="S377" s="653"/>
      <c r="T377" s="653"/>
      <c r="U377" s="656"/>
      <c r="V377" s="653"/>
      <c r="W377" s="653"/>
      <c r="X377" s="653"/>
      <c r="Y377" s="657"/>
      <c r="Z377" s="615"/>
      <c r="AA377" s="653"/>
      <c r="AB377" s="657"/>
      <c r="AC377" s="653"/>
      <c r="AD377" s="653"/>
      <c r="AE377" s="653"/>
      <c r="AF377" s="653"/>
      <c r="AG377" s="653"/>
      <c r="AH377" s="653"/>
      <c r="AI377" s="653"/>
      <c r="AJ377" s="653"/>
      <c r="AK377" s="653"/>
      <c r="AL377" s="653"/>
      <c r="AM377" s="653"/>
      <c r="AN377" s="653"/>
      <c r="AO377" s="653"/>
      <c r="AP377" s="653"/>
      <c r="AQ377" s="653"/>
      <c r="AR377" s="653"/>
      <c r="AS377" s="653"/>
      <c r="AT377" s="653"/>
      <c r="AU377" s="653"/>
      <c r="AV377" s="653"/>
    </row>
    <row r="378" spans="1:48" ht="14.5">
      <c r="A378" s="653"/>
      <c r="B378" s="653"/>
      <c r="C378" s="653"/>
      <c r="D378" s="653"/>
      <c r="E378" s="653"/>
      <c r="F378" s="653"/>
      <c r="G378" s="654"/>
      <c r="H378" s="654"/>
      <c r="I378" s="653"/>
      <c r="J378" s="653"/>
      <c r="K378" s="655"/>
      <c r="L378" s="653"/>
      <c r="M378" s="653"/>
      <c r="N378" s="653"/>
      <c r="O378" s="653"/>
      <c r="P378" s="653"/>
      <c r="Q378" s="653"/>
      <c r="R378" s="653"/>
      <c r="S378" s="653"/>
      <c r="T378" s="653"/>
      <c r="U378" s="656"/>
      <c r="V378" s="653"/>
      <c r="W378" s="653"/>
      <c r="X378" s="653"/>
      <c r="Y378" s="657"/>
      <c r="Z378" s="615"/>
      <c r="AA378" s="653"/>
      <c r="AB378" s="657"/>
      <c r="AC378" s="653"/>
      <c r="AD378" s="653"/>
      <c r="AE378" s="653"/>
      <c r="AF378" s="653"/>
      <c r="AG378" s="653"/>
      <c r="AH378" s="653"/>
      <c r="AI378" s="653"/>
      <c r="AJ378" s="653"/>
      <c r="AK378" s="653"/>
      <c r="AL378" s="653"/>
      <c r="AM378" s="653"/>
      <c r="AN378" s="653"/>
      <c r="AO378" s="653"/>
      <c r="AP378" s="653"/>
      <c r="AQ378" s="653"/>
      <c r="AR378" s="653"/>
      <c r="AS378" s="653"/>
      <c r="AT378" s="653"/>
      <c r="AU378" s="653"/>
      <c r="AV378" s="653"/>
    </row>
    <row r="379" spans="1:48" ht="14.5">
      <c r="A379" s="653"/>
      <c r="B379" s="653"/>
      <c r="C379" s="653"/>
      <c r="D379" s="653"/>
      <c r="E379" s="653"/>
      <c r="F379" s="653"/>
      <c r="G379" s="654"/>
      <c r="H379" s="654"/>
      <c r="I379" s="653"/>
      <c r="J379" s="653"/>
      <c r="K379" s="655"/>
      <c r="L379" s="653"/>
      <c r="M379" s="653"/>
      <c r="N379" s="653"/>
      <c r="O379" s="653"/>
      <c r="P379" s="653"/>
      <c r="Q379" s="653"/>
      <c r="R379" s="653"/>
      <c r="S379" s="653"/>
      <c r="T379" s="653"/>
      <c r="U379" s="656"/>
      <c r="V379" s="653"/>
      <c r="W379" s="653"/>
      <c r="X379" s="653"/>
      <c r="Y379" s="657"/>
      <c r="Z379" s="615"/>
      <c r="AA379" s="653"/>
      <c r="AB379" s="657"/>
      <c r="AC379" s="653"/>
      <c r="AD379" s="653"/>
      <c r="AE379" s="653"/>
      <c r="AF379" s="653"/>
      <c r="AG379" s="653"/>
      <c r="AH379" s="653"/>
      <c r="AI379" s="653"/>
      <c r="AJ379" s="653"/>
      <c r="AK379" s="653"/>
      <c r="AL379" s="653"/>
      <c r="AM379" s="653"/>
      <c r="AN379" s="653"/>
      <c r="AO379" s="653"/>
      <c r="AP379" s="653"/>
      <c r="AQ379" s="653"/>
      <c r="AR379" s="653"/>
      <c r="AS379" s="653"/>
      <c r="AT379" s="653"/>
      <c r="AU379" s="653"/>
      <c r="AV379" s="653"/>
    </row>
    <row r="380" spans="1:48" ht="14.5">
      <c r="A380" s="653"/>
      <c r="B380" s="653"/>
      <c r="C380" s="653"/>
      <c r="D380" s="653"/>
      <c r="E380" s="653"/>
      <c r="F380" s="653"/>
      <c r="G380" s="654"/>
      <c r="H380" s="654"/>
      <c r="I380" s="653"/>
      <c r="J380" s="653"/>
      <c r="K380" s="655"/>
      <c r="L380" s="653"/>
      <c r="M380" s="653"/>
      <c r="N380" s="653"/>
      <c r="O380" s="653"/>
      <c r="P380" s="653"/>
      <c r="Q380" s="653"/>
      <c r="R380" s="653"/>
      <c r="S380" s="653"/>
      <c r="T380" s="653"/>
      <c r="U380" s="656"/>
      <c r="V380" s="653"/>
      <c r="W380" s="653"/>
      <c r="X380" s="653"/>
      <c r="Y380" s="657"/>
      <c r="Z380" s="615"/>
      <c r="AA380" s="653"/>
      <c r="AB380" s="657"/>
      <c r="AC380" s="653"/>
      <c r="AD380" s="653"/>
      <c r="AE380" s="653"/>
      <c r="AF380" s="653"/>
      <c r="AG380" s="653"/>
      <c r="AH380" s="653"/>
      <c r="AI380" s="653"/>
      <c r="AJ380" s="653"/>
      <c r="AK380" s="653"/>
      <c r="AL380" s="653"/>
      <c r="AM380" s="653"/>
      <c r="AN380" s="653"/>
      <c r="AO380" s="653"/>
      <c r="AP380" s="653"/>
      <c r="AQ380" s="653"/>
      <c r="AR380" s="653"/>
      <c r="AS380" s="653"/>
      <c r="AT380" s="653"/>
      <c r="AU380" s="653"/>
      <c r="AV380" s="653"/>
    </row>
    <row r="381" spans="1:48" ht="14.5">
      <c r="A381" s="653"/>
      <c r="B381" s="653"/>
      <c r="C381" s="653"/>
      <c r="D381" s="653"/>
      <c r="E381" s="653"/>
      <c r="F381" s="653"/>
      <c r="G381" s="654"/>
      <c r="H381" s="654"/>
      <c r="I381" s="653"/>
      <c r="J381" s="653"/>
      <c r="K381" s="655"/>
      <c r="L381" s="653"/>
      <c r="M381" s="653"/>
      <c r="N381" s="653"/>
      <c r="O381" s="653"/>
      <c r="P381" s="653"/>
      <c r="Q381" s="653"/>
      <c r="R381" s="653"/>
      <c r="S381" s="653"/>
      <c r="T381" s="653"/>
      <c r="U381" s="656"/>
      <c r="V381" s="653"/>
      <c r="W381" s="653"/>
      <c r="X381" s="653"/>
      <c r="Y381" s="657"/>
      <c r="Z381" s="615"/>
      <c r="AA381" s="653"/>
      <c r="AB381" s="657"/>
      <c r="AC381" s="653"/>
      <c r="AD381" s="653"/>
      <c r="AE381" s="653"/>
      <c r="AF381" s="653"/>
      <c r="AG381" s="653"/>
      <c r="AH381" s="653"/>
      <c r="AI381" s="653"/>
      <c r="AJ381" s="653"/>
      <c r="AK381" s="653"/>
      <c r="AL381" s="653"/>
      <c r="AM381" s="653"/>
      <c r="AN381" s="653"/>
      <c r="AO381" s="653"/>
      <c r="AP381" s="653"/>
      <c r="AQ381" s="653"/>
      <c r="AR381" s="653"/>
      <c r="AS381" s="653"/>
      <c r="AT381" s="653"/>
      <c r="AU381" s="653"/>
      <c r="AV381" s="653"/>
    </row>
    <row r="382" spans="1:48" ht="14.5">
      <c r="A382" s="653"/>
      <c r="B382" s="653"/>
      <c r="C382" s="653"/>
      <c r="D382" s="653"/>
      <c r="E382" s="653"/>
      <c r="F382" s="653"/>
      <c r="G382" s="654"/>
      <c r="H382" s="654"/>
      <c r="I382" s="653"/>
      <c r="J382" s="653"/>
      <c r="K382" s="655"/>
      <c r="L382" s="653"/>
      <c r="M382" s="653"/>
      <c r="N382" s="653"/>
      <c r="O382" s="653"/>
      <c r="P382" s="653"/>
      <c r="Q382" s="653"/>
      <c r="R382" s="653"/>
      <c r="S382" s="653"/>
      <c r="T382" s="653"/>
      <c r="U382" s="656"/>
      <c r="V382" s="653"/>
      <c r="W382" s="653"/>
      <c r="X382" s="653"/>
      <c r="Y382" s="657"/>
      <c r="Z382" s="615"/>
      <c r="AA382" s="653"/>
      <c r="AB382" s="657"/>
      <c r="AC382" s="653"/>
      <c r="AD382" s="653"/>
      <c r="AE382" s="653"/>
      <c r="AF382" s="653"/>
      <c r="AG382" s="653"/>
      <c r="AH382" s="653"/>
      <c r="AI382" s="653"/>
      <c r="AJ382" s="653"/>
      <c r="AK382" s="653"/>
      <c r="AL382" s="653"/>
      <c r="AM382" s="653"/>
      <c r="AN382" s="653"/>
      <c r="AO382" s="653"/>
      <c r="AP382" s="653"/>
      <c r="AQ382" s="653"/>
      <c r="AR382" s="653"/>
      <c r="AS382" s="653"/>
      <c r="AT382" s="653"/>
      <c r="AU382" s="653"/>
      <c r="AV382" s="653"/>
    </row>
    <row r="383" spans="1:48" ht="14.5">
      <c r="A383" s="653"/>
      <c r="B383" s="653"/>
      <c r="C383" s="653"/>
      <c r="D383" s="653"/>
      <c r="E383" s="653"/>
      <c r="F383" s="653"/>
      <c r="G383" s="654"/>
      <c r="H383" s="654"/>
      <c r="I383" s="653"/>
      <c r="J383" s="653"/>
      <c r="K383" s="655"/>
      <c r="L383" s="653"/>
      <c r="M383" s="653"/>
      <c r="N383" s="653"/>
      <c r="O383" s="653"/>
      <c r="P383" s="653"/>
      <c r="Q383" s="653"/>
      <c r="R383" s="653"/>
      <c r="S383" s="653"/>
      <c r="T383" s="653"/>
      <c r="U383" s="656"/>
      <c r="V383" s="653"/>
      <c r="W383" s="653"/>
      <c r="X383" s="653"/>
      <c r="Y383" s="657"/>
      <c r="Z383" s="615"/>
      <c r="AA383" s="653"/>
      <c r="AB383" s="657"/>
      <c r="AC383" s="653"/>
      <c r="AD383" s="653"/>
      <c r="AE383" s="653"/>
      <c r="AF383" s="653"/>
      <c r="AG383" s="653"/>
      <c r="AH383" s="653"/>
      <c r="AI383" s="653"/>
      <c r="AJ383" s="653"/>
      <c r="AK383" s="653"/>
      <c r="AL383" s="653"/>
      <c r="AM383" s="653"/>
      <c r="AN383" s="653"/>
      <c r="AO383" s="653"/>
      <c r="AP383" s="653"/>
      <c r="AQ383" s="653"/>
      <c r="AR383" s="653"/>
      <c r="AS383" s="653"/>
      <c r="AT383" s="653"/>
      <c r="AU383" s="653"/>
      <c r="AV383" s="653"/>
    </row>
    <row r="384" spans="1:48" ht="14.5">
      <c r="A384" s="653"/>
      <c r="B384" s="653"/>
      <c r="C384" s="653"/>
      <c r="D384" s="653"/>
      <c r="E384" s="653"/>
      <c r="F384" s="653"/>
      <c r="G384" s="654"/>
      <c r="H384" s="654"/>
      <c r="I384" s="653"/>
      <c r="J384" s="653"/>
      <c r="K384" s="655"/>
      <c r="L384" s="653"/>
      <c r="M384" s="653"/>
      <c r="N384" s="653"/>
      <c r="O384" s="653"/>
      <c r="P384" s="653"/>
      <c r="Q384" s="653"/>
      <c r="R384" s="653"/>
      <c r="S384" s="653"/>
      <c r="T384" s="653"/>
      <c r="U384" s="656"/>
      <c r="V384" s="653"/>
      <c r="W384" s="653"/>
      <c r="X384" s="653"/>
      <c r="Y384" s="657"/>
      <c r="Z384" s="615"/>
      <c r="AA384" s="653"/>
      <c r="AB384" s="657"/>
      <c r="AC384" s="653"/>
      <c r="AD384" s="653"/>
      <c r="AE384" s="653"/>
      <c r="AF384" s="653"/>
      <c r="AG384" s="653"/>
      <c r="AH384" s="653"/>
      <c r="AI384" s="653"/>
      <c r="AJ384" s="653"/>
      <c r="AK384" s="653"/>
      <c r="AL384" s="653"/>
      <c r="AM384" s="653"/>
      <c r="AN384" s="653"/>
      <c r="AO384" s="653"/>
      <c r="AP384" s="653"/>
      <c r="AQ384" s="653"/>
      <c r="AR384" s="653"/>
      <c r="AS384" s="653"/>
      <c r="AT384" s="653"/>
      <c r="AU384" s="653"/>
      <c r="AV384" s="653"/>
    </row>
    <row r="385" spans="1:48" ht="14.5">
      <c r="A385" s="653"/>
      <c r="B385" s="653"/>
      <c r="C385" s="653"/>
      <c r="D385" s="653"/>
      <c r="E385" s="653"/>
      <c r="F385" s="653"/>
      <c r="G385" s="654"/>
      <c r="H385" s="654"/>
      <c r="I385" s="653"/>
      <c r="J385" s="653"/>
      <c r="K385" s="655"/>
      <c r="L385" s="653"/>
      <c r="M385" s="653"/>
      <c r="N385" s="653"/>
      <c r="O385" s="653"/>
      <c r="P385" s="653"/>
      <c r="Q385" s="653"/>
      <c r="R385" s="653"/>
      <c r="S385" s="653"/>
      <c r="T385" s="653"/>
      <c r="U385" s="656"/>
      <c r="V385" s="653"/>
      <c r="W385" s="653"/>
      <c r="X385" s="653"/>
      <c r="Y385" s="657"/>
      <c r="Z385" s="615"/>
      <c r="AA385" s="653"/>
      <c r="AB385" s="657"/>
      <c r="AC385" s="653"/>
      <c r="AD385" s="653"/>
      <c r="AE385" s="653"/>
      <c r="AF385" s="653"/>
      <c r="AG385" s="653"/>
      <c r="AH385" s="653"/>
      <c r="AI385" s="653"/>
      <c r="AJ385" s="653"/>
      <c r="AK385" s="653"/>
      <c r="AL385" s="653"/>
      <c r="AM385" s="653"/>
      <c r="AN385" s="653"/>
      <c r="AO385" s="653"/>
      <c r="AP385" s="653"/>
      <c r="AQ385" s="653"/>
      <c r="AR385" s="653"/>
      <c r="AS385" s="653"/>
      <c r="AT385" s="653"/>
      <c r="AU385" s="653"/>
      <c r="AV385" s="653"/>
    </row>
    <row r="386" spans="1:48" ht="14.5">
      <c r="A386" s="653"/>
      <c r="B386" s="653"/>
      <c r="C386" s="653"/>
      <c r="D386" s="653"/>
      <c r="E386" s="653"/>
      <c r="F386" s="653"/>
      <c r="G386" s="654"/>
      <c r="H386" s="654"/>
      <c r="I386" s="653"/>
      <c r="J386" s="653"/>
      <c r="K386" s="655"/>
      <c r="L386" s="653"/>
      <c r="M386" s="653"/>
      <c r="N386" s="653"/>
      <c r="O386" s="653"/>
      <c r="P386" s="653"/>
      <c r="Q386" s="653"/>
      <c r="R386" s="653"/>
      <c r="S386" s="653"/>
      <c r="T386" s="653"/>
      <c r="U386" s="656"/>
      <c r="V386" s="653"/>
      <c r="W386" s="653"/>
      <c r="X386" s="653"/>
      <c r="Y386" s="657"/>
      <c r="Z386" s="615"/>
      <c r="AA386" s="653"/>
      <c r="AB386" s="657"/>
      <c r="AC386" s="653"/>
      <c r="AD386" s="653"/>
      <c r="AE386" s="653"/>
      <c r="AF386" s="653"/>
      <c r="AG386" s="653"/>
      <c r="AH386" s="653"/>
      <c r="AI386" s="653"/>
      <c r="AJ386" s="653"/>
      <c r="AK386" s="653"/>
      <c r="AL386" s="653"/>
      <c r="AM386" s="653"/>
      <c r="AN386" s="653"/>
      <c r="AO386" s="653"/>
      <c r="AP386" s="653"/>
      <c r="AQ386" s="653"/>
      <c r="AR386" s="653"/>
      <c r="AS386" s="653"/>
      <c r="AT386" s="653"/>
      <c r="AU386" s="653"/>
      <c r="AV386" s="653"/>
    </row>
    <row r="387" spans="1:48" ht="14.5">
      <c r="A387" s="653"/>
      <c r="B387" s="653"/>
      <c r="C387" s="653"/>
      <c r="D387" s="653"/>
      <c r="E387" s="653"/>
      <c r="F387" s="653"/>
      <c r="G387" s="654"/>
      <c r="H387" s="654"/>
      <c r="I387" s="653"/>
      <c r="J387" s="653"/>
      <c r="K387" s="655"/>
      <c r="L387" s="653"/>
      <c r="M387" s="653"/>
      <c r="N387" s="653"/>
      <c r="O387" s="653"/>
      <c r="P387" s="653"/>
      <c r="Q387" s="653"/>
      <c r="R387" s="653"/>
      <c r="S387" s="653"/>
      <c r="T387" s="653"/>
      <c r="U387" s="656"/>
      <c r="V387" s="653"/>
      <c r="W387" s="653"/>
      <c r="X387" s="653"/>
      <c r="Y387" s="657"/>
      <c r="Z387" s="615"/>
      <c r="AA387" s="653"/>
      <c r="AB387" s="657"/>
      <c r="AC387" s="653"/>
      <c r="AD387" s="653"/>
      <c r="AE387" s="653"/>
      <c r="AF387" s="653"/>
      <c r="AG387" s="653"/>
      <c r="AH387" s="653"/>
      <c r="AI387" s="653"/>
      <c r="AJ387" s="653"/>
      <c r="AK387" s="653"/>
      <c r="AL387" s="653"/>
      <c r="AM387" s="653"/>
      <c r="AN387" s="653"/>
      <c r="AO387" s="653"/>
      <c r="AP387" s="653"/>
      <c r="AQ387" s="653"/>
      <c r="AR387" s="653"/>
      <c r="AS387" s="653"/>
      <c r="AT387" s="653"/>
      <c r="AU387" s="653"/>
      <c r="AV387" s="653"/>
    </row>
    <row r="388" spans="1:48" ht="14.5">
      <c r="A388" s="653"/>
      <c r="B388" s="653"/>
      <c r="C388" s="653"/>
      <c r="D388" s="653"/>
      <c r="E388" s="653"/>
      <c r="F388" s="653"/>
      <c r="G388" s="654"/>
      <c r="H388" s="654"/>
      <c r="I388" s="653"/>
      <c r="J388" s="653"/>
      <c r="K388" s="655"/>
      <c r="L388" s="653"/>
      <c r="M388" s="653"/>
      <c r="N388" s="653"/>
      <c r="O388" s="653"/>
      <c r="P388" s="653"/>
      <c r="Q388" s="653"/>
      <c r="R388" s="653"/>
      <c r="S388" s="653"/>
      <c r="T388" s="653"/>
      <c r="U388" s="656"/>
      <c r="V388" s="653"/>
      <c r="W388" s="653"/>
      <c r="X388" s="653"/>
      <c r="Y388" s="657"/>
      <c r="Z388" s="615"/>
      <c r="AA388" s="653"/>
      <c r="AB388" s="657"/>
      <c r="AC388" s="653"/>
      <c r="AD388" s="653"/>
      <c r="AE388" s="653"/>
      <c r="AF388" s="653"/>
      <c r="AG388" s="653"/>
      <c r="AH388" s="653"/>
      <c r="AI388" s="653"/>
      <c r="AJ388" s="653"/>
      <c r="AK388" s="653"/>
      <c r="AL388" s="653"/>
      <c r="AM388" s="653"/>
      <c r="AN388" s="653"/>
      <c r="AO388" s="653"/>
      <c r="AP388" s="653"/>
      <c r="AQ388" s="653"/>
      <c r="AR388" s="653"/>
      <c r="AS388" s="653"/>
      <c r="AT388" s="653"/>
      <c r="AU388" s="653"/>
      <c r="AV388" s="653"/>
    </row>
    <row r="389" spans="1:48" ht="14.5">
      <c r="A389" s="653"/>
      <c r="B389" s="653"/>
      <c r="C389" s="653"/>
      <c r="D389" s="653"/>
      <c r="E389" s="653"/>
      <c r="F389" s="653"/>
      <c r="G389" s="654"/>
      <c r="H389" s="654"/>
      <c r="I389" s="653"/>
      <c r="J389" s="653"/>
      <c r="K389" s="655"/>
      <c r="L389" s="653"/>
      <c r="M389" s="653"/>
      <c r="N389" s="653"/>
      <c r="O389" s="653"/>
      <c r="P389" s="653"/>
      <c r="Q389" s="653"/>
      <c r="R389" s="653"/>
      <c r="S389" s="653"/>
      <c r="T389" s="653"/>
      <c r="U389" s="656"/>
      <c r="V389" s="653"/>
      <c r="W389" s="653"/>
      <c r="X389" s="653"/>
      <c r="Y389" s="657"/>
      <c r="Z389" s="615"/>
      <c r="AA389" s="653"/>
      <c r="AB389" s="657"/>
      <c r="AC389" s="653"/>
      <c r="AD389" s="653"/>
      <c r="AE389" s="653"/>
      <c r="AF389" s="653"/>
      <c r="AG389" s="653"/>
      <c r="AH389" s="653"/>
      <c r="AI389" s="653"/>
      <c r="AJ389" s="653"/>
      <c r="AK389" s="653"/>
      <c r="AL389" s="653"/>
      <c r="AM389" s="653"/>
      <c r="AN389" s="653"/>
      <c r="AO389" s="653"/>
      <c r="AP389" s="653"/>
      <c r="AQ389" s="653"/>
      <c r="AR389" s="653"/>
      <c r="AS389" s="653"/>
      <c r="AT389" s="653"/>
      <c r="AU389" s="653"/>
      <c r="AV389" s="653"/>
    </row>
    <row r="390" spans="1:48" ht="14.5">
      <c r="A390" s="653"/>
      <c r="B390" s="653"/>
      <c r="C390" s="653"/>
      <c r="D390" s="653"/>
      <c r="E390" s="653"/>
      <c r="F390" s="653"/>
      <c r="G390" s="654"/>
      <c r="H390" s="654"/>
      <c r="I390" s="653"/>
      <c r="J390" s="653"/>
      <c r="K390" s="655"/>
      <c r="L390" s="653"/>
      <c r="M390" s="653"/>
      <c r="N390" s="653"/>
      <c r="O390" s="653"/>
      <c r="P390" s="653"/>
      <c r="Q390" s="653"/>
      <c r="R390" s="653"/>
      <c r="S390" s="653"/>
      <c r="T390" s="653"/>
      <c r="U390" s="656"/>
      <c r="V390" s="653"/>
      <c r="W390" s="653"/>
      <c r="X390" s="653"/>
      <c r="Y390" s="657"/>
      <c r="Z390" s="615"/>
      <c r="AA390" s="653"/>
      <c r="AB390" s="657"/>
      <c r="AC390" s="653"/>
      <c r="AD390" s="653"/>
      <c r="AE390" s="653"/>
      <c r="AF390" s="653"/>
      <c r="AG390" s="653"/>
      <c r="AH390" s="653"/>
      <c r="AI390" s="653"/>
      <c r="AJ390" s="653"/>
      <c r="AK390" s="653"/>
      <c r="AL390" s="653"/>
      <c r="AM390" s="653"/>
      <c r="AN390" s="653"/>
      <c r="AO390" s="653"/>
      <c r="AP390" s="653"/>
      <c r="AQ390" s="653"/>
      <c r="AR390" s="653"/>
      <c r="AS390" s="653"/>
      <c r="AT390" s="653"/>
      <c r="AU390" s="653"/>
      <c r="AV390" s="653"/>
    </row>
    <row r="391" spans="1:48" ht="14.5">
      <c r="A391" s="653"/>
      <c r="B391" s="653"/>
      <c r="C391" s="653"/>
      <c r="D391" s="653"/>
      <c r="E391" s="653"/>
      <c r="F391" s="653"/>
      <c r="G391" s="654"/>
      <c r="H391" s="654"/>
      <c r="I391" s="653"/>
      <c r="J391" s="653"/>
      <c r="K391" s="655"/>
      <c r="L391" s="653"/>
      <c r="M391" s="653"/>
      <c r="N391" s="653"/>
      <c r="O391" s="653"/>
      <c r="P391" s="653"/>
      <c r="Q391" s="653"/>
      <c r="R391" s="653"/>
      <c r="S391" s="653"/>
      <c r="T391" s="653"/>
      <c r="U391" s="656"/>
      <c r="V391" s="653"/>
      <c r="W391" s="653"/>
      <c r="X391" s="653"/>
      <c r="Y391" s="657"/>
      <c r="Z391" s="615"/>
      <c r="AA391" s="653"/>
      <c r="AB391" s="657"/>
      <c r="AC391" s="653"/>
      <c r="AD391" s="653"/>
      <c r="AE391" s="653"/>
      <c r="AF391" s="653"/>
      <c r="AG391" s="653"/>
      <c r="AH391" s="653"/>
      <c r="AI391" s="653"/>
      <c r="AJ391" s="653"/>
      <c r="AK391" s="653"/>
      <c r="AL391" s="653"/>
      <c r="AM391" s="653"/>
      <c r="AN391" s="653"/>
      <c r="AO391" s="653"/>
      <c r="AP391" s="653"/>
      <c r="AQ391" s="653"/>
      <c r="AR391" s="653"/>
      <c r="AS391" s="653"/>
      <c r="AT391" s="653"/>
      <c r="AU391" s="653"/>
      <c r="AV391" s="653"/>
    </row>
    <row r="392" spans="1:48" ht="14.5">
      <c r="A392" s="653"/>
      <c r="B392" s="653"/>
      <c r="C392" s="653"/>
      <c r="D392" s="653"/>
      <c r="E392" s="653"/>
      <c r="F392" s="653"/>
      <c r="G392" s="654"/>
      <c r="H392" s="654"/>
      <c r="I392" s="653"/>
      <c r="J392" s="653"/>
      <c r="K392" s="655"/>
      <c r="L392" s="653"/>
      <c r="M392" s="653"/>
      <c r="N392" s="653"/>
      <c r="O392" s="653"/>
      <c r="P392" s="653"/>
      <c r="Q392" s="653"/>
      <c r="R392" s="653"/>
      <c r="S392" s="653"/>
      <c r="T392" s="653"/>
      <c r="U392" s="656"/>
      <c r="V392" s="653"/>
      <c r="W392" s="653"/>
      <c r="X392" s="653"/>
      <c r="Y392" s="657"/>
      <c r="Z392" s="615"/>
      <c r="AA392" s="653"/>
      <c r="AB392" s="657"/>
      <c r="AC392" s="653"/>
      <c r="AD392" s="653"/>
      <c r="AE392" s="653"/>
      <c r="AF392" s="653"/>
      <c r="AG392" s="653"/>
      <c r="AH392" s="653"/>
      <c r="AI392" s="653"/>
      <c r="AJ392" s="653"/>
      <c r="AK392" s="653"/>
      <c r="AL392" s="653"/>
      <c r="AM392" s="653"/>
      <c r="AN392" s="653"/>
      <c r="AO392" s="653"/>
      <c r="AP392" s="653"/>
      <c r="AQ392" s="653"/>
      <c r="AR392" s="653"/>
      <c r="AS392" s="653"/>
      <c r="AT392" s="653"/>
      <c r="AU392" s="653"/>
      <c r="AV392" s="653"/>
    </row>
    <row r="393" spans="1:48" ht="14.5">
      <c r="A393" s="653"/>
      <c r="B393" s="653"/>
      <c r="C393" s="653"/>
      <c r="D393" s="653"/>
      <c r="E393" s="653"/>
      <c r="F393" s="653"/>
      <c r="G393" s="654"/>
      <c r="H393" s="654"/>
      <c r="I393" s="653"/>
      <c r="J393" s="653"/>
      <c r="K393" s="655"/>
      <c r="L393" s="653"/>
      <c r="M393" s="653"/>
      <c r="N393" s="653"/>
      <c r="O393" s="653"/>
      <c r="P393" s="653"/>
      <c r="Q393" s="653"/>
      <c r="R393" s="653"/>
      <c r="S393" s="653"/>
      <c r="T393" s="653"/>
      <c r="U393" s="656"/>
      <c r="V393" s="653"/>
      <c r="W393" s="653"/>
      <c r="X393" s="653"/>
      <c r="Y393" s="657"/>
      <c r="Z393" s="615"/>
      <c r="AA393" s="653"/>
      <c r="AB393" s="657"/>
      <c r="AC393" s="653"/>
      <c r="AD393" s="653"/>
      <c r="AE393" s="653"/>
      <c r="AF393" s="653"/>
      <c r="AG393" s="653"/>
      <c r="AH393" s="653"/>
      <c r="AI393" s="653"/>
      <c r="AJ393" s="653"/>
      <c r="AK393" s="653"/>
      <c r="AL393" s="653"/>
      <c r="AM393" s="653"/>
      <c r="AN393" s="653"/>
      <c r="AO393" s="653"/>
      <c r="AP393" s="653"/>
      <c r="AQ393" s="653"/>
      <c r="AR393" s="653"/>
      <c r="AS393" s="653"/>
      <c r="AT393" s="653"/>
      <c r="AU393" s="653"/>
      <c r="AV393" s="653"/>
    </row>
    <row r="394" spans="1:48" ht="14.5">
      <c r="A394" s="653"/>
      <c r="B394" s="653"/>
      <c r="C394" s="653"/>
      <c r="D394" s="653"/>
      <c r="E394" s="653"/>
      <c r="F394" s="653"/>
      <c r="G394" s="654"/>
      <c r="H394" s="654"/>
      <c r="I394" s="653"/>
      <c r="J394" s="653"/>
      <c r="K394" s="655"/>
      <c r="L394" s="653"/>
      <c r="M394" s="653"/>
      <c r="N394" s="653"/>
      <c r="O394" s="653"/>
      <c r="P394" s="653"/>
      <c r="Q394" s="653"/>
      <c r="R394" s="653"/>
      <c r="S394" s="653"/>
      <c r="T394" s="653"/>
      <c r="U394" s="656"/>
      <c r="V394" s="653"/>
      <c r="W394" s="653"/>
      <c r="X394" s="653"/>
      <c r="Y394" s="657"/>
      <c r="Z394" s="615"/>
      <c r="AA394" s="653"/>
      <c r="AB394" s="657"/>
      <c r="AC394" s="653"/>
      <c r="AD394" s="653"/>
      <c r="AE394" s="653"/>
      <c r="AF394" s="653"/>
      <c r="AG394" s="653"/>
      <c r="AH394" s="653"/>
      <c r="AI394" s="653"/>
      <c r="AJ394" s="653"/>
      <c r="AK394" s="653"/>
      <c r="AL394" s="653"/>
      <c r="AM394" s="653"/>
      <c r="AN394" s="653"/>
      <c r="AO394" s="653"/>
      <c r="AP394" s="653"/>
      <c r="AQ394" s="653"/>
      <c r="AR394" s="653"/>
      <c r="AS394" s="653"/>
      <c r="AT394" s="653"/>
      <c r="AU394" s="653"/>
      <c r="AV394" s="653"/>
    </row>
    <row r="395" spans="1:48" ht="14.5">
      <c r="A395" s="653"/>
      <c r="B395" s="653"/>
      <c r="C395" s="653"/>
      <c r="D395" s="653"/>
      <c r="E395" s="653"/>
      <c r="F395" s="653"/>
      <c r="G395" s="654"/>
      <c r="H395" s="654"/>
      <c r="I395" s="653"/>
      <c r="J395" s="653"/>
      <c r="K395" s="655"/>
      <c r="L395" s="653"/>
      <c r="M395" s="653"/>
      <c r="N395" s="653"/>
      <c r="O395" s="653"/>
      <c r="P395" s="653"/>
      <c r="Q395" s="653"/>
      <c r="R395" s="653"/>
      <c r="S395" s="653"/>
      <c r="T395" s="653"/>
      <c r="U395" s="656"/>
      <c r="V395" s="653"/>
      <c r="W395" s="653"/>
      <c r="X395" s="653"/>
      <c r="Y395" s="657"/>
      <c r="Z395" s="615"/>
      <c r="AA395" s="653"/>
      <c r="AB395" s="657"/>
      <c r="AC395" s="653"/>
      <c r="AD395" s="653"/>
      <c r="AE395" s="653"/>
      <c r="AF395" s="653"/>
      <c r="AG395" s="653"/>
      <c r="AH395" s="653"/>
      <c r="AI395" s="653"/>
      <c r="AJ395" s="653"/>
      <c r="AK395" s="653"/>
      <c r="AL395" s="653"/>
      <c r="AM395" s="653"/>
      <c r="AN395" s="653"/>
      <c r="AO395" s="653"/>
      <c r="AP395" s="653"/>
      <c r="AQ395" s="653"/>
      <c r="AR395" s="653"/>
      <c r="AS395" s="653"/>
      <c r="AT395" s="653"/>
      <c r="AU395" s="653"/>
      <c r="AV395" s="653"/>
    </row>
    <row r="396" spans="1:48" ht="14.5">
      <c r="A396" s="653"/>
      <c r="B396" s="653"/>
      <c r="C396" s="653"/>
      <c r="D396" s="653"/>
      <c r="E396" s="653"/>
      <c r="F396" s="653"/>
      <c r="G396" s="654"/>
      <c r="H396" s="654"/>
      <c r="I396" s="653"/>
      <c r="J396" s="653"/>
      <c r="K396" s="655"/>
      <c r="L396" s="653"/>
      <c r="M396" s="653"/>
      <c r="N396" s="653"/>
      <c r="O396" s="653"/>
      <c r="P396" s="653"/>
      <c r="Q396" s="653"/>
      <c r="R396" s="653"/>
      <c r="S396" s="653"/>
      <c r="T396" s="653"/>
      <c r="U396" s="656"/>
      <c r="V396" s="653"/>
      <c r="W396" s="653"/>
      <c r="X396" s="653"/>
      <c r="Y396" s="657"/>
      <c r="Z396" s="615"/>
      <c r="AA396" s="653"/>
      <c r="AB396" s="657"/>
      <c r="AC396" s="653"/>
      <c r="AD396" s="653"/>
      <c r="AE396" s="653"/>
      <c r="AF396" s="653"/>
      <c r="AG396" s="653"/>
      <c r="AH396" s="653"/>
      <c r="AI396" s="653"/>
      <c r="AJ396" s="653"/>
      <c r="AK396" s="653"/>
      <c r="AL396" s="653"/>
      <c r="AM396" s="653"/>
      <c r="AN396" s="653"/>
      <c r="AO396" s="653"/>
      <c r="AP396" s="653"/>
      <c r="AQ396" s="653"/>
      <c r="AR396" s="653"/>
      <c r="AS396" s="653"/>
      <c r="AT396" s="653"/>
      <c r="AU396" s="653"/>
      <c r="AV396" s="653"/>
    </row>
    <row r="397" spans="1:48" ht="14.5">
      <c r="A397" s="653"/>
      <c r="B397" s="653"/>
      <c r="C397" s="653"/>
      <c r="D397" s="653"/>
      <c r="E397" s="653"/>
      <c r="F397" s="653"/>
      <c r="G397" s="654"/>
      <c r="H397" s="654"/>
      <c r="I397" s="653"/>
      <c r="J397" s="653"/>
      <c r="K397" s="655"/>
      <c r="L397" s="653"/>
      <c r="M397" s="653"/>
      <c r="N397" s="653"/>
      <c r="O397" s="653"/>
      <c r="P397" s="653"/>
      <c r="Q397" s="653"/>
      <c r="R397" s="653"/>
      <c r="S397" s="653"/>
      <c r="T397" s="653"/>
      <c r="U397" s="656"/>
      <c r="V397" s="653"/>
      <c r="W397" s="653"/>
      <c r="X397" s="653"/>
      <c r="Y397" s="657"/>
      <c r="Z397" s="615"/>
      <c r="AA397" s="653"/>
      <c r="AB397" s="657"/>
      <c r="AC397" s="653"/>
      <c r="AD397" s="653"/>
      <c r="AE397" s="653"/>
      <c r="AF397" s="653"/>
      <c r="AG397" s="653"/>
      <c r="AH397" s="653"/>
      <c r="AI397" s="653"/>
      <c r="AJ397" s="653"/>
      <c r="AK397" s="653"/>
      <c r="AL397" s="653"/>
      <c r="AM397" s="653"/>
      <c r="AN397" s="653"/>
      <c r="AO397" s="653"/>
      <c r="AP397" s="653"/>
      <c r="AQ397" s="653"/>
      <c r="AR397" s="653"/>
      <c r="AS397" s="653"/>
      <c r="AT397" s="653"/>
      <c r="AU397" s="653"/>
      <c r="AV397" s="653"/>
    </row>
    <row r="398" spans="1:48" ht="14.5">
      <c r="A398" s="653"/>
      <c r="B398" s="653"/>
      <c r="C398" s="653"/>
      <c r="D398" s="653"/>
      <c r="E398" s="653"/>
      <c r="F398" s="653"/>
      <c r="G398" s="654"/>
      <c r="H398" s="654"/>
      <c r="I398" s="653"/>
      <c r="J398" s="653"/>
      <c r="K398" s="655"/>
      <c r="L398" s="653"/>
      <c r="M398" s="653"/>
      <c r="N398" s="653"/>
      <c r="O398" s="653"/>
      <c r="P398" s="653"/>
      <c r="Q398" s="653"/>
      <c r="R398" s="653"/>
      <c r="S398" s="653"/>
      <c r="T398" s="653"/>
      <c r="U398" s="656"/>
      <c r="V398" s="653"/>
      <c r="W398" s="653"/>
      <c r="X398" s="653"/>
      <c r="Y398" s="657"/>
      <c r="Z398" s="615"/>
      <c r="AA398" s="653"/>
      <c r="AB398" s="657"/>
      <c r="AC398" s="653"/>
      <c r="AD398" s="653"/>
      <c r="AE398" s="653"/>
      <c r="AF398" s="653"/>
      <c r="AG398" s="653"/>
      <c r="AH398" s="653"/>
      <c r="AI398" s="653"/>
      <c r="AJ398" s="653"/>
      <c r="AK398" s="653"/>
      <c r="AL398" s="653"/>
      <c r="AM398" s="653"/>
      <c r="AN398" s="653"/>
      <c r="AO398" s="653"/>
      <c r="AP398" s="653"/>
      <c r="AQ398" s="653"/>
      <c r="AR398" s="653"/>
      <c r="AS398" s="653"/>
      <c r="AT398" s="653"/>
      <c r="AU398" s="653"/>
      <c r="AV398" s="653"/>
    </row>
    <row r="399" spans="1:48" ht="14.5">
      <c r="A399" s="653"/>
      <c r="B399" s="653"/>
      <c r="C399" s="653"/>
      <c r="D399" s="653"/>
      <c r="E399" s="653"/>
      <c r="F399" s="653"/>
      <c r="G399" s="654"/>
      <c r="H399" s="654"/>
      <c r="I399" s="653"/>
      <c r="J399" s="653"/>
      <c r="K399" s="655"/>
      <c r="L399" s="653"/>
      <c r="M399" s="653"/>
      <c r="N399" s="653"/>
      <c r="O399" s="653"/>
      <c r="P399" s="653"/>
      <c r="Q399" s="653"/>
      <c r="R399" s="653"/>
      <c r="S399" s="653"/>
      <c r="T399" s="653"/>
      <c r="U399" s="656"/>
      <c r="V399" s="653"/>
      <c r="W399" s="653"/>
      <c r="X399" s="653"/>
      <c r="Y399" s="657"/>
      <c r="Z399" s="615"/>
      <c r="AA399" s="653"/>
      <c r="AB399" s="657"/>
      <c r="AC399" s="653"/>
      <c r="AD399" s="653"/>
      <c r="AE399" s="653"/>
      <c r="AF399" s="653"/>
      <c r="AG399" s="653"/>
      <c r="AH399" s="653"/>
      <c r="AI399" s="653"/>
      <c r="AJ399" s="653"/>
      <c r="AK399" s="653"/>
      <c r="AL399" s="653"/>
      <c r="AM399" s="653"/>
      <c r="AN399" s="653"/>
      <c r="AO399" s="653"/>
      <c r="AP399" s="653"/>
      <c r="AQ399" s="653"/>
      <c r="AR399" s="653"/>
      <c r="AS399" s="653"/>
      <c r="AT399" s="653"/>
      <c r="AU399" s="653"/>
      <c r="AV399" s="653"/>
    </row>
    <row r="400" spans="1:48" ht="14.5">
      <c r="A400" s="653"/>
      <c r="B400" s="653"/>
      <c r="C400" s="653"/>
      <c r="D400" s="653"/>
      <c r="E400" s="653"/>
      <c r="F400" s="653"/>
      <c r="G400" s="654"/>
      <c r="H400" s="654"/>
      <c r="I400" s="653"/>
      <c r="J400" s="653"/>
      <c r="K400" s="655"/>
      <c r="L400" s="653"/>
      <c r="M400" s="653"/>
      <c r="N400" s="653"/>
      <c r="O400" s="653"/>
      <c r="P400" s="653"/>
      <c r="Q400" s="653"/>
      <c r="R400" s="653"/>
      <c r="S400" s="653"/>
      <c r="T400" s="653"/>
      <c r="U400" s="656"/>
      <c r="V400" s="653"/>
      <c r="W400" s="653"/>
      <c r="X400" s="653"/>
      <c r="Y400" s="657"/>
      <c r="Z400" s="615"/>
      <c r="AA400" s="653"/>
      <c r="AB400" s="657"/>
      <c r="AC400" s="653"/>
      <c r="AD400" s="653"/>
      <c r="AE400" s="653"/>
      <c r="AF400" s="653"/>
      <c r="AG400" s="653"/>
      <c r="AH400" s="653"/>
      <c r="AI400" s="653"/>
      <c r="AJ400" s="653"/>
      <c r="AK400" s="653"/>
      <c r="AL400" s="653"/>
      <c r="AM400" s="653"/>
      <c r="AN400" s="653"/>
      <c r="AO400" s="653"/>
      <c r="AP400" s="653"/>
      <c r="AQ400" s="653"/>
      <c r="AR400" s="653"/>
      <c r="AS400" s="653"/>
      <c r="AT400" s="653"/>
      <c r="AU400" s="653"/>
      <c r="AV400" s="653"/>
    </row>
    <row r="401" spans="1:48" ht="14.5">
      <c r="A401" s="653"/>
      <c r="B401" s="653"/>
      <c r="C401" s="653"/>
      <c r="D401" s="653"/>
      <c r="E401" s="653"/>
      <c r="F401" s="653"/>
      <c r="G401" s="654"/>
      <c r="H401" s="654"/>
      <c r="I401" s="653"/>
      <c r="J401" s="653"/>
      <c r="K401" s="655"/>
      <c r="L401" s="653"/>
      <c r="M401" s="653"/>
      <c r="N401" s="653"/>
      <c r="O401" s="653"/>
      <c r="P401" s="653"/>
      <c r="Q401" s="653"/>
      <c r="R401" s="653"/>
      <c r="S401" s="653"/>
      <c r="T401" s="653"/>
      <c r="U401" s="656"/>
      <c r="V401" s="653"/>
      <c r="W401" s="653"/>
      <c r="X401" s="653"/>
      <c r="Y401" s="657"/>
      <c r="Z401" s="615"/>
      <c r="AA401" s="653"/>
      <c r="AB401" s="657"/>
      <c r="AC401" s="653"/>
      <c r="AD401" s="653"/>
      <c r="AE401" s="653"/>
      <c r="AF401" s="653"/>
      <c r="AG401" s="653"/>
      <c r="AH401" s="653"/>
      <c r="AI401" s="653"/>
      <c r="AJ401" s="653"/>
      <c r="AK401" s="653"/>
      <c r="AL401" s="653"/>
      <c r="AM401" s="653"/>
      <c r="AN401" s="653"/>
      <c r="AO401" s="653"/>
      <c r="AP401" s="653"/>
      <c r="AQ401" s="653"/>
      <c r="AR401" s="653"/>
      <c r="AS401" s="653"/>
      <c r="AT401" s="653"/>
      <c r="AU401" s="653"/>
      <c r="AV401" s="653"/>
    </row>
    <row r="402" spans="1:48" ht="14.5">
      <c r="A402" s="653"/>
      <c r="B402" s="653"/>
      <c r="C402" s="653"/>
      <c r="D402" s="653"/>
      <c r="E402" s="653"/>
      <c r="F402" s="653"/>
      <c r="G402" s="654"/>
      <c r="H402" s="654"/>
      <c r="I402" s="653"/>
      <c r="J402" s="653"/>
      <c r="K402" s="655"/>
      <c r="L402" s="653"/>
      <c r="M402" s="653"/>
      <c r="N402" s="653"/>
      <c r="O402" s="653"/>
      <c r="P402" s="653"/>
      <c r="Q402" s="653"/>
      <c r="R402" s="653"/>
      <c r="S402" s="653"/>
      <c r="T402" s="653"/>
      <c r="U402" s="656"/>
      <c r="V402" s="653"/>
      <c r="W402" s="653"/>
      <c r="X402" s="653"/>
      <c r="Y402" s="657"/>
      <c r="Z402" s="615"/>
      <c r="AA402" s="653"/>
      <c r="AB402" s="657"/>
      <c r="AC402" s="653"/>
      <c r="AD402" s="653"/>
      <c r="AE402" s="653"/>
      <c r="AF402" s="653"/>
      <c r="AG402" s="653"/>
      <c r="AH402" s="653"/>
      <c r="AI402" s="653"/>
      <c r="AJ402" s="653"/>
      <c r="AK402" s="653"/>
      <c r="AL402" s="653"/>
      <c r="AM402" s="653"/>
      <c r="AN402" s="653"/>
      <c r="AO402" s="653"/>
      <c r="AP402" s="653"/>
      <c r="AQ402" s="653"/>
      <c r="AR402" s="653"/>
      <c r="AS402" s="653"/>
      <c r="AT402" s="653"/>
      <c r="AU402" s="653"/>
      <c r="AV402" s="653"/>
    </row>
    <row r="403" spans="1:48" ht="14.5">
      <c r="A403" s="653"/>
      <c r="B403" s="653"/>
      <c r="C403" s="653"/>
      <c r="D403" s="653"/>
      <c r="E403" s="653"/>
      <c r="F403" s="653"/>
      <c r="G403" s="654"/>
      <c r="H403" s="654"/>
      <c r="I403" s="653"/>
      <c r="J403" s="653"/>
      <c r="K403" s="655"/>
      <c r="L403" s="653"/>
      <c r="M403" s="653"/>
      <c r="N403" s="653"/>
      <c r="O403" s="653"/>
      <c r="P403" s="653"/>
      <c r="Q403" s="653"/>
      <c r="R403" s="653"/>
      <c r="S403" s="653"/>
      <c r="T403" s="653"/>
      <c r="U403" s="656"/>
      <c r="V403" s="653"/>
      <c r="W403" s="653"/>
      <c r="X403" s="653"/>
      <c r="Y403" s="657"/>
      <c r="Z403" s="615"/>
      <c r="AA403" s="653"/>
      <c r="AB403" s="657"/>
      <c r="AC403" s="653"/>
      <c r="AD403" s="653"/>
      <c r="AE403" s="653"/>
      <c r="AF403" s="653"/>
      <c r="AG403" s="653"/>
      <c r="AH403" s="653"/>
      <c r="AI403" s="653"/>
      <c r="AJ403" s="653"/>
      <c r="AK403" s="653"/>
      <c r="AL403" s="653"/>
      <c r="AM403" s="653"/>
      <c r="AN403" s="653"/>
      <c r="AO403" s="653"/>
      <c r="AP403" s="653"/>
      <c r="AQ403" s="653"/>
      <c r="AR403" s="653"/>
      <c r="AS403" s="653"/>
      <c r="AT403" s="653"/>
      <c r="AU403" s="653"/>
      <c r="AV403" s="653"/>
    </row>
    <row r="404" spans="1:48" ht="14.5">
      <c r="A404" s="653"/>
      <c r="B404" s="653"/>
      <c r="C404" s="653"/>
      <c r="D404" s="653"/>
      <c r="E404" s="653"/>
      <c r="F404" s="653"/>
      <c r="G404" s="654"/>
      <c r="H404" s="654"/>
      <c r="I404" s="653"/>
      <c r="J404" s="653"/>
      <c r="K404" s="655"/>
      <c r="L404" s="653"/>
      <c r="M404" s="653"/>
      <c r="N404" s="653"/>
      <c r="O404" s="653"/>
      <c r="P404" s="653"/>
      <c r="Q404" s="653"/>
      <c r="R404" s="653"/>
      <c r="S404" s="653"/>
      <c r="T404" s="653"/>
      <c r="U404" s="656"/>
      <c r="V404" s="653"/>
      <c r="W404" s="653"/>
      <c r="X404" s="653"/>
      <c r="Y404" s="657"/>
      <c r="Z404" s="615"/>
      <c r="AA404" s="653"/>
      <c r="AB404" s="657"/>
      <c r="AC404" s="653"/>
      <c r="AD404" s="653"/>
      <c r="AE404" s="653"/>
      <c r="AF404" s="653"/>
      <c r="AG404" s="653"/>
      <c r="AH404" s="653"/>
      <c r="AI404" s="653"/>
      <c r="AJ404" s="653"/>
      <c r="AK404" s="653"/>
      <c r="AL404" s="653"/>
      <c r="AM404" s="653"/>
      <c r="AN404" s="653"/>
      <c r="AO404" s="653"/>
      <c r="AP404" s="653"/>
      <c r="AQ404" s="653"/>
      <c r="AR404" s="653"/>
      <c r="AS404" s="653"/>
      <c r="AT404" s="653"/>
      <c r="AU404" s="653"/>
      <c r="AV404" s="653"/>
    </row>
    <row r="405" spans="1:48" ht="14.5">
      <c r="A405" s="653"/>
      <c r="B405" s="653"/>
      <c r="C405" s="653"/>
      <c r="D405" s="653"/>
      <c r="E405" s="653"/>
      <c r="F405" s="653"/>
      <c r="G405" s="654"/>
      <c r="H405" s="654"/>
      <c r="I405" s="653"/>
      <c r="J405" s="653"/>
      <c r="K405" s="655"/>
      <c r="L405" s="653"/>
      <c r="M405" s="653"/>
      <c r="N405" s="653"/>
      <c r="O405" s="653"/>
      <c r="P405" s="653"/>
      <c r="Q405" s="653"/>
      <c r="R405" s="653"/>
      <c r="S405" s="653"/>
      <c r="T405" s="653"/>
      <c r="U405" s="656"/>
      <c r="V405" s="653"/>
      <c r="W405" s="653"/>
      <c r="X405" s="653"/>
      <c r="Y405" s="657"/>
      <c r="Z405" s="615"/>
      <c r="AA405" s="653"/>
      <c r="AB405" s="657"/>
      <c r="AC405" s="653"/>
      <c r="AD405" s="653"/>
      <c r="AE405" s="653"/>
      <c r="AF405" s="653"/>
      <c r="AG405" s="653"/>
      <c r="AH405" s="653"/>
      <c r="AI405" s="653"/>
      <c r="AJ405" s="653"/>
      <c r="AK405" s="653"/>
      <c r="AL405" s="653"/>
      <c r="AM405" s="653"/>
      <c r="AN405" s="653"/>
      <c r="AO405" s="653"/>
      <c r="AP405" s="653"/>
      <c r="AQ405" s="653"/>
      <c r="AR405" s="653"/>
      <c r="AS405" s="653"/>
      <c r="AT405" s="653"/>
      <c r="AU405" s="653"/>
      <c r="AV405" s="653"/>
    </row>
    <row r="406" spans="1:48" ht="14.5">
      <c r="A406" s="653"/>
      <c r="B406" s="653"/>
      <c r="C406" s="653"/>
      <c r="D406" s="653"/>
      <c r="E406" s="653"/>
      <c r="F406" s="653"/>
      <c r="G406" s="654"/>
      <c r="H406" s="654"/>
      <c r="I406" s="653"/>
      <c r="J406" s="653"/>
      <c r="K406" s="655"/>
      <c r="L406" s="653"/>
      <c r="M406" s="653"/>
      <c r="N406" s="653"/>
      <c r="O406" s="653"/>
      <c r="P406" s="653"/>
      <c r="Q406" s="653"/>
      <c r="R406" s="653"/>
      <c r="S406" s="653"/>
      <c r="T406" s="653"/>
      <c r="U406" s="656"/>
      <c r="V406" s="653"/>
      <c r="W406" s="653"/>
      <c r="X406" s="653"/>
      <c r="Y406" s="657"/>
      <c r="Z406" s="615"/>
      <c r="AA406" s="653"/>
      <c r="AB406" s="657"/>
      <c r="AC406" s="653"/>
      <c r="AD406" s="653"/>
      <c r="AE406" s="653"/>
      <c r="AF406" s="653"/>
      <c r="AG406" s="653"/>
      <c r="AH406" s="653"/>
      <c r="AI406" s="653"/>
      <c r="AJ406" s="653"/>
      <c r="AK406" s="653"/>
      <c r="AL406" s="653"/>
      <c r="AM406" s="653"/>
      <c r="AN406" s="653"/>
      <c r="AO406" s="653"/>
      <c r="AP406" s="653"/>
      <c r="AQ406" s="653"/>
      <c r="AR406" s="653"/>
      <c r="AS406" s="653"/>
      <c r="AT406" s="653"/>
      <c r="AU406" s="653"/>
      <c r="AV406" s="653"/>
    </row>
    <row r="407" spans="1:48" ht="14.5">
      <c r="A407" s="653"/>
      <c r="B407" s="653"/>
      <c r="C407" s="653"/>
      <c r="D407" s="653"/>
      <c r="E407" s="653"/>
      <c r="F407" s="653"/>
      <c r="G407" s="654"/>
      <c r="H407" s="654"/>
      <c r="I407" s="653"/>
      <c r="J407" s="653"/>
      <c r="K407" s="655"/>
      <c r="L407" s="653"/>
      <c r="M407" s="653"/>
      <c r="N407" s="653"/>
      <c r="O407" s="653"/>
      <c r="P407" s="653"/>
      <c r="Q407" s="653"/>
      <c r="R407" s="653"/>
      <c r="S407" s="653"/>
      <c r="T407" s="653"/>
      <c r="U407" s="656"/>
      <c r="V407" s="653"/>
      <c r="W407" s="653"/>
      <c r="X407" s="653"/>
      <c r="Y407" s="657"/>
      <c r="Z407" s="615"/>
      <c r="AA407" s="653"/>
      <c r="AB407" s="657"/>
      <c r="AC407" s="653"/>
      <c r="AD407" s="653"/>
      <c r="AE407" s="653"/>
      <c r="AF407" s="653"/>
      <c r="AG407" s="653"/>
      <c r="AH407" s="653"/>
      <c r="AI407" s="653"/>
      <c r="AJ407" s="653"/>
      <c r="AK407" s="653"/>
      <c r="AL407" s="653"/>
      <c r="AM407" s="653"/>
      <c r="AN407" s="653"/>
      <c r="AO407" s="653"/>
      <c r="AP407" s="653"/>
      <c r="AQ407" s="653"/>
      <c r="AR407" s="653"/>
      <c r="AS407" s="653"/>
      <c r="AT407" s="653"/>
      <c r="AU407" s="653"/>
      <c r="AV407" s="653"/>
    </row>
    <row r="408" spans="1:48" ht="14.5">
      <c r="A408" s="653"/>
      <c r="B408" s="653"/>
      <c r="C408" s="653"/>
      <c r="D408" s="653"/>
      <c r="E408" s="653"/>
      <c r="F408" s="653"/>
      <c r="G408" s="654"/>
      <c r="H408" s="654"/>
      <c r="I408" s="653"/>
      <c r="J408" s="653"/>
      <c r="K408" s="655"/>
      <c r="L408" s="653"/>
      <c r="M408" s="653"/>
      <c r="N408" s="653"/>
      <c r="O408" s="653"/>
      <c r="P408" s="653"/>
      <c r="Q408" s="653"/>
      <c r="R408" s="653"/>
      <c r="S408" s="653"/>
      <c r="T408" s="653"/>
      <c r="U408" s="656"/>
      <c r="V408" s="653"/>
      <c r="W408" s="653"/>
      <c r="X408" s="653"/>
      <c r="Y408" s="657"/>
      <c r="Z408" s="615"/>
      <c r="AA408" s="653"/>
      <c r="AB408" s="657"/>
      <c r="AC408" s="653"/>
      <c r="AD408" s="653"/>
      <c r="AE408" s="653"/>
      <c r="AF408" s="653"/>
      <c r="AG408" s="653"/>
      <c r="AH408" s="653"/>
      <c r="AI408" s="653"/>
      <c r="AJ408" s="653"/>
      <c r="AK408" s="653"/>
      <c r="AL408" s="653"/>
      <c r="AM408" s="653"/>
      <c r="AN408" s="653"/>
      <c r="AO408" s="653"/>
      <c r="AP408" s="653"/>
      <c r="AQ408" s="653"/>
      <c r="AR408" s="653"/>
      <c r="AS408" s="653"/>
      <c r="AT408" s="653"/>
      <c r="AU408" s="653"/>
      <c r="AV408" s="653"/>
    </row>
    <row r="409" spans="1:48" ht="14.5">
      <c r="A409" s="653"/>
      <c r="B409" s="653"/>
      <c r="C409" s="653"/>
      <c r="D409" s="653"/>
      <c r="E409" s="653"/>
      <c r="F409" s="653"/>
      <c r="G409" s="654"/>
      <c r="H409" s="654"/>
      <c r="I409" s="653"/>
      <c r="J409" s="653"/>
      <c r="K409" s="655"/>
      <c r="L409" s="653"/>
      <c r="M409" s="653"/>
      <c r="N409" s="653"/>
      <c r="O409" s="653"/>
      <c r="P409" s="653"/>
      <c r="Q409" s="653"/>
      <c r="R409" s="653"/>
      <c r="S409" s="653"/>
      <c r="T409" s="653"/>
      <c r="U409" s="656"/>
      <c r="V409" s="653"/>
      <c r="W409" s="653"/>
      <c r="X409" s="653"/>
      <c r="Y409" s="657"/>
      <c r="Z409" s="615"/>
      <c r="AA409" s="653"/>
      <c r="AB409" s="657"/>
      <c r="AC409" s="653"/>
      <c r="AD409" s="653"/>
      <c r="AE409" s="653"/>
      <c r="AF409" s="653"/>
      <c r="AG409" s="653"/>
      <c r="AH409" s="653"/>
      <c r="AI409" s="653"/>
      <c r="AJ409" s="653"/>
      <c r="AK409" s="653"/>
      <c r="AL409" s="653"/>
      <c r="AM409" s="653"/>
      <c r="AN409" s="653"/>
      <c r="AO409" s="653"/>
      <c r="AP409" s="653"/>
      <c r="AQ409" s="653"/>
      <c r="AR409" s="653"/>
      <c r="AS409" s="653"/>
      <c r="AT409" s="653"/>
      <c r="AU409" s="653"/>
      <c r="AV409" s="653"/>
    </row>
    <row r="410" spans="1:48" ht="14.5">
      <c r="A410" s="653"/>
      <c r="B410" s="653"/>
      <c r="C410" s="653"/>
      <c r="D410" s="653"/>
      <c r="E410" s="653"/>
      <c r="F410" s="653"/>
      <c r="G410" s="654"/>
      <c r="H410" s="654"/>
      <c r="I410" s="653"/>
      <c r="J410" s="653"/>
      <c r="K410" s="655"/>
      <c r="L410" s="653"/>
      <c r="M410" s="653"/>
      <c r="N410" s="653"/>
      <c r="O410" s="653"/>
      <c r="P410" s="653"/>
      <c r="Q410" s="653"/>
      <c r="R410" s="653"/>
      <c r="S410" s="653"/>
      <c r="T410" s="653"/>
      <c r="U410" s="656"/>
      <c r="V410" s="653"/>
      <c r="W410" s="653"/>
      <c r="X410" s="653"/>
      <c r="Y410" s="657"/>
      <c r="Z410" s="615"/>
      <c r="AA410" s="653"/>
      <c r="AB410" s="657"/>
      <c r="AC410" s="653"/>
      <c r="AD410" s="653"/>
      <c r="AE410" s="653"/>
      <c r="AF410" s="653"/>
      <c r="AG410" s="653"/>
      <c r="AH410" s="653"/>
      <c r="AI410" s="653"/>
      <c r="AJ410" s="653"/>
      <c r="AK410" s="653"/>
      <c r="AL410" s="653"/>
      <c r="AM410" s="653"/>
      <c r="AN410" s="653"/>
      <c r="AO410" s="653"/>
      <c r="AP410" s="653"/>
      <c r="AQ410" s="653"/>
      <c r="AR410" s="653"/>
      <c r="AS410" s="653"/>
      <c r="AT410" s="653"/>
      <c r="AU410" s="653"/>
      <c r="AV410" s="653"/>
    </row>
    <row r="411" spans="1:48" ht="14.5">
      <c r="A411" s="653"/>
      <c r="B411" s="653"/>
      <c r="C411" s="653"/>
      <c r="D411" s="653"/>
      <c r="E411" s="653"/>
      <c r="F411" s="653"/>
      <c r="G411" s="654"/>
      <c r="H411" s="654"/>
      <c r="I411" s="653"/>
      <c r="J411" s="653"/>
      <c r="K411" s="655"/>
      <c r="L411" s="653"/>
      <c r="M411" s="653"/>
      <c r="N411" s="653"/>
      <c r="O411" s="653"/>
      <c r="P411" s="653"/>
      <c r="Q411" s="653"/>
      <c r="R411" s="653"/>
      <c r="S411" s="653"/>
      <c r="T411" s="653"/>
      <c r="U411" s="656"/>
      <c r="V411" s="653"/>
      <c r="W411" s="653"/>
      <c r="X411" s="653"/>
      <c r="Y411" s="657"/>
      <c r="Z411" s="615"/>
      <c r="AA411" s="653"/>
      <c r="AB411" s="657"/>
      <c r="AC411" s="653"/>
      <c r="AD411" s="653"/>
      <c r="AE411" s="653"/>
      <c r="AF411" s="653"/>
      <c r="AG411" s="653"/>
      <c r="AH411" s="653"/>
      <c r="AI411" s="653"/>
      <c r="AJ411" s="653"/>
      <c r="AK411" s="653"/>
      <c r="AL411" s="653"/>
      <c r="AM411" s="653"/>
      <c r="AN411" s="653"/>
      <c r="AO411" s="653"/>
      <c r="AP411" s="653"/>
      <c r="AQ411" s="653"/>
      <c r="AR411" s="653"/>
      <c r="AS411" s="653"/>
      <c r="AT411" s="653"/>
      <c r="AU411" s="653"/>
      <c r="AV411" s="653"/>
    </row>
    <row r="412" spans="1:48" ht="14.5">
      <c r="A412" s="653"/>
      <c r="B412" s="653"/>
      <c r="C412" s="653"/>
      <c r="D412" s="653"/>
      <c r="E412" s="653"/>
      <c r="F412" s="653"/>
      <c r="G412" s="654"/>
      <c r="H412" s="654"/>
      <c r="I412" s="653"/>
      <c r="J412" s="653"/>
      <c r="K412" s="655"/>
      <c r="L412" s="653"/>
      <c r="M412" s="653"/>
      <c r="N412" s="653"/>
      <c r="O412" s="653"/>
      <c r="P412" s="653"/>
      <c r="Q412" s="653"/>
      <c r="R412" s="653"/>
      <c r="S412" s="653"/>
      <c r="T412" s="653"/>
      <c r="U412" s="656"/>
      <c r="V412" s="653"/>
      <c r="W412" s="653"/>
      <c r="X412" s="653"/>
      <c r="Y412" s="657"/>
      <c r="Z412" s="615"/>
      <c r="AA412" s="653"/>
      <c r="AB412" s="657"/>
      <c r="AC412" s="653"/>
      <c r="AD412" s="653"/>
      <c r="AE412" s="653"/>
      <c r="AF412" s="653"/>
      <c r="AG412" s="653"/>
      <c r="AH412" s="653"/>
      <c r="AI412" s="653"/>
      <c r="AJ412" s="653"/>
      <c r="AK412" s="653"/>
      <c r="AL412" s="653"/>
      <c r="AM412" s="653"/>
      <c r="AN412" s="653"/>
      <c r="AO412" s="653"/>
      <c r="AP412" s="653"/>
      <c r="AQ412" s="653"/>
      <c r="AR412" s="653"/>
      <c r="AS412" s="653"/>
      <c r="AT412" s="653"/>
      <c r="AU412" s="653"/>
      <c r="AV412" s="653"/>
    </row>
    <row r="413" spans="1:48" ht="14.5">
      <c r="A413" s="653"/>
      <c r="B413" s="653"/>
      <c r="C413" s="653"/>
      <c r="D413" s="653"/>
      <c r="E413" s="653"/>
      <c r="F413" s="653"/>
      <c r="G413" s="654"/>
      <c r="H413" s="654"/>
      <c r="I413" s="653"/>
      <c r="J413" s="653"/>
      <c r="K413" s="655"/>
      <c r="L413" s="653"/>
      <c r="M413" s="653"/>
      <c r="N413" s="653"/>
      <c r="O413" s="653"/>
      <c r="P413" s="653"/>
      <c r="Q413" s="653"/>
      <c r="R413" s="653"/>
      <c r="S413" s="653"/>
      <c r="T413" s="653"/>
      <c r="U413" s="656"/>
      <c r="V413" s="653"/>
      <c r="W413" s="653"/>
      <c r="X413" s="653"/>
      <c r="Y413" s="657"/>
      <c r="Z413" s="615"/>
      <c r="AA413" s="653"/>
      <c r="AB413" s="657"/>
      <c r="AC413" s="653"/>
      <c r="AD413" s="653"/>
      <c r="AE413" s="653"/>
      <c r="AF413" s="653"/>
      <c r="AG413" s="653"/>
      <c r="AH413" s="653"/>
      <c r="AI413" s="653"/>
      <c r="AJ413" s="653"/>
      <c r="AK413" s="653"/>
      <c r="AL413" s="653"/>
      <c r="AM413" s="653"/>
      <c r="AN413" s="653"/>
      <c r="AO413" s="653"/>
      <c r="AP413" s="653"/>
      <c r="AQ413" s="653"/>
      <c r="AR413" s="653"/>
      <c r="AS413" s="653"/>
      <c r="AT413" s="653"/>
      <c r="AU413" s="653"/>
      <c r="AV413" s="653"/>
    </row>
    <row r="414" spans="1:48" ht="14.5">
      <c r="A414" s="653"/>
      <c r="B414" s="653"/>
      <c r="C414" s="653"/>
      <c r="D414" s="653"/>
      <c r="E414" s="653"/>
      <c r="F414" s="653"/>
      <c r="G414" s="654"/>
      <c r="H414" s="654"/>
      <c r="I414" s="653"/>
      <c r="J414" s="653"/>
      <c r="K414" s="655"/>
      <c r="L414" s="653"/>
      <c r="M414" s="653"/>
      <c r="N414" s="653"/>
      <c r="O414" s="653"/>
      <c r="P414" s="653"/>
      <c r="Q414" s="653"/>
      <c r="R414" s="653"/>
      <c r="S414" s="653"/>
      <c r="T414" s="653"/>
      <c r="U414" s="656"/>
      <c r="V414" s="653"/>
      <c r="W414" s="653"/>
      <c r="X414" s="653"/>
      <c r="Y414" s="657"/>
      <c r="Z414" s="615"/>
      <c r="AA414" s="653"/>
      <c r="AB414" s="657"/>
      <c r="AC414" s="653"/>
      <c r="AD414" s="653"/>
      <c r="AE414" s="653"/>
      <c r="AF414" s="653"/>
      <c r="AG414" s="653"/>
      <c r="AH414" s="653"/>
      <c r="AI414" s="653"/>
      <c r="AJ414" s="653"/>
      <c r="AK414" s="653"/>
      <c r="AL414" s="653"/>
      <c r="AM414" s="653"/>
      <c r="AN414" s="653"/>
      <c r="AO414" s="653"/>
      <c r="AP414" s="653"/>
      <c r="AQ414" s="653"/>
      <c r="AR414" s="653"/>
      <c r="AS414" s="653"/>
      <c r="AT414" s="653"/>
      <c r="AU414" s="653"/>
      <c r="AV414" s="653"/>
    </row>
    <row r="415" spans="1:48" ht="14.5">
      <c r="A415" s="653"/>
      <c r="B415" s="653"/>
      <c r="C415" s="653"/>
      <c r="D415" s="653"/>
      <c r="E415" s="653"/>
      <c r="F415" s="653"/>
      <c r="G415" s="654"/>
      <c r="H415" s="654"/>
      <c r="I415" s="653"/>
      <c r="J415" s="653"/>
      <c r="K415" s="655"/>
      <c r="L415" s="653"/>
      <c r="M415" s="653"/>
      <c r="N415" s="653"/>
      <c r="O415" s="653"/>
      <c r="P415" s="653"/>
      <c r="Q415" s="653"/>
      <c r="R415" s="653"/>
      <c r="S415" s="653"/>
      <c r="T415" s="653"/>
      <c r="U415" s="656"/>
      <c r="V415" s="653"/>
      <c r="W415" s="653"/>
      <c r="X415" s="653"/>
      <c r="Y415" s="657"/>
      <c r="Z415" s="615"/>
      <c r="AA415" s="653"/>
      <c r="AB415" s="657"/>
      <c r="AC415" s="653"/>
      <c r="AD415" s="653"/>
      <c r="AE415" s="653"/>
      <c r="AF415" s="653"/>
      <c r="AG415" s="653"/>
      <c r="AH415" s="653"/>
      <c r="AI415" s="653"/>
      <c r="AJ415" s="653"/>
      <c r="AK415" s="653"/>
      <c r="AL415" s="653"/>
      <c r="AM415" s="653"/>
      <c r="AN415" s="653"/>
      <c r="AO415" s="653"/>
      <c r="AP415" s="653"/>
      <c r="AQ415" s="653"/>
      <c r="AR415" s="653"/>
      <c r="AS415" s="653"/>
      <c r="AT415" s="653"/>
      <c r="AU415" s="653"/>
      <c r="AV415" s="653"/>
    </row>
    <row r="416" spans="1:48" ht="14.5">
      <c r="A416" s="653"/>
      <c r="B416" s="653"/>
      <c r="C416" s="653"/>
      <c r="D416" s="653"/>
      <c r="E416" s="653"/>
      <c r="F416" s="653"/>
      <c r="G416" s="654"/>
      <c r="H416" s="654"/>
      <c r="I416" s="653"/>
      <c r="J416" s="653"/>
      <c r="K416" s="655"/>
      <c r="L416" s="653"/>
      <c r="M416" s="653"/>
      <c r="N416" s="653"/>
      <c r="O416" s="653"/>
      <c r="P416" s="653"/>
      <c r="Q416" s="653"/>
      <c r="R416" s="653"/>
      <c r="S416" s="653"/>
      <c r="T416" s="653"/>
      <c r="U416" s="656"/>
      <c r="V416" s="653"/>
      <c r="W416" s="653"/>
      <c r="X416" s="653"/>
      <c r="Y416" s="657"/>
      <c r="Z416" s="615"/>
      <c r="AA416" s="653"/>
      <c r="AB416" s="657"/>
      <c r="AC416" s="653"/>
      <c r="AD416" s="653"/>
      <c r="AE416" s="653"/>
      <c r="AF416" s="653"/>
      <c r="AG416" s="653"/>
      <c r="AH416" s="653"/>
      <c r="AI416" s="653"/>
      <c r="AJ416" s="653"/>
      <c r="AK416" s="653"/>
      <c r="AL416" s="653"/>
      <c r="AM416" s="653"/>
      <c r="AN416" s="653"/>
      <c r="AO416" s="653"/>
      <c r="AP416" s="653"/>
      <c r="AQ416" s="653"/>
      <c r="AR416" s="653"/>
      <c r="AS416" s="653"/>
      <c r="AT416" s="653"/>
      <c r="AU416" s="653"/>
      <c r="AV416" s="653"/>
    </row>
    <row r="417" spans="1:48" ht="14.5">
      <c r="A417" s="653"/>
      <c r="B417" s="653"/>
      <c r="C417" s="653"/>
      <c r="D417" s="653"/>
      <c r="E417" s="653"/>
      <c r="F417" s="653"/>
      <c r="G417" s="654"/>
      <c r="H417" s="654"/>
      <c r="I417" s="653"/>
      <c r="J417" s="653"/>
      <c r="K417" s="655"/>
      <c r="L417" s="653"/>
      <c r="M417" s="653"/>
      <c r="N417" s="653"/>
      <c r="O417" s="653"/>
      <c r="P417" s="653"/>
      <c r="Q417" s="653"/>
      <c r="R417" s="653"/>
      <c r="S417" s="653"/>
      <c r="T417" s="653"/>
      <c r="U417" s="656"/>
      <c r="V417" s="653"/>
      <c r="W417" s="653"/>
      <c r="X417" s="653"/>
      <c r="Y417" s="657"/>
      <c r="Z417" s="615"/>
      <c r="AA417" s="653"/>
      <c r="AB417" s="657"/>
      <c r="AC417" s="653"/>
      <c r="AD417" s="653"/>
      <c r="AE417" s="653"/>
      <c r="AF417" s="653"/>
      <c r="AG417" s="653"/>
      <c r="AH417" s="653"/>
      <c r="AI417" s="653"/>
      <c r="AJ417" s="653"/>
      <c r="AK417" s="653"/>
      <c r="AL417" s="653"/>
      <c r="AM417" s="653"/>
      <c r="AN417" s="653"/>
      <c r="AO417" s="653"/>
      <c r="AP417" s="653"/>
      <c r="AQ417" s="653"/>
      <c r="AR417" s="653"/>
      <c r="AS417" s="653"/>
      <c r="AT417" s="653"/>
      <c r="AU417" s="653"/>
      <c r="AV417" s="653"/>
    </row>
    <row r="418" spans="1:48" ht="14.5">
      <c r="A418" s="653"/>
      <c r="B418" s="653"/>
      <c r="C418" s="653"/>
      <c r="D418" s="653"/>
      <c r="E418" s="653"/>
      <c r="F418" s="653"/>
      <c r="G418" s="654"/>
      <c r="H418" s="654"/>
      <c r="I418" s="653"/>
      <c r="J418" s="653"/>
      <c r="K418" s="655"/>
      <c r="L418" s="653"/>
      <c r="M418" s="653"/>
      <c r="N418" s="653"/>
      <c r="O418" s="653"/>
      <c r="P418" s="653"/>
      <c r="Q418" s="653"/>
      <c r="R418" s="653"/>
      <c r="S418" s="653"/>
      <c r="T418" s="653"/>
      <c r="U418" s="656"/>
      <c r="V418" s="653"/>
      <c r="W418" s="653"/>
      <c r="X418" s="653"/>
      <c r="Y418" s="657"/>
      <c r="Z418" s="615"/>
      <c r="AA418" s="653"/>
      <c r="AB418" s="657"/>
      <c r="AC418" s="653"/>
      <c r="AD418" s="653"/>
      <c r="AE418" s="653"/>
      <c r="AF418" s="653"/>
      <c r="AG418" s="653"/>
      <c r="AH418" s="653"/>
      <c r="AI418" s="653"/>
      <c r="AJ418" s="653"/>
      <c r="AK418" s="653"/>
      <c r="AL418" s="653"/>
      <c r="AM418" s="653"/>
      <c r="AN418" s="653"/>
      <c r="AO418" s="653"/>
      <c r="AP418" s="653"/>
      <c r="AQ418" s="653"/>
      <c r="AR418" s="653"/>
      <c r="AS418" s="653"/>
      <c r="AT418" s="653"/>
      <c r="AU418" s="653"/>
      <c r="AV418" s="653"/>
    </row>
    <row r="419" spans="1:48" ht="14.5">
      <c r="A419" s="653"/>
      <c r="B419" s="653"/>
      <c r="C419" s="653"/>
      <c r="D419" s="653"/>
      <c r="E419" s="653"/>
      <c r="F419" s="653"/>
      <c r="G419" s="654"/>
      <c r="H419" s="654"/>
      <c r="I419" s="653"/>
      <c r="J419" s="653"/>
      <c r="K419" s="655"/>
      <c r="L419" s="653"/>
      <c r="M419" s="653"/>
      <c r="N419" s="653"/>
      <c r="O419" s="653"/>
      <c r="P419" s="653"/>
      <c r="Q419" s="653"/>
      <c r="R419" s="653"/>
      <c r="S419" s="653"/>
      <c r="T419" s="653"/>
      <c r="U419" s="656"/>
      <c r="V419" s="653"/>
      <c r="W419" s="653"/>
      <c r="X419" s="653"/>
      <c r="Y419" s="657"/>
      <c r="Z419" s="615"/>
      <c r="AA419" s="653"/>
      <c r="AB419" s="657"/>
      <c r="AC419" s="653"/>
      <c r="AD419" s="653"/>
      <c r="AE419" s="653"/>
      <c r="AF419" s="653"/>
      <c r="AG419" s="653"/>
      <c r="AH419" s="653"/>
      <c r="AI419" s="653"/>
      <c r="AJ419" s="653"/>
      <c r="AK419" s="653"/>
      <c r="AL419" s="653"/>
      <c r="AM419" s="653"/>
      <c r="AN419" s="653"/>
      <c r="AO419" s="653"/>
      <c r="AP419" s="653"/>
      <c r="AQ419" s="653"/>
      <c r="AR419" s="653"/>
      <c r="AS419" s="653"/>
      <c r="AT419" s="653"/>
      <c r="AU419" s="653"/>
      <c r="AV419" s="653"/>
    </row>
    <row r="420" spans="1:48" ht="14.5">
      <c r="A420" s="653"/>
      <c r="B420" s="653"/>
      <c r="C420" s="653"/>
      <c r="D420" s="653"/>
      <c r="E420" s="653"/>
      <c r="F420" s="653"/>
      <c r="G420" s="654"/>
      <c r="H420" s="654"/>
      <c r="I420" s="653"/>
      <c r="J420" s="653"/>
      <c r="K420" s="655"/>
      <c r="L420" s="653"/>
      <c r="M420" s="653"/>
      <c r="N420" s="653"/>
      <c r="O420" s="653"/>
      <c r="P420" s="653"/>
      <c r="Q420" s="653"/>
      <c r="R420" s="653"/>
      <c r="S420" s="653"/>
      <c r="T420" s="653"/>
      <c r="U420" s="656"/>
      <c r="V420" s="653"/>
      <c r="W420" s="653"/>
      <c r="X420" s="653"/>
      <c r="Y420" s="657"/>
      <c r="Z420" s="615"/>
      <c r="AA420" s="653"/>
      <c r="AB420" s="657"/>
      <c r="AC420" s="653"/>
      <c r="AD420" s="653"/>
      <c r="AE420" s="653"/>
      <c r="AF420" s="653"/>
      <c r="AG420" s="653"/>
      <c r="AH420" s="653"/>
      <c r="AI420" s="653"/>
      <c r="AJ420" s="653"/>
      <c r="AK420" s="653"/>
      <c r="AL420" s="653"/>
      <c r="AM420" s="653"/>
      <c r="AN420" s="653"/>
      <c r="AO420" s="653"/>
      <c r="AP420" s="653"/>
      <c r="AQ420" s="653"/>
      <c r="AR420" s="653"/>
      <c r="AS420" s="653"/>
      <c r="AT420" s="653"/>
      <c r="AU420" s="653"/>
      <c r="AV420" s="653"/>
    </row>
    <row r="421" spans="1:48" ht="14.5">
      <c r="A421" s="653"/>
      <c r="B421" s="653"/>
      <c r="C421" s="653"/>
      <c r="D421" s="653"/>
      <c r="E421" s="653"/>
      <c r="F421" s="653"/>
      <c r="G421" s="654"/>
      <c r="H421" s="654"/>
      <c r="I421" s="653"/>
      <c r="J421" s="653"/>
      <c r="K421" s="655"/>
      <c r="L421" s="653"/>
      <c r="M421" s="653"/>
      <c r="N421" s="653"/>
      <c r="O421" s="653"/>
      <c r="P421" s="653"/>
      <c r="Q421" s="653"/>
      <c r="R421" s="653"/>
      <c r="S421" s="653"/>
      <c r="T421" s="653"/>
      <c r="U421" s="656"/>
      <c r="V421" s="653"/>
      <c r="W421" s="653"/>
      <c r="X421" s="653"/>
      <c r="Y421" s="657"/>
      <c r="Z421" s="615"/>
      <c r="AA421" s="653"/>
      <c r="AB421" s="657"/>
      <c r="AC421" s="653"/>
      <c r="AD421" s="653"/>
      <c r="AE421" s="653"/>
      <c r="AF421" s="653"/>
      <c r="AG421" s="653"/>
      <c r="AH421" s="653"/>
      <c r="AI421" s="653"/>
      <c r="AJ421" s="653"/>
      <c r="AK421" s="653"/>
      <c r="AL421" s="653"/>
      <c r="AM421" s="653"/>
      <c r="AN421" s="653"/>
      <c r="AO421" s="653"/>
      <c r="AP421" s="653"/>
      <c r="AQ421" s="653"/>
      <c r="AR421" s="653"/>
      <c r="AS421" s="653"/>
      <c r="AT421" s="653"/>
      <c r="AU421" s="653"/>
      <c r="AV421" s="653"/>
    </row>
    <row r="422" spans="1:48" ht="14.5">
      <c r="A422" s="653"/>
      <c r="B422" s="653"/>
      <c r="C422" s="653"/>
      <c r="D422" s="653"/>
      <c r="E422" s="653"/>
      <c r="F422" s="653"/>
      <c r="G422" s="654"/>
      <c r="H422" s="654"/>
      <c r="I422" s="653"/>
      <c r="J422" s="653"/>
      <c r="K422" s="655"/>
      <c r="L422" s="653"/>
      <c r="M422" s="653"/>
      <c r="N422" s="653"/>
      <c r="O422" s="653"/>
      <c r="P422" s="653"/>
      <c r="Q422" s="653"/>
      <c r="R422" s="653"/>
      <c r="S422" s="653"/>
      <c r="T422" s="653"/>
      <c r="U422" s="656"/>
      <c r="V422" s="653"/>
      <c r="W422" s="653"/>
      <c r="X422" s="653"/>
      <c r="Y422" s="657"/>
      <c r="Z422" s="615"/>
      <c r="AA422" s="653"/>
      <c r="AB422" s="657"/>
      <c r="AC422" s="653"/>
      <c r="AD422" s="653"/>
      <c r="AE422" s="653"/>
      <c r="AF422" s="653"/>
      <c r="AG422" s="653"/>
      <c r="AH422" s="653"/>
      <c r="AI422" s="653"/>
      <c r="AJ422" s="653"/>
      <c r="AK422" s="653"/>
      <c r="AL422" s="653"/>
      <c r="AM422" s="653"/>
      <c r="AN422" s="653"/>
      <c r="AO422" s="653"/>
      <c r="AP422" s="653"/>
      <c r="AQ422" s="653"/>
      <c r="AR422" s="653"/>
      <c r="AS422" s="653"/>
      <c r="AT422" s="653"/>
      <c r="AU422" s="653"/>
      <c r="AV422" s="653"/>
    </row>
    <row r="423" spans="1:48" ht="14.5">
      <c r="A423" s="653"/>
      <c r="B423" s="653"/>
      <c r="C423" s="653"/>
      <c r="D423" s="653"/>
      <c r="E423" s="653"/>
      <c r="F423" s="653"/>
      <c r="G423" s="654"/>
      <c r="H423" s="654"/>
      <c r="I423" s="653"/>
      <c r="J423" s="653"/>
      <c r="K423" s="655"/>
      <c r="L423" s="653"/>
      <c r="M423" s="653"/>
      <c r="N423" s="653"/>
      <c r="O423" s="653"/>
      <c r="P423" s="653"/>
      <c r="Q423" s="653"/>
      <c r="R423" s="653"/>
      <c r="S423" s="653"/>
      <c r="T423" s="653"/>
      <c r="U423" s="656"/>
      <c r="V423" s="653"/>
      <c r="W423" s="653"/>
      <c r="X423" s="653"/>
      <c r="Y423" s="657"/>
      <c r="Z423" s="615"/>
      <c r="AA423" s="653"/>
      <c r="AB423" s="657"/>
      <c r="AC423" s="653"/>
      <c r="AD423" s="653"/>
      <c r="AE423" s="653"/>
      <c r="AF423" s="653"/>
      <c r="AG423" s="653"/>
      <c r="AH423" s="653"/>
      <c r="AI423" s="653"/>
      <c r="AJ423" s="653"/>
      <c r="AK423" s="653"/>
      <c r="AL423" s="653"/>
      <c r="AM423" s="653"/>
      <c r="AN423" s="653"/>
      <c r="AO423" s="653"/>
      <c r="AP423" s="653"/>
      <c r="AQ423" s="653"/>
      <c r="AR423" s="653"/>
      <c r="AS423" s="653"/>
      <c r="AT423" s="653"/>
      <c r="AU423" s="653"/>
      <c r="AV423" s="653"/>
    </row>
    <row r="424" spans="1:48" ht="14.5">
      <c r="A424" s="653"/>
      <c r="B424" s="653"/>
      <c r="C424" s="653"/>
      <c r="D424" s="653"/>
      <c r="E424" s="653"/>
      <c r="F424" s="653"/>
      <c r="G424" s="654"/>
      <c r="H424" s="654"/>
      <c r="I424" s="653"/>
      <c r="J424" s="653"/>
      <c r="K424" s="655"/>
      <c r="L424" s="653"/>
      <c r="M424" s="653"/>
      <c r="N424" s="653"/>
      <c r="O424" s="653"/>
      <c r="P424" s="653"/>
      <c r="Q424" s="653"/>
      <c r="R424" s="653"/>
      <c r="S424" s="653"/>
      <c r="T424" s="653"/>
      <c r="U424" s="656"/>
      <c r="V424" s="653"/>
      <c r="W424" s="653"/>
      <c r="X424" s="653"/>
      <c r="Y424" s="657"/>
      <c r="Z424" s="615"/>
      <c r="AA424" s="653"/>
      <c r="AB424" s="657"/>
      <c r="AC424" s="653"/>
      <c r="AD424" s="653"/>
      <c r="AE424" s="653"/>
      <c r="AF424" s="653"/>
      <c r="AG424" s="653"/>
      <c r="AH424" s="653"/>
      <c r="AI424" s="653"/>
      <c r="AJ424" s="653"/>
      <c r="AK424" s="653"/>
      <c r="AL424" s="653"/>
      <c r="AM424" s="653"/>
      <c r="AN424" s="653"/>
      <c r="AO424" s="653"/>
      <c r="AP424" s="653"/>
      <c r="AQ424" s="653"/>
      <c r="AR424" s="653"/>
      <c r="AS424" s="653"/>
      <c r="AT424" s="653"/>
      <c r="AU424" s="653"/>
      <c r="AV424" s="653"/>
    </row>
    <row r="425" spans="1:48" ht="14.5">
      <c r="A425" s="653"/>
      <c r="B425" s="653"/>
      <c r="C425" s="653"/>
      <c r="D425" s="653"/>
      <c r="E425" s="653"/>
      <c r="F425" s="653"/>
      <c r="G425" s="654"/>
      <c r="H425" s="654"/>
      <c r="I425" s="653"/>
      <c r="J425" s="653"/>
      <c r="K425" s="655"/>
      <c r="L425" s="653"/>
      <c r="M425" s="653"/>
      <c r="N425" s="653"/>
      <c r="O425" s="653"/>
      <c r="P425" s="653"/>
      <c r="Q425" s="653"/>
      <c r="R425" s="653"/>
      <c r="S425" s="653"/>
      <c r="T425" s="653"/>
      <c r="U425" s="656"/>
      <c r="V425" s="653"/>
      <c r="W425" s="653"/>
      <c r="X425" s="653"/>
      <c r="Y425" s="657"/>
      <c r="Z425" s="615"/>
      <c r="AA425" s="653"/>
      <c r="AB425" s="657"/>
      <c r="AC425" s="653"/>
      <c r="AD425" s="653"/>
      <c r="AE425" s="653"/>
      <c r="AF425" s="653"/>
      <c r="AG425" s="653"/>
      <c r="AH425" s="653"/>
      <c r="AI425" s="653"/>
      <c r="AJ425" s="653"/>
      <c r="AK425" s="653"/>
      <c r="AL425" s="653"/>
      <c r="AM425" s="653"/>
      <c r="AN425" s="653"/>
      <c r="AO425" s="653"/>
      <c r="AP425" s="653"/>
      <c r="AQ425" s="653"/>
      <c r="AR425" s="653"/>
      <c r="AS425" s="653"/>
      <c r="AT425" s="653"/>
      <c r="AU425" s="653"/>
      <c r="AV425" s="653"/>
    </row>
    <row r="426" spans="1:48" ht="14.5">
      <c r="A426" s="653"/>
      <c r="B426" s="653"/>
      <c r="C426" s="653"/>
      <c r="D426" s="653"/>
      <c r="E426" s="653"/>
      <c r="F426" s="653"/>
      <c r="G426" s="654"/>
      <c r="H426" s="654"/>
      <c r="I426" s="653"/>
      <c r="J426" s="653"/>
      <c r="K426" s="655"/>
      <c r="L426" s="653"/>
      <c r="M426" s="653"/>
      <c r="N426" s="653"/>
      <c r="O426" s="653"/>
      <c r="P426" s="653"/>
      <c r="Q426" s="653"/>
      <c r="R426" s="653"/>
      <c r="S426" s="653"/>
      <c r="T426" s="653"/>
      <c r="U426" s="656"/>
      <c r="V426" s="653"/>
      <c r="W426" s="653"/>
      <c r="X426" s="653"/>
      <c r="Y426" s="657"/>
      <c r="Z426" s="615"/>
      <c r="AA426" s="653"/>
      <c r="AB426" s="657"/>
      <c r="AC426" s="653"/>
      <c r="AD426" s="653"/>
      <c r="AE426" s="653"/>
      <c r="AF426" s="653"/>
      <c r="AG426" s="653"/>
      <c r="AH426" s="653"/>
      <c r="AI426" s="653"/>
      <c r="AJ426" s="653"/>
      <c r="AK426" s="653"/>
      <c r="AL426" s="653"/>
      <c r="AM426" s="653"/>
      <c r="AN426" s="653"/>
      <c r="AO426" s="653"/>
      <c r="AP426" s="653"/>
      <c r="AQ426" s="653"/>
      <c r="AR426" s="653"/>
      <c r="AS426" s="653"/>
      <c r="AT426" s="653"/>
      <c r="AU426" s="653"/>
      <c r="AV426" s="653"/>
    </row>
    <row r="427" spans="1:48" ht="14.5">
      <c r="A427" s="653"/>
      <c r="B427" s="653"/>
      <c r="C427" s="653"/>
      <c r="D427" s="653"/>
      <c r="E427" s="653"/>
      <c r="F427" s="653"/>
      <c r="G427" s="654"/>
      <c r="H427" s="654"/>
      <c r="I427" s="653"/>
      <c r="J427" s="653"/>
      <c r="K427" s="655"/>
      <c r="L427" s="653"/>
      <c r="M427" s="653"/>
      <c r="N427" s="653"/>
      <c r="O427" s="653"/>
      <c r="P427" s="653"/>
      <c r="Q427" s="653"/>
      <c r="R427" s="653"/>
      <c r="S427" s="653"/>
      <c r="T427" s="653"/>
      <c r="U427" s="656"/>
      <c r="V427" s="653"/>
      <c r="W427" s="653"/>
      <c r="X427" s="653"/>
      <c r="Y427" s="657"/>
      <c r="Z427" s="615"/>
      <c r="AA427" s="653"/>
      <c r="AB427" s="657"/>
      <c r="AC427" s="653"/>
      <c r="AD427" s="653"/>
      <c r="AE427" s="653"/>
      <c r="AF427" s="653"/>
      <c r="AG427" s="653"/>
      <c r="AH427" s="653"/>
      <c r="AI427" s="653"/>
      <c r="AJ427" s="653"/>
      <c r="AK427" s="653"/>
      <c r="AL427" s="653"/>
      <c r="AM427" s="653"/>
      <c r="AN427" s="653"/>
      <c r="AO427" s="653"/>
      <c r="AP427" s="653"/>
      <c r="AQ427" s="653"/>
      <c r="AR427" s="653"/>
      <c r="AS427" s="653"/>
      <c r="AT427" s="653"/>
      <c r="AU427" s="653"/>
      <c r="AV427" s="653"/>
    </row>
    <row r="428" spans="1:48" ht="14.5">
      <c r="A428" s="653"/>
      <c r="B428" s="653"/>
      <c r="C428" s="653"/>
      <c r="D428" s="653"/>
      <c r="E428" s="653"/>
      <c r="F428" s="653"/>
      <c r="G428" s="654"/>
      <c r="H428" s="654"/>
      <c r="I428" s="653"/>
      <c r="J428" s="653"/>
      <c r="K428" s="655"/>
      <c r="L428" s="653"/>
      <c r="M428" s="653"/>
      <c r="N428" s="653"/>
      <c r="O428" s="653"/>
      <c r="P428" s="653"/>
      <c r="Q428" s="653"/>
      <c r="R428" s="653"/>
      <c r="S428" s="653"/>
      <c r="T428" s="653"/>
      <c r="U428" s="656"/>
      <c r="V428" s="653"/>
      <c r="W428" s="653"/>
      <c r="X428" s="653"/>
      <c r="Y428" s="657"/>
      <c r="Z428" s="615"/>
      <c r="AA428" s="653"/>
      <c r="AB428" s="657"/>
      <c r="AC428" s="653"/>
      <c r="AD428" s="653"/>
      <c r="AE428" s="653"/>
      <c r="AF428" s="653"/>
      <c r="AG428" s="653"/>
      <c r="AH428" s="653"/>
      <c r="AI428" s="653"/>
      <c r="AJ428" s="653"/>
      <c r="AK428" s="653"/>
      <c r="AL428" s="653"/>
      <c r="AM428" s="653"/>
      <c r="AN428" s="653"/>
      <c r="AO428" s="653"/>
      <c r="AP428" s="653"/>
      <c r="AQ428" s="653"/>
      <c r="AR428" s="653"/>
      <c r="AS428" s="653"/>
      <c r="AT428" s="653"/>
      <c r="AU428" s="653"/>
      <c r="AV428" s="653"/>
    </row>
    <row r="429" spans="1:48" ht="14.5">
      <c r="A429" s="653"/>
      <c r="B429" s="653"/>
      <c r="C429" s="653"/>
      <c r="D429" s="653"/>
      <c r="E429" s="653"/>
      <c r="F429" s="653"/>
      <c r="G429" s="654"/>
      <c r="H429" s="654"/>
      <c r="I429" s="653"/>
      <c r="J429" s="653"/>
      <c r="K429" s="655"/>
      <c r="L429" s="653"/>
      <c r="M429" s="653"/>
      <c r="N429" s="653"/>
      <c r="O429" s="653"/>
      <c r="P429" s="653"/>
      <c r="Q429" s="653"/>
      <c r="R429" s="653"/>
      <c r="S429" s="653"/>
      <c r="T429" s="653"/>
      <c r="U429" s="656"/>
      <c r="V429" s="653"/>
      <c r="W429" s="653"/>
      <c r="X429" s="653"/>
      <c r="Y429" s="657"/>
      <c r="Z429" s="615"/>
      <c r="AA429" s="653"/>
      <c r="AB429" s="657"/>
      <c r="AC429" s="653"/>
      <c r="AD429" s="653"/>
      <c r="AE429" s="653"/>
      <c r="AF429" s="653"/>
      <c r="AG429" s="653"/>
      <c r="AH429" s="653"/>
      <c r="AI429" s="653"/>
      <c r="AJ429" s="653"/>
      <c r="AK429" s="653"/>
      <c r="AL429" s="653"/>
      <c r="AM429" s="653"/>
      <c r="AN429" s="653"/>
      <c r="AO429" s="653"/>
      <c r="AP429" s="653"/>
      <c r="AQ429" s="653"/>
      <c r="AR429" s="653"/>
      <c r="AS429" s="653"/>
      <c r="AT429" s="653"/>
      <c r="AU429" s="653"/>
      <c r="AV429" s="653"/>
    </row>
    <row r="430" spans="1:48" ht="14.5">
      <c r="A430" s="653"/>
      <c r="B430" s="653"/>
      <c r="C430" s="653"/>
      <c r="D430" s="653"/>
      <c r="E430" s="653"/>
      <c r="F430" s="653"/>
      <c r="G430" s="654"/>
      <c r="H430" s="654"/>
      <c r="I430" s="653"/>
      <c r="J430" s="653"/>
      <c r="K430" s="655"/>
      <c r="L430" s="653"/>
      <c r="M430" s="653"/>
      <c r="N430" s="653"/>
      <c r="O430" s="653"/>
      <c r="P430" s="653"/>
      <c r="Q430" s="653"/>
      <c r="R430" s="653"/>
      <c r="S430" s="653"/>
      <c r="T430" s="653"/>
      <c r="U430" s="656"/>
      <c r="V430" s="653"/>
      <c r="W430" s="653"/>
      <c r="X430" s="653"/>
      <c r="Y430" s="657"/>
      <c r="Z430" s="615"/>
      <c r="AA430" s="653"/>
      <c r="AB430" s="657"/>
      <c r="AC430" s="653"/>
      <c r="AD430" s="653"/>
      <c r="AE430" s="653"/>
      <c r="AF430" s="653"/>
      <c r="AG430" s="653"/>
      <c r="AH430" s="653"/>
      <c r="AI430" s="653"/>
      <c r="AJ430" s="653"/>
      <c r="AK430" s="653"/>
      <c r="AL430" s="653"/>
      <c r="AM430" s="653"/>
      <c r="AN430" s="653"/>
      <c r="AO430" s="653"/>
      <c r="AP430" s="653"/>
      <c r="AQ430" s="653"/>
      <c r="AR430" s="653"/>
      <c r="AS430" s="653"/>
      <c r="AT430" s="653"/>
      <c r="AU430" s="653"/>
      <c r="AV430" s="653"/>
    </row>
    <row r="431" spans="1:48" ht="14.5">
      <c r="A431" s="653"/>
      <c r="B431" s="653"/>
      <c r="C431" s="653"/>
      <c r="D431" s="653"/>
      <c r="E431" s="653"/>
      <c r="F431" s="653"/>
      <c r="G431" s="654"/>
      <c r="H431" s="654"/>
      <c r="I431" s="653"/>
      <c r="J431" s="653"/>
      <c r="K431" s="655"/>
      <c r="L431" s="653"/>
      <c r="M431" s="653"/>
      <c r="N431" s="653"/>
      <c r="O431" s="653"/>
      <c r="P431" s="653"/>
      <c r="Q431" s="653"/>
      <c r="R431" s="653"/>
      <c r="S431" s="653"/>
      <c r="T431" s="653"/>
      <c r="U431" s="656"/>
      <c r="V431" s="653"/>
      <c r="W431" s="653"/>
      <c r="X431" s="653"/>
      <c r="Y431" s="657"/>
      <c r="Z431" s="615"/>
      <c r="AA431" s="653"/>
      <c r="AB431" s="657"/>
      <c r="AC431" s="653"/>
      <c r="AD431" s="653"/>
      <c r="AE431" s="653"/>
      <c r="AF431" s="653"/>
      <c r="AG431" s="653"/>
      <c r="AH431" s="653"/>
      <c r="AI431" s="653"/>
      <c r="AJ431" s="653"/>
      <c r="AK431" s="653"/>
      <c r="AL431" s="653"/>
      <c r="AM431" s="653"/>
      <c r="AN431" s="653"/>
      <c r="AO431" s="653"/>
      <c r="AP431" s="653"/>
      <c r="AQ431" s="653"/>
      <c r="AR431" s="653"/>
      <c r="AS431" s="653"/>
      <c r="AT431" s="653"/>
      <c r="AU431" s="653"/>
      <c r="AV431" s="653"/>
    </row>
    <row r="432" spans="1:48" ht="14.5">
      <c r="A432" s="653"/>
      <c r="B432" s="653"/>
      <c r="C432" s="653"/>
      <c r="D432" s="653"/>
      <c r="E432" s="653"/>
      <c r="F432" s="653"/>
      <c r="G432" s="654"/>
      <c r="H432" s="654"/>
      <c r="I432" s="653"/>
      <c r="J432" s="653"/>
      <c r="K432" s="655"/>
      <c r="L432" s="653"/>
      <c r="M432" s="653"/>
      <c r="N432" s="653"/>
      <c r="O432" s="653"/>
      <c r="P432" s="653"/>
      <c r="Q432" s="653"/>
      <c r="R432" s="653"/>
      <c r="S432" s="653"/>
      <c r="T432" s="653"/>
      <c r="U432" s="656"/>
      <c r="V432" s="653"/>
      <c r="W432" s="653"/>
      <c r="X432" s="653"/>
      <c r="Y432" s="657"/>
      <c r="Z432" s="615"/>
      <c r="AA432" s="653"/>
      <c r="AB432" s="657"/>
      <c r="AC432" s="653"/>
      <c r="AD432" s="653"/>
      <c r="AE432" s="653"/>
      <c r="AF432" s="653"/>
      <c r="AG432" s="653"/>
      <c r="AH432" s="653"/>
      <c r="AI432" s="653"/>
      <c r="AJ432" s="653"/>
      <c r="AK432" s="653"/>
      <c r="AL432" s="653"/>
      <c r="AM432" s="653"/>
      <c r="AN432" s="653"/>
      <c r="AO432" s="653"/>
      <c r="AP432" s="653"/>
      <c r="AQ432" s="653"/>
      <c r="AR432" s="653"/>
      <c r="AS432" s="653"/>
      <c r="AT432" s="653"/>
      <c r="AU432" s="653"/>
      <c r="AV432" s="653"/>
    </row>
    <row r="433" spans="1:48" ht="14.5">
      <c r="A433" s="653"/>
      <c r="B433" s="653"/>
      <c r="C433" s="653"/>
      <c r="D433" s="653"/>
      <c r="E433" s="653"/>
      <c r="F433" s="653"/>
      <c r="G433" s="654"/>
      <c r="H433" s="654"/>
      <c r="I433" s="653"/>
      <c r="J433" s="653"/>
      <c r="K433" s="655"/>
      <c r="L433" s="653"/>
      <c r="M433" s="653"/>
      <c r="N433" s="653"/>
      <c r="O433" s="653"/>
      <c r="P433" s="653"/>
      <c r="Q433" s="653"/>
      <c r="R433" s="653"/>
      <c r="S433" s="653"/>
      <c r="T433" s="653"/>
      <c r="U433" s="656"/>
      <c r="V433" s="653"/>
      <c r="W433" s="653"/>
      <c r="X433" s="653"/>
      <c r="Y433" s="657"/>
      <c r="Z433" s="615"/>
      <c r="AA433" s="653"/>
      <c r="AB433" s="657"/>
      <c r="AC433" s="653"/>
      <c r="AD433" s="653"/>
      <c r="AE433" s="653"/>
      <c r="AF433" s="653"/>
      <c r="AG433" s="653"/>
      <c r="AH433" s="653"/>
      <c r="AI433" s="653"/>
      <c r="AJ433" s="653"/>
      <c r="AK433" s="653"/>
      <c r="AL433" s="653"/>
      <c r="AM433" s="653"/>
      <c r="AN433" s="653"/>
      <c r="AO433" s="653"/>
      <c r="AP433" s="653"/>
      <c r="AQ433" s="653"/>
      <c r="AR433" s="653"/>
      <c r="AS433" s="653"/>
      <c r="AT433" s="653"/>
      <c r="AU433" s="653"/>
      <c r="AV433" s="653"/>
    </row>
    <row r="434" spans="1:48" ht="14.5">
      <c r="A434" s="653"/>
      <c r="B434" s="653"/>
      <c r="C434" s="653"/>
      <c r="D434" s="653"/>
      <c r="E434" s="653"/>
      <c r="F434" s="653"/>
      <c r="G434" s="654"/>
      <c r="H434" s="654"/>
      <c r="I434" s="653"/>
      <c r="J434" s="653"/>
      <c r="K434" s="655"/>
      <c r="L434" s="653"/>
      <c r="M434" s="653"/>
      <c r="N434" s="653"/>
      <c r="O434" s="653"/>
      <c r="P434" s="653"/>
      <c r="Q434" s="653"/>
      <c r="R434" s="653"/>
      <c r="S434" s="653"/>
      <c r="T434" s="653"/>
      <c r="U434" s="656"/>
      <c r="V434" s="653"/>
      <c r="W434" s="653"/>
      <c r="X434" s="653"/>
      <c r="Y434" s="657"/>
      <c r="Z434" s="615"/>
      <c r="AA434" s="653"/>
      <c r="AB434" s="657"/>
      <c r="AC434" s="653"/>
      <c r="AD434" s="653"/>
      <c r="AE434" s="653"/>
      <c r="AF434" s="653"/>
      <c r="AG434" s="653"/>
      <c r="AH434" s="653"/>
      <c r="AI434" s="653"/>
      <c r="AJ434" s="653"/>
      <c r="AK434" s="653"/>
      <c r="AL434" s="653"/>
      <c r="AM434" s="653"/>
      <c r="AN434" s="653"/>
      <c r="AO434" s="653"/>
      <c r="AP434" s="653"/>
      <c r="AQ434" s="653"/>
      <c r="AR434" s="653"/>
      <c r="AS434" s="653"/>
      <c r="AT434" s="653"/>
      <c r="AU434" s="653"/>
      <c r="AV434" s="653"/>
    </row>
    <row r="435" spans="1:48" ht="14.5">
      <c r="A435" s="653"/>
      <c r="B435" s="653"/>
      <c r="C435" s="653"/>
      <c r="D435" s="653"/>
      <c r="E435" s="653"/>
      <c r="F435" s="653"/>
      <c r="G435" s="654"/>
      <c r="H435" s="654"/>
      <c r="I435" s="653"/>
      <c r="J435" s="653"/>
      <c r="K435" s="655"/>
      <c r="L435" s="653"/>
      <c r="M435" s="653"/>
      <c r="N435" s="653"/>
      <c r="O435" s="653"/>
      <c r="P435" s="653"/>
      <c r="Q435" s="653"/>
      <c r="R435" s="653"/>
      <c r="S435" s="653"/>
      <c r="T435" s="653"/>
      <c r="U435" s="656"/>
      <c r="V435" s="653"/>
      <c r="W435" s="653"/>
      <c r="X435" s="653"/>
      <c r="Y435" s="657"/>
      <c r="Z435" s="615"/>
      <c r="AA435" s="653"/>
      <c r="AB435" s="657"/>
      <c r="AC435" s="653"/>
      <c r="AD435" s="653"/>
      <c r="AE435" s="653"/>
      <c r="AF435" s="653"/>
      <c r="AG435" s="653"/>
      <c r="AH435" s="653"/>
      <c r="AI435" s="653"/>
      <c r="AJ435" s="653"/>
      <c r="AK435" s="653"/>
      <c r="AL435" s="653"/>
      <c r="AM435" s="653"/>
      <c r="AN435" s="653"/>
      <c r="AO435" s="653"/>
      <c r="AP435" s="653"/>
      <c r="AQ435" s="653"/>
      <c r="AR435" s="653"/>
      <c r="AS435" s="653"/>
      <c r="AT435" s="653"/>
      <c r="AU435" s="653"/>
      <c r="AV435" s="653"/>
    </row>
    <row r="436" spans="1:48" ht="14.5">
      <c r="A436" s="653"/>
      <c r="B436" s="653"/>
      <c r="C436" s="653"/>
      <c r="D436" s="653"/>
      <c r="E436" s="653"/>
      <c r="F436" s="653"/>
      <c r="G436" s="654"/>
      <c r="H436" s="654"/>
      <c r="I436" s="653"/>
      <c r="J436" s="653"/>
      <c r="K436" s="655"/>
      <c r="L436" s="653"/>
      <c r="M436" s="653"/>
      <c r="N436" s="653"/>
      <c r="O436" s="653"/>
      <c r="P436" s="653"/>
      <c r="Q436" s="653"/>
      <c r="R436" s="653"/>
      <c r="S436" s="653"/>
      <c r="T436" s="653"/>
      <c r="U436" s="656"/>
      <c r="V436" s="653"/>
      <c r="W436" s="653"/>
      <c r="X436" s="653"/>
      <c r="Y436" s="657"/>
      <c r="Z436" s="615"/>
      <c r="AA436" s="653"/>
      <c r="AB436" s="657"/>
      <c r="AC436" s="653"/>
      <c r="AD436" s="653"/>
      <c r="AE436" s="653"/>
      <c r="AF436" s="653"/>
      <c r="AG436" s="653"/>
      <c r="AH436" s="653"/>
      <c r="AI436" s="653"/>
      <c r="AJ436" s="653"/>
      <c r="AK436" s="653"/>
      <c r="AL436" s="653"/>
      <c r="AM436" s="653"/>
      <c r="AN436" s="653"/>
      <c r="AO436" s="653"/>
      <c r="AP436" s="653"/>
      <c r="AQ436" s="653"/>
      <c r="AR436" s="653"/>
      <c r="AS436" s="653"/>
      <c r="AT436" s="653"/>
      <c r="AU436" s="653"/>
      <c r="AV436" s="653"/>
    </row>
    <row r="437" spans="1:48" ht="14.5">
      <c r="A437" s="653"/>
      <c r="B437" s="653"/>
      <c r="C437" s="653"/>
      <c r="D437" s="653"/>
      <c r="E437" s="653"/>
      <c r="F437" s="653"/>
      <c r="G437" s="654"/>
      <c r="H437" s="654"/>
      <c r="I437" s="653"/>
      <c r="J437" s="653"/>
      <c r="K437" s="655"/>
      <c r="L437" s="653"/>
      <c r="M437" s="653"/>
      <c r="N437" s="653"/>
      <c r="O437" s="653"/>
      <c r="P437" s="653"/>
      <c r="Q437" s="653"/>
      <c r="R437" s="653"/>
      <c r="S437" s="653"/>
      <c r="T437" s="653"/>
      <c r="U437" s="656"/>
      <c r="V437" s="653"/>
      <c r="W437" s="653"/>
      <c r="X437" s="653"/>
      <c r="Y437" s="657"/>
      <c r="Z437" s="615"/>
      <c r="AA437" s="653"/>
      <c r="AB437" s="657"/>
      <c r="AC437" s="653"/>
      <c r="AD437" s="653"/>
      <c r="AE437" s="653"/>
      <c r="AF437" s="653"/>
      <c r="AG437" s="653"/>
      <c r="AH437" s="653"/>
      <c r="AI437" s="653"/>
      <c r="AJ437" s="653"/>
      <c r="AK437" s="653"/>
      <c r="AL437" s="653"/>
      <c r="AM437" s="653"/>
      <c r="AN437" s="653"/>
      <c r="AO437" s="653"/>
      <c r="AP437" s="653"/>
      <c r="AQ437" s="653"/>
      <c r="AR437" s="653"/>
      <c r="AS437" s="653"/>
      <c r="AT437" s="653"/>
      <c r="AU437" s="653"/>
      <c r="AV437" s="653"/>
    </row>
    <row r="438" spans="1:48" ht="14.5">
      <c r="A438" s="653"/>
      <c r="B438" s="653"/>
      <c r="C438" s="653"/>
      <c r="D438" s="653"/>
      <c r="E438" s="653"/>
      <c r="F438" s="653"/>
      <c r="G438" s="654"/>
      <c r="H438" s="654"/>
      <c r="I438" s="653"/>
      <c r="J438" s="653"/>
      <c r="K438" s="655"/>
      <c r="L438" s="653"/>
      <c r="M438" s="653"/>
      <c r="N438" s="653"/>
      <c r="O438" s="653"/>
      <c r="P438" s="653"/>
      <c r="Q438" s="653"/>
      <c r="R438" s="653"/>
      <c r="S438" s="653"/>
      <c r="T438" s="653"/>
      <c r="U438" s="656"/>
      <c r="V438" s="653"/>
      <c r="W438" s="653"/>
      <c r="X438" s="653"/>
      <c r="Y438" s="657"/>
      <c r="Z438" s="615"/>
      <c r="AA438" s="653"/>
      <c r="AB438" s="657"/>
      <c r="AC438" s="653"/>
      <c r="AD438" s="653"/>
      <c r="AE438" s="653"/>
      <c r="AF438" s="653"/>
      <c r="AG438" s="653"/>
      <c r="AH438" s="653"/>
      <c r="AI438" s="653"/>
      <c r="AJ438" s="653"/>
      <c r="AK438" s="653"/>
      <c r="AL438" s="653"/>
      <c r="AM438" s="653"/>
      <c r="AN438" s="653"/>
      <c r="AO438" s="653"/>
      <c r="AP438" s="653"/>
      <c r="AQ438" s="653"/>
      <c r="AR438" s="653"/>
      <c r="AS438" s="653"/>
      <c r="AT438" s="653"/>
      <c r="AU438" s="653"/>
      <c r="AV438" s="653"/>
    </row>
    <row r="439" spans="1:48" ht="14.5">
      <c r="A439" s="653"/>
      <c r="B439" s="653"/>
      <c r="C439" s="653"/>
      <c r="D439" s="653"/>
      <c r="E439" s="653"/>
      <c r="F439" s="653"/>
      <c r="G439" s="654"/>
      <c r="H439" s="654"/>
      <c r="I439" s="653"/>
      <c r="J439" s="653"/>
      <c r="K439" s="655"/>
      <c r="L439" s="653"/>
      <c r="M439" s="653"/>
      <c r="N439" s="653"/>
      <c r="O439" s="653"/>
      <c r="P439" s="653"/>
      <c r="Q439" s="653"/>
      <c r="R439" s="653"/>
      <c r="S439" s="653"/>
      <c r="T439" s="653"/>
      <c r="U439" s="656"/>
      <c r="V439" s="653"/>
      <c r="W439" s="653"/>
      <c r="X439" s="653"/>
      <c r="Y439" s="657"/>
      <c r="Z439" s="615"/>
      <c r="AA439" s="653"/>
      <c r="AB439" s="657"/>
      <c r="AC439" s="653"/>
      <c r="AD439" s="653"/>
      <c r="AE439" s="653"/>
      <c r="AF439" s="653"/>
      <c r="AG439" s="653"/>
      <c r="AH439" s="653"/>
      <c r="AI439" s="653"/>
      <c r="AJ439" s="653"/>
      <c r="AK439" s="653"/>
      <c r="AL439" s="653"/>
      <c r="AM439" s="653"/>
      <c r="AN439" s="653"/>
      <c r="AO439" s="653"/>
      <c r="AP439" s="653"/>
      <c r="AQ439" s="653"/>
      <c r="AR439" s="653"/>
      <c r="AS439" s="653"/>
      <c r="AT439" s="653"/>
      <c r="AU439" s="653"/>
      <c r="AV439" s="653"/>
    </row>
    <row r="440" spans="1:48" ht="14.5">
      <c r="A440" s="653"/>
      <c r="B440" s="653"/>
      <c r="C440" s="653"/>
      <c r="D440" s="653"/>
      <c r="E440" s="653"/>
      <c r="F440" s="653"/>
      <c r="G440" s="654"/>
      <c r="H440" s="654"/>
      <c r="I440" s="653"/>
      <c r="J440" s="653"/>
      <c r="K440" s="655"/>
      <c r="L440" s="653"/>
      <c r="M440" s="653"/>
      <c r="N440" s="653"/>
      <c r="O440" s="653"/>
      <c r="P440" s="653"/>
      <c r="Q440" s="653"/>
      <c r="R440" s="653"/>
      <c r="S440" s="653"/>
      <c r="T440" s="653"/>
      <c r="U440" s="656"/>
      <c r="V440" s="653"/>
      <c r="W440" s="653"/>
      <c r="X440" s="653"/>
      <c r="Y440" s="657"/>
      <c r="Z440" s="615"/>
      <c r="AA440" s="653"/>
      <c r="AB440" s="657"/>
      <c r="AC440" s="653"/>
      <c r="AD440" s="653"/>
      <c r="AE440" s="653"/>
      <c r="AF440" s="653"/>
      <c r="AG440" s="653"/>
      <c r="AH440" s="653"/>
      <c r="AI440" s="653"/>
      <c r="AJ440" s="653"/>
      <c r="AK440" s="653"/>
      <c r="AL440" s="653"/>
      <c r="AM440" s="653"/>
      <c r="AN440" s="653"/>
      <c r="AO440" s="653"/>
      <c r="AP440" s="653"/>
      <c r="AQ440" s="653"/>
      <c r="AR440" s="653"/>
      <c r="AS440" s="653"/>
      <c r="AT440" s="653"/>
      <c r="AU440" s="653"/>
      <c r="AV440" s="653"/>
    </row>
    <row r="441" spans="1:48" ht="14.5">
      <c r="A441" s="653"/>
      <c r="B441" s="653"/>
      <c r="C441" s="653"/>
      <c r="D441" s="653"/>
      <c r="E441" s="653"/>
      <c r="F441" s="653"/>
      <c r="G441" s="654"/>
      <c r="H441" s="654"/>
      <c r="I441" s="653"/>
      <c r="J441" s="653"/>
      <c r="K441" s="655"/>
      <c r="L441" s="653"/>
      <c r="M441" s="653"/>
      <c r="N441" s="653"/>
      <c r="O441" s="653"/>
      <c r="P441" s="653"/>
      <c r="Q441" s="653"/>
      <c r="R441" s="653"/>
      <c r="S441" s="653"/>
      <c r="T441" s="653"/>
      <c r="U441" s="656"/>
      <c r="V441" s="653"/>
      <c r="W441" s="653"/>
      <c r="X441" s="653"/>
      <c r="Y441" s="657"/>
      <c r="Z441" s="615"/>
      <c r="AA441" s="653"/>
      <c r="AB441" s="657"/>
      <c r="AC441" s="653"/>
      <c r="AD441" s="653"/>
      <c r="AE441" s="653"/>
      <c r="AF441" s="653"/>
      <c r="AG441" s="653"/>
      <c r="AH441" s="653"/>
      <c r="AI441" s="653"/>
      <c r="AJ441" s="653"/>
      <c r="AK441" s="653"/>
      <c r="AL441" s="653"/>
      <c r="AM441" s="653"/>
      <c r="AN441" s="653"/>
      <c r="AO441" s="653"/>
      <c r="AP441" s="653"/>
      <c r="AQ441" s="653"/>
      <c r="AR441" s="653"/>
      <c r="AS441" s="653"/>
      <c r="AT441" s="653"/>
      <c r="AU441" s="653"/>
      <c r="AV441" s="653"/>
    </row>
    <row r="442" spans="1:48" ht="14.5">
      <c r="A442" s="653"/>
      <c r="B442" s="653"/>
      <c r="C442" s="653"/>
      <c r="D442" s="653"/>
      <c r="E442" s="653"/>
      <c r="F442" s="653"/>
      <c r="G442" s="654"/>
      <c r="H442" s="654"/>
      <c r="I442" s="653"/>
      <c r="J442" s="653"/>
      <c r="K442" s="655"/>
      <c r="L442" s="653"/>
      <c r="M442" s="653"/>
      <c r="N442" s="653"/>
      <c r="O442" s="653"/>
      <c r="P442" s="653"/>
      <c r="Q442" s="653"/>
      <c r="R442" s="653"/>
      <c r="S442" s="653"/>
      <c r="T442" s="653"/>
      <c r="U442" s="656"/>
      <c r="V442" s="653"/>
      <c r="W442" s="653"/>
      <c r="X442" s="653"/>
      <c r="Y442" s="657"/>
      <c r="Z442" s="615"/>
      <c r="AA442" s="653"/>
      <c r="AB442" s="657"/>
      <c r="AC442" s="653"/>
      <c r="AD442" s="653"/>
      <c r="AE442" s="653"/>
      <c r="AF442" s="653"/>
      <c r="AG442" s="653"/>
      <c r="AH442" s="653"/>
      <c r="AI442" s="653"/>
      <c r="AJ442" s="653"/>
      <c r="AK442" s="653"/>
      <c r="AL442" s="653"/>
      <c r="AM442" s="653"/>
      <c r="AN442" s="653"/>
      <c r="AO442" s="653"/>
      <c r="AP442" s="653"/>
      <c r="AQ442" s="653"/>
      <c r="AR442" s="653"/>
      <c r="AS442" s="653"/>
      <c r="AT442" s="653"/>
      <c r="AU442" s="653"/>
      <c r="AV442" s="653"/>
    </row>
    <row r="443" spans="1:48" ht="14.5">
      <c r="A443" s="653"/>
      <c r="B443" s="653"/>
      <c r="C443" s="653"/>
      <c r="D443" s="653"/>
      <c r="E443" s="653"/>
      <c r="F443" s="653"/>
      <c r="G443" s="654"/>
      <c r="H443" s="654"/>
      <c r="I443" s="653"/>
      <c r="J443" s="653"/>
      <c r="K443" s="655"/>
      <c r="L443" s="653"/>
      <c r="M443" s="653"/>
      <c r="N443" s="653"/>
      <c r="O443" s="653"/>
      <c r="P443" s="653"/>
      <c r="Q443" s="653"/>
      <c r="R443" s="653"/>
      <c r="S443" s="653"/>
      <c r="T443" s="653"/>
      <c r="U443" s="656"/>
      <c r="V443" s="653"/>
      <c r="W443" s="653"/>
      <c r="X443" s="653"/>
      <c r="Y443" s="657"/>
      <c r="Z443" s="615"/>
      <c r="AA443" s="653"/>
      <c r="AB443" s="657"/>
      <c r="AC443" s="653"/>
      <c r="AD443" s="653"/>
      <c r="AE443" s="653"/>
      <c r="AF443" s="653"/>
      <c r="AG443" s="653"/>
      <c r="AH443" s="653"/>
      <c r="AI443" s="653"/>
      <c r="AJ443" s="653"/>
      <c r="AK443" s="653"/>
      <c r="AL443" s="653"/>
      <c r="AM443" s="653"/>
      <c r="AN443" s="653"/>
      <c r="AO443" s="653"/>
      <c r="AP443" s="653"/>
      <c r="AQ443" s="653"/>
      <c r="AR443" s="653"/>
      <c r="AS443" s="653"/>
      <c r="AT443" s="653"/>
      <c r="AU443" s="653"/>
      <c r="AV443" s="653"/>
    </row>
    <row r="444" spans="1:48" ht="14.5">
      <c r="A444" s="653"/>
      <c r="B444" s="653"/>
      <c r="C444" s="653"/>
      <c r="D444" s="653"/>
      <c r="E444" s="653"/>
      <c r="F444" s="653"/>
      <c r="G444" s="654"/>
      <c r="H444" s="654"/>
      <c r="I444" s="653"/>
      <c r="J444" s="653"/>
      <c r="K444" s="655"/>
      <c r="L444" s="653"/>
      <c r="M444" s="653"/>
      <c r="N444" s="653"/>
      <c r="O444" s="653"/>
      <c r="P444" s="653"/>
      <c r="Q444" s="653"/>
      <c r="R444" s="653"/>
      <c r="S444" s="653"/>
      <c r="T444" s="653"/>
      <c r="U444" s="656"/>
      <c r="V444" s="653"/>
      <c r="W444" s="653"/>
      <c r="X444" s="653"/>
      <c r="Y444" s="657"/>
      <c r="Z444" s="615"/>
      <c r="AA444" s="653"/>
      <c r="AB444" s="657"/>
      <c r="AC444" s="653"/>
      <c r="AD444" s="653"/>
      <c r="AE444" s="653"/>
      <c r="AF444" s="653"/>
      <c r="AG444" s="653"/>
      <c r="AH444" s="653"/>
      <c r="AI444" s="653"/>
      <c r="AJ444" s="653"/>
      <c r="AK444" s="653"/>
      <c r="AL444" s="653"/>
      <c r="AM444" s="653"/>
      <c r="AN444" s="653"/>
      <c r="AO444" s="653"/>
      <c r="AP444" s="653"/>
      <c r="AQ444" s="653"/>
      <c r="AR444" s="653"/>
      <c r="AS444" s="653"/>
      <c r="AT444" s="653"/>
      <c r="AU444" s="653"/>
      <c r="AV444" s="653"/>
    </row>
    <row r="445" spans="1:48" ht="14.5">
      <c r="A445" s="653"/>
      <c r="B445" s="653"/>
      <c r="C445" s="653"/>
      <c r="D445" s="653"/>
      <c r="E445" s="653"/>
      <c r="F445" s="653"/>
      <c r="G445" s="654"/>
      <c r="H445" s="654"/>
      <c r="I445" s="653"/>
      <c r="J445" s="653"/>
      <c r="K445" s="655"/>
      <c r="L445" s="653"/>
      <c r="M445" s="653"/>
      <c r="N445" s="653"/>
      <c r="O445" s="653"/>
      <c r="P445" s="653"/>
      <c r="Q445" s="653"/>
      <c r="R445" s="653"/>
      <c r="S445" s="653"/>
      <c r="T445" s="653"/>
      <c r="U445" s="656"/>
      <c r="V445" s="653"/>
      <c r="W445" s="653"/>
      <c r="X445" s="653"/>
      <c r="Y445" s="657"/>
      <c r="Z445" s="615"/>
      <c r="AA445" s="653"/>
      <c r="AB445" s="657"/>
      <c r="AC445" s="653"/>
      <c r="AD445" s="653"/>
      <c r="AE445" s="653"/>
      <c r="AF445" s="653"/>
      <c r="AG445" s="653"/>
      <c r="AH445" s="653"/>
      <c r="AI445" s="653"/>
      <c r="AJ445" s="653"/>
      <c r="AK445" s="653"/>
      <c r="AL445" s="653"/>
      <c r="AM445" s="653"/>
      <c r="AN445" s="653"/>
      <c r="AO445" s="653"/>
      <c r="AP445" s="653"/>
      <c r="AQ445" s="653"/>
      <c r="AR445" s="653"/>
      <c r="AS445" s="653"/>
      <c r="AT445" s="653"/>
      <c r="AU445" s="653"/>
      <c r="AV445" s="653"/>
    </row>
    <row r="446" spans="1:48" ht="14.5">
      <c r="A446" s="653"/>
      <c r="B446" s="653"/>
      <c r="C446" s="653"/>
      <c r="D446" s="653"/>
      <c r="E446" s="653"/>
      <c r="F446" s="653"/>
      <c r="G446" s="654"/>
      <c r="H446" s="654"/>
      <c r="I446" s="653"/>
      <c r="J446" s="653"/>
      <c r="K446" s="655"/>
      <c r="L446" s="653"/>
      <c r="M446" s="653"/>
      <c r="N446" s="653"/>
      <c r="O446" s="653"/>
      <c r="P446" s="653"/>
      <c r="Q446" s="653"/>
      <c r="R446" s="653"/>
      <c r="S446" s="653"/>
      <c r="T446" s="653"/>
      <c r="U446" s="656"/>
      <c r="V446" s="653"/>
      <c r="W446" s="653"/>
      <c r="X446" s="653"/>
      <c r="Y446" s="657"/>
      <c r="Z446" s="615"/>
      <c r="AA446" s="653"/>
      <c r="AB446" s="657"/>
      <c r="AC446" s="653"/>
      <c r="AD446" s="653"/>
      <c r="AE446" s="653"/>
      <c r="AF446" s="653"/>
      <c r="AG446" s="653"/>
      <c r="AH446" s="653"/>
      <c r="AI446" s="653"/>
      <c r="AJ446" s="653"/>
      <c r="AK446" s="653"/>
      <c r="AL446" s="653"/>
      <c r="AM446" s="653"/>
      <c r="AN446" s="653"/>
      <c r="AO446" s="653"/>
      <c r="AP446" s="653"/>
      <c r="AQ446" s="653"/>
      <c r="AR446" s="653"/>
      <c r="AS446" s="653"/>
      <c r="AT446" s="653"/>
      <c r="AU446" s="653"/>
      <c r="AV446" s="653"/>
    </row>
    <row r="447" spans="1:48" ht="14.5">
      <c r="A447" s="653"/>
      <c r="B447" s="653"/>
      <c r="C447" s="653"/>
      <c r="D447" s="653"/>
      <c r="E447" s="653"/>
      <c r="F447" s="653"/>
      <c r="G447" s="654"/>
      <c r="H447" s="654"/>
      <c r="I447" s="653"/>
      <c r="J447" s="653"/>
      <c r="K447" s="655"/>
      <c r="L447" s="653"/>
      <c r="M447" s="653"/>
      <c r="N447" s="653"/>
      <c r="O447" s="653"/>
      <c r="P447" s="653"/>
      <c r="Q447" s="653"/>
      <c r="R447" s="653"/>
      <c r="S447" s="653"/>
      <c r="T447" s="653"/>
      <c r="U447" s="656"/>
      <c r="V447" s="653"/>
      <c r="W447" s="653"/>
      <c r="X447" s="653"/>
      <c r="Y447" s="657"/>
      <c r="Z447" s="615"/>
      <c r="AA447" s="653"/>
      <c r="AB447" s="657"/>
      <c r="AC447" s="653"/>
      <c r="AD447" s="653"/>
      <c r="AE447" s="653"/>
      <c r="AF447" s="653"/>
      <c r="AG447" s="653"/>
      <c r="AH447" s="653"/>
      <c r="AI447" s="653"/>
      <c r="AJ447" s="653"/>
      <c r="AK447" s="653"/>
      <c r="AL447" s="653"/>
      <c r="AM447" s="653"/>
      <c r="AN447" s="653"/>
      <c r="AO447" s="653"/>
      <c r="AP447" s="653"/>
      <c r="AQ447" s="653"/>
      <c r="AR447" s="653"/>
      <c r="AS447" s="653"/>
      <c r="AT447" s="653"/>
      <c r="AU447" s="653"/>
      <c r="AV447" s="653"/>
    </row>
    <row r="448" spans="1:48" ht="14.5">
      <c r="A448" s="653"/>
      <c r="B448" s="653"/>
      <c r="C448" s="653"/>
      <c r="D448" s="653"/>
      <c r="E448" s="653"/>
      <c r="F448" s="653"/>
      <c r="G448" s="654"/>
      <c r="H448" s="654"/>
      <c r="I448" s="653"/>
      <c r="J448" s="653"/>
      <c r="K448" s="655"/>
      <c r="L448" s="653"/>
      <c r="M448" s="653"/>
      <c r="N448" s="653"/>
      <c r="O448" s="653"/>
      <c r="P448" s="653"/>
      <c r="Q448" s="653"/>
      <c r="R448" s="653"/>
      <c r="S448" s="653"/>
      <c r="T448" s="653"/>
      <c r="U448" s="656"/>
      <c r="V448" s="653"/>
      <c r="W448" s="653"/>
      <c r="X448" s="653"/>
      <c r="Y448" s="657"/>
      <c r="Z448" s="615"/>
      <c r="AA448" s="653"/>
      <c r="AB448" s="657"/>
      <c r="AC448" s="653"/>
      <c r="AD448" s="653"/>
      <c r="AE448" s="653"/>
      <c r="AF448" s="653"/>
      <c r="AG448" s="653"/>
      <c r="AH448" s="653"/>
      <c r="AI448" s="653"/>
      <c r="AJ448" s="653"/>
      <c r="AK448" s="653"/>
      <c r="AL448" s="653"/>
      <c r="AM448" s="653"/>
      <c r="AN448" s="653"/>
      <c r="AO448" s="653"/>
      <c r="AP448" s="653"/>
      <c r="AQ448" s="653"/>
      <c r="AR448" s="653"/>
      <c r="AS448" s="653"/>
      <c r="AT448" s="653"/>
      <c r="AU448" s="653"/>
      <c r="AV448" s="653"/>
    </row>
    <row r="449" spans="1:48" ht="14.5">
      <c r="A449" s="653"/>
      <c r="B449" s="653"/>
      <c r="C449" s="653"/>
      <c r="D449" s="653"/>
      <c r="E449" s="653"/>
      <c r="F449" s="653"/>
      <c r="G449" s="654"/>
      <c r="H449" s="654"/>
      <c r="I449" s="653"/>
      <c r="J449" s="653"/>
      <c r="K449" s="655"/>
      <c r="L449" s="653"/>
      <c r="M449" s="653"/>
      <c r="N449" s="653"/>
      <c r="O449" s="653"/>
      <c r="P449" s="653"/>
      <c r="Q449" s="653"/>
      <c r="R449" s="653"/>
      <c r="S449" s="653"/>
      <c r="T449" s="653"/>
      <c r="U449" s="656"/>
      <c r="V449" s="653"/>
      <c r="W449" s="653"/>
      <c r="X449" s="653"/>
      <c r="Y449" s="657"/>
      <c r="Z449" s="615"/>
      <c r="AA449" s="653"/>
      <c r="AB449" s="657"/>
      <c r="AC449" s="653"/>
      <c r="AD449" s="653"/>
      <c r="AE449" s="653"/>
      <c r="AF449" s="653"/>
      <c r="AG449" s="653"/>
      <c r="AH449" s="653"/>
      <c r="AI449" s="653"/>
      <c r="AJ449" s="653"/>
      <c r="AK449" s="653"/>
      <c r="AL449" s="653"/>
      <c r="AM449" s="653"/>
      <c r="AN449" s="653"/>
      <c r="AO449" s="653"/>
      <c r="AP449" s="653"/>
      <c r="AQ449" s="653"/>
      <c r="AR449" s="653"/>
      <c r="AS449" s="653"/>
      <c r="AT449" s="653"/>
      <c r="AU449" s="653"/>
      <c r="AV449" s="653"/>
    </row>
    <row r="450" spans="1:48" ht="14.5">
      <c r="A450" s="653"/>
      <c r="B450" s="653"/>
      <c r="C450" s="653"/>
      <c r="D450" s="653"/>
      <c r="E450" s="653"/>
      <c r="F450" s="653"/>
      <c r="G450" s="654"/>
      <c r="H450" s="654"/>
      <c r="I450" s="653"/>
      <c r="J450" s="653"/>
      <c r="K450" s="655"/>
      <c r="L450" s="653"/>
      <c r="M450" s="653"/>
      <c r="N450" s="653"/>
      <c r="O450" s="653"/>
      <c r="P450" s="653"/>
      <c r="Q450" s="653"/>
      <c r="R450" s="653"/>
      <c r="S450" s="653"/>
      <c r="T450" s="653"/>
      <c r="U450" s="656"/>
      <c r="V450" s="653"/>
      <c r="W450" s="653"/>
      <c r="X450" s="653"/>
      <c r="Y450" s="657"/>
      <c r="Z450" s="615"/>
      <c r="AA450" s="653"/>
      <c r="AB450" s="657"/>
      <c r="AC450" s="653"/>
      <c r="AD450" s="653"/>
      <c r="AE450" s="653"/>
      <c r="AF450" s="653"/>
      <c r="AG450" s="653"/>
      <c r="AH450" s="653"/>
      <c r="AI450" s="653"/>
      <c r="AJ450" s="653"/>
      <c r="AK450" s="653"/>
      <c r="AL450" s="653"/>
      <c r="AM450" s="653"/>
      <c r="AN450" s="653"/>
      <c r="AO450" s="653"/>
      <c r="AP450" s="653"/>
      <c r="AQ450" s="653"/>
      <c r="AR450" s="653"/>
      <c r="AS450" s="653"/>
      <c r="AT450" s="653"/>
      <c r="AU450" s="653"/>
      <c r="AV450" s="653"/>
    </row>
    <row r="451" spans="1:48" ht="14.5">
      <c r="A451" s="653"/>
      <c r="B451" s="653"/>
      <c r="C451" s="653"/>
      <c r="D451" s="653"/>
      <c r="E451" s="653"/>
      <c r="F451" s="653"/>
      <c r="G451" s="654"/>
      <c r="H451" s="654"/>
      <c r="I451" s="653"/>
      <c r="J451" s="653"/>
      <c r="K451" s="655"/>
      <c r="L451" s="653"/>
      <c r="M451" s="653"/>
      <c r="N451" s="653"/>
      <c r="O451" s="653"/>
      <c r="P451" s="653"/>
      <c r="Q451" s="653"/>
      <c r="R451" s="653"/>
      <c r="S451" s="653"/>
      <c r="T451" s="653"/>
      <c r="U451" s="656"/>
      <c r="V451" s="653"/>
      <c r="W451" s="653"/>
      <c r="X451" s="653"/>
      <c r="Y451" s="657"/>
      <c r="Z451" s="615"/>
      <c r="AA451" s="653"/>
      <c r="AB451" s="657"/>
      <c r="AC451" s="653"/>
      <c r="AD451" s="653"/>
      <c r="AE451" s="653"/>
      <c r="AF451" s="653"/>
      <c r="AG451" s="653"/>
      <c r="AH451" s="653"/>
      <c r="AI451" s="653"/>
      <c r="AJ451" s="653"/>
      <c r="AK451" s="653"/>
      <c r="AL451" s="653"/>
      <c r="AM451" s="653"/>
      <c r="AN451" s="653"/>
      <c r="AO451" s="653"/>
      <c r="AP451" s="653"/>
      <c r="AQ451" s="653"/>
      <c r="AR451" s="653"/>
      <c r="AS451" s="653"/>
      <c r="AT451" s="653"/>
      <c r="AU451" s="653"/>
      <c r="AV451" s="653"/>
    </row>
    <row r="452" spans="1:48" ht="14.5">
      <c r="A452" s="653"/>
      <c r="B452" s="653"/>
      <c r="C452" s="653"/>
      <c r="D452" s="653"/>
      <c r="E452" s="653"/>
      <c r="F452" s="653"/>
      <c r="G452" s="654"/>
      <c r="H452" s="654"/>
      <c r="I452" s="653"/>
      <c r="J452" s="653"/>
      <c r="K452" s="655"/>
      <c r="L452" s="653"/>
      <c r="M452" s="653"/>
      <c r="N452" s="653"/>
      <c r="O452" s="653"/>
      <c r="P452" s="653"/>
      <c r="Q452" s="653"/>
      <c r="R452" s="653"/>
      <c r="S452" s="653"/>
      <c r="T452" s="653"/>
      <c r="U452" s="656"/>
      <c r="V452" s="653"/>
      <c r="W452" s="653"/>
      <c r="X452" s="653"/>
      <c r="Y452" s="657"/>
      <c r="Z452" s="615"/>
      <c r="AA452" s="653"/>
      <c r="AB452" s="657"/>
      <c r="AC452" s="653"/>
      <c r="AD452" s="653"/>
      <c r="AE452" s="653"/>
      <c r="AF452" s="653"/>
      <c r="AG452" s="653"/>
      <c r="AH452" s="653"/>
      <c r="AI452" s="653"/>
      <c r="AJ452" s="653"/>
      <c r="AK452" s="653"/>
      <c r="AL452" s="653"/>
      <c r="AM452" s="653"/>
      <c r="AN452" s="653"/>
      <c r="AO452" s="653"/>
      <c r="AP452" s="653"/>
      <c r="AQ452" s="653"/>
      <c r="AR452" s="653"/>
      <c r="AS452" s="653"/>
      <c r="AT452" s="653"/>
      <c r="AU452" s="653"/>
      <c r="AV452" s="653"/>
    </row>
    <row r="453" spans="1:48" ht="14.5">
      <c r="A453" s="653"/>
      <c r="B453" s="653"/>
      <c r="C453" s="653"/>
      <c r="D453" s="653"/>
      <c r="E453" s="653"/>
      <c r="F453" s="653"/>
      <c r="G453" s="654"/>
      <c r="H453" s="654"/>
      <c r="I453" s="653"/>
      <c r="J453" s="653"/>
      <c r="K453" s="655"/>
      <c r="L453" s="653"/>
      <c r="M453" s="653"/>
      <c r="N453" s="653"/>
      <c r="O453" s="653"/>
      <c r="P453" s="653"/>
      <c r="Q453" s="653"/>
      <c r="R453" s="653"/>
      <c r="S453" s="653"/>
      <c r="T453" s="653"/>
      <c r="U453" s="656"/>
      <c r="V453" s="653"/>
      <c r="W453" s="653"/>
      <c r="X453" s="653"/>
      <c r="Y453" s="657"/>
      <c r="Z453" s="615"/>
      <c r="AA453" s="653"/>
      <c r="AB453" s="657"/>
      <c r="AC453" s="653"/>
      <c r="AD453" s="653"/>
      <c r="AE453" s="653"/>
      <c r="AF453" s="653"/>
      <c r="AG453" s="653"/>
      <c r="AH453" s="653"/>
      <c r="AI453" s="653"/>
      <c r="AJ453" s="653"/>
      <c r="AK453" s="653"/>
      <c r="AL453" s="653"/>
      <c r="AM453" s="653"/>
      <c r="AN453" s="653"/>
      <c r="AO453" s="653"/>
      <c r="AP453" s="653"/>
      <c r="AQ453" s="653"/>
      <c r="AR453" s="653"/>
      <c r="AS453" s="653"/>
      <c r="AT453" s="653"/>
      <c r="AU453" s="653"/>
      <c r="AV453" s="653"/>
    </row>
    <row r="454" spans="1:48" ht="14.5">
      <c r="A454" s="653"/>
      <c r="B454" s="653"/>
      <c r="C454" s="653"/>
      <c r="D454" s="653"/>
      <c r="E454" s="653"/>
      <c r="F454" s="653"/>
      <c r="G454" s="654"/>
      <c r="H454" s="654"/>
      <c r="I454" s="653"/>
      <c r="J454" s="653"/>
      <c r="K454" s="655"/>
      <c r="L454" s="653"/>
      <c r="M454" s="653"/>
      <c r="N454" s="653"/>
      <c r="O454" s="653"/>
      <c r="P454" s="653"/>
      <c r="Q454" s="653"/>
      <c r="R454" s="653"/>
      <c r="S454" s="653"/>
      <c r="T454" s="653"/>
      <c r="U454" s="656"/>
      <c r="V454" s="653"/>
      <c r="W454" s="653"/>
      <c r="X454" s="653"/>
      <c r="Y454" s="657"/>
      <c r="Z454" s="615"/>
      <c r="AA454" s="653"/>
      <c r="AB454" s="657"/>
      <c r="AC454" s="653"/>
      <c r="AD454" s="653"/>
      <c r="AE454" s="653"/>
      <c r="AF454" s="653"/>
      <c r="AG454" s="653"/>
      <c r="AH454" s="653"/>
      <c r="AI454" s="653"/>
      <c r="AJ454" s="653"/>
      <c r="AK454" s="653"/>
      <c r="AL454" s="653"/>
      <c r="AM454" s="653"/>
      <c r="AN454" s="653"/>
      <c r="AO454" s="653"/>
      <c r="AP454" s="653"/>
      <c r="AQ454" s="653"/>
      <c r="AR454" s="653"/>
      <c r="AS454" s="653"/>
      <c r="AT454" s="653"/>
      <c r="AU454" s="653"/>
      <c r="AV454" s="653"/>
    </row>
    <row r="455" spans="1:48" ht="14.5">
      <c r="A455" s="653"/>
      <c r="B455" s="653"/>
      <c r="C455" s="653"/>
      <c r="D455" s="653"/>
      <c r="E455" s="653"/>
      <c r="F455" s="653"/>
      <c r="G455" s="654"/>
      <c r="H455" s="654"/>
      <c r="I455" s="653"/>
      <c r="J455" s="653"/>
      <c r="K455" s="655"/>
      <c r="L455" s="653"/>
      <c r="M455" s="653"/>
      <c r="N455" s="653"/>
      <c r="O455" s="653"/>
      <c r="P455" s="653"/>
      <c r="Q455" s="653"/>
      <c r="R455" s="653"/>
      <c r="S455" s="653"/>
      <c r="T455" s="653"/>
      <c r="U455" s="656"/>
      <c r="V455" s="653"/>
      <c r="W455" s="653"/>
      <c r="X455" s="653"/>
      <c r="Y455" s="657"/>
      <c r="Z455" s="615"/>
      <c r="AA455" s="653"/>
      <c r="AB455" s="657"/>
      <c r="AC455" s="653"/>
      <c r="AD455" s="653"/>
      <c r="AE455" s="653"/>
      <c r="AF455" s="653"/>
      <c r="AG455" s="653"/>
      <c r="AH455" s="653"/>
      <c r="AI455" s="653"/>
      <c r="AJ455" s="653"/>
      <c r="AK455" s="653"/>
      <c r="AL455" s="653"/>
      <c r="AM455" s="653"/>
      <c r="AN455" s="653"/>
      <c r="AO455" s="653"/>
      <c r="AP455" s="653"/>
      <c r="AQ455" s="653"/>
      <c r="AR455" s="653"/>
      <c r="AS455" s="653"/>
      <c r="AT455" s="653"/>
      <c r="AU455" s="653"/>
      <c r="AV455" s="653"/>
    </row>
    <row r="456" spans="1:48" ht="14.5">
      <c r="A456" s="653"/>
      <c r="B456" s="653"/>
      <c r="C456" s="653"/>
      <c r="D456" s="653"/>
      <c r="E456" s="653"/>
      <c r="F456" s="653"/>
      <c r="G456" s="654"/>
      <c r="H456" s="654"/>
      <c r="I456" s="653"/>
      <c r="J456" s="653"/>
      <c r="K456" s="655"/>
      <c r="L456" s="653"/>
      <c r="M456" s="653"/>
      <c r="N456" s="653"/>
      <c r="O456" s="653"/>
      <c r="P456" s="653"/>
      <c r="Q456" s="653"/>
      <c r="R456" s="653"/>
      <c r="S456" s="653"/>
      <c r="T456" s="653"/>
      <c r="U456" s="656"/>
      <c r="V456" s="653"/>
      <c r="W456" s="653"/>
      <c r="X456" s="653"/>
      <c r="Y456" s="657"/>
      <c r="Z456" s="615"/>
      <c r="AA456" s="653"/>
      <c r="AB456" s="657"/>
      <c r="AC456" s="653"/>
      <c r="AD456" s="653"/>
      <c r="AE456" s="653"/>
      <c r="AF456" s="653"/>
      <c r="AG456" s="653"/>
      <c r="AH456" s="653"/>
      <c r="AI456" s="653"/>
      <c r="AJ456" s="653"/>
      <c r="AK456" s="653"/>
      <c r="AL456" s="653"/>
      <c r="AM456" s="653"/>
      <c r="AN456" s="653"/>
      <c r="AO456" s="653"/>
      <c r="AP456" s="653"/>
      <c r="AQ456" s="653"/>
      <c r="AR456" s="653"/>
      <c r="AS456" s="653"/>
      <c r="AT456" s="653"/>
      <c r="AU456" s="653"/>
      <c r="AV456" s="653"/>
    </row>
    <row r="457" spans="1:48" ht="14.5">
      <c r="A457" s="653"/>
      <c r="B457" s="653"/>
      <c r="C457" s="653"/>
      <c r="D457" s="653"/>
      <c r="E457" s="653"/>
      <c r="F457" s="653"/>
      <c r="G457" s="654"/>
      <c r="H457" s="654"/>
      <c r="I457" s="653"/>
      <c r="J457" s="653"/>
      <c r="K457" s="655"/>
      <c r="L457" s="653"/>
      <c r="M457" s="653"/>
      <c r="N457" s="653"/>
      <c r="O457" s="653"/>
      <c r="P457" s="653"/>
      <c r="Q457" s="653"/>
      <c r="R457" s="653"/>
      <c r="S457" s="653"/>
      <c r="T457" s="653"/>
      <c r="U457" s="656"/>
      <c r="V457" s="653"/>
      <c r="W457" s="653"/>
      <c r="X457" s="653"/>
      <c r="Y457" s="657"/>
      <c r="Z457" s="615"/>
      <c r="AA457" s="653"/>
      <c r="AB457" s="657"/>
      <c r="AC457" s="653"/>
      <c r="AD457" s="653"/>
      <c r="AE457" s="653"/>
      <c r="AF457" s="653"/>
      <c r="AG457" s="653"/>
      <c r="AH457" s="653"/>
      <c r="AI457" s="653"/>
      <c r="AJ457" s="653"/>
      <c r="AK457" s="653"/>
      <c r="AL457" s="653"/>
      <c r="AM457" s="653"/>
      <c r="AN457" s="653"/>
      <c r="AO457" s="653"/>
      <c r="AP457" s="653"/>
      <c r="AQ457" s="653"/>
      <c r="AR457" s="653"/>
      <c r="AS457" s="653"/>
      <c r="AT457" s="653"/>
      <c r="AU457" s="653"/>
      <c r="AV457" s="653"/>
    </row>
    <row r="458" spans="1:48" ht="14.5">
      <c r="A458" s="653"/>
      <c r="B458" s="653"/>
      <c r="C458" s="653"/>
      <c r="D458" s="653"/>
      <c r="E458" s="653"/>
      <c r="F458" s="653"/>
      <c r="G458" s="654"/>
      <c r="H458" s="654"/>
      <c r="I458" s="653"/>
      <c r="J458" s="653"/>
      <c r="K458" s="655"/>
      <c r="L458" s="653"/>
      <c r="M458" s="653"/>
      <c r="N458" s="653"/>
      <c r="O458" s="653"/>
      <c r="P458" s="653"/>
      <c r="Q458" s="653"/>
      <c r="R458" s="653"/>
      <c r="S458" s="653"/>
      <c r="T458" s="653"/>
      <c r="U458" s="656"/>
      <c r="V458" s="653"/>
      <c r="W458" s="653"/>
      <c r="X458" s="653"/>
      <c r="Y458" s="657"/>
      <c r="Z458" s="615"/>
      <c r="AA458" s="653"/>
      <c r="AB458" s="657"/>
      <c r="AC458" s="653"/>
      <c r="AD458" s="653"/>
      <c r="AE458" s="653"/>
      <c r="AF458" s="653"/>
      <c r="AG458" s="653"/>
      <c r="AH458" s="653"/>
      <c r="AI458" s="653"/>
      <c r="AJ458" s="653"/>
      <c r="AK458" s="653"/>
      <c r="AL458" s="653"/>
      <c r="AM458" s="653"/>
      <c r="AN458" s="653"/>
      <c r="AO458" s="653"/>
      <c r="AP458" s="653"/>
      <c r="AQ458" s="653"/>
      <c r="AR458" s="653"/>
      <c r="AS458" s="653"/>
      <c r="AT458" s="653"/>
      <c r="AU458" s="653"/>
      <c r="AV458" s="653"/>
    </row>
    <row r="459" spans="1:48" ht="14.5">
      <c r="A459" s="653"/>
      <c r="B459" s="653"/>
      <c r="C459" s="653"/>
      <c r="D459" s="653"/>
      <c r="E459" s="653"/>
      <c r="F459" s="653"/>
      <c r="G459" s="654"/>
      <c r="H459" s="654"/>
      <c r="I459" s="653"/>
      <c r="J459" s="653"/>
      <c r="K459" s="655"/>
      <c r="L459" s="653"/>
      <c r="M459" s="653"/>
      <c r="N459" s="653"/>
      <c r="O459" s="653"/>
      <c r="P459" s="653"/>
      <c r="Q459" s="653"/>
      <c r="R459" s="653"/>
      <c r="S459" s="653"/>
      <c r="T459" s="653"/>
      <c r="U459" s="656"/>
      <c r="V459" s="653"/>
      <c r="W459" s="653"/>
      <c r="X459" s="653"/>
      <c r="Y459" s="657"/>
      <c r="Z459" s="615"/>
      <c r="AA459" s="653"/>
      <c r="AB459" s="657"/>
      <c r="AC459" s="653"/>
      <c r="AD459" s="653"/>
      <c r="AE459" s="653"/>
      <c r="AF459" s="653"/>
      <c r="AG459" s="653"/>
      <c r="AH459" s="653"/>
      <c r="AI459" s="653"/>
      <c r="AJ459" s="653"/>
      <c r="AK459" s="653"/>
      <c r="AL459" s="653"/>
      <c r="AM459" s="653"/>
      <c r="AN459" s="653"/>
      <c r="AO459" s="653"/>
      <c r="AP459" s="653"/>
      <c r="AQ459" s="653"/>
      <c r="AR459" s="653"/>
      <c r="AS459" s="653"/>
      <c r="AT459" s="653"/>
      <c r="AU459" s="653"/>
      <c r="AV459" s="653"/>
    </row>
    <row r="460" spans="1:48" ht="14.5">
      <c r="A460" s="653"/>
      <c r="B460" s="653"/>
      <c r="C460" s="653"/>
      <c r="D460" s="653"/>
      <c r="E460" s="653"/>
      <c r="F460" s="653"/>
      <c r="G460" s="654"/>
      <c r="H460" s="654"/>
      <c r="I460" s="653"/>
      <c r="J460" s="653"/>
      <c r="K460" s="655"/>
      <c r="L460" s="653"/>
      <c r="M460" s="653"/>
      <c r="N460" s="653"/>
      <c r="O460" s="653"/>
      <c r="P460" s="653"/>
      <c r="Q460" s="653"/>
      <c r="R460" s="653"/>
      <c r="S460" s="653"/>
      <c r="T460" s="653"/>
      <c r="U460" s="656"/>
      <c r="V460" s="653"/>
      <c r="W460" s="653"/>
      <c r="X460" s="653"/>
      <c r="Y460" s="657"/>
      <c r="Z460" s="615"/>
      <c r="AA460" s="653"/>
      <c r="AB460" s="657"/>
      <c r="AC460" s="653"/>
      <c r="AD460" s="653"/>
      <c r="AE460" s="653"/>
      <c r="AF460" s="653"/>
      <c r="AG460" s="653"/>
      <c r="AH460" s="653"/>
      <c r="AI460" s="653"/>
      <c r="AJ460" s="653"/>
      <c r="AK460" s="653"/>
      <c r="AL460" s="653"/>
      <c r="AM460" s="653"/>
      <c r="AN460" s="653"/>
      <c r="AO460" s="653"/>
      <c r="AP460" s="653"/>
      <c r="AQ460" s="653"/>
      <c r="AR460" s="653"/>
      <c r="AS460" s="653"/>
      <c r="AT460" s="653"/>
      <c r="AU460" s="653"/>
      <c r="AV460" s="653"/>
    </row>
    <row r="461" spans="1:48" ht="14.5">
      <c r="A461" s="653"/>
      <c r="B461" s="653"/>
      <c r="C461" s="653"/>
      <c r="D461" s="653"/>
      <c r="E461" s="653"/>
      <c r="F461" s="653"/>
      <c r="G461" s="654"/>
      <c r="H461" s="654"/>
      <c r="I461" s="653"/>
      <c r="J461" s="653"/>
      <c r="K461" s="655"/>
      <c r="L461" s="653"/>
      <c r="M461" s="653"/>
      <c r="N461" s="653"/>
      <c r="O461" s="653"/>
      <c r="P461" s="653"/>
      <c r="Q461" s="653"/>
      <c r="R461" s="653"/>
      <c r="S461" s="653"/>
      <c r="T461" s="653"/>
      <c r="U461" s="656"/>
      <c r="V461" s="653"/>
      <c r="W461" s="653"/>
      <c r="X461" s="653"/>
      <c r="Y461" s="657"/>
      <c r="Z461" s="615"/>
      <c r="AA461" s="653"/>
      <c r="AB461" s="657"/>
      <c r="AC461" s="653"/>
      <c r="AD461" s="653"/>
      <c r="AE461" s="653"/>
      <c r="AF461" s="653"/>
      <c r="AG461" s="653"/>
      <c r="AH461" s="653"/>
      <c r="AI461" s="653"/>
      <c r="AJ461" s="653"/>
      <c r="AK461" s="653"/>
      <c r="AL461" s="653"/>
      <c r="AM461" s="653"/>
      <c r="AN461" s="653"/>
      <c r="AO461" s="653"/>
      <c r="AP461" s="653"/>
      <c r="AQ461" s="653"/>
      <c r="AR461" s="653"/>
      <c r="AS461" s="653"/>
      <c r="AT461" s="653"/>
      <c r="AU461" s="653"/>
      <c r="AV461" s="653"/>
    </row>
    <row r="462" spans="1:48" ht="14.5">
      <c r="A462" s="653"/>
      <c r="B462" s="653"/>
      <c r="C462" s="653"/>
      <c r="D462" s="653"/>
      <c r="E462" s="653"/>
      <c r="F462" s="653"/>
      <c r="G462" s="654"/>
      <c r="H462" s="654"/>
      <c r="I462" s="653"/>
      <c r="J462" s="653"/>
      <c r="K462" s="655"/>
      <c r="L462" s="653"/>
      <c r="M462" s="653"/>
      <c r="N462" s="653"/>
      <c r="O462" s="653"/>
      <c r="P462" s="653"/>
      <c r="Q462" s="653"/>
      <c r="R462" s="653"/>
      <c r="S462" s="653"/>
      <c r="T462" s="653"/>
      <c r="U462" s="656"/>
      <c r="V462" s="653"/>
      <c r="W462" s="653"/>
      <c r="X462" s="653"/>
      <c r="Y462" s="657"/>
      <c r="Z462" s="615"/>
      <c r="AA462" s="653"/>
      <c r="AB462" s="657"/>
      <c r="AC462" s="653"/>
      <c r="AD462" s="653"/>
      <c r="AE462" s="653"/>
      <c r="AF462" s="653"/>
      <c r="AG462" s="653"/>
      <c r="AH462" s="653"/>
      <c r="AI462" s="653"/>
      <c r="AJ462" s="653"/>
      <c r="AK462" s="653"/>
      <c r="AL462" s="653"/>
      <c r="AM462" s="653"/>
      <c r="AN462" s="653"/>
      <c r="AO462" s="653"/>
      <c r="AP462" s="653"/>
      <c r="AQ462" s="653"/>
      <c r="AR462" s="653"/>
      <c r="AS462" s="653"/>
      <c r="AT462" s="653"/>
      <c r="AU462" s="653"/>
      <c r="AV462" s="653"/>
    </row>
    <row r="463" spans="1:48" ht="14.5">
      <c r="A463" s="653"/>
      <c r="B463" s="653"/>
      <c r="C463" s="653"/>
      <c r="D463" s="653"/>
      <c r="E463" s="653"/>
      <c r="F463" s="653"/>
      <c r="G463" s="654"/>
      <c r="H463" s="654"/>
      <c r="I463" s="653"/>
      <c r="J463" s="653"/>
      <c r="K463" s="655"/>
      <c r="L463" s="653"/>
      <c r="M463" s="653"/>
      <c r="N463" s="653"/>
      <c r="O463" s="653"/>
      <c r="P463" s="653"/>
      <c r="Q463" s="653"/>
      <c r="R463" s="653"/>
      <c r="S463" s="653"/>
      <c r="T463" s="653"/>
      <c r="U463" s="656"/>
      <c r="V463" s="653"/>
      <c r="W463" s="653"/>
      <c r="X463" s="653"/>
      <c r="Y463" s="657"/>
      <c r="Z463" s="615"/>
      <c r="AA463" s="653"/>
      <c r="AB463" s="657"/>
      <c r="AC463" s="653"/>
      <c r="AD463" s="653"/>
      <c r="AE463" s="653"/>
      <c r="AF463" s="653"/>
      <c r="AG463" s="653"/>
      <c r="AH463" s="653"/>
      <c r="AI463" s="653"/>
      <c r="AJ463" s="653"/>
      <c r="AK463" s="653"/>
      <c r="AL463" s="653"/>
      <c r="AM463" s="653"/>
      <c r="AN463" s="653"/>
      <c r="AO463" s="653"/>
      <c r="AP463" s="653"/>
      <c r="AQ463" s="653"/>
      <c r="AR463" s="653"/>
      <c r="AS463" s="653"/>
      <c r="AT463" s="653"/>
      <c r="AU463" s="653"/>
      <c r="AV463" s="653"/>
    </row>
    <row r="464" spans="1:48" ht="14.5">
      <c r="A464" s="653"/>
      <c r="B464" s="653"/>
      <c r="C464" s="653"/>
      <c r="D464" s="653"/>
      <c r="E464" s="653"/>
      <c r="F464" s="653"/>
      <c r="G464" s="654"/>
      <c r="H464" s="654"/>
      <c r="I464" s="653"/>
      <c r="J464" s="653"/>
      <c r="K464" s="655"/>
      <c r="L464" s="653"/>
      <c r="M464" s="653"/>
      <c r="N464" s="653"/>
      <c r="O464" s="653"/>
      <c r="P464" s="653"/>
      <c r="Q464" s="653"/>
      <c r="R464" s="653"/>
      <c r="S464" s="653"/>
      <c r="T464" s="653"/>
      <c r="U464" s="656"/>
      <c r="V464" s="653"/>
      <c r="W464" s="653"/>
      <c r="X464" s="653"/>
      <c r="Y464" s="657"/>
      <c r="Z464" s="615"/>
      <c r="AA464" s="653"/>
      <c r="AB464" s="657"/>
      <c r="AC464" s="653"/>
      <c r="AD464" s="653"/>
      <c r="AE464" s="653"/>
      <c r="AF464" s="653"/>
      <c r="AG464" s="653"/>
      <c r="AH464" s="653"/>
      <c r="AI464" s="653"/>
      <c r="AJ464" s="653"/>
      <c r="AK464" s="653"/>
      <c r="AL464" s="653"/>
      <c r="AM464" s="653"/>
      <c r="AN464" s="653"/>
      <c r="AO464" s="653"/>
      <c r="AP464" s="653"/>
      <c r="AQ464" s="653"/>
      <c r="AR464" s="653"/>
      <c r="AS464" s="653"/>
      <c r="AT464" s="653"/>
      <c r="AU464" s="653"/>
      <c r="AV464" s="653"/>
    </row>
    <row r="465" spans="1:48" ht="14.5">
      <c r="A465" s="653"/>
      <c r="B465" s="653"/>
      <c r="C465" s="653"/>
      <c r="D465" s="653"/>
      <c r="E465" s="653"/>
      <c r="F465" s="653"/>
      <c r="G465" s="654"/>
      <c r="H465" s="654"/>
      <c r="I465" s="653"/>
      <c r="J465" s="653"/>
      <c r="K465" s="655"/>
      <c r="L465" s="653"/>
      <c r="M465" s="653"/>
      <c r="N465" s="653"/>
      <c r="O465" s="653"/>
      <c r="P465" s="653"/>
      <c r="Q465" s="653"/>
      <c r="R465" s="653"/>
      <c r="S465" s="653"/>
      <c r="T465" s="653"/>
      <c r="U465" s="656"/>
      <c r="V465" s="653"/>
      <c r="W465" s="653"/>
      <c r="X465" s="653"/>
      <c r="Y465" s="657"/>
      <c r="Z465" s="615"/>
      <c r="AA465" s="653"/>
      <c r="AB465" s="657"/>
      <c r="AC465" s="653"/>
      <c r="AD465" s="653"/>
      <c r="AE465" s="653"/>
      <c r="AF465" s="653"/>
      <c r="AG465" s="653"/>
      <c r="AH465" s="653"/>
      <c r="AI465" s="653"/>
      <c r="AJ465" s="653"/>
      <c r="AK465" s="653"/>
      <c r="AL465" s="653"/>
      <c r="AM465" s="653"/>
      <c r="AN465" s="653"/>
      <c r="AO465" s="653"/>
      <c r="AP465" s="653"/>
      <c r="AQ465" s="653"/>
      <c r="AR465" s="653"/>
      <c r="AS465" s="653"/>
      <c r="AT465" s="653"/>
      <c r="AU465" s="653"/>
      <c r="AV465" s="653"/>
    </row>
    <row r="466" spans="1:48" ht="14.5">
      <c r="A466" s="653"/>
      <c r="B466" s="653"/>
      <c r="C466" s="653"/>
      <c r="D466" s="653"/>
      <c r="E466" s="653"/>
      <c r="F466" s="653"/>
      <c r="G466" s="654"/>
      <c r="H466" s="654"/>
      <c r="I466" s="653"/>
      <c r="J466" s="653"/>
      <c r="K466" s="655"/>
      <c r="L466" s="653"/>
      <c r="M466" s="653"/>
      <c r="N466" s="653"/>
      <c r="O466" s="653"/>
      <c r="P466" s="653"/>
      <c r="Q466" s="653"/>
      <c r="R466" s="653"/>
      <c r="S466" s="653"/>
      <c r="T466" s="653"/>
      <c r="U466" s="656"/>
      <c r="V466" s="653"/>
      <c r="W466" s="653"/>
      <c r="X466" s="653"/>
      <c r="Y466" s="657"/>
      <c r="Z466" s="615"/>
      <c r="AA466" s="653"/>
      <c r="AB466" s="657"/>
      <c r="AC466" s="653"/>
      <c r="AD466" s="653"/>
      <c r="AE466" s="653"/>
      <c r="AF466" s="653"/>
      <c r="AG466" s="653"/>
      <c r="AH466" s="653"/>
      <c r="AI466" s="653"/>
      <c r="AJ466" s="653"/>
      <c r="AK466" s="653"/>
      <c r="AL466" s="653"/>
      <c r="AM466" s="653"/>
      <c r="AN466" s="653"/>
      <c r="AO466" s="653"/>
      <c r="AP466" s="653"/>
      <c r="AQ466" s="653"/>
      <c r="AR466" s="653"/>
      <c r="AS466" s="653"/>
      <c r="AT466" s="653"/>
      <c r="AU466" s="653"/>
      <c r="AV466" s="653"/>
    </row>
    <row r="467" spans="1:48" ht="14.5">
      <c r="A467" s="653"/>
      <c r="B467" s="653"/>
      <c r="C467" s="653"/>
      <c r="D467" s="653"/>
      <c r="E467" s="653"/>
      <c r="F467" s="653"/>
      <c r="G467" s="654"/>
      <c r="H467" s="654"/>
      <c r="I467" s="653"/>
      <c r="J467" s="653"/>
      <c r="K467" s="655"/>
      <c r="L467" s="653"/>
      <c r="M467" s="653"/>
      <c r="N467" s="653"/>
      <c r="O467" s="653"/>
      <c r="P467" s="653"/>
      <c r="Q467" s="653"/>
      <c r="R467" s="653"/>
      <c r="S467" s="653"/>
      <c r="T467" s="653"/>
      <c r="U467" s="656"/>
      <c r="V467" s="653"/>
      <c r="W467" s="653"/>
      <c r="X467" s="653"/>
      <c r="Y467" s="657"/>
      <c r="Z467" s="615"/>
      <c r="AA467" s="653"/>
      <c r="AB467" s="657"/>
      <c r="AC467" s="653"/>
      <c r="AD467" s="653"/>
      <c r="AE467" s="653"/>
      <c r="AF467" s="653"/>
      <c r="AG467" s="653"/>
      <c r="AH467" s="653"/>
      <c r="AI467" s="653"/>
      <c r="AJ467" s="653"/>
      <c r="AK467" s="653"/>
      <c r="AL467" s="653"/>
      <c r="AM467" s="653"/>
      <c r="AN467" s="653"/>
      <c r="AO467" s="653"/>
      <c r="AP467" s="653"/>
      <c r="AQ467" s="653"/>
      <c r="AR467" s="653"/>
      <c r="AS467" s="653"/>
      <c r="AT467" s="653"/>
      <c r="AU467" s="653"/>
      <c r="AV467" s="653"/>
    </row>
    <row r="468" spans="1:48" ht="14.5">
      <c r="A468" s="653"/>
      <c r="B468" s="653"/>
      <c r="C468" s="653"/>
      <c r="D468" s="653"/>
      <c r="E468" s="653"/>
      <c r="F468" s="653"/>
      <c r="G468" s="654"/>
      <c r="H468" s="654"/>
      <c r="I468" s="653"/>
      <c r="J468" s="653"/>
      <c r="K468" s="655"/>
      <c r="L468" s="653"/>
      <c r="M468" s="653"/>
      <c r="N468" s="653"/>
      <c r="O468" s="653"/>
      <c r="P468" s="653"/>
      <c r="Q468" s="653"/>
      <c r="R468" s="653"/>
      <c r="S468" s="653"/>
      <c r="T468" s="653"/>
      <c r="U468" s="656"/>
      <c r="V468" s="653"/>
      <c r="W468" s="653"/>
      <c r="X468" s="653"/>
      <c r="Y468" s="657"/>
      <c r="Z468" s="615"/>
      <c r="AA468" s="653"/>
      <c r="AB468" s="657"/>
      <c r="AC468" s="653"/>
      <c r="AD468" s="653"/>
      <c r="AE468" s="653"/>
      <c r="AF468" s="653"/>
      <c r="AG468" s="653"/>
      <c r="AH468" s="653"/>
      <c r="AI468" s="653"/>
      <c r="AJ468" s="653"/>
      <c r="AK468" s="653"/>
      <c r="AL468" s="653"/>
      <c r="AM468" s="653"/>
      <c r="AN468" s="653"/>
      <c r="AO468" s="653"/>
      <c r="AP468" s="653"/>
      <c r="AQ468" s="653"/>
      <c r="AR468" s="653"/>
      <c r="AS468" s="653"/>
      <c r="AT468" s="653"/>
      <c r="AU468" s="653"/>
      <c r="AV468" s="653"/>
    </row>
    <row r="469" spans="1:48" ht="14.5">
      <c r="A469" s="653"/>
      <c r="B469" s="653"/>
      <c r="C469" s="653"/>
      <c r="D469" s="653"/>
      <c r="E469" s="653"/>
      <c r="F469" s="653"/>
      <c r="G469" s="654"/>
      <c r="H469" s="654"/>
      <c r="I469" s="653"/>
      <c r="J469" s="653"/>
      <c r="K469" s="655"/>
      <c r="L469" s="653"/>
      <c r="M469" s="653"/>
      <c r="N469" s="653"/>
      <c r="O469" s="653"/>
      <c r="P469" s="653"/>
      <c r="Q469" s="653"/>
      <c r="R469" s="653"/>
      <c r="S469" s="653"/>
      <c r="T469" s="653"/>
      <c r="U469" s="656"/>
      <c r="V469" s="653"/>
      <c r="W469" s="653"/>
      <c r="X469" s="653"/>
      <c r="Y469" s="657"/>
      <c r="Z469" s="615"/>
      <c r="AA469" s="653"/>
      <c r="AB469" s="657"/>
      <c r="AC469" s="653"/>
      <c r="AD469" s="653"/>
      <c r="AE469" s="653"/>
      <c r="AF469" s="653"/>
      <c r="AG469" s="653"/>
      <c r="AH469" s="653"/>
      <c r="AI469" s="653"/>
      <c r="AJ469" s="653"/>
      <c r="AK469" s="653"/>
      <c r="AL469" s="653"/>
      <c r="AM469" s="653"/>
      <c r="AN469" s="653"/>
      <c r="AO469" s="653"/>
      <c r="AP469" s="653"/>
      <c r="AQ469" s="653"/>
      <c r="AR469" s="653"/>
      <c r="AS469" s="653"/>
      <c r="AT469" s="653"/>
      <c r="AU469" s="653"/>
      <c r="AV469" s="653"/>
    </row>
    <row r="470" spans="1:48" ht="14.5">
      <c r="A470" s="653"/>
      <c r="B470" s="653"/>
      <c r="C470" s="653"/>
      <c r="D470" s="653"/>
      <c r="E470" s="653"/>
      <c r="F470" s="653"/>
      <c r="G470" s="654"/>
      <c r="H470" s="654"/>
      <c r="I470" s="653"/>
      <c r="J470" s="653"/>
      <c r="K470" s="655"/>
      <c r="L470" s="653"/>
      <c r="M470" s="653"/>
      <c r="N470" s="653"/>
      <c r="O470" s="653"/>
      <c r="P470" s="653"/>
      <c r="Q470" s="653"/>
      <c r="R470" s="653"/>
      <c r="S470" s="653"/>
      <c r="T470" s="653"/>
      <c r="U470" s="656"/>
      <c r="V470" s="653"/>
      <c r="W470" s="653"/>
      <c r="X470" s="653"/>
      <c r="Y470" s="657"/>
      <c r="Z470" s="615"/>
      <c r="AA470" s="653"/>
      <c r="AB470" s="657"/>
      <c r="AC470" s="653"/>
      <c r="AD470" s="653"/>
      <c r="AE470" s="653"/>
      <c r="AF470" s="653"/>
      <c r="AG470" s="653"/>
      <c r="AH470" s="653"/>
      <c r="AI470" s="653"/>
      <c r="AJ470" s="653"/>
      <c r="AK470" s="653"/>
      <c r="AL470" s="653"/>
      <c r="AM470" s="653"/>
      <c r="AN470" s="653"/>
      <c r="AO470" s="653"/>
      <c r="AP470" s="653"/>
      <c r="AQ470" s="653"/>
      <c r="AR470" s="653"/>
      <c r="AS470" s="653"/>
      <c r="AT470" s="653"/>
      <c r="AU470" s="653"/>
      <c r="AV470" s="653"/>
    </row>
    <row r="471" spans="1:48" ht="14.5">
      <c r="A471" s="653"/>
      <c r="B471" s="653"/>
      <c r="C471" s="653"/>
      <c r="D471" s="653"/>
      <c r="E471" s="653"/>
      <c r="F471" s="653"/>
      <c r="G471" s="654"/>
      <c r="H471" s="654"/>
      <c r="I471" s="653"/>
      <c r="J471" s="653"/>
      <c r="K471" s="655"/>
      <c r="L471" s="653"/>
      <c r="M471" s="653"/>
      <c r="N471" s="653"/>
      <c r="O471" s="653"/>
      <c r="P471" s="653"/>
      <c r="Q471" s="653"/>
      <c r="R471" s="653"/>
      <c r="S471" s="653"/>
      <c r="T471" s="653"/>
      <c r="U471" s="656"/>
      <c r="V471" s="653"/>
      <c r="W471" s="653"/>
      <c r="X471" s="653"/>
      <c r="Y471" s="657"/>
      <c r="Z471" s="615"/>
      <c r="AA471" s="653"/>
      <c r="AB471" s="657"/>
      <c r="AC471" s="653"/>
      <c r="AD471" s="653"/>
      <c r="AE471" s="653"/>
      <c r="AF471" s="653"/>
      <c r="AG471" s="653"/>
      <c r="AH471" s="653"/>
      <c r="AI471" s="653"/>
      <c r="AJ471" s="653"/>
      <c r="AK471" s="653"/>
      <c r="AL471" s="653"/>
      <c r="AM471" s="653"/>
      <c r="AN471" s="653"/>
      <c r="AO471" s="653"/>
      <c r="AP471" s="653"/>
      <c r="AQ471" s="653"/>
      <c r="AR471" s="653"/>
      <c r="AS471" s="653"/>
      <c r="AT471" s="653"/>
      <c r="AU471" s="653"/>
      <c r="AV471" s="653"/>
    </row>
    <row r="472" spans="1:48" ht="14.5">
      <c r="A472" s="653"/>
      <c r="B472" s="653"/>
      <c r="C472" s="653"/>
      <c r="D472" s="653"/>
      <c r="E472" s="653"/>
      <c r="F472" s="653"/>
      <c r="G472" s="654"/>
      <c r="H472" s="654"/>
      <c r="I472" s="653"/>
      <c r="J472" s="653"/>
      <c r="K472" s="655"/>
      <c r="L472" s="653"/>
      <c r="M472" s="653"/>
      <c r="N472" s="653"/>
      <c r="O472" s="653"/>
      <c r="P472" s="653"/>
      <c r="Q472" s="653"/>
      <c r="R472" s="653"/>
      <c r="S472" s="653"/>
      <c r="T472" s="653"/>
      <c r="U472" s="656"/>
      <c r="V472" s="653"/>
      <c r="W472" s="653"/>
      <c r="X472" s="653"/>
      <c r="Y472" s="657"/>
      <c r="Z472" s="615"/>
      <c r="AA472" s="653"/>
      <c r="AB472" s="657"/>
      <c r="AC472" s="653"/>
      <c r="AD472" s="653"/>
      <c r="AE472" s="653"/>
      <c r="AF472" s="653"/>
      <c r="AG472" s="653"/>
      <c r="AH472" s="653"/>
      <c r="AI472" s="653"/>
      <c r="AJ472" s="653"/>
      <c r="AK472" s="653"/>
      <c r="AL472" s="653"/>
      <c r="AM472" s="653"/>
      <c r="AN472" s="653"/>
      <c r="AO472" s="653"/>
      <c r="AP472" s="653"/>
      <c r="AQ472" s="653"/>
      <c r="AR472" s="653"/>
      <c r="AS472" s="653"/>
      <c r="AT472" s="653"/>
      <c r="AU472" s="653"/>
      <c r="AV472" s="653"/>
    </row>
    <row r="473" spans="1:48" ht="14.5">
      <c r="A473" s="653"/>
      <c r="B473" s="653"/>
      <c r="C473" s="653"/>
      <c r="D473" s="653"/>
      <c r="E473" s="653"/>
      <c r="F473" s="653"/>
      <c r="G473" s="654"/>
      <c r="H473" s="654"/>
      <c r="I473" s="653"/>
      <c r="J473" s="653"/>
      <c r="K473" s="655"/>
      <c r="L473" s="653"/>
      <c r="M473" s="653"/>
      <c r="N473" s="653"/>
      <c r="O473" s="653"/>
      <c r="P473" s="653"/>
      <c r="Q473" s="653"/>
      <c r="R473" s="653"/>
      <c r="S473" s="653"/>
      <c r="T473" s="653"/>
      <c r="U473" s="656"/>
      <c r="V473" s="653"/>
      <c r="W473" s="653"/>
      <c r="X473" s="653"/>
      <c r="Y473" s="657"/>
      <c r="Z473" s="615"/>
      <c r="AA473" s="653"/>
      <c r="AB473" s="657"/>
      <c r="AC473" s="653"/>
      <c r="AD473" s="653"/>
      <c r="AE473" s="653"/>
      <c r="AF473" s="653"/>
      <c r="AG473" s="653"/>
      <c r="AH473" s="653"/>
      <c r="AI473" s="653"/>
      <c r="AJ473" s="653"/>
      <c r="AK473" s="653"/>
      <c r="AL473" s="653"/>
      <c r="AM473" s="653"/>
      <c r="AN473" s="653"/>
      <c r="AO473" s="653"/>
      <c r="AP473" s="653"/>
      <c r="AQ473" s="653"/>
      <c r="AR473" s="653"/>
      <c r="AS473" s="653"/>
      <c r="AT473" s="653"/>
      <c r="AU473" s="653"/>
      <c r="AV473" s="653"/>
    </row>
    <row r="474" spans="1:48" ht="14.5">
      <c r="A474" s="653"/>
      <c r="B474" s="653"/>
      <c r="C474" s="653"/>
      <c r="D474" s="653"/>
      <c r="E474" s="653"/>
      <c r="F474" s="653"/>
      <c r="G474" s="654"/>
      <c r="H474" s="654"/>
      <c r="I474" s="653"/>
      <c r="J474" s="653"/>
      <c r="K474" s="655"/>
      <c r="L474" s="653"/>
      <c r="M474" s="653"/>
      <c r="N474" s="653"/>
      <c r="O474" s="653"/>
      <c r="P474" s="653"/>
      <c r="Q474" s="653"/>
      <c r="R474" s="653"/>
      <c r="S474" s="653"/>
      <c r="T474" s="653"/>
      <c r="U474" s="656"/>
      <c r="V474" s="653"/>
      <c r="W474" s="653"/>
      <c r="X474" s="653"/>
      <c r="Y474" s="657"/>
      <c r="Z474" s="615"/>
      <c r="AA474" s="653"/>
      <c r="AB474" s="657"/>
      <c r="AC474" s="653"/>
      <c r="AD474" s="653"/>
      <c r="AE474" s="653"/>
      <c r="AF474" s="653"/>
      <c r="AG474" s="653"/>
      <c r="AH474" s="653"/>
      <c r="AI474" s="653"/>
      <c r="AJ474" s="653"/>
      <c r="AK474" s="653"/>
      <c r="AL474" s="653"/>
      <c r="AM474" s="653"/>
      <c r="AN474" s="653"/>
      <c r="AO474" s="653"/>
      <c r="AP474" s="653"/>
      <c r="AQ474" s="653"/>
      <c r="AR474" s="653"/>
      <c r="AS474" s="653"/>
      <c r="AT474" s="653"/>
      <c r="AU474" s="653"/>
      <c r="AV474" s="653"/>
    </row>
    <row r="475" spans="1:48" ht="14.5">
      <c r="A475" s="653"/>
      <c r="B475" s="653"/>
      <c r="C475" s="653"/>
      <c r="D475" s="653"/>
      <c r="E475" s="653"/>
      <c r="F475" s="653"/>
      <c r="G475" s="654"/>
      <c r="H475" s="654"/>
      <c r="I475" s="653"/>
      <c r="J475" s="653"/>
      <c r="K475" s="655"/>
      <c r="L475" s="653"/>
      <c r="M475" s="653"/>
      <c r="N475" s="653"/>
      <c r="O475" s="653"/>
      <c r="P475" s="653"/>
      <c r="Q475" s="653"/>
      <c r="R475" s="653"/>
      <c r="S475" s="653"/>
      <c r="T475" s="653"/>
      <c r="U475" s="656"/>
      <c r="V475" s="653"/>
      <c r="W475" s="653"/>
      <c r="X475" s="653"/>
      <c r="Y475" s="657"/>
      <c r="Z475" s="615"/>
      <c r="AA475" s="653"/>
      <c r="AB475" s="657"/>
      <c r="AC475" s="653"/>
      <c r="AD475" s="653"/>
      <c r="AE475" s="653"/>
      <c r="AF475" s="653"/>
      <c r="AG475" s="653"/>
      <c r="AH475" s="653"/>
      <c r="AI475" s="653"/>
      <c r="AJ475" s="653"/>
      <c r="AK475" s="653"/>
      <c r="AL475" s="653"/>
      <c r="AM475" s="653"/>
      <c r="AN475" s="653"/>
      <c r="AO475" s="653"/>
      <c r="AP475" s="653"/>
      <c r="AQ475" s="653"/>
      <c r="AR475" s="653"/>
      <c r="AS475" s="653"/>
      <c r="AT475" s="653"/>
      <c r="AU475" s="653"/>
      <c r="AV475" s="653"/>
    </row>
    <row r="476" spans="1:48" ht="14.5">
      <c r="A476" s="653"/>
      <c r="B476" s="653"/>
      <c r="C476" s="653"/>
      <c r="D476" s="653"/>
      <c r="E476" s="653"/>
      <c r="F476" s="653"/>
      <c r="G476" s="654"/>
      <c r="H476" s="654"/>
      <c r="I476" s="653"/>
      <c r="J476" s="653"/>
      <c r="K476" s="655"/>
      <c r="L476" s="653"/>
      <c r="M476" s="653"/>
      <c r="N476" s="653"/>
      <c r="O476" s="653"/>
      <c r="P476" s="653"/>
      <c r="Q476" s="653"/>
      <c r="R476" s="653"/>
      <c r="S476" s="653"/>
      <c r="T476" s="653"/>
      <c r="U476" s="656"/>
      <c r="V476" s="653"/>
      <c r="W476" s="653"/>
      <c r="X476" s="653"/>
      <c r="Y476" s="657"/>
      <c r="Z476" s="615"/>
      <c r="AA476" s="653"/>
      <c r="AB476" s="657"/>
      <c r="AC476" s="653"/>
      <c r="AD476" s="653"/>
      <c r="AE476" s="653"/>
      <c r="AF476" s="653"/>
      <c r="AG476" s="653"/>
      <c r="AH476" s="653"/>
      <c r="AI476" s="653"/>
      <c r="AJ476" s="653"/>
      <c r="AK476" s="653"/>
      <c r="AL476" s="653"/>
      <c r="AM476" s="653"/>
      <c r="AN476" s="653"/>
      <c r="AO476" s="653"/>
      <c r="AP476" s="653"/>
      <c r="AQ476" s="653"/>
      <c r="AR476" s="653"/>
      <c r="AS476" s="653"/>
      <c r="AT476" s="653"/>
      <c r="AU476" s="653"/>
      <c r="AV476" s="653"/>
    </row>
    <row r="477" spans="1:48" ht="14.5">
      <c r="A477" s="653"/>
      <c r="B477" s="653"/>
      <c r="C477" s="653"/>
      <c r="D477" s="653"/>
      <c r="E477" s="653"/>
      <c r="F477" s="653"/>
      <c r="G477" s="654"/>
      <c r="H477" s="654"/>
      <c r="I477" s="653"/>
      <c r="J477" s="653"/>
      <c r="K477" s="655"/>
      <c r="L477" s="653"/>
      <c r="M477" s="653"/>
      <c r="N477" s="653"/>
      <c r="O477" s="653"/>
      <c r="P477" s="653"/>
      <c r="Q477" s="653"/>
      <c r="R477" s="653"/>
      <c r="S477" s="653"/>
      <c r="T477" s="653"/>
      <c r="U477" s="656"/>
      <c r="V477" s="653"/>
      <c r="W477" s="653"/>
      <c r="X477" s="653"/>
      <c r="Y477" s="657"/>
      <c r="Z477" s="615"/>
      <c r="AA477" s="653"/>
      <c r="AB477" s="657"/>
      <c r="AC477" s="653"/>
      <c r="AD477" s="653"/>
      <c r="AE477" s="653"/>
      <c r="AF477" s="653"/>
      <c r="AG477" s="653"/>
      <c r="AH477" s="653"/>
      <c r="AI477" s="653"/>
      <c r="AJ477" s="653"/>
      <c r="AK477" s="653"/>
      <c r="AL477" s="653"/>
      <c r="AM477" s="653"/>
      <c r="AN477" s="653"/>
      <c r="AO477" s="653"/>
      <c r="AP477" s="653"/>
      <c r="AQ477" s="653"/>
      <c r="AR477" s="653"/>
      <c r="AS477" s="653"/>
      <c r="AT477" s="653"/>
      <c r="AU477" s="653"/>
      <c r="AV477" s="653"/>
    </row>
    <row r="478" spans="1:48" ht="14.5">
      <c r="A478" s="653"/>
      <c r="B478" s="653"/>
      <c r="C478" s="653"/>
      <c r="D478" s="653"/>
      <c r="E478" s="653"/>
      <c r="F478" s="653"/>
      <c r="G478" s="654"/>
      <c r="H478" s="654"/>
      <c r="I478" s="653"/>
      <c r="J478" s="653"/>
      <c r="K478" s="655"/>
      <c r="L478" s="653"/>
      <c r="M478" s="653"/>
      <c r="N478" s="653"/>
      <c r="O478" s="653"/>
      <c r="P478" s="653"/>
      <c r="Q478" s="653"/>
      <c r="R478" s="653"/>
      <c r="S478" s="653"/>
      <c r="T478" s="653"/>
      <c r="U478" s="656"/>
      <c r="V478" s="653"/>
      <c r="W478" s="653"/>
      <c r="X478" s="653"/>
      <c r="Y478" s="657"/>
      <c r="Z478" s="615"/>
      <c r="AA478" s="653"/>
      <c r="AB478" s="657"/>
      <c r="AC478" s="653"/>
      <c r="AD478" s="653"/>
      <c r="AE478" s="653"/>
      <c r="AF478" s="653"/>
      <c r="AG478" s="653"/>
      <c r="AH478" s="653"/>
      <c r="AI478" s="653"/>
      <c r="AJ478" s="653"/>
      <c r="AK478" s="653"/>
      <c r="AL478" s="653"/>
      <c r="AM478" s="653"/>
      <c r="AN478" s="653"/>
      <c r="AO478" s="653"/>
      <c r="AP478" s="653"/>
      <c r="AQ478" s="653"/>
      <c r="AR478" s="653"/>
      <c r="AS478" s="653"/>
      <c r="AT478" s="653"/>
      <c r="AU478" s="653"/>
      <c r="AV478" s="653"/>
    </row>
    <row r="479" spans="1:48" ht="14.5">
      <c r="A479" s="653"/>
      <c r="B479" s="653"/>
      <c r="C479" s="653"/>
      <c r="D479" s="653"/>
      <c r="E479" s="653"/>
      <c r="F479" s="653"/>
      <c r="G479" s="654"/>
      <c r="H479" s="654"/>
      <c r="I479" s="653"/>
      <c r="J479" s="653"/>
      <c r="K479" s="655"/>
      <c r="L479" s="653"/>
      <c r="M479" s="653"/>
      <c r="N479" s="653"/>
      <c r="O479" s="653"/>
      <c r="P479" s="653"/>
      <c r="Q479" s="653"/>
      <c r="R479" s="653"/>
      <c r="S479" s="653"/>
      <c r="T479" s="653"/>
      <c r="U479" s="656"/>
      <c r="V479" s="653"/>
      <c r="W479" s="653"/>
      <c r="X479" s="653"/>
      <c r="Y479" s="657"/>
      <c r="Z479" s="615"/>
      <c r="AA479" s="653"/>
      <c r="AB479" s="657"/>
      <c r="AC479" s="653"/>
      <c r="AD479" s="653"/>
      <c r="AE479" s="653"/>
      <c r="AF479" s="653"/>
      <c r="AG479" s="653"/>
      <c r="AH479" s="653"/>
      <c r="AI479" s="653"/>
      <c r="AJ479" s="653"/>
      <c r="AK479" s="653"/>
      <c r="AL479" s="653"/>
      <c r="AM479" s="653"/>
      <c r="AN479" s="653"/>
      <c r="AO479" s="653"/>
      <c r="AP479" s="653"/>
      <c r="AQ479" s="653"/>
      <c r="AR479" s="653"/>
      <c r="AS479" s="653"/>
      <c r="AT479" s="653"/>
      <c r="AU479" s="653"/>
      <c r="AV479" s="653"/>
    </row>
    <row r="480" spans="1:48" ht="14.5">
      <c r="A480" s="653"/>
      <c r="B480" s="653"/>
      <c r="C480" s="653"/>
      <c r="D480" s="653"/>
      <c r="E480" s="653"/>
      <c r="F480" s="653"/>
      <c r="G480" s="654"/>
      <c r="H480" s="654"/>
      <c r="I480" s="653"/>
      <c r="J480" s="653"/>
      <c r="K480" s="655"/>
      <c r="L480" s="653"/>
      <c r="M480" s="653"/>
      <c r="N480" s="653"/>
      <c r="O480" s="653"/>
      <c r="P480" s="653"/>
      <c r="Q480" s="653"/>
      <c r="R480" s="653"/>
      <c r="S480" s="653"/>
      <c r="T480" s="653"/>
      <c r="U480" s="656"/>
      <c r="V480" s="653"/>
      <c r="W480" s="653"/>
      <c r="X480" s="653"/>
      <c r="Y480" s="657"/>
      <c r="Z480" s="615"/>
      <c r="AA480" s="653"/>
      <c r="AB480" s="657"/>
      <c r="AC480" s="653"/>
      <c r="AD480" s="653"/>
      <c r="AE480" s="653"/>
      <c r="AF480" s="653"/>
      <c r="AG480" s="653"/>
      <c r="AH480" s="653"/>
      <c r="AI480" s="653"/>
      <c r="AJ480" s="653"/>
      <c r="AK480" s="653"/>
      <c r="AL480" s="653"/>
      <c r="AM480" s="653"/>
      <c r="AN480" s="653"/>
      <c r="AO480" s="653"/>
      <c r="AP480" s="653"/>
      <c r="AQ480" s="653"/>
      <c r="AR480" s="653"/>
      <c r="AS480" s="653"/>
      <c r="AT480" s="653"/>
      <c r="AU480" s="653"/>
      <c r="AV480" s="653"/>
    </row>
    <row r="481" spans="1:48" ht="14.5">
      <c r="A481" s="653"/>
      <c r="B481" s="653"/>
      <c r="C481" s="653"/>
      <c r="D481" s="653"/>
      <c r="E481" s="653"/>
      <c r="F481" s="653"/>
      <c r="G481" s="654"/>
      <c r="H481" s="654"/>
      <c r="I481" s="653"/>
      <c r="J481" s="653"/>
      <c r="K481" s="655"/>
      <c r="L481" s="653"/>
      <c r="M481" s="653"/>
      <c r="N481" s="653"/>
      <c r="O481" s="653"/>
      <c r="P481" s="653"/>
      <c r="Q481" s="653"/>
      <c r="R481" s="653"/>
      <c r="S481" s="653"/>
      <c r="T481" s="653"/>
      <c r="U481" s="656"/>
      <c r="V481" s="653"/>
      <c r="W481" s="653"/>
      <c r="X481" s="653"/>
      <c r="Y481" s="657"/>
      <c r="Z481" s="615"/>
      <c r="AA481" s="653"/>
      <c r="AB481" s="657"/>
      <c r="AC481" s="653"/>
      <c r="AD481" s="653"/>
      <c r="AE481" s="653"/>
      <c r="AF481" s="653"/>
      <c r="AG481" s="653"/>
      <c r="AH481" s="653"/>
      <c r="AI481" s="653"/>
      <c r="AJ481" s="653"/>
      <c r="AK481" s="653"/>
      <c r="AL481" s="653"/>
      <c r="AM481" s="653"/>
      <c r="AN481" s="653"/>
      <c r="AO481" s="653"/>
      <c r="AP481" s="653"/>
      <c r="AQ481" s="653"/>
      <c r="AR481" s="653"/>
      <c r="AS481" s="653"/>
      <c r="AT481" s="653"/>
      <c r="AU481" s="653"/>
      <c r="AV481" s="653"/>
    </row>
    <row r="482" spans="1:48" ht="14.5">
      <c r="A482" s="653"/>
      <c r="B482" s="653"/>
      <c r="C482" s="653"/>
      <c r="D482" s="653"/>
      <c r="E482" s="653"/>
      <c r="F482" s="653"/>
      <c r="G482" s="654"/>
      <c r="H482" s="654"/>
      <c r="I482" s="653"/>
      <c r="J482" s="653"/>
      <c r="K482" s="655"/>
      <c r="L482" s="653"/>
      <c r="M482" s="653"/>
      <c r="N482" s="653"/>
      <c r="O482" s="653"/>
      <c r="P482" s="653"/>
      <c r="Q482" s="653"/>
      <c r="R482" s="653"/>
      <c r="S482" s="653"/>
      <c r="T482" s="653"/>
      <c r="U482" s="656"/>
      <c r="V482" s="653"/>
      <c r="W482" s="653"/>
      <c r="X482" s="653"/>
      <c r="Y482" s="657"/>
      <c r="Z482" s="615"/>
      <c r="AA482" s="653"/>
      <c r="AB482" s="657"/>
      <c r="AC482" s="653"/>
      <c r="AD482" s="653"/>
      <c r="AE482" s="653"/>
      <c r="AF482" s="653"/>
      <c r="AG482" s="653"/>
      <c r="AH482" s="653"/>
      <c r="AI482" s="653"/>
      <c r="AJ482" s="653"/>
      <c r="AK482" s="653"/>
      <c r="AL482" s="653"/>
      <c r="AM482" s="653"/>
      <c r="AN482" s="653"/>
      <c r="AO482" s="653"/>
      <c r="AP482" s="653"/>
      <c r="AQ482" s="653"/>
      <c r="AR482" s="653"/>
      <c r="AS482" s="653"/>
      <c r="AT482" s="653"/>
      <c r="AU482" s="653"/>
      <c r="AV482" s="653"/>
    </row>
    <row r="483" spans="1:48" ht="14.5">
      <c r="A483" s="653"/>
      <c r="B483" s="653"/>
      <c r="C483" s="653"/>
      <c r="D483" s="653"/>
      <c r="E483" s="653"/>
      <c r="F483" s="653"/>
      <c r="G483" s="654"/>
      <c r="H483" s="654"/>
      <c r="I483" s="653"/>
      <c r="J483" s="653"/>
      <c r="K483" s="655"/>
      <c r="L483" s="653"/>
      <c r="M483" s="653"/>
      <c r="N483" s="653"/>
      <c r="O483" s="653"/>
      <c r="P483" s="653"/>
      <c r="Q483" s="653"/>
      <c r="R483" s="653"/>
      <c r="S483" s="653"/>
      <c r="T483" s="653"/>
      <c r="U483" s="656"/>
      <c r="V483" s="653"/>
      <c r="W483" s="653"/>
      <c r="X483" s="653"/>
      <c r="Y483" s="657"/>
      <c r="Z483" s="615"/>
      <c r="AA483" s="653"/>
      <c r="AB483" s="657"/>
      <c r="AC483" s="653"/>
      <c r="AD483" s="653"/>
      <c r="AE483" s="653"/>
      <c r="AF483" s="653"/>
      <c r="AG483" s="653"/>
      <c r="AH483" s="653"/>
      <c r="AI483" s="653"/>
      <c r="AJ483" s="653"/>
      <c r="AK483" s="653"/>
      <c r="AL483" s="653"/>
      <c r="AM483" s="653"/>
      <c r="AN483" s="653"/>
      <c r="AO483" s="653"/>
      <c r="AP483" s="653"/>
      <c r="AQ483" s="653"/>
      <c r="AR483" s="653"/>
      <c r="AS483" s="653"/>
      <c r="AT483" s="653"/>
      <c r="AU483" s="653"/>
      <c r="AV483" s="653"/>
    </row>
    <row r="484" spans="1:48" ht="14.5">
      <c r="A484" s="653"/>
      <c r="B484" s="653"/>
      <c r="C484" s="653"/>
      <c r="D484" s="653"/>
      <c r="E484" s="653"/>
      <c r="F484" s="653"/>
      <c r="G484" s="654"/>
      <c r="H484" s="654"/>
      <c r="I484" s="653"/>
      <c r="J484" s="653"/>
      <c r="K484" s="655"/>
      <c r="L484" s="653"/>
      <c r="M484" s="653"/>
      <c r="N484" s="653"/>
      <c r="O484" s="653"/>
      <c r="P484" s="653"/>
      <c r="Q484" s="653"/>
      <c r="R484" s="653"/>
      <c r="S484" s="653"/>
      <c r="T484" s="653"/>
      <c r="U484" s="656"/>
      <c r="V484" s="653"/>
      <c r="W484" s="653"/>
      <c r="X484" s="653"/>
      <c r="Y484" s="657"/>
      <c r="Z484" s="615"/>
      <c r="AA484" s="653"/>
      <c r="AB484" s="657"/>
      <c r="AC484" s="653"/>
      <c r="AD484" s="653"/>
      <c r="AE484" s="653"/>
      <c r="AF484" s="653"/>
      <c r="AG484" s="653"/>
      <c r="AH484" s="653"/>
      <c r="AI484" s="653"/>
      <c r="AJ484" s="653"/>
      <c r="AK484" s="653"/>
      <c r="AL484" s="653"/>
      <c r="AM484" s="653"/>
      <c r="AN484" s="653"/>
      <c r="AO484" s="653"/>
      <c r="AP484" s="653"/>
      <c r="AQ484" s="653"/>
      <c r="AR484" s="653"/>
      <c r="AS484" s="653"/>
      <c r="AT484" s="653"/>
      <c r="AU484" s="653"/>
      <c r="AV484" s="653"/>
    </row>
    <row r="485" spans="1:48" ht="14.5">
      <c r="A485" s="653"/>
      <c r="B485" s="653"/>
      <c r="C485" s="653"/>
      <c r="D485" s="653"/>
      <c r="E485" s="653"/>
      <c r="F485" s="653"/>
      <c r="G485" s="654"/>
      <c r="H485" s="654"/>
      <c r="I485" s="653"/>
      <c r="J485" s="653"/>
      <c r="K485" s="655"/>
      <c r="L485" s="653"/>
      <c r="M485" s="653"/>
      <c r="N485" s="653"/>
      <c r="O485" s="653"/>
      <c r="P485" s="653"/>
      <c r="Q485" s="653"/>
      <c r="R485" s="653"/>
      <c r="S485" s="653"/>
      <c r="T485" s="653"/>
      <c r="U485" s="656"/>
      <c r="V485" s="653"/>
      <c r="W485" s="653"/>
      <c r="X485" s="653"/>
      <c r="Y485" s="657"/>
      <c r="Z485" s="615"/>
      <c r="AA485" s="653"/>
      <c r="AB485" s="657"/>
      <c r="AC485" s="653"/>
      <c r="AD485" s="653"/>
      <c r="AE485" s="653"/>
      <c r="AF485" s="653"/>
      <c r="AG485" s="653"/>
      <c r="AH485" s="653"/>
      <c r="AI485" s="653"/>
      <c r="AJ485" s="653"/>
      <c r="AK485" s="653"/>
      <c r="AL485" s="653"/>
      <c r="AM485" s="653"/>
      <c r="AN485" s="653"/>
      <c r="AO485" s="653"/>
      <c r="AP485" s="653"/>
      <c r="AQ485" s="653"/>
      <c r="AR485" s="653"/>
      <c r="AS485" s="653"/>
      <c r="AT485" s="653"/>
      <c r="AU485" s="653"/>
      <c r="AV485" s="653"/>
    </row>
    <row r="486" spans="1:48" ht="14.5">
      <c r="A486" s="653"/>
      <c r="B486" s="653"/>
      <c r="C486" s="653"/>
      <c r="D486" s="653"/>
      <c r="E486" s="653"/>
      <c r="F486" s="653"/>
      <c r="G486" s="654"/>
      <c r="H486" s="654"/>
      <c r="I486" s="653"/>
      <c r="J486" s="653"/>
      <c r="K486" s="655"/>
      <c r="L486" s="653"/>
      <c r="M486" s="653"/>
      <c r="N486" s="653"/>
      <c r="O486" s="653"/>
      <c r="P486" s="653"/>
      <c r="Q486" s="653"/>
      <c r="R486" s="653"/>
      <c r="S486" s="653"/>
      <c r="T486" s="653"/>
      <c r="U486" s="656"/>
      <c r="V486" s="653"/>
      <c r="W486" s="653"/>
      <c r="X486" s="653"/>
      <c r="Y486" s="657"/>
      <c r="Z486" s="615"/>
      <c r="AA486" s="653"/>
      <c r="AB486" s="657"/>
      <c r="AC486" s="653"/>
      <c r="AD486" s="653"/>
      <c r="AE486" s="653"/>
      <c r="AF486" s="653"/>
      <c r="AG486" s="653"/>
      <c r="AH486" s="653"/>
      <c r="AI486" s="653"/>
      <c r="AJ486" s="653"/>
      <c r="AK486" s="653"/>
      <c r="AL486" s="653"/>
      <c r="AM486" s="653"/>
      <c r="AN486" s="653"/>
      <c r="AO486" s="653"/>
      <c r="AP486" s="653"/>
      <c r="AQ486" s="653"/>
      <c r="AR486" s="653"/>
      <c r="AS486" s="653"/>
      <c r="AT486" s="653"/>
      <c r="AU486" s="653"/>
      <c r="AV486" s="653"/>
    </row>
    <row r="487" spans="1:48" ht="14.5">
      <c r="A487" s="653"/>
      <c r="B487" s="653"/>
      <c r="C487" s="653"/>
      <c r="D487" s="653"/>
      <c r="E487" s="653"/>
      <c r="F487" s="653"/>
      <c r="G487" s="654"/>
      <c r="H487" s="654"/>
      <c r="I487" s="653"/>
      <c r="J487" s="653"/>
      <c r="K487" s="655"/>
      <c r="L487" s="653"/>
      <c r="M487" s="653"/>
      <c r="N487" s="653"/>
      <c r="O487" s="653"/>
      <c r="P487" s="653"/>
      <c r="Q487" s="653"/>
      <c r="R487" s="653"/>
      <c r="S487" s="653"/>
      <c r="T487" s="653"/>
      <c r="U487" s="656"/>
      <c r="V487" s="653"/>
      <c r="W487" s="653"/>
      <c r="X487" s="653"/>
      <c r="Y487" s="657"/>
      <c r="Z487" s="615"/>
      <c r="AA487" s="653"/>
      <c r="AB487" s="657"/>
      <c r="AC487" s="653"/>
      <c r="AD487" s="653"/>
      <c r="AE487" s="653"/>
      <c r="AF487" s="653"/>
      <c r="AG487" s="653"/>
      <c r="AH487" s="653"/>
      <c r="AI487" s="653"/>
      <c r="AJ487" s="653"/>
      <c r="AK487" s="653"/>
      <c r="AL487" s="653"/>
      <c r="AM487" s="653"/>
      <c r="AN487" s="653"/>
      <c r="AO487" s="653"/>
      <c r="AP487" s="653"/>
      <c r="AQ487" s="653"/>
      <c r="AR487" s="653"/>
      <c r="AS487" s="653"/>
      <c r="AT487" s="653"/>
      <c r="AU487" s="653"/>
      <c r="AV487" s="653"/>
    </row>
    <row r="488" spans="1:48" ht="14.5">
      <c r="A488" s="653"/>
      <c r="B488" s="653"/>
      <c r="C488" s="653"/>
      <c r="D488" s="653"/>
      <c r="E488" s="653"/>
      <c r="F488" s="653"/>
      <c r="G488" s="654"/>
      <c r="H488" s="654"/>
      <c r="I488" s="653"/>
      <c r="J488" s="653"/>
      <c r="K488" s="655"/>
      <c r="L488" s="653"/>
      <c r="M488" s="653"/>
      <c r="N488" s="653"/>
      <c r="O488" s="653"/>
      <c r="P488" s="653"/>
      <c r="Q488" s="653"/>
      <c r="R488" s="653"/>
      <c r="S488" s="653"/>
      <c r="T488" s="653"/>
      <c r="U488" s="656"/>
      <c r="V488" s="653"/>
      <c r="W488" s="653"/>
      <c r="X488" s="653"/>
      <c r="Y488" s="657"/>
      <c r="Z488" s="615"/>
      <c r="AA488" s="653"/>
      <c r="AB488" s="657"/>
      <c r="AC488" s="653"/>
      <c r="AD488" s="653"/>
      <c r="AE488" s="653"/>
      <c r="AF488" s="653"/>
      <c r="AG488" s="653"/>
      <c r="AH488" s="653"/>
      <c r="AI488" s="653"/>
      <c r="AJ488" s="653"/>
      <c r="AK488" s="653"/>
      <c r="AL488" s="653"/>
      <c r="AM488" s="653"/>
      <c r="AN488" s="653"/>
      <c r="AO488" s="653"/>
      <c r="AP488" s="653"/>
      <c r="AQ488" s="653"/>
      <c r="AR488" s="653"/>
      <c r="AS488" s="653"/>
      <c r="AT488" s="653"/>
      <c r="AU488" s="653"/>
      <c r="AV488" s="653"/>
    </row>
    <row r="489" spans="1:48" ht="14.5">
      <c r="A489" s="653"/>
      <c r="B489" s="653"/>
      <c r="C489" s="653"/>
      <c r="D489" s="653"/>
      <c r="E489" s="653"/>
      <c r="F489" s="653"/>
      <c r="G489" s="654"/>
      <c r="H489" s="654"/>
      <c r="I489" s="653"/>
      <c r="J489" s="653"/>
      <c r="K489" s="655"/>
      <c r="L489" s="653"/>
      <c r="M489" s="653"/>
      <c r="N489" s="653"/>
      <c r="O489" s="653"/>
      <c r="P489" s="653"/>
      <c r="Q489" s="653"/>
      <c r="R489" s="653"/>
      <c r="S489" s="653"/>
      <c r="T489" s="653"/>
      <c r="U489" s="656"/>
      <c r="V489" s="653"/>
      <c r="W489" s="653"/>
      <c r="X489" s="653"/>
      <c r="Y489" s="657"/>
      <c r="Z489" s="615"/>
      <c r="AA489" s="653"/>
      <c r="AB489" s="657"/>
      <c r="AC489" s="653"/>
      <c r="AD489" s="653"/>
      <c r="AE489" s="653"/>
      <c r="AF489" s="653"/>
      <c r="AG489" s="653"/>
      <c r="AH489" s="653"/>
      <c r="AI489" s="653"/>
      <c r="AJ489" s="653"/>
      <c r="AK489" s="653"/>
      <c r="AL489" s="653"/>
      <c r="AM489" s="653"/>
      <c r="AN489" s="653"/>
      <c r="AO489" s="653"/>
      <c r="AP489" s="653"/>
      <c r="AQ489" s="653"/>
      <c r="AR489" s="653"/>
      <c r="AS489" s="653"/>
      <c r="AT489" s="653"/>
      <c r="AU489" s="653"/>
      <c r="AV489" s="653"/>
    </row>
    <row r="490" spans="1:48" ht="14.5">
      <c r="A490" s="653"/>
      <c r="B490" s="653"/>
      <c r="C490" s="653"/>
      <c r="D490" s="653"/>
      <c r="E490" s="653"/>
      <c r="F490" s="653"/>
      <c r="G490" s="654"/>
      <c r="H490" s="654"/>
      <c r="I490" s="653"/>
      <c r="J490" s="653"/>
      <c r="K490" s="655"/>
      <c r="L490" s="653"/>
      <c r="M490" s="653"/>
      <c r="N490" s="653"/>
      <c r="O490" s="653"/>
      <c r="P490" s="653"/>
      <c r="Q490" s="653"/>
      <c r="R490" s="653"/>
      <c r="S490" s="653"/>
      <c r="T490" s="653"/>
      <c r="U490" s="656"/>
      <c r="V490" s="653"/>
      <c r="W490" s="653"/>
      <c r="X490" s="653"/>
      <c r="Y490" s="657"/>
      <c r="Z490" s="615"/>
      <c r="AA490" s="653"/>
      <c r="AB490" s="657"/>
      <c r="AC490" s="653"/>
      <c r="AD490" s="653"/>
      <c r="AE490" s="653"/>
      <c r="AF490" s="653"/>
      <c r="AG490" s="653"/>
      <c r="AH490" s="653"/>
      <c r="AI490" s="653"/>
      <c r="AJ490" s="653"/>
      <c r="AK490" s="653"/>
      <c r="AL490" s="653"/>
      <c r="AM490" s="653"/>
      <c r="AN490" s="653"/>
      <c r="AO490" s="653"/>
      <c r="AP490" s="653"/>
      <c r="AQ490" s="653"/>
      <c r="AR490" s="653"/>
      <c r="AS490" s="653"/>
      <c r="AT490" s="653"/>
      <c r="AU490" s="653"/>
      <c r="AV490" s="653"/>
    </row>
    <row r="491" spans="1:48" ht="14.5">
      <c r="A491" s="653"/>
      <c r="B491" s="653"/>
      <c r="C491" s="653"/>
      <c r="D491" s="653"/>
      <c r="E491" s="653"/>
      <c r="F491" s="653"/>
      <c r="G491" s="654"/>
      <c r="H491" s="654"/>
      <c r="I491" s="653"/>
      <c r="J491" s="653"/>
      <c r="K491" s="655"/>
      <c r="L491" s="653"/>
      <c r="M491" s="653"/>
      <c r="N491" s="653"/>
      <c r="O491" s="653"/>
      <c r="P491" s="653"/>
      <c r="Q491" s="653"/>
      <c r="R491" s="653"/>
      <c r="S491" s="653"/>
      <c r="T491" s="653"/>
      <c r="U491" s="656"/>
      <c r="V491" s="653"/>
      <c r="W491" s="653"/>
      <c r="X491" s="653"/>
      <c r="Y491" s="657"/>
      <c r="Z491" s="615"/>
      <c r="AA491" s="653"/>
      <c r="AB491" s="657"/>
      <c r="AC491" s="653"/>
      <c r="AD491" s="653"/>
      <c r="AE491" s="653"/>
      <c r="AF491" s="653"/>
      <c r="AG491" s="653"/>
      <c r="AH491" s="653"/>
      <c r="AI491" s="653"/>
      <c r="AJ491" s="653"/>
      <c r="AK491" s="653"/>
      <c r="AL491" s="653"/>
      <c r="AM491" s="653"/>
      <c r="AN491" s="653"/>
      <c r="AO491" s="653"/>
      <c r="AP491" s="653"/>
      <c r="AQ491" s="653"/>
      <c r="AR491" s="653"/>
      <c r="AS491" s="653"/>
      <c r="AT491" s="653"/>
      <c r="AU491" s="653"/>
      <c r="AV491" s="653"/>
    </row>
    <row r="492" spans="1:48" ht="14.5">
      <c r="A492" s="653"/>
      <c r="B492" s="653"/>
      <c r="C492" s="653"/>
      <c r="D492" s="653"/>
      <c r="E492" s="653"/>
      <c r="F492" s="653"/>
      <c r="G492" s="654"/>
      <c r="H492" s="654"/>
      <c r="I492" s="653"/>
      <c r="J492" s="653"/>
      <c r="K492" s="655"/>
      <c r="L492" s="653"/>
      <c r="M492" s="653"/>
      <c r="N492" s="653"/>
      <c r="O492" s="653"/>
      <c r="P492" s="653"/>
      <c r="Q492" s="653"/>
      <c r="R492" s="653"/>
      <c r="S492" s="653"/>
      <c r="T492" s="653"/>
      <c r="U492" s="656"/>
      <c r="V492" s="653"/>
      <c r="W492" s="653"/>
      <c r="X492" s="653"/>
      <c r="Y492" s="657"/>
      <c r="Z492" s="615"/>
      <c r="AA492" s="653"/>
      <c r="AB492" s="657"/>
      <c r="AC492" s="653"/>
      <c r="AD492" s="653"/>
      <c r="AE492" s="653"/>
      <c r="AF492" s="653"/>
      <c r="AG492" s="653"/>
      <c r="AH492" s="653"/>
      <c r="AI492" s="653"/>
      <c r="AJ492" s="653"/>
      <c r="AK492" s="653"/>
      <c r="AL492" s="653"/>
      <c r="AM492" s="653"/>
      <c r="AN492" s="653"/>
      <c r="AO492" s="653"/>
      <c r="AP492" s="653"/>
      <c r="AQ492" s="653"/>
      <c r="AR492" s="653"/>
      <c r="AS492" s="653"/>
      <c r="AT492" s="653"/>
      <c r="AU492" s="653"/>
      <c r="AV492" s="653"/>
    </row>
    <row r="493" spans="1:48" ht="14.5">
      <c r="A493" s="653"/>
      <c r="B493" s="653"/>
      <c r="C493" s="653"/>
      <c r="D493" s="653"/>
      <c r="E493" s="653"/>
      <c r="F493" s="653"/>
      <c r="G493" s="654"/>
      <c r="H493" s="654"/>
      <c r="I493" s="653"/>
      <c r="J493" s="653"/>
      <c r="K493" s="655"/>
      <c r="L493" s="653"/>
      <c r="M493" s="653"/>
      <c r="N493" s="653"/>
      <c r="O493" s="653"/>
      <c r="P493" s="653"/>
      <c r="Q493" s="653"/>
      <c r="R493" s="653"/>
      <c r="S493" s="653"/>
      <c r="T493" s="653"/>
      <c r="U493" s="656"/>
      <c r="V493" s="653"/>
      <c r="W493" s="653"/>
      <c r="X493" s="653"/>
      <c r="Y493" s="657"/>
      <c r="Z493" s="615"/>
      <c r="AA493" s="653"/>
      <c r="AB493" s="657"/>
      <c r="AC493" s="653"/>
      <c r="AD493" s="653"/>
      <c r="AE493" s="653"/>
      <c r="AF493" s="653"/>
      <c r="AG493" s="653"/>
      <c r="AH493" s="653"/>
      <c r="AI493" s="653"/>
      <c r="AJ493" s="653"/>
      <c r="AK493" s="653"/>
      <c r="AL493" s="653"/>
      <c r="AM493" s="653"/>
      <c r="AN493" s="653"/>
      <c r="AO493" s="653"/>
      <c r="AP493" s="653"/>
      <c r="AQ493" s="653"/>
      <c r="AR493" s="653"/>
      <c r="AS493" s="653"/>
      <c r="AT493" s="653"/>
      <c r="AU493" s="653"/>
      <c r="AV493" s="653"/>
    </row>
    <row r="494" spans="1:48" ht="14.5">
      <c r="A494" s="653"/>
      <c r="B494" s="653"/>
      <c r="C494" s="653"/>
      <c r="D494" s="653"/>
      <c r="E494" s="653"/>
      <c r="F494" s="653"/>
      <c r="G494" s="654"/>
      <c r="H494" s="654"/>
      <c r="I494" s="653"/>
      <c r="J494" s="653"/>
      <c r="K494" s="655"/>
      <c r="L494" s="653"/>
      <c r="M494" s="653"/>
      <c r="N494" s="653"/>
      <c r="O494" s="653"/>
      <c r="P494" s="653"/>
      <c r="Q494" s="653"/>
      <c r="R494" s="653"/>
      <c r="S494" s="653"/>
      <c r="T494" s="653"/>
      <c r="U494" s="656"/>
      <c r="V494" s="653"/>
      <c r="W494" s="653"/>
      <c r="X494" s="653"/>
      <c r="Y494" s="657"/>
      <c r="Z494" s="615"/>
      <c r="AA494" s="653"/>
      <c r="AB494" s="657"/>
      <c r="AC494" s="653"/>
      <c r="AD494" s="653"/>
      <c r="AE494" s="653"/>
      <c r="AF494" s="653"/>
      <c r="AG494" s="653"/>
      <c r="AH494" s="653"/>
      <c r="AI494" s="653"/>
      <c r="AJ494" s="653"/>
      <c r="AK494" s="653"/>
      <c r="AL494" s="653"/>
      <c r="AM494" s="653"/>
      <c r="AN494" s="653"/>
      <c r="AO494" s="653"/>
      <c r="AP494" s="653"/>
      <c r="AQ494" s="653"/>
      <c r="AR494" s="653"/>
      <c r="AS494" s="653"/>
      <c r="AT494" s="653"/>
      <c r="AU494" s="653"/>
      <c r="AV494" s="653"/>
    </row>
    <row r="495" spans="1:48" ht="14.5">
      <c r="A495" s="653"/>
      <c r="B495" s="653"/>
      <c r="C495" s="653"/>
      <c r="D495" s="653"/>
      <c r="E495" s="653"/>
      <c r="F495" s="653"/>
      <c r="G495" s="654"/>
      <c r="H495" s="654"/>
      <c r="I495" s="653"/>
      <c r="J495" s="653"/>
      <c r="K495" s="655"/>
      <c r="L495" s="653"/>
      <c r="M495" s="653"/>
      <c r="N495" s="653"/>
      <c r="O495" s="653"/>
      <c r="P495" s="653"/>
      <c r="Q495" s="653"/>
      <c r="R495" s="653"/>
      <c r="S495" s="653"/>
      <c r="T495" s="653"/>
      <c r="U495" s="656"/>
      <c r="V495" s="653"/>
      <c r="W495" s="653"/>
      <c r="X495" s="653"/>
      <c r="Y495" s="657"/>
      <c r="Z495" s="615"/>
      <c r="AA495" s="653"/>
      <c r="AB495" s="657"/>
      <c r="AC495" s="653"/>
      <c r="AD495" s="653"/>
      <c r="AE495" s="653"/>
      <c r="AF495" s="653"/>
      <c r="AG495" s="653"/>
      <c r="AH495" s="653"/>
      <c r="AI495" s="653"/>
      <c r="AJ495" s="653"/>
      <c r="AK495" s="653"/>
      <c r="AL495" s="653"/>
      <c r="AM495" s="653"/>
      <c r="AN495" s="653"/>
      <c r="AO495" s="653"/>
      <c r="AP495" s="653"/>
      <c r="AQ495" s="653"/>
      <c r="AR495" s="653"/>
      <c r="AS495" s="653"/>
      <c r="AT495" s="653"/>
      <c r="AU495" s="653"/>
      <c r="AV495" s="653"/>
    </row>
    <row r="496" spans="1:48" ht="14.5">
      <c r="A496" s="653"/>
      <c r="B496" s="653"/>
      <c r="C496" s="653"/>
      <c r="D496" s="653"/>
      <c r="E496" s="653"/>
      <c r="F496" s="653"/>
      <c r="G496" s="654"/>
      <c r="H496" s="654"/>
      <c r="I496" s="653"/>
      <c r="J496" s="653"/>
      <c r="K496" s="655"/>
      <c r="L496" s="653"/>
      <c r="M496" s="653"/>
      <c r="N496" s="653"/>
      <c r="O496" s="653"/>
      <c r="P496" s="653"/>
      <c r="Q496" s="653"/>
      <c r="R496" s="653"/>
      <c r="S496" s="653"/>
      <c r="T496" s="653"/>
      <c r="U496" s="656"/>
      <c r="V496" s="653"/>
      <c r="W496" s="653"/>
      <c r="X496" s="653"/>
      <c r="Y496" s="657"/>
      <c r="Z496" s="615"/>
      <c r="AA496" s="653"/>
      <c r="AB496" s="657"/>
      <c r="AC496" s="653"/>
      <c r="AD496" s="653"/>
      <c r="AE496" s="653"/>
      <c r="AF496" s="653"/>
      <c r="AG496" s="653"/>
      <c r="AH496" s="653"/>
      <c r="AI496" s="653"/>
      <c r="AJ496" s="653"/>
      <c r="AK496" s="653"/>
      <c r="AL496" s="653"/>
      <c r="AM496" s="653"/>
      <c r="AN496" s="653"/>
      <c r="AO496" s="653"/>
      <c r="AP496" s="653"/>
      <c r="AQ496" s="653"/>
      <c r="AR496" s="653"/>
      <c r="AS496" s="653"/>
      <c r="AT496" s="653"/>
      <c r="AU496" s="653"/>
      <c r="AV496" s="653"/>
    </row>
    <row r="497" spans="1:48" ht="14.5">
      <c r="A497" s="653"/>
      <c r="B497" s="653"/>
      <c r="C497" s="653"/>
      <c r="D497" s="653"/>
      <c r="E497" s="653"/>
      <c r="F497" s="653"/>
      <c r="G497" s="654"/>
      <c r="H497" s="654"/>
      <c r="I497" s="653"/>
      <c r="J497" s="653"/>
      <c r="K497" s="655"/>
      <c r="L497" s="653"/>
      <c r="M497" s="653"/>
      <c r="N497" s="653"/>
      <c r="O497" s="653"/>
      <c r="P497" s="653"/>
      <c r="Q497" s="653"/>
      <c r="R497" s="653"/>
      <c r="S497" s="653"/>
      <c r="T497" s="653"/>
      <c r="U497" s="656"/>
      <c r="V497" s="653"/>
      <c r="W497" s="653"/>
      <c r="X497" s="653"/>
      <c r="Y497" s="657"/>
      <c r="Z497" s="615"/>
      <c r="AA497" s="653"/>
      <c r="AB497" s="657"/>
      <c r="AC497" s="653"/>
      <c r="AD497" s="653"/>
      <c r="AE497" s="653"/>
      <c r="AF497" s="653"/>
      <c r="AG497" s="653"/>
      <c r="AH497" s="653"/>
      <c r="AI497" s="653"/>
      <c r="AJ497" s="653"/>
      <c r="AK497" s="653"/>
      <c r="AL497" s="653"/>
      <c r="AM497" s="653"/>
      <c r="AN497" s="653"/>
      <c r="AO497" s="653"/>
      <c r="AP497" s="653"/>
      <c r="AQ497" s="653"/>
      <c r="AR497" s="653"/>
      <c r="AS497" s="653"/>
      <c r="AT497" s="653"/>
      <c r="AU497" s="653"/>
      <c r="AV497" s="653"/>
    </row>
    <row r="498" spans="1:48" ht="14.5">
      <c r="A498" s="653"/>
      <c r="B498" s="653"/>
      <c r="C498" s="653"/>
      <c r="D498" s="653"/>
      <c r="E498" s="653"/>
      <c r="F498" s="653"/>
      <c r="G498" s="654"/>
      <c r="H498" s="654"/>
      <c r="I498" s="653"/>
      <c r="J498" s="653"/>
      <c r="K498" s="655"/>
      <c r="L498" s="653"/>
      <c r="M498" s="653"/>
      <c r="N498" s="653"/>
      <c r="O498" s="653"/>
      <c r="P498" s="653"/>
      <c r="Q498" s="653"/>
      <c r="R498" s="653"/>
      <c r="S498" s="653"/>
      <c r="T498" s="653"/>
      <c r="U498" s="656"/>
      <c r="V498" s="653"/>
      <c r="W498" s="653"/>
      <c r="X498" s="653"/>
      <c r="Y498" s="657"/>
      <c r="Z498" s="615"/>
      <c r="AA498" s="653"/>
      <c r="AB498" s="657"/>
      <c r="AC498" s="653"/>
      <c r="AD498" s="653"/>
      <c r="AE498" s="653"/>
      <c r="AF498" s="653"/>
      <c r="AG498" s="653"/>
      <c r="AH498" s="653"/>
      <c r="AI498" s="653"/>
      <c r="AJ498" s="653"/>
      <c r="AK498" s="653"/>
      <c r="AL498" s="653"/>
      <c r="AM498" s="653"/>
      <c r="AN498" s="653"/>
      <c r="AO498" s="653"/>
      <c r="AP498" s="653"/>
      <c r="AQ498" s="653"/>
      <c r="AR498" s="653"/>
      <c r="AS498" s="653"/>
      <c r="AT498" s="653"/>
      <c r="AU498" s="653"/>
      <c r="AV498" s="653"/>
    </row>
    <row r="499" spans="1:48" ht="14.5">
      <c r="A499" s="653"/>
      <c r="B499" s="653"/>
      <c r="C499" s="653"/>
      <c r="D499" s="653"/>
      <c r="E499" s="653"/>
      <c r="F499" s="653"/>
      <c r="G499" s="654"/>
      <c r="H499" s="654"/>
      <c r="I499" s="653"/>
      <c r="J499" s="653"/>
      <c r="K499" s="655"/>
      <c r="L499" s="653"/>
      <c r="M499" s="653"/>
      <c r="N499" s="653"/>
      <c r="O499" s="653"/>
      <c r="P499" s="653"/>
      <c r="Q499" s="653"/>
      <c r="R499" s="653"/>
      <c r="S499" s="653"/>
      <c r="T499" s="653"/>
      <c r="U499" s="656"/>
      <c r="V499" s="653"/>
      <c r="W499" s="653"/>
      <c r="X499" s="653"/>
      <c r="Y499" s="657"/>
      <c r="Z499" s="615"/>
      <c r="AA499" s="653"/>
      <c r="AB499" s="657"/>
      <c r="AC499" s="653"/>
      <c r="AD499" s="653"/>
      <c r="AE499" s="653"/>
      <c r="AF499" s="653"/>
      <c r="AG499" s="653"/>
      <c r="AH499" s="653"/>
      <c r="AI499" s="653"/>
      <c r="AJ499" s="653"/>
      <c r="AK499" s="653"/>
      <c r="AL499" s="653"/>
      <c r="AM499" s="653"/>
      <c r="AN499" s="653"/>
      <c r="AO499" s="653"/>
      <c r="AP499" s="653"/>
      <c r="AQ499" s="653"/>
      <c r="AR499" s="653"/>
      <c r="AS499" s="653"/>
      <c r="AT499" s="653"/>
      <c r="AU499" s="653"/>
      <c r="AV499" s="653"/>
    </row>
    <row r="500" spans="1:48" ht="14.5">
      <c r="A500" s="653"/>
      <c r="B500" s="653"/>
      <c r="C500" s="653"/>
      <c r="D500" s="653"/>
      <c r="E500" s="653"/>
      <c r="F500" s="653"/>
      <c r="G500" s="654"/>
      <c r="H500" s="654"/>
      <c r="I500" s="653"/>
      <c r="J500" s="653"/>
      <c r="K500" s="655"/>
      <c r="L500" s="653"/>
      <c r="M500" s="653"/>
      <c r="N500" s="653"/>
      <c r="O500" s="653"/>
      <c r="P500" s="653"/>
      <c r="Q500" s="653"/>
      <c r="R500" s="653"/>
      <c r="S500" s="653"/>
      <c r="T500" s="653"/>
      <c r="U500" s="656"/>
      <c r="V500" s="653"/>
      <c r="W500" s="653"/>
      <c r="X500" s="653"/>
      <c r="Y500" s="657"/>
      <c r="Z500" s="615"/>
      <c r="AA500" s="653"/>
      <c r="AB500" s="657"/>
      <c r="AC500" s="653"/>
      <c r="AD500" s="653"/>
      <c r="AE500" s="653"/>
      <c r="AF500" s="653"/>
      <c r="AG500" s="653"/>
      <c r="AH500" s="653"/>
      <c r="AI500" s="653"/>
      <c r="AJ500" s="653"/>
      <c r="AK500" s="653"/>
      <c r="AL500" s="653"/>
      <c r="AM500" s="653"/>
      <c r="AN500" s="653"/>
      <c r="AO500" s="653"/>
      <c r="AP500" s="653"/>
      <c r="AQ500" s="653"/>
      <c r="AR500" s="653"/>
      <c r="AS500" s="653"/>
      <c r="AT500" s="653"/>
      <c r="AU500" s="653"/>
      <c r="AV500" s="653"/>
    </row>
    <row r="501" spans="1:48" ht="14.5">
      <c r="A501" s="653"/>
      <c r="B501" s="653"/>
      <c r="C501" s="653"/>
      <c r="D501" s="653"/>
      <c r="E501" s="653"/>
      <c r="F501" s="653"/>
      <c r="G501" s="654"/>
      <c r="H501" s="654"/>
      <c r="I501" s="653"/>
      <c r="J501" s="653"/>
      <c r="K501" s="655"/>
      <c r="L501" s="653"/>
      <c r="M501" s="653"/>
      <c r="N501" s="653"/>
      <c r="O501" s="653"/>
      <c r="P501" s="653"/>
      <c r="Q501" s="653"/>
      <c r="R501" s="653"/>
      <c r="S501" s="653"/>
      <c r="T501" s="653"/>
      <c r="U501" s="656"/>
      <c r="V501" s="653"/>
      <c r="W501" s="653"/>
      <c r="X501" s="653"/>
      <c r="Y501" s="657"/>
      <c r="Z501" s="615"/>
      <c r="AA501" s="653"/>
      <c r="AB501" s="657"/>
      <c r="AC501" s="653"/>
      <c r="AD501" s="653"/>
      <c r="AE501" s="653"/>
      <c r="AF501" s="653"/>
      <c r="AG501" s="653"/>
      <c r="AH501" s="653"/>
      <c r="AI501" s="653"/>
      <c r="AJ501" s="653"/>
      <c r="AK501" s="653"/>
      <c r="AL501" s="653"/>
      <c r="AM501" s="653"/>
      <c r="AN501" s="653"/>
      <c r="AO501" s="653"/>
      <c r="AP501" s="653"/>
      <c r="AQ501" s="653"/>
      <c r="AR501" s="653"/>
      <c r="AS501" s="653"/>
      <c r="AT501" s="653"/>
      <c r="AU501" s="653"/>
      <c r="AV501" s="653"/>
    </row>
    <row r="502" spans="1:48" ht="14.5">
      <c r="A502" s="653"/>
      <c r="B502" s="653"/>
      <c r="C502" s="653"/>
      <c r="D502" s="653"/>
      <c r="E502" s="653"/>
      <c r="F502" s="653"/>
      <c r="G502" s="654"/>
      <c r="H502" s="654"/>
      <c r="I502" s="653"/>
      <c r="J502" s="653"/>
      <c r="K502" s="655"/>
      <c r="L502" s="653"/>
      <c r="M502" s="653"/>
      <c r="N502" s="653"/>
      <c r="O502" s="653"/>
      <c r="P502" s="653"/>
      <c r="Q502" s="653"/>
      <c r="R502" s="653"/>
      <c r="S502" s="653"/>
      <c r="T502" s="653"/>
      <c r="U502" s="656"/>
      <c r="V502" s="653"/>
      <c r="W502" s="653"/>
      <c r="X502" s="653"/>
      <c r="Y502" s="657"/>
      <c r="Z502" s="615"/>
      <c r="AA502" s="653"/>
      <c r="AB502" s="657"/>
      <c r="AC502" s="653"/>
      <c r="AD502" s="653"/>
      <c r="AE502" s="653"/>
      <c r="AF502" s="653"/>
      <c r="AG502" s="653"/>
      <c r="AH502" s="653"/>
      <c r="AI502" s="653"/>
      <c r="AJ502" s="653"/>
      <c r="AK502" s="653"/>
      <c r="AL502" s="653"/>
      <c r="AM502" s="653"/>
      <c r="AN502" s="653"/>
      <c r="AO502" s="653"/>
      <c r="AP502" s="653"/>
      <c r="AQ502" s="653"/>
      <c r="AR502" s="653"/>
      <c r="AS502" s="653"/>
      <c r="AT502" s="653"/>
      <c r="AU502" s="653"/>
      <c r="AV502" s="653"/>
    </row>
    <row r="503" spans="1:48" ht="14.5">
      <c r="A503" s="653"/>
      <c r="B503" s="653"/>
      <c r="C503" s="653"/>
      <c r="D503" s="653"/>
      <c r="E503" s="653"/>
      <c r="F503" s="653"/>
      <c r="G503" s="654"/>
      <c r="H503" s="654"/>
      <c r="I503" s="653"/>
      <c r="J503" s="653"/>
      <c r="K503" s="655"/>
      <c r="L503" s="653"/>
      <c r="M503" s="653"/>
      <c r="N503" s="653"/>
      <c r="O503" s="653"/>
      <c r="P503" s="653"/>
      <c r="Q503" s="653"/>
      <c r="R503" s="653"/>
      <c r="S503" s="653"/>
      <c r="T503" s="653"/>
      <c r="U503" s="656"/>
      <c r="V503" s="653"/>
      <c r="W503" s="653"/>
      <c r="X503" s="653"/>
      <c r="Y503" s="657"/>
      <c r="Z503" s="615"/>
      <c r="AA503" s="653"/>
      <c r="AB503" s="657"/>
      <c r="AC503" s="653"/>
      <c r="AD503" s="653"/>
      <c r="AE503" s="653"/>
      <c r="AF503" s="653"/>
      <c r="AG503" s="653"/>
      <c r="AH503" s="653"/>
      <c r="AI503" s="653"/>
      <c r="AJ503" s="653"/>
      <c r="AK503" s="653"/>
      <c r="AL503" s="653"/>
      <c r="AM503" s="653"/>
      <c r="AN503" s="653"/>
      <c r="AO503" s="653"/>
      <c r="AP503" s="653"/>
      <c r="AQ503" s="653"/>
      <c r="AR503" s="653"/>
      <c r="AS503" s="653"/>
      <c r="AT503" s="653"/>
      <c r="AU503" s="653"/>
      <c r="AV503" s="653"/>
    </row>
    <row r="504" spans="1:48" ht="14.5">
      <c r="A504" s="653"/>
      <c r="B504" s="653"/>
      <c r="C504" s="653"/>
      <c r="D504" s="653"/>
      <c r="E504" s="653"/>
      <c r="F504" s="653"/>
      <c r="G504" s="654"/>
      <c r="H504" s="654"/>
      <c r="I504" s="653"/>
      <c r="J504" s="653"/>
      <c r="K504" s="655"/>
      <c r="L504" s="653"/>
      <c r="M504" s="653"/>
      <c r="N504" s="653"/>
      <c r="O504" s="653"/>
      <c r="P504" s="653"/>
      <c r="Q504" s="653"/>
      <c r="R504" s="653"/>
      <c r="S504" s="653"/>
      <c r="T504" s="653"/>
      <c r="U504" s="656"/>
      <c r="V504" s="653"/>
      <c r="W504" s="653"/>
      <c r="X504" s="653"/>
      <c r="Y504" s="657"/>
      <c r="Z504" s="615"/>
      <c r="AA504" s="653"/>
      <c r="AB504" s="657"/>
      <c r="AC504" s="653"/>
      <c r="AD504" s="653"/>
      <c r="AE504" s="653"/>
      <c r="AF504" s="653"/>
      <c r="AG504" s="653"/>
      <c r="AH504" s="653"/>
      <c r="AI504" s="653"/>
      <c r="AJ504" s="653"/>
      <c r="AK504" s="653"/>
      <c r="AL504" s="653"/>
      <c r="AM504" s="653"/>
      <c r="AN504" s="653"/>
      <c r="AO504" s="653"/>
      <c r="AP504" s="653"/>
      <c r="AQ504" s="653"/>
      <c r="AR504" s="653"/>
      <c r="AS504" s="653"/>
      <c r="AT504" s="653"/>
      <c r="AU504" s="653"/>
      <c r="AV504" s="653"/>
    </row>
    <row r="505" spans="1:48" ht="14.5">
      <c r="A505" s="653"/>
      <c r="B505" s="653"/>
      <c r="C505" s="653"/>
      <c r="D505" s="653"/>
      <c r="E505" s="653"/>
      <c r="F505" s="653"/>
      <c r="G505" s="654"/>
      <c r="H505" s="654"/>
      <c r="I505" s="653"/>
      <c r="J505" s="653"/>
      <c r="K505" s="655"/>
      <c r="L505" s="653"/>
      <c r="M505" s="653"/>
      <c r="N505" s="653"/>
      <c r="O505" s="653"/>
      <c r="P505" s="653"/>
      <c r="Q505" s="653"/>
      <c r="R505" s="653"/>
      <c r="S505" s="653"/>
      <c r="T505" s="653"/>
      <c r="U505" s="656"/>
      <c r="V505" s="653"/>
      <c r="W505" s="653"/>
      <c r="X505" s="653"/>
      <c r="Y505" s="657"/>
      <c r="Z505" s="615"/>
      <c r="AA505" s="653"/>
      <c r="AB505" s="657"/>
      <c r="AC505" s="653"/>
      <c r="AD505" s="653"/>
      <c r="AE505" s="653"/>
      <c r="AF505" s="653"/>
      <c r="AG505" s="653"/>
      <c r="AH505" s="653"/>
      <c r="AI505" s="653"/>
      <c r="AJ505" s="653"/>
      <c r="AK505" s="653"/>
      <c r="AL505" s="653"/>
      <c r="AM505" s="653"/>
      <c r="AN505" s="653"/>
      <c r="AO505" s="653"/>
      <c r="AP505" s="653"/>
      <c r="AQ505" s="653"/>
      <c r="AR505" s="653"/>
      <c r="AS505" s="653"/>
      <c r="AT505" s="653"/>
      <c r="AU505" s="653"/>
      <c r="AV505" s="653"/>
    </row>
    <row r="506" spans="1:48" ht="14.5">
      <c r="A506" s="653"/>
      <c r="B506" s="653"/>
      <c r="C506" s="653"/>
      <c r="D506" s="653"/>
      <c r="E506" s="653"/>
      <c r="F506" s="653"/>
      <c r="G506" s="654"/>
      <c r="H506" s="654"/>
      <c r="I506" s="653"/>
      <c r="J506" s="653"/>
      <c r="K506" s="655"/>
      <c r="L506" s="653"/>
      <c r="M506" s="653"/>
      <c r="N506" s="653"/>
      <c r="O506" s="653"/>
      <c r="P506" s="653"/>
      <c r="Q506" s="653"/>
      <c r="R506" s="653"/>
      <c r="S506" s="653"/>
      <c r="T506" s="653"/>
      <c r="U506" s="656"/>
      <c r="V506" s="653"/>
      <c r="W506" s="653"/>
      <c r="X506" s="653"/>
      <c r="Y506" s="657"/>
      <c r="Z506" s="615"/>
      <c r="AA506" s="653"/>
      <c r="AB506" s="657"/>
      <c r="AC506" s="653"/>
      <c r="AD506" s="653"/>
      <c r="AE506" s="653"/>
      <c r="AF506" s="653"/>
      <c r="AG506" s="653"/>
      <c r="AH506" s="653"/>
      <c r="AI506" s="653"/>
      <c r="AJ506" s="653"/>
      <c r="AK506" s="653"/>
      <c r="AL506" s="653"/>
      <c r="AM506" s="653"/>
      <c r="AN506" s="653"/>
      <c r="AO506" s="653"/>
      <c r="AP506" s="653"/>
      <c r="AQ506" s="653"/>
      <c r="AR506" s="653"/>
      <c r="AS506" s="653"/>
      <c r="AT506" s="653"/>
      <c r="AU506" s="653"/>
      <c r="AV506" s="653"/>
    </row>
    <row r="507" spans="1:48" ht="14.5">
      <c r="A507" s="653"/>
      <c r="B507" s="653"/>
      <c r="C507" s="653"/>
      <c r="D507" s="653"/>
      <c r="E507" s="653"/>
      <c r="F507" s="653"/>
      <c r="G507" s="654"/>
      <c r="H507" s="654"/>
      <c r="I507" s="653"/>
      <c r="J507" s="653"/>
      <c r="K507" s="655"/>
      <c r="L507" s="653"/>
      <c r="M507" s="653"/>
      <c r="N507" s="653"/>
      <c r="O507" s="653"/>
      <c r="P507" s="653"/>
      <c r="Q507" s="653"/>
      <c r="R507" s="653"/>
      <c r="S507" s="653"/>
      <c r="T507" s="653"/>
      <c r="U507" s="656"/>
      <c r="V507" s="653"/>
      <c r="W507" s="653"/>
      <c r="X507" s="653"/>
      <c r="Y507" s="657"/>
      <c r="Z507" s="615"/>
      <c r="AA507" s="653"/>
      <c r="AB507" s="657"/>
      <c r="AC507" s="653"/>
      <c r="AD507" s="653"/>
      <c r="AE507" s="653"/>
      <c r="AF507" s="653"/>
      <c r="AG507" s="653"/>
      <c r="AH507" s="653"/>
      <c r="AI507" s="653"/>
      <c r="AJ507" s="653"/>
      <c r="AK507" s="653"/>
      <c r="AL507" s="653"/>
      <c r="AM507" s="653"/>
      <c r="AN507" s="653"/>
      <c r="AO507" s="653"/>
      <c r="AP507" s="653"/>
      <c r="AQ507" s="653"/>
      <c r="AR507" s="653"/>
      <c r="AS507" s="653"/>
      <c r="AT507" s="653"/>
      <c r="AU507" s="653"/>
      <c r="AV507" s="653"/>
    </row>
    <row r="508" spans="1:48" ht="14.5">
      <c r="A508" s="653"/>
      <c r="B508" s="653"/>
      <c r="C508" s="653"/>
      <c r="D508" s="653"/>
      <c r="E508" s="653"/>
      <c r="F508" s="653"/>
      <c r="G508" s="654"/>
      <c r="H508" s="654"/>
      <c r="I508" s="653"/>
      <c r="J508" s="653"/>
      <c r="K508" s="655"/>
      <c r="L508" s="653"/>
      <c r="M508" s="653"/>
      <c r="N508" s="653"/>
      <c r="O508" s="653"/>
      <c r="P508" s="653"/>
      <c r="Q508" s="653"/>
      <c r="R508" s="653"/>
      <c r="S508" s="653"/>
      <c r="T508" s="653"/>
      <c r="U508" s="656"/>
      <c r="V508" s="653"/>
      <c r="W508" s="653"/>
      <c r="X508" s="653"/>
      <c r="Y508" s="657"/>
      <c r="Z508" s="615"/>
      <c r="AA508" s="653"/>
      <c r="AB508" s="657"/>
      <c r="AC508" s="653"/>
      <c r="AD508" s="653"/>
      <c r="AE508" s="653"/>
      <c r="AF508" s="653"/>
      <c r="AG508" s="653"/>
      <c r="AH508" s="653"/>
      <c r="AI508" s="653"/>
      <c r="AJ508" s="653"/>
      <c r="AK508" s="653"/>
      <c r="AL508" s="653"/>
      <c r="AM508" s="653"/>
      <c r="AN508" s="653"/>
      <c r="AO508" s="653"/>
      <c r="AP508" s="653"/>
      <c r="AQ508" s="653"/>
      <c r="AR508" s="653"/>
      <c r="AS508" s="653"/>
      <c r="AT508" s="653"/>
      <c r="AU508" s="653"/>
      <c r="AV508" s="653"/>
    </row>
    <row r="509" spans="1:48" ht="14.5">
      <c r="A509" s="653"/>
      <c r="B509" s="653"/>
      <c r="C509" s="653"/>
      <c r="D509" s="653"/>
      <c r="E509" s="653"/>
      <c r="F509" s="653"/>
      <c r="G509" s="654"/>
      <c r="H509" s="654"/>
      <c r="I509" s="653"/>
      <c r="J509" s="653"/>
      <c r="K509" s="655"/>
      <c r="L509" s="653"/>
      <c r="M509" s="653"/>
      <c r="N509" s="653"/>
      <c r="O509" s="653"/>
      <c r="P509" s="653"/>
      <c r="Q509" s="653"/>
      <c r="R509" s="653"/>
      <c r="S509" s="653"/>
      <c r="T509" s="653"/>
      <c r="U509" s="656"/>
      <c r="V509" s="653"/>
      <c r="W509" s="653"/>
      <c r="X509" s="653"/>
      <c r="Y509" s="657"/>
      <c r="Z509" s="615"/>
      <c r="AA509" s="653"/>
      <c r="AB509" s="657"/>
      <c r="AC509" s="653"/>
      <c r="AD509" s="653"/>
      <c r="AE509" s="653"/>
      <c r="AF509" s="653"/>
      <c r="AG509" s="653"/>
      <c r="AH509" s="653"/>
      <c r="AI509" s="653"/>
      <c r="AJ509" s="653"/>
      <c r="AK509" s="653"/>
      <c r="AL509" s="653"/>
      <c r="AM509" s="653"/>
      <c r="AN509" s="653"/>
      <c r="AO509" s="653"/>
      <c r="AP509" s="653"/>
      <c r="AQ509" s="653"/>
      <c r="AR509" s="653"/>
      <c r="AS509" s="653"/>
      <c r="AT509" s="653"/>
      <c r="AU509" s="653"/>
      <c r="AV509" s="653"/>
    </row>
    <row r="510" spans="1:48" ht="14.5">
      <c r="A510" s="653"/>
      <c r="B510" s="653"/>
      <c r="C510" s="653"/>
      <c r="D510" s="653"/>
      <c r="E510" s="653"/>
      <c r="F510" s="653"/>
      <c r="G510" s="654"/>
      <c r="H510" s="654"/>
      <c r="I510" s="653"/>
      <c r="J510" s="653"/>
      <c r="K510" s="655"/>
      <c r="L510" s="653"/>
      <c r="M510" s="653"/>
      <c r="N510" s="653"/>
      <c r="O510" s="653"/>
      <c r="P510" s="653"/>
      <c r="Q510" s="653"/>
      <c r="R510" s="653"/>
      <c r="S510" s="653"/>
      <c r="T510" s="653"/>
      <c r="U510" s="656"/>
      <c r="V510" s="653"/>
      <c r="W510" s="653"/>
      <c r="X510" s="653"/>
      <c r="Y510" s="657"/>
      <c r="Z510" s="615"/>
      <c r="AA510" s="653"/>
      <c r="AB510" s="657"/>
      <c r="AC510" s="653"/>
      <c r="AD510" s="653"/>
      <c r="AE510" s="653"/>
      <c r="AF510" s="653"/>
      <c r="AG510" s="653"/>
      <c r="AH510" s="653"/>
      <c r="AI510" s="653"/>
      <c r="AJ510" s="653"/>
      <c r="AK510" s="653"/>
      <c r="AL510" s="653"/>
      <c r="AM510" s="653"/>
      <c r="AN510" s="653"/>
      <c r="AO510" s="653"/>
      <c r="AP510" s="653"/>
      <c r="AQ510" s="653"/>
      <c r="AR510" s="653"/>
      <c r="AS510" s="653"/>
      <c r="AT510" s="653"/>
      <c r="AU510" s="653"/>
      <c r="AV510" s="653"/>
    </row>
    <row r="511" spans="1:48" ht="14.5">
      <c r="A511" s="653"/>
      <c r="B511" s="653"/>
      <c r="C511" s="653"/>
      <c r="D511" s="653"/>
      <c r="E511" s="653"/>
      <c r="F511" s="653"/>
      <c r="G511" s="654"/>
      <c r="H511" s="654"/>
      <c r="I511" s="653"/>
      <c r="J511" s="653"/>
      <c r="K511" s="655"/>
      <c r="L511" s="653"/>
      <c r="M511" s="653"/>
      <c r="N511" s="653"/>
      <c r="O511" s="653"/>
      <c r="P511" s="653"/>
      <c r="Q511" s="653"/>
      <c r="R511" s="653"/>
      <c r="S511" s="653"/>
      <c r="T511" s="653"/>
      <c r="U511" s="656"/>
      <c r="V511" s="653"/>
      <c r="W511" s="653"/>
      <c r="X511" s="653"/>
      <c r="Y511" s="657"/>
      <c r="Z511" s="615"/>
      <c r="AA511" s="653"/>
      <c r="AB511" s="657"/>
      <c r="AC511" s="653"/>
      <c r="AD511" s="653"/>
      <c r="AE511" s="653"/>
      <c r="AF511" s="653"/>
      <c r="AG511" s="653"/>
      <c r="AH511" s="653"/>
      <c r="AI511" s="653"/>
      <c r="AJ511" s="653"/>
      <c r="AK511" s="653"/>
      <c r="AL511" s="653"/>
      <c r="AM511" s="653"/>
      <c r="AN511" s="653"/>
      <c r="AO511" s="653"/>
      <c r="AP511" s="653"/>
      <c r="AQ511" s="653"/>
      <c r="AR511" s="653"/>
      <c r="AS511" s="653"/>
      <c r="AT511" s="653"/>
      <c r="AU511" s="653"/>
      <c r="AV511" s="653"/>
    </row>
    <row r="512" spans="1:48" ht="14.5">
      <c r="A512" s="653"/>
      <c r="B512" s="653"/>
      <c r="C512" s="653"/>
      <c r="D512" s="653"/>
      <c r="E512" s="653"/>
      <c r="F512" s="653"/>
      <c r="G512" s="654"/>
      <c r="H512" s="654"/>
      <c r="I512" s="653"/>
      <c r="J512" s="653"/>
      <c r="K512" s="655"/>
      <c r="L512" s="653"/>
      <c r="M512" s="653"/>
      <c r="N512" s="653"/>
      <c r="O512" s="653"/>
      <c r="P512" s="653"/>
      <c r="Q512" s="653"/>
      <c r="R512" s="653"/>
      <c r="S512" s="653"/>
      <c r="T512" s="653"/>
      <c r="U512" s="656"/>
      <c r="V512" s="653"/>
      <c r="W512" s="653"/>
      <c r="X512" s="653"/>
      <c r="Y512" s="657"/>
      <c r="Z512" s="615"/>
      <c r="AA512" s="653"/>
      <c r="AB512" s="657"/>
      <c r="AC512" s="653"/>
      <c r="AD512" s="653"/>
      <c r="AE512" s="653"/>
      <c r="AF512" s="653"/>
      <c r="AG512" s="653"/>
      <c r="AH512" s="653"/>
      <c r="AI512" s="653"/>
      <c r="AJ512" s="653"/>
      <c r="AK512" s="653"/>
      <c r="AL512" s="653"/>
      <c r="AM512" s="653"/>
      <c r="AN512" s="653"/>
      <c r="AO512" s="653"/>
      <c r="AP512" s="653"/>
      <c r="AQ512" s="653"/>
      <c r="AR512" s="653"/>
      <c r="AS512" s="653"/>
      <c r="AT512" s="653"/>
      <c r="AU512" s="653"/>
      <c r="AV512" s="653"/>
    </row>
    <row r="513" spans="1:48" ht="14.5">
      <c r="A513" s="653"/>
      <c r="B513" s="653"/>
      <c r="C513" s="653"/>
      <c r="D513" s="653"/>
      <c r="E513" s="653"/>
      <c r="F513" s="653"/>
      <c r="G513" s="654"/>
      <c r="H513" s="654"/>
      <c r="I513" s="653"/>
      <c r="J513" s="653"/>
      <c r="K513" s="655"/>
      <c r="L513" s="653"/>
      <c r="M513" s="653"/>
      <c r="N513" s="653"/>
      <c r="O513" s="653"/>
      <c r="P513" s="653"/>
      <c r="Q513" s="653"/>
      <c r="R513" s="653"/>
      <c r="S513" s="653"/>
      <c r="T513" s="653"/>
      <c r="U513" s="656"/>
      <c r="V513" s="653"/>
      <c r="W513" s="653"/>
      <c r="X513" s="653"/>
      <c r="Y513" s="657"/>
      <c r="Z513" s="615"/>
      <c r="AA513" s="653"/>
      <c r="AB513" s="657"/>
      <c r="AC513" s="653"/>
      <c r="AD513" s="653"/>
      <c r="AE513" s="653"/>
      <c r="AF513" s="653"/>
      <c r="AG513" s="653"/>
      <c r="AH513" s="653"/>
      <c r="AI513" s="653"/>
      <c r="AJ513" s="653"/>
      <c r="AK513" s="653"/>
      <c r="AL513" s="653"/>
      <c r="AM513" s="653"/>
      <c r="AN513" s="653"/>
      <c r="AO513" s="653"/>
      <c r="AP513" s="653"/>
      <c r="AQ513" s="653"/>
      <c r="AR513" s="653"/>
      <c r="AS513" s="653"/>
      <c r="AT513" s="653"/>
      <c r="AU513" s="653"/>
      <c r="AV513" s="653"/>
    </row>
    <row r="514" spans="1:48" ht="14.5">
      <c r="A514" s="653"/>
      <c r="B514" s="653"/>
      <c r="C514" s="653"/>
      <c r="D514" s="653"/>
      <c r="E514" s="653"/>
      <c r="F514" s="653"/>
      <c r="G514" s="654"/>
      <c r="H514" s="654"/>
      <c r="I514" s="653"/>
      <c r="J514" s="653"/>
      <c r="K514" s="655"/>
      <c r="L514" s="653"/>
      <c r="M514" s="653"/>
      <c r="N514" s="653"/>
      <c r="O514" s="653"/>
      <c r="P514" s="653"/>
      <c r="Q514" s="653"/>
      <c r="R514" s="653"/>
      <c r="S514" s="653"/>
      <c r="T514" s="653"/>
      <c r="U514" s="656"/>
      <c r="V514" s="653"/>
      <c r="W514" s="653"/>
      <c r="X514" s="653"/>
      <c r="Y514" s="657"/>
      <c r="Z514" s="615"/>
      <c r="AA514" s="653"/>
      <c r="AB514" s="657"/>
      <c r="AC514" s="653"/>
      <c r="AD514" s="653"/>
      <c r="AE514" s="653"/>
      <c r="AF514" s="653"/>
      <c r="AG514" s="653"/>
      <c r="AH514" s="653"/>
      <c r="AI514" s="653"/>
      <c r="AJ514" s="653"/>
      <c r="AK514" s="653"/>
      <c r="AL514" s="653"/>
      <c r="AM514" s="653"/>
      <c r="AN514" s="653"/>
      <c r="AO514" s="653"/>
      <c r="AP514" s="653"/>
      <c r="AQ514" s="653"/>
      <c r="AR514" s="653"/>
      <c r="AS514" s="653"/>
      <c r="AT514" s="653"/>
      <c r="AU514" s="653"/>
      <c r="AV514" s="653"/>
    </row>
    <row r="515" spans="1:48" ht="14.5">
      <c r="A515" s="653"/>
      <c r="B515" s="653"/>
      <c r="C515" s="653"/>
      <c r="D515" s="653"/>
      <c r="E515" s="653"/>
      <c r="F515" s="653"/>
      <c r="G515" s="654"/>
      <c r="H515" s="654"/>
      <c r="I515" s="653"/>
      <c r="J515" s="653"/>
      <c r="K515" s="655"/>
      <c r="L515" s="653"/>
      <c r="M515" s="653"/>
      <c r="N515" s="653"/>
      <c r="O515" s="653"/>
      <c r="P515" s="653"/>
      <c r="Q515" s="653"/>
      <c r="R515" s="653"/>
      <c r="S515" s="653"/>
      <c r="T515" s="653"/>
      <c r="U515" s="656"/>
      <c r="V515" s="653"/>
      <c r="W515" s="653"/>
      <c r="X515" s="653"/>
      <c r="Y515" s="657"/>
      <c r="Z515" s="615"/>
      <c r="AA515" s="653"/>
      <c r="AB515" s="657"/>
      <c r="AC515" s="653"/>
      <c r="AD515" s="653"/>
      <c r="AE515" s="653"/>
      <c r="AF515" s="653"/>
      <c r="AG515" s="653"/>
      <c r="AH515" s="653"/>
      <c r="AI515" s="653"/>
      <c r="AJ515" s="653"/>
      <c r="AK515" s="653"/>
      <c r="AL515" s="653"/>
      <c r="AM515" s="653"/>
      <c r="AN515" s="653"/>
      <c r="AO515" s="653"/>
      <c r="AP515" s="653"/>
      <c r="AQ515" s="653"/>
      <c r="AR515" s="653"/>
      <c r="AS515" s="653"/>
      <c r="AT515" s="653"/>
      <c r="AU515" s="653"/>
      <c r="AV515" s="653"/>
    </row>
    <row r="516" spans="1:48" ht="14.5">
      <c r="A516" s="653"/>
      <c r="B516" s="653"/>
      <c r="C516" s="653"/>
      <c r="D516" s="653"/>
      <c r="E516" s="653"/>
      <c r="F516" s="653"/>
      <c r="G516" s="654"/>
      <c r="H516" s="654"/>
      <c r="I516" s="653"/>
      <c r="J516" s="653"/>
      <c r="K516" s="655"/>
      <c r="L516" s="653"/>
      <c r="M516" s="653"/>
      <c r="N516" s="653"/>
      <c r="O516" s="653"/>
      <c r="P516" s="653"/>
      <c r="Q516" s="653"/>
      <c r="R516" s="653"/>
      <c r="S516" s="653"/>
      <c r="T516" s="653"/>
      <c r="U516" s="656"/>
      <c r="V516" s="653"/>
      <c r="W516" s="653"/>
      <c r="X516" s="653"/>
      <c r="Y516" s="657"/>
      <c r="Z516" s="615"/>
      <c r="AA516" s="653"/>
      <c r="AB516" s="657"/>
      <c r="AC516" s="653"/>
      <c r="AD516" s="653"/>
      <c r="AE516" s="653"/>
      <c r="AF516" s="653"/>
      <c r="AG516" s="653"/>
      <c r="AH516" s="653"/>
      <c r="AI516" s="653"/>
      <c r="AJ516" s="653"/>
      <c r="AK516" s="653"/>
      <c r="AL516" s="653"/>
      <c r="AM516" s="653"/>
      <c r="AN516" s="653"/>
      <c r="AO516" s="653"/>
      <c r="AP516" s="653"/>
      <c r="AQ516" s="653"/>
      <c r="AR516" s="653"/>
      <c r="AS516" s="653"/>
      <c r="AT516" s="653"/>
      <c r="AU516" s="653"/>
      <c r="AV516" s="653"/>
    </row>
    <row r="517" spans="1:48" ht="14.5">
      <c r="A517" s="653"/>
      <c r="B517" s="653"/>
      <c r="C517" s="653"/>
      <c r="D517" s="653"/>
      <c r="E517" s="653"/>
      <c r="F517" s="653"/>
      <c r="G517" s="654"/>
      <c r="H517" s="654"/>
      <c r="I517" s="653"/>
      <c r="J517" s="653"/>
      <c r="K517" s="655"/>
      <c r="L517" s="653"/>
      <c r="M517" s="653"/>
      <c r="N517" s="653"/>
      <c r="O517" s="653"/>
      <c r="P517" s="653"/>
      <c r="Q517" s="653"/>
      <c r="R517" s="653"/>
      <c r="S517" s="653"/>
      <c r="T517" s="653"/>
      <c r="U517" s="656"/>
      <c r="V517" s="653"/>
      <c r="W517" s="653"/>
      <c r="X517" s="653"/>
      <c r="Y517" s="657"/>
      <c r="Z517" s="615"/>
      <c r="AA517" s="653"/>
      <c r="AB517" s="657"/>
      <c r="AC517" s="653"/>
      <c r="AD517" s="653"/>
      <c r="AE517" s="653"/>
      <c r="AF517" s="653"/>
      <c r="AG517" s="653"/>
      <c r="AH517" s="653"/>
      <c r="AI517" s="653"/>
      <c r="AJ517" s="653"/>
      <c r="AK517" s="653"/>
      <c r="AL517" s="653"/>
      <c r="AM517" s="653"/>
      <c r="AN517" s="653"/>
      <c r="AO517" s="653"/>
      <c r="AP517" s="653"/>
      <c r="AQ517" s="653"/>
      <c r="AR517" s="653"/>
      <c r="AS517" s="653"/>
      <c r="AT517" s="653"/>
      <c r="AU517" s="653"/>
      <c r="AV517" s="653"/>
    </row>
    <row r="518" spans="1:48" ht="14.5">
      <c r="A518" s="653"/>
      <c r="B518" s="653"/>
      <c r="C518" s="653"/>
      <c r="D518" s="653"/>
      <c r="E518" s="653"/>
      <c r="F518" s="653"/>
      <c r="G518" s="654"/>
      <c r="H518" s="654"/>
      <c r="I518" s="653"/>
      <c r="J518" s="653"/>
      <c r="K518" s="655"/>
      <c r="L518" s="653"/>
      <c r="M518" s="653"/>
      <c r="N518" s="653"/>
      <c r="O518" s="653"/>
      <c r="P518" s="653"/>
      <c r="Q518" s="653"/>
      <c r="R518" s="653"/>
      <c r="S518" s="653"/>
      <c r="T518" s="653"/>
      <c r="U518" s="656"/>
      <c r="V518" s="653"/>
      <c r="W518" s="653"/>
      <c r="X518" s="653"/>
      <c r="Y518" s="657"/>
      <c r="Z518" s="615"/>
      <c r="AA518" s="653"/>
      <c r="AB518" s="657"/>
      <c r="AC518" s="653"/>
      <c r="AD518" s="653"/>
      <c r="AE518" s="653"/>
      <c r="AF518" s="653"/>
      <c r="AG518" s="653"/>
      <c r="AH518" s="653"/>
      <c r="AI518" s="653"/>
      <c r="AJ518" s="653"/>
      <c r="AK518" s="653"/>
      <c r="AL518" s="653"/>
      <c r="AM518" s="653"/>
      <c r="AN518" s="653"/>
      <c r="AO518" s="653"/>
      <c r="AP518" s="653"/>
      <c r="AQ518" s="653"/>
      <c r="AR518" s="653"/>
      <c r="AS518" s="653"/>
      <c r="AT518" s="653"/>
      <c r="AU518" s="653"/>
      <c r="AV518" s="653"/>
    </row>
    <row r="519" spans="1:48" ht="14.5">
      <c r="A519" s="653"/>
      <c r="B519" s="653"/>
      <c r="C519" s="653"/>
      <c r="D519" s="653"/>
      <c r="E519" s="653"/>
      <c r="F519" s="653"/>
      <c r="G519" s="654"/>
      <c r="H519" s="654"/>
      <c r="I519" s="653"/>
      <c r="J519" s="653"/>
      <c r="K519" s="655"/>
      <c r="L519" s="653"/>
      <c r="M519" s="653"/>
      <c r="N519" s="653"/>
      <c r="O519" s="653"/>
      <c r="P519" s="653"/>
      <c r="Q519" s="653"/>
      <c r="R519" s="653"/>
      <c r="S519" s="653"/>
      <c r="T519" s="653"/>
      <c r="U519" s="656"/>
      <c r="V519" s="653"/>
      <c r="W519" s="653"/>
      <c r="X519" s="653"/>
      <c r="Y519" s="657"/>
      <c r="Z519" s="615"/>
      <c r="AA519" s="653"/>
      <c r="AB519" s="657"/>
      <c r="AC519" s="653"/>
      <c r="AD519" s="653"/>
      <c r="AE519" s="653"/>
      <c r="AF519" s="653"/>
      <c r="AG519" s="653"/>
      <c r="AH519" s="653"/>
      <c r="AI519" s="653"/>
      <c r="AJ519" s="653"/>
      <c r="AK519" s="653"/>
      <c r="AL519" s="653"/>
      <c r="AM519" s="653"/>
      <c r="AN519" s="653"/>
      <c r="AO519" s="653"/>
      <c r="AP519" s="653"/>
      <c r="AQ519" s="653"/>
      <c r="AR519" s="653"/>
      <c r="AS519" s="653"/>
      <c r="AT519" s="653"/>
      <c r="AU519" s="653"/>
      <c r="AV519" s="653"/>
    </row>
    <row r="520" spans="1:48" ht="14.5">
      <c r="A520" s="653"/>
      <c r="B520" s="653"/>
      <c r="C520" s="653"/>
      <c r="D520" s="653"/>
      <c r="E520" s="653"/>
      <c r="F520" s="653"/>
      <c r="G520" s="654"/>
      <c r="H520" s="654"/>
      <c r="I520" s="653"/>
      <c r="J520" s="653"/>
      <c r="K520" s="655"/>
      <c r="L520" s="653"/>
      <c r="M520" s="653"/>
      <c r="N520" s="653"/>
      <c r="O520" s="653"/>
      <c r="P520" s="653"/>
      <c r="Q520" s="653"/>
      <c r="R520" s="653"/>
      <c r="S520" s="653"/>
      <c r="T520" s="653"/>
      <c r="U520" s="656"/>
      <c r="V520" s="653"/>
      <c r="W520" s="653"/>
      <c r="X520" s="653"/>
      <c r="Y520" s="657"/>
      <c r="Z520" s="615"/>
      <c r="AA520" s="653"/>
      <c r="AB520" s="657"/>
      <c r="AC520" s="653"/>
      <c r="AD520" s="653"/>
      <c r="AE520" s="653"/>
      <c r="AF520" s="653"/>
      <c r="AG520" s="653"/>
      <c r="AH520" s="653"/>
      <c r="AI520" s="653"/>
      <c r="AJ520" s="653"/>
      <c r="AK520" s="653"/>
      <c r="AL520" s="653"/>
      <c r="AM520" s="653"/>
      <c r="AN520" s="653"/>
      <c r="AO520" s="653"/>
      <c r="AP520" s="653"/>
      <c r="AQ520" s="653"/>
      <c r="AR520" s="653"/>
      <c r="AS520" s="653"/>
      <c r="AT520" s="653"/>
      <c r="AU520" s="653"/>
      <c r="AV520" s="653"/>
    </row>
    <row r="521" spans="1:48" ht="14.5">
      <c r="A521" s="653"/>
      <c r="B521" s="653"/>
      <c r="C521" s="653"/>
      <c r="D521" s="653"/>
      <c r="E521" s="653"/>
      <c r="F521" s="653"/>
      <c r="G521" s="654"/>
      <c r="H521" s="654"/>
      <c r="I521" s="653"/>
      <c r="J521" s="653"/>
      <c r="K521" s="655"/>
      <c r="L521" s="653"/>
      <c r="M521" s="653"/>
      <c r="N521" s="653"/>
      <c r="O521" s="653"/>
      <c r="P521" s="653"/>
      <c r="Q521" s="653"/>
      <c r="R521" s="653"/>
      <c r="S521" s="653"/>
      <c r="T521" s="653"/>
      <c r="U521" s="656"/>
      <c r="V521" s="653"/>
      <c r="W521" s="653"/>
      <c r="X521" s="653"/>
      <c r="Y521" s="657"/>
      <c r="Z521" s="615"/>
      <c r="AA521" s="653"/>
      <c r="AB521" s="657"/>
      <c r="AC521" s="653"/>
      <c r="AD521" s="653"/>
      <c r="AE521" s="653"/>
      <c r="AF521" s="653"/>
      <c r="AG521" s="653"/>
      <c r="AH521" s="653"/>
      <c r="AI521" s="653"/>
      <c r="AJ521" s="653"/>
      <c r="AK521" s="653"/>
      <c r="AL521" s="653"/>
      <c r="AM521" s="653"/>
      <c r="AN521" s="653"/>
      <c r="AO521" s="653"/>
      <c r="AP521" s="653"/>
      <c r="AQ521" s="653"/>
      <c r="AR521" s="653"/>
      <c r="AS521" s="653"/>
      <c r="AT521" s="653"/>
      <c r="AU521" s="653"/>
      <c r="AV521" s="653"/>
    </row>
    <row r="522" spans="1:48" ht="14.5">
      <c r="A522" s="653"/>
      <c r="B522" s="653"/>
      <c r="C522" s="653"/>
      <c r="D522" s="653"/>
      <c r="E522" s="653"/>
      <c r="F522" s="653"/>
      <c r="G522" s="654"/>
      <c r="H522" s="654"/>
      <c r="I522" s="653"/>
      <c r="J522" s="653"/>
      <c r="K522" s="655"/>
      <c r="L522" s="653"/>
      <c r="M522" s="653"/>
      <c r="N522" s="653"/>
      <c r="O522" s="653"/>
      <c r="P522" s="653"/>
      <c r="Q522" s="653"/>
      <c r="R522" s="653"/>
      <c r="S522" s="653"/>
      <c r="T522" s="653"/>
      <c r="U522" s="656"/>
      <c r="V522" s="653"/>
      <c r="W522" s="653"/>
      <c r="X522" s="653"/>
      <c r="Y522" s="657"/>
      <c r="Z522" s="615"/>
      <c r="AA522" s="653"/>
      <c r="AB522" s="657"/>
      <c r="AC522" s="653"/>
      <c r="AD522" s="653"/>
      <c r="AE522" s="653"/>
      <c r="AF522" s="653"/>
      <c r="AG522" s="653"/>
      <c r="AH522" s="653"/>
      <c r="AI522" s="653"/>
      <c r="AJ522" s="653"/>
      <c r="AK522" s="653"/>
      <c r="AL522" s="653"/>
      <c r="AM522" s="653"/>
      <c r="AN522" s="653"/>
      <c r="AO522" s="653"/>
      <c r="AP522" s="653"/>
      <c r="AQ522" s="653"/>
      <c r="AR522" s="653"/>
      <c r="AS522" s="653"/>
      <c r="AT522" s="653"/>
      <c r="AU522" s="653"/>
      <c r="AV522" s="653"/>
    </row>
    <row r="523" spans="1:48" ht="14.5">
      <c r="A523" s="653"/>
      <c r="B523" s="653"/>
      <c r="C523" s="653"/>
      <c r="D523" s="653"/>
      <c r="E523" s="653"/>
      <c r="F523" s="653"/>
      <c r="G523" s="654"/>
      <c r="H523" s="654"/>
      <c r="I523" s="653"/>
      <c r="J523" s="653"/>
      <c r="K523" s="655"/>
      <c r="L523" s="653"/>
      <c r="M523" s="653"/>
      <c r="N523" s="653"/>
      <c r="O523" s="653"/>
      <c r="P523" s="653"/>
      <c r="Q523" s="653"/>
      <c r="R523" s="653"/>
      <c r="S523" s="653"/>
      <c r="T523" s="653"/>
      <c r="U523" s="656"/>
      <c r="V523" s="653"/>
      <c r="W523" s="653"/>
      <c r="X523" s="653"/>
      <c r="Y523" s="657"/>
      <c r="Z523" s="615"/>
      <c r="AA523" s="653"/>
      <c r="AB523" s="657"/>
      <c r="AC523" s="653"/>
      <c r="AD523" s="653"/>
      <c r="AE523" s="653"/>
      <c r="AF523" s="653"/>
      <c r="AG523" s="653"/>
      <c r="AH523" s="653"/>
      <c r="AI523" s="653"/>
      <c r="AJ523" s="653"/>
      <c r="AK523" s="653"/>
      <c r="AL523" s="653"/>
      <c r="AM523" s="653"/>
      <c r="AN523" s="653"/>
      <c r="AO523" s="653"/>
      <c r="AP523" s="653"/>
      <c r="AQ523" s="653"/>
      <c r="AR523" s="653"/>
      <c r="AS523" s="653"/>
      <c r="AT523" s="653"/>
      <c r="AU523" s="653"/>
      <c r="AV523" s="653"/>
    </row>
    <row r="524" spans="1:48" ht="14.5">
      <c r="A524" s="653"/>
      <c r="B524" s="653"/>
      <c r="C524" s="653"/>
      <c r="D524" s="653"/>
      <c r="E524" s="653"/>
      <c r="F524" s="653"/>
      <c r="G524" s="654"/>
      <c r="H524" s="654"/>
      <c r="I524" s="653"/>
      <c r="J524" s="653"/>
      <c r="K524" s="655"/>
      <c r="L524" s="653"/>
      <c r="M524" s="653"/>
      <c r="N524" s="653"/>
      <c r="O524" s="653"/>
      <c r="P524" s="653"/>
      <c r="Q524" s="653"/>
      <c r="R524" s="653"/>
      <c r="S524" s="653"/>
      <c r="T524" s="653"/>
      <c r="U524" s="656"/>
      <c r="V524" s="653"/>
      <c r="W524" s="653"/>
      <c r="X524" s="653"/>
      <c r="Y524" s="657"/>
      <c r="Z524" s="615"/>
      <c r="AA524" s="653"/>
      <c r="AB524" s="657"/>
      <c r="AC524" s="653"/>
      <c r="AD524" s="653"/>
      <c r="AE524" s="653"/>
      <c r="AF524" s="653"/>
      <c r="AG524" s="653"/>
      <c r="AH524" s="653"/>
      <c r="AI524" s="653"/>
      <c r="AJ524" s="653"/>
      <c r="AK524" s="653"/>
      <c r="AL524" s="653"/>
      <c r="AM524" s="653"/>
      <c r="AN524" s="653"/>
      <c r="AO524" s="653"/>
      <c r="AP524" s="653"/>
      <c r="AQ524" s="653"/>
      <c r="AR524" s="653"/>
      <c r="AS524" s="653"/>
      <c r="AT524" s="653"/>
      <c r="AU524" s="653"/>
      <c r="AV524" s="653"/>
    </row>
    <row r="525" spans="1:48" ht="14.5">
      <c r="A525" s="653"/>
      <c r="B525" s="653"/>
      <c r="C525" s="653"/>
      <c r="D525" s="653"/>
      <c r="E525" s="653"/>
      <c r="F525" s="653"/>
      <c r="G525" s="654"/>
      <c r="H525" s="654"/>
      <c r="I525" s="653"/>
      <c r="J525" s="653"/>
      <c r="K525" s="655"/>
      <c r="L525" s="653"/>
      <c r="M525" s="653"/>
      <c r="N525" s="653"/>
      <c r="O525" s="653"/>
      <c r="P525" s="653"/>
      <c r="Q525" s="653"/>
      <c r="R525" s="653"/>
      <c r="S525" s="653"/>
      <c r="T525" s="653"/>
      <c r="U525" s="656"/>
      <c r="V525" s="653"/>
      <c r="W525" s="653"/>
      <c r="X525" s="653"/>
      <c r="Y525" s="657"/>
      <c r="Z525" s="615"/>
      <c r="AA525" s="653"/>
      <c r="AB525" s="657"/>
      <c r="AC525" s="653"/>
      <c r="AD525" s="653"/>
      <c r="AE525" s="653"/>
      <c r="AF525" s="653"/>
      <c r="AG525" s="653"/>
      <c r="AH525" s="653"/>
      <c r="AI525" s="653"/>
      <c r="AJ525" s="653"/>
      <c r="AK525" s="653"/>
      <c r="AL525" s="653"/>
      <c r="AM525" s="653"/>
      <c r="AN525" s="653"/>
      <c r="AO525" s="653"/>
      <c r="AP525" s="653"/>
      <c r="AQ525" s="653"/>
      <c r="AR525" s="653"/>
      <c r="AS525" s="653"/>
      <c r="AT525" s="653"/>
      <c r="AU525" s="653"/>
      <c r="AV525" s="653"/>
    </row>
    <row r="526" spans="1:48" ht="14.5">
      <c r="A526" s="653"/>
      <c r="B526" s="653"/>
      <c r="C526" s="653"/>
      <c r="D526" s="653"/>
      <c r="E526" s="653"/>
      <c r="F526" s="653"/>
      <c r="G526" s="654"/>
      <c r="H526" s="654"/>
      <c r="I526" s="653"/>
      <c r="J526" s="653"/>
      <c r="K526" s="655"/>
      <c r="L526" s="653"/>
      <c r="M526" s="653"/>
      <c r="N526" s="653"/>
      <c r="O526" s="653"/>
      <c r="P526" s="653"/>
      <c r="Q526" s="653"/>
      <c r="R526" s="653"/>
      <c r="S526" s="653"/>
      <c r="T526" s="653"/>
      <c r="U526" s="656"/>
      <c r="V526" s="653"/>
      <c r="W526" s="653"/>
      <c r="X526" s="653"/>
      <c r="Y526" s="657"/>
      <c r="Z526" s="615"/>
      <c r="AA526" s="653"/>
      <c r="AB526" s="657"/>
      <c r="AC526" s="653"/>
      <c r="AD526" s="653"/>
      <c r="AE526" s="653"/>
      <c r="AF526" s="653"/>
      <c r="AG526" s="653"/>
      <c r="AH526" s="653"/>
      <c r="AI526" s="653"/>
      <c r="AJ526" s="653"/>
      <c r="AK526" s="653"/>
      <c r="AL526" s="653"/>
      <c r="AM526" s="653"/>
      <c r="AN526" s="653"/>
      <c r="AO526" s="653"/>
      <c r="AP526" s="653"/>
      <c r="AQ526" s="653"/>
      <c r="AR526" s="653"/>
      <c r="AS526" s="653"/>
      <c r="AT526" s="653"/>
      <c r="AU526" s="653"/>
      <c r="AV526" s="653"/>
    </row>
    <row r="527" spans="1:48" ht="14.5">
      <c r="A527" s="653"/>
      <c r="B527" s="653"/>
      <c r="C527" s="653"/>
      <c r="D527" s="653"/>
      <c r="E527" s="653"/>
      <c r="F527" s="653"/>
      <c r="G527" s="654"/>
      <c r="H527" s="654"/>
      <c r="I527" s="653"/>
      <c r="J527" s="653"/>
      <c r="K527" s="655"/>
      <c r="L527" s="653"/>
      <c r="M527" s="653"/>
      <c r="N527" s="653"/>
      <c r="O527" s="653"/>
      <c r="P527" s="653"/>
      <c r="Q527" s="653"/>
      <c r="R527" s="653"/>
      <c r="S527" s="653"/>
      <c r="T527" s="653"/>
      <c r="U527" s="656"/>
      <c r="V527" s="653"/>
      <c r="W527" s="653"/>
      <c r="X527" s="653"/>
      <c r="Y527" s="657"/>
      <c r="Z527" s="615"/>
      <c r="AA527" s="653"/>
      <c r="AB527" s="657"/>
      <c r="AC527" s="653"/>
      <c r="AD527" s="653"/>
      <c r="AE527" s="653"/>
      <c r="AF527" s="653"/>
      <c r="AG527" s="653"/>
      <c r="AH527" s="653"/>
      <c r="AI527" s="653"/>
      <c r="AJ527" s="653"/>
      <c r="AK527" s="653"/>
      <c r="AL527" s="653"/>
      <c r="AM527" s="653"/>
      <c r="AN527" s="653"/>
      <c r="AO527" s="653"/>
      <c r="AP527" s="653"/>
      <c r="AQ527" s="653"/>
      <c r="AR527" s="653"/>
      <c r="AS527" s="653"/>
      <c r="AT527" s="653"/>
      <c r="AU527" s="653"/>
      <c r="AV527" s="653"/>
    </row>
    <row r="528" spans="1:48" ht="14.5">
      <c r="A528" s="653"/>
      <c r="B528" s="653"/>
      <c r="C528" s="653"/>
      <c r="D528" s="653"/>
      <c r="E528" s="653"/>
      <c r="F528" s="653"/>
      <c r="G528" s="654"/>
      <c r="H528" s="654"/>
      <c r="I528" s="653"/>
      <c r="J528" s="653"/>
      <c r="K528" s="655"/>
      <c r="L528" s="653"/>
      <c r="M528" s="653"/>
      <c r="N528" s="653"/>
      <c r="O528" s="653"/>
      <c r="P528" s="653"/>
      <c r="Q528" s="653"/>
      <c r="R528" s="653"/>
      <c r="S528" s="653"/>
      <c r="T528" s="653"/>
      <c r="U528" s="656"/>
      <c r="V528" s="653"/>
      <c r="W528" s="653"/>
      <c r="X528" s="653"/>
      <c r="Y528" s="657"/>
      <c r="Z528" s="615"/>
      <c r="AA528" s="653"/>
      <c r="AB528" s="657"/>
      <c r="AC528" s="653"/>
      <c r="AD528" s="653"/>
      <c r="AE528" s="653"/>
      <c r="AF528" s="653"/>
      <c r="AG528" s="653"/>
      <c r="AH528" s="653"/>
      <c r="AI528" s="653"/>
      <c r="AJ528" s="653"/>
      <c r="AK528" s="653"/>
      <c r="AL528" s="653"/>
      <c r="AM528" s="653"/>
      <c r="AN528" s="653"/>
      <c r="AO528" s="653"/>
      <c r="AP528" s="653"/>
      <c r="AQ528" s="653"/>
      <c r="AR528" s="653"/>
      <c r="AS528" s="653"/>
      <c r="AT528" s="653"/>
      <c r="AU528" s="653"/>
      <c r="AV528" s="653"/>
    </row>
    <row r="529" spans="1:48" ht="14.5">
      <c r="A529" s="653"/>
      <c r="B529" s="653"/>
      <c r="C529" s="653"/>
      <c r="D529" s="653"/>
      <c r="E529" s="653"/>
      <c r="F529" s="653"/>
      <c r="G529" s="654"/>
      <c r="H529" s="654"/>
      <c r="I529" s="653"/>
      <c r="J529" s="653"/>
      <c r="K529" s="655"/>
      <c r="L529" s="653"/>
      <c r="M529" s="653"/>
      <c r="N529" s="653"/>
      <c r="O529" s="653"/>
      <c r="P529" s="653"/>
      <c r="Q529" s="653"/>
      <c r="R529" s="653"/>
      <c r="S529" s="653"/>
      <c r="T529" s="653"/>
      <c r="U529" s="656"/>
      <c r="V529" s="653"/>
      <c r="W529" s="653"/>
      <c r="X529" s="653"/>
      <c r="Y529" s="657"/>
      <c r="Z529" s="615"/>
      <c r="AA529" s="653"/>
      <c r="AB529" s="657"/>
      <c r="AC529" s="653"/>
      <c r="AD529" s="653"/>
      <c r="AE529" s="653"/>
      <c r="AF529" s="653"/>
      <c r="AG529" s="653"/>
      <c r="AH529" s="653"/>
      <c r="AI529" s="653"/>
      <c r="AJ529" s="653"/>
      <c r="AK529" s="653"/>
      <c r="AL529" s="653"/>
      <c r="AM529" s="653"/>
      <c r="AN529" s="653"/>
      <c r="AO529" s="653"/>
      <c r="AP529" s="653"/>
      <c r="AQ529" s="653"/>
      <c r="AR529" s="653"/>
      <c r="AS529" s="653"/>
      <c r="AT529" s="653"/>
      <c r="AU529" s="653"/>
      <c r="AV529" s="653"/>
    </row>
    <row r="530" spans="1:48" ht="14.5">
      <c r="A530" s="653"/>
      <c r="B530" s="653"/>
      <c r="C530" s="653"/>
      <c r="D530" s="653"/>
      <c r="E530" s="653"/>
      <c r="F530" s="653"/>
      <c r="G530" s="654"/>
      <c r="H530" s="654"/>
      <c r="I530" s="653"/>
      <c r="J530" s="653"/>
      <c r="K530" s="655"/>
      <c r="L530" s="653"/>
      <c r="M530" s="653"/>
      <c r="N530" s="653"/>
      <c r="O530" s="653"/>
      <c r="P530" s="653"/>
      <c r="Q530" s="653"/>
      <c r="R530" s="653"/>
      <c r="S530" s="653"/>
      <c r="T530" s="653"/>
      <c r="U530" s="656"/>
      <c r="V530" s="653"/>
      <c r="W530" s="653"/>
      <c r="X530" s="653"/>
      <c r="Y530" s="657"/>
      <c r="Z530" s="615"/>
      <c r="AA530" s="653"/>
      <c r="AB530" s="657"/>
      <c r="AC530" s="653"/>
      <c r="AD530" s="653"/>
      <c r="AE530" s="653"/>
      <c r="AF530" s="653"/>
      <c r="AG530" s="653"/>
      <c r="AH530" s="653"/>
      <c r="AI530" s="653"/>
      <c r="AJ530" s="653"/>
      <c r="AK530" s="653"/>
      <c r="AL530" s="653"/>
      <c r="AM530" s="653"/>
      <c r="AN530" s="653"/>
      <c r="AO530" s="653"/>
      <c r="AP530" s="653"/>
      <c r="AQ530" s="653"/>
      <c r="AR530" s="653"/>
      <c r="AS530" s="653"/>
      <c r="AT530" s="653"/>
      <c r="AU530" s="653"/>
      <c r="AV530" s="653"/>
    </row>
    <row r="531" spans="1:48" ht="14.5">
      <c r="A531" s="653"/>
      <c r="B531" s="653"/>
      <c r="C531" s="653"/>
      <c r="D531" s="653"/>
      <c r="E531" s="653"/>
      <c r="F531" s="653"/>
      <c r="G531" s="654"/>
      <c r="H531" s="654"/>
      <c r="I531" s="653"/>
      <c r="J531" s="653"/>
      <c r="K531" s="655"/>
      <c r="L531" s="653"/>
      <c r="M531" s="653"/>
      <c r="N531" s="653"/>
      <c r="O531" s="653"/>
      <c r="P531" s="653"/>
      <c r="Q531" s="653"/>
      <c r="R531" s="653"/>
      <c r="S531" s="653"/>
      <c r="T531" s="653"/>
      <c r="U531" s="656"/>
      <c r="V531" s="653"/>
      <c r="W531" s="653"/>
      <c r="X531" s="653"/>
      <c r="Y531" s="657"/>
      <c r="Z531" s="615"/>
      <c r="AA531" s="653"/>
      <c r="AB531" s="657"/>
      <c r="AC531" s="653"/>
      <c r="AD531" s="653"/>
      <c r="AE531" s="653"/>
      <c r="AF531" s="653"/>
      <c r="AG531" s="653"/>
      <c r="AH531" s="653"/>
      <c r="AI531" s="653"/>
      <c r="AJ531" s="653"/>
      <c r="AK531" s="653"/>
      <c r="AL531" s="653"/>
      <c r="AM531" s="653"/>
      <c r="AN531" s="653"/>
      <c r="AO531" s="653"/>
      <c r="AP531" s="653"/>
      <c r="AQ531" s="653"/>
      <c r="AR531" s="653"/>
      <c r="AS531" s="653"/>
      <c r="AT531" s="653"/>
      <c r="AU531" s="653"/>
      <c r="AV531" s="653"/>
    </row>
    <row r="532" spans="1:48" ht="14.5">
      <c r="A532" s="653"/>
      <c r="B532" s="653"/>
      <c r="C532" s="653"/>
      <c r="D532" s="653"/>
      <c r="E532" s="653"/>
      <c r="F532" s="653"/>
      <c r="G532" s="654"/>
      <c r="H532" s="654"/>
      <c r="I532" s="653"/>
      <c r="J532" s="653"/>
      <c r="K532" s="655"/>
      <c r="L532" s="653"/>
      <c r="M532" s="653"/>
      <c r="N532" s="653"/>
      <c r="O532" s="653"/>
      <c r="P532" s="653"/>
      <c r="Q532" s="653"/>
      <c r="R532" s="653"/>
      <c r="S532" s="653"/>
      <c r="T532" s="653"/>
      <c r="U532" s="656"/>
      <c r="V532" s="653"/>
      <c r="W532" s="653"/>
      <c r="X532" s="653"/>
      <c r="Y532" s="657"/>
      <c r="Z532" s="615"/>
      <c r="AA532" s="653"/>
      <c r="AB532" s="657"/>
      <c r="AC532" s="653"/>
      <c r="AD532" s="653"/>
      <c r="AE532" s="653"/>
      <c r="AF532" s="653"/>
      <c r="AG532" s="653"/>
      <c r="AH532" s="653"/>
      <c r="AI532" s="653"/>
      <c r="AJ532" s="653"/>
      <c r="AK532" s="653"/>
      <c r="AL532" s="653"/>
      <c r="AM532" s="653"/>
      <c r="AN532" s="653"/>
      <c r="AO532" s="653"/>
      <c r="AP532" s="653"/>
      <c r="AQ532" s="653"/>
      <c r="AR532" s="653"/>
      <c r="AS532" s="653"/>
      <c r="AT532" s="653"/>
      <c r="AU532" s="653"/>
      <c r="AV532" s="653"/>
    </row>
    <row r="533" spans="1:48" ht="14.5">
      <c r="A533" s="653"/>
      <c r="B533" s="653"/>
      <c r="C533" s="653"/>
      <c r="D533" s="653"/>
      <c r="E533" s="653"/>
      <c r="F533" s="653"/>
      <c r="G533" s="654"/>
      <c r="H533" s="654"/>
      <c r="I533" s="653"/>
      <c r="J533" s="653"/>
      <c r="K533" s="655"/>
      <c r="L533" s="653"/>
      <c r="M533" s="653"/>
      <c r="N533" s="653"/>
      <c r="O533" s="653"/>
      <c r="P533" s="653"/>
      <c r="Q533" s="653"/>
      <c r="R533" s="653"/>
      <c r="S533" s="653"/>
      <c r="T533" s="653"/>
      <c r="U533" s="656"/>
      <c r="V533" s="653"/>
      <c r="W533" s="653"/>
      <c r="X533" s="653"/>
      <c r="Y533" s="657"/>
      <c r="Z533" s="615"/>
      <c r="AA533" s="653"/>
      <c r="AB533" s="657"/>
      <c r="AC533" s="653"/>
      <c r="AD533" s="653"/>
      <c r="AE533" s="653"/>
      <c r="AF533" s="653"/>
      <c r="AG533" s="653"/>
      <c r="AH533" s="653"/>
      <c r="AI533" s="653"/>
      <c r="AJ533" s="653"/>
      <c r="AK533" s="653"/>
      <c r="AL533" s="653"/>
      <c r="AM533" s="653"/>
      <c r="AN533" s="653"/>
      <c r="AO533" s="653"/>
      <c r="AP533" s="653"/>
      <c r="AQ533" s="653"/>
      <c r="AR533" s="653"/>
      <c r="AS533" s="653"/>
      <c r="AT533" s="653"/>
      <c r="AU533" s="653"/>
      <c r="AV533" s="653"/>
    </row>
    <row r="534" spans="1:48" ht="14.5">
      <c r="A534" s="653"/>
      <c r="B534" s="653"/>
      <c r="C534" s="653"/>
      <c r="D534" s="653"/>
      <c r="E534" s="653"/>
      <c r="F534" s="653"/>
      <c r="G534" s="654"/>
      <c r="H534" s="654"/>
      <c r="I534" s="653"/>
      <c r="J534" s="653"/>
      <c r="K534" s="655"/>
      <c r="L534" s="653"/>
      <c r="M534" s="653"/>
      <c r="N534" s="653"/>
      <c r="O534" s="653"/>
      <c r="P534" s="653"/>
      <c r="Q534" s="653"/>
      <c r="R534" s="653"/>
      <c r="S534" s="653"/>
      <c r="T534" s="653"/>
      <c r="U534" s="656"/>
      <c r="V534" s="653"/>
      <c r="W534" s="653"/>
      <c r="X534" s="653"/>
      <c r="Y534" s="657"/>
      <c r="Z534" s="615"/>
      <c r="AA534" s="653"/>
      <c r="AB534" s="657"/>
      <c r="AC534" s="653"/>
      <c r="AD534" s="653"/>
      <c r="AE534" s="653"/>
      <c r="AF534" s="653"/>
      <c r="AG534" s="653"/>
      <c r="AH534" s="653"/>
      <c r="AI534" s="653"/>
      <c r="AJ534" s="653"/>
      <c r="AK534" s="653"/>
      <c r="AL534" s="653"/>
      <c r="AM534" s="653"/>
      <c r="AN534" s="653"/>
      <c r="AO534" s="653"/>
      <c r="AP534" s="653"/>
      <c r="AQ534" s="653"/>
      <c r="AR534" s="653"/>
      <c r="AS534" s="653"/>
      <c r="AT534" s="653"/>
      <c r="AU534" s="653"/>
      <c r="AV534" s="653"/>
    </row>
    <row r="535" spans="1:48" ht="14.5">
      <c r="A535" s="653"/>
      <c r="B535" s="653"/>
      <c r="C535" s="653"/>
      <c r="D535" s="653"/>
      <c r="E535" s="653"/>
      <c r="F535" s="653"/>
      <c r="G535" s="654"/>
      <c r="H535" s="654"/>
      <c r="I535" s="653"/>
      <c r="J535" s="653"/>
      <c r="K535" s="655"/>
      <c r="L535" s="653"/>
      <c r="M535" s="653"/>
      <c r="N535" s="653"/>
      <c r="O535" s="653"/>
      <c r="P535" s="653"/>
      <c r="Q535" s="653"/>
      <c r="R535" s="653"/>
      <c r="S535" s="653"/>
      <c r="T535" s="653"/>
      <c r="U535" s="656"/>
      <c r="V535" s="653"/>
      <c r="W535" s="653"/>
      <c r="X535" s="653"/>
      <c r="Y535" s="657"/>
      <c r="Z535" s="615"/>
      <c r="AA535" s="653"/>
      <c r="AB535" s="657"/>
      <c r="AC535" s="653"/>
      <c r="AD535" s="653"/>
      <c r="AE535" s="653"/>
      <c r="AF535" s="653"/>
      <c r="AG535" s="653"/>
      <c r="AH535" s="653"/>
      <c r="AI535" s="653"/>
      <c r="AJ535" s="653"/>
      <c r="AK535" s="653"/>
      <c r="AL535" s="653"/>
      <c r="AM535" s="653"/>
      <c r="AN535" s="653"/>
      <c r="AO535" s="653"/>
      <c r="AP535" s="653"/>
      <c r="AQ535" s="653"/>
      <c r="AR535" s="653"/>
      <c r="AS535" s="653"/>
      <c r="AT535" s="653"/>
      <c r="AU535" s="653"/>
      <c r="AV535" s="653"/>
    </row>
    <row r="536" spans="1:48" ht="14.5">
      <c r="A536" s="653"/>
      <c r="B536" s="653"/>
      <c r="C536" s="653"/>
      <c r="D536" s="653"/>
      <c r="E536" s="653"/>
      <c r="F536" s="653"/>
      <c r="G536" s="654"/>
      <c r="H536" s="654"/>
      <c r="I536" s="653"/>
      <c r="J536" s="653"/>
      <c r="K536" s="655"/>
      <c r="L536" s="653"/>
      <c r="M536" s="653"/>
      <c r="N536" s="653"/>
      <c r="O536" s="653"/>
      <c r="P536" s="653"/>
      <c r="Q536" s="653"/>
      <c r="R536" s="653"/>
      <c r="S536" s="653"/>
      <c r="T536" s="653"/>
      <c r="U536" s="656"/>
      <c r="V536" s="653"/>
      <c r="W536" s="653"/>
      <c r="X536" s="653"/>
      <c r="Y536" s="657"/>
      <c r="Z536" s="615"/>
      <c r="AA536" s="653"/>
      <c r="AB536" s="657"/>
      <c r="AC536" s="653"/>
      <c r="AD536" s="653"/>
      <c r="AE536" s="653"/>
      <c r="AF536" s="653"/>
      <c r="AG536" s="653"/>
      <c r="AH536" s="653"/>
      <c r="AI536" s="653"/>
      <c r="AJ536" s="653"/>
      <c r="AK536" s="653"/>
      <c r="AL536" s="653"/>
      <c r="AM536" s="653"/>
      <c r="AN536" s="653"/>
      <c r="AO536" s="653"/>
      <c r="AP536" s="653"/>
      <c r="AQ536" s="653"/>
      <c r="AR536" s="653"/>
      <c r="AS536" s="653"/>
      <c r="AT536" s="653"/>
      <c r="AU536" s="653"/>
      <c r="AV536" s="653"/>
    </row>
    <row r="537" spans="1:48" ht="14.5">
      <c r="A537" s="653"/>
      <c r="B537" s="653"/>
      <c r="C537" s="653"/>
      <c r="D537" s="653"/>
      <c r="E537" s="653"/>
      <c r="F537" s="653"/>
      <c r="G537" s="654"/>
      <c r="H537" s="654"/>
      <c r="I537" s="653"/>
      <c r="J537" s="653"/>
      <c r="K537" s="655"/>
      <c r="L537" s="653"/>
      <c r="M537" s="653"/>
      <c r="N537" s="653"/>
      <c r="O537" s="653"/>
      <c r="P537" s="653"/>
      <c r="Q537" s="653"/>
      <c r="R537" s="653"/>
      <c r="S537" s="653"/>
      <c r="T537" s="653"/>
      <c r="U537" s="656"/>
      <c r="V537" s="653"/>
      <c r="W537" s="653"/>
      <c r="X537" s="653"/>
      <c r="Y537" s="657"/>
      <c r="Z537" s="615"/>
      <c r="AA537" s="653"/>
      <c r="AB537" s="657"/>
      <c r="AC537" s="653"/>
      <c r="AD537" s="653"/>
      <c r="AE537" s="653"/>
      <c r="AF537" s="653"/>
      <c r="AG537" s="653"/>
      <c r="AH537" s="653"/>
      <c r="AI537" s="653"/>
      <c r="AJ537" s="653"/>
      <c r="AK537" s="653"/>
      <c r="AL537" s="653"/>
      <c r="AM537" s="653"/>
      <c r="AN537" s="653"/>
      <c r="AO537" s="653"/>
      <c r="AP537" s="653"/>
      <c r="AQ537" s="653"/>
      <c r="AR537" s="653"/>
      <c r="AS537" s="653"/>
      <c r="AT537" s="653"/>
      <c r="AU537" s="653"/>
      <c r="AV537" s="653"/>
    </row>
    <row r="538" spans="1:48" ht="14.5">
      <c r="A538" s="653"/>
      <c r="B538" s="653"/>
      <c r="C538" s="653"/>
      <c r="D538" s="653"/>
      <c r="E538" s="653"/>
      <c r="F538" s="653"/>
      <c r="G538" s="654"/>
      <c r="H538" s="654"/>
      <c r="I538" s="653"/>
      <c r="J538" s="653"/>
      <c r="K538" s="655"/>
      <c r="L538" s="653"/>
      <c r="M538" s="653"/>
      <c r="N538" s="653"/>
      <c r="O538" s="653"/>
      <c r="P538" s="653"/>
      <c r="Q538" s="653"/>
      <c r="R538" s="653"/>
      <c r="S538" s="653"/>
      <c r="T538" s="653"/>
      <c r="U538" s="656"/>
      <c r="V538" s="653"/>
      <c r="W538" s="653"/>
      <c r="X538" s="653"/>
      <c r="Y538" s="657"/>
      <c r="Z538" s="615"/>
      <c r="AA538" s="653"/>
      <c r="AB538" s="657"/>
      <c r="AC538" s="653"/>
      <c r="AD538" s="653"/>
      <c r="AE538" s="653"/>
      <c r="AF538" s="653"/>
      <c r="AG538" s="653"/>
      <c r="AH538" s="653"/>
      <c r="AI538" s="653"/>
      <c r="AJ538" s="653"/>
      <c r="AK538" s="653"/>
      <c r="AL538" s="653"/>
      <c r="AM538" s="653"/>
      <c r="AN538" s="653"/>
      <c r="AO538" s="653"/>
      <c r="AP538" s="653"/>
      <c r="AQ538" s="653"/>
      <c r="AR538" s="653"/>
      <c r="AS538" s="653"/>
      <c r="AT538" s="653"/>
      <c r="AU538" s="653"/>
      <c r="AV538" s="653"/>
    </row>
    <row r="539" spans="1:48" ht="14.5">
      <c r="A539" s="653"/>
      <c r="B539" s="653"/>
      <c r="C539" s="653"/>
      <c r="D539" s="653"/>
      <c r="E539" s="653"/>
      <c r="F539" s="653"/>
      <c r="G539" s="654"/>
      <c r="H539" s="654"/>
      <c r="I539" s="653"/>
      <c r="J539" s="653"/>
      <c r="K539" s="655"/>
      <c r="L539" s="653"/>
      <c r="M539" s="653"/>
      <c r="N539" s="653"/>
      <c r="O539" s="653"/>
      <c r="P539" s="653"/>
      <c r="Q539" s="653"/>
      <c r="R539" s="653"/>
      <c r="S539" s="653"/>
      <c r="T539" s="653"/>
      <c r="U539" s="656"/>
      <c r="V539" s="653"/>
      <c r="W539" s="653"/>
      <c r="X539" s="653"/>
      <c r="Y539" s="657"/>
      <c r="Z539" s="615"/>
      <c r="AA539" s="653"/>
      <c r="AB539" s="657"/>
      <c r="AC539" s="653"/>
      <c r="AD539" s="653"/>
      <c r="AE539" s="653"/>
      <c r="AF539" s="653"/>
      <c r="AG539" s="653"/>
      <c r="AH539" s="653"/>
      <c r="AI539" s="653"/>
      <c r="AJ539" s="653"/>
      <c r="AK539" s="653"/>
      <c r="AL539" s="653"/>
      <c r="AM539" s="653"/>
      <c r="AN539" s="653"/>
      <c r="AO539" s="653"/>
      <c r="AP539" s="653"/>
      <c r="AQ539" s="653"/>
      <c r="AR539" s="653"/>
      <c r="AS539" s="653"/>
      <c r="AT539" s="653"/>
      <c r="AU539" s="653"/>
      <c r="AV539" s="653"/>
    </row>
    <row r="540" spans="1:48" ht="14.5">
      <c r="A540" s="653"/>
      <c r="B540" s="653"/>
      <c r="C540" s="653"/>
      <c r="D540" s="653"/>
      <c r="E540" s="653"/>
      <c r="F540" s="653"/>
      <c r="G540" s="654"/>
      <c r="H540" s="654"/>
      <c r="I540" s="653"/>
      <c r="J540" s="653"/>
      <c r="K540" s="655"/>
      <c r="L540" s="653"/>
      <c r="M540" s="653"/>
      <c r="N540" s="653"/>
      <c r="O540" s="653"/>
      <c r="P540" s="653"/>
      <c r="Q540" s="653"/>
      <c r="R540" s="653"/>
      <c r="S540" s="653"/>
      <c r="T540" s="653"/>
      <c r="U540" s="656"/>
      <c r="V540" s="653"/>
      <c r="W540" s="653"/>
      <c r="X540" s="653"/>
      <c r="Y540" s="657"/>
      <c r="Z540" s="615"/>
      <c r="AA540" s="653"/>
      <c r="AB540" s="657"/>
      <c r="AC540" s="653"/>
      <c r="AD540" s="653"/>
      <c r="AE540" s="653"/>
      <c r="AF540" s="653"/>
      <c r="AG540" s="653"/>
      <c r="AH540" s="653"/>
      <c r="AI540" s="653"/>
      <c r="AJ540" s="653"/>
      <c r="AK540" s="653"/>
      <c r="AL540" s="653"/>
      <c r="AM540" s="653"/>
      <c r="AN540" s="653"/>
      <c r="AO540" s="653"/>
      <c r="AP540" s="653"/>
      <c r="AQ540" s="653"/>
      <c r="AR540" s="653"/>
      <c r="AS540" s="653"/>
      <c r="AT540" s="653"/>
      <c r="AU540" s="653"/>
      <c r="AV540" s="653"/>
    </row>
    <row r="541" spans="1:48" ht="14.5">
      <c r="A541" s="653"/>
      <c r="B541" s="653"/>
      <c r="C541" s="653"/>
      <c r="D541" s="653"/>
      <c r="E541" s="653"/>
      <c r="F541" s="653"/>
      <c r="G541" s="654"/>
      <c r="H541" s="654"/>
      <c r="I541" s="653"/>
      <c r="J541" s="653"/>
      <c r="K541" s="655"/>
      <c r="L541" s="653"/>
      <c r="M541" s="653"/>
      <c r="N541" s="653"/>
      <c r="O541" s="653"/>
      <c r="P541" s="653"/>
      <c r="Q541" s="653"/>
      <c r="R541" s="653"/>
      <c r="S541" s="653"/>
      <c r="T541" s="653"/>
      <c r="U541" s="656"/>
      <c r="V541" s="653"/>
      <c r="W541" s="653"/>
      <c r="X541" s="653"/>
      <c r="Y541" s="657"/>
      <c r="Z541" s="615"/>
      <c r="AA541" s="653"/>
      <c r="AB541" s="657"/>
      <c r="AC541" s="653"/>
      <c r="AD541" s="653"/>
      <c r="AE541" s="653"/>
      <c r="AF541" s="653"/>
      <c r="AG541" s="653"/>
      <c r="AH541" s="653"/>
      <c r="AI541" s="653"/>
      <c r="AJ541" s="653"/>
      <c r="AK541" s="653"/>
      <c r="AL541" s="653"/>
      <c r="AM541" s="653"/>
      <c r="AN541" s="653"/>
      <c r="AO541" s="653"/>
      <c r="AP541" s="653"/>
      <c r="AQ541" s="653"/>
      <c r="AR541" s="653"/>
      <c r="AS541" s="653"/>
      <c r="AT541" s="653"/>
      <c r="AU541" s="653"/>
      <c r="AV541" s="653"/>
    </row>
    <row r="542" spans="1:48" ht="14.5">
      <c r="A542" s="653"/>
      <c r="B542" s="653"/>
      <c r="C542" s="653"/>
      <c r="D542" s="653"/>
      <c r="E542" s="653"/>
      <c r="F542" s="653"/>
      <c r="G542" s="654"/>
      <c r="H542" s="654"/>
      <c r="I542" s="653"/>
      <c r="J542" s="653"/>
      <c r="K542" s="655"/>
      <c r="L542" s="653"/>
      <c r="M542" s="653"/>
      <c r="N542" s="653"/>
      <c r="O542" s="653"/>
      <c r="P542" s="653"/>
      <c r="Q542" s="653"/>
      <c r="R542" s="653"/>
      <c r="S542" s="653"/>
      <c r="T542" s="653"/>
      <c r="U542" s="656"/>
      <c r="V542" s="653"/>
      <c r="W542" s="653"/>
      <c r="X542" s="653"/>
      <c r="Y542" s="657"/>
      <c r="Z542" s="615"/>
      <c r="AA542" s="653"/>
      <c r="AB542" s="657"/>
      <c r="AC542" s="653"/>
      <c r="AD542" s="653"/>
      <c r="AE542" s="653"/>
      <c r="AF542" s="653"/>
      <c r="AG542" s="653"/>
      <c r="AH542" s="653"/>
      <c r="AI542" s="653"/>
      <c r="AJ542" s="653"/>
      <c r="AK542" s="653"/>
      <c r="AL542" s="653"/>
      <c r="AM542" s="653"/>
      <c r="AN542" s="653"/>
      <c r="AO542" s="653"/>
      <c r="AP542" s="653"/>
      <c r="AQ542" s="653"/>
      <c r="AR542" s="653"/>
      <c r="AS542" s="653"/>
      <c r="AT542" s="653"/>
      <c r="AU542" s="653"/>
      <c r="AV542" s="653"/>
    </row>
    <row r="543" spans="1:48" ht="14.5">
      <c r="A543" s="653"/>
      <c r="B543" s="653"/>
      <c r="C543" s="653"/>
      <c r="D543" s="653"/>
      <c r="E543" s="653"/>
      <c r="F543" s="653"/>
      <c r="G543" s="654"/>
      <c r="H543" s="654"/>
      <c r="I543" s="653"/>
      <c r="J543" s="653"/>
      <c r="K543" s="655"/>
      <c r="L543" s="653"/>
      <c r="M543" s="653"/>
      <c r="N543" s="653"/>
      <c r="O543" s="653"/>
      <c r="P543" s="653"/>
      <c r="Q543" s="653"/>
      <c r="R543" s="653"/>
      <c r="S543" s="653"/>
      <c r="T543" s="653"/>
      <c r="U543" s="656"/>
      <c r="V543" s="653"/>
      <c r="W543" s="653"/>
      <c r="X543" s="653"/>
      <c r="Y543" s="657"/>
      <c r="Z543" s="615"/>
      <c r="AA543" s="653"/>
      <c r="AB543" s="657"/>
      <c r="AC543" s="653"/>
      <c r="AD543" s="653"/>
      <c r="AE543" s="653"/>
      <c r="AF543" s="653"/>
      <c r="AG543" s="653"/>
      <c r="AH543" s="653"/>
      <c r="AI543" s="653"/>
      <c r="AJ543" s="653"/>
      <c r="AK543" s="653"/>
      <c r="AL543" s="653"/>
      <c r="AM543" s="653"/>
      <c r="AN543" s="653"/>
      <c r="AO543" s="653"/>
      <c r="AP543" s="653"/>
      <c r="AQ543" s="653"/>
      <c r="AR543" s="653"/>
      <c r="AS543" s="653"/>
      <c r="AT543" s="653"/>
      <c r="AU543" s="653"/>
      <c r="AV543" s="653"/>
    </row>
    <row r="544" spans="1:48" ht="14.5">
      <c r="A544" s="653"/>
      <c r="B544" s="653"/>
      <c r="C544" s="653"/>
      <c r="D544" s="653"/>
      <c r="E544" s="653"/>
      <c r="F544" s="653"/>
      <c r="G544" s="654"/>
      <c r="H544" s="654"/>
      <c r="I544" s="653"/>
      <c r="J544" s="653"/>
      <c r="K544" s="655"/>
      <c r="L544" s="653"/>
      <c r="M544" s="653"/>
      <c r="N544" s="653"/>
      <c r="O544" s="653"/>
      <c r="P544" s="653"/>
      <c r="Q544" s="653"/>
      <c r="R544" s="653"/>
      <c r="S544" s="653"/>
      <c r="T544" s="653"/>
      <c r="U544" s="656"/>
      <c r="V544" s="653"/>
      <c r="W544" s="653"/>
      <c r="X544" s="653"/>
      <c r="Y544" s="657"/>
      <c r="Z544" s="615"/>
      <c r="AA544" s="653"/>
      <c r="AB544" s="657"/>
      <c r="AC544" s="653"/>
      <c r="AD544" s="653"/>
      <c r="AE544" s="653"/>
      <c r="AF544" s="653"/>
      <c r="AG544" s="653"/>
      <c r="AH544" s="653"/>
      <c r="AI544" s="653"/>
      <c r="AJ544" s="653"/>
      <c r="AK544" s="653"/>
      <c r="AL544" s="653"/>
      <c r="AM544" s="653"/>
      <c r="AN544" s="653"/>
      <c r="AO544" s="653"/>
      <c r="AP544" s="653"/>
      <c r="AQ544" s="653"/>
      <c r="AR544" s="653"/>
      <c r="AS544" s="653"/>
      <c r="AT544" s="653"/>
      <c r="AU544" s="653"/>
      <c r="AV544" s="653"/>
    </row>
    <row r="545" spans="1:48" ht="14.5">
      <c r="A545" s="653"/>
      <c r="B545" s="653"/>
      <c r="C545" s="653"/>
      <c r="D545" s="653"/>
      <c r="E545" s="653"/>
      <c r="F545" s="653"/>
      <c r="G545" s="654"/>
      <c r="H545" s="654"/>
      <c r="I545" s="653"/>
      <c r="J545" s="653"/>
      <c r="K545" s="655"/>
      <c r="L545" s="653"/>
      <c r="M545" s="653"/>
      <c r="N545" s="653"/>
      <c r="O545" s="653"/>
      <c r="P545" s="653"/>
      <c r="Q545" s="653"/>
      <c r="R545" s="653"/>
      <c r="S545" s="653"/>
      <c r="T545" s="653"/>
      <c r="U545" s="656"/>
      <c r="V545" s="653"/>
      <c r="W545" s="653"/>
      <c r="X545" s="653"/>
      <c r="Y545" s="657"/>
      <c r="Z545" s="615"/>
      <c r="AA545" s="653"/>
      <c r="AB545" s="657"/>
      <c r="AC545" s="653"/>
      <c r="AD545" s="653"/>
      <c r="AE545" s="653"/>
      <c r="AF545" s="653"/>
      <c r="AG545" s="653"/>
      <c r="AH545" s="653"/>
      <c r="AI545" s="653"/>
      <c r="AJ545" s="653"/>
      <c r="AK545" s="653"/>
      <c r="AL545" s="653"/>
      <c r="AM545" s="653"/>
      <c r="AN545" s="653"/>
      <c r="AO545" s="653"/>
      <c r="AP545" s="653"/>
      <c r="AQ545" s="653"/>
      <c r="AR545" s="653"/>
      <c r="AS545" s="653"/>
      <c r="AT545" s="653"/>
      <c r="AU545" s="653"/>
      <c r="AV545" s="653"/>
    </row>
    <row r="546" spans="1:48" ht="14.5">
      <c r="A546" s="653"/>
      <c r="B546" s="653"/>
      <c r="C546" s="653"/>
      <c r="D546" s="653"/>
      <c r="E546" s="653"/>
      <c r="F546" s="653"/>
      <c r="G546" s="654"/>
      <c r="H546" s="654"/>
      <c r="I546" s="653"/>
      <c r="J546" s="653"/>
      <c r="K546" s="655"/>
      <c r="L546" s="653"/>
      <c r="M546" s="653"/>
      <c r="N546" s="653"/>
      <c r="O546" s="653"/>
      <c r="P546" s="653"/>
      <c r="Q546" s="653"/>
      <c r="R546" s="653"/>
      <c r="S546" s="653"/>
      <c r="T546" s="653"/>
      <c r="U546" s="656"/>
      <c r="V546" s="653"/>
      <c r="W546" s="653"/>
      <c r="X546" s="653"/>
      <c r="Y546" s="657"/>
      <c r="Z546" s="615"/>
      <c r="AA546" s="653"/>
      <c r="AB546" s="657"/>
      <c r="AC546" s="653"/>
      <c r="AD546" s="653"/>
      <c r="AE546" s="653"/>
      <c r="AF546" s="653"/>
      <c r="AG546" s="653"/>
      <c r="AH546" s="653"/>
      <c r="AI546" s="653"/>
      <c r="AJ546" s="653"/>
      <c r="AK546" s="653"/>
      <c r="AL546" s="653"/>
      <c r="AM546" s="653"/>
      <c r="AN546" s="653"/>
      <c r="AO546" s="653"/>
      <c r="AP546" s="653"/>
      <c r="AQ546" s="653"/>
      <c r="AR546" s="653"/>
      <c r="AS546" s="653"/>
      <c r="AT546" s="653"/>
      <c r="AU546" s="653"/>
      <c r="AV546" s="653"/>
    </row>
    <row r="547" spans="1:48" ht="14.5">
      <c r="A547" s="653"/>
      <c r="B547" s="653"/>
      <c r="C547" s="653"/>
      <c r="D547" s="653"/>
      <c r="E547" s="653"/>
      <c r="F547" s="653"/>
      <c r="G547" s="654"/>
      <c r="H547" s="654"/>
      <c r="I547" s="653"/>
      <c r="J547" s="653"/>
      <c r="K547" s="655"/>
      <c r="L547" s="653"/>
      <c r="M547" s="653"/>
      <c r="N547" s="653"/>
      <c r="O547" s="653"/>
      <c r="P547" s="653"/>
      <c r="Q547" s="653"/>
      <c r="R547" s="653"/>
      <c r="S547" s="653"/>
      <c r="T547" s="653"/>
      <c r="U547" s="656"/>
      <c r="V547" s="653"/>
      <c r="W547" s="653"/>
      <c r="X547" s="653"/>
      <c r="Y547" s="657"/>
      <c r="Z547" s="615"/>
      <c r="AA547" s="653"/>
      <c r="AB547" s="657"/>
      <c r="AC547" s="653"/>
      <c r="AD547" s="653"/>
      <c r="AE547" s="653"/>
      <c r="AF547" s="653"/>
      <c r="AG547" s="653"/>
      <c r="AH547" s="653"/>
      <c r="AI547" s="653"/>
      <c r="AJ547" s="653"/>
      <c r="AK547" s="653"/>
      <c r="AL547" s="653"/>
      <c r="AM547" s="653"/>
      <c r="AN547" s="653"/>
      <c r="AO547" s="653"/>
      <c r="AP547" s="653"/>
      <c r="AQ547" s="653"/>
      <c r="AR547" s="653"/>
      <c r="AS547" s="653"/>
      <c r="AT547" s="653"/>
      <c r="AU547" s="653"/>
      <c r="AV547" s="653"/>
    </row>
    <row r="548" spans="1:48" ht="14.5">
      <c r="A548" s="653"/>
      <c r="B548" s="653"/>
      <c r="C548" s="653"/>
      <c r="D548" s="653"/>
      <c r="E548" s="653"/>
      <c r="F548" s="653"/>
      <c r="G548" s="654"/>
      <c r="H548" s="654"/>
      <c r="I548" s="653"/>
      <c r="J548" s="653"/>
      <c r="K548" s="655"/>
      <c r="L548" s="653"/>
      <c r="M548" s="653"/>
      <c r="N548" s="653"/>
      <c r="O548" s="653"/>
      <c r="P548" s="653"/>
      <c r="Q548" s="653"/>
      <c r="R548" s="653"/>
      <c r="S548" s="653"/>
      <c r="T548" s="653"/>
      <c r="U548" s="656"/>
      <c r="V548" s="653"/>
      <c r="W548" s="653"/>
      <c r="X548" s="653"/>
      <c r="Y548" s="657"/>
      <c r="Z548" s="615"/>
      <c r="AA548" s="653"/>
      <c r="AB548" s="657"/>
      <c r="AC548" s="653"/>
      <c r="AD548" s="653"/>
      <c r="AE548" s="653"/>
      <c r="AF548" s="653"/>
      <c r="AG548" s="653"/>
      <c r="AH548" s="653"/>
      <c r="AI548" s="653"/>
      <c r="AJ548" s="653"/>
      <c r="AK548" s="653"/>
      <c r="AL548" s="653"/>
      <c r="AM548" s="653"/>
      <c r="AN548" s="653"/>
      <c r="AO548" s="653"/>
      <c r="AP548" s="653"/>
      <c r="AQ548" s="653"/>
      <c r="AR548" s="653"/>
      <c r="AS548" s="653"/>
      <c r="AT548" s="653"/>
      <c r="AU548" s="653"/>
      <c r="AV548" s="653"/>
    </row>
    <row r="549" spans="1:48" ht="14.5">
      <c r="A549" s="653"/>
      <c r="B549" s="653"/>
      <c r="C549" s="653"/>
      <c r="D549" s="653"/>
      <c r="E549" s="653"/>
      <c r="F549" s="653"/>
      <c r="G549" s="654"/>
      <c r="H549" s="654"/>
      <c r="I549" s="653"/>
      <c r="J549" s="653"/>
      <c r="K549" s="655"/>
      <c r="L549" s="653"/>
      <c r="M549" s="653"/>
      <c r="N549" s="653"/>
      <c r="O549" s="653"/>
      <c r="P549" s="653"/>
      <c r="Q549" s="653"/>
      <c r="R549" s="653"/>
      <c r="S549" s="653"/>
      <c r="T549" s="653"/>
      <c r="U549" s="656"/>
      <c r="V549" s="653"/>
      <c r="W549" s="653"/>
      <c r="X549" s="653"/>
      <c r="Y549" s="657"/>
      <c r="Z549" s="615"/>
      <c r="AA549" s="653"/>
      <c r="AB549" s="657"/>
      <c r="AC549" s="653"/>
      <c r="AD549" s="653"/>
      <c r="AE549" s="653"/>
      <c r="AF549" s="653"/>
      <c r="AG549" s="653"/>
      <c r="AH549" s="653"/>
      <c r="AI549" s="653"/>
      <c r="AJ549" s="653"/>
      <c r="AK549" s="653"/>
      <c r="AL549" s="653"/>
      <c r="AM549" s="653"/>
      <c r="AN549" s="653"/>
      <c r="AO549" s="653"/>
      <c r="AP549" s="653"/>
      <c r="AQ549" s="653"/>
      <c r="AR549" s="653"/>
      <c r="AS549" s="653"/>
      <c r="AT549" s="653"/>
      <c r="AU549" s="653"/>
      <c r="AV549" s="653"/>
    </row>
    <row r="550" spans="1:48" ht="14.5">
      <c r="A550" s="653"/>
      <c r="B550" s="653"/>
      <c r="C550" s="653"/>
      <c r="D550" s="653"/>
      <c r="E550" s="653"/>
      <c r="F550" s="653"/>
      <c r="G550" s="654"/>
      <c r="H550" s="654"/>
      <c r="I550" s="653"/>
      <c r="J550" s="653"/>
      <c r="K550" s="655"/>
      <c r="L550" s="653"/>
      <c r="M550" s="653"/>
      <c r="N550" s="653"/>
      <c r="O550" s="653"/>
      <c r="P550" s="653"/>
      <c r="Q550" s="653"/>
      <c r="R550" s="653"/>
      <c r="S550" s="653"/>
      <c r="T550" s="653"/>
      <c r="U550" s="656"/>
      <c r="V550" s="653"/>
      <c r="W550" s="653"/>
      <c r="X550" s="653"/>
      <c r="Y550" s="657"/>
      <c r="Z550" s="615"/>
      <c r="AA550" s="653"/>
      <c r="AB550" s="657"/>
      <c r="AC550" s="653"/>
      <c r="AD550" s="653"/>
      <c r="AE550" s="653"/>
      <c r="AF550" s="653"/>
      <c r="AG550" s="653"/>
      <c r="AH550" s="653"/>
      <c r="AI550" s="653"/>
      <c r="AJ550" s="653"/>
      <c r="AK550" s="653"/>
      <c r="AL550" s="653"/>
      <c r="AM550" s="653"/>
      <c r="AN550" s="653"/>
      <c r="AO550" s="653"/>
      <c r="AP550" s="653"/>
      <c r="AQ550" s="653"/>
      <c r="AR550" s="653"/>
      <c r="AS550" s="653"/>
      <c r="AT550" s="653"/>
      <c r="AU550" s="653"/>
      <c r="AV550" s="653"/>
    </row>
    <row r="551" spans="1:48" ht="14.5">
      <c r="A551" s="653"/>
      <c r="B551" s="653"/>
      <c r="C551" s="653"/>
      <c r="D551" s="653"/>
      <c r="E551" s="653"/>
      <c r="F551" s="653"/>
      <c r="G551" s="654"/>
      <c r="H551" s="654"/>
      <c r="I551" s="653"/>
      <c r="J551" s="653"/>
      <c r="K551" s="655"/>
      <c r="L551" s="653"/>
      <c r="M551" s="653"/>
      <c r="N551" s="653"/>
      <c r="O551" s="653"/>
      <c r="P551" s="653"/>
      <c r="Q551" s="653"/>
      <c r="R551" s="653"/>
      <c r="S551" s="653"/>
      <c r="T551" s="653"/>
      <c r="U551" s="656"/>
      <c r="V551" s="653"/>
      <c r="W551" s="653"/>
      <c r="X551" s="653"/>
      <c r="Y551" s="657"/>
      <c r="Z551" s="615"/>
      <c r="AA551" s="653"/>
      <c r="AB551" s="657"/>
      <c r="AC551" s="653"/>
      <c r="AD551" s="653"/>
      <c r="AE551" s="653"/>
      <c r="AF551" s="653"/>
      <c r="AG551" s="653"/>
      <c r="AH551" s="653"/>
      <c r="AI551" s="653"/>
      <c r="AJ551" s="653"/>
      <c r="AK551" s="653"/>
      <c r="AL551" s="653"/>
      <c r="AM551" s="653"/>
      <c r="AN551" s="653"/>
      <c r="AO551" s="653"/>
      <c r="AP551" s="653"/>
      <c r="AQ551" s="653"/>
      <c r="AR551" s="653"/>
      <c r="AS551" s="653"/>
      <c r="AT551" s="653"/>
      <c r="AU551" s="653"/>
      <c r="AV551" s="653"/>
    </row>
    <row r="552" spans="1:48" ht="14.5">
      <c r="A552" s="653"/>
      <c r="B552" s="653"/>
      <c r="C552" s="653"/>
      <c r="D552" s="653"/>
      <c r="E552" s="653"/>
      <c r="F552" s="653"/>
      <c r="G552" s="654"/>
      <c r="H552" s="654"/>
      <c r="I552" s="653"/>
      <c r="J552" s="653"/>
      <c r="K552" s="655"/>
      <c r="L552" s="653"/>
      <c r="M552" s="653"/>
      <c r="N552" s="653"/>
      <c r="O552" s="653"/>
      <c r="P552" s="653"/>
      <c r="Q552" s="653"/>
      <c r="R552" s="653"/>
      <c r="S552" s="653"/>
      <c r="T552" s="653"/>
      <c r="U552" s="656"/>
      <c r="V552" s="653"/>
      <c r="W552" s="653"/>
      <c r="X552" s="653"/>
      <c r="Y552" s="657"/>
      <c r="Z552" s="615"/>
      <c r="AA552" s="653"/>
      <c r="AB552" s="657"/>
      <c r="AC552" s="653"/>
      <c r="AD552" s="653"/>
      <c r="AE552" s="653"/>
      <c r="AF552" s="653"/>
      <c r="AG552" s="653"/>
      <c r="AH552" s="653"/>
      <c r="AI552" s="653"/>
      <c r="AJ552" s="653"/>
      <c r="AK552" s="653"/>
      <c r="AL552" s="653"/>
      <c r="AM552" s="653"/>
      <c r="AN552" s="653"/>
      <c r="AO552" s="653"/>
      <c r="AP552" s="653"/>
      <c r="AQ552" s="653"/>
      <c r="AR552" s="653"/>
      <c r="AS552" s="653"/>
      <c r="AT552" s="653"/>
      <c r="AU552" s="653"/>
      <c r="AV552" s="653"/>
    </row>
    <row r="553" spans="1:48" ht="14.5">
      <c r="A553" s="653"/>
      <c r="B553" s="653"/>
      <c r="C553" s="653"/>
      <c r="D553" s="653"/>
      <c r="E553" s="653"/>
      <c r="F553" s="653"/>
      <c r="G553" s="654"/>
      <c r="H553" s="654"/>
      <c r="I553" s="653"/>
      <c r="J553" s="653"/>
      <c r="K553" s="655"/>
      <c r="L553" s="653"/>
      <c r="M553" s="653"/>
      <c r="N553" s="653"/>
      <c r="O553" s="653"/>
      <c r="P553" s="653"/>
      <c r="Q553" s="653"/>
      <c r="R553" s="653"/>
      <c r="S553" s="653"/>
      <c r="T553" s="653"/>
      <c r="U553" s="656"/>
      <c r="V553" s="653"/>
      <c r="W553" s="653"/>
      <c r="X553" s="653"/>
      <c r="Y553" s="657"/>
      <c r="Z553" s="615"/>
      <c r="AA553" s="653"/>
      <c r="AB553" s="657"/>
      <c r="AC553" s="653"/>
      <c r="AD553" s="653"/>
      <c r="AE553" s="653"/>
      <c r="AF553" s="653"/>
      <c r="AG553" s="653"/>
      <c r="AH553" s="653"/>
      <c r="AI553" s="653"/>
      <c r="AJ553" s="653"/>
      <c r="AK553" s="653"/>
      <c r="AL553" s="653"/>
      <c r="AM553" s="653"/>
      <c r="AN553" s="653"/>
      <c r="AO553" s="653"/>
      <c r="AP553" s="653"/>
      <c r="AQ553" s="653"/>
      <c r="AR553" s="653"/>
      <c r="AS553" s="653"/>
      <c r="AT553" s="653"/>
      <c r="AU553" s="653"/>
      <c r="AV553" s="653"/>
    </row>
    <row r="554" spans="1:48" ht="14.5">
      <c r="A554" s="653"/>
      <c r="B554" s="653"/>
      <c r="C554" s="653"/>
      <c r="D554" s="653"/>
      <c r="E554" s="653"/>
      <c r="F554" s="653"/>
      <c r="G554" s="654"/>
      <c r="H554" s="654"/>
      <c r="I554" s="653"/>
      <c r="J554" s="653"/>
      <c r="K554" s="655"/>
      <c r="L554" s="653"/>
      <c r="M554" s="653"/>
      <c r="N554" s="653"/>
      <c r="O554" s="653"/>
      <c r="P554" s="653"/>
      <c r="Q554" s="653"/>
      <c r="R554" s="653"/>
      <c r="S554" s="653"/>
      <c r="T554" s="653"/>
      <c r="U554" s="656"/>
      <c r="V554" s="653"/>
      <c r="W554" s="653"/>
      <c r="X554" s="653"/>
      <c r="Y554" s="657"/>
      <c r="Z554" s="615"/>
      <c r="AA554" s="653"/>
      <c r="AB554" s="657"/>
      <c r="AC554" s="653"/>
      <c r="AD554" s="653"/>
      <c r="AE554" s="653"/>
      <c r="AF554" s="653"/>
      <c r="AG554" s="653"/>
      <c r="AH554" s="653"/>
      <c r="AI554" s="653"/>
      <c r="AJ554" s="653"/>
      <c r="AK554" s="653"/>
      <c r="AL554" s="653"/>
      <c r="AM554" s="653"/>
      <c r="AN554" s="653"/>
      <c r="AO554" s="653"/>
      <c r="AP554" s="653"/>
      <c r="AQ554" s="653"/>
      <c r="AR554" s="653"/>
      <c r="AS554" s="653"/>
      <c r="AT554" s="653"/>
      <c r="AU554" s="653"/>
      <c r="AV554" s="653"/>
    </row>
    <row r="555" spans="1:48" ht="14.5">
      <c r="A555" s="653"/>
      <c r="B555" s="653"/>
      <c r="C555" s="653"/>
      <c r="D555" s="653"/>
      <c r="E555" s="653"/>
      <c r="F555" s="653"/>
      <c r="G555" s="654"/>
      <c r="H555" s="654"/>
      <c r="I555" s="653"/>
      <c r="J555" s="653"/>
      <c r="K555" s="655"/>
      <c r="L555" s="653"/>
      <c r="M555" s="653"/>
      <c r="N555" s="653"/>
      <c r="O555" s="653"/>
      <c r="P555" s="653"/>
      <c r="Q555" s="653"/>
      <c r="R555" s="653"/>
      <c r="S555" s="653"/>
      <c r="T555" s="653"/>
      <c r="U555" s="656"/>
      <c r="V555" s="653"/>
      <c r="W555" s="653"/>
      <c r="X555" s="653"/>
      <c r="Y555" s="657"/>
      <c r="Z555" s="615"/>
      <c r="AA555" s="653"/>
      <c r="AB555" s="657"/>
      <c r="AC555" s="653"/>
      <c r="AD555" s="653"/>
      <c r="AE555" s="653"/>
      <c r="AF555" s="653"/>
      <c r="AG555" s="653"/>
      <c r="AH555" s="653"/>
      <c r="AI555" s="653"/>
      <c r="AJ555" s="653"/>
      <c r="AK555" s="653"/>
      <c r="AL555" s="653"/>
      <c r="AM555" s="653"/>
      <c r="AN555" s="653"/>
      <c r="AO555" s="653"/>
      <c r="AP555" s="653"/>
      <c r="AQ555" s="653"/>
      <c r="AR555" s="653"/>
      <c r="AS555" s="653"/>
      <c r="AT555" s="653"/>
      <c r="AU555" s="653"/>
      <c r="AV555" s="653"/>
    </row>
    <row r="556" spans="1:48" ht="14.5">
      <c r="A556" s="653"/>
      <c r="B556" s="653"/>
      <c r="C556" s="653"/>
      <c r="D556" s="653"/>
      <c r="E556" s="653"/>
      <c r="F556" s="653"/>
      <c r="G556" s="654"/>
      <c r="H556" s="654"/>
      <c r="I556" s="653"/>
      <c r="J556" s="653"/>
      <c r="K556" s="655"/>
      <c r="L556" s="653"/>
      <c r="M556" s="653"/>
      <c r="N556" s="653"/>
      <c r="O556" s="653"/>
      <c r="P556" s="653"/>
      <c r="Q556" s="653"/>
      <c r="R556" s="653"/>
      <c r="S556" s="653"/>
      <c r="T556" s="653"/>
      <c r="U556" s="656"/>
      <c r="V556" s="653"/>
      <c r="W556" s="653"/>
      <c r="X556" s="653"/>
      <c r="Y556" s="657"/>
      <c r="Z556" s="615"/>
      <c r="AA556" s="653"/>
      <c r="AB556" s="657"/>
      <c r="AC556" s="653"/>
      <c r="AD556" s="653"/>
      <c r="AE556" s="653"/>
      <c r="AF556" s="653"/>
      <c r="AG556" s="653"/>
      <c r="AH556" s="653"/>
      <c r="AI556" s="653"/>
      <c r="AJ556" s="653"/>
      <c r="AK556" s="653"/>
      <c r="AL556" s="653"/>
      <c r="AM556" s="653"/>
      <c r="AN556" s="653"/>
      <c r="AO556" s="653"/>
      <c r="AP556" s="653"/>
      <c r="AQ556" s="653"/>
      <c r="AR556" s="653"/>
      <c r="AS556" s="653"/>
      <c r="AT556" s="653"/>
      <c r="AU556" s="653"/>
      <c r="AV556" s="653"/>
    </row>
    <row r="557" spans="1:48" ht="14.5">
      <c r="A557" s="653"/>
      <c r="B557" s="653"/>
      <c r="C557" s="653"/>
      <c r="D557" s="653"/>
      <c r="E557" s="653"/>
      <c r="F557" s="653"/>
      <c r="G557" s="654"/>
      <c r="H557" s="654"/>
      <c r="I557" s="653"/>
      <c r="J557" s="653"/>
      <c r="K557" s="655"/>
      <c r="L557" s="653"/>
      <c r="M557" s="653"/>
      <c r="N557" s="653"/>
      <c r="O557" s="653"/>
      <c r="P557" s="653"/>
      <c r="Q557" s="653"/>
      <c r="R557" s="653"/>
      <c r="S557" s="653"/>
      <c r="T557" s="653"/>
      <c r="U557" s="656"/>
      <c r="V557" s="653"/>
      <c r="W557" s="653"/>
      <c r="X557" s="653"/>
      <c r="Y557" s="657"/>
      <c r="Z557" s="615"/>
      <c r="AA557" s="653"/>
      <c r="AB557" s="657"/>
      <c r="AC557" s="653"/>
      <c r="AD557" s="653"/>
      <c r="AE557" s="653"/>
      <c r="AF557" s="653"/>
      <c r="AG557" s="653"/>
      <c r="AH557" s="653"/>
      <c r="AI557" s="653"/>
      <c r="AJ557" s="653"/>
      <c r="AK557" s="653"/>
      <c r="AL557" s="653"/>
      <c r="AM557" s="653"/>
      <c r="AN557" s="653"/>
      <c r="AO557" s="653"/>
      <c r="AP557" s="653"/>
      <c r="AQ557" s="653"/>
      <c r="AR557" s="653"/>
      <c r="AS557" s="653"/>
      <c r="AT557" s="653"/>
      <c r="AU557" s="653"/>
      <c r="AV557" s="653"/>
    </row>
    <row r="558" spans="1:48" ht="14.5">
      <c r="A558" s="653"/>
      <c r="B558" s="653"/>
      <c r="C558" s="653"/>
      <c r="D558" s="653"/>
      <c r="E558" s="653"/>
      <c r="F558" s="653"/>
      <c r="G558" s="654"/>
      <c r="H558" s="654"/>
      <c r="I558" s="653"/>
      <c r="J558" s="653"/>
      <c r="K558" s="655"/>
      <c r="L558" s="653"/>
      <c r="M558" s="653"/>
      <c r="N558" s="653"/>
      <c r="O558" s="653"/>
      <c r="P558" s="653"/>
      <c r="Q558" s="653"/>
      <c r="R558" s="653"/>
      <c r="S558" s="653"/>
      <c r="T558" s="653"/>
      <c r="U558" s="656"/>
      <c r="V558" s="653"/>
      <c r="W558" s="653"/>
      <c r="X558" s="653"/>
      <c r="Y558" s="657"/>
      <c r="Z558" s="615"/>
      <c r="AA558" s="653"/>
      <c r="AB558" s="657"/>
      <c r="AC558" s="653"/>
      <c r="AD558" s="653"/>
      <c r="AE558" s="653"/>
      <c r="AF558" s="653"/>
      <c r="AG558" s="653"/>
      <c r="AH558" s="653"/>
      <c r="AI558" s="653"/>
      <c r="AJ558" s="653"/>
      <c r="AK558" s="653"/>
      <c r="AL558" s="653"/>
      <c r="AM558" s="653"/>
      <c r="AN558" s="653"/>
      <c r="AO558" s="653"/>
      <c r="AP558" s="653"/>
      <c r="AQ558" s="653"/>
      <c r="AR558" s="653"/>
      <c r="AS558" s="653"/>
      <c r="AT558" s="653"/>
      <c r="AU558" s="653"/>
      <c r="AV558" s="653"/>
    </row>
    <row r="559" spans="1:48" ht="14.5">
      <c r="A559" s="653"/>
      <c r="B559" s="653"/>
      <c r="C559" s="653"/>
      <c r="D559" s="653"/>
      <c r="E559" s="653"/>
      <c r="F559" s="653"/>
      <c r="G559" s="654"/>
      <c r="H559" s="654"/>
      <c r="I559" s="653"/>
      <c r="J559" s="653"/>
      <c r="K559" s="655"/>
      <c r="L559" s="653"/>
      <c r="M559" s="653"/>
      <c r="N559" s="653"/>
      <c r="O559" s="653"/>
      <c r="P559" s="653"/>
      <c r="Q559" s="653"/>
      <c r="R559" s="653"/>
      <c r="S559" s="653"/>
      <c r="T559" s="653"/>
      <c r="U559" s="656"/>
      <c r="V559" s="653"/>
      <c r="W559" s="653"/>
      <c r="X559" s="653"/>
      <c r="Y559" s="657"/>
      <c r="Z559" s="615"/>
      <c r="AA559" s="653"/>
      <c r="AB559" s="657"/>
      <c r="AC559" s="653"/>
      <c r="AD559" s="653"/>
      <c r="AE559" s="653"/>
      <c r="AF559" s="653"/>
      <c r="AG559" s="653"/>
      <c r="AH559" s="653"/>
      <c r="AI559" s="653"/>
      <c r="AJ559" s="653"/>
      <c r="AK559" s="653"/>
      <c r="AL559" s="653"/>
      <c r="AM559" s="653"/>
      <c r="AN559" s="653"/>
      <c r="AO559" s="653"/>
      <c r="AP559" s="653"/>
      <c r="AQ559" s="653"/>
      <c r="AR559" s="653"/>
      <c r="AS559" s="653"/>
      <c r="AT559" s="653"/>
      <c r="AU559" s="653"/>
      <c r="AV559" s="653"/>
    </row>
    <row r="560" spans="1:48" ht="14.5">
      <c r="A560" s="653"/>
      <c r="B560" s="653"/>
      <c r="C560" s="653"/>
      <c r="D560" s="653"/>
      <c r="E560" s="653"/>
      <c r="F560" s="653"/>
      <c r="G560" s="654"/>
      <c r="H560" s="654"/>
      <c r="I560" s="653"/>
      <c r="J560" s="653"/>
      <c r="K560" s="655"/>
      <c r="L560" s="653"/>
      <c r="M560" s="653"/>
      <c r="N560" s="653"/>
      <c r="O560" s="653"/>
      <c r="P560" s="653"/>
      <c r="Q560" s="653"/>
      <c r="R560" s="653"/>
      <c r="S560" s="653"/>
      <c r="T560" s="653"/>
      <c r="U560" s="656"/>
      <c r="V560" s="653"/>
      <c r="W560" s="653"/>
      <c r="X560" s="653"/>
      <c r="Y560" s="657"/>
      <c r="Z560" s="615"/>
      <c r="AA560" s="653"/>
      <c r="AB560" s="657"/>
      <c r="AC560" s="653"/>
      <c r="AD560" s="653"/>
      <c r="AE560" s="653"/>
      <c r="AF560" s="653"/>
      <c r="AG560" s="653"/>
      <c r="AH560" s="653"/>
      <c r="AI560" s="653"/>
      <c r="AJ560" s="653"/>
      <c r="AK560" s="653"/>
      <c r="AL560" s="653"/>
      <c r="AM560" s="653"/>
      <c r="AN560" s="653"/>
      <c r="AO560" s="653"/>
      <c r="AP560" s="653"/>
      <c r="AQ560" s="653"/>
      <c r="AR560" s="653"/>
      <c r="AS560" s="653"/>
      <c r="AT560" s="653"/>
      <c r="AU560" s="653"/>
      <c r="AV560" s="653"/>
    </row>
    <row r="561" spans="1:48" ht="14.5">
      <c r="A561" s="653"/>
      <c r="B561" s="653"/>
      <c r="C561" s="653"/>
      <c r="D561" s="653"/>
      <c r="E561" s="653"/>
      <c r="F561" s="653"/>
      <c r="G561" s="654"/>
      <c r="H561" s="654"/>
      <c r="I561" s="653"/>
      <c r="J561" s="653"/>
      <c r="K561" s="655"/>
      <c r="L561" s="653"/>
      <c r="M561" s="653"/>
      <c r="N561" s="653"/>
      <c r="O561" s="653"/>
      <c r="P561" s="653"/>
      <c r="Q561" s="653"/>
      <c r="R561" s="653"/>
      <c r="S561" s="653"/>
      <c r="T561" s="653"/>
      <c r="U561" s="656"/>
      <c r="V561" s="653"/>
      <c r="W561" s="653"/>
      <c r="X561" s="653"/>
      <c r="Y561" s="657"/>
      <c r="Z561" s="615"/>
      <c r="AA561" s="653"/>
      <c r="AB561" s="657"/>
      <c r="AC561" s="653"/>
      <c r="AD561" s="653"/>
      <c r="AE561" s="653"/>
      <c r="AF561" s="653"/>
      <c r="AG561" s="653"/>
      <c r="AH561" s="653"/>
      <c r="AI561" s="653"/>
      <c r="AJ561" s="653"/>
      <c r="AK561" s="653"/>
      <c r="AL561" s="653"/>
      <c r="AM561" s="653"/>
      <c r="AN561" s="653"/>
      <c r="AO561" s="653"/>
      <c r="AP561" s="653"/>
      <c r="AQ561" s="653"/>
      <c r="AR561" s="653"/>
      <c r="AS561" s="653"/>
      <c r="AT561" s="653"/>
      <c r="AU561" s="653"/>
      <c r="AV561" s="653"/>
    </row>
    <row r="562" spans="1:48" ht="14.5">
      <c r="A562" s="653"/>
      <c r="B562" s="653"/>
      <c r="C562" s="653"/>
      <c r="D562" s="653"/>
      <c r="E562" s="653"/>
      <c r="F562" s="653"/>
      <c r="G562" s="654"/>
      <c r="H562" s="654"/>
      <c r="I562" s="653"/>
      <c r="J562" s="653"/>
      <c r="K562" s="655"/>
      <c r="L562" s="653"/>
      <c r="M562" s="653"/>
      <c r="N562" s="653"/>
      <c r="O562" s="653"/>
      <c r="P562" s="653"/>
      <c r="Q562" s="653"/>
      <c r="R562" s="653"/>
      <c r="S562" s="653"/>
      <c r="T562" s="653"/>
      <c r="U562" s="656"/>
      <c r="V562" s="653"/>
      <c r="W562" s="653"/>
      <c r="X562" s="653"/>
      <c r="Y562" s="657"/>
      <c r="Z562" s="615"/>
      <c r="AA562" s="653"/>
      <c r="AB562" s="657"/>
      <c r="AC562" s="653"/>
      <c r="AD562" s="653"/>
      <c r="AE562" s="653"/>
      <c r="AF562" s="653"/>
      <c r="AG562" s="653"/>
      <c r="AH562" s="653"/>
      <c r="AI562" s="653"/>
      <c r="AJ562" s="653"/>
      <c r="AK562" s="653"/>
      <c r="AL562" s="653"/>
      <c r="AM562" s="653"/>
      <c r="AN562" s="653"/>
      <c r="AO562" s="653"/>
      <c r="AP562" s="653"/>
      <c r="AQ562" s="653"/>
      <c r="AR562" s="653"/>
      <c r="AS562" s="653"/>
      <c r="AT562" s="653"/>
      <c r="AU562" s="653"/>
      <c r="AV562" s="653"/>
    </row>
    <row r="563" spans="1:48" ht="14.5">
      <c r="A563" s="653"/>
      <c r="B563" s="653"/>
      <c r="C563" s="653"/>
      <c r="D563" s="653"/>
      <c r="E563" s="653"/>
      <c r="F563" s="653"/>
      <c r="G563" s="654"/>
      <c r="H563" s="654"/>
      <c r="I563" s="653"/>
      <c r="J563" s="653"/>
      <c r="K563" s="655"/>
      <c r="L563" s="653"/>
      <c r="M563" s="653"/>
      <c r="N563" s="653"/>
      <c r="O563" s="653"/>
      <c r="P563" s="653"/>
      <c r="Q563" s="653"/>
      <c r="R563" s="653"/>
      <c r="S563" s="653"/>
      <c r="T563" s="653"/>
      <c r="U563" s="656"/>
      <c r="V563" s="653"/>
      <c r="W563" s="653"/>
      <c r="X563" s="653"/>
      <c r="Y563" s="657"/>
      <c r="Z563" s="615"/>
      <c r="AA563" s="653"/>
      <c r="AB563" s="657"/>
      <c r="AC563" s="653"/>
      <c r="AD563" s="653"/>
      <c r="AE563" s="653"/>
      <c r="AF563" s="653"/>
      <c r="AG563" s="653"/>
      <c r="AH563" s="653"/>
      <c r="AI563" s="653"/>
      <c r="AJ563" s="653"/>
      <c r="AK563" s="653"/>
      <c r="AL563" s="653"/>
      <c r="AM563" s="653"/>
      <c r="AN563" s="653"/>
      <c r="AO563" s="653"/>
      <c r="AP563" s="653"/>
      <c r="AQ563" s="653"/>
      <c r="AR563" s="653"/>
      <c r="AS563" s="653"/>
      <c r="AT563" s="653"/>
      <c r="AU563" s="653"/>
      <c r="AV563" s="653"/>
    </row>
    <row r="564" spans="1:48" ht="14.5">
      <c r="A564" s="653"/>
      <c r="B564" s="653"/>
      <c r="C564" s="653"/>
      <c r="D564" s="653"/>
      <c r="E564" s="653"/>
      <c r="F564" s="653"/>
      <c r="G564" s="654"/>
      <c r="H564" s="654"/>
      <c r="I564" s="653"/>
      <c r="J564" s="653"/>
      <c r="K564" s="655"/>
      <c r="L564" s="653"/>
      <c r="M564" s="653"/>
      <c r="N564" s="653"/>
      <c r="O564" s="653"/>
      <c r="P564" s="653"/>
      <c r="Q564" s="653"/>
      <c r="R564" s="653"/>
      <c r="S564" s="653"/>
      <c r="T564" s="653"/>
      <c r="U564" s="656"/>
      <c r="V564" s="653"/>
      <c r="W564" s="653"/>
      <c r="X564" s="653"/>
      <c r="Y564" s="657"/>
      <c r="Z564" s="615"/>
      <c r="AA564" s="653"/>
      <c r="AB564" s="657"/>
      <c r="AC564" s="653"/>
      <c r="AD564" s="653"/>
      <c r="AE564" s="653"/>
      <c r="AF564" s="653"/>
      <c r="AG564" s="653"/>
      <c r="AH564" s="653"/>
      <c r="AI564" s="653"/>
      <c r="AJ564" s="653"/>
      <c r="AK564" s="653"/>
      <c r="AL564" s="653"/>
      <c r="AM564" s="653"/>
      <c r="AN564" s="653"/>
      <c r="AO564" s="653"/>
      <c r="AP564" s="653"/>
      <c r="AQ564" s="653"/>
      <c r="AR564" s="653"/>
      <c r="AS564" s="653"/>
      <c r="AT564" s="653"/>
      <c r="AU564" s="653"/>
      <c r="AV564" s="653"/>
    </row>
    <row r="565" spans="1:48" ht="14.5">
      <c r="A565" s="653"/>
      <c r="B565" s="653"/>
      <c r="C565" s="653"/>
      <c r="D565" s="653"/>
      <c r="E565" s="653"/>
      <c r="F565" s="653"/>
      <c r="G565" s="654"/>
      <c r="H565" s="654"/>
      <c r="I565" s="653"/>
      <c r="J565" s="653"/>
      <c r="K565" s="655"/>
      <c r="L565" s="653"/>
      <c r="M565" s="653"/>
      <c r="N565" s="653"/>
      <c r="O565" s="653"/>
      <c r="P565" s="653"/>
      <c r="Q565" s="653"/>
      <c r="R565" s="653"/>
      <c r="S565" s="653"/>
      <c r="T565" s="653"/>
      <c r="U565" s="656"/>
      <c r="V565" s="653"/>
      <c r="W565" s="653"/>
      <c r="X565" s="653"/>
      <c r="Y565" s="657"/>
      <c r="Z565" s="615"/>
      <c r="AA565" s="653"/>
      <c r="AB565" s="657"/>
      <c r="AC565" s="653"/>
      <c r="AD565" s="653"/>
      <c r="AE565" s="653"/>
      <c r="AF565" s="653"/>
      <c r="AG565" s="653"/>
      <c r="AH565" s="653"/>
      <c r="AI565" s="653"/>
      <c r="AJ565" s="653"/>
      <c r="AK565" s="653"/>
      <c r="AL565" s="653"/>
      <c r="AM565" s="653"/>
      <c r="AN565" s="653"/>
      <c r="AO565" s="653"/>
      <c r="AP565" s="653"/>
      <c r="AQ565" s="653"/>
      <c r="AR565" s="653"/>
      <c r="AS565" s="653"/>
      <c r="AT565" s="653"/>
      <c r="AU565" s="653"/>
      <c r="AV565" s="653"/>
    </row>
    <row r="566" spans="1:48" ht="14.5">
      <c r="A566" s="653"/>
      <c r="B566" s="653"/>
      <c r="C566" s="653"/>
      <c r="D566" s="653"/>
      <c r="E566" s="653"/>
      <c r="F566" s="653"/>
      <c r="G566" s="654"/>
      <c r="H566" s="654"/>
      <c r="I566" s="653"/>
      <c r="J566" s="653"/>
      <c r="K566" s="655"/>
      <c r="L566" s="653"/>
      <c r="M566" s="653"/>
      <c r="N566" s="653"/>
      <c r="O566" s="653"/>
      <c r="P566" s="653"/>
      <c r="Q566" s="653"/>
      <c r="R566" s="653"/>
      <c r="S566" s="653"/>
      <c r="T566" s="653"/>
      <c r="U566" s="656"/>
      <c r="V566" s="653"/>
      <c r="W566" s="653"/>
      <c r="X566" s="653"/>
      <c r="Y566" s="657"/>
      <c r="Z566" s="615"/>
      <c r="AA566" s="653"/>
      <c r="AB566" s="657"/>
      <c r="AC566" s="653"/>
      <c r="AD566" s="653"/>
      <c r="AE566" s="653"/>
      <c r="AF566" s="653"/>
      <c r="AG566" s="653"/>
      <c r="AH566" s="653"/>
      <c r="AI566" s="653"/>
      <c r="AJ566" s="653"/>
      <c r="AK566" s="653"/>
      <c r="AL566" s="653"/>
      <c r="AM566" s="653"/>
      <c r="AN566" s="653"/>
      <c r="AO566" s="653"/>
      <c r="AP566" s="653"/>
      <c r="AQ566" s="653"/>
      <c r="AR566" s="653"/>
      <c r="AS566" s="653"/>
      <c r="AT566" s="653"/>
      <c r="AU566" s="653"/>
      <c r="AV566" s="653"/>
    </row>
    <row r="567" spans="1:48" ht="14.5">
      <c r="A567" s="653"/>
      <c r="B567" s="653"/>
      <c r="C567" s="653"/>
      <c r="D567" s="653"/>
      <c r="E567" s="653"/>
      <c r="F567" s="653"/>
      <c r="G567" s="654"/>
      <c r="H567" s="654"/>
      <c r="I567" s="653"/>
      <c r="J567" s="653"/>
      <c r="K567" s="655"/>
      <c r="L567" s="653"/>
      <c r="M567" s="653"/>
      <c r="N567" s="653"/>
      <c r="O567" s="653"/>
      <c r="P567" s="653"/>
      <c r="Q567" s="653"/>
      <c r="R567" s="653"/>
      <c r="S567" s="653"/>
      <c r="T567" s="653"/>
      <c r="U567" s="656"/>
      <c r="V567" s="653"/>
      <c r="W567" s="653"/>
      <c r="X567" s="653"/>
      <c r="Y567" s="657"/>
      <c r="Z567" s="615"/>
      <c r="AA567" s="653"/>
      <c r="AB567" s="657"/>
      <c r="AC567" s="653"/>
      <c r="AD567" s="653"/>
      <c r="AE567" s="653"/>
      <c r="AF567" s="653"/>
      <c r="AG567" s="653"/>
      <c r="AH567" s="653"/>
      <c r="AI567" s="653"/>
      <c r="AJ567" s="653"/>
      <c r="AK567" s="653"/>
      <c r="AL567" s="653"/>
      <c r="AM567" s="653"/>
      <c r="AN567" s="653"/>
      <c r="AO567" s="653"/>
      <c r="AP567" s="653"/>
      <c r="AQ567" s="653"/>
      <c r="AR567" s="653"/>
      <c r="AS567" s="653"/>
      <c r="AT567" s="653"/>
      <c r="AU567" s="653"/>
      <c r="AV567" s="653"/>
    </row>
    <row r="568" spans="1:48" ht="14.5">
      <c r="A568" s="653"/>
      <c r="B568" s="653"/>
      <c r="C568" s="653"/>
      <c r="D568" s="653"/>
      <c r="E568" s="653"/>
      <c r="F568" s="653"/>
      <c r="G568" s="654"/>
      <c r="H568" s="654"/>
      <c r="I568" s="653"/>
      <c r="J568" s="653"/>
      <c r="K568" s="655"/>
      <c r="L568" s="653"/>
      <c r="M568" s="653"/>
      <c r="N568" s="653"/>
      <c r="O568" s="653"/>
      <c r="P568" s="653"/>
      <c r="Q568" s="653"/>
      <c r="R568" s="653"/>
      <c r="S568" s="653"/>
      <c r="T568" s="653"/>
      <c r="U568" s="656"/>
      <c r="V568" s="653"/>
      <c r="W568" s="653"/>
      <c r="X568" s="653"/>
      <c r="Y568" s="657"/>
      <c r="Z568" s="615"/>
      <c r="AA568" s="653"/>
      <c r="AB568" s="657"/>
      <c r="AC568" s="653"/>
      <c r="AD568" s="653"/>
      <c r="AE568" s="653"/>
      <c r="AF568" s="653"/>
      <c r="AG568" s="653"/>
      <c r="AH568" s="653"/>
      <c r="AI568" s="653"/>
      <c r="AJ568" s="653"/>
      <c r="AK568" s="653"/>
      <c r="AL568" s="653"/>
      <c r="AM568" s="653"/>
      <c r="AN568" s="653"/>
      <c r="AO568" s="653"/>
      <c r="AP568" s="653"/>
      <c r="AQ568" s="653"/>
      <c r="AR568" s="653"/>
      <c r="AS568" s="653"/>
      <c r="AT568" s="653"/>
      <c r="AU568" s="653"/>
      <c r="AV568" s="653"/>
    </row>
    <row r="569" spans="1:48" ht="14.5">
      <c r="A569" s="653"/>
      <c r="B569" s="653"/>
      <c r="C569" s="653"/>
      <c r="D569" s="653"/>
      <c r="E569" s="653"/>
      <c r="F569" s="653"/>
      <c r="G569" s="654"/>
      <c r="H569" s="654"/>
      <c r="I569" s="653"/>
      <c r="J569" s="653"/>
      <c r="K569" s="655"/>
      <c r="L569" s="653"/>
      <c r="M569" s="653"/>
      <c r="N569" s="653"/>
      <c r="O569" s="653"/>
      <c r="P569" s="653"/>
      <c r="Q569" s="653"/>
      <c r="R569" s="653"/>
      <c r="S569" s="653"/>
      <c r="T569" s="653"/>
      <c r="U569" s="656"/>
      <c r="V569" s="653"/>
      <c r="W569" s="653"/>
      <c r="X569" s="653"/>
      <c r="Y569" s="657"/>
      <c r="Z569" s="615"/>
      <c r="AA569" s="653"/>
      <c r="AB569" s="657"/>
      <c r="AC569" s="653"/>
      <c r="AD569" s="653"/>
      <c r="AE569" s="653"/>
      <c r="AF569" s="653"/>
      <c r="AG569" s="653"/>
      <c r="AH569" s="653"/>
      <c r="AI569" s="653"/>
      <c r="AJ569" s="653"/>
      <c r="AK569" s="653"/>
      <c r="AL569" s="653"/>
      <c r="AM569" s="653"/>
      <c r="AN569" s="653"/>
      <c r="AO569" s="653"/>
      <c r="AP569" s="653"/>
      <c r="AQ569" s="653"/>
      <c r="AR569" s="653"/>
      <c r="AS569" s="653"/>
      <c r="AT569" s="653"/>
      <c r="AU569" s="653"/>
      <c r="AV569" s="653"/>
    </row>
    <row r="570" spans="1:48" ht="14.5">
      <c r="A570" s="653"/>
      <c r="B570" s="653"/>
      <c r="C570" s="653"/>
      <c r="D570" s="653"/>
      <c r="E570" s="653"/>
      <c r="F570" s="653"/>
      <c r="G570" s="654"/>
      <c r="H570" s="654"/>
      <c r="I570" s="653"/>
      <c r="J570" s="653"/>
      <c r="K570" s="655"/>
      <c r="L570" s="653"/>
      <c r="M570" s="653"/>
      <c r="N570" s="653"/>
      <c r="O570" s="653"/>
      <c r="P570" s="653"/>
      <c r="Q570" s="653"/>
      <c r="R570" s="653"/>
      <c r="S570" s="653"/>
      <c r="T570" s="653"/>
      <c r="U570" s="656"/>
      <c r="V570" s="653"/>
      <c r="W570" s="653"/>
      <c r="X570" s="653"/>
      <c r="Y570" s="657"/>
      <c r="Z570" s="615"/>
      <c r="AA570" s="653"/>
      <c r="AB570" s="657"/>
      <c r="AC570" s="653"/>
      <c r="AD570" s="653"/>
      <c r="AE570" s="653"/>
      <c r="AF570" s="653"/>
      <c r="AG570" s="653"/>
      <c r="AH570" s="653"/>
      <c r="AI570" s="653"/>
      <c r="AJ570" s="653"/>
      <c r="AK570" s="653"/>
      <c r="AL570" s="653"/>
      <c r="AM570" s="653"/>
      <c r="AN570" s="653"/>
      <c r="AO570" s="653"/>
      <c r="AP570" s="653"/>
      <c r="AQ570" s="653"/>
      <c r="AR570" s="653"/>
      <c r="AS570" s="653"/>
      <c r="AT570" s="653"/>
      <c r="AU570" s="653"/>
      <c r="AV570" s="653"/>
    </row>
    <row r="571" spans="1:48" ht="14.5">
      <c r="A571" s="653"/>
      <c r="B571" s="653"/>
      <c r="C571" s="653"/>
      <c r="D571" s="653"/>
      <c r="E571" s="653"/>
      <c r="F571" s="653"/>
      <c r="G571" s="654"/>
      <c r="H571" s="654"/>
      <c r="I571" s="653"/>
      <c r="J571" s="653"/>
      <c r="K571" s="655"/>
      <c r="L571" s="653"/>
      <c r="M571" s="653"/>
      <c r="N571" s="653"/>
      <c r="O571" s="653"/>
      <c r="P571" s="653"/>
      <c r="Q571" s="653"/>
      <c r="R571" s="653"/>
      <c r="S571" s="653"/>
      <c r="T571" s="653"/>
      <c r="U571" s="656"/>
      <c r="V571" s="653"/>
      <c r="W571" s="653"/>
      <c r="X571" s="653"/>
      <c r="Y571" s="657"/>
      <c r="Z571" s="615"/>
      <c r="AA571" s="653"/>
      <c r="AB571" s="657"/>
      <c r="AC571" s="653"/>
      <c r="AD571" s="653"/>
      <c r="AE571" s="653"/>
      <c r="AF571" s="653"/>
      <c r="AG571" s="653"/>
      <c r="AH571" s="653"/>
      <c r="AI571" s="653"/>
      <c r="AJ571" s="653"/>
      <c r="AK571" s="653"/>
      <c r="AL571" s="653"/>
      <c r="AM571" s="653"/>
      <c r="AN571" s="653"/>
      <c r="AO571" s="653"/>
      <c r="AP571" s="653"/>
      <c r="AQ571" s="653"/>
      <c r="AR571" s="653"/>
      <c r="AS571" s="653"/>
      <c r="AT571" s="653"/>
      <c r="AU571" s="653"/>
      <c r="AV571" s="653"/>
    </row>
    <row r="572" spans="1:48" ht="14.5">
      <c r="A572" s="653"/>
      <c r="B572" s="653"/>
      <c r="C572" s="653"/>
      <c r="D572" s="653"/>
      <c r="E572" s="653"/>
      <c r="F572" s="653"/>
      <c r="G572" s="654"/>
      <c r="H572" s="654"/>
      <c r="I572" s="653"/>
      <c r="J572" s="653"/>
      <c r="K572" s="655"/>
      <c r="L572" s="653"/>
      <c r="M572" s="653"/>
      <c r="N572" s="653"/>
      <c r="O572" s="653"/>
      <c r="P572" s="653"/>
      <c r="Q572" s="653"/>
      <c r="R572" s="653"/>
      <c r="S572" s="653"/>
      <c r="T572" s="653"/>
      <c r="U572" s="656"/>
      <c r="V572" s="653"/>
      <c r="W572" s="653"/>
      <c r="X572" s="653"/>
      <c r="Y572" s="657"/>
      <c r="Z572" s="615"/>
      <c r="AA572" s="653"/>
      <c r="AB572" s="657"/>
      <c r="AC572" s="653"/>
      <c r="AD572" s="653"/>
      <c r="AE572" s="653"/>
      <c r="AF572" s="653"/>
      <c r="AG572" s="653"/>
      <c r="AH572" s="653"/>
      <c r="AI572" s="653"/>
      <c r="AJ572" s="653"/>
      <c r="AK572" s="653"/>
      <c r="AL572" s="653"/>
      <c r="AM572" s="653"/>
      <c r="AN572" s="653"/>
      <c r="AO572" s="653"/>
      <c r="AP572" s="653"/>
      <c r="AQ572" s="653"/>
      <c r="AR572" s="653"/>
      <c r="AS572" s="653"/>
      <c r="AT572" s="653"/>
      <c r="AU572" s="653"/>
      <c r="AV572" s="653"/>
    </row>
    <row r="573" spans="1:48" ht="14.5">
      <c r="A573" s="653"/>
      <c r="B573" s="653"/>
      <c r="C573" s="653"/>
      <c r="D573" s="653"/>
      <c r="E573" s="653"/>
      <c r="F573" s="653"/>
      <c r="G573" s="654"/>
      <c r="H573" s="654"/>
      <c r="I573" s="653"/>
      <c r="J573" s="653"/>
      <c r="K573" s="655"/>
      <c r="L573" s="653"/>
      <c r="M573" s="653"/>
      <c r="N573" s="653"/>
      <c r="O573" s="653"/>
      <c r="P573" s="653"/>
      <c r="Q573" s="653"/>
      <c r="R573" s="653"/>
      <c r="S573" s="653"/>
      <c r="T573" s="653"/>
      <c r="U573" s="656"/>
      <c r="V573" s="653"/>
      <c r="W573" s="653"/>
      <c r="X573" s="653"/>
      <c r="Y573" s="657"/>
      <c r="Z573" s="615"/>
      <c r="AA573" s="653"/>
      <c r="AB573" s="657"/>
      <c r="AC573" s="653"/>
      <c r="AD573" s="653"/>
      <c r="AE573" s="653"/>
      <c r="AF573" s="653"/>
      <c r="AG573" s="653"/>
      <c r="AH573" s="653"/>
      <c r="AI573" s="653"/>
      <c r="AJ573" s="653"/>
      <c r="AK573" s="653"/>
      <c r="AL573" s="653"/>
      <c r="AM573" s="653"/>
      <c r="AN573" s="653"/>
      <c r="AO573" s="653"/>
      <c r="AP573" s="653"/>
      <c r="AQ573" s="653"/>
      <c r="AR573" s="653"/>
      <c r="AS573" s="653"/>
      <c r="AT573" s="653"/>
      <c r="AU573" s="653"/>
      <c r="AV573" s="653"/>
    </row>
    <row r="574" spans="1:48" ht="14.5">
      <c r="A574" s="653"/>
      <c r="B574" s="653"/>
      <c r="C574" s="653"/>
      <c r="D574" s="653"/>
      <c r="E574" s="653"/>
      <c r="F574" s="653"/>
      <c r="G574" s="654"/>
      <c r="H574" s="654"/>
      <c r="I574" s="653"/>
      <c r="J574" s="653"/>
      <c r="K574" s="655"/>
      <c r="L574" s="653"/>
      <c r="M574" s="653"/>
      <c r="N574" s="653"/>
      <c r="O574" s="653"/>
      <c r="P574" s="653"/>
      <c r="Q574" s="653"/>
      <c r="R574" s="653"/>
      <c r="S574" s="653"/>
      <c r="T574" s="653"/>
      <c r="U574" s="656"/>
      <c r="V574" s="653"/>
      <c r="W574" s="653"/>
      <c r="X574" s="653"/>
      <c r="Y574" s="657"/>
      <c r="Z574" s="615"/>
      <c r="AA574" s="653"/>
      <c r="AB574" s="657"/>
      <c r="AC574" s="653"/>
      <c r="AD574" s="653"/>
      <c r="AE574" s="653"/>
      <c r="AF574" s="653"/>
      <c r="AG574" s="653"/>
      <c r="AH574" s="653"/>
      <c r="AI574" s="653"/>
      <c r="AJ574" s="653"/>
      <c r="AK574" s="653"/>
      <c r="AL574" s="653"/>
      <c r="AM574" s="653"/>
      <c r="AN574" s="653"/>
      <c r="AO574" s="653"/>
      <c r="AP574" s="653"/>
      <c r="AQ574" s="653"/>
      <c r="AR574" s="653"/>
      <c r="AS574" s="653"/>
      <c r="AT574" s="653"/>
      <c r="AU574" s="653"/>
      <c r="AV574" s="653"/>
    </row>
    <row r="575" spans="1:48" ht="14.5">
      <c r="A575" s="653"/>
      <c r="B575" s="653"/>
      <c r="C575" s="653"/>
      <c r="D575" s="653"/>
      <c r="E575" s="653"/>
      <c r="F575" s="653"/>
      <c r="G575" s="654"/>
      <c r="H575" s="654"/>
      <c r="I575" s="653"/>
      <c r="J575" s="653"/>
      <c r="K575" s="655"/>
      <c r="L575" s="653"/>
      <c r="M575" s="653"/>
      <c r="N575" s="653"/>
      <c r="O575" s="653"/>
      <c r="P575" s="653"/>
      <c r="Q575" s="653"/>
      <c r="R575" s="653"/>
      <c r="S575" s="653"/>
      <c r="T575" s="653"/>
      <c r="U575" s="656"/>
      <c r="V575" s="653"/>
      <c r="W575" s="653"/>
      <c r="X575" s="653"/>
      <c r="Y575" s="657"/>
      <c r="Z575" s="615"/>
      <c r="AA575" s="653"/>
      <c r="AB575" s="657"/>
      <c r="AC575" s="653"/>
      <c r="AD575" s="653"/>
      <c r="AE575" s="653"/>
      <c r="AF575" s="653"/>
      <c r="AG575" s="653"/>
      <c r="AH575" s="653"/>
      <c r="AI575" s="653"/>
      <c r="AJ575" s="653"/>
      <c r="AK575" s="653"/>
      <c r="AL575" s="653"/>
      <c r="AM575" s="653"/>
      <c r="AN575" s="653"/>
      <c r="AO575" s="653"/>
      <c r="AP575" s="653"/>
      <c r="AQ575" s="653"/>
      <c r="AR575" s="653"/>
      <c r="AS575" s="653"/>
      <c r="AT575" s="653"/>
      <c r="AU575" s="653"/>
      <c r="AV575" s="653"/>
    </row>
    <row r="576" spans="1:48" ht="14.5">
      <c r="A576" s="653"/>
      <c r="B576" s="653"/>
      <c r="C576" s="653"/>
      <c r="D576" s="653"/>
      <c r="E576" s="653"/>
      <c r="F576" s="653"/>
      <c r="G576" s="654"/>
      <c r="H576" s="654"/>
      <c r="I576" s="653"/>
      <c r="J576" s="653"/>
      <c r="K576" s="655"/>
      <c r="L576" s="653"/>
      <c r="M576" s="653"/>
      <c r="N576" s="653"/>
      <c r="O576" s="653"/>
      <c r="P576" s="653"/>
      <c r="Q576" s="653"/>
      <c r="R576" s="653"/>
      <c r="S576" s="653"/>
      <c r="T576" s="653"/>
      <c r="U576" s="656"/>
      <c r="V576" s="653"/>
      <c r="W576" s="653"/>
      <c r="X576" s="653"/>
      <c r="Y576" s="657"/>
      <c r="Z576" s="615"/>
      <c r="AA576" s="653"/>
      <c r="AB576" s="657"/>
      <c r="AC576" s="653"/>
      <c r="AD576" s="653"/>
      <c r="AE576" s="653"/>
      <c r="AF576" s="653"/>
      <c r="AG576" s="653"/>
      <c r="AH576" s="653"/>
      <c r="AI576" s="653"/>
      <c r="AJ576" s="653"/>
      <c r="AK576" s="653"/>
      <c r="AL576" s="653"/>
      <c r="AM576" s="653"/>
      <c r="AN576" s="653"/>
      <c r="AO576" s="653"/>
      <c r="AP576" s="653"/>
      <c r="AQ576" s="653"/>
      <c r="AR576" s="653"/>
      <c r="AS576" s="653"/>
      <c r="AT576" s="653"/>
      <c r="AU576" s="653"/>
      <c r="AV576" s="653"/>
    </row>
    <row r="577" spans="1:48" ht="14.5">
      <c r="A577" s="653"/>
      <c r="B577" s="653"/>
      <c r="C577" s="653"/>
      <c r="D577" s="653"/>
      <c r="E577" s="653"/>
      <c r="F577" s="653"/>
      <c r="G577" s="654"/>
      <c r="H577" s="654"/>
      <c r="I577" s="653"/>
      <c r="J577" s="653"/>
      <c r="K577" s="655"/>
      <c r="L577" s="653"/>
      <c r="M577" s="653"/>
      <c r="N577" s="653"/>
      <c r="O577" s="653"/>
      <c r="P577" s="653"/>
      <c r="Q577" s="653"/>
      <c r="R577" s="653"/>
      <c r="S577" s="653"/>
      <c r="T577" s="653"/>
      <c r="U577" s="656"/>
      <c r="V577" s="653"/>
      <c r="W577" s="653"/>
      <c r="X577" s="653"/>
      <c r="Y577" s="657"/>
      <c r="Z577" s="615"/>
      <c r="AA577" s="653"/>
      <c r="AB577" s="657"/>
      <c r="AC577" s="653"/>
      <c r="AD577" s="653"/>
      <c r="AE577" s="653"/>
      <c r="AF577" s="653"/>
      <c r="AG577" s="653"/>
      <c r="AH577" s="653"/>
      <c r="AI577" s="653"/>
      <c r="AJ577" s="653"/>
      <c r="AK577" s="653"/>
      <c r="AL577" s="653"/>
      <c r="AM577" s="653"/>
      <c r="AN577" s="653"/>
      <c r="AO577" s="653"/>
      <c r="AP577" s="653"/>
      <c r="AQ577" s="653"/>
      <c r="AR577" s="653"/>
      <c r="AS577" s="653"/>
      <c r="AT577" s="653"/>
      <c r="AU577" s="653"/>
      <c r="AV577" s="653"/>
    </row>
    <row r="578" spans="1:48" ht="14.5">
      <c r="A578" s="653"/>
      <c r="B578" s="653"/>
      <c r="C578" s="653"/>
      <c r="D578" s="653"/>
      <c r="E578" s="653"/>
      <c r="F578" s="653"/>
      <c r="G578" s="654"/>
      <c r="H578" s="654"/>
      <c r="I578" s="653"/>
      <c r="J578" s="653"/>
      <c r="K578" s="655"/>
      <c r="L578" s="653"/>
      <c r="M578" s="653"/>
      <c r="N578" s="653"/>
      <c r="O578" s="653"/>
      <c r="P578" s="653"/>
      <c r="Q578" s="653"/>
      <c r="R578" s="653"/>
      <c r="S578" s="653"/>
      <c r="T578" s="653"/>
      <c r="U578" s="656"/>
      <c r="V578" s="653"/>
      <c r="W578" s="653"/>
      <c r="X578" s="653"/>
      <c r="Y578" s="657"/>
      <c r="Z578" s="615"/>
      <c r="AA578" s="653"/>
      <c r="AB578" s="657"/>
      <c r="AC578" s="653"/>
      <c r="AD578" s="653"/>
      <c r="AE578" s="653"/>
      <c r="AF578" s="653"/>
      <c r="AG578" s="653"/>
      <c r="AH578" s="653"/>
      <c r="AI578" s="653"/>
      <c r="AJ578" s="653"/>
      <c r="AK578" s="653"/>
      <c r="AL578" s="653"/>
      <c r="AM578" s="653"/>
      <c r="AN578" s="653"/>
      <c r="AO578" s="653"/>
      <c r="AP578" s="653"/>
      <c r="AQ578" s="653"/>
      <c r="AR578" s="653"/>
      <c r="AS578" s="653"/>
      <c r="AT578" s="653"/>
      <c r="AU578" s="653"/>
      <c r="AV578" s="653"/>
    </row>
    <row r="579" spans="1:48" ht="14.5">
      <c r="A579" s="653"/>
      <c r="B579" s="653"/>
      <c r="C579" s="653"/>
      <c r="D579" s="653"/>
      <c r="E579" s="653"/>
      <c r="F579" s="653"/>
      <c r="G579" s="654"/>
      <c r="H579" s="654"/>
      <c r="I579" s="653"/>
      <c r="J579" s="653"/>
      <c r="K579" s="655"/>
      <c r="L579" s="653"/>
      <c r="M579" s="653"/>
      <c r="N579" s="653"/>
      <c r="O579" s="653"/>
      <c r="P579" s="653"/>
      <c r="Q579" s="653"/>
      <c r="R579" s="653"/>
      <c r="S579" s="653"/>
      <c r="T579" s="653"/>
      <c r="U579" s="656"/>
      <c r="V579" s="653"/>
      <c r="W579" s="653"/>
      <c r="X579" s="653"/>
      <c r="Y579" s="657"/>
      <c r="Z579" s="615"/>
      <c r="AA579" s="653"/>
      <c r="AB579" s="657"/>
      <c r="AC579" s="653"/>
      <c r="AD579" s="653"/>
      <c r="AE579" s="653"/>
      <c r="AF579" s="653"/>
      <c r="AG579" s="653"/>
      <c r="AH579" s="653"/>
      <c r="AI579" s="653"/>
      <c r="AJ579" s="653"/>
      <c r="AK579" s="653"/>
      <c r="AL579" s="653"/>
      <c r="AM579" s="653"/>
      <c r="AN579" s="653"/>
      <c r="AO579" s="653"/>
      <c r="AP579" s="653"/>
      <c r="AQ579" s="653"/>
      <c r="AR579" s="653"/>
      <c r="AS579" s="653"/>
      <c r="AT579" s="653"/>
      <c r="AU579" s="653"/>
      <c r="AV579" s="653"/>
    </row>
    <row r="580" spans="1:48" ht="14.5">
      <c r="A580" s="653"/>
      <c r="B580" s="653"/>
      <c r="C580" s="653"/>
      <c r="D580" s="653"/>
      <c r="E580" s="653"/>
      <c r="F580" s="653"/>
      <c r="G580" s="654"/>
      <c r="H580" s="654"/>
      <c r="I580" s="653"/>
      <c r="J580" s="653"/>
      <c r="K580" s="655"/>
      <c r="L580" s="653"/>
      <c r="M580" s="653"/>
      <c r="N580" s="653"/>
      <c r="O580" s="653"/>
      <c r="P580" s="653"/>
      <c r="Q580" s="653"/>
      <c r="R580" s="653"/>
      <c r="S580" s="653"/>
      <c r="T580" s="653"/>
      <c r="U580" s="656"/>
      <c r="V580" s="653"/>
      <c r="W580" s="653"/>
      <c r="X580" s="653"/>
      <c r="Y580" s="657"/>
      <c r="Z580" s="615"/>
      <c r="AA580" s="653"/>
      <c r="AB580" s="657"/>
      <c r="AC580" s="653"/>
      <c r="AD580" s="653"/>
      <c r="AE580" s="653"/>
      <c r="AF580" s="653"/>
      <c r="AG580" s="653"/>
      <c r="AH580" s="653"/>
      <c r="AI580" s="653"/>
      <c r="AJ580" s="653"/>
      <c r="AK580" s="653"/>
      <c r="AL580" s="653"/>
      <c r="AM580" s="653"/>
      <c r="AN580" s="653"/>
      <c r="AO580" s="653"/>
      <c r="AP580" s="653"/>
      <c r="AQ580" s="653"/>
      <c r="AR580" s="653"/>
      <c r="AS580" s="653"/>
      <c r="AT580" s="653"/>
      <c r="AU580" s="653"/>
      <c r="AV580" s="653"/>
    </row>
    <row r="581" spans="1:48" ht="14.5">
      <c r="A581" s="653"/>
      <c r="B581" s="653"/>
      <c r="C581" s="653"/>
      <c r="D581" s="653"/>
      <c r="E581" s="653"/>
      <c r="F581" s="653"/>
      <c r="G581" s="654"/>
      <c r="H581" s="654"/>
      <c r="I581" s="653"/>
      <c r="J581" s="653"/>
      <c r="K581" s="655"/>
      <c r="L581" s="653"/>
      <c r="M581" s="653"/>
      <c r="N581" s="653"/>
      <c r="O581" s="653"/>
      <c r="P581" s="653"/>
      <c r="Q581" s="653"/>
      <c r="R581" s="653"/>
      <c r="S581" s="653"/>
      <c r="T581" s="653"/>
      <c r="U581" s="656"/>
      <c r="V581" s="653"/>
      <c r="W581" s="653"/>
      <c r="X581" s="653"/>
      <c r="Y581" s="657"/>
      <c r="Z581" s="615"/>
      <c r="AA581" s="653"/>
      <c r="AB581" s="657"/>
      <c r="AC581" s="653"/>
      <c r="AD581" s="653"/>
      <c r="AE581" s="653"/>
      <c r="AF581" s="653"/>
      <c r="AG581" s="653"/>
      <c r="AH581" s="653"/>
      <c r="AI581" s="653"/>
      <c r="AJ581" s="653"/>
      <c r="AK581" s="653"/>
      <c r="AL581" s="653"/>
      <c r="AM581" s="653"/>
      <c r="AN581" s="653"/>
      <c r="AO581" s="653"/>
      <c r="AP581" s="653"/>
      <c r="AQ581" s="653"/>
      <c r="AR581" s="653"/>
      <c r="AS581" s="653"/>
      <c r="AT581" s="653"/>
      <c r="AU581" s="653"/>
      <c r="AV581" s="653"/>
    </row>
    <row r="582" spans="1:48" ht="14.5">
      <c r="A582" s="653"/>
      <c r="B582" s="653"/>
      <c r="C582" s="653"/>
      <c r="D582" s="653"/>
      <c r="E582" s="653"/>
      <c r="F582" s="653"/>
      <c r="G582" s="654"/>
      <c r="H582" s="654"/>
      <c r="I582" s="653"/>
      <c r="J582" s="653"/>
      <c r="K582" s="655"/>
      <c r="L582" s="653"/>
      <c r="M582" s="653"/>
      <c r="N582" s="653"/>
      <c r="O582" s="653"/>
      <c r="P582" s="653"/>
      <c r="Q582" s="653"/>
      <c r="R582" s="653"/>
      <c r="S582" s="653"/>
      <c r="T582" s="653"/>
      <c r="U582" s="656"/>
      <c r="V582" s="653"/>
      <c r="W582" s="653"/>
      <c r="X582" s="653"/>
      <c r="Y582" s="657"/>
      <c r="Z582" s="615"/>
      <c r="AA582" s="653"/>
      <c r="AB582" s="657"/>
      <c r="AC582" s="653"/>
      <c r="AD582" s="653"/>
      <c r="AE582" s="653"/>
      <c r="AF582" s="653"/>
      <c r="AG582" s="653"/>
      <c r="AH582" s="653"/>
      <c r="AI582" s="653"/>
      <c r="AJ582" s="653"/>
      <c r="AK582" s="653"/>
      <c r="AL582" s="653"/>
      <c r="AM582" s="653"/>
      <c r="AN582" s="653"/>
      <c r="AO582" s="653"/>
      <c r="AP582" s="653"/>
      <c r="AQ582" s="653"/>
      <c r="AR582" s="653"/>
      <c r="AS582" s="653"/>
      <c r="AT582" s="653"/>
      <c r="AU582" s="653"/>
      <c r="AV582" s="653"/>
    </row>
    <row r="583" spans="1:48" ht="14.5">
      <c r="A583" s="653"/>
      <c r="B583" s="653"/>
      <c r="C583" s="653"/>
      <c r="D583" s="653"/>
      <c r="E583" s="653"/>
      <c r="F583" s="653"/>
      <c r="G583" s="654"/>
      <c r="H583" s="654"/>
      <c r="I583" s="653"/>
      <c r="J583" s="653"/>
      <c r="K583" s="655"/>
      <c r="L583" s="653"/>
      <c r="M583" s="653"/>
      <c r="N583" s="653"/>
      <c r="O583" s="653"/>
      <c r="P583" s="653"/>
      <c r="Q583" s="653"/>
      <c r="R583" s="653"/>
      <c r="S583" s="653"/>
      <c r="T583" s="653"/>
      <c r="U583" s="656"/>
      <c r="V583" s="653"/>
      <c r="W583" s="653"/>
      <c r="X583" s="653"/>
      <c r="Y583" s="657"/>
      <c r="Z583" s="615"/>
      <c r="AA583" s="653"/>
      <c r="AB583" s="657"/>
      <c r="AC583" s="653"/>
      <c r="AD583" s="653"/>
      <c r="AE583" s="653"/>
      <c r="AF583" s="653"/>
      <c r="AG583" s="653"/>
      <c r="AH583" s="653"/>
      <c r="AI583" s="653"/>
      <c r="AJ583" s="653"/>
      <c r="AK583" s="653"/>
      <c r="AL583" s="653"/>
      <c r="AM583" s="653"/>
      <c r="AN583" s="653"/>
      <c r="AO583" s="653"/>
      <c r="AP583" s="653"/>
      <c r="AQ583" s="653"/>
      <c r="AR583" s="653"/>
      <c r="AS583" s="653"/>
      <c r="AT583" s="653"/>
      <c r="AU583" s="653"/>
      <c r="AV583" s="653"/>
    </row>
    <row r="584" spans="1:48" ht="14.5">
      <c r="A584" s="653"/>
      <c r="B584" s="653"/>
      <c r="C584" s="653"/>
      <c r="D584" s="653"/>
      <c r="E584" s="653"/>
      <c r="F584" s="653"/>
      <c r="G584" s="654"/>
      <c r="H584" s="654"/>
      <c r="I584" s="653"/>
      <c r="J584" s="653"/>
      <c r="K584" s="655"/>
      <c r="L584" s="653"/>
      <c r="M584" s="653"/>
      <c r="N584" s="653"/>
      <c r="O584" s="653"/>
      <c r="P584" s="653"/>
      <c r="Q584" s="653"/>
      <c r="R584" s="653"/>
      <c r="S584" s="653"/>
      <c r="T584" s="653"/>
      <c r="U584" s="656"/>
      <c r="V584" s="653"/>
      <c r="W584" s="653"/>
      <c r="X584" s="653"/>
      <c r="Y584" s="657"/>
      <c r="Z584" s="615"/>
      <c r="AA584" s="653"/>
      <c r="AB584" s="657"/>
      <c r="AC584" s="653"/>
      <c r="AD584" s="653"/>
      <c r="AE584" s="653"/>
      <c r="AF584" s="653"/>
      <c r="AG584" s="653"/>
      <c r="AH584" s="653"/>
      <c r="AI584" s="653"/>
      <c r="AJ584" s="653"/>
      <c r="AK584" s="653"/>
      <c r="AL584" s="653"/>
      <c r="AM584" s="653"/>
      <c r="AN584" s="653"/>
      <c r="AO584" s="653"/>
      <c r="AP584" s="653"/>
      <c r="AQ584" s="653"/>
      <c r="AR584" s="653"/>
      <c r="AS584" s="653"/>
      <c r="AT584" s="653"/>
      <c r="AU584" s="653"/>
      <c r="AV584" s="653"/>
    </row>
    <row r="585" spans="1:48" ht="14.5">
      <c r="A585" s="653"/>
      <c r="B585" s="653"/>
      <c r="C585" s="653"/>
      <c r="D585" s="653"/>
      <c r="E585" s="653"/>
      <c r="F585" s="653"/>
      <c r="G585" s="654"/>
      <c r="H585" s="654"/>
      <c r="I585" s="653"/>
      <c r="J585" s="653"/>
      <c r="K585" s="655"/>
      <c r="L585" s="653"/>
      <c r="M585" s="653"/>
      <c r="N585" s="653"/>
      <c r="O585" s="653"/>
      <c r="P585" s="653"/>
      <c r="Q585" s="653"/>
      <c r="R585" s="653"/>
      <c r="S585" s="653"/>
      <c r="T585" s="653"/>
      <c r="U585" s="656"/>
      <c r="V585" s="653"/>
      <c r="W585" s="653"/>
      <c r="X585" s="653"/>
      <c r="Y585" s="657"/>
      <c r="Z585" s="615"/>
      <c r="AA585" s="653"/>
      <c r="AB585" s="657"/>
      <c r="AC585" s="653"/>
      <c r="AD585" s="653"/>
      <c r="AE585" s="653"/>
      <c r="AF585" s="653"/>
      <c r="AG585" s="653"/>
      <c r="AH585" s="653"/>
      <c r="AI585" s="653"/>
      <c r="AJ585" s="653"/>
      <c r="AK585" s="653"/>
      <c r="AL585" s="653"/>
      <c r="AM585" s="653"/>
      <c r="AN585" s="653"/>
      <c r="AO585" s="653"/>
      <c r="AP585" s="653"/>
      <c r="AQ585" s="653"/>
      <c r="AR585" s="653"/>
      <c r="AS585" s="653"/>
      <c r="AT585" s="653"/>
      <c r="AU585" s="653"/>
      <c r="AV585" s="653"/>
    </row>
    <row r="586" spans="1:48" ht="14.5">
      <c r="A586" s="653"/>
      <c r="B586" s="653"/>
      <c r="C586" s="653"/>
      <c r="D586" s="653"/>
      <c r="E586" s="653"/>
      <c r="F586" s="653"/>
      <c r="G586" s="654"/>
      <c r="H586" s="654"/>
      <c r="I586" s="653"/>
      <c r="J586" s="653"/>
      <c r="K586" s="655"/>
      <c r="L586" s="653"/>
      <c r="M586" s="653"/>
      <c r="N586" s="653"/>
      <c r="O586" s="653"/>
      <c r="P586" s="653"/>
      <c r="Q586" s="653"/>
      <c r="R586" s="653"/>
      <c r="S586" s="653"/>
      <c r="T586" s="653"/>
      <c r="U586" s="656"/>
      <c r="V586" s="653"/>
      <c r="W586" s="653"/>
      <c r="X586" s="653"/>
      <c r="Y586" s="657"/>
      <c r="Z586" s="615"/>
      <c r="AA586" s="653"/>
      <c r="AB586" s="657"/>
      <c r="AC586" s="653"/>
      <c r="AD586" s="653"/>
      <c r="AE586" s="653"/>
      <c r="AF586" s="653"/>
      <c r="AG586" s="653"/>
      <c r="AH586" s="653"/>
      <c r="AI586" s="653"/>
      <c r="AJ586" s="653"/>
      <c r="AK586" s="653"/>
      <c r="AL586" s="653"/>
      <c r="AM586" s="653"/>
      <c r="AN586" s="653"/>
      <c r="AO586" s="653"/>
      <c r="AP586" s="653"/>
      <c r="AQ586" s="653"/>
      <c r="AR586" s="653"/>
      <c r="AS586" s="653"/>
      <c r="AT586" s="653"/>
      <c r="AU586" s="653"/>
      <c r="AV586" s="653"/>
    </row>
    <row r="587" spans="1:48" ht="14.5">
      <c r="A587" s="653"/>
      <c r="B587" s="653"/>
      <c r="C587" s="653"/>
      <c r="D587" s="653"/>
      <c r="E587" s="653"/>
      <c r="F587" s="653"/>
      <c r="G587" s="654"/>
      <c r="H587" s="654"/>
      <c r="I587" s="653"/>
      <c r="J587" s="653"/>
      <c r="K587" s="655"/>
      <c r="L587" s="653"/>
      <c r="M587" s="653"/>
      <c r="N587" s="653"/>
      <c r="O587" s="653"/>
      <c r="P587" s="653"/>
      <c r="Q587" s="653"/>
      <c r="R587" s="653"/>
      <c r="S587" s="653"/>
      <c r="T587" s="653"/>
      <c r="U587" s="656"/>
      <c r="V587" s="653"/>
      <c r="W587" s="653"/>
      <c r="X587" s="653"/>
      <c r="Y587" s="657"/>
      <c r="Z587" s="615"/>
      <c r="AA587" s="653"/>
      <c r="AB587" s="657"/>
      <c r="AC587" s="653"/>
      <c r="AD587" s="653"/>
      <c r="AE587" s="653"/>
      <c r="AF587" s="653"/>
      <c r="AG587" s="653"/>
      <c r="AH587" s="653"/>
      <c r="AI587" s="653"/>
      <c r="AJ587" s="653"/>
      <c r="AK587" s="653"/>
      <c r="AL587" s="653"/>
      <c r="AM587" s="653"/>
      <c r="AN587" s="653"/>
      <c r="AO587" s="653"/>
      <c r="AP587" s="653"/>
      <c r="AQ587" s="653"/>
      <c r="AR587" s="653"/>
      <c r="AS587" s="653"/>
      <c r="AT587" s="653"/>
      <c r="AU587" s="653"/>
      <c r="AV587" s="653"/>
    </row>
    <row r="588" spans="1:48" ht="14.5">
      <c r="A588" s="653"/>
      <c r="B588" s="653"/>
      <c r="C588" s="653"/>
      <c r="D588" s="653"/>
      <c r="E588" s="653"/>
      <c r="F588" s="653"/>
      <c r="G588" s="654"/>
      <c r="H588" s="654"/>
      <c r="I588" s="653"/>
      <c r="J588" s="653"/>
      <c r="K588" s="655"/>
      <c r="L588" s="653"/>
      <c r="M588" s="653"/>
      <c r="N588" s="653"/>
      <c r="O588" s="653"/>
      <c r="P588" s="653"/>
      <c r="Q588" s="653"/>
      <c r="R588" s="653"/>
      <c r="S588" s="653"/>
      <c r="T588" s="653"/>
      <c r="U588" s="656"/>
      <c r="V588" s="653"/>
      <c r="W588" s="653"/>
      <c r="X588" s="653"/>
      <c r="Y588" s="657"/>
      <c r="Z588" s="615"/>
      <c r="AA588" s="653"/>
      <c r="AB588" s="657"/>
      <c r="AC588" s="653"/>
      <c r="AD588" s="653"/>
      <c r="AE588" s="653"/>
      <c r="AF588" s="653"/>
      <c r="AG588" s="653"/>
      <c r="AH588" s="653"/>
      <c r="AI588" s="653"/>
      <c r="AJ588" s="653"/>
      <c r="AK588" s="653"/>
      <c r="AL588" s="653"/>
      <c r="AM588" s="653"/>
      <c r="AN588" s="653"/>
      <c r="AO588" s="653"/>
      <c r="AP588" s="653"/>
      <c r="AQ588" s="653"/>
      <c r="AR588" s="653"/>
      <c r="AS588" s="653"/>
      <c r="AT588" s="653"/>
      <c r="AU588" s="653"/>
      <c r="AV588" s="653"/>
    </row>
    <row r="589" spans="1:48" ht="14.5">
      <c r="A589" s="653"/>
      <c r="B589" s="653"/>
      <c r="C589" s="653"/>
      <c r="D589" s="653"/>
      <c r="E589" s="653"/>
      <c r="F589" s="653"/>
      <c r="G589" s="654"/>
      <c r="H589" s="654"/>
      <c r="I589" s="653"/>
      <c r="J589" s="653"/>
      <c r="K589" s="655"/>
      <c r="L589" s="653"/>
      <c r="M589" s="653"/>
      <c r="N589" s="653"/>
      <c r="O589" s="653"/>
      <c r="P589" s="653"/>
      <c r="Q589" s="653"/>
      <c r="R589" s="653"/>
      <c r="S589" s="653"/>
      <c r="T589" s="653"/>
      <c r="U589" s="656"/>
      <c r="V589" s="653"/>
      <c r="W589" s="653"/>
      <c r="X589" s="653"/>
      <c r="Y589" s="657"/>
      <c r="Z589" s="615"/>
      <c r="AA589" s="653"/>
      <c r="AB589" s="657"/>
      <c r="AC589" s="653"/>
      <c r="AD589" s="653"/>
      <c r="AE589" s="653"/>
      <c r="AF589" s="653"/>
      <c r="AG589" s="653"/>
      <c r="AH589" s="653"/>
      <c r="AI589" s="653"/>
      <c r="AJ589" s="653"/>
      <c r="AK589" s="653"/>
      <c r="AL589" s="653"/>
      <c r="AM589" s="653"/>
      <c r="AN589" s="653"/>
      <c r="AO589" s="653"/>
      <c r="AP589" s="653"/>
      <c r="AQ589" s="653"/>
      <c r="AR589" s="653"/>
      <c r="AS589" s="653"/>
      <c r="AT589" s="653"/>
      <c r="AU589" s="653"/>
      <c r="AV589" s="653"/>
    </row>
    <row r="590" spans="1:48" ht="14.5">
      <c r="A590" s="653"/>
      <c r="B590" s="653"/>
      <c r="C590" s="653"/>
      <c r="D590" s="653"/>
      <c r="E590" s="653"/>
      <c r="F590" s="653"/>
      <c r="G590" s="654"/>
      <c r="H590" s="654"/>
      <c r="I590" s="653"/>
      <c r="J590" s="653"/>
      <c r="K590" s="655"/>
      <c r="L590" s="653"/>
      <c r="M590" s="653"/>
      <c r="N590" s="653"/>
      <c r="O590" s="653"/>
      <c r="P590" s="653"/>
      <c r="Q590" s="653"/>
      <c r="R590" s="653"/>
      <c r="S590" s="653"/>
      <c r="T590" s="653"/>
      <c r="U590" s="656"/>
      <c r="V590" s="653"/>
      <c r="W590" s="653"/>
      <c r="X590" s="653"/>
      <c r="Y590" s="657"/>
      <c r="Z590" s="615"/>
      <c r="AA590" s="653"/>
      <c r="AB590" s="657"/>
      <c r="AC590" s="653"/>
      <c r="AD590" s="653"/>
      <c r="AE590" s="653"/>
      <c r="AF590" s="653"/>
      <c r="AG590" s="653"/>
      <c r="AH590" s="653"/>
      <c r="AI590" s="653"/>
      <c r="AJ590" s="653"/>
      <c r="AK590" s="653"/>
      <c r="AL590" s="653"/>
      <c r="AM590" s="653"/>
      <c r="AN590" s="653"/>
      <c r="AO590" s="653"/>
      <c r="AP590" s="653"/>
      <c r="AQ590" s="653"/>
      <c r="AR590" s="653"/>
      <c r="AS590" s="653"/>
      <c r="AT590" s="653"/>
      <c r="AU590" s="653"/>
      <c r="AV590" s="653"/>
    </row>
    <row r="591" spans="1:48" ht="14.5">
      <c r="A591" s="653"/>
      <c r="B591" s="653"/>
      <c r="C591" s="653"/>
      <c r="D591" s="653"/>
      <c r="E591" s="653"/>
      <c r="F591" s="653"/>
      <c r="G591" s="654"/>
      <c r="H591" s="654"/>
      <c r="I591" s="653"/>
      <c r="J591" s="653"/>
      <c r="K591" s="655"/>
      <c r="L591" s="653"/>
      <c r="M591" s="653"/>
      <c r="N591" s="653"/>
      <c r="O591" s="653"/>
      <c r="P591" s="653"/>
      <c r="Q591" s="653"/>
      <c r="R591" s="653"/>
      <c r="S591" s="653"/>
      <c r="T591" s="653"/>
      <c r="U591" s="656"/>
      <c r="V591" s="653"/>
      <c r="W591" s="653"/>
      <c r="X591" s="653"/>
      <c r="Y591" s="657"/>
      <c r="Z591" s="615"/>
      <c r="AA591" s="653"/>
      <c r="AB591" s="657"/>
      <c r="AC591" s="653"/>
      <c r="AD591" s="653"/>
      <c r="AE591" s="653"/>
      <c r="AF591" s="653"/>
      <c r="AG591" s="653"/>
      <c r="AH591" s="653"/>
      <c r="AI591" s="653"/>
      <c r="AJ591" s="653"/>
      <c r="AK591" s="653"/>
      <c r="AL591" s="653"/>
      <c r="AM591" s="653"/>
      <c r="AN591" s="653"/>
      <c r="AO591" s="653"/>
      <c r="AP591" s="653"/>
      <c r="AQ591" s="653"/>
      <c r="AR591" s="653"/>
      <c r="AS591" s="653"/>
      <c r="AT591" s="653"/>
      <c r="AU591" s="653"/>
      <c r="AV591" s="653"/>
    </row>
    <row r="592" spans="1:48" ht="14.5">
      <c r="A592" s="653"/>
      <c r="B592" s="653"/>
      <c r="C592" s="653"/>
      <c r="D592" s="653"/>
      <c r="E592" s="653"/>
      <c r="F592" s="653"/>
      <c r="G592" s="654"/>
      <c r="H592" s="654"/>
      <c r="I592" s="653"/>
      <c r="J592" s="653"/>
      <c r="K592" s="655"/>
      <c r="L592" s="653"/>
      <c r="M592" s="653"/>
      <c r="N592" s="653"/>
      <c r="O592" s="653"/>
      <c r="P592" s="653"/>
      <c r="Q592" s="653"/>
      <c r="R592" s="653"/>
      <c r="S592" s="653"/>
      <c r="T592" s="653"/>
      <c r="U592" s="656"/>
      <c r="V592" s="653"/>
      <c r="W592" s="653"/>
      <c r="X592" s="653"/>
      <c r="Y592" s="657"/>
      <c r="Z592" s="615"/>
      <c r="AA592" s="653"/>
      <c r="AB592" s="657"/>
      <c r="AC592" s="653"/>
      <c r="AD592" s="653"/>
      <c r="AE592" s="653"/>
      <c r="AF592" s="653"/>
      <c r="AG592" s="653"/>
      <c r="AH592" s="653"/>
      <c r="AI592" s="653"/>
      <c r="AJ592" s="653"/>
      <c r="AK592" s="653"/>
      <c r="AL592" s="653"/>
      <c r="AM592" s="653"/>
      <c r="AN592" s="653"/>
      <c r="AO592" s="653"/>
      <c r="AP592" s="653"/>
      <c r="AQ592" s="653"/>
      <c r="AR592" s="653"/>
      <c r="AS592" s="653"/>
      <c r="AT592" s="653"/>
      <c r="AU592" s="653"/>
      <c r="AV592" s="653"/>
    </row>
    <row r="593" spans="1:48" ht="14.5">
      <c r="A593" s="653"/>
      <c r="B593" s="653"/>
      <c r="C593" s="653"/>
      <c r="D593" s="653"/>
      <c r="E593" s="653"/>
      <c r="F593" s="653"/>
      <c r="G593" s="654"/>
      <c r="H593" s="654"/>
      <c r="I593" s="653"/>
      <c r="J593" s="653"/>
      <c r="K593" s="655"/>
      <c r="L593" s="653"/>
      <c r="M593" s="653"/>
      <c r="N593" s="653"/>
      <c r="O593" s="653"/>
      <c r="P593" s="653"/>
      <c r="Q593" s="653"/>
      <c r="R593" s="653"/>
      <c r="S593" s="653"/>
      <c r="T593" s="653"/>
      <c r="U593" s="656"/>
      <c r="V593" s="653"/>
      <c r="W593" s="653"/>
      <c r="X593" s="653"/>
      <c r="Y593" s="657"/>
      <c r="Z593" s="615"/>
      <c r="AA593" s="653"/>
      <c r="AB593" s="657"/>
      <c r="AC593" s="653"/>
      <c r="AD593" s="653"/>
      <c r="AE593" s="653"/>
      <c r="AF593" s="653"/>
      <c r="AG593" s="653"/>
      <c r="AH593" s="653"/>
      <c r="AI593" s="653"/>
      <c r="AJ593" s="653"/>
      <c r="AK593" s="653"/>
      <c r="AL593" s="653"/>
      <c r="AM593" s="653"/>
      <c r="AN593" s="653"/>
      <c r="AO593" s="653"/>
      <c r="AP593" s="653"/>
      <c r="AQ593" s="653"/>
      <c r="AR593" s="653"/>
      <c r="AS593" s="653"/>
      <c r="AT593" s="653"/>
      <c r="AU593" s="653"/>
      <c r="AV593" s="653"/>
    </row>
    <row r="594" spans="1:48" ht="14.5">
      <c r="A594" s="653"/>
      <c r="B594" s="653"/>
      <c r="C594" s="653"/>
      <c r="D594" s="653"/>
      <c r="E594" s="653"/>
      <c r="F594" s="653"/>
      <c r="G594" s="654"/>
      <c r="H594" s="654"/>
      <c r="I594" s="653"/>
      <c r="J594" s="653"/>
      <c r="K594" s="655"/>
      <c r="L594" s="653"/>
      <c r="M594" s="653"/>
      <c r="N594" s="653"/>
      <c r="O594" s="653"/>
      <c r="P594" s="653"/>
      <c r="Q594" s="653"/>
      <c r="R594" s="653"/>
      <c r="S594" s="653"/>
      <c r="T594" s="653"/>
      <c r="U594" s="656"/>
      <c r="V594" s="653"/>
      <c r="W594" s="653"/>
      <c r="X594" s="653"/>
      <c r="Y594" s="657"/>
      <c r="Z594" s="615"/>
      <c r="AA594" s="653"/>
      <c r="AB594" s="657"/>
      <c r="AC594" s="653"/>
      <c r="AD594" s="653"/>
      <c r="AE594" s="653"/>
      <c r="AF594" s="653"/>
      <c r="AG594" s="653"/>
      <c r="AH594" s="653"/>
      <c r="AI594" s="653"/>
      <c r="AJ594" s="653"/>
      <c r="AK594" s="653"/>
      <c r="AL594" s="653"/>
      <c r="AM594" s="653"/>
      <c r="AN594" s="653"/>
      <c r="AO594" s="653"/>
      <c r="AP594" s="653"/>
      <c r="AQ594" s="653"/>
      <c r="AR594" s="653"/>
      <c r="AS594" s="653"/>
      <c r="AT594" s="653"/>
      <c r="AU594" s="653"/>
      <c r="AV594" s="653"/>
    </row>
    <row r="595" spans="1:48" ht="14.5">
      <c r="A595" s="653"/>
      <c r="B595" s="653"/>
      <c r="C595" s="653"/>
      <c r="D595" s="653"/>
      <c r="E595" s="653"/>
      <c r="F595" s="653"/>
      <c r="G595" s="654"/>
      <c r="H595" s="654"/>
      <c r="I595" s="653"/>
      <c r="J595" s="653"/>
      <c r="K595" s="655"/>
      <c r="L595" s="653"/>
      <c r="M595" s="653"/>
      <c r="N595" s="653"/>
      <c r="O595" s="653"/>
      <c r="P595" s="653"/>
      <c r="Q595" s="653"/>
      <c r="R595" s="653"/>
      <c r="S595" s="653"/>
      <c r="T595" s="653"/>
      <c r="U595" s="656"/>
      <c r="V595" s="653"/>
      <c r="W595" s="653"/>
      <c r="X595" s="653"/>
      <c r="Y595" s="657"/>
      <c r="Z595" s="615"/>
      <c r="AA595" s="653"/>
      <c r="AB595" s="657"/>
      <c r="AC595" s="653"/>
      <c r="AD595" s="653"/>
      <c r="AE595" s="653"/>
      <c r="AF595" s="653"/>
      <c r="AG595" s="653"/>
      <c r="AH595" s="653"/>
      <c r="AI595" s="653"/>
      <c r="AJ595" s="653"/>
      <c r="AK595" s="653"/>
      <c r="AL595" s="653"/>
      <c r="AM595" s="653"/>
      <c r="AN595" s="653"/>
      <c r="AO595" s="653"/>
      <c r="AP595" s="653"/>
      <c r="AQ595" s="653"/>
      <c r="AR595" s="653"/>
      <c r="AS595" s="653"/>
      <c r="AT595" s="653"/>
      <c r="AU595" s="653"/>
      <c r="AV595" s="653"/>
    </row>
    <row r="596" spans="1:48" ht="14.5">
      <c r="A596" s="653"/>
      <c r="B596" s="653"/>
      <c r="C596" s="653"/>
      <c r="D596" s="653"/>
      <c r="E596" s="653"/>
      <c r="F596" s="653"/>
      <c r="G596" s="654"/>
      <c r="H596" s="654"/>
      <c r="I596" s="653"/>
      <c r="J596" s="653"/>
      <c r="K596" s="655"/>
      <c r="L596" s="653"/>
      <c r="M596" s="653"/>
      <c r="N596" s="653"/>
      <c r="O596" s="653"/>
      <c r="P596" s="653"/>
      <c r="Q596" s="653"/>
      <c r="R596" s="653"/>
      <c r="S596" s="653"/>
      <c r="T596" s="653"/>
      <c r="U596" s="656"/>
      <c r="V596" s="653"/>
      <c r="W596" s="653"/>
      <c r="X596" s="653"/>
      <c r="Y596" s="657"/>
      <c r="Z596" s="615"/>
      <c r="AA596" s="653"/>
      <c r="AB596" s="657"/>
      <c r="AC596" s="653"/>
      <c r="AD596" s="653"/>
      <c r="AE596" s="653"/>
      <c r="AF596" s="653"/>
      <c r="AG596" s="653"/>
      <c r="AH596" s="653"/>
      <c r="AI596" s="653"/>
      <c r="AJ596" s="653"/>
      <c r="AK596" s="653"/>
      <c r="AL596" s="653"/>
      <c r="AM596" s="653"/>
      <c r="AN596" s="653"/>
      <c r="AO596" s="653"/>
      <c r="AP596" s="653"/>
      <c r="AQ596" s="653"/>
      <c r="AR596" s="653"/>
      <c r="AS596" s="653"/>
      <c r="AT596" s="653"/>
      <c r="AU596" s="653"/>
      <c r="AV596" s="653"/>
    </row>
    <row r="597" spans="1:48" ht="14.5">
      <c r="A597" s="653"/>
      <c r="B597" s="653"/>
      <c r="C597" s="653"/>
      <c r="D597" s="653"/>
      <c r="E597" s="653"/>
      <c r="F597" s="653"/>
      <c r="G597" s="654"/>
      <c r="H597" s="654"/>
      <c r="I597" s="653"/>
      <c r="J597" s="653"/>
      <c r="K597" s="655"/>
      <c r="L597" s="653"/>
      <c r="M597" s="653"/>
      <c r="N597" s="653"/>
      <c r="O597" s="653"/>
      <c r="P597" s="653"/>
      <c r="Q597" s="653"/>
      <c r="R597" s="653"/>
      <c r="S597" s="653"/>
      <c r="T597" s="653"/>
      <c r="U597" s="656"/>
      <c r="V597" s="653"/>
      <c r="W597" s="653"/>
      <c r="X597" s="653"/>
      <c r="Y597" s="657"/>
      <c r="Z597" s="615"/>
      <c r="AA597" s="653"/>
      <c r="AB597" s="657"/>
      <c r="AC597" s="653"/>
      <c r="AD597" s="653"/>
      <c r="AE597" s="653"/>
      <c r="AF597" s="653"/>
      <c r="AG597" s="653"/>
      <c r="AH597" s="653"/>
      <c r="AI597" s="653"/>
      <c r="AJ597" s="653"/>
      <c r="AK597" s="653"/>
      <c r="AL597" s="653"/>
      <c r="AM597" s="653"/>
      <c r="AN597" s="653"/>
      <c r="AO597" s="653"/>
      <c r="AP597" s="653"/>
      <c r="AQ597" s="653"/>
      <c r="AR597" s="653"/>
      <c r="AS597" s="653"/>
      <c r="AT597" s="653"/>
      <c r="AU597" s="653"/>
      <c r="AV597" s="653"/>
    </row>
    <row r="598" spans="1:48" ht="14.5">
      <c r="A598" s="653"/>
      <c r="B598" s="653"/>
      <c r="C598" s="653"/>
      <c r="D598" s="653"/>
      <c r="E598" s="653"/>
      <c r="F598" s="653"/>
      <c r="G598" s="654"/>
      <c r="H598" s="654"/>
      <c r="I598" s="653"/>
      <c r="J598" s="653"/>
      <c r="K598" s="655"/>
      <c r="L598" s="653"/>
      <c r="M598" s="653"/>
      <c r="N598" s="653"/>
      <c r="O598" s="653"/>
      <c r="P598" s="653"/>
      <c r="Q598" s="653"/>
      <c r="R598" s="653"/>
      <c r="S598" s="653"/>
      <c r="T598" s="653"/>
      <c r="U598" s="656"/>
      <c r="V598" s="653"/>
      <c r="W598" s="653"/>
      <c r="X598" s="653"/>
      <c r="Y598" s="657"/>
      <c r="Z598" s="615"/>
      <c r="AA598" s="653"/>
      <c r="AB598" s="657"/>
      <c r="AC598" s="653"/>
      <c r="AD598" s="653"/>
      <c r="AE598" s="653"/>
      <c r="AF598" s="653"/>
      <c r="AG598" s="653"/>
      <c r="AH598" s="653"/>
      <c r="AI598" s="653"/>
      <c r="AJ598" s="653"/>
      <c r="AK598" s="653"/>
      <c r="AL598" s="653"/>
      <c r="AM598" s="653"/>
      <c r="AN598" s="653"/>
      <c r="AO598" s="653"/>
      <c r="AP598" s="653"/>
      <c r="AQ598" s="653"/>
      <c r="AR598" s="653"/>
      <c r="AS598" s="653"/>
      <c r="AT598" s="653"/>
      <c r="AU598" s="653"/>
      <c r="AV598" s="653"/>
    </row>
    <row r="599" spans="1:48" ht="14.5">
      <c r="A599" s="653"/>
      <c r="B599" s="653"/>
      <c r="C599" s="653"/>
      <c r="D599" s="653"/>
      <c r="E599" s="653"/>
      <c r="F599" s="653"/>
      <c r="G599" s="654"/>
      <c r="H599" s="654"/>
      <c r="I599" s="653"/>
      <c r="J599" s="653"/>
      <c r="K599" s="655"/>
      <c r="L599" s="653"/>
      <c r="M599" s="653"/>
      <c r="N599" s="653"/>
      <c r="O599" s="653"/>
      <c r="P599" s="653"/>
      <c r="Q599" s="653"/>
      <c r="R599" s="653"/>
      <c r="S599" s="653"/>
      <c r="T599" s="653"/>
      <c r="U599" s="656"/>
      <c r="V599" s="653"/>
      <c r="W599" s="653"/>
      <c r="X599" s="653"/>
      <c r="Y599" s="657"/>
      <c r="Z599" s="615"/>
      <c r="AA599" s="653"/>
      <c r="AB599" s="657"/>
      <c r="AC599" s="653"/>
      <c r="AD599" s="653"/>
      <c r="AE599" s="653"/>
      <c r="AF599" s="653"/>
      <c r="AG599" s="653"/>
      <c r="AH599" s="653"/>
      <c r="AI599" s="653"/>
      <c r="AJ599" s="653"/>
      <c r="AK599" s="653"/>
      <c r="AL599" s="653"/>
      <c r="AM599" s="653"/>
      <c r="AN599" s="653"/>
      <c r="AO599" s="653"/>
      <c r="AP599" s="653"/>
      <c r="AQ599" s="653"/>
      <c r="AR599" s="653"/>
      <c r="AS599" s="653"/>
      <c r="AT599" s="653"/>
      <c r="AU599" s="653"/>
      <c r="AV599" s="653"/>
    </row>
    <row r="600" spans="1:48" ht="14.5">
      <c r="A600" s="653"/>
      <c r="B600" s="653"/>
      <c r="C600" s="653"/>
      <c r="D600" s="653"/>
      <c r="E600" s="653"/>
      <c r="F600" s="653"/>
      <c r="G600" s="654"/>
      <c r="H600" s="654"/>
      <c r="I600" s="653"/>
      <c r="J600" s="653"/>
      <c r="K600" s="655"/>
      <c r="L600" s="653"/>
      <c r="M600" s="653"/>
      <c r="N600" s="653"/>
      <c r="O600" s="653"/>
      <c r="P600" s="653"/>
      <c r="Q600" s="653"/>
      <c r="R600" s="653"/>
      <c r="S600" s="653"/>
      <c r="T600" s="653"/>
      <c r="U600" s="656"/>
      <c r="V600" s="653"/>
      <c r="W600" s="653"/>
      <c r="X600" s="653"/>
      <c r="Y600" s="657"/>
      <c r="Z600" s="615"/>
      <c r="AA600" s="653"/>
      <c r="AB600" s="657"/>
      <c r="AC600" s="653"/>
      <c r="AD600" s="653"/>
      <c r="AE600" s="653"/>
      <c r="AF600" s="653"/>
      <c r="AG600" s="653"/>
      <c r="AH600" s="653"/>
      <c r="AI600" s="653"/>
      <c r="AJ600" s="653"/>
      <c r="AK600" s="653"/>
      <c r="AL600" s="653"/>
      <c r="AM600" s="653"/>
      <c r="AN600" s="653"/>
      <c r="AO600" s="653"/>
      <c r="AP600" s="653"/>
      <c r="AQ600" s="653"/>
      <c r="AR600" s="653"/>
      <c r="AS600" s="653"/>
      <c r="AT600" s="653"/>
      <c r="AU600" s="653"/>
      <c r="AV600" s="653"/>
    </row>
    <row r="601" spans="1:48" ht="14.5">
      <c r="A601" s="653"/>
      <c r="B601" s="653"/>
      <c r="C601" s="653"/>
      <c r="D601" s="653"/>
      <c r="E601" s="653"/>
      <c r="F601" s="653"/>
      <c r="G601" s="654"/>
      <c r="H601" s="654"/>
      <c r="I601" s="653"/>
      <c r="J601" s="653"/>
      <c r="K601" s="655"/>
      <c r="L601" s="653"/>
      <c r="M601" s="653"/>
      <c r="N601" s="653"/>
      <c r="O601" s="653"/>
      <c r="P601" s="653"/>
      <c r="Q601" s="653"/>
      <c r="R601" s="653"/>
      <c r="S601" s="653"/>
      <c r="T601" s="653"/>
      <c r="U601" s="656"/>
      <c r="V601" s="653"/>
      <c r="W601" s="653"/>
      <c r="X601" s="653"/>
      <c r="Y601" s="657"/>
      <c r="Z601" s="615"/>
      <c r="AA601" s="653"/>
      <c r="AB601" s="657"/>
      <c r="AC601" s="653"/>
      <c r="AD601" s="653"/>
      <c r="AE601" s="653"/>
      <c r="AF601" s="653"/>
      <c r="AG601" s="653"/>
      <c r="AH601" s="653"/>
      <c r="AI601" s="653"/>
      <c r="AJ601" s="653"/>
      <c r="AK601" s="653"/>
      <c r="AL601" s="653"/>
      <c r="AM601" s="653"/>
      <c r="AN601" s="653"/>
      <c r="AO601" s="653"/>
      <c r="AP601" s="653"/>
      <c r="AQ601" s="653"/>
      <c r="AR601" s="653"/>
      <c r="AS601" s="653"/>
      <c r="AT601" s="653"/>
      <c r="AU601" s="653"/>
      <c r="AV601" s="653"/>
    </row>
    <row r="602" spans="1:48" ht="14.5">
      <c r="A602" s="653"/>
      <c r="B602" s="653"/>
      <c r="C602" s="653"/>
      <c r="D602" s="653"/>
      <c r="E602" s="653"/>
      <c r="F602" s="653"/>
      <c r="G602" s="654"/>
      <c r="H602" s="654"/>
      <c r="I602" s="653"/>
      <c r="J602" s="653"/>
      <c r="K602" s="655"/>
      <c r="L602" s="653"/>
      <c r="M602" s="653"/>
      <c r="N602" s="653"/>
      <c r="O602" s="653"/>
      <c r="P602" s="653"/>
      <c r="Q602" s="653"/>
      <c r="R602" s="653"/>
      <c r="S602" s="653"/>
      <c r="T602" s="653"/>
      <c r="U602" s="656"/>
      <c r="V602" s="653"/>
      <c r="W602" s="653"/>
      <c r="X602" s="653"/>
      <c r="Y602" s="657"/>
      <c r="Z602" s="615"/>
      <c r="AA602" s="653"/>
      <c r="AB602" s="657"/>
      <c r="AC602" s="653"/>
      <c r="AD602" s="653"/>
      <c r="AE602" s="653"/>
      <c r="AF602" s="653"/>
      <c r="AG602" s="653"/>
      <c r="AH602" s="653"/>
      <c r="AI602" s="653"/>
      <c r="AJ602" s="653"/>
      <c r="AK602" s="653"/>
      <c r="AL602" s="653"/>
      <c r="AM602" s="653"/>
      <c r="AN602" s="653"/>
      <c r="AO602" s="653"/>
      <c r="AP602" s="653"/>
      <c r="AQ602" s="653"/>
      <c r="AR602" s="653"/>
      <c r="AS602" s="653"/>
      <c r="AT602" s="653"/>
      <c r="AU602" s="653"/>
      <c r="AV602" s="653"/>
    </row>
    <row r="603" spans="1:48" ht="14.5">
      <c r="A603" s="653"/>
      <c r="B603" s="653"/>
      <c r="C603" s="653"/>
      <c r="D603" s="653"/>
      <c r="E603" s="653"/>
      <c r="F603" s="653"/>
      <c r="G603" s="654"/>
      <c r="H603" s="654"/>
      <c r="I603" s="653"/>
      <c r="J603" s="653"/>
      <c r="K603" s="655"/>
      <c r="L603" s="653"/>
      <c r="M603" s="653"/>
      <c r="N603" s="653"/>
      <c r="O603" s="653"/>
      <c r="P603" s="653"/>
      <c r="Q603" s="653"/>
      <c r="R603" s="653"/>
      <c r="S603" s="653"/>
      <c r="T603" s="653"/>
      <c r="U603" s="656"/>
      <c r="V603" s="653"/>
      <c r="W603" s="653"/>
      <c r="X603" s="653"/>
      <c r="Y603" s="657"/>
      <c r="Z603" s="615"/>
      <c r="AA603" s="653"/>
      <c r="AB603" s="657"/>
      <c r="AC603" s="653"/>
      <c r="AD603" s="653"/>
      <c r="AE603" s="653"/>
      <c r="AF603" s="653"/>
      <c r="AG603" s="653"/>
      <c r="AH603" s="653"/>
      <c r="AI603" s="653"/>
      <c r="AJ603" s="653"/>
      <c r="AK603" s="653"/>
      <c r="AL603" s="653"/>
      <c r="AM603" s="653"/>
      <c r="AN603" s="653"/>
      <c r="AO603" s="653"/>
      <c r="AP603" s="653"/>
      <c r="AQ603" s="653"/>
      <c r="AR603" s="653"/>
      <c r="AS603" s="653"/>
      <c r="AT603" s="653"/>
      <c r="AU603" s="653"/>
      <c r="AV603" s="653"/>
    </row>
    <row r="604" spans="1:48" ht="14.5">
      <c r="A604" s="653"/>
      <c r="B604" s="653"/>
      <c r="C604" s="653"/>
      <c r="D604" s="653"/>
      <c r="E604" s="653"/>
      <c r="F604" s="653"/>
      <c r="G604" s="654"/>
      <c r="H604" s="654"/>
      <c r="I604" s="653"/>
      <c r="J604" s="653"/>
      <c r="K604" s="655"/>
      <c r="L604" s="653"/>
      <c r="M604" s="653"/>
      <c r="N604" s="653"/>
      <c r="O604" s="653"/>
      <c r="P604" s="653"/>
      <c r="Q604" s="653"/>
      <c r="R604" s="653"/>
      <c r="S604" s="653"/>
      <c r="T604" s="653"/>
      <c r="U604" s="656"/>
      <c r="V604" s="653"/>
      <c r="W604" s="653"/>
      <c r="X604" s="653"/>
      <c r="Y604" s="657"/>
      <c r="Z604" s="615"/>
      <c r="AA604" s="653"/>
      <c r="AB604" s="657"/>
      <c r="AC604" s="653"/>
      <c r="AD604" s="653"/>
      <c r="AE604" s="653"/>
      <c r="AF604" s="653"/>
      <c r="AG604" s="653"/>
      <c r="AH604" s="653"/>
      <c r="AI604" s="653"/>
      <c r="AJ604" s="653"/>
      <c r="AK604" s="653"/>
      <c r="AL604" s="653"/>
      <c r="AM604" s="653"/>
      <c r="AN604" s="653"/>
      <c r="AO604" s="653"/>
      <c r="AP604" s="653"/>
      <c r="AQ604" s="653"/>
      <c r="AR604" s="653"/>
      <c r="AS604" s="653"/>
      <c r="AT604" s="653"/>
      <c r="AU604" s="653"/>
      <c r="AV604" s="653"/>
    </row>
    <row r="605" spans="1:48" ht="14.5">
      <c r="A605" s="653"/>
      <c r="B605" s="653"/>
      <c r="C605" s="653"/>
      <c r="D605" s="653"/>
      <c r="E605" s="653"/>
      <c r="F605" s="653"/>
      <c r="G605" s="654"/>
      <c r="H605" s="654"/>
      <c r="I605" s="653"/>
      <c r="J605" s="653"/>
      <c r="K605" s="655"/>
      <c r="L605" s="653"/>
      <c r="M605" s="653"/>
      <c r="N605" s="653"/>
      <c r="O605" s="653"/>
      <c r="P605" s="653"/>
      <c r="Q605" s="653"/>
      <c r="R605" s="653"/>
      <c r="S605" s="653"/>
      <c r="T605" s="653"/>
      <c r="U605" s="656"/>
      <c r="V605" s="653"/>
      <c r="W605" s="653"/>
      <c r="X605" s="653"/>
      <c r="Y605" s="657"/>
      <c r="Z605" s="615"/>
      <c r="AA605" s="653"/>
      <c r="AB605" s="657"/>
      <c r="AC605" s="653"/>
      <c r="AD605" s="653"/>
      <c r="AE605" s="653"/>
      <c r="AF605" s="653"/>
      <c r="AG605" s="653"/>
      <c r="AH605" s="653"/>
      <c r="AI605" s="653"/>
      <c r="AJ605" s="653"/>
      <c r="AK605" s="653"/>
      <c r="AL605" s="653"/>
      <c r="AM605" s="653"/>
      <c r="AN605" s="653"/>
      <c r="AO605" s="653"/>
      <c r="AP605" s="653"/>
      <c r="AQ605" s="653"/>
      <c r="AR605" s="653"/>
      <c r="AS605" s="653"/>
      <c r="AT605" s="653"/>
      <c r="AU605" s="653"/>
      <c r="AV605" s="653"/>
    </row>
    <row r="606" spans="1:48" ht="14.5">
      <c r="A606" s="653"/>
      <c r="B606" s="653"/>
      <c r="C606" s="653"/>
      <c r="D606" s="653"/>
      <c r="E606" s="653"/>
      <c r="F606" s="653"/>
      <c r="G606" s="654"/>
      <c r="H606" s="654"/>
      <c r="I606" s="653"/>
      <c r="J606" s="653"/>
      <c r="K606" s="655"/>
      <c r="L606" s="653"/>
      <c r="M606" s="653"/>
      <c r="N606" s="653"/>
      <c r="O606" s="653"/>
      <c r="P606" s="653"/>
      <c r="Q606" s="653"/>
      <c r="R606" s="653"/>
      <c r="S606" s="653"/>
      <c r="T606" s="653"/>
      <c r="U606" s="656"/>
      <c r="V606" s="653"/>
      <c r="W606" s="653"/>
      <c r="X606" s="653"/>
      <c r="Y606" s="657"/>
      <c r="Z606" s="615"/>
      <c r="AA606" s="653"/>
      <c r="AB606" s="657"/>
      <c r="AC606" s="653"/>
      <c r="AD606" s="653"/>
      <c r="AE606" s="653"/>
      <c r="AF606" s="653"/>
      <c r="AG606" s="653"/>
      <c r="AH606" s="653"/>
      <c r="AI606" s="653"/>
      <c r="AJ606" s="653"/>
      <c r="AK606" s="653"/>
      <c r="AL606" s="653"/>
      <c r="AM606" s="653"/>
      <c r="AN606" s="653"/>
      <c r="AO606" s="653"/>
      <c r="AP606" s="653"/>
      <c r="AQ606" s="653"/>
      <c r="AR606" s="653"/>
      <c r="AS606" s="653"/>
      <c r="AT606" s="653"/>
      <c r="AU606" s="653"/>
      <c r="AV606" s="653"/>
    </row>
    <row r="607" spans="1:48" ht="14.5">
      <c r="A607" s="653"/>
      <c r="B607" s="653"/>
      <c r="C607" s="653"/>
      <c r="D607" s="653"/>
      <c r="E607" s="653"/>
      <c r="F607" s="653"/>
      <c r="G607" s="654"/>
      <c r="H607" s="654"/>
      <c r="I607" s="653"/>
      <c r="J607" s="653"/>
      <c r="K607" s="655"/>
      <c r="L607" s="653"/>
      <c r="M607" s="653"/>
      <c r="N607" s="653"/>
      <c r="O607" s="653"/>
      <c r="P607" s="653"/>
      <c r="Q607" s="653"/>
      <c r="R607" s="653"/>
      <c r="S607" s="653"/>
      <c r="T607" s="653"/>
      <c r="U607" s="656"/>
      <c r="V607" s="653"/>
      <c r="W607" s="653"/>
      <c r="X607" s="653"/>
      <c r="Y607" s="657"/>
      <c r="Z607" s="615"/>
      <c r="AA607" s="653"/>
      <c r="AB607" s="657"/>
      <c r="AC607" s="653"/>
      <c r="AD607" s="653"/>
      <c r="AE607" s="653"/>
      <c r="AF607" s="653"/>
      <c r="AG607" s="653"/>
      <c r="AH607" s="653"/>
      <c r="AI607" s="653"/>
      <c r="AJ607" s="653"/>
      <c r="AK607" s="653"/>
      <c r="AL607" s="653"/>
      <c r="AM607" s="653"/>
      <c r="AN607" s="653"/>
      <c r="AO607" s="653"/>
      <c r="AP607" s="653"/>
      <c r="AQ607" s="653"/>
      <c r="AR607" s="653"/>
      <c r="AS607" s="653"/>
      <c r="AT607" s="653"/>
      <c r="AU607" s="653"/>
      <c r="AV607" s="653"/>
    </row>
    <row r="608" spans="1:48" ht="14.5">
      <c r="A608" s="653"/>
      <c r="B608" s="653"/>
      <c r="C608" s="653"/>
      <c r="D608" s="653"/>
      <c r="E608" s="653"/>
      <c r="F608" s="653"/>
      <c r="G608" s="654"/>
      <c r="H608" s="654"/>
      <c r="I608" s="653"/>
      <c r="J608" s="653"/>
      <c r="K608" s="655"/>
      <c r="L608" s="653"/>
      <c r="M608" s="653"/>
      <c r="N608" s="653"/>
      <c r="O608" s="653"/>
      <c r="P608" s="653"/>
      <c r="Q608" s="653"/>
      <c r="R608" s="653"/>
      <c r="S608" s="653"/>
      <c r="T608" s="653"/>
      <c r="U608" s="656"/>
      <c r="V608" s="653"/>
      <c r="W608" s="653"/>
      <c r="X608" s="653"/>
      <c r="Y608" s="657"/>
      <c r="Z608" s="615"/>
      <c r="AA608" s="653"/>
      <c r="AB608" s="657"/>
      <c r="AC608" s="653"/>
      <c r="AD608" s="653"/>
      <c r="AE608" s="653"/>
      <c r="AF608" s="653"/>
      <c r="AG608" s="653"/>
      <c r="AH608" s="653"/>
      <c r="AI608" s="653"/>
      <c r="AJ608" s="653"/>
      <c r="AK608" s="653"/>
      <c r="AL608" s="653"/>
      <c r="AM608" s="653"/>
      <c r="AN608" s="653"/>
      <c r="AO608" s="653"/>
      <c r="AP608" s="653"/>
      <c r="AQ608" s="653"/>
      <c r="AR608" s="653"/>
      <c r="AS608" s="653"/>
      <c r="AT608" s="653"/>
      <c r="AU608" s="653"/>
      <c r="AV608" s="653"/>
    </row>
    <row r="609" spans="1:48" ht="14.5">
      <c r="A609" s="653"/>
      <c r="B609" s="653"/>
      <c r="C609" s="653"/>
      <c r="D609" s="653"/>
      <c r="E609" s="653"/>
      <c r="F609" s="653"/>
      <c r="G609" s="654"/>
      <c r="H609" s="654"/>
      <c r="I609" s="653"/>
      <c r="J609" s="653"/>
      <c r="K609" s="655"/>
      <c r="L609" s="653"/>
      <c r="M609" s="653"/>
      <c r="N609" s="653"/>
      <c r="O609" s="653"/>
      <c r="P609" s="653"/>
      <c r="Q609" s="653"/>
      <c r="R609" s="653"/>
      <c r="S609" s="653"/>
      <c r="T609" s="653"/>
      <c r="U609" s="656"/>
      <c r="V609" s="653"/>
      <c r="W609" s="653"/>
      <c r="X609" s="653"/>
      <c r="Y609" s="657"/>
      <c r="Z609" s="615"/>
      <c r="AA609" s="653"/>
      <c r="AB609" s="657"/>
      <c r="AC609" s="653"/>
      <c r="AD609" s="653"/>
      <c r="AE609" s="653"/>
      <c r="AF609" s="653"/>
      <c r="AG609" s="653"/>
      <c r="AH609" s="653"/>
      <c r="AI609" s="653"/>
      <c r="AJ609" s="653"/>
      <c r="AK609" s="653"/>
      <c r="AL609" s="653"/>
      <c r="AM609" s="653"/>
      <c r="AN609" s="653"/>
      <c r="AO609" s="653"/>
      <c r="AP609" s="653"/>
      <c r="AQ609" s="653"/>
      <c r="AR609" s="653"/>
      <c r="AS609" s="653"/>
      <c r="AT609" s="653"/>
      <c r="AU609" s="653"/>
      <c r="AV609" s="653"/>
    </row>
    <row r="610" spans="1:48" ht="14.5">
      <c r="A610" s="653"/>
      <c r="B610" s="653"/>
      <c r="C610" s="653"/>
      <c r="D610" s="653"/>
      <c r="E610" s="653"/>
      <c r="F610" s="653"/>
      <c r="G610" s="654"/>
      <c r="H610" s="654"/>
      <c r="I610" s="653"/>
      <c r="J610" s="653"/>
      <c r="K610" s="655"/>
      <c r="L610" s="653"/>
      <c r="M610" s="653"/>
      <c r="N610" s="653"/>
      <c r="O610" s="653"/>
      <c r="P610" s="653"/>
      <c r="Q610" s="653"/>
      <c r="R610" s="653"/>
      <c r="S610" s="653"/>
      <c r="T610" s="653"/>
      <c r="U610" s="656"/>
      <c r="V610" s="653"/>
      <c r="W610" s="653"/>
      <c r="X610" s="653"/>
      <c r="Y610" s="657"/>
      <c r="Z610" s="615"/>
      <c r="AA610" s="653"/>
      <c r="AB610" s="657"/>
      <c r="AC610" s="653"/>
      <c r="AD610" s="653"/>
      <c r="AE610" s="653"/>
      <c r="AF610" s="653"/>
      <c r="AG610" s="653"/>
      <c r="AH610" s="653"/>
      <c r="AI610" s="653"/>
      <c r="AJ610" s="653"/>
      <c r="AK610" s="653"/>
      <c r="AL610" s="653"/>
      <c r="AM610" s="653"/>
      <c r="AN610" s="653"/>
      <c r="AO610" s="653"/>
      <c r="AP610" s="653"/>
      <c r="AQ610" s="653"/>
      <c r="AR610" s="653"/>
      <c r="AS610" s="653"/>
      <c r="AT610" s="653"/>
      <c r="AU610" s="653"/>
      <c r="AV610" s="653"/>
    </row>
    <row r="611" spans="1:48" ht="14.5">
      <c r="A611" s="653"/>
      <c r="B611" s="653"/>
      <c r="C611" s="653"/>
      <c r="D611" s="653"/>
      <c r="E611" s="653"/>
      <c r="F611" s="653"/>
      <c r="G611" s="654"/>
      <c r="H611" s="654"/>
      <c r="I611" s="653"/>
      <c r="J611" s="653"/>
      <c r="K611" s="655"/>
      <c r="L611" s="653"/>
      <c r="M611" s="653"/>
      <c r="N611" s="653"/>
      <c r="O611" s="653"/>
      <c r="P611" s="653"/>
      <c r="Q611" s="653"/>
      <c r="R611" s="653"/>
      <c r="S611" s="653"/>
      <c r="T611" s="653"/>
      <c r="U611" s="656"/>
      <c r="V611" s="653"/>
      <c r="W611" s="653"/>
      <c r="X611" s="653"/>
      <c r="Y611" s="657"/>
      <c r="Z611" s="615"/>
      <c r="AA611" s="653"/>
      <c r="AB611" s="657"/>
      <c r="AC611" s="653"/>
      <c r="AD611" s="653"/>
      <c r="AE611" s="653"/>
      <c r="AF611" s="653"/>
      <c r="AG611" s="653"/>
      <c r="AH611" s="653"/>
      <c r="AI611" s="653"/>
      <c r="AJ611" s="653"/>
      <c r="AK611" s="653"/>
      <c r="AL611" s="653"/>
      <c r="AM611" s="653"/>
      <c r="AN611" s="653"/>
      <c r="AO611" s="653"/>
      <c r="AP611" s="653"/>
      <c r="AQ611" s="653"/>
      <c r="AR611" s="653"/>
      <c r="AS611" s="653"/>
      <c r="AT611" s="653"/>
      <c r="AU611" s="653"/>
      <c r="AV611" s="653"/>
    </row>
    <row r="612" spans="1:48" ht="14.5">
      <c r="A612" s="653"/>
      <c r="B612" s="653"/>
      <c r="C612" s="653"/>
      <c r="D612" s="653"/>
      <c r="E612" s="653"/>
      <c r="F612" s="653"/>
      <c r="G612" s="654"/>
      <c r="H612" s="654"/>
      <c r="I612" s="653"/>
      <c r="J612" s="653"/>
      <c r="K612" s="655"/>
      <c r="L612" s="653"/>
      <c r="M612" s="653"/>
      <c r="N612" s="653"/>
      <c r="O612" s="653"/>
      <c r="P612" s="653"/>
      <c r="Q612" s="653"/>
      <c r="R612" s="653"/>
      <c r="S612" s="653"/>
      <c r="T612" s="653"/>
      <c r="U612" s="656"/>
      <c r="V612" s="653"/>
      <c r="W612" s="653"/>
      <c r="X612" s="653"/>
      <c r="Y612" s="657"/>
      <c r="Z612" s="615"/>
      <c r="AA612" s="653"/>
      <c r="AB612" s="657"/>
      <c r="AC612" s="653"/>
      <c r="AD612" s="653"/>
      <c r="AE612" s="653"/>
      <c r="AF612" s="653"/>
      <c r="AG612" s="653"/>
      <c r="AH612" s="653"/>
      <c r="AI612" s="653"/>
      <c r="AJ612" s="653"/>
      <c r="AK612" s="653"/>
      <c r="AL612" s="653"/>
      <c r="AM612" s="653"/>
      <c r="AN612" s="653"/>
      <c r="AO612" s="653"/>
      <c r="AP612" s="653"/>
      <c r="AQ612" s="653"/>
      <c r="AR612" s="653"/>
      <c r="AS612" s="653"/>
      <c r="AT612" s="653"/>
      <c r="AU612" s="653"/>
      <c r="AV612" s="653"/>
    </row>
    <row r="613" spans="1:48" ht="14.5">
      <c r="A613" s="653"/>
      <c r="B613" s="653"/>
      <c r="C613" s="653"/>
      <c r="D613" s="653"/>
      <c r="E613" s="653"/>
      <c r="F613" s="653"/>
      <c r="G613" s="654"/>
      <c r="H613" s="654"/>
      <c r="I613" s="653"/>
      <c r="J613" s="653"/>
      <c r="K613" s="655"/>
      <c r="L613" s="653"/>
      <c r="M613" s="653"/>
      <c r="N613" s="653"/>
      <c r="O613" s="653"/>
      <c r="P613" s="653"/>
      <c r="Q613" s="653"/>
      <c r="R613" s="653"/>
      <c r="S613" s="653"/>
      <c r="T613" s="653"/>
      <c r="U613" s="656"/>
      <c r="V613" s="653"/>
      <c r="W613" s="653"/>
      <c r="X613" s="653"/>
      <c r="Y613" s="657"/>
      <c r="Z613" s="615"/>
      <c r="AA613" s="653"/>
      <c r="AB613" s="657"/>
      <c r="AC613" s="653"/>
      <c r="AD613" s="653"/>
      <c r="AE613" s="653"/>
      <c r="AF613" s="653"/>
      <c r="AG613" s="653"/>
      <c r="AH613" s="653"/>
      <c r="AI613" s="653"/>
      <c r="AJ613" s="653"/>
      <c r="AK613" s="653"/>
      <c r="AL613" s="653"/>
      <c r="AM613" s="653"/>
      <c r="AN613" s="653"/>
      <c r="AO613" s="653"/>
      <c r="AP613" s="653"/>
      <c r="AQ613" s="653"/>
      <c r="AR613" s="653"/>
      <c r="AS613" s="653"/>
      <c r="AT613" s="653"/>
      <c r="AU613" s="653"/>
      <c r="AV613" s="653"/>
    </row>
    <row r="614" spans="1:48" ht="14.5">
      <c r="A614" s="653"/>
      <c r="B614" s="653"/>
      <c r="C614" s="653"/>
      <c r="D614" s="653"/>
      <c r="E614" s="653"/>
      <c r="F614" s="653"/>
      <c r="G614" s="654"/>
      <c r="H614" s="654"/>
      <c r="I614" s="653"/>
      <c r="J614" s="653"/>
      <c r="K614" s="655"/>
      <c r="L614" s="653"/>
      <c r="M614" s="653"/>
      <c r="N614" s="653"/>
      <c r="O614" s="653"/>
      <c r="P614" s="653"/>
      <c r="Q614" s="653"/>
      <c r="R614" s="653"/>
      <c r="S614" s="653"/>
      <c r="T614" s="653"/>
      <c r="U614" s="656"/>
      <c r="V614" s="653"/>
      <c r="W614" s="653"/>
      <c r="X614" s="653"/>
      <c r="Y614" s="657"/>
      <c r="Z614" s="615"/>
      <c r="AA614" s="653"/>
      <c r="AB614" s="657"/>
      <c r="AC614" s="653"/>
      <c r="AD614" s="653"/>
      <c r="AE614" s="653"/>
      <c r="AF614" s="653"/>
      <c r="AG614" s="653"/>
      <c r="AH614" s="653"/>
      <c r="AI614" s="653"/>
      <c r="AJ614" s="653"/>
      <c r="AK614" s="653"/>
      <c r="AL614" s="653"/>
      <c r="AM614" s="653"/>
      <c r="AN614" s="653"/>
      <c r="AO614" s="653"/>
      <c r="AP614" s="653"/>
      <c r="AQ614" s="653"/>
      <c r="AR614" s="653"/>
      <c r="AS614" s="653"/>
      <c r="AT614" s="653"/>
      <c r="AU614" s="653"/>
      <c r="AV614" s="653"/>
    </row>
    <row r="615" spans="1:48" ht="14.5">
      <c r="A615" s="653"/>
      <c r="B615" s="653"/>
      <c r="C615" s="653"/>
      <c r="D615" s="653"/>
      <c r="E615" s="653"/>
      <c r="F615" s="653"/>
      <c r="G615" s="654"/>
      <c r="H615" s="654"/>
      <c r="I615" s="653"/>
      <c r="J615" s="653"/>
      <c r="K615" s="655"/>
      <c r="L615" s="653"/>
      <c r="M615" s="653"/>
      <c r="N615" s="653"/>
      <c r="O615" s="653"/>
      <c r="P615" s="653"/>
      <c r="Q615" s="653"/>
      <c r="R615" s="653"/>
      <c r="S615" s="653"/>
      <c r="T615" s="653"/>
      <c r="U615" s="656"/>
      <c r="V615" s="653"/>
      <c r="W615" s="653"/>
      <c r="X615" s="653"/>
      <c r="Y615" s="657"/>
      <c r="Z615" s="615"/>
      <c r="AA615" s="653"/>
      <c r="AB615" s="657"/>
      <c r="AC615" s="653"/>
      <c r="AD615" s="653"/>
      <c r="AE615" s="653"/>
      <c r="AF615" s="653"/>
      <c r="AG615" s="653"/>
      <c r="AH615" s="653"/>
      <c r="AI615" s="653"/>
      <c r="AJ615" s="653"/>
      <c r="AK615" s="653"/>
      <c r="AL615" s="653"/>
      <c r="AM615" s="653"/>
      <c r="AN615" s="653"/>
      <c r="AO615" s="653"/>
      <c r="AP615" s="653"/>
      <c r="AQ615" s="653"/>
      <c r="AR615" s="653"/>
      <c r="AS615" s="653"/>
      <c r="AT615" s="653"/>
      <c r="AU615" s="653"/>
      <c r="AV615" s="653"/>
    </row>
    <row r="616" spans="1:48" ht="14.5">
      <c r="A616" s="653"/>
      <c r="B616" s="653"/>
      <c r="C616" s="653"/>
      <c r="D616" s="653"/>
      <c r="E616" s="653"/>
      <c r="F616" s="653"/>
      <c r="G616" s="654"/>
      <c r="H616" s="654"/>
      <c r="I616" s="653"/>
      <c r="J616" s="653"/>
      <c r="K616" s="655"/>
      <c r="L616" s="653"/>
      <c r="M616" s="653"/>
      <c r="N616" s="653"/>
      <c r="O616" s="653"/>
      <c r="P616" s="653"/>
      <c r="Q616" s="653"/>
      <c r="R616" s="653"/>
      <c r="S616" s="653"/>
      <c r="T616" s="653"/>
      <c r="U616" s="656"/>
      <c r="V616" s="653"/>
      <c r="W616" s="653"/>
      <c r="X616" s="653"/>
      <c r="Y616" s="657"/>
      <c r="Z616" s="615"/>
      <c r="AA616" s="653"/>
      <c r="AB616" s="657"/>
      <c r="AC616" s="653"/>
      <c r="AD616" s="653"/>
      <c r="AE616" s="653"/>
      <c r="AF616" s="653"/>
      <c r="AG616" s="653"/>
      <c r="AH616" s="653"/>
      <c r="AI616" s="653"/>
      <c r="AJ616" s="653"/>
      <c r="AK616" s="653"/>
      <c r="AL616" s="653"/>
      <c r="AM616" s="653"/>
      <c r="AN616" s="653"/>
      <c r="AO616" s="653"/>
      <c r="AP616" s="653"/>
      <c r="AQ616" s="653"/>
      <c r="AR616" s="653"/>
      <c r="AS616" s="653"/>
      <c r="AT616" s="653"/>
      <c r="AU616" s="653"/>
      <c r="AV616" s="653"/>
    </row>
    <row r="617" spans="1:48" ht="14.5">
      <c r="A617" s="653"/>
      <c r="B617" s="653"/>
      <c r="C617" s="653"/>
      <c r="D617" s="653"/>
      <c r="E617" s="653"/>
      <c r="F617" s="653"/>
      <c r="G617" s="654"/>
      <c r="H617" s="654"/>
      <c r="I617" s="653"/>
      <c r="J617" s="653"/>
      <c r="K617" s="655"/>
      <c r="L617" s="653"/>
      <c r="M617" s="653"/>
      <c r="N617" s="653"/>
      <c r="O617" s="653"/>
      <c r="P617" s="653"/>
      <c r="Q617" s="653"/>
      <c r="R617" s="653"/>
      <c r="S617" s="653"/>
      <c r="T617" s="653"/>
      <c r="U617" s="656"/>
      <c r="V617" s="653"/>
      <c r="W617" s="653"/>
      <c r="X617" s="653"/>
      <c r="Y617" s="657"/>
      <c r="Z617" s="615"/>
      <c r="AA617" s="653"/>
      <c r="AB617" s="657"/>
      <c r="AC617" s="653"/>
      <c r="AD617" s="653"/>
      <c r="AE617" s="653"/>
      <c r="AF617" s="653"/>
      <c r="AG617" s="653"/>
      <c r="AH617" s="653"/>
      <c r="AI617" s="653"/>
      <c r="AJ617" s="653"/>
      <c r="AK617" s="653"/>
      <c r="AL617" s="653"/>
      <c r="AM617" s="653"/>
      <c r="AN617" s="653"/>
      <c r="AO617" s="653"/>
      <c r="AP617" s="653"/>
      <c r="AQ617" s="653"/>
      <c r="AR617" s="653"/>
      <c r="AS617" s="653"/>
      <c r="AT617" s="653"/>
      <c r="AU617" s="653"/>
      <c r="AV617" s="653"/>
    </row>
    <row r="618" spans="1:48" ht="14.5">
      <c r="A618" s="653"/>
      <c r="B618" s="653"/>
      <c r="C618" s="653"/>
      <c r="D618" s="653"/>
      <c r="E618" s="653"/>
      <c r="F618" s="653"/>
      <c r="G618" s="654"/>
      <c r="H618" s="654"/>
      <c r="I618" s="653"/>
      <c r="J618" s="653"/>
      <c r="K618" s="655"/>
      <c r="L618" s="653"/>
      <c r="M618" s="653"/>
      <c r="N618" s="653"/>
      <c r="O618" s="653"/>
      <c r="P618" s="653"/>
      <c r="Q618" s="653"/>
      <c r="R618" s="653"/>
      <c r="S618" s="653"/>
      <c r="T618" s="653"/>
      <c r="U618" s="656"/>
      <c r="V618" s="653"/>
      <c r="W618" s="653"/>
      <c r="X618" s="653"/>
      <c r="Y618" s="657"/>
      <c r="Z618" s="615"/>
      <c r="AA618" s="653"/>
      <c r="AB618" s="657"/>
      <c r="AC618" s="653"/>
      <c r="AD618" s="653"/>
      <c r="AE618" s="653"/>
      <c r="AF618" s="653"/>
      <c r="AG618" s="653"/>
      <c r="AH618" s="653"/>
      <c r="AI618" s="653"/>
      <c r="AJ618" s="653"/>
      <c r="AK618" s="653"/>
      <c r="AL618" s="653"/>
      <c r="AM618" s="653"/>
      <c r="AN618" s="653"/>
      <c r="AO618" s="653"/>
      <c r="AP618" s="653"/>
      <c r="AQ618" s="653"/>
      <c r="AR618" s="653"/>
      <c r="AS618" s="653"/>
      <c r="AT618" s="653"/>
      <c r="AU618" s="653"/>
      <c r="AV618" s="653"/>
    </row>
    <row r="619" spans="1:48" ht="14.5">
      <c r="A619" s="653"/>
      <c r="B619" s="653"/>
      <c r="C619" s="653"/>
      <c r="D619" s="653"/>
      <c r="E619" s="653"/>
      <c r="F619" s="653"/>
      <c r="G619" s="654"/>
      <c r="H619" s="654"/>
      <c r="I619" s="653"/>
      <c r="J619" s="653"/>
      <c r="K619" s="655"/>
      <c r="L619" s="653"/>
      <c r="M619" s="653"/>
      <c r="N619" s="653"/>
      <c r="O619" s="653"/>
      <c r="P619" s="653"/>
      <c r="Q619" s="653"/>
      <c r="R619" s="653"/>
      <c r="S619" s="653"/>
      <c r="T619" s="653"/>
      <c r="U619" s="656"/>
      <c r="V619" s="653"/>
      <c r="W619" s="653"/>
      <c r="X619" s="653"/>
      <c r="Y619" s="657"/>
      <c r="Z619" s="615"/>
      <c r="AA619" s="653"/>
      <c r="AB619" s="657"/>
      <c r="AC619" s="653"/>
      <c r="AD619" s="653"/>
      <c r="AE619" s="653"/>
      <c r="AF619" s="653"/>
      <c r="AG619" s="653"/>
      <c r="AH619" s="653"/>
      <c r="AI619" s="653"/>
      <c r="AJ619" s="653"/>
      <c r="AK619" s="653"/>
      <c r="AL619" s="653"/>
      <c r="AM619" s="653"/>
      <c r="AN619" s="653"/>
      <c r="AO619" s="653"/>
      <c r="AP619" s="653"/>
      <c r="AQ619" s="653"/>
      <c r="AR619" s="653"/>
      <c r="AS619" s="653"/>
      <c r="AT619" s="653"/>
      <c r="AU619" s="653"/>
      <c r="AV619" s="653"/>
    </row>
    <row r="620" spans="1:48" ht="14.5">
      <c r="A620" s="653"/>
      <c r="B620" s="653"/>
      <c r="C620" s="653"/>
      <c r="D620" s="653"/>
      <c r="E620" s="653"/>
      <c r="F620" s="653"/>
      <c r="G620" s="654"/>
      <c r="H620" s="654"/>
      <c r="I620" s="653"/>
      <c r="J620" s="653"/>
      <c r="K620" s="655"/>
      <c r="L620" s="653"/>
      <c r="M620" s="653"/>
      <c r="N620" s="653"/>
      <c r="O620" s="653"/>
      <c r="P620" s="653"/>
      <c r="Q620" s="653"/>
      <c r="R620" s="653"/>
      <c r="S620" s="653"/>
      <c r="T620" s="653"/>
      <c r="U620" s="656"/>
      <c r="V620" s="653"/>
      <c r="W620" s="653"/>
      <c r="X620" s="653"/>
      <c r="Y620" s="657"/>
      <c r="Z620" s="615"/>
      <c r="AA620" s="653"/>
      <c r="AB620" s="657"/>
      <c r="AC620" s="653"/>
      <c r="AD620" s="653"/>
      <c r="AE620" s="653"/>
      <c r="AF620" s="653"/>
      <c r="AG620" s="653"/>
      <c r="AH620" s="653"/>
      <c r="AI620" s="653"/>
      <c r="AJ620" s="653"/>
      <c r="AK620" s="653"/>
      <c r="AL620" s="653"/>
      <c r="AM620" s="653"/>
      <c r="AN620" s="653"/>
      <c r="AO620" s="653"/>
      <c r="AP620" s="653"/>
      <c r="AQ620" s="653"/>
      <c r="AR620" s="653"/>
      <c r="AS620" s="653"/>
      <c r="AT620" s="653"/>
      <c r="AU620" s="653"/>
      <c r="AV620" s="653"/>
    </row>
    <row r="621" spans="1:48" ht="14.5">
      <c r="A621" s="653"/>
      <c r="B621" s="653"/>
      <c r="C621" s="653"/>
      <c r="D621" s="653"/>
      <c r="E621" s="653"/>
      <c r="F621" s="653"/>
      <c r="G621" s="654"/>
      <c r="H621" s="654"/>
      <c r="I621" s="653"/>
      <c r="J621" s="653"/>
      <c r="K621" s="655"/>
      <c r="L621" s="653"/>
      <c r="M621" s="653"/>
      <c r="N621" s="653"/>
      <c r="O621" s="653"/>
      <c r="P621" s="653"/>
      <c r="Q621" s="653"/>
      <c r="R621" s="653"/>
      <c r="S621" s="653"/>
      <c r="T621" s="653"/>
      <c r="U621" s="656"/>
      <c r="V621" s="653"/>
      <c r="W621" s="653"/>
      <c r="X621" s="653"/>
      <c r="Y621" s="657"/>
      <c r="Z621" s="615"/>
      <c r="AA621" s="653"/>
      <c r="AB621" s="657"/>
      <c r="AC621" s="653"/>
      <c r="AD621" s="653"/>
      <c r="AE621" s="653"/>
      <c r="AF621" s="653"/>
      <c r="AG621" s="653"/>
      <c r="AH621" s="653"/>
      <c r="AI621" s="653"/>
      <c r="AJ621" s="653"/>
      <c r="AK621" s="653"/>
      <c r="AL621" s="653"/>
      <c r="AM621" s="653"/>
      <c r="AN621" s="653"/>
      <c r="AO621" s="653"/>
      <c r="AP621" s="653"/>
      <c r="AQ621" s="653"/>
      <c r="AR621" s="653"/>
      <c r="AS621" s="653"/>
      <c r="AT621" s="653"/>
      <c r="AU621" s="653"/>
      <c r="AV621" s="653"/>
    </row>
    <row r="622" spans="1:48" ht="14.5">
      <c r="A622" s="653"/>
      <c r="B622" s="653"/>
      <c r="C622" s="653"/>
      <c r="D622" s="653"/>
      <c r="E622" s="653"/>
      <c r="F622" s="653"/>
      <c r="G622" s="654"/>
      <c r="H622" s="654"/>
      <c r="I622" s="653"/>
      <c r="J622" s="653"/>
      <c r="K622" s="655"/>
      <c r="L622" s="653"/>
      <c r="M622" s="653"/>
      <c r="N622" s="653"/>
      <c r="O622" s="653"/>
      <c r="P622" s="653"/>
      <c r="Q622" s="653"/>
      <c r="R622" s="653"/>
      <c r="S622" s="653"/>
      <c r="T622" s="653"/>
      <c r="U622" s="656"/>
      <c r="V622" s="653"/>
      <c r="W622" s="653"/>
      <c r="X622" s="653"/>
      <c r="Y622" s="657"/>
      <c r="Z622" s="615"/>
      <c r="AA622" s="653"/>
      <c r="AB622" s="657"/>
      <c r="AC622" s="653"/>
      <c r="AD622" s="653"/>
      <c r="AE622" s="653"/>
      <c r="AF622" s="653"/>
      <c r="AG622" s="653"/>
      <c r="AH622" s="653"/>
      <c r="AI622" s="653"/>
      <c r="AJ622" s="653"/>
      <c r="AK622" s="653"/>
      <c r="AL622" s="653"/>
      <c r="AM622" s="653"/>
      <c r="AN622" s="653"/>
      <c r="AO622" s="653"/>
      <c r="AP622" s="653"/>
      <c r="AQ622" s="653"/>
      <c r="AR622" s="653"/>
      <c r="AS622" s="653"/>
      <c r="AT622" s="653"/>
      <c r="AU622" s="653"/>
      <c r="AV622" s="653"/>
    </row>
    <row r="623" spans="1:48" ht="14.5">
      <c r="A623" s="653"/>
      <c r="B623" s="653"/>
      <c r="C623" s="653"/>
      <c r="D623" s="653"/>
      <c r="E623" s="653"/>
      <c r="F623" s="653"/>
      <c r="G623" s="654"/>
      <c r="H623" s="654"/>
      <c r="I623" s="653"/>
      <c r="J623" s="653"/>
      <c r="K623" s="655"/>
      <c r="L623" s="653"/>
      <c r="M623" s="653"/>
      <c r="N623" s="653"/>
      <c r="O623" s="653"/>
      <c r="P623" s="653"/>
      <c r="Q623" s="653"/>
      <c r="R623" s="653"/>
      <c r="S623" s="653"/>
      <c r="T623" s="653"/>
      <c r="U623" s="656"/>
      <c r="V623" s="653"/>
      <c r="W623" s="653"/>
      <c r="X623" s="653"/>
      <c r="Y623" s="657"/>
      <c r="Z623" s="615"/>
      <c r="AA623" s="653"/>
      <c r="AB623" s="657"/>
      <c r="AC623" s="653"/>
      <c r="AD623" s="653"/>
      <c r="AE623" s="653"/>
      <c r="AF623" s="653"/>
      <c r="AG623" s="653"/>
      <c r="AH623" s="653"/>
      <c r="AI623" s="653"/>
      <c r="AJ623" s="653"/>
      <c r="AK623" s="653"/>
      <c r="AL623" s="653"/>
      <c r="AM623" s="653"/>
      <c r="AN623" s="653"/>
      <c r="AO623" s="653"/>
      <c r="AP623" s="653"/>
      <c r="AQ623" s="653"/>
      <c r="AR623" s="653"/>
      <c r="AS623" s="653"/>
      <c r="AT623" s="653"/>
      <c r="AU623" s="653"/>
      <c r="AV623" s="653"/>
    </row>
    <row r="624" spans="1:48" ht="14.5">
      <c r="A624" s="653"/>
      <c r="B624" s="653"/>
      <c r="C624" s="653"/>
      <c r="D624" s="653"/>
      <c r="E624" s="653"/>
      <c r="F624" s="653"/>
      <c r="G624" s="654"/>
      <c r="H624" s="654"/>
      <c r="I624" s="653"/>
      <c r="J624" s="653"/>
      <c r="K624" s="655"/>
      <c r="L624" s="653"/>
      <c r="M624" s="653"/>
      <c r="N624" s="653"/>
      <c r="O624" s="653"/>
      <c r="P624" s="653"/>
      <c r="Q624" s="653"/>
      <c r="R624" s="653"/>
      <c r="S624" s="653"/>
      <c r="T624" s="653"/>
      <c r="U624" s="656"/>
      <c r="V624" s="653"/>
      <c r="W624" s="653"/>
      <c r="X624" s="653"/>
      <c r="Y624" s="657"/>
      <c r="Z624" s="615"/>
      <c r="AA624" s="653"/>
      <c r="AB624" s="657"/>
      <c r="AC624" s="653"/>
      <c r="AD624" s="653"/>
      <c r="AE624" s="653"/>
      <c r="AF624" s="653"/>
      <c r="AG624" s="653"/>
      <c r="AH624" s="653"/>
      <c r="AI624" s="653"/>
      <c r="AJ624" s="653"/>
      <c r="AK624" s="653"/>
      <c r="AL624" s="653"/>
      <c r="AM624" s="653"/>
      <c r="AN624" s="653"/>
      <c r="AO624" s="653"/>
      <c r="AP624" s="653"/>
      <c r="AQ624" s="653"/>
      <c r="AR624" s="653"/>
      <c r="AS624" s="653"/>
      <c r="AT624" s="653"/>
      <c r="AU624" s="653"/>
      <c r="AV624" s="653"/>
    </row>
    <row r="625" spans="1:48" ht="14.5">
      <c r="A625" s="653"/>
      <c r="B625" s="653"/>
      <c r="C625" s="653"/>
      <c r="D625" s="653"/>
      <c r="E625" s="653"/>
      <c r="F625" s="653"/>
      <c r="G625" s="654"/>
      <c r="H625" s="654"/>
      <c r="I625" s="653"/>
      <c r="J625" s="653"/>
      <c r="K625" s="655"/>
      <c r="L625" s="653"/>
      <c r="M625" s="653"/>
      <c r="N625" s="653"/>
      <c r="O625" s="653"/>
      <c r="P625" s="653"/>
      <c r="Q625" s="653"/>
      <c r="R625" s="653"/>
      <c r="S625" s="653"/>
      <c r="T625" s="653"/>
      <c r="U625" s="656"/>
      <c r="V625" s="653"/>
      <c r="W625" s="653"/>
      <c r="X625" s="653"/>
      <c r="Y625" s="657"/>
      <c r="Z625" s="615"/>
      <c r="AA625" s="653"/>
      <c r="AB625" s="657"/>
      <c r="AC625" s="653"/>
      <c r="AD625" s="653"/>
      <c r="AE625" s="653"/>
      <c r="AF625" s="653"/>
      <c r="AG625" s="653"/>
      <c r="AH625" s="653"/>
      <c r="AI625" s="653"/>
      <c r="AJ625" s="653"/>
      <c r="AK625" s="653"/>
      <c r="AL625" s="653"/>
      <c r="AM625" s="653"/>
      <c r="AN625" s="653"/>
      <c r="AO625" s="653"/>
      <c r="AP625" s="653"/>
      <c r="AQ625" s="653"/>
      <c r="AR625" s="653"/>
      <c r="AS625" s="653"/>
      <c r="AT625" s="653"/>
      <c r="AU625" s="653"/>
      <c r="AV625" s="653"/>
    </row>
    <row r="626" spans="1:48" ht="14.5">
      <c r="A626" s="653"/>
      <c r="B626" s="653"/>
      <c r="C626" s="653"/>
      <c r="D626" s="653"/>
      <c r="E626" s="653"/>
      <c r="F626" s="653"/>
      <c r="G626" s="654"/>
      <c r="H626" s="654"/>
      <c r="I626" s="653"/>
      <c r="J626" s="653"/>
      <c r="K626" s="655"/>
      <c r="L626" s="653"/>
      <c r="M626" s="653"/>
      <c r="N626" s="653"/>
      <c r="O626" s="653"/>
      <c r="P626" s="653"/>
      <c r="Q626" s="653"/>
      <c r="R626" s="653"/>
      <c r="S626" s="653"/>
      <c r="T626" s="653"/>
      <c r="U626" s="656"/>
      <c r="V626" s="653"/>
      <c r="W626" s="653"/>
      <c r="X626" s="653"/>
      <c r="Y626" s="657"/>
      <c r="Z626" s="615"/>
      <c r="AA626" s="653"/>
      <c r="AB626" s="657"/>
      <c r="AC626" s="653"/>
      <c r="AD626" s="653"/>
      <c r="AE626" s="653"/>
      <c r="AF626" s="653"/>
      <c r="AG626" s="653"/>
      <c r="AH626" s="653"/>
      <c r="AI626" s="653"/>
      <c r="AJ626" s="653"/>
      <c r="AK626" s="653"/>
      <c r="AL626" s="653"/>
      <c r="AM626" s="653"/>
      <c r="AN626" s="653"/>
      <c r="AO626" s="653"/>
      <c r="AP626" s="653"/>
      <c r="AQ626" s="653"/>
      <c r="AR626" s="653"/>
      <c r="AS626" s="653"/>
      <c r="AT626" s="653"/>
      <c r="AU626" s="653"/>
      <c r="AV626" s="653"/>
    </row>
    <row r="627" spans="1:48" ht="14.5">
      <c r="A627" s="653"/>
      <c r="B627" s="653"/>
      <c r="C627" s="653"/>
      <c r="D627" s="653"/>
      <c r="E627" s="653"/>
      <c r="F627" s="653"/>
      <c r="G627" s="654"/>
      <c r="H627" s="654"/>
      <c r="I627" s="653"/>
      <c r="J627" s="653"/>
      <c r="K627" s="655"/>
      <c r="L627" s="653"/>
      <c r="M627" s="653"/>
      <c r="N627" s="653"/>
      <c r="O627" s="653"/>
      <c r="P627" s="653"/>
      <c r="Q627" s="653"/>
      <c r="R627" s="653"/>
      <c r="S627" s="653"/>
      <c r="T627" s="653"/>
      <c r="U627" s="656"/>
      <c r="V627" s="653"/>
      <c r="W627" s="653"/>
      <c r="X627" s="653"/>
      <c r="Y627" s="657"/>
      <c r="Z627" s="615"/>
      <c r="AA627" s="653"/>
      <c r="AB627" s="657"/>
      <c r="AC627" s="653"/>
      <c r="AD627" s="653"/>
      <c r="AE627" s="653"/>
      <c r="AF627" s="653"/>
      <c r="AG627" s="653"/>
      <c r="AH627" s="653"/>
      <c r="AI627" s="653"/>
      <c r="AJ627" s="653"/>
      <c r="AK627" s="653"/>
      <c r="AL627" s="653"/>
      <c r="AM627" s="653"/>
      <c r="AN627" s="653"/>
      <c r="AO627" s="653"/>
      <c r="AP627" s="653"/>
      <c r="AQ627" s="653"/>
      <c r="AR627" s="653"/>
      <c r="AS627" s="653"/>
      <c r="AT627" s="653"/>
      <c r="AU627" s="653"/>
      <c r="AV627" s="653"/>
    </row>
    <row r="628" spans="1:48" ht="14.5">
      <c r="A628" s="653"/>
      <c r="B628" s="653"/>
      <c r="C628" s="653"/>
      <c r="D628" s="653"/>
      <c r="E628" s="653"/>
      <c r="F628" s="653"/>
      <c r="G628" s="654"/>
      <c r="H628" s="654"/>
      <c r="I628" s="653"/>
      <c r="J628" s="653"/>
      <c r="K628" s="655"/>
      <c r="L628" s="653"/>
      <c r="M628" s="653"/>
      <c r="N628" s="653"/>
      <c r="O628" s="653"/>
      <c r="P628" s="653"/>
      <c r="Q628" s="653"/>
      <c r="R628" s="653"/>
      <c r="S628" s="653"/>
      <c r="T628" s="653"/>
      <c r="U628" s="656"/>
      <c r="V628" s="653"/>
      <c r="W628" s="653"/>
      <c r="X628" s="653"/>
      <c r="Y628" s="657"/>
      <c r="Z628" s="615"/>
      <c r="AA628" s="653"/>
      <c r="AB628" s="657"/>
      <c r="AC628" s="653"/>
      <c r="AD628" s="653"/>
      <c r="AE628" s="653"/>
      <c r="AF628" s="653"/>
      <c r="AG628" s="653"/>
      <c r="AH628" s="653"/>
      <c r="AI628" s="653"/>
      <c r="AJ628" s="653"/>
      <c r="AK628" s="653"/>
      <c r="AL628" s="653"/>
      <c r="AM628" s="653"/>
      <c r="AN628" s="653"/>
      <c r="AO628" s="653"/>
      <c r="AP628" s="653"/>
      <c r="AQ628" s="653"/>
      <c r="AR628" s="653"/>
      <c r="AS628" s="653"/>
      <c r="AT628" s="653"/>
      <c r="AU628" s="653"/>
      <c r="AV628" s="653"/>
    </row>
    <row r="629" spans="1:48" ht="14.5">
      <c r="A629" s="653"/>
      <c r="B629" s="653"/>
      <c r="C629" s="653"/>
      <c r="D629" s="653"/>
      <c r="E629" s="653"/>
      <c r="F629" s="653"/>
      <c r="G629" s="654"/>
      <c r="H629" s="654"/>
      <c r="I629" s="653"/>
      <c r="J629" s="653"/>
      <c r="K629" s="655"/>
      <c r="L629" s="653"/>
      <c r="M629" s="653"/>
      <c r="N629" s="653"/>
      <c r="O629" s="653"/>
      <c r="P629" s="653"/>
      <c r="Q629" s="653"/>
      <c r="R629" s="653"/>
      <c r="S629" s="653"/>
      <c r="T629" s="653"/>
      <c r="U629" s="656"/>
      <c r="V629" s="653"/>
      <c r="W629" s="653"/>
      <c r="X629" s="653"/>
      <c r="Y629" s="657"/>
      <c r="Z629" s="615"/>
      <c r="AA629" s="653"/>
      <c r="AB629" s="657"/>
      <c r="AC629" s="653"/>
      <c r="AD629" s="653"/>
      <c r="AE629" s="653"/>
      <c r="AF629" s="653"/>
      <c r="AG629" s="653"/>
      <c r="AH629" s="653"/>
      <c r="AI629" s="653"/>
      <c r="AJ629" s="653"/>
      <c r="AK629" s="653"/>
      <c r="AL629" s="653"/>
      <c r="AM629" s="653"/>
      <c r="AN629" s="653"/>
      <c r="AO629" s="653"/>
      <c r="AP629" s="653"/>
      <c r="AQ629" s="653"/>
      <c r="AR629" s="653"/>
      <c r="AS629" s="653"/>
      <c r="AT629" s="653"/>
      <c r="AU629" s="653"/>
      <c r="AV629" s="653"/>
    </row>
    <row r="630" spans="1:48" ht="14.5">
      <c r="A630" s="653"/>
      <c r="B630" s="653"/>
      <c r="C630" s="653"/>
      <c r="D630" s="653"/>
      <c r="E630" s="653"/>
      <c r="F630" s="653"/>
      <c r="G630" s="654"/>
      <c r="H630" s="654"/>
      <c r="I630" s="653"/>
      <c r="J630" s="653"/>
      <c r="K630" s="655"/>
      <c r="L630" s="653"/>
      <c r="M630" s="653"/>
      <c r="N630" s="653"/>
      <c r="O630" s="653"/>
      <c r="P630" s="653"/>
      <c r="Q630" s="653"/>
      <c r="R630" s="653"/>
      <c r="S630" s="653"/>
      <c r="T630" s="653"/>
      <c r="U630" s="656"/>
      <c r="V630" s="653"/>
      <c r="W630" s="653"/>
      <c r="X630" s="653"/>
      <c r="Y630" s="657"/>
      <c r="Z630" s="615"/>
      <c r="AA630" s="653"/>
      <c r="AB630" s="657"/>
      <c r="AC630" s="653"/>
      <c r="AD630" s="653"/>
      <c r="AE630" s="653"/>
      <c r="AF630" s="653"/>
      <c r="AG630" s="653"/>
      <c r="AH630" s="653"/>
      <c r="AI630" s="653"/>
      <c r="AJ630" s="653"/>
      <c r="AK630" s="653"/>
      <c r="AL630" s="653"/>
      <c r="AM630" s="653"/>
      <c r="AN630" s="653"/>
      <c r="AO630" s="653"/>
      <c r="AP630" s="653"/>
      <c r="AQ630" s="653"/>
      <c r="AR630" s="653"/>
      <c r="AS630" s="653"/>
      <c r="AT630" s="653"/>
      <c r="AU630" s="653"/>
      <c r="AV630" s="653"/>
    </row>
    <row r="631" spans="1:48" ht="14.5">
      <c r="A631" s="653"/>
      <c r="B631" s="653"/>
      <c r="C631" s="653"/>
      <c r="D631" s="653"/>
      <c r="E631" s="653"/>
      <c r="F631" s="653"/>
      <c r="G631" s="654"/>
      <c r="H631" s="654"/>
      <c r="I631" s="653"/>
      <c r="J631" s="653"/>
      <c r="K631" s="655"/>
      <c r="L631" s="653"/>
      <c r="M631" s="653"/>
      <c r="N631" s="653"/>
      <c r="O631" s="653"/>
      <c r="P631" s="653"/>
      <c r="Q631" s="653"/>
      <c r="R631" s="653"/>
      <c r="S631" s="653"/>
      <c r="T631" s="653"/>
      <c r="U631" s="656"/>
      <c r="V631" s="653"/>
      <c r="W631" s="653"/>
      <c r="X631" s="653"/>
      <c r="Y631" s="657"/>
      <c r="Z631" s="615"/>
      <c r="AA631" s="653"/>
      <c r="AB631" s="657"/>
      <c r="AC631" s="653"/>
      <c r="AD631" s="653"/>
      <c r="AE631" s="653"/>
      <c r="AF631" s="653"/>
      <c r="AG631" s="653"/>
      <c r="AH631" s="653"/>
      <c r="AI631" s="653"/>
      <c r="AJ631" s="653"/>
      <c r="AK631" s="653"/>
      <c r="AL631" s="653"/>
      <c r="AM631" s="653"/>
      <c r="AN631" s="653"/>
      <c r="AO631" s="653"/>
      <c r="AP631" s="653"/>
      <c r="AQ631" s="653"/>
      <c r="AR631" s="653"/>
      <c r="AS631" s="653"/>
      <c r="AT631" s="653"/>
      <c r="AU631" s="653"/>
      <c r="AV631" s="653"/>
    </row>
    <row r="632" spans="1:48" ht="14.5">
      <c r="A632" s="653"/>
      <c r="B632" s="653"/>
      <c r="C632" s="653"/>
      <c r="D632" s="653"/>
      <c r="E632" s="653"/>
      <c r="F632" s="653"/>
      <c r="G632" s="654"/>
      <c r="H632" s="654"/>
      <c r="I632" s="653"/>
      <c r="J632" s="653"/>
      <c r="K632" s="655"/>
      <c r="L632" s="653"/>
      <c r="M632" s="653"/>
      <c r="N632" s="653"/>
      <c r="O632" s="653"/>
      <c r="P632" s="653"/>
      <c r="Q632" s="653"/>
      <c r="R632" s="653"/>
      <c r="S632" s="653"/>
      <c r="T632" s="653"/>
      <c r="U632" s="656"/>
      <c r="V632" s="653"/>
      <c r="W632" s="653"/>
      <c r="X632" s="653"/>
      <c r="Y632" s="657"/>
      <c r="Z632" s="615"/>
      <c r="AA632" s="653"/>
      <c r="AB632" s="657"/>
      <c r="AC632" s="653"/>
      <c r="AD632" s="653"/>
      <c r="AE632" s="653"/>
      <c r="AF632" s="653"/>
      <c r="AG632" s="653"/>
      <c r="AH632" s="653"/>
      <c r="AI632" s="653"/>
      <c r="AJ632" s="653"/>
      <c r="AK632" s="653"/>
      <c r="AL632" s="653"/>
      <c r="AM632" s="653"/>
      <c r="AN632" s="653"/>
      <c r="AO632" s="653"/>
      <c r="AP632" s="653"/>
      <c r="AQ632" s="653"/>
      <c r="AR632" s="653"/>
      <c r="AS632" s="653"/>
      <c r="AT632" s="653"/>
      <c r="AU632" s="653"/>
      <c r="AV632" s="653"/>
    </row>
    <row r="633" spans="1:48" ht="14.5">
      <c r="A633" s="653"/>
      <c r="B633" s="653"/>
      <c r="C633" s="653"/>
      <c r="D633" s="653"/>
      <c r="E633" s="653"/>
      <c r="F633" s="653"/>
      <c r="G633" s="654"/>
      <c r="H633" s="654"/>
      <c r="I633" s="653"/>
      <c r="J633" s="653"/>
      <c r="K633" s="655"/>
      <c r="L633" s="653"/>
      <c r="M633" s="653"/>
      <c r="N633" s="653"/>
      <c r="O633" s="653"/>
      <c r="P633" s="653"/>
      <c r="Q633" s="653"/>
      <c r="R633" s="653"/>
      <c r="S633" s="653"/>
      <c r="T633" s="653"/>
      <c r="U633" s="656"/>
      <c r="V633" s="653"/>
      <c r="W633" s="653"/>
      <c r="X633" s="653"/>
      <c r="Y633" s="657"/>
      <c r="Z633" s="615"/>
      <c r="AA633" s="653"/>
      <c r="AB633" s="657"/>
      <c r="AC633" s="653"/>
      <c r="AD633" s="653"/>
      <c r="AE633" s="653"/>
      <c r="AF633" s="653"/>
      <c r="AG633" s="653"/>
      <c r="AH633" s="653"/>
      <c r="AI633" s="653"/>
      <c r="AJ633" s="653"/>
      <c r="AK633" s="653"/>
      <c r="AL633" s="653"/>
      <c r="AM633" s="653"/>
      <c r="AN633" s="653"/>
      <c r="AO633" s="653"/>
      <c r="AP633" s="653"/>
      <c r="AQ633" s="653"/>
      <c r="AR633" s="653"/>
      <c r="AS633" s="653"/>
      <c r="AT633" s="653"/>
      <c r="AU633" s="653"/>
      <c r="AV633" s="653"/>
    </row>
    <row r="634" spans="1:48" ht="14.5">
      <c r="A634" s="653"/>
      <c r="B634" s="653"/>
      <c r="C634" s="653"/>
      <c r="D634" s="653"/>
      <c r="E634" s="653"/>
      <c r="F634" s="653"/>
      <c r="G634" s="654"/>
      <c r="H634" s="654"/>
      <c r="I634" s="653"/>
      <c r="J634" s="653"/>
      <c r="K634" s="655"/>
      <c r="L634" s="653"/>
      <c r="M634" s="653"/>
      <c r="N634" s="653"/>
      <c r="O634" s="653"/>
      <c r="P634" s="653"/>
      <c r="Q634" s="653"/>
      <c r="R634" s="653"/>
      <c r="S634" s="653"/>
      <c r="T634" s="653"/>
      <c r="U634" s="656"/>
      <c r="V634" s="653"/>
      <c r="W634" s="653"/>
      <c r="X634" s="653"/>
      <c r="Y634" s="657"/>
      <c r="Z634" s="615"/>
      <c r="AA634" s="653"/>
      <c r="AB634" s="657"/>
      <c r="AC634" s="653"/>
      <c r="AD634" s="653"/>
      <c r="AE634" s="653"/>
      <c r="AF634" s="653"/>
      <c r="AG634" s="653"/>
      <c r="AH634" s="653"/>
      <c r="AI634" s="653"/>
      <c r="AJ634" s="653"/>
      <c r="AK634" s="653"/>
      <c r="AL634" s="653"/>
      <c r="AM634" s="653"/>
      <c r="AN634" s="653"/>
      <c r="AO634" s="653"/>
      <c r="AP634" s="653"/>
      <c r="AQ634" s="653"/>
      <c r="AR634" s="653"/>
      <c r="AS634" s="653"/>
      <c r="AT634" s="653"/>
      <c r="AU634" s="653"/>
      <c r="AV634" s="653"/>
    </row>
    <row r="635" spans="1:48" ht="14.5">
      <c r="A635" s="653"/>
      <c r="B635" s="653"/>
      <c r="C635" s="653"/>
      <c r="D635" s="653"/>
      <c r="E635" s="653"/>
      <c r="F635" s="653"/>
      <c r="G635" s="654"/>
      <c r="H635" s="654"/>
      <c r="I635" s="653"/>
      <c r="J635" s="653"/>
      <c r="K635" s="655"/>
      <c r="L635" s="653"/>
      <c r="M635" s="653"/>
      <c r="N635" s="653"/>
      <c r="O635" s="653"/>
      <c r="P635" s="653"/>
      <c r="Q635" s="653"/>
      <c r="R635" s="653"/>
      <c r="S635" s="653"/>
      <c r="T635" s="653"/>
      <c r="U635" s="656"/>
      <c r="V635" s="653"/>
      <c r="W635" s="653"/>
      <c r="X635" s="653"/>
      <c r="Y635" s="657"/>
      <c r="Z635" s="615"/>
      <c r="AA635" s="653"/>
      <c r="AB635" s="657"/>
      <c r="AC635" s="653"/>
      <c r="AD635" s="653"/>
      <c r="AE635" s="653"/>
      <c r="AF635" s="653"/>
      <c r="AG635" s="653"/>
      <c r="AH635" s="653"/>
      <c r="AI635" s="653"/>
      <c r="AJ635" s="653"/>
      <c r="AK635" s="653"/>
      <c r="AL635" s="653"/>
      <c r="AM635" s="653"/>
      <c r="AN635" s="653"/>
      <c r="AO635" s="653"/>
      <c r="AP635" s="653"/>
      <c r="AQ635" s="653"/>
      <c r="AR635" s="653"/>
      <c r="AS635" s="653"/>
      <c r="AT635" s="653"/>
      <c r="AU635" s="653"/>
      <c r="AV635" s="653"/>
    </row>
    <row r="636" spans="1:48" ht="14.5">
      <c r="A636" s="653"/>
      <c r="B636" s="653"/>
      <c r="C636" s="653"/>
      <c r="D636" s="653"/>
      <c r="E636" s="653"/>
      <c r="F636" s="653"/>
      <c r="G636" s="654"/>
      <c r="H636" s="654"/>
      <c r="I636" s="653"/>
      <c r="J636" s="653"/>
      <c r="K636" s="655"/>
      <c r="L636" s="653"/>
      <c r="M636" s="653"/>
      <c r="N636" s="653"/>
      <c r="O636" s="653"/>
      <c r="P636" s="653"/>
      <c r="Q636" s="653"/>
      <c r="R636" s="653"/>
      <c r="S636" s="653"/>
      <c r="T636" s="653"/>
      <c r="U636" s="656"/>
      <c r="V636" s="653"/>
      <c r="W636" s="653"/>
      <c r="X636" s="653"/>
      <c r="Y636" s="657"/>
      <c r="Z636" s="615"/>
      <c r="AA636" s="653"/>
      <c r="AB636" s="657"/>
      <c r="AC636" s="653"/>
      <c r="AD636" s="653"/>
      <c r="AE636" s="653"/>
      <c r="AF636" s="653"/>
      <c r="AG636" s="653"/>
      <c r="AH636" s="653"/>
      <c r="AI636" s="653"/>
      <c r="AJ636" s="653"/>
      <c r="AK636" s="653"/>
      <c r="AL636" s="653"/>
      <c r="AM636" s="653"/>
      <c r="AN636" s="653"/>
      <c r="AO636" s="653"/>
      <c r="AP636" s="653"/>
      <c r="AQ636" s="653"/>
      <c r="AR636" s="653"/>
      <c r="AS636" s="653"/>
      <c r="AT636" s="653"/>
      <c r="AU636" s="653"/>
      <c r="AV636" s="653"/>
    </row>
    <row r="637" spans="1:48" ht="14.5">
      <c r="A637" s="653"/>
      <c r="B637" s="653"/>
      <c r="C637" s="653"/>
      <c r="D637" s="653"/>
      <c r="E637" s="653"/>
      <c r="F637" s="653"/>
      <c r="G637" s="654"/>
      <c r="H637" s="654"/>
      <c r="I637" s="653"/>
      <c r="J637" s="653"/>
      <c r="K637" s="655"/>
      <c r="L637" s="653"/>
      <c r="M637" s="653"/>
      <c r="N637" s="653"/>
      <c r="O637" s="653"/>
      <c r="P637" s="653"/>
      <c r="Q637" s="653"/>
      <c r="R637" s="653"/>
      <c r="S637" s="653"/>
      <c r="T637" s="653"/>
      <c r="U637" s="656"/>
      <c r="V637" s="653"/>
      <c r="W637" s="653"/>
      <c r="X637" s="653"/>
      <c r="Y637" s="657"/>
      <c r="Z637" s="615"/>
      <c r="AA637" s="653"/>
      <c r="AB637" s="657"/>
      <c r="AC637" s="653"/>
      <c r="AD637" s="653"/>
      <c r="AE637" s="653"/>
      <c r="AF637" s="653"/>
      <c r="AG637" s="653"/>
      <c r="AH637" s="653"/>
      <c r="AI637" s="653"/>
      <c r="AJ637" s="653"/>
      <c r="AK637" s="653"/>
      <c r="AL637" s="653"/>
      <c r="AM637" s="653"/>
      <c r="AN637" s="653"/>
      <c r="AO637" s="653"/>
      <c r="AP637" s="653"/>
      <c r="AQ637" s="653"/>
      <c r="AR637" s="653"/>
      <c r="AS637" s="653"/>
      <c r="AT637" s="653"/>
      <c r="AU637" s="653"/>
      <c r="AV637" s="653"/>
    </row>
    <row r="638" spans="1:48" ht="14.5">
      <c r="A638" s="653"/>
      <c r="B638" s="653"/>
      <c r="C638" s="653"/>
      <c r="D638" s="653"/>
      <c r="E638" s="653"/>
      <c r="F638" s="653"/>
      <c r="G638" s="654"/>
      <c r="H638" s="654"/>
      <c r="I638" s="653"/>
      <c r="J638" s="653"/>
      <c r="K638" s="655"/>
      <c r="L638" s="653"/>
      <c r="M638" s="653"/>
      <c r="N638" s="653"/>
      <c r="O638" s="653"/>
      <c r="P638" s="653"/>
      <c r="Q638" s="653"/>
      <c r="R638" s="653"/>
      <c r="S638" s="653"/>
      <c r="T638" s="653"/>
      <c r="U638" s="656"/>
      <c r="V638" s="653"/>
      <c r="W638" s="653"/>
      <c r="X638" s="653"/>
      <c r="Y638" s="657"/>
      <c r="Z638" s="615"/>
      <c r="AA638" s="653"/>
      <c r="AB638" s="657"/>
      <c r="AC638" s="653"/>
      <c r="AD638" s="653"/>
      <c r="AE638" s="653"/>
      <c r="AF638" s="653"/>
      <c r="AG638" s="653"/>
      <c r="AH638" s="653"/>
      <c r="AI638" s="653"/>
      <c r="AJ638" s="653"/>
      <c r="AK638" s="653"/>
      <c r="AL638" s="653"/>
      <c r="AM638" s="653"/>
      <c r="AN638" s="653"/>
      <c r="AO638" s="653"/>
      <c r="AP638" s="653"/>
      <c r="AQ638" s="653"/>
      <c r="AR638" s="653"/>
      <c r="AS638" s="653"/>
      <c r="AT638" s="653"/>
      <c r="AU638" s="653"/>
      <c r="AV638" s="653"/>
    </row>
    <row r="639" spans="1:48" ht="14.5">
      <c r="A639" s="653"/>
      <c r="B639" s="653"/>
      <c r="C639" s="653"/>
      <c r="D639" s="653"/>
      <c r="E639" s="653"/>
      <c r="F639" s="653"/>
      <c r="G639" s="654"/>
      <c r="H639" s="654"/>
      <c r="I639" s="653"/>
      <c r="J639" s="653"/>
      <c r="K639" s="655"/>
      <c r="L639" s="653"/>
      <c r="M639" s="653"/>
      <c r="N639" s="653"/>
      <c r="O639" s="653"/>
      <c r="P639" s="653"/>
      <c r="Q639" s="653"/>
      <c r="R639" s="653"/>
      <c r="S639" s="653"/>
      <c r="T639" s="653"/>
      <c r="U639" s="656"/>
      <c r="V639" s="653"/>
      <c r="W639" s="653"/>
      <c r="X639" s="653"/>
      <c r="Y639" s="657"/>
      <c r="Z639" s="615"/>
      <c r="AA639" s="653"/>
      <c r="AB639" s="657"/>
      <c r="AC639" s="653"/>
      <c r="AD639" s="653"/>
      <c r="AE639" s="653"/>
      <c r="AF639" s="653"/>
      <c r="AG639" s="653"/>
      <c r="AH639" s="653"/>
      <c r="AI639" s="653"/>
      <c r="AJ639" s="653"/>
      <c r="AK639" s="653"/>
      <c r="AL639" s="653"/>
      <c r="AM639" s="653"/>
      <c r="AN639" s="653"/>
      <c r="AO639" s="653"/>
      <c r="AP639" s="653"/>
      <c r="AQ639" s="653"/>
      <c r="AR639" s="653"/>
      <c r="AS639" s="653"/>
      <c r="AT639" s="653"/>
      <c r="AU639" s="653"/>
      <c r="AV639" s="653"/>
    </row>
    <row r="640" spans="1:48" ht="14.5">
      <c r="A640" s="653"/>
      <c r="B640" s="653"/>
      <c r="C640" s="653"/>
      <c r="D640" s="653"/>
      <c r="E640" s="653"/>
      <c r="F640" s="653"/>
      <c r="G640" s="654"/>
      <c r="H640" s="654"/>
      <c r="I640" s="653"/>
      <c r="J640" s="653"/>
      <c r="K640" s="655"/>
      <c r="L640" s="653"/>
      <c r="M640" s="653"/>
      <c r="N640" s="653"/>
      <c r="O640" s="653"/>
      <c r="P640" s="653"/>
      <c r="Q640" s="653"/>
      <c r="R640" s="653"/>
      <c r="S640" s="653"/>
      <c r="T640" s="653"/>
      <c r="U640" s="656"/>
      <c r="V640" s="653"/>
      <c r="W640" s="653"/>
      <c r="X640" s="653"/>
      <c r="Y640" s="657"/>
      <c r="Z640" s="615"/>
      <c r="AA640" s="653"/>
      <c r="AB640" s="657"/>
      <c r="AC640" s="653"/>
      <c r="AD640" s="653"/>
      <c r="AE640" s="653"/>
      <c r="AF640" s="653"/>
      <c r="AG640" s="653"/>
      <c r="AH640" s="653"/>
      <c r="AI640" s="653"/>
      <c r="AJ640" s="653"/>
      <c r="AK640" s="653"/>
      <c r="AL640" s="653"/>
      <c r="AM640" s="653"/>
      <c r="AN640" s="653"/>
      <c r="AO640" s="653"/>
      <c r="AP640" s="653"/>
      <c r="AQ640" s="653"/>
      <c r="AR640" s="653"/>
      <c r="AS640" s="653"/>
      <c r="AT640" s="653"/>
      <c r="AU640" s="653"/>
      <c r="AV640" s="653"/>
    </row>
    <row r="641" spans="1:48" ht="14.5">
      <c r="A641" s="653"/>
      <c r="B641" s="653"/>
      <c r="C641" s="653"/>
      <c r="D641" s="653"/>
      <c r="E641" s="653"/>
      <c r="F641" s="653"/>
      <c r="G641" s="654"/>
      <c r="H641" s="654"/>
      <c r="I641" s="653"/>
      <c r="J641" s="653"/>
      <c r="K641" s="655"/>
      <c r="L641" s="653"/>
      <c r="M641" s="653"/>
      <c r="N641" s="653"/>
      <c r="O641" s="653"/>
      <c r="P641" s="653"/>
      <c r="Q641" s="653"/>
      <c r="R641" s="653"/>
      <c r="S641" s="653"/>
      <c r="T641" s="653"/>
      <c r="U641" s="656"/>
      <c r="V641" s="653"/>
      <c r="W641" s="653"/>
      <c r="X641" s="653"/>
      <c r="Y641" s="657"/>
      <c r="Z641" s="615"/>
      <c r="AA641" s="653"/>
      <c r="AB641" s="657"/>
      <c r="AC641" s="653"/>
      <c r="AD641" s="653"/>
      <c r="AE641" s="653"/>
      <c r="AF641" s="653"/>
      <c r="AG641" s="653"/>
      <c r="AH641" s="653"/>
      <c r="AI641" s="653"/>
      <c r="AJ641" s="653"/>
      <c r="AK641" s="653"/>
      <c r="AL641" s="653"/>
      <c r="AM641" s="653"/>
      <c r="AN641" s="653"/>
      <c r="AO641" s="653"/>
      <c r="AP641" s="653"/>
      <c r="AQ641" s="653"/>
      <c r="AR641" s="653"/>
      <c r="AS641" s="653"/>
      <c r="AT641" s="653"/>
      <c r="AU641" s="653"/>
      <c r="AV641" s="653"/>
    </row>
    <row r="642" spans="1:48" ht="14.5">
      <c r="A642" s="653"/>
      <c r="B642" s="653"/>
      <c r="C642" s="653"/>
      <c r="D642" s="653"/>
      <c r="E642" s="653"/>
      <c r="F642" s="653"/>
      <c r="G642" s="654"/>
      <c r="H642" s="654"/>
      <c r="I642" s="653"/>
      <c r="J642" s="653"/>
      <c r="K642" s="655"/>
      <c r="L642" s="653"/>
      <c r="M642" s="653"/>
      <c r="N642" s="653"/>
      <c r="O642" s="653"/>
      <c r="P642" s="653"/>
      <c r="Q642" s="653"/>
      <c r="R642" s="653"/>
      <c r="S642" s="653"/>
      <c r="T642" s="653"/>
      <c r="U642" s="656"/>
      <c r="V642" s="653"/>
      <c r="W642" s="653"/>
      <c r="X642" s="653"/>
      <c r="Y642" s="657"/>
      <c r="Z642" s="615"/>
      <c r="AA642" s="653"/>
      <c r="AB642" s="657"/>
      <c r="AC642" s="653"/>
      <c r="AD642" s="653"/>
      <c r="AE642" s="653"/>
      <c r="AF642" s="653"/>
      <c r="AG642" s="653"/>
      <c r="AH642" s="653"/>
      <c r="AI642" s="653"/>
      <c r="AJ642" s="653"/>
      <c r="AK642" s="653"/>
      <c r="AL642" s="653"/>
      <c r="AM642" s="653"/>
      <c r="AN642" s="653"/>
      <c r="AO642" s="653"/>
      <c r="AP642" s="653"/>
      <c r="AQ642" s="653"/>
      <c r="AR642" s="653"/>
      <c r="AS642" s="653"/>
      <c r="AT642" s="653"/>
      <c r="AU642" s="653"/>
      <c r="AV642" s="653"/>
    </row>
    <row r="643" spans="1:48" ht="14.5">
      <c r="A643" s="653"/>
      <c r="B643" s="653"/>
      <c r="C643" s="653"/>
      <c r="D643" s="653"/>
      <c r="E643" s="653"/>
      <c r="F643" s="653"/>
      <c r="G643" s="654"/>
      <c r="H643" s="654"/>
      <c r="I643" s="653"/>
      <c r="J643" s="653"/>
      <c r="K643" s="655"/>
      <c r="L643" s="653"/>
      <c r="M643" s="653"/>
      <c r="N643" s="653"/>
      <c r="O643" s="653"/>
      <c r="P643" s="653"/>
      <c r="Q643" s="653"/>
      <c r="R643" s="653"/>
      <c r="S643" s="653"/>
      <c r="T643" s="653"/>
      <c r="U643" s="656"/>
      <c r="V643" s="653"/>
      <c r="W643" s="653"/>
      <c r="X643" s="653"/>
      <c r="Y643" s="657"/>
      <c r="Z643" s="615"/>
      <c r="AA643" s="653"/>
      <c r="AB643" s="657"/>
      <c r="AC643" s="653"/>
      <c r="AD643" s="653"/>
      <c r="AE643" s="653"/>
      <c r="AF643" s="653"/>
      <c r="AG643" s="653"/>
      <c r="AH643" s="653"/>
      <c r="AI643" s="653"/>
      <c r="AJ643" s="653"/>
      <c r="AK643" s="653"/>
      <c r="AL643" s="653"/>
      <c r="AM643" s="653"/>
      <c r="AN643" s="653"/>
      <c r="AO643" s="653"/>
      <c r="AP643" s="653"/>
      <c r="AQ643" s="653"/>
      <c r="AR643" s="653"/>
      <c r="AS643" s="653"/>
      <c r="AT643" s="653"/>
      <c r="AU643" s="653"/>
      <c r="AV643" s="653"/>
    </row>
    <row r="644" spans="1:48" ht="14.5">
      <c r="A644" s="653"/>
      <c r="B644" s="653"/>
      <c r="C644" s="653"/>
      <c r="D644" s="653"/>
      <c r="E644" s="653"/>
      <c r="F644" s="653"/>
      <c r="G644" s="654"/>
      <c r="H644" s="654"/>
      <c r="I644" s="653"/>
      <c r="J644" s="653"/>
      <c r="K644" s="655"/>
      <c r="L644" s="653"/>
      <c r="M644" s="653"/>
      <c r="N644" s="653"/>
      <c r="O644" s="653"/>
      <c r="P644" s="653"/>
      <c r="Q644" s="653"/>
      <c r="R644" s="653"/>
      <c r="S644" s="653"/>
      <c r="T644" s="653"/>
      <c r="U644" s="656"/>
      <c r="V644" s="653"/>
      <c r="W644" s="653"/>
      <c r="X644" s="653"/>
      <c r="Y644" s="657"/>
      <c r="Z644" s="615"/>
      <c r="AA644" s="653"/>
      <c r="AB644" s="657"/>
      <c r="AC644" s="653"/>
      <c r="AD644" s="653"/>
      <c r="AE644" s="653"/>
      <c r="AF644" s="653"/>
      <c r="AG644" s="653"/>
      <c r="AH644" s="653"/>
      <c r="AI644" s="653"/>
      <c r="AJ644" s="653"/>
      <c r="AK644" s="653"/>
      <c r="AL644" s="653"/>
      <c r="AM644" s="653"/>
      <c r="AN644" s="653"/>
      <c r="AO644" s="653"/>
      <c r="AP644" s="653"/>
      <c r="AQ644" s="653"/>
      <c r="AR644" s="653"/>
      <c r="AS644" s="653"/>
      <c r="AT644" s="653"/>
      <c r="AU644" s="653"/>
      <c r="AV644" s="653"/>
    </row>
    <row r="645" spans="1:48" ht="14.5">
      <c r="A645" s="653"/>
      <c r="B645" s="653"/>
      <c r="C645" s="653"/>
      <c r="D645" s="653"/>
      <c r="E645" s="653"/>
      <c r="F645" s="653"/>
      <c r="G645" s="654"/>
      <c r="H645" s="654"/>
      <c r="I645" s="653"/>
      <c r="J645" s="653"/>
      <c r="K645" s="655"/>
      <c r="L645" s="653"/>
      <c r="M645" s="653"/>
      <c r="N645" s="653"/>
      <c r="O645" s="653"/>
      <c r="P645" s="653"/>
      <c r="Q645" s="653"/>
      <c r="R645" s="653"/>
      <c r="S645" s="653"/>
      <c r="T645" s="653"/>
      <c r="U645" s="656"/>
      <c r="V645" s="653"/>
      <c r="W645" s="653"/>
      <c r="X645" s="653"/>
      <c r="Y645" s="657"/>
      <c r="Z645" s="615"/>
      <c r="AA645" s="653"/>
      <c r="AB645" s="657"/>
      <c r="AC645" s="653"/>
      <c r="AD645" s="653"/>
      <c r="AE645" s="653"/>
      <c r="AF645" s="653"/>
      <c r="AG645" s="653"/>
      <c r="AH645" s="653"/>
      <c r="AI645" s="653"/>
      <c r="AJ645" s="653"/>
      <c r="AK645" s="653"/>
      <c r="AL645" s="653"/>
      <c r="AM645" s="653"/>
      <c r="AN645" s="653"/>
      <c r="AO645" s="653"/>
      <c r="AP645" s="653"/>
      <c r="AQ645" s="653"/>
      <c r="AR645" s="653"/>
      <c r="AS645" s="653"/>
      <c r="AT645" s="653"/>
      <c r="AU645" s="653"/>
      <c r="AV645" s="653"/>
    </row>
    <row r="646" spans="1:48" ht="14.5">
      <c r="A646" s="653"/>
      <c r="B646" s="653"/>
      <c r="C646" s="653"/>
      <c r="D646" s="653"/>
      <c r="E646" s="653"/>
      <c r="F646" s="653"/>
      <c r="G646" s="654"/>
      <c r="H646" s="654"/>
      <c r="I646" s="653"/>
      <c r="J646" s="653"/>
      <c r="K646" s="655"/>
      <c r="L646" s="653"/>
      <c r="M646" s="653"/>
      <c r="N646" s="653"/>
      <c r="O646" s="653"/>
      <c r="P646" s="653"/>
      <c r="Q646" s="653"/>
      <c r="R646" s="653"/>
      <c r="S646" s="653"/>
      <c r="T646" s="653"/>
      <c r="U646" s="656"/>
      <c r="V646" s="653"/>
      <c r="W646" s="653"/>
      <c r="X646" s="653"/>
      <c r="Y646" s="657"/>
      <c r="Z646" s="615"/>
      <c r="AA646" s="653"/>
      <c r="AB646" s="657"/>
      <c r="AC646" s="653"/>
      <c r="AD646" s="653"/>
      <c r="AE646" s="653"/>
      <c r="AF646" s="653"/>
      <c r="AG646" s="653"/>
      <c r="AH646" s="653"/>
      <c r="AI646" s="653"/>
      <c r="AJ646" s="653"/>
      <c r="AK646" s="653"/>
      <c r="AL646" s="653"/>
      <c r="AM646" s="653"/>
      <c r="AN646" s="653"/>
      <c r="AO646" s="653"/>
      <c r="AP646" s="653"/>
      <c r="AQ646" s="653"/>
      <c r="AR646" s="653"/>
      <c r="AS646" s="653"/>
      <c r="AT646" s="653"/>
      <c r="AU646" s="653"/>
      <c r="AV646" s="653"/>
    </row>
    <row r="647" spans="1:48" ht="14.5">
      <c r="A647" s="653"/>
      <c r="B647" s="653"/>
      <c r="C647" s="653"/>
      <c r="D647" s="653"/>
      <c r="E647" s="653"/>
      <c r="F647" s="653"/>
      <c r="G647" s="654"/>
      <c r="H647" s="654"/>
      <c r="I647" s="653"/>
      <c r="J647" s="653"/>
      <c r="K647" s="655"/>
      <c r="L647" s="653"/>
      <c r="M647" s="653"/>
      <c r="N647" s="653"/>
      <c r="O647" s="653"/>
      <c r="P647" s="653"/>
      <c r="Q647" s="653"/>
      <c r="R647" s="653"/>
      <c r="S647" s="653"/>
      <c r="T647" s="653"/>
      <c r="U647" s="656"/>
      <c r="V647" s="653"/>
      <c r="W647" s="653"/>
      <c r="X647" s="653"/>
      <c r="Y647" s="657"/>
      <c r="Z647" s="615"/>
      <c r="AA647" s="653"/>
      <c r="AB647" s="657"/>
      <c r="AC647" s="653"/>
      <c r="AD647" s="653"/>
      <c r="AE647" s="653"/>
      <c r="AF647" s="653"/>
      <c r="AG647" s="653"/>
      <c r="AH647" s="653"/>
      <c r="AI647" s="653"/>
      <c r="AJ647" s="653"/>
      <c r="AK647" s="653"/>
      <c r="AL647" s="653"/>
      <c r="AM647" s="653"/>
      <c r="AN647" s="653"/>
      <c r="AO647" s="653"/>
      <c r="AP647" s="653"/>
      <c r="AQ647" s="653"/>
      <c r="AR647" s="653"/>
      <c r="AS647" s="653"/>
      <c r="AT647" s="653"/>
      <c r="AU647" s="653"/>
      <c r="AV647" s="653"/>
    </row>
    <row r="648" spans="1:48" ht="14.5">
      <c r="A648" s="653"/>
      <c r="B648" s="653"/>
      <c r="C648" s="653"/>
      <c r="D648" s="653"/>
      <c r="E648" s="653"/>
      <c r="F648" s="653"/>
      <c r="G648" s="654"/>
      <c r="H648" s="654"/>
      <c r="I648" s="653"/>
      <c r="J648" s="653"/>
      <c r="K648" s="655"/>
      <c r="L648" s="653"/>
      <c r="M648" s="653"/>
      <c r="N648" s="653"/>
      <c r="O648" s="653"/>
      <c r="P648" s="653"/>
      <c r="Q648" s="653"/>
      <c r="R648" s="653"/>
      <c r="S648" s="653"/>
      <c r="T648" s="653"/>
      <c r="U648" s="656"/>
      <c r="V648" s="653"/>
      <c r="W648" s="653"/>
      <c r="X648" s="653"/>
      <c r="Y648" s="657"/>
      <c r="Z648" s="615"/>
      <c r="AA648" s="653"/>
      <c r="AB648" s="657"/>
      <c r="AC648" s="653"/>
      <c r="AD648" s="653"/>
      <c r="AE648" s="653"/>
      <c r="AF648" s="653"/>
      <c r="AG648" s="653"/>
      <c r="AH648" s="653"/>
      <c r="AI648" s="653"/>
      <c r="AJ648" s="653"/>
      <c r="AK648" s="653"/>
      <c r="AL648" s="653"/>
      <c r="AM648" s="653"/>
      <c r="AN648" s="653"/>
      <c r="AO648" s="653"/>
      <c r="AP648" s="653"/>
      <c r="AQ648" s="653"/>
      <c r="AR648" s="653"/>
      <c r="AS648" s="653"/>
      <c r="AT648" s="653"/>
      <c r="AU648" s="653"/>
      <c r="AV648" s="653"/>
    </row>
    <row r="649" spans="1:48" ht="14.5">
      <c r="A649" s="653"/>
      <c r="B649" s="653"/>
      <c r="C649" s="653"/>
      <c r="D649" s="653"/>
      <c r="E649" s="653"/>
      <c r="F649" s="653"/>
      <c r="G649" s="654"/>
      <c r="H649" s="654"/>
      <c r="I649" s="653"/>
      <c r="J649" s="653"/>
      <c r="K649" s="655"/>
      <c r="L649" s="653"/>
      <c r="M649" s="653"/>
      <c r="N649" s="653"/>
      <c r="O649" s="653"/>
      <c r="P649" s="653"/>
      <c r="Q649" s="653"/>
      <c r="R649" s="653"/>
      <c r="S649" s="653"/>
      <c r="T649" s="653"/>
      <c r="U649" s="656"/>
      <c r="V649" s="653"/>
      <c r="W649" s="653"/>
      <c r="X649" s="653"/>
      <c r="Y649" s="657"/>
      <c r="Z649" s="615"/>
      <c r="AA649" s="653"/>
      <c r="AB649" s="657"/>
      <c r="AC649" s="653"/>
      <c r="AD649" s="653"/>
      <c r="AE649" s="653"/>
      <c r="AF649" s="653"/>
      <c r="AG649" s="653"/>
      <c r="AH649" s="653"/>
      <c r="AI649" s="653"/>
      <c r="AJ649" s="653"/>
      <c r="AK649" s="653"/>
      <c r="AL649" s="653"/>
      <c r="AM649" s="653"/>
      <c r="AN649" s="653"/>
      <c r="AO649" s="653"/>
      <c r="AP649" s="653"/>
      <c r="AQ649" s="653"/>
      <c r="AR649" s="653"/>
      <c r="AS649" s="653"/>
      <c r="AT649" s="653"/>
      <c r="AU649" s="653"/>
      <c r="AV649" s="653"/>
    </row>
    <row r="650" spans="1:48" ht="14.5">
      <c r="A650" s="653"/>
      <c r="B650" s="653"/>
      <c r="C650" s="653"/>
      <c r="D650" s="653"/>
      <c r="E650" s="653"/>
      <c r="F650" s="653"/>
      <c r="G650" s="654"/>
      <c r="H650" s="654"/>
      <c r="I650" s="653"/>
      <c r="J650" s="653"/>
      <c r="K650" s="655"/>
      <c r="L650" s="653"/>
      <c r="M650" s="653"/>
      <c r="N650" s="653"/>
      <c r="O650" s="653"/>
      <c r="P650" s="653"/>
      <c r="Q650" s="653"/>
      <c r="R650" s="653"/>
      <c r="S650" s="653"/>
      <c r="T650" s="653"/>
      <c r="U650" s="656"/>
      <c r="V650" s="653"/>
      <c r="W650" s="653"/>
      <c r="X650" s="653"/>
      <c r="Y650" s="657"/>
      <c r="Z650" s="615"/>
      <c r="AA650" s="653"/>
      <c r="AB650" s="657"/>
      <c r="AC650" s="653"/>
      <c r="AD650" s="653"/>
      <c r="AE650" s="653"/>
      <c r="AF650" s="653"/>
      <c r="AG650" s="653"/>
      <c r="AH650" s="653"/>
      <c r="AI650" s="653"/>
      <c r="AJ650" s="653"/>
      <c r="AK650" s="653"/>
      <c r="AL650" s="653"/>
      <c r="AM650" s="653"/>
      <c r="AN650" s="653"/>
      <c r="AO650" s="653"/>
      <c r="AP650" s="653"/>
      <c r="AQ650" s="653"/>
      <c r="AR650" s="653"/>
      <c r="AS650" s="653"/>
      <c r="AT650" s="653"/>
      <c r="AU650" s="653"/>
      <c r="AV650" s="653"/>
    </row>
    <row r="651" spans="1:48" ht="14.5">
      <c r="A651" s="653"/>
      <c r="B651" s="653"/>
      <c r="C651" s="653"/>
      <c r="D651" s="653"/>
      <c r="E651" s="653"/>
      <c r="F651" s="653"/>
      <c r="G651" s="654"/>
      <c r="H651" s="654"/>
      <c r="I651" s="653"/>
      <c r="J651" s="653"/>
      <c r="K651" s="655"/>
      <c r="L651" s="653"/>
      <c r="M651" s="653"/>
      <c r="N651" s="653"/>
      <c r="O651" s="653"/>
      <c r="P651" s="653"/>
      <c r="Q651" s="653"/>
      <c r="R651" s="653"/>
      <c r="S651" s="653"/>
      <c r="T651" s="653"/>
      <c r="U651" s="656"/>
      <c r="V651" s="653"/>
      <c r="W651" s="653"/>
      <c r="X651" s="653"/>
      <c r="Y651" s="657"/>
      <c r="Z651" s="615"/>
      <c r="AA651" s="653"/>
      <c r="AB651" s="657"/>
      <c r="AC651" s="653"/>
      <c r="AD651" s="653"/>
      <c r="AE651" s="653"/>
      <c r="AF651" s="653"/>
      <c r="AG651" s="653"/>
      <c r="AH651" s="653"/>
      <c r="AI651" s="653"/>
      <c r="AJ651" s="653"/>
      <c r="AK651" s="653"/>
      <c r="AL651" s="653"/>
      <c r="AM651" s="653"/>
      <c r="AN651" s="653"/>
      <c r="AO651" s="653"/>
      <c r="AP651" s="653"/>
      <c r="AQ651" s="653"/>
      <c r="AR651" s="653"/>
      <c r="AS651" s="653"/>
      <c r="AT651" s="653"/>
      <c r="AU651" s="653"/>
      <c r="AV651" s="653"/>
    </row>
    <row r="652" spans="1:48" ht="14.5">
      <c r="A652" s="653"/>
      <c r="B652" s="653"/>
      <c r="C652" s="653"/>
      <c r="D652" s="653"/>
      <c r="E652" s="653"/>
      <c r="F652" s="653"/>
      <c r="G652" s="654"/>
      <c r="H652" s="654"/>
      <c r="I652" s="653"/>
      <c r="J652" s="653"/>
      <c r="K652" s="655"/>
      <c r="L652" s="653"/>
      <c r="M652" s="653"/>
      <c r="N652" s="653"/>
      <c r="O652" s="653"/>
      <c r="P652" s="653"/>
      <c r="Q652" s="653"/>
      <c r="R652" s="653"/>
      <c r="S652" s="653"/>
      <c r="T652" s="653"/>
      <c r="U652" s="656"/>
      <c r="V652" s="653"/>
      <c r="W652" s="653"/>
      <c r="X652" s="653"/>
      <c r="Y652" s="657"/>
      <c r="Z652" s="615"/>
      <c r="AA652" s="653"/>
      <c r="AB652" s="657"/>
      <c r="AC652" s="653"/>
      <c r="AD652" s="653"/>
      <c r="AE652" s="653"/>
      <c r="AF652" s="653"/>
      <c r="AG652" s="653"/>
      <c r="AH652" s="653"/>
      <c r="AI652" s="653"/>
      <c r="AJ652" s="653"/>
      <c r="AK652" s="653"/>
      <c r="AL652" s="653"/>
      <c r="AM652" s="653"/>
      <c r="AN652" s="653"/>
      <c r="AO652" s="653"/>
      <c r="AP652" s="653"/>
      <c r="AQ652" s="653"/>
      <c r="AR652" s="653"/>
      <c r="AS652" s="653"/>
      <c r="AT652" s="653"/>
      <c r="AU652" s="653"/>
      <c r="AV652" s="653"/>
    </row>
    <row r="653" spans="1:48" ht="14.5">
      <c r="A653" s="653"/>
      <c r="B653" s="653"/>
      <c r="C653" s="653"/>
      <c r="D653" s="653"/>
      <c r="E653" s="653"/>
      <c r="F653" s="653"/>
      <c r="G653" s="654"/>
      <c r="H653" s="654"/>
      <c r="I653" s="653"/>
      <c r="J653" s="653"/>
      <c r="K653" s="655"/>
      <c r="L653" s="653"/>
      <c r="M653" s="653"/>
      <c r="N653" s="653"/>
      <c r="O653" s="653"/>
      <c r="P653" s="653"/>
      <c r="Q653" s="653"/>
      <c r="R653" s="653"/>
      <c r="S653" s="653"/>
      <c r="T653" s="653"/>
      <c r="U653" s="656"/>
      <c r="V653" s="653"/>
      <c r="W653" s="653"/>
      <c r="X653" s="653"/>
      <c r="Y653" s="657"/>
      <c r="Z653" s="615"/>
      <c r="AA653" s="653"/>
      <c r="AB653" s="657"/>
      <c r="AC653" s="653"/>
      <c r="AD653" s="653"/>
      <c r="AE653" s="653"/>
      <c r="AF653" s="653"/>
      <c r="AG653" s="653"/>
      <c r="AH653" s="653"/>
      <c r="AI653" s="653"/>
      <c r="AJ653" s="653"/>
      <c r="AK653" s="653"/>
      <c r="AL653" s="653"/>
      <c r="AM653" s="653"/>
      <c r="AN653" s="653"/>
      <c r="AO653" s="653"/>
      <c r="AP653" s="653"/>
      <c r="AQ653" s="653"/>
      <c r="AR653" s="653"/>
      <c r="AS653" s="653"/>
      <c r="AT653" s="653"/>
      <c r="AU653" s="653"/>
      <c r="AV653" s="653"/>
    </row>
    <row r="654" spans="1:48" ht="14.5">
      <c r="A654" s="653"/>
      <c r="B654" s="653"/>
      <c r="C654" s="653"/>
      <c r="D654" s="653"/>
      <c r="E654" s="653"/>
      <c r="F654" s="653"/>
      <c r="G654" s="654"/>
      <c r="H654" s="654"/>
      <c r="I654" s="653"/>
      <c r="J654" s="653"/>
      <c r="K654" s="655"/>
      <c r="L654" s="653"/>
      <c r="M654" s="653"/>
      <c r="N654" s="653"/>
      <c r="O654" s="653"/>
      <c r="P654" s="653"/>
      <c r="Q654" s="653"/>
      <c r="R654" s="653"/>
      <c r="S654" s="653"/>
      <c r="T654" s="653"/>
      <c r="U654" s="656"/>
      <c r="V654" s="653"/>
      <c r="W654" s="653"/>
      <c r="X654" s="653"/>
      <c r="Y654" s="657"/>
      <c r="Z654" s="615"/>
      <c r="AA654" s="653"/>
      <c r="AB654" s="657"/>
      <c r="AC654" s="653"/>
      <c r="AD654" s="653"/>
      <c r="AE654" s="653"/>
      <c r="AF654" s="653"/>
      <c r="AG654" s="653"/>
      <c r="AH654" s="653"/>
      <c r="AI654" s="653"/>
      <c r="AJ654" s="653"/>
      <c r="AK654" s="653"/>
      <c r="AL654" s="653"/>
      <c r="AM654" s="653"/>
      <c r="AN654" s="653"/>
      <c r="AO654" s="653"/>
      <c r="AP654" s="653"/>
      <c r="AQ654" s="653"/>
      <c r="AR654" s="653"/>
      <c r="AS654" s="653"/>
      <c r="AT654" s="653"/>
      <c r="AU654" s="653"/>
      <c r="AV654" s="653"/>
    </row>
    <row r="655" spans="1:48" ht="14.5">
      <c r="A655" s="653"/>
      <c r="B655" s="653"/>
      <c r="C655" s="653"/>
      <c r="D655" s="653"/>
      <c r="E655" s="653"/>
      <c r="F655" s="653"/>
      <c r="G655" s="654"/>
      <c r="H655" s="654"/>
      <c r="I655" s="653"/>
      <c r="J655" s="653"/>
      <c r="K655" s="655"/>
      <c r="L655" s="653"/>
      <c r="M655" s="653"/>
      <c r="N655" s="653"/>
      <c r="O655" s="653"/>
      <c r="P655" s="653"/>
      <c r="Q655" s="653"/>
      <c r="R655" s="653"/>
      <c r="S655" s="653"/>
      <c r="T655" s="653"/>
      <c r="U655" s="656"/>
      <c r="V655" s="653"/>
      <c r="W655" s="653"/>
      <c r="X655" s="653"/>
      <c r="Y655" s="657"/>
      <c r="Z655" s="615"/>
      <c r="AA655" s="653"/>
      <c r="AB655" s="657"/>
      <c r="AC655" s="653"/>
      <c r="AD655" s="653"/>
      <c r="AE655" s="653"/>
      <c r="AF655" s="653"/>
      <c r="AG655" s="653"/>
      <c r="AH655" s="653"/>
      <c r="AI655" s="653"/>
      <c r="AJ655" s="653"/>
      <c r="AK655" s="653"/>
      <c r="AL655" s="653"/>
      <c r="AM655" s="653"/>
      <c r="AN655" s="653"/>
      <c r="AO655" s="653"/>
      <c r="AP655" s="653"/>
      <c r="AQ655" s="653"/>
      <c r="AR655" s="653"/>
      <c r="AS655" s="653"/>
      <c r="AT655" s="653"/>
      <c r="AU655" s="653"/>
      <c r="AV655" s="653"/>
    </row>
    <row r="656" spans="1:48" ht="14.5">
      <c r="A656" s="653"/>
      <c r="B656" s="653"/>
      <c r="C656" s="653"/>
      <c r="D656" s="653"/>
      <c r="E656" s="653"/>
      <c r="F656" s="653"/>
      <c r="G656" s="654"/>
      <c r="H656" s="654"/>
      <c r="I656" s="653"/>
      <c r="J656" s="653"/>
      <c r="K656" s="655"/>
      <c r="L656" s="653"/>
      <c r="M656" s="653"/>
      <c r="N656" s="653"/>
      <c r="O656" s="653"/>
      <c r="P656" s="653"/>
      <c r="Q656" s="653"/>
      <c r="R656" s="653"/>
      <c r="S656" s="653"/>
      <c r="T656" s="653"/>
      <c r="U656" s="656"/>
      <c r="V656" s="653"/>
      <c r="W656" s="653"/>
      <c r="X656" s="653"/>
      <c r="Y656" s="657"/>
      <c r="Z656" s="615"/>
      <c r="AA656" s="653"/>
      <c r="AB656" s="657"/>
      <c r="AC656" s="653"/>
      <c r="AD656" s="653"/>
      <c r="AE656" s="653"/>
      <c r="AF656" s="653"/>
      <c r="AG656" s="653"/>
      <c r="AH656" s="653"/>
      <c r="AI656" s="653"/>
      <c r="AJ656" s="653"/>
      <c r="AK656" s="653"/>
      <c r="AL656" s="653"/>
      <c r="AM656" s="653"/>
      <c r="AN656" s="653"/>
      <c r="AO656" s="653"/>
      <c r="AP656" s="653"/>
      <c r="AQ656" s="653"/>
      <c r="AR656" s="653"/>
      <c r="AS656" s="653"/>
      <c r="AT656" s="653"/>
      <c r="AU656" s="653"/>
      <c r="AV656" s="653"/>
    </row>
    <row r="657" spans="1:48" ht="14.5">
      <c r="A657" s="653"/>
      <c r="B657" s="653"/>
      <c r="C657" s="653"/>
      <c r="D657" s="653"/>
      <c r="E657" s="653"/>
      <c r="F657" s="653"/>
      <c r="G657" s="654"/>
      <c r="H657" s="654"/>
      <c r="I657" s="653"/>
      <c r="J657" s="653"/>
      <c r="K657" s="655"/>
      <c r="L657" s="653"/>
      <c r="M657" s="653"/>
      <c r="N657" s="653"/>
      <c r="O657" s="653"/>
      <c r="P657" s="653"/>
      <c r="Q657" s="653"/>
      <c r="R657" s="653"/>
      <c r="S657" s="653"/>
      <c r="T657" s="653"/>
      <c r="U657" s="656"/>
      <c r="V657" s="653"/>
      <c r="W657" s="653"/>
      <c r="X657" s="653"/>
      <c r="Y657" s="657"/>
      <c r="Z657" s="615"/>
      <c r="AA657" s="653"/>
      <c r="AB657" s="657"/>
      <c r="AC657" s="653"/>
      <c r="AD657" s="653"/>
      <c r="AE657" s="653"/>
      <c r="AF657" s="653"/>
      <c r="AG657" s="653"/>
      <c r="AH657" s="653"/>
      <c r="AI657" s="653"/>
      <c r="AJ657" s="653"/>
      <c r="AK657" s="653"/>
      <c r="AL657" s="653"/>
      <c r="AM657" s="653"/>
      <c r="AN657" s="653"/>
      <c r="AO657" s="653"/>
      <c r="AP657" s="653"/>
      <c r="AQ657" s="653"/>
      <c r="AR657" s="653"/>
      <c r="AS657" s="653"/>
      <c r="AT657" s="653"/>
      <c r="AU657" s="653"/>
      <c r="AV657" s="653"/>
    </row>
    <row r="658" spans="1:48" ht="14.5">
      <c r="A658" s="653"/>
      <c r="B658" s="653"/>
      <c r="C658" s="653"/>
      <c r="D658" s="653"/>
      <c r="E658" s="653"/>
      <c r="F658" s="653"/>
      <c r="G658" s="654"/>
      <c r="H658" s="654"/>
      <c r="I658" s="653"/>
      <c r="J658" s="653"/>
      <c r="K658" s="655"/>
      <c r="L658" s="653"/>
      <c r="M658" s="653"/>
      <c r="N658" s="653"/>
      <c r="O658" s="653"/>
      <c r="P658" s="653"/>
      <c r="Q658" s="653"/>
      <c r="R658" s="653"/>
      <c r="S658" s="653"/>
      <c r="T658" s="653"/>
      <c r="U658" s="656"/>
      <c r="V658" s="653"/>
      <c r="W658" s="653"/>
      <c r="X658" s="653"/>
      <c r="Y658" s="657"/>
      <c r="Z658" s="615"/>
      <c r="AA658" s="653"/>
      <c r="AB658" s="657"/>
      <c r="AC658" s="653"/>
      <c r="AD658" s="653"/>
      <c r="AE658" s="653"/>
      <c r="AF658" s="653"/>
      <c r="AG658" s="653"/>
      <c r="AH658" s="653"/>
      <c r="AI658" s="653"/>
      <c r="AJ658" s="653"/>
      <c r="AK658" s="653"/>
      <c r="AL658" s="653"/>
      <c r="AM658" s="653"/>
      <c r="AN658" s="653"/>
      <c r="AO658" s="653"/>
      <c r="AP658" s="653"/>
      <c r="AQ658" s="653"/>
      <c r="AR658" s="653"/>
      <c r="AS658" s="653"/>
      <c r="AT658" s="653"/>
      <c r="AU658" s="653"/>
      <c r="AV658" s="653"/>
    </row>
    <row r="659" spans="1:48" ht="14.5">
      <c r="A659" s="653"/>
      <c r="B659" s="653"/>
      <c r="C659" s="653"/>
      <c r="D659" s="653"/>
      <c r="E659" s="653"/>
      <c r="F659" s="653"/>
      <c r="G659" s="654"/>
      <c r="H659" s="654"/>
      <c r="I659" s="653"/>
      <c r="J659" s="653"/>
      <c r="K659" s="655"/>
      <c r="L659" s="653"/>
      <c r="M659" s="653"/>
      <c r="N659" s="653"/>
      <c r="O659" s="653"/>
      <c r="P659" s="653"/>
      <c r="Q659" s="653"/>
      <c r="R659" s="653"/>
      <c r="S659" s="653"/>
      <c r="T659" s="653"/>
      <c r="U659" s="656"/>
      <c r="V659" s="653"/>
      <c r="W659" s="653"/>
      <c r="X659" s="653"/>
      <c r="Y659" s="657"/>
      <c r="Z659" s="615"/>
      <c r="AA659" s="653"/>
      <c r="AB659" s="657"/>
      <c r="AC659" s="653"/>
      <c r="AD659" s="653"/>
      <c r="AE659" s="653"/>
      <c r="AF659" s="653"/>
      <c r="AG659" s="653"/>
      <c r="AH659" s="653"/>
      <c r="AI659" s="653"/>
      <c r="AJ659" s="653"/>
      <c r="AK659" s="653"/>
      <c r="AL659" s="653"/>
      <c r="AM659" s="653"/>
      <c r="AN659" s="653"/>
      <c r="AO659" s="653"/>
      <c r="AP659" s="653"/>
      <c r="AQ659" s="653"/>
      <c r="AR659" s="653"/>
      <c r="AS659" s="653"/>
      <c r="AT659" s="653"/>
      <c r="AU659" s="653"/>
      <c r="AV659" s="653"/>
    </row>
    <row r="660" spans="1:48" ht="14.5">
      <c r="A660" s="653"/>
      <c r="B660" s="653"/>
      <c r="C660" s="653"/>
      <c r="D660" s="653"/>
      <c r="E660" s="653"/>
      <c r="F660" s="653"/>
      <c r="G660" s="654"/>
      <c r="H660" s="654"/>
      <c r="I660" s="653"/>
      <c r="J660" s="653"/>
      <c r="K660" s="655"/>
      <c r="L660" s="653"/>
      <c r="M660" s="653"/>
      <c r="N660" s="653"/>
      <c r="O660" s="653"/>
      <c r="P660" s="653"/>
      <c r="Q660" s="653"/>
      <c r="R660" s="653"/>
      <c r="S660" s="653"/>
      <c r="T660" s="653"/>
      <c r="U660" s="656"/>
      <c r="V660" s="653"/>
      <c r="W660" s="653"/>
      <c r="X660" s="653"/>
      <c r="Y660" s="657"/>
      <c r="Z660" s="615"/>
      <c r="AA660" s="653"/>
      <c r="AB660" s="657"/>
      <c r="AC660" s="653"/>
      <c r="AD660" s="653"/>
      <c r="AE660" s="653"/>
      <c r="AF660" s="653"/>
      <c r="AG660" s="653"/>
      <c r="AH660" s="653"/>
      <c r="AI660" s="653"/>
      <c r="AJ660" s="653"/>
      <c r="AK660" s="653"/>
      <c r="AL660" s="653"/>
      <c r="AM660" s="653"/>
      <c r="AN660" s="653"/>
      <c r="AO660" s="653"/>
      <c r="AP660" s="653"/>
      <c r="AQ660" s="653"/>
      <c r="AR660" s="653"/>
      <c r="AS660" s="653"/>
      <c r="AT660" s="653"/>
      <c r="AU660" s="653"/>
      <c r="AV660" s="653"/>
    </row>
    <row r="661" spans="1:48" ht="14.5">
      <c r="A661" s="653"/>
      <c r="B661" s="653"/>
      <c r="C661" s="653"/>
      <c r="D661" s="653"/>
      <c r="E661" s="653"/>
      <c r="F661" s="653"/>
      <c r="G661" s="654"/>
      <c r="H661" s="654"/>
      <c r="I661" s="653"/>
      <c r="J661" s="653"/>
      <c r="K661" s="655"/>
      <c r="L661" s="653"/>
      <c r="M661" s="653"/>
      <c r="N661" s="653"/>
      <c r="O661" s="653"/>
      <c r="P661" s="653"/>
      <c r="Q661" s="653"/>
      <c r="R661" s="653"/>
      <c r="S661" s="653"/>
      <c r="T661" s="653"/>
      <c r="U661" s="656"/>
      <c r="V661" s="653"/>
      <c r="W661" s="653"/>
      <c r="X661" s="653"/>
      <c r="Y661" s="657"/>
      <c r="Z661" s="615"/>
      <c r="AA661" s="653"/>
      <c r="AB661" s="657"/>
      <c r="AC661" s="653"/>
      <c r="AD661" s="653"/>
      <c r="AE661" s="653"/>
      <c r="AF661" s="653"/>
      <c r="AG661" s="653"/>
      <c r="AH661" s="653"/>
      <c r="AI661" s="653"/>
      <c r="AJ661" s="653"/>
      <c r="AK661" s="653"/>
      <c r="AL661" s="653"/>
      <c r="AM661" s="653"/>
      <c r="AN661" s="653"/>
      <c r="AO661" s="653"/>
      <c r="AP661" s="653"/>
      <c r="AQ661" s="653"/>
      <c r="AR661" s="653"/>
      <c r="AS661" s="653"/>
      <c r="AT661" s="653"/>
      <c r="AU661" s="653"/>
      <c r="AV661" s="653"/>
    </row>
    <row r="662" spans="1:48" ht="14.5">
      <c r="A662" s="653"/>
      <c r="B662" s="653"/>
      <c r="C662" s="653"/>
      <c r="D662" s="653"/>
      <c r="E662" s="653"/>
      <c r="F662" s="653"/>
      <c r="G662" s="654"/>
      <c r="H662" s="654"/>
      <c r="I662" s="653"/>
      <c r="J662" s="653"/>
      <c r="K662" s="655"/>
      <c r="L662" s="653"/>
      <c r="M662" s="653"/>
      <c r="N662" s="653"/>
      <c r="O662" s="653"/>
      <c r="P662" s="653"/>
      <c r="Q662" s="653"/>
      <c r="R662" s="653"/>
      <c r="S662" s="653"/>
      <c r="T662" s="653"/>
      <c r="U662" s="656"/>
      <c r="V662" s="653"/>
      <c r="W662" s="653"/>
      <c r="X662" s="653"/>
      <c r="Y662" s="657"/>
      <c r="Z662" s="615"/>
      <c r="AA662" s="653"/>
      <c r="AB662" s="657"/>
      <c r="AC662" s="653"/>
      <c r="AD662" s="653"/>
      <c r="AE662" s="653"/>
      <c r="AF662" s="653"/>
      <c r="AG662" s="653"/>
      <c r="AH662" s="653"/>
      <c r="AI662" s="653"/>
      <c r="AJ662" s="653"/>
      <c r="AK662" s="653"/>
      <c r="AL662" s="653"/>
      <c r="AM662" s="653"/>
      <c r="AN662" s="653"/>
      <c r="AO662" s="653"/>
      <c r="AP662" s="653"/>
      <c r="AQ662" s="653"/>
      <c r="AR662" s="653"/>
      <c r="AS662" s="653"/>
      <c r="AT662" s="653"/>
      <c r="AU662" s="653"/>
      <c r="AV662" s="653"/>
    </row>
    <row r="663" spans="1:48" ht="14.5">
      <c r="A663" s="653"/>
      <c r="B663" s="653"/>
      <c r="C663" s="653"/>
      <c r="D663" s="653"/>
      <c r="E663" s="653"/>
      <c r="F663" s="653"/>
      <c r="G663" s="654"/>
      <c r="H663" s="654"/>
      <c r="I663" s="653"/>
      <c r="J663" s="653"/>
      <c r="K663" s="655"/>
      <c r="L663" s="653"/>
      <c r="M663" s="653"/>
      <c r="N663" s="653"/>
      <c r="O663" s="653"/>
      <c r="P663" s="653"/>
      <c r="Q663" s="653"/>
      <c r="R663" s="653"/>
      <c r="S663" s="653"/>
      <c r="T663" s="653"/>
      <c r="U663" s="656"/>
      <c r="V663" s="653"/>
      <c r="W663" s="653"/>
      <c r="X663" s="653"/>
      <c r="Y663" s="657"/>
      <c r="Z663" s="615"/>
      <c r="AA663" s="653"/>
      <c r="AB663" s="657"/>
      <c r="AC663" s="653"/>
      <c r="AD663" s="653"/>
      <c r="AE663" s="653"/>
      <c r="AF663" s="653"/>
      <c r="AG663" s="653"/>
      <c r="AH663" s="653"/>
      <c r="AI663" s="653"/>
      <c r="AJ663" s="653"/>
      <c r="AK663" s="653"/>
      <c r="AL663" s="653"/>
      <c r="AM663" s="653"/>
      <c r="AN663" s="653"/>
      <c r="AO663" s="653"/>
      <c r="AP663" s="653"/>
      <c r="AQ663" s="653"/>
      <c r="AR663" s="653"/>
      <c r="AS663" s="653"/>
      <c r="AT663" s="653"/>
      <c r="AU663" s="653"/>
      <c r="AV663" s="653"/>
    </row>
    <row r="664" spans="1:48" ht="14.5">
      <c r="A664" s="653"/>
      <c r="B664" s="653"/>
      <c r="C664" s="653"/>
      <c r="D664" s="653"/>
      <c r="E664" s="653"/>
      <c r="F664" s="653"/>
      <c r="G664" s="654"/>
      <c r="H664" s="654"/>
      <c r="I664" s="653"/>
      <c r="J664" s="653"/>
      <c r="K664" s="655"/>
      <c r="L664" s="653"/>
      <c r="M664" s="653"/>
      <c r="N664" s="653"/>
      <c r="O664" s="653"/>
      <c r="P664" s="653"/>
      <c r="Q664" s="653"/>
      <c r="R664" s="653"/>
      <c r="S664" s="653"/>
      <c r="T664" s="653"/>
      <c r="U664" s="656"/>
      <c r="V664" s="653"/>
      <c r="W664" s="653"/>
      <c r="X664" s="653"/>
      <c r="Y664" s="657"/>
      <c r="Z664" s="615"/>
      <c r="AA664" s="653"/>
      <c r="AB664" s="657"/>
      <c r="AC664" s="653"/>
      <c r="AD664" s="653"/>
      <c r="AE664" s="653"/>
      <c r="AF664" s="653"/>
      <c r="AG664" s="653"/>
      <c r="AH664" s="653"/>
      <c r="AI664" s="653"/>
      <c r="AJ664" s="653"/>
      <c r="AK664" s="653"/>
      <c r="AL664" s="653"/>
      <c r="AM664" s="653"/>
      <c r="AN664" s="653"/>
      <c r="AO664" s="653"/>
      <c r="AP664" s="653"/>
      <c r="AQ664" s="653"/>
      <c r="AR664" s="653"/>
      <c r="AS664" s="653"/>
      <c r="AT664" s="653"/>
      <c r="AU664" s="653"/>
      <c r="AV664" s="653"/>
    </row>
    <row r="665" spans="1:48" ht="14.5">
      <c r="A665" s="653"/>
      <c r="B665" s="653"/>
      <c r="C665" s="653"/>
      <c r="D665" s="653"/>
      <c r="E665" s="653"/>
      <c r="F665" s="653"/>
      <c r="G665" s="654"/>
      <c r="H665" s="654"/>
      <c r="I665" s="653"/>
      <c r="J665" s="653"/>
      <c r="K665" s="655"/>
      <c r="L665" s="653"/>
      <c r="M665" s="653"/>
      <c r="N665" s="653"/>
      <c r="O665" s="653"/>
      <c r="P665" s="653"/>
      <c r="Q665" s="653"/>
      <c r="R665" s="653"/>
      <c r="S665" s="653"/>
      <c r="T665" s="653"/>
      <c r="U665" s="656"/>
      <c r="V665" s="653"/>
      <c r="W665" s="653"/>
      <c r="X665" s="653"/>
      <c r="Y665" s="657"/>
      <c r="Z665" s="615"/>
      <c r="AA665" s="653"/>
      <c r="AB665" s="657"/>
      <c r="AC665" s="653"/>
      <c r="AD665" s="653"/>
      <c r="AE665" s="653"/>
      <c r="AF665" s="653"/>
      <c r="AG665" s="653"/>
      <c r="AH665" s="653"/>
      <c r="AI665" s="653"/>
      <c r="AJ665" s="653"/>
      <c r="AK665" s="653"/>
      <c r="AL665" s="653"/>
      <c r="AM665" s="653"/>
      <c r="AN665" s="653"/>
      <c r="AO665" s="653"/>
      <c r="AP665" s="653"/>
      <c r="AQ665" s="653"/>
      <c r="AR665" s="653"/>
      <c r="AS665" s="653"/>
      <c r="AT665" s="653"/>
      <c r="AU665" s="653"/>
      <c r="AV665" s="653"/>
    </row>
    <row r="666" spans="1:48" ht="14.5">
      <c r="A666" s="653"/>
      <c r="B666" s="653"/>
      <c r="C666" s="653"/>
      <c r="D666" s="653"/>
      <c r="E666" s="653"/>
      <c r="F666" s="653"/>
      <c r="G666" s="654"/>
      <c r="H666" s="654"/>
      <c r="I666" s="653"/>
      <c r="J666" s="653"/>
      <c r="K666" s="655"/>
      <c r="L666" s="653"/>
      <c r="M666" s="653"/>
      <c r="N666" s="653"/>
      <c r="O666" s="653"/>
      <c r="P666" s="653"/>
      <c r="Q666" s="653"/>
      <c r="R666" s="653"/>
      <c r="S666" s="653"/>
      <c r="T666" s="653"/>
      <c r="U666" s="656"/>
      <c r="V666" s="653"/>
      <c r="W666" s="653"/>
      <c r="X666" s="653"/>
      <c r="Y666" s="657"/>
      <c r="Z666" s="615"/>
      <c r="AA666" s="653"/>
      <c r="AB666" s="657"/>
      <c r="AC666" s="653"/>
      <c r="AD666" s="653"/>
      <c r="AE666" s="653"/>
      <c r="AF666" s="653"/>
      <c r="AG666" s="653"/>
      <c r="AH666" s="653"/>
      <c r="AI666" s="653"/>
      <c r="AJ666" s="653"/>
      <c r="AK666" s="653"/>
      <c r="AL666" s="653"/>
      <c r="AM666" s="653"/>
      <c r="AN666" s="653"/>
      <c r="AO666" s="653"/>
      <c r="AP666" s="653"/>
      <c r="AQ666" s="653"/>
      <c r="AR666" s="653"/>
      <c r="AS666" s="653"/>
      <c r="AT666" s="653"/>
      <c r="AU666" s="653"/>
      <c r="AV666" s="653"/>
    </row>
    <row r="667" spans="1:48" ht="14.5">
      <c r="A667" s="653"/>
      <c r="B667" s="653"/>
      <c r="C667" s="653"/>
      <c r="D667" s="653"/>
      <c r="E667" s="653"/>
      <c r="F667" s="653"/>
      <c r="G667" s="654"/>
      <c r="H667" s="654"/>
      <c r="I667" s="653"/>
      <c r="J667" s="653"/>
      <c r="K667" s="655"/>
      <c r="L667" s="653"/>
      <c r="M667" s="653"/>
      <c r="N667" s="653"/>
      <c r="O667" s="653"/>
      <c r="P667" s="653"/>
      <c r="Q667" s="653"/>
      <c r="R667" s="653"/>
      <c r="S667" s="653"/>
      <c r="T667" s="653"/>
      <c r="U667" s="656"/>
      <c r="V667" s="653"/>
      <c r="W667" s="653"/>
      <c r="X667" s="653"/>
      <c r="Y667" s="657"/>
      <c r="Z667" s="615"/>
      <c r="AA667" s="653"/>
      <c r="AB667" s="657"/>
      <c r="AC667" s="653"/>
      <c r="AD667" s="653"/>
      <c r="AE667" s="653"/>
      <c r="AF667" s="653"/>
      <c r="AG667" s="653"/>
      <c r="AH667" s="653"/>
      <c r="AI667" s="653"/>
      <c r="AJ667" s="653"/>
      <c r="AK667" s="653"/>
      <c r="AL667" s="653"/>
      <c r="AM667" s="653"/>
      <c r="AN667" s="653"/>
      <c r="AO667" s="653"/>
      <c r="AP667" s="653"/>
      <c r="AQ667" s="653"/>
      <c r="AR667" s="653"/>
      <c r="AS667" s="653"/>
      <c r="AT667" s="653"/>
      <c r="AU667" s="653"/>
      <c r="AV667" s="653"/>
    </row>
    <row r="668" spans="1:48" ht="14.5">
      <c r="A668" s="653"/>
      <c r="B668" s="653"/>
      <c r="C668" s="653"/>
      <c r="D668" s="653"/>
      <c r="E668" s="653"/>
      <c r="F668" s="653"/>
      <c r="G668" s="654"/>
      <c r="H668" s="654"/>
      <c r="I668" s="653"/>
      <c r="J668" s="653"/>
      <c r="K668" s="655"/>
      <c r="L668" s="653"/>
      <c r="M668" s="653"/>
      <c r="N668" s="653"/>
      <c r="O668" s="653"/>
      <c r="P668" s="653"/>
      <c r="Q668" s="653"/>
      <c r="R668" s="653"/>
      <c r="S668" s="653"/>
      <c r="T668" s="653"/>
      <c r="U668" s="656"/>
      <c r="V668" s="653"/>
      <c r="W668" s="653"/>
      <c r="X668" s="653"/>
      <c r="Y668" s="657"/>
      <c r="Z668" s="615"/>
      <c r="AA668" s="653"/>
      <c r="AB668" s="657"/>
      <c r="AC668" s="653"/>
      <c r="AD668" s="653"/>
      <c r="AE668" s="653"/>
      <c r="AF668" s="653"/>
      <c r="AG668" s="653"/>
      <c r="AH668" s="653"/>
      <c r="AI668" s="653"/>
      <c r="AJ668" s="653"/>
      <c r="AK668" s="653"/>
      <c r="AL668" s="653"/>
      <c r="AM668" s="653"/>
      <c r="AN668" s="653"/>
      <c r="AO668" s="653"/>
      <c r="AP668" s="653"/>
      <c r="AQ668" s="653"/>
      <c r="AR668" s="653"/>
      <c r="AS668" s="653"/>
      <c r="AT668" s="653"/>
      <c r="AU668" s="653"/>
      <c r="AV668" s="653"/>
    </row>
    <row r="669" spans="1:48" ht="14.5">
      <c r="A669" s="653"/>
      <c r="B669" s="653"/>
      <c r="C669" s="653"/>
      <c r="D669" s="653"/>
      <c r="E669" s="653"/>
      <c r="F669" s="653"/>
      <c r="G669" s="654"/>
      <c r="H669" s="654"/>
      <c r="I669" s="653"/>
      <c r="J669" s="653"/>
      <c r="K669" s="655"/>
      <c r="L669" s="653"/>
      <c r="M669" s="653"/>
      <c r="N669" s="653"/>
      <c r="O669" s="653"/>
      <c r="P669" s="653"/>
      <c r="Q669" s="653"/>
      <c r="R669" s="653"/>
      <c r="S669" s="653"/>
      <c r="T669" s="653"/>
      <c r="U669" s="656"/>
      <c r="V669" s="653"/>
      <c r="W669" s="653"/>
      <c r="X669" s="653"/>
      <c r="Y669" s="657"/>
      <c r="Z669" s="615"/>
      <c r="AA669" s="653"/>
      <c r="AB669" s="657"/>
      <c r="AC669" s="653"/>
      <c r="AD669" s="653"/>
      <c r="AE669" s="653"/>
      <c r="AF669" s="653"/>
      <c r="AG669" s="653"/>
      <c r="AH669" s="653"/>
      <c r="AI669" s="653"/>
      <c r="AJ669" s="653"/>
      <c r="AK669" s="653"/>
      <c r="AL669" s="653"/>
      <c r="AM669" s="653"/>
      <c r="AN669" s="653"/>
      <c r="AO669" s="653"/>
      <c r="AP669" s="653"/>
      <c r="AQ669" s="653"/>
      <c r="AR669" s="653"/>
      <c r="AS669" s="653"/>
      <c r="AT669" s="653"/>
      <c r="AU669" s="653"/>
      <c r="AV669" s="653"/>
    </row>
    <row r="670" spans="1:48" ht="14.5">
      <c r="A670" s="653"/>
      <c r="B670" s="653"/>
      <c r="C670" s="653"/>
      <c r="D670" s="653"/>
      <c r="E670" s="653"/>
      <c r="F670" s="653"/>
      <c r="G670" s="654"/>
      <c r="H670" s="654"/>
      <c r="I670" s="653"/>
      <c r="J670" s="653"/>
      <c r="K670" s="655"/>
      <c r="L670" s="653"/>
      <c r="M670" s="653"/>
      <c r="N670" s="653"/>
      <c r="O670" s="653"/>
      <c r="P670" s="653"/>
      <c r="Q670" s="653"/>
      <c r="R670" s="653"/>
      <c r="S670" s="653"/>
      <c r="T670" s="653"/>
      <c r="U670" s="656"/>
      <c r="V670" s="653"/>
      <c r="W670" s="653"/>
      <c r="X670" s="653"/>
      <c r="Y670" s="657"/>
      <c r="Z670" s="615"/>
      <c r="AA670" s="653"/>
      <c r="AB670" s="657"/>
      <c r="AC670" s="653"/>
      <c r="AD670" s="653"/>
      <c r="AE670" s="653"/>
      <c r="AF670" s="653"/>
      <c r="AG670" s="653"/>
      <c r="AH670" s="653"/>
      <c r="AI670" s="653"/>
      <c r="AJ670" s="653"/>
      <c r="AK670" s="653"/>
      <c r="AL670" s="653"/>
      <c r="AM670" s="653"/>
      <c r="AN670" s="653"/>
      <c r="AO670" s="653"/>
      <c r="AP670" s="653"/>
      <c r="AQ670" s="653"/>
      <c r="AR670" s="653"/>
      <c r="AS670" s="653"/>
      <c r="AT670" s="653"/>
      <c r="AU670" s="653"/>
      <c r="AV670" s="653"/>
    </row>
    <row r="671" spans="1:48" ht="14.5">
      <c r="A671" s="653"/>
      <c r="B671" s="653"/>
      <c r="C671" s="653"/>
      <c r="D671" s="653"/>
      <c r="E671" s="653"/>
      <c r="F671" s="653"/>
      <c r="G671" s="654"/>
      <c r="H671" s="654"/>
      <c r="I671" s="653"/>
      <c r="J671" s="653"/>
      <c r="K671" s="655"/>
      <c r="L671" s="653"/>
      <c r="M671" s="653"/>
      <c r="N671" s="653"/>
      <c r="O671" s="653"/>
      <c r="P671" s="653"/>
      <c r="Q671" s="653"/>
      <c r="R671" s="653"/>
      <c r="S671" s="653"/>
      <c r="T671" s="653"/>
      <c r="U671" s="656"/>
      <c r="V671" s="653"/>
      <c r="W671" s="653"/>
      <c r="X671" s="653"/>
      <c r="Y671" s="657"/>
      <c r="Z671" s="615"/>
      <c r="AA671" s="653"/>
      <c r="AB671" s="657"/>
      <c r="AC671" s="653"/>
      <c r="AD671" s="653"/>
      <c r="AE671" s="653"/>
      <c r="AF671" s="653"/>
      <c r="AG671" s="653"/>
      <c r="AH671" s="653"/>
      <c r="AI671" s="653"/>
      <c r="AJ671" s="653"/>
      <c r="AK671" s="653"/>
      <c r="AL671" s="653"/>
      <c r="AM671" s="653"/>
      <c r="AN671" s="653"/>
      <c r="AO671" s="653"/>
      <c r="AP671" s="653"/>
      <c r="AQ671" s="653"/>
      <c r="AR671" s="653"/>
      <c r="AS671" s="653"/>
      <c r="AT671" s="653"/>
      <c r="AU671" s="653"/>
      <c r="AV671" s="653"/>
    </row>
    <row r="672" spans="1:48" ht="14.5">
      <c r="A672" s="653"/>
      <c r="B672" s="653"/>
      <c r="C672" s="653"/>
      <c r="D672" s="653"/>
      <c r="E672" s="653"/>
      <c r="F672" s="653"/>
      <c r="G672" s="654"/>
      <c r="H672" s="654"/>
      <c r="I672" s="653"/>
      <c r="J672" s="653"/>
      <c r="K672" s="655"/>
      <c r="L672" s="653"/>
      <c r="M672" s="653"/>
      <c r="N672" s="653"/>
      <c r="O672" s="653"/>
      <c r="P672" s="653"/>
      <c r="Q672" s="653"/>
      <c r="R672" s="653"/>
      <c r="S672" s="653"/>
      <c r="T672" s="653"/>
      <c r="U672" s="656"/>
      <c r="V672" s="653"/>
      <c r="W672" s="653"/>
      <c r="X672" s="653"/>
      <c r="Y672" s="657"/>
      <c r="Z672" s="615"/>
      <c r="AA672" s="653"/>
      <c r="AB672" s="657"/>
      <c r="AC672" s="653"/>
      <c r="AD672" s="653"/>
      <c r="AE672" s="653"/>
      <c r="AF672" s="653"/>
      <c r="AG672" s="653"/>
      <c r="AH672" s="653"/>
      <c r="AI672" s="653"/>
      <c r="AJ672" s="653"/>
      <c r="AK672" s="653"/>
      <c r="AL672" s="653"/>
      <c r="AM672" s="653"/>
      <c r="AN672" s="653"/>
      <c r="AO672" s="653"/>
      <c r="AP672" s="653"/>
      <c r="AQ672" s="653"/>
      <c r="AR672" s="653"/>
      <c r="AS672" s="653"/>
      <c r="AT672" s="653"/>
      <c r="AU672" s="653"/>
      <c r="AV672" s="653"/>
    </row>
    <row r="673" spans="1:48" ht="14.5">
      <c r="A673" s="653"/>
      <c r="B673" s="653"/>
      <c r="C673" s="653"/>
      <c r="D673" s="653"/>
      <c r="E673" s="653"/>
      <c r="F673" s="653"/>
      <c r="G673" s="654"/>
      <c r="H673" s="654"/>
      <c r="I673" s="653"/>
      <c r="J673" s="653"/>
      <c r="K673" s="655"/>
      <c r="L673" s="653"/>
      <c r="M673" s="653"/>
      <c r="N673" s="653"/>
      <c r="O673" s="653"/>
      <c r="P673" s="653"/>
      <c r="Q673" s="653"/>
      <c r="R673" s="653"/>
      <c r="S673" s="653"/>
      <c r="T673" s="653"/>
      <c r="U673" s="656"/>
      <c r="V673" s="653"/>
      <c r="W673" s="653"/>
      <c r="X673" s="653"/>
      <c r="Y673" s="657"/>
      <c r="Z673" s="615"/>
      <c r="AA673" s="653"/>
      <c r="AB673" s="657"/>
      <c r="AC673" s="653"/>
      <c r="AD673" s="653"/>
      <c r="AE673" s="653"/>
      <c r="AF673" s="653"/>
      <c r="AG673" s="653"/>
      <c r="AH673" s="653"/>
      <c r="AI673" s="653"/>
      <c r="AJ673" s="653"/>
      <c r="AK673" s="653"/>
      <c r="AL673" s="653"/>
      <c r="AM673" s="653"/>
      <c r="AN673" s="653"/>
      <c r="AO673" s="653"/>
      <c r="AP673" s="653"/>
      <c r="AQ673" s="653"/>
      <c r="AR673" s="653"/>
      <c r="AS673" s="653"/>
      <c r="AT673" s="653"/>
      <c r="AU673" s="653"/>
      <c r="AV673" s="653"/>
    </row>
    <row r="674" spans="1:48" ht="14.5">
      <c r="A674" s="653"/>
      <c r="B674" s="653"/>
      <c r="C674" s="653"/>
      <c r="D674" s="653"/>
      <c r="E674" s="653"/>
      <c r="F674" s="653"/>
      <c r="G674" s="654"/>
      <c r="H674" s="654"/>
      <c r="I674" s="653"/>
      <c r="J674" s="653"/>
      <c r="K674" s="655"/>
      <c r="L674" s="653"/>
      <c r="M674" s="653"/>
      <c r="N674" s="653"/>
      <c r="O674" s="653"/>
      <c r="P674" s="653"/>
      <c r="Q674" s="653"/>
      <c r="R674" s="653"/>
      <c r="S674" s="653"/>
      <c r="T674" s="653"/>
      <c r="U674" s="656"/>
      <c r="V674" s="653"/>
      <c r="W674" s="653"/>
      <c r="X674" s="653"/>
      <c r="Y674" s="657"/>
      <c r="Z674" s="615"/>
      <c r="AA674" s="653"/>
      <c r="AB674" s="657"/>
      <c r="AC674" s="653"/>
      <c r="AD674" s="653"/>
      <c r="AE674" s="653"/>
      <c r="AF674" s="653"/>
      <c r="AG674" s="653"/>
      <c r="AH674" s="653"/>
      <c r="AI674" s="653"/>
      <c r="AJ674" s="653"/>
      <c r="AK674" s="653"/>
      <c r="AL674" s="653"/>
      <c r="AM674" s="653"/>
      <c r="AN674" s="653"/>
      <c r="AO674" s="653"/>
      <c r="AP674" s="653"/>
      <c r="AQ674" s="653"/>
      <c r="AR674" s="653"/>
      <c r="AS674" s="653"/>
      <c r="AT674" s="653"/>
      <c r="AU674" s="653"/>
      <c r="AV674" s="653"/>
    </row>
    <row r="675" spans="1:48" ht="14.5">
      <c r="A675" s="653"/>
      <c r="B675" s="653"/>
      <c r="C675" s="653"/>
      <c r="D675" s="653"/>
      <c r="E675" s="653"/>
      <c r="F675" s="653"/>
      <c r="G675" s="654"/>
      <c r="H675" s="654"/>
      <c r="I675" s="653"/>
      <c r="J675" s="653"/>
      <c r="K675" s="655"/>
      <c r="L675" s="653"/>
      <c r="M675" s="653"/>
      <c r="N675" s="653"/>
      <c r="O675" s="653"/>
      <c r="P675" s="653"/>
      <c r="Q675" s="653"/>
      <c r="R675" s="653"/>
      <c r="S675" s="653"/>
      <c r="T675" s="653"/>
      <c r="U675" s="656"/>
      <c r="V675" s="653"/>
      <c r="W675" s="653"/>
      <c r="X675" s="653"/>
      <c r="Y675" s="657"/>
      <c r="Z675" s="615"/>
      <c r="AA675" s="653"/>
      <c r="AB675" s="657"/>
      <c r="AC675" s="653"/>
      <c r="AD675" s="653"/>
      <c r="AE675" s="653"/>
      <c r="AF675" s="653"/>
      <c r="AG675" s="653"/>
      <c r="AH675" s="653"/>
      <c r="AI675" s="653"/>
      <c r="AJ675" s="653"/>
      <c r="AK675" s="653"/>
      <c r="AL675" s="653"/>
      <c r="AM675" s="653"/>
      <c r="AN675" s="653"/>
      <c r="AO675" s="653"/>
      <c r="AP675" s="653"/>
      <c r="AQ675" s="653"/>
      <c r="AR675" s="653"/>
      <c r="AS675" s="653"/>
      <c r="AT675" s="653"/>
      <c r="AU675" s="653"/>
      <c r="AV675" s="653"/>
    </row>
    <row r="676" spans="1:48" ht="14.5">
      <c r="A676" s="653"/>
      <c r="B676" s="653"/>
      <c r="C676" s="653"/>
      <c r="D676" s="653"/>
      <c r="E676" s="653"/>
      <c r="F676" s="653"/>
      <c r="G676" s="654"/>
      <c r="H676" s="654"/>
      <c r="I676" s="653"/>
      <c r="J676" s="653"/>
      <c r="K676" s="655"/>
      <c r="L676" s="653"/>
      <c r="M676" s="653"/>
      <c r="N676" s="653"/>
      <c r="O676" s="653"/>
      <c r="P676" s="653"/>
      <c r="Q676" s="653"/>
      <c r="R676" s="653"/>
      <c r="S676" s="653"/>
      <c r="T676" s="653"/>
      <c r="U676" s="656"/>
      <c r="V676" s="653"/>
      <c r="W676" s="653"/>
      <c r="X676" s="653"/>
      <c r="Y676" s="657"/>
      <c r="Z676" s="615"/>
      <c r="AA676" s="653"/>
      <c r="AB676" s="657"/>
      <c r="AC676" s="653"/>
      <c r="AD676" s="653"/>
      <c r="AE676" s="653"/>
      <c r="AF676" s="653"/>
      <c r="AG676" s="653"/>
      <c r="AH676" s="653"/>
      <c r="AI676" s="653"/>
      <c r="AJ676" s="653"/>
      <c r="AK676" s="653"/>
      <c r="AL676" s="653"/>
      <c r="AM676" s="653"/>
      <c r="AN676" s="653"/>
      <c r="AO676" s="653"/>
      <c r="AP676" s="653"/>
      <c r="AQ676" s="653"/>
      <c r="AR676" s="653"/>
      <c r="AS676" s="653"/>
      <c r="AT676" s="653"/>
      <c r="AU676" s="653"/>
      <c r="AV676" s="653"/>
    </row>
    <row r="677" spans="1:48" ht="14.5">
      <c r="A677" s="653"/>
      <c r="B677" s="653"/>
      <c r="C677" s="653"/>
      <c r="D677" s="653"/>
      <c r="E677" s="653"/>
      <c r="F677" s="653"/>
      <c r="G677" s="654"/>
      <c r="H677" s="654"/>
      <c r="I677" s="653"/>
      <c r="J677" s="653"/>
      <c r="K677" s="655"/>
      <c r="L677" s="653"/>
      <c r="M677" s="653"/>
      <c r="N677" s="653"/>
      <c r="O677" s="653"/>
      <c r="P677" s="653"/>
      <c r="Q677" s="653"/>
      <c r="R677" s="653"/>
      <c r="S677" s="653"/>
      <c r="T677" s="653"/>
      <c r="U677" s="656"/>
      <c r="V677" s="653"/>
      <c r="W677" s="653"/>
      <c r="X677" s="653"/>
      <c r="Y677" s="657"/>
      <c r="Z677" s="615"/>
      <c r="AA677" s="653"/>
      <c r="AB677" s="657"/>
      <c r="AC677" s="653"/>
      <c r="AD677" s="653"/>
      <c r="AE677" s="653"/>
      <c r="AF677" s="653"/>
      <c r="AG677" s="653"/>
      <c r="AH677" s="653"/>
      <c r="AI677" s="653"/>
      <c r="AJ677" s="653"/>
      <c r="AK677" s="653"/>
      <c r="AL677" s="653"/>
      <c r="AM677" s="653"/>
      <c r="AN677" s="653"/>
      <c r="AO677" s="653"/>
      <c r="AP677" s="653"/>
      <c r="AQ677" s="653"/>
      <c r="AR677" s="653"/>
      <c r="AS677" s="653"/>
      <c r="AT677" s="653"/>
      <c r="AU677" s="653"/>
      <c r="AV677" s="653"/>
    </row>
    <row r="678" spans="1:48" ht="14.5">
      <c r="A678" s="653"/>
      <c r="B678" s="653"/>
      <c r="C678" s="653"/>
      <c r="D678" s="653"/>
      <c r="E678" s="653"/>
      <c r="F678" s="653"/>
      <c r="G678" s="654"/>
      <c r="H678" s="654"/>
      <c r="I678" s="653"/>
      <c r="J678" s="653"/>
      <c r="K678" s="655"/>
      <c r="L678" s="653"/>
      <c r="M678" s="653"/>
      <c r="N678" s="653"/>
      <c r="O678" s="653"/>
      <c r="P678" s="653"/>
      <c r="Q678" s="653"/>
      <c r="R678" s="653"/>
      <c r="S678" s="653"/>
      <c r="T678" s="653"/>
      <c r="U678" s="656"/>
      <c r="V678" s="653"/>
      <c r="W678" s="653"/>
      <c r="X678" s="653"/>
      <c r="Y678" s="657"/>
      <c r="Z678" s="615"/>
      <c r="AA678" s="653"/>
      <c r="AB678" s="657"/>
      <c r="AC678" s="653"/>
      <c r="AD678" s="653"/>
      <c r="AE678" s="653"/>
      <c r="AF678" s="653"/>
      <c r="AG678" s="653"/>
      <c r="AH678" s="653"/>
      <c r="AI678" s="653"/>
      <c r="AJ678" s="653"/>
      <c r="AK678" s="653"/>
      <c r="AL678" s="653"/>
      <c r="AM678" s="653"/>
      <c r="AN678" s="653"/>
      <c r="AO678" s="653"/>
      <c r="AP678" s="653"/>
      <c r="AQ678" s="653"/>
      <c r="AR678" s="653"/>
      <c r="AS678" s="653"/>
      <c r="AT678" s="653"/>
      <c r="AU678" s="653"/>
      <c r="AV678" s="653"/>
    </row>
    <row r="679" spans="1:48" ht="14.5">
      <c r="A679" s="653"/>
      <c r="B679" s="653"/>
      <c r="C679" s="653"/>
      <c r="D679" s="653"/>
      <c r="E679" s="653"/>
      <c r="F679" s="653"/>
      <c r="G679" s="654"/>
      <c r="H679" s="654"/>
      <c r="I679" s="653"/>
      <c r="J679" s="653"/>
      <c r="K679" s="655"/>
      <c r="L679" s="653"/>
      <c r="M679" s="653"/>
      <c r="N679" s="653"/>
      <c r="O679" s="653"/>
      <c r="P679" s="653"/>
      <c r="Q679" s="653"/>
      <c r="R679" s="653"/>
      <c r="S679" s="653"/>
      <c r="T679" s="653"/>
      <c r="U679" s="656"/>
      <c r="V679" s="653"/>
      <c r="W679" s="653"/>
      <c r="X679" s="653"/>
      <c r="Y679" s="657"/>
      <c r="Z679" s="615"/>
      <c r="AA679" s="653"/>
      <c r="AB679" s="657"/>
      <c r="AC679" s="653"/>
      <c r="AD679" s="653"/>
      <c r="AE679" s="653"/>
      <c r="AF679" s="653"/>
      <c r="AG679" s="653"/>
      <c r="AH679" s="653"/>
      <c r="AI679" s="653"/>
      <c r="AJ679" s="653"/>
      <c r="AK679" s="653"/>
      <c r="AL679" s="653"/>
      <c r="AM679" s="653"/>
      <c r="AN679" s="653"/>
      <c r="AO679" s="653"/>
      <c r="AP679" s="653"/>
      <c r="AQ679" s="653"/>
      <c r="AR679" s="653"/>
      <c r="AS679" s="653"/>
      <c r="AT679" s="653"/>
      <c r="AU679" s="653"/>
      <c r="AV679" s="653"/>
    </row>
    <row r="680" spans="1:48" ht="14.5">
      <c r="A680" s="653"/>
      <c r="B680" s="653"/>
      <c r="C680" s="653"/>
      <c r="D680" s="653"/>
      <c r="E680" s="653"/>
      <c r="F680" s="653"/>
      <c r="G680" s="654"/>
      <c r="H680" s="654"/>
      <c r="I680" s="653"/>
      <c r="J680" s="653"/>
      <c r="K680" s="655"/>
      <c r="L680" s="653"/>
      <c r="M680" s="653"/>
      <c r="N680" s="653"/>
      <c r="O680" s="653"/>
      <c r="P680" s="653"/>
      <c r="Q680" s="653"/>
      <c r="R680" s="653"/>
      <c r="S680" s="653"/>
      <c r="T680" s="653"/>
      <c r="U680" s="656"/>
      <c r="V680" s="653"/>
      <c r="W680" s="653"/>
      <c r="X680" s="653"/>
      <c r="Y680" s="657"/>
      <c r="Z680" s="615"/>
      <c r="AA680" s="653"/>
      <c r="AB680" s="657"/>
      <c r="AC680" s="653"/>
      <c r="AD680" s="653"/>
      <c r="AE680" s="653"/>
      <c r="AF680" s="653"/>
      <c r="AG680" s="653"/>
      <c r="AH680" s="653"/>
      <c r="AI680" s="653"/>
      <c r="AJ680" s="653"/>
      <c r="AK680" s="653"/>
      <c r="AL680" s="653"/>
      <c r="AM680" s="653"/>
      <c r="AN680" s="653"/>
      <c r="AO680" s="653"/>
      <c r="AP680" s="653"/>
      <c r="AQ680" s="653"/>
      <c r="AR680" s="653"/>
      <c r="AS680" s="653"/>
      <c r="AT680" s="653"/>
      <c r="AU680" s="653"/>
      <c r="AV680" s="653"/>
    </row>
    <row r="681" spans="1:48" ht="14.5">
      <c r="A681" s="653"/>
      <c r="B681" s="653"/>
      <c r="C681" s="653"/>
      <c r="D681" s="653"/>
      <c r="E681" s="653"/>
      <c r="F681" s="653"/>
      <c r="G681" s="654"/>
      <c r="H681" s="654"/>
      <c r="I681" s="653"/>
      <c r="J681" s="653"/>
      <c r="K681" s="655"/>
      <c r="L681" s="653"/>
      <c r="M681" s="653"/>
      <c r="N681" s="653"/>
      <c r="O681" s="653"/>
      <c r="P681" s="653"/>
      <c r="Q681" s="653"/>
      <c r="R681" s="653"/>
      <c r="S681" s="653"/>
      <c r="T681" s="653"/>
      <c r="U681" s="656"/>
      <c r="V681" s="653"/>
      <c r="W681" s="653"/>
      <c r="X681" s="653"/>
      <c r="Y681" s="657"/>
      <c r="Z681" s="615"/>
      <c r="AA681" s="653"/>
      <c r="AB681" s="657"/>
      <c r="AC681" s="653"/>
      <c r="AD681" s="653"/>
      <c r="AE681" s="653"/>
      <c r="AF681" s="653"/>
      <c r="AG681" s="653"/>
      <c r="AH681" s="653"/>
      <c r="AI681" s="653"/>
      <c r="AJ681" s="653"/>
      <c r="AK681" s="653"/>
      <c r="AL681" s="653"/>
      <c r="AM681" s="653"/>
      <c r="AN681" s="653"/>
      <c r="AO681" s="653"/>
      <c r="AP681" s="653"/>
      <c r="AQ681" s="653"/>
      <c r="AR681" s="653"/>
      <c r="AS681" s="653"/>
      <c r="AT681" s="653"/>
      <c r="AU681" s="653"/>
      <c r="AV681" s="653"/>
    </row>
    <row r="682" spans="1:48" ht="14.5">
      <c r="A682" s="653"/>
      <c r="B682" s="653"/>
      <c r="C682" s="653"/>
      <c r="D682" s="653"/>
      <c r="E682" s="653"/>
      <c r="F682" s="653"/>
      <c r="G682" s="654"/>
      <c r="H682" s="654"/>
      <c r="I682" s="653"/>
      <c r="J682" s="653"/>
      <c r="K682" s="655"/>
      <c r="L682" s="653"/>
      <c r="M682" s="653"/>
      <c r="N682" s="653"/>
      <c r="O682" s="653"/>
      <c r="P682" s="653"/>
      <c r="Q682" s="653"/>
      <c r="R682" s="653"/>
      <c r="S682" s="653"/>
      <c r="T682" s="653"/>
      <c r="U682" s="656"/>
      <c r="V682" s="653"/>
      <c r="W682" s="653"/>
      <c r="X682" s="653"/>
      <c r="Y682" s="657"/>
      <c r="Z682" s="615"/>
      <c r="AA682" s="653"/>
      <c r="AB682" s="657"/>
      <c r="AC682" s="653"/>
      <c r="AD682" s="653"/>
      <c r="AE682" s="653"/>
      <c r="AF682" s="653"/>
      <c r="AG682" s="653"/>
      <c r="AH682" s="653"/>
      <c r="AI682" s="653"/>
      <c r="AJ682" s="653"/>
      <c r="AK682" s="653"/>
      <c r="AL682" s="653"/>
      <c r="AM682" s="653"/>
      <c r="AN682" s="653"/>
      <c r="AO682" s="653"/>
      <c r="AP682" s="653"/>
      <c r="AQ682" s="653"/>
      <c r="AR682" s="653"/>
      <c r="AS682" s="653"/>
      <c r="AT682" s="653"/>
      <c r="AU682" s="653"/>
      <c r="AV682" s="653"/>
    </row>
    <row r="683" spans="1:48" ht="14.5">
      <c r="A683" s="653"/>
      <c r="B683" s="653"/>
      <c r="C683" s="653"/>
      <c r="D683" s="653"/>
      <c r="E683" s="653"/>
      <c r="F683" s="653"/>
      <c r="G683" s="654"/>
      <c r="H683" s="654"/>
      <c r="I683" s="653"/>
      <c r="J683" s="653"/>
      <c r="K683" s="655"/>
      <c r="L683" s="653"/>
      <c r="M683" s="653"/>
      <c r="N683" s="653"/>
      <c r="O683" s="653"/>
      <c r="P683" s="653"/>
      <c r="Q683" s="653"/>
      <c r="R683" s="653"/>
      <c r="S683" s="653"/>
      <c r="T683" s="653"/>
      <c r="U683" s="656"/>
      <c r="V683" s="653"/>
      <c r="W683" s="653"/>
      <c r="X683" s="653"/>
      <c r="Y683" s="657"/>
      <c r="Z683" s="615"/>
      <c r="AA683" s="653"/>
      <c r="AB683" s="657"/>
      <c r="AC683" s="653"/>
      <c r="AD683" s="653"/>
      <c r="AE683" s="653"/>
      <c r="AF683" s="653"/>
      <c r="AG683" s="653"/>
      <c r="AH683" s="653"/>
      <c r="AI683" s="653"/>
      <c r="AJ683" s="653"/>
      <c r="AK683" s="653"/>
      <c r="AL683" s="653"/>
      <c r="AM683" s="653"/>
      <c r="AN683" s="653"/>
      <c r="AO683" s="653"/>
      <c r="AP683" s="653"/>
      <c r="AQ683" s="653"/>
      <c r="AR683" s="653"/>
      <c r="AS683" s="653"/>
      <c r="AT683" s="653"/>
      <c r="AU683" s="653"/>
      <c r="AV683" s="653"/>
    </row>
    <row r="684" spans="1:48" ht="14.5">
      <c r="A684" s="653"/>
      <c r="B684" s="653"/>
      <c r="C684" s="653"/>
      <c r="D684" s="653"/>
      <c r="E684" s="653"/>
      <c r="F684" s="653"/>
      <c r="G684" s="654"/>
      <c r="H684" s="654"/>
      <c r="I684" s="653"/>
      <c r="J684" s="653"/>
      <c r="K684" s="655"/>
      <c r="L684" s="653"/>
      <c r="M684" s="653"/>
      <c r="N684" s="653"/>
      <c r="O684" s="653"/>
      <c r="P684" s="653"/>
      <c r="Q684" s="653"/>
      <c r="R684" s="653"/>
      <c r="S684" s="653"/>
      <c r="T684" s="653"/>
      <c r="U684" s="656"/>
      <c r="V684" s="653"/>
      <c r="W684" s="653"/>
      <c r="X684" s="653"/>
      <c r="Y684" s="657"/>
      <c r="Z684" s="615"/>
      <c r="AA684" s="653"/>
      <c r="AB684" s="657"/>
      <c r="AC684" s="653"/>
      <c r="AD684" s="653"/>
      <c r="AE684" s="653"/>
      <c r="AF684" s="653"/>
      <c r="AG684" s="653"/>
      <c r="AH684" s="653"/>
      <c r="AI684" s="653"/>
      <c r="AJ684" s="653"/>
      <c r="AK684" s="653"/>
      <c r="AL684" s="653"/>
      <c r="AM684" s="653"/>
      <c r="AN684" s="653"/>
      <c r="AO684" s="653"/>
      <c r="AP684" s="653"/>
      <c r="AQ684" s="653"/>
      <c r="AR684" s="653"/>
      <c r="AS684" s="653"/>
      <c r="AT684" s="653"/>
      <c r="AU684" s="653"/>
      <c r="AV684" s="653"/>
    </row>
    <row r="685" spans="1:48" ht="14.5">
      <c r="A685" s="653"/>
      <c r="B685" s="653"/>
      <c r="C685" s="653"/>
      <c r="D685" s="653"/>
      <c r="E685" s="653"/>
      <c r="F685" s="653"/>
      <c r="G685" s="654"/>
      <c r="H685" s="654"/>
      <c r="I685" s="653"/>
      <c r="J685" s="653"/>
      <c r="K685" s="655"/>
      <c r="L685" s="653"/>
      <c r="M685" s="653"/>
      <c r="N685" s="653"/>
      <c r="O685" s="653"/>
      <c r="P685" s="653"/>
      <c r="Q685" s="653"/>
      <c r="R685" s="653"/>
      <c r="S685" s="653"/>
      <c r="T685" s="653"/>
      <c r="U685" s="656"/>
      <c r="V685" s="653"/>
      <c r="W685" s="653"/>
      <c r="X685" s="653"/>
      <c r="Y685" s="657"/>
      <c r="Z685" s="615"/>
      <c r="AA685" s="653"/>
      <c r="AB685" s="657"/>
      <c r="AC685" s="653"/>
      <c r="AD685" s="653"/>
      <c r="AE685" s="653"/>
      <c r="AF685" s="653"/>
      <c r="AG685" s="653"/>
      <c r="AH685" s="653"/>
      <c r="AI685" s="653"/>
      <c r="AJ685" s="653"/>
      <c r="AK685" s="653"/>
      <c r="AL685" s="653"/>
      <c r="AM685" s="653"/>
      <c r="AN685" s="653"/>
      <c r="AO685" s="653"/>
      <c r="AP685" s="653"/>
      <c r="AQ685" s="653"/>
      <c r="AR685" s="653"/>
      <c r="AS685" s="653"/>
      <c r="AT685" s="653"/>
      <c r="AU685" s="653"/>
      <c r="AV685" s="653"/>
    </row>
    <row r="686" spans="1:48" ht="14.5">
      <c r="A686" s="653"/>
      <c r="B686" s="653"/>
      <c r="C686" s="653"/>
      <c r="D686" s="653"/>
      <c r="E686" s="653"/>
      <c r="F686" s="653"/>
      <c r="G686" s="654"/>
      <c r="H686" s="654"/>
      <c r="I686" s="653"/>
      <c r="J686" s="653"/>
      <c r="K686" s="655"/>
      <c r="L686" s="653"/>
      <c r="M686" s="653"/>
      <c r="N686" s="653"/>
      <c r="O686" s="653"/>
      <c r="P686" s="653"/>
      <c r="Q686" s="653"/>
      <c r="R686" s="653"/>
      <c r="S686" s="653"/>
      <c r="T686" s="653"/>
      <c r="U686" s="656"/>
      <c r="V686" s="653"/>
      <c r="W686" s="653"/>
      <c r="X686" s="653"/>
      <c r="Y686" s="657"/>
      <c r="Z686" s="615"/>
      <c r="AA686" s="653"/>
      <c r="AB686" s="657"/>
      <c r="AC686" s="653"/>
      <c r="AD686" s="653"/>
      <c r="AE686" s="653"/>
      <c r="AF686" s="653"/>
      <c r="AG686" s="653"/>
      <c r="AH686" s="653"/>
      <c r="AI686" s="653"/>
      <c r="AJ686" s="653"/>
      <c r="AK686" s="653"/>
      <c r="AL686" s="653"/>
      <c r="AM686" s="653"/>
      <c r="AN686" s="653"/>
      <c r="AO686" s="653"/>
      <c r="AP686" s="653"/>
      <c r="AQ686" s="653"/>
      <c r="AR686" s="653"/>
      <c r="AS686" s="653"/>
      <c r="AT686" s="653"/>
      <c r="AU686" s="653"/>
      <c r="AV686" s="653"/>
    </row>
    <row r="687" spans="1:48" ht="14.5">
      <c r="A687" s="653"/>
      <c r="B687" s="653"/>
      <c r="C687" s="653"/>
      <c r="D687" s="653"/>
      <c r="E687" s="653"/>
      <c r="F687" s="653"/>
      <c r="G687" s="654"/>
      <c r="H687" s="654"/>
      <c r="I687" s="653"/>
      <c r="J687" s="653"/>
      <c r="K687" s="655"/>
      <c r="L687" s="653"/>
      <c r="M687" s="653"/>
      <c r="N687" s="653"/>
      <c r="O687" s="653"/>
      <c r="P687" s="653"/>
      <c r="Q687" s="653"/>
      <c r="R687" s="653"/>
      <c r="S687" s="653"/>
      <c r="T687" s="653"/>
      <c r="U687" s="656"/>
      <c r="V687" s="653"/>
      <c r="W687" s="653"/>
      <c r="X687" s="653"/>
      <c r="Y687" s="657"/>
      <c r="Z687" s="615"/>
      <c r="AA687" s="653"/>
      <c r="AB687" s="657"/>
      <c r="AC687" s="653"/>
      <c r="AD687" s="653"/>
      <c r="AE687" s="653"/>
      <c r="AF687" s="653"/>
      <c r="AG687" s="653"/>
      <c r="AH687" s="653"/>
      <c r="AI687" s="653"/>
      <c r="AJ687" s="653"/>
      <c r="AK687" s="653"/>
      <c r="AL687" s="653"/>
      <c r="AM687" s="653"/>
      <c r="AN687" s="653"/>
      <c r="AO687" s="653"/>
      <c r="AP687" s="653"/>
      <c r="AQ687" s="653"/>
      <c r="AR687" s="653"/>
      <c r="AS687" s="653"/>
      <c r="AT687" s="653"/>
      <c r="AU687" s="653"/>
      <c r="AV687" s="653"/>
    </row>
    <row r="688" spans="1:48" ht="14.5">
      <c r="A688" s="653"/>
      <c r="B688" s="653"/>
      <c r="C688" s="653"/>
      <c r="D688" s="653"/>
      <c r="E688" s="653"/>
      <c r="F688" s="653"/>
      <c r="G688" s="654"/>
      <c r="H688" s="654"/>
      <c r="I688" s="653"/>
      <c r="J688" s="653"/>
      <c r="K688" s="655"/>
      <c r="L688" s="653"/>
      <c r="M688" s="653"/>
      <c r="N688" s="653"/>
      <c r="O688" s="653"/>
      <c r="P688" s="653"/>
      <c r="Q688" s="653"/>
      <c r="R688" s="653"/>
      <c r="S688" s="653"/>
      <c r="T688" s="653"/>
      <c r="U688" s="656"/>
      <c r="V688" s="653"/>
      <c r="W688" s="653"/>
      <c r="X688" s="653"/>
      <c r="Y688" s="657"/>
      <c r="Z688" s="615"/>
      <c r="AA688" s="653"/>
      <c r="AB688" s="657"/>
      <c r="AC688" s="653"/>
      <c r="AD688" s="653"/>
      <c r="AE688" s="653"/>
      <c r="AF688" s="653"/>
      <c r="AG688" s="653"/>
      <c r="AH688" s="653"/>
      <c r="AI688" s="653"/>
      <c r="AJ688" s="653"/>
      <c r="AK688" s="653"/>
      <c r="AL688" s="653"/>
      <c r="AM688" s="653"/>
      <c r="AN688" s="653"/>
      <c r="AO688" s="653"/>
      <c r="AP688" s="653"/>
      <c r="AQ688" s="653"/>
      <c r="AR688" s="653"/>
      <c r="AS688" s="653"/>
      <c r="AT688" s="653"/>
      <c r="AU688" s="653"/>
      <c r="AV688" s="653"/>
    </row>
    <row r="689" spans="1:48" ht="14.5">
      <c r="A689" s="653"/>
      <c r="B689" s="653"/>
      <c r="C689" s="653"/>
      <c r="D689" s="653"/>
      <c r="E689" s="653"/>
      <c r="F689" s="653"/>
      <c r="G689" s="654"/>
      <c r="H689" s="654"/>
      <c r="I689" s="653"/>
      <c r="J689" s="653"/>
      <c r="K689" s="655"/>
      <c r="L689" s="653"/>
      <c r="M689" s="653"/>
      <c r="N689" s="653"/>
      <c r="O689" s="653"/>
      <c r="P689" s="653"/>
      <c r="Q689" s="653"/>
      <c r="R689" s="653"/>
      <c r="S689" s="653"/>
      <c r="T689" s="653"/>
      <c r="U689" s="656"/>
      <c r="V689" s="653"/>
      <c r="W689" s="653"/>
      <c r="X689" s="653"/>
      <c r="Y689" s="657"/>
      <c r="Z689" s="615"/>
      <c r="AA689" s="653"/>
      <c r="AB689" s="657"/>
      <c r="AC689" s="653"/>
      <c r="AD689" s="653"/>
      <c r="AE689" s="653"/>
      <c r="AF689" s="653"/>
      <c r="AG689" s="653"/>
      <c r="AH689" s="653"/>
      <c r="AI689" s="653"/>
      <c r="AJ689" s="653"/>
      <c r="AK689" s="653"/>
      <c r="AL689" s="653"/>
      <c r="AM689" s="653"/>
      <c r="AN689" s="653"/>
      <c r="AO689" s="653"/>
      <c r="AP689" s="653"/>
      <c r="AQ689" s="653"/>
      <c r="AR689" s="653"/>
      <c r="AS689" s="653"/>
      <c r="AT689" s="653"/>
      <c r="AU689" s="653"/>
      <c r="AV689" s="653"/>
    </row>
    <row r="690" spans="1:48" ht="14.5">
      <c r="A690" s="653"/>
      <c r="B690" s="653"/>
      <c r="C690" s="653"/>
      <c r="D690" s="653"/>
      <c r="E690" s="653"/>
      <c r="F690" s="653"/>
      <c r="G690" s="654"/>
      <c r="H690" s="654"/>
      <c r="I690" s="653"/>
      <c r="J690" s="653"/>
      <c r="K690" s="655"/>
      <c r="L690" s="653"/>
      <c r="M690" s="653"/>
      <c r="N690" s="653"/>
      <c r="O690" s="653"/>
      <c r="P690" s="653"/>
      <c r="Q690" s="653"/>
      <c r="R690" s="653"/>
      <c r="S690" s="653"/>
      <c r="T690" s="653"/>
      <c r="U690" s="656"/>
      <c r="V690" s="653"/>
      <c r="W690" s="653"/>
      <c r="X690" s="653"/>
      <c r="Y690" s="657"/>
      <c r="Z690" s="615"/>
      <c r="AA690" s="653"/>
      <c r="AB690" s="657"/>
      <c r="AC690" s="653"/>
      <c r="AD690" s="653"/>
      <c r="AE690" s="653"/>
      <c r="AF690" s="653"/>
      <c r="AG690" s="653"/>
      <c r="AH690" s="653"/>
      <c r="AI690" s="653"/>
      <c r="AJ690" s="653"/>
      <c r="AK690" s="653"/>
      <c r="AL690" s="653"/>
      <c r="AM690" s="653"/>
      <c r="AN690" s="653"/>
      <c r="AO690" s="653"/>
      <c r="AP690" s="653"/>
      <c r="AQ690" s="653"/>
      <c r="AR690" s="653"/>
      <c r="AS690" s="653"/>
      <c r="AT690" s="653"/>
      <c r="AU690" s="653"/>
      <c r="AV690" s="653"/>
    </row>
    <row r="691" spans="1:48" ht="14.5">
      <c r="A691" s="653"/>
      <c r="B691" s="653"/>
      <c r="C691" s="653"/>
      <c r="D691" s="653"/>
      <c r="E691" s="653"/>
      <c r="F691" s="653"/>
      <c r="G691" s="654"/>
      <c r="H691" s="654"/>
      <c r="I691" s="653"/>
      <c r="J691" s="653"/>
      <c r="K691" s="655"/>
      <c r="L691" s="653"/>
      <c r="M691" s="653"/>
      <c r="N691" s="653"/>
      <c r="O691" s="653"/>
      <c r="P691" s="653"/>
      <c r="Q691" s="653"/>
      <c r="R691" s="653"/>
      <c r="S691" s="653"/>
      <c r="T691" s="653"/>
      <c r="U691" s="656"/>
      <c r="V691" s="653"/>
      <c r="W691" s="653"/>
      <c r="X691" s="653"/>
      <c r="Y691" s="657"/>
      <c r="Z691" s="615"/>
      <c r="AA691" s="653"/>
      <c r="AB691" s="657"/>
      <c r="AC691" s="653"/>
      <c r="AD691" s="653"/>
      <c r="AE691" s="653"/>
      <c r="AF691" s="653"/>
      <c r="AG691" s="653"/>
      <c r="AH691" s="653"/>
      <c r="AI691" s="653"/>
      <c r="AJ691" s="653"/>
      <c r="AK691" s="653"/>
      <c r="AL691" s="653"/>
      <c r="AM691" s="653"/>
      <c r="AN691" s="653"/>
      <c r="AO691" s="653"/>
      <c r="AP691" s="653"/>
      <c r="AQ691" s="653"/>
      <c r="AR691" s="653"/>
      <c r="AS691" s="653"/>
      <c r="AT691" s="653"/>
      <c r="AU691" s="653"/>
      <c r="AV691" s="653"/>
    </row>
    <row r="692" spans="1:48" ht="14.5">
      <c r="A692" s="653"/>
      <c r="B692" s="653"/>
      <c r="C692" s="653"/>
      <c r="D692" s="653"/>
      <c r="E692" s="653"/>
      <c r="F692" s="653"/>
      <c r="G692" s="654"/>
      <c r="H692" s="654"/>
      <c r="I692" s="653"/>
      <c r="J692" s="653"/>
      <c r="K692" s="655"/>
      <c r="L692" s="653"/>
      <c r="M692" s="653"/>
      <c r="N692" s="653"/>
      <c r="O692" s="653"/>
      <c r="P692" s="653"/>
      <c r="Q692" s="653"/>
      <c r="R692" s="653"/>
      <c r="S692" s="653"/>
      <c r="T692" s="653"/>
      <c r="U692" s="656"/>
      <c r="V692" s="653"/>
      <c r="W692" s="653"/>
      <c r="X692" s="653"/>
      <c r="Y692" s="657"/>
      <c r="Z692" s="615"/>
      <c r="AA692" s="653"/>
      <c r="AB692" s="657"/>
      <c r="AC692" s="653"/>
      <c r="AD692" s="653"/>
      <c r="AE692" s="653"/>
      <c r="AF692" s="653"/>
      <c r="AG692" s="653"/>
      <c r="AH692" s="653"/>
      <c r="AI692" s="653"/>
      <c r="AJ692" s="653"/>
      <c r="AK692" s="653"/>
      <c r="AL692" s="653"/>
      <c r="AM692" s="653"/>
      <c r="AN692" s="653"/>
      <c r="AO692" s="653"/>
      <c r="AP692" s="653"/>
      <c r="AQ692" s="653"/>
      <c r="AR692" s="653"/>
      <c r="AS692" s="653"/>
      <c r="AT692" s="653"/>
      <c r="AU692" s="653"/>
      <c r="AV692" s="653"/>
    </row>
    <row r="693" spans="1:48" ht="14.5">
      <c r="A693" s="653"/>
      <c r="B693" s="653"/>
      <c r="C693" s="653"/>
      <c r="D693" s="653"/>
      <c r="E693" s="653"/>
      <c r="F693" s="653"/>
      <c r="G693" s="654"/>
      <c r="H693" s="654"/>
      <c r="I693" s="653"/>
      <c r="J693" s="653"/>
      <c r="K693" s="655"/>
      <c r="L693" s="653"/>
      <c r="M693" s="653"/>
      <c r="N693" s="653"/>
      <c r="O693" s="653"/>
      <c r="P693" s="653"/>
      <c r="Q693" s="653"/>
      <c r="R693" s="653"/>
      <c r="S693" s="653"/>
      <c r="T693" s="653"/>
      <c r="U693" s="656"/>
      <c r="V693" s="653"/>
      <c r="W693" s="653"/>
      <c r="X693" s="653"/>
      <c r="Y693" s="657"/>
      <c r="Z693" s="615"/>
      <c r="AA693" s="653"/>
      <c r="AB693" s="657"/>
      <c r="AC693" s="653"/>
      <c r="AD693" s="653"/>
      <c r="AE693" s="653"/>
      <c r="AF693" s="653"/>
      <c r="AG693" s="653"/>
      <c r="AH693" s="653"/>
      <c r="AI693" s="653"/>
      <c r="AJ693" s="653"/>
      <c r="AK693" s="653"/>
      <c r="AL693" s="653"/>
      <c r="AM693" s="653"/>
      <c r="AN693" s="653"/>
      <c r="AO693" s="653"/>
      <c r="AP693" s="653"/>
      <c r="AQ693" s="653"/>
      <c r="AR693" s="653"/>
      <c r="AS693" s="653"/>
      <c r="AT693" s="653"/>
      <c r="AU693" s="653"/>
      <c r="AV693" s="653"/>
    </row>
    <row r="694" spans="1:48" ht="14.5">
      <c r="A694" s="653"/>
      <c r="B694" s="653"/>
      <c r="C694" s="653"/>
      <c r="D694" s="653"/>
      <c r="E694" s="653"/>
      <c r="F694" s="653"/>
      <c r="G694" s="654"/>
      <c r="H694" s="654"/>
      <c r="I694" s="653"/>
      <c r="J694" s="653"/>
      <c r="K694" s="655"/>
      <c r="L694" s="653"/>
      <c r="M694" s="653"/>
      <c r="N694" s="653"/>
      <c r="O694" s="653"/>
      <c r="P694" s="653"/>
      <c r="Q694" s="653"/>
      <c r="R694" s="653"/>
      <c r="S694" s="653"/>
      <c r="T694" s="653"/>
      <c r="U694" s="656"/>
      <c r="V694" s="653"/>
      <c r="W694" s="653"/>
      <c r="X694" s="653"/>
      <c r="Y694" s="657"/>
      <c r="Z694" s="615"/>
      <c r="AA694" s="653"/>
      <c r="AB694" s="657"/>
      <c r="AC694" s="653"/>
      <c r="AD694" s="653"/>
      <c r="AE694" s="653"/>
      <c r="AF694" s="653"/>
      <c r="AG694" s="653"/>
      <c r="AH694" s="653"/>
      <c r="AI694" s="653"/>
      <c r="AJ694" s="653"/>
      <c r="AK694" s="653"/>
      <c r="AL694" s="653"/>
      <c r="AM694" s="653"/>
      <c r="AN694" s="653"/>
      <c r="AO694" s="653"/>
      <c r="AP694" s="653"/>
      <c r="AQ694" s="653"/>
      <c r="AR694" s="653"/>
      <c r="AS694" s="653"/>
      <c r="AT694" s="653"/>
      <c r="AU694" s="653"/>
      <c r="AV694" s="653"/>
    </row>
    <row r="695" spans="1:48" ht="14.5">
      <c r="A695" s="653"/>
      <c r="B695" s="653"/>
      <c r="C695" s="653"/>
      <c r="D695" s="653"/>
      <c r="E695" s="653"/>
      <c r="F695" s="653"/>
      <c r="G695" s="654"/>
      <c r="H695" s="654"/>
      <c r="I695" s="653"/>
      <c r="J695" s="653"/>
      <c r="K695" s="655"/>
      <c r="L695" s="653"/>
      <c r="M695" s="653"/>
      <c r="N695" s="653"/>
      <c r="O695" s="653"/>
      <c r="P695" s="653"/>
      <c r="Q695" s="653"/>
      <c r="R695" s="653"/>
      <c r="S695" s="653"/>
      <c r="T695" s="653"/>
      <c r="U695" s="656"/>
      <c r="V695" s="653"/>
      <c r="W695" s="653"/>
      <c r="X695" s="653"/>
      <c r="Y695" s="657"/>
      <c r="Z695" s="615"/>
      <c r="AA695" s="653"/>
      <c r="AB695" s="657"/>
      <c r="AC695" s="653"/>
      <c r="AD695" s="653"/>
      <c r="AE695" s="653"/>
      <c r="AF695" s="653"/>
      <c r="AG695" s="653"/>
      <c r="AH695" s="653"/>
      <c r="AI695" s="653"/>
      <c r="AJ695" s="653"/>
      <c r="AK695" s="653"/>
      <c r="AL695" s="653"/>
      <c r="AM695" s="653"/>
      <c r="AN695" s="653"/>
      <c r="AO695" s="653"/>
      <c r="AP695" s="653"/>
      <c r="AQ695" s="653"/>
      <c r="AR695" s="653"/>
      <c r="AS695" s="653"/>
      <c r="AT695" s="653"/>
      <c r="AU695" s="653"/>
      <c r="AV695" s="653"/>
    </row>
    <row r="696" spans="1:48" ht="14.5">
      <c r="A696" s="653"/>
      <c r="B696" s="653"/>
      <c r="C696" s="653"/>
      <c r="D696" s="653"/>
      <c r="E696" s="653"/>
      <c r="F696" s="653"/>
      <c r="G696" s="654"/>
      <c r="H696" s="654"/>
      <c r="I696" s="653"/>
      <c r="J696" s="653"/>
      <c r="K696" s="655"/>
      <c r="L696" s="653"/>
      <c r="M696" s="653"/>
      <c r="N696" s="653"/>
      <c r="O696" s="653"/>
      <c r="P696" s="653"/>
      <c r="Q696" s="653"/>
      <c r="R696" s="653"/>
      <c r="S696" s="653"/>
      <c r="T696" s="653"/>
      <c r="U696" s="656"/>
      <c r="V696" s="653"/>
      <c r="W696" s="653"/>
      <c r="X696" s="653"/>
      <c r="Y696" s="657"/>
      <c r="Z696" s="615"/>
      <c r="AA696" s="653"/>
      <c r="AB696" s="657"/>
      <c r="AC696" s="653"/>
      <c r="AD696" s="653"/>
      <c r="AE696" s="653"/>
      <c r="AF696" s="653"/>
      <c r="AG696" s="653"/>
      <c r="AH696" s="653"/>
      <c r="AI696" s="653"/>
      <c r="AJ696" s="653"/>
      <c r="AK696" s="653"/>
      <c r="AL696" s="653"/>
      <c r="AM696" s="653"/>
      <c r="AN696" s="653"/>
      <c r="AO696" s="653"/>
      <c r="AP696" s="653"/>
      <c r="AQ696" s="653"/>
      <c r="AR696" s="653"/>
      <c r="AS696" s="653"/>
      <c r="AT696" s="653"/>
      <c r="AU696" s="653"/>
      <c r="AV696" s="653"/>
    </row>
    <row r="697" spans="1:48" ht="14.5">
      <c r="A697" s="653"/>
      <c r="B697" s="653"/>
      <c r="C697" s="653"/>
      <c r="D697" s="653"/>
      <c r="E697" s="653"/>
      <c r="F697" s="653"/>
      <c r="G697" s="654"/>
      <c r="H697" s="654"/>
      <c r="I697" s="653"/>
      <c r="J697" s="653"/>
      <c r="K697" s="655"/>
      <c r="L697" s="653"/>
      <c r="M697" s="653"/>
      <c r="N697" s="653"/>
      <c r="O697" s="653"/>
      <c r="P697" s="653"/>
      <c r="Q697" s="653"/>
      <c r="R697" s="653"/>
      <c r="S697" s="653"/>
      <c r="T697" s="653"/>
      <c r="U697" s="656"/>
      <c r="V697" s="653"/>
      <c r="W697" s="653"/>
      <c r="X697" s="653"/>
      <c r="Y697" s="657"/>
      <c r="Z697" s="615"/>
      <c r="AA697" s="653"/>
      <c r="AB697" s="657"/>
      <c r="AC697" s="653"/>
      <c r="AD697" s="653"/>
      <c r="AE697" s="653"/>
      <c r="AF697" s="653"/>
      <c r="AG697" s="653"/>
      <c r="AH697" s="653"/>
      <c r="AI697" s="653"/>
      <c r="AJ697" s="653"/>
      <c r="AK697" s="653"/>
      <c r="AL697" s="653"/>
      <c r="AM697" s="653"/>
      <c r="AN697" s="653"/>
      <c r="AO697" s="653"/>
      <c r="AP697" s="653"/>
      <c r="AQ697" s="653"/>
      <c r="AR697" s="653"/>
      <c r="AS697" s="653"/>
      <c r="AT697" s="653"/>
      <c r="AU697" s="653"/>
      <c r="AV697" s="653"/>
    </row>
    <row r="698" spans="1:48" ht="14.5">
      <c r="A698" s="653"/>
      <c r="B698" s="653"/>
      <c r="C698" s="653"/>
      <c r="D698" s="653"/>
      <c r="E698" s="653"/>
      <c r="F698" s="653"/>
      <c r="G698" s="654"/>
      <c r="H698" s="654"/>
      <c r="I698" s="653"/>
      <c r="J698" s="653"/>
      <c r="K698" s="655"/>
      <c r="L698" s="653"/>
      <c r="M698" s="653"/>
      <c r="N698" s="653"/>
      <c r="O698" s="653"/>
      <c r="P698" s="653"/>
      <c r="Q698" s="653"/>
      <c r="R698" s="653"/>
      <c r="S698" s="653"/>
      <c r="T698" s="653"/>
      <c r="U698" s="656"/>
      <c r="V698" s="653"/>
      <c r="W698" s="653"/>
      <c r="X698" s="653"/>
      <c r="Y698" s="657"/>
      <c r="Z698" s="615"/>
      <c r="AA698" s="653"/>
      <c r="AB698" s="657"/>
      <c r="AC698" s="653"/>
      <c r="AD698" s="653"/>
      <c r="AE698" s="653"/>
      <c r="AF698" s="653"/>
      <c r="AG698" s="653"/>
      <c r="AH698" s="653"/>
      <c r="AI698" s="653"/>
      <c r="AJ698" s="653"/>
      <c r="AK698" s="653"/>
      <c r="AL698" s="653"/>
      <c r="AM698" s="653"/>
      <c r="AN698" s="653"/>
      <c r="AO698" s="653"/>
      <c r="AP698" s="653"/>
      <c r="AQ698" s="653"/>
      <c r="AR698" s="653"/>
      <c r="AS698" s="653"/>
      <c r="AT698" s="653"/>
      <c r="AU698" s="653"/>
      <c r="AV698" s="653"/>
    </row>
    <row r="699" spans="1:48" ht="14.5">
      <c r="A699" s="653"/>
      <c r="B699" s="653"/>
      <c r="C699" s="653"/>
      <c r="D699" s="653"/>
      <c r="E699" s="653"/>
      <c r="F699" s="653"/>
      <c r="G699" s="654"/>
      <c r="H699" s="654"/>
      <c r="I699" s="653"/>
      <c r="J699" s="653"/>
      <c r="K699" s="655"/>
      <c r="L699" s="653"/>
      <c r="M699" s="653"/>
      <c r="N699" s="653"/>
      <c r="O699" s="653"/>
      <c r="P699" s="653"/>
      <c r="Q699" s="653"/>
      <c r="R699" s="653"/>
      <c r="S699" s="653"/>
      <c r="T699" s="653"/>
      <c r="U699" s="656"/>
      <c r="V699" s="653"/>
      <c r="W699" s="653"/>
      <c r="X699" s="653"/>
      <c r="Y699" s="657"/>
      <c r="Z699" s="615"/>
      <c r="AA699" s="653"/>
      <c r="AB699" s="657"/>
      <c r="AC699" s="653"/>
      <c r="AD699" s="653"/>
      <c r="AE699" s="653"/>
      <c r="AF699" s="653"/>
      <c r="AG699" s="653"/>
      <c r="AH699" s="653"/>
      <c r="AI699" s="653"/>
      <c r="AJ699" s="653"/>
      <c r="AK699" s="653"/>
      <c r="AL699" s="653"/>
      <c r="AM699" s="653"/>
      <c r="AN699" s="653"/>
      <c r="AO699" s="653"/>
      <c r="AP699" s="653"/>
      <c r="AQ699" s="653"/>
      <c r="AR699" s="653"/>
      <c r="AS699" s="653"/>
      <c r="AT699" s="653"/>
      <c r="AU699" s="653"/>
      <c r="AV699" s="653"/>
    </row>
    <row r="700" spans="1:48" ht="14.5">
      <c r="A700" s="653"/>
      <c r="B700" s="653"/>
      <c r="C700" s="653"/>
      <c r="D700" s="653"/>
      <c r="E700" s="653"/>
      <c r="F700" s="653"/>
      <c r="G700" s="654"/>
      <c r="H700" s="654"/>
      <c r="I700" s="653"/>
      <c r="J700" s="653"/>
      <c r="K700" s="655"/>
      <c r="L700" s="653"/>
      <c r="M700" s="653"/>
      <c r="N700" s="653"/>
      <c r="O700" s="653"/>
      <c r="P700" s="653"/>
      <c r="Q700" s="653"/>
      <c r="R700" s="653"/>
      <c r="S700" s="653"/>
      <c r="T700" s="653"/>
      <c r="U700" s="656"/>
      <c r="V700" s="653"/>
      <c r="W700" s="653"/>
      <c r="X700" s="653"/>
      <c r="Y700" s="657"/>
      <c r="Z700" s="615"/>
      <c r="AA700" s="653"/>
      <c r="AB700" s="657"/>
      <c r="AC700" s="653"/>
      <c r="AD700" s="653"/>
      <c r="AE700" s="653"/>
      <c r="AF700" s="653"/>
      <c r="AG700" s="653"/>
      <c r="AH700" s="653"/>
      <c r="AI700" s="653"/>
      <c r="AJ700" s="653"/>
      <c r="AK700" s="653"/>
      <c r="AL700" s="653"/>
      <c r="AM700" s="653"/>
      <c r="AN700" s="653"/>
      <c r="AO700" s="653"/>
      <c r="AP700" s="653"/>
      <c r="AQ700" s="653"/>
      <c r="AR700" s="653"/>
      <c r="AS700" s="653"/>
      <c r="AT700" s="653"/>
      <c r="AU700" s="653"/>
      <c r="AV700" s="653"/>
    </row>
    <row r="701" spans="1:48" ht="14.5">
      <c r="A701" s="653"/>
      <c r="B701" s="653"/>
      <c r="C701" s="653"/>
      <c r="D701" s="653"/>
      <c r="E701" s="653"/>
      <c r="F701" s="653"/>
      <c r="G701" s="654"/>
      <c r="H701" s="654"/>
      <c r="I701" s="653"/>
      <c r="J701" s="653"/>
      <c r="K701" s="655"/>
      <c r="L701" s="653"/>
      <c r="M701" s="653"/>
      <c r="N701" s="653"/>
      <c r="O701" s="653"/>
      <c r="P701" s="653"/>
      <c r="Q701" s="653"/>
      <c r="R701" s="653"/>
      <c r="S701" s="653"/>
      <c r="T701" s="653"/>
      <c r="U701" s="656"/>
      <c r="V701" s="653"/>
      <c r="W701" s="653"/>
      <c r="X701" s="653"/>
      <c r="Y701" s="657"/>
      <c r="Z701" s="615"/>
      <c r="AA701" s="653"/>
      <c r="AB701" s="657"/>
      <c r="AC701" s="653"/>
      <c r="AD701" s="653"/>
      <c r="AE701" s="653"/>
      <c r="AF701" s="653"/>
      <c r="AG701" s="653"/>
      <c r="AH701" s="653"/>
      <c r="AI701" s="653"/>
      <c r="AJ701" s="653"/>
      <c r="AK701" s="653"/>
      <c r="AL701" s="653"/>
      <c r="AM701" s="653"/>
      <c r="AN701" s="653"/>
      <c r="AO701" s="653"/>
      <c r="AP701" s="653"/>
      <c r="AQ701" s="653"/>
      <c r="AR701" s="653"/>
      <c r="AS701" s="653"/>
      <c r="AT701" s="653"/>
      <c r="AU701" s="653"/>
      <c r="AV701" s="653"/>
    </row>
    <row r="702" spans="1:48" ht="14.5">
      <c r="A702" s="653"/>
      <c r="B702" s="653"/>
      <c r="C702" s="653"/>
      <c r="D702" s="653"/>
      <c r="E702" s="653"/>
      <c r="F702" s="653"/>
      <c r="G702" s="654"/>
      <c r="H702" s="654"/>
      <c r="I702" s="653"/>
      <c r="J702" s="653"/>
      <c r="K702" s="655"/>
      <c r="L702" s="653"/>
      <c r="M702" s="653"/>
      <c r="N702" s="653"/>
      <c r="O702" s="653"/>
      <c r="P702" s="653"/>
      <c r="Q702" s="653"/>
      <c r="R702" s="653"/>
      <c r="S702" s="653"/>
      <c r="T702" s="653"/>
      <c r="U702" s="656"/>
      <c r="V702" s="653"/>
      <c r="W702" s="653"/>
      <c r="X702" s="653"/>
      <c r="Y702" s="657"/>
      <c r="Z702" s="615"/>
      <c r="AA702" s="653"/>
      <c r="AB702" s="657"/>
      <c r="AC702" s="653"/>
      <c r="AD702" s="653"/>
      <c r="AE702" s="653"/>
      <c r="AF702" s="653"/>
      <c r="AG702" s="653"/>
      <c r="AH702" s="653"/>
      <c r="AI702" s="653"/>
      <c r="AJ702" s="653"/>
      <c r="AK702" s="653"/>
      <c r="AL702" s="653"/>
      <c r="AM702" s="653"/>
      <c r="AN702" s="653"/>
      <c r="AO702" s="653"/>
      <c r="AP702" s="653"/>
      <c r="AQ702" s="653"/>
      <c r="AR702" s="653"/>
      <c r="AS702" s="653"/>
      <c r="AT702" s="653"/>
      <c r="AU702" s="653"/>
      <c r="AV702" s="653"/>
    </row>
    <row r="703" spans="1:48" ht="14.5">
      <c r="A703" s="653"/>
      <c r="B703" s="653"/>
      <c r="C703" s="653"/>
      <c r="D703" s="653"/>
      <c r="E703" s="653"/>
      <c r="F703" s="653"/>
      <c r="G703" s="654"/>
      <c r="H703" s="654"/>
      <c r="I703" s="653"/>
      <c r="J703" s="653"/>
      <c r="K703" s="655"/>
      <c r="L703" s="653"/>
      <c r="M703" s="653"/>
      <c r="N703" s="653"/>
      <c r="O703" s="653"/>
      <c r="P703" s="653"/>
      <c r="Q703" s="653"/>
      <c r="R703" s="653"/>
      <c r="S703" s="653"/>
      <c r="T703" s="653"/>
      <c r="U703" s="656"/>
      <c r="V703" s="653"/>
      <c r="W703" s="653"/>
      <c r="X703" s="653"/>
      <c r="Y703" s="657"/>
      <c r="Z703" s="615"/>
      <c r="AA703" s="653"/>
      <c r="AB703" s="657"/>
      <c r="AC703" s="653"/>
      <c r="AD703" s="653"/>
      <c r="AE703" s="653"/>
      <c r="AF703" s="653"/>
      <c r="AG703" s="653"/>
      <c r="AH703" s="653"/>
      <c r="AI703" s="653"/>
      <c r="AJ703" s="653"/>
      <c r="AK703" s="653"/>
      <c r="AL703" s="653"/>
      <c r="AM703" s="653"/>
      <c r="AN703" s="653"/>
      <c r="AO703" s="653"/>
      <c r="AP703" s="653"/>
      <c r="AQ703" s="653"/>
      <c r="AR703" s="653"/>
      <c r="AS703" s="653"/>
      <c r="AT703" s="653"/>
      <c r="AU703" s="653"/>
      <c r="AV703" s="653"/>
    </row>
    <row r="704" spans="1:48" ht="14.5">
      <c r="A704" s="653"/>
      <c r="B704" s="653"/>
      <c r="C704" s="653"/>
      <c r="D704" s="653"/>
      <c r="E704" s="653"/>
      <c r="F704" s="653"/>
      <c r="G704" s="654"/>
      <c r="H704" s="654"/>
      <c r="I704" s="653"/>
      <c r="J704" s="653"/>
      <c r="K704" s="655"/>
      <c r="L704" s="653"/>
      <c r="M704" s="653"/>
      <c r="N704" s="653"/>
      <c r="O704" s="653"/>
      <c r="P704" s="653"/>
      <c r="Q704" s="653"/>
      <c r="R704" s="653"/>
      <c r="S704" s="653"/>
      <c r="T704" s="653"/>
      <c r="U704" s="656"/>
      <c r="V704" s="653"/>
      <c r="W704" s="653"/>
      <c r="X704" s="653"/>
      <c r="Y704" s="657"/>
      <c r="Z704" s="615"/>
      <c r="AA704" s="653"/>
      <c r="AB704" s="657"/>
      <c r="AC704" s="653"/>
      <c r="AD704" s="653"/>
      <c r="AE704" s="653"/>
      <c r="AF704" s="653"/>
      <c r="AG704" s="653"/>
      <c r="AH704" s="653"/>
      <c r="AI704" s="653"/>
      <c r="AJ704" s="653"/>
      <c r="AK704" s="653"/>
      <c r="AL704" s="653"/>
      <c r="AM704" s="653"/>
      <c r="AN704" s="653"/>
      <c r="AO704" s="653"/>
      <c r="AP704" s="653"/>
      <c r="AQ704" s="653"/>
      <c r="AR704" s="653"/>
      <c r="AS704" s="653"/>
      <c r="AT704" s="653"/>
      <c r="AU704" s="653"/>
      <c r="AV704" s="653"/>
    </row>
    <row r="705" spans="1:48" ht="14.5">
      <c r="A705" s="653"/>
      <c r="B705" s="653"/>
      <c r="C705" s="653"/>
      <c r="D705" s="653"/>
      <c r="E705" s="653"/>
      <c r="F705" s="653"/>
      <c r="G705" s="654"/>
      <c r="H705" s="654"/>
      <c r="I705" s="653"/>
      <c r="J705" s="653"/>
      <c r="K705" s="655"/>
      <c r="L705" s="653"/>
      <c r="M705" s="653"/>
      <c r="N705" s="653"/>
      <c r="O705" s="653"/>
      <c r="P705" s="653"/>
      <c r="Q705" s="653"/>
      <c r="R705" s="653"/>
      <c r="S705" s="653"/>
      <c r="T705" s="653"/>
      <c r="U705" s="656"/>
      <c r="V705" s="653"/>
      <c r="W705" s="653"/>
      <c r="X705" s="653"/>
      <c r="Y705" s="657"/>
      <c r="Z705" s="615"/>
      <c r="AA705" s="653"/>
      <c r="AB705" s="657"/>
      <c r="AC705" s="653"/>
      <c r="AD705" s="653"/>
      <c r="AE705" s="653"/>
      <c r="AF705" s="653"/>
      <c r="AG705" s="653"/>
      <c r="AH705" s="653"/>
      <c r="AI705" s="653"/>
      <c r="AJ705" s="653"/>
      <c r="AK705" s="653"/>
      <c r="AL705" s="653"/>
      <c r="AM705" s="653"/>
      <c r="AN705" s="653"/>
      <c r="AO705" s="653"/>
      <c r="AP705" s="653"/>
      <c r="AQ705" s="653"/>
      <c r="AR705" s="653"/>
      <c r="AS705" s="653"/>
      <c r="AT705" s="653"/>
      <c r="AU705" s="653"/>
      <c r="AV705" s="653"/>
    </row>
    <row r="706" spans="1:48" ht="14.5">
      <c r="A706" s="653"/>
      <c r="B706" s="653"/>
      <c r="C706" s="653"/>
      <c r="D706" s="653"/>
      <c r="E706" s="653"/>
      <c r="F706" s="653"/>
      <c r="G706" s="654"/>
      <c r="H706" s="654"/>
      <c r="I706" s="653"/>
      <c r="J706" s="653"/>
      <c r="K706" s="655"/>
      <c r="L706" s="653"/>
      <c r="M706" s="653"/>
      <c r="N706" s="653"/>
      <c r="O706" s="653"/>
      <c r="P706" s="653"/>
      <c r="Q706" s="653"/>
      <c r="R706" s="653"/>
      <c r="S706" s="653"/>
      <c r="T706" s="653"/>
      <c r="U706" s="656"/>
      <c r="V706" s="653"/>
      <c r="W706" s="653"/>
      <c r="X706" s="653"/>
      <c r="Y706" s="657"/>
      <c r="Z706" s="615"/>
      <c r="AA706" s="653"/>
      <c r="AB706" s="657"/>
      <c r="AC706" s="653"/>
      <c r="AD706" s="653"/>
      <c r="AE706" s="653"/>
      <c r="AF706" s="653"/>
      <c r="AG706" s="653"/>
      <c r="AH706" s="653"/>
      <c r="AI706" s="653"/>
      <c r="AJ706" s="653"/>
      <c r="AK706" s="653"/>
      <c r="AL706" s="653"/>
      <c r="AM706" s="653"/>
      <c r="AN706" s="653"/>
      <c r="AO706" s="653"/>
      <c r="AP706" s="653"/>
      <c r="AQ706" s="653"/>
      <c r="AR706" s="653"/>
      <c r="AS706" s="653"/>
      <c r="AT706" s="653"/>
      <c r="AU706" s="653"/>
      <c r="AV706" s="653"/>
    </row>
    <row r="707" spans="1:48" ht="14.5">
      <c r="A707" s="653"/>
      <c r="B707" s="653"/>
      <c r="C707" s="653"/>
      <c r="D707" s="653"/>
      <c r="E707" s="653"/>
      <c r="F707" s="653"/>
      <c r="G707" s="654"/>
      <c r="H707" s="654"/>
      <c r="I707" s="653"/>
      <c r="J707" s="653"/>
      <c r="K707" s="655"/>
      <c r="L707" s="653"/>
      <c r="M707" s="653"/>
      <c r="N707" s="653"/>
      <c r="O707" s="653"/>
      <c r="P707" s="653"/>
      <c r="Q707" s="653"/>
      <c r="R707" s="653"/>
      <c r="S707" s="653"/>
      <c r="T707" s="653"/>
      <c r="U707" s="656"/>
      <c r="V707" s="653"/>
      <c r="W707" s="653"/>
      <c r="X707" s="653"/>
      <c r="Y707" s="657"/>
      <c r="Z707" s="615"/>
      <c r="AA707" s="653"/>
      <c r="AB707" s="657"/>
      <c r="AC707" s="653"/>
      <c r="AD707" s="653"/>
      <c r="AE707" s="653"/>
      <c r="AF707" s="653"/>
      <c r="AG707" s="653"/>
      <c r="AH707" s="653"/>
      <c r="AI707" s="653"/>
      <c r="AJ707" s="653"/>
      <c r="AK707" s="653"/>
      <c r="AL707" s="653"/>
      <c r="AM707" s="653"/>
      <c r="AN707" s="653"/>
      <c r="AO707" s="653"/>
      <c r="AP707" s="653"/>
      <c r="AQ707" s="653"/>
      <c r="AR707" s="653"/>
      <c r="AS707" s="653"/>
      <c r="AT707" s="653"/>
      <c r="AU707" s="653"/>
      <c r="AV707" s="653"/>
    </row>
    <row r="708" spans="1:48" ht="14.5">
      <c r="A708" s="653"/>
      <c r="B708" s="653"/>
      <c r="C708" s="653"/>
      <c r="D708" s="653"/>
      <c r="E708" s="653"/>
      <c r="F708" s="653"/>
      <c r="G708" s="654"/>
      <c r="H708" s="654"/>
      <c r="I708" s="653"/>
      <c r="J708" s="653"/>
      <c r="K708" s="655"/>
      <c r="L708" s="653"/>
      <c r="M708" s="653"/>
      <c r="N708" s="653"/>
      <c r="O708" s="653"/>
      <c r="P708" s="653"/>
      <c r="Q708" s="653"/>
      <c r="R708" s="653"/>
      <c r="S708" s="653"/>
      <c r="T708" s="653"/>
      <c r="U708" s="656"/>
      <c r="V708" s="653"/>
      <c r="W708" s="653"/>
      <c r="X708" s="653"/>
      <c r="Y708" s="657"/>
      <c r="Z708" s="615"/>
      <c r="AA708" s="653"/>
      <c r="AB708" s="657"/>
      <c r="AC708" s="653"/>
      <c r="AD708" s="653"/>
      <c r="AE708" s="653"/>
      <c r="AF708" s="653"/>
      <c r="AG708" s="653"/>
      <c r="AH708" s="653"/>
      <c r="AI708" s="653"/>
      <c r="AJ708" s="653"/>
      <c r="AK708" s="653"/>
      <c r="AL708" s="653"/>
      <c r="AM708" s="653"/>
      <c r="AN708" s="653"/>
      <c r="AO708" s="653"/>
      <c r="AP708" s="653"/>
      <c r="AQ708" s="653"/>
      <c r="AR708" s="653"/>
      <c r="AS708" s="653"/>
      <c r="AT708" s="653"/>
      <c r="AU708" s="653"/>
      <c r="AV708" s="653"/>
    </row>
    <row r="709" spans="1:48" ht="14.5">
      <c r="A709" s="653"/>
      <c r="B709" s="653"/>
      <c r="C709" s="653"/>
      <c r="D709" s="653"/>
      <c r="E709" s="653"/>
      <c r="F709" s="653"/>
      <c r="G709" s="654"/>
      <c r="H709" s="654"/>
      <c r="I709" s="653"/>
      <c r="J709" s="653"/>
      <c r="K709" s="655"/>
      <c r="L709" s="653"/>
      <c r="M709" s="653"/>
      <c r="N709" s="653"/>
      <c r="O709" s="653"/>
      <c r="P709" s="653"/>
      <c r="Q709" s="653"/>
      <c r="R709" s="653"/>
      <c r="S709" s="653"/>
      <c r="T709" s="653"/>
      <c r="U709" s="656"/>
      <c r="V709" s="653"/>
      <c r="W709" s="653"/>
      <c r="X709" s="653"/>
      <c r="Y709" s="657"/>
      <c r="Z709" s="615"/>
      <c r="AA709" s="653"/>
      <c r="AB709" s="657"/>
      <c r="AC709" s="653"/>
      <c r="AD709" s="653"/>
      <c r="AE709" s="653"/>
      <c r="AF709" s="653"/>
      <c r="AG709" s="653"/>
      <c r="AH709" s="653"/>
      <c r="AI709" s="653"/>
      <c r="AJ709" s="653"/>
      <c r="AK709" s="653"/>
      <c r="AL709" s="653"/>
      <c r="AM709" s="653"/>
      <c r="AN709" s="653"/>
      <c r="AO709" s="653"/>
      <c r="AP709" s="653"/>
      <c r="AQ709" s="653"/>
      <c r="AR709" s="653"/>
      <c r="AS709" s="653"/>
      <c r="AT709" s="653"/>
      <c r="AU709" s="653"/>
      <c r="AV709" s="653"/>
    </row>
    <row r="710" spans="1:48" ht="14.5">
      <c r="A710" s="653"/>
      <c r="B710" s="653"/>
      <c r="C710" s="653"/>
      <c r="D710" s="653"/>
      <c r="E710" s="653"/>
      <c r="F710" s="653"/>
      <c r="G710" s="654"/>
      <c r="H710" s="654"/>
      <c r="I710" s="653"/>
      <c r="J710" s="653"/>
      <c r="K710" s="655"/>
      <c r="L710" s="653"/>
      <c r="M710" s="653"/>
      <c r="N710" s="653"/>
      <c r="O710" s="653"/>
      <c r="P710" s="653"/>
      <c r="Q710" s="653"/>
      <c r="R710" s="653"/>
      <c r="S710" s="653"/>
      <c r="T710" s="653"/>
      <c r="U710" s="656"/>
      <c r="V710" s="653"/>
      <c r="W710" s="653"/>
      <c r="X710" s="653"/>
      <c r="Y710" s="657"/>
      <c r="Z710" s="615"/>
      <c r="AA710" s="653"/>
      <c r="AB710" s="657"/>
      <c r="AC710" s="653"/>
      <c r="AD710" s="653"/>
      <c r="AE710" s="653"/>
      <c r="AF710" s="653"/>
      <c r="AG710" s="653"/>
      <c r="AH710" s="653"/>
      <c r="AI710" s="653"/>
      <c r="AJ710" s="653"/>
      <c r="AK710" s="653"/>
      <c r="AL710" s="653"/>
      <c r="AM710" s="653"/>
      <c r="AN710" s="653"/>
      <c r="AO710" s="653"/>
      <c r="AP710" s="653"/>
      <c r="AQ710" s="653"/>
      <c r="AR710" s="653"/>
      <c r="AS710" s="653"/>
      <c r="AT710" s="653"/>
      <c r="AU710" s="653"/>
      <c r="AV710" s="653"/>
    </row>
    <row r="711" spans="1:48" ht="14.5">
      <c r="A711" s="653"/>
      <c r="B711" s="653"/>
      <c r="C711" s="653"/>
      <c r="D711" s="653"/>
      <c r="E711" s="653"/>
      <c r="F711" s="653"/>
      <c r="G711" s="654"/>
      <c r="H711" s="654"/>
      <c r="I711" s="653"/>
      <c r="J711" s="653"/>
      <c r="K711" s="655"/>
      <c r="L711" s="653"/>
      <c r="M711" s="653"/>
      <c r="N711" s="653"/>
      <c r="O711" s="653"/>
      <c r="P711" s="653"/>
      <c r="Q711" s="653"/>
      <c r="R711" s="653"/>
      <c r="S711" s="653"/>
      <c r="T711" s="653"/>
      <c r="U711" s="656"/>
      <c r="V711" s="653"/>
      <c r="W711" s="653"/>
      <c r="X711" s="653"/>
      <c r="Y711" s="657"/>
      <c r="Z711" s="615"/>
      <c r="AA711" s="653"/>
      <c r="AB711" s="657"/>
      <c r="AC711" s="653"/>
      <c r="AD711" s="653"/>
      <c r="AE711" s="653"/>
      <c r="AF711" s="653"/>
      <c r="AG711" s="653"/>
      <c r="AH711" s="653"/>
      <c r="AI711" s="653"/>
      <c r="AJ711" s="653"/>
      <c r="AK711" s="653"/>
      <c r="AL711" s="653"/>
      <c r="AM711" s="653"/>
      <c r="AN711" s="653"/>
      <c r="AO711" s="653"/>
      <c r="AP711" s="653"/>
      <c r="AQ711" s="653"/>
      <c r="AR711" s="653"/>
      <c r="AS711" s="653"/>
      <c r="AT711" s="653"/>
      <c r="AU711" s="653"/>
      <c r="AV711" s="653"/>
    </row>
    <row r="712" spans="1:48" ht="14.5">
      <c r="A712" s="653"/>
      <c r="B712" s="653"/>
      <c r="C712" s="653"/>
      <c r="D712" s="653"/>
      <c r="E712" s="653"/>
      <c r="F712" s="653"/>
      <c r="G712" s="654"/>
      <c r="H712" s="654"/>
      <c r="I712" s="653"/>
      <c r="J712" s="653"/>
      <c r="K712" s="655"/>
      <c r="L712" s="653"/>
      <c r="M712" s="653"/>
      <c r="N712" s="653"/>
      <c r="O712" s="653"/>
      <c r="P712" s="653"/>
      <c r="Q712" s="653"/>
      <c r="R712" s="653"/>
      <c r="S712" s="653"/>
      <c r="T712" s="653"/>
      <c r="U712" s="656"/>
      <c r="V712" s="653"/>
      <c r="W712" s="653"/>
      <c r="X712" s="653"/>
      <c r="Y712" s="657"/>
      <c r="Z712" s="615"/>
      <c r="AA712" s="653"/>
      <c r="AB712" s="657"/>
      <c r="AC712" s="653"/>
      <c r="AD712" s="653"/>
      <c r="AE712" s="653"/>
      <c r="AF712" s="653"/>
      <c r="AG712" s="653"/>
      <c r="AH712" s="653"/>
      <c r="AI712" s="653"/>
      <c r="AJ712" s="653"/>
      <c r="AK712" s="653"/>
      <c r="AL712" s="653"/>
      <c r="AM712" s="653"/>
      <c r="AN712" s="653"/>
      <c r="AO712" s="653"/>
      <c r="AP712" s="653"/>
      <c r="AQ712" s="653"/>
      <c r="AR712" s="653"/>
      <c r="AS712" s="653"/>
      <c r="AT712" s="653"/>
      <c r="AU712" s="653"/>
      <c r="AV712" s="653"/>
    </row>
    <row r="713" spans="1:48" ht="14.5">
      <c r="A713" s="653"/>
      <c r="B713" s="653"/>
      <c r="C713" s="653"/>
      <c r="D713" s="653"/>
      <c r="E713" s="653"/>
      <c r="F713" s="653"/>
      <c r="G713" s="654"/>
      <c r="H713" s="654"/>
      <c r="I713" s="653"/>
      <c r="J713" s="653"/>
      <c r="K713" s="655"/>
      <c r="L713" s="653"/>
      <c r="M713" s="653"/>
      <c r="N713" s="653"/>
      <c r="O713" s="653"/>
      <c r="P713" s="653"/>
      <c r="Q713" s="653"/>
      <c r="R713" s="653"/>
      <c r="S713" s="653"/>
      <c r="T713" s="653"/>
      <c r="U713" s="656"/>
      <c r="V713" s="653"/>
      <c r="W713" s="653"/>
      <c r="X713" s="653"/>
      <c r="Y713" s="657"/>
      <c r="Z713" s="615"/>
      <c r="AA713" s="653"/>
      <c r="AB713" s="657"/>
      <c r="AC713" s="653"/>
      <c r="AD713" s="653"/>
      <c r="AE713" s="653"/>
      <c r="AF713" s="653"/>
      <c r="AG713" s="653"/>
      <c r="AH713" s="653"/>
      <c r="AI713" s="653"/>
      <c r="AJ713" s="653"/>
      <c r="AK713" s="653"/>
      <c r="AL713" s="653"/>
      <c r="AM713" s="653"/>
      <c r="AN713" s="653"/>
      <c r="AO713" s="653"/>
      <c r="AP713" s="653"/>
      <c r="AQ713" s="653"/>
      <c r="AR713" s="653"/>
      <c r="AS713" s="653"/>
      <c r="AT713" s="653"/>
      <c r="AU713" s="653"/>
      <c r="AV713" s="653"/>
    </row>
    <row r="714" spans="1:48" ht="14.5">
      <c r="A714" s="653"/>
      <c r="B714" s="653"/>
      <c r="C714" s="653"/>
      <c r="D714" s="653"/>
      <c r="E714" s="653"/>
      <c r="F714" s="653"/>
      <c r="G714" s="654"/>
      <c r="H714" s="654"/>
      <c r="I714" s="653"/>
      <c r="J714" s="653"/>
      <c r="K714" s="655"/>
      <c r="L714" s="653"/>
      <c r="M714" s="653"/>
      <c r="N714" s="653"/>
      <c r="O714" s="653"/>
      <c r="P714" s="653"/>
      <c r="Q714" s="653"/>
      <c r="R714" s="653"/>
      <c r="S714" s="653"/>
      <c r="T714" s="653"/>
      <c r="U714" s="656"/>
      <c r="V714" s="653"/>
      <c r="W714" s="653"/>
      <c r="X714" s="653"/>
      <c r="Y714" s="657"/>
      <c r="Z714" s="615"/>
      <c r="AA714" s="653"/>
      <c r="AB714" s="657"/>
      <c r="AC714" s="653"/>
      <c r="AD714" s="653"/>
      <c r="AE714" s="653"/>
      <c r="AF714" s="653"/>
      <c r="AG714" s="653"/>
      <c r="AH714" s="653"/>
      <c r="AI714" s="653"/>
      <c r="AJ714" s="653"/>
      <c r="AK714" s="653"/>
      <c r="AL714" s="653"/>
      <c r="AM714" s="653"/>
      <c r="AN714" s="653"/>
      <c r="AO714" s="653"/>
      <c r="AP714" s="653"/>
      <c r="AQ714" s="653"/>
      <c r="AR714" s="653"/>
      <c r="AS714" s="653"/>
      <c r="AT714" s="653"/>
      <c r="AU714" s="653"/>
      <c r="AV714" s="653"/>
    </row>
    <row r="715" spans="1:48" ht="14.5">
      <c r="A715" s="653"/>
      <c r="B715" s="653"/>
      <c r="C715" s="653"/>
      <c r="D715" s="653"/>
      <c r="E715" s="653"/>
      <c r="F715" s="653"/>
      <c r="G715" s="654"/>
      <c r="H715" s="654"/>
      <c r="I715" s="653"/>
      <c r="J715" s="653"/>
      <c r="K715" s="655"/>
      <c r="L715" s="653"/>
      <c r="M715" s="653"/>
      <c r="N715" s="653"/>
      <c r="O715" s="653"/>
      <c r="P715" s="653"/>
      <c r="Q715" s="653"/>
      <c r="R715" s="653"/>
      <c r="S715" s="653"/>
      <c r="T715" s="653"/>
      <c r="U715" s="656"/>
      <c r="V715" s="653"/>
      <c r="W715" s="653"/>
      <c r="X715" s="653"/>
      <c r="Y715" s="657"/>
      <c r="Z715" s="615"/>
      <c r="AA715" s="653"/>
      <c r="AB715" s="657"/>
      <c r="AC715" s="653"/>
      <c r="AD715" s="653"/>
      <c r="AE715" s="653"/>
      <c r="AF715" s="653"/>
      <c r="AG715" s="653"/>
      <c r="AH715" s="653"/>
      <c r="AI715" s="653"/>
      <c r="AJ715" s="653"/>
      <c r="AK715" s="653"/>
      <c r="AL715" s="653"/>
      <c r="AM715" s="653"/>
      <c r="AN715" s="653"/>
      <c r="AO715" s="653"/>
      <c r="AP715" s="653"/>
      <c r="AQ715" s="653"/>
      <c r="AR715" s="653"/>
      <c r="AS715" s="653"/>
      <c r="AT715" s="653"/>
      <c r="AU715" s="653"/>
      <c r="AV715" s="653"/>
    </row>
    <row r="716" spans="1:48" ht="14.5">
      <c r="A716" s="653"/>
      <c r="B716" s="653"/>
      <c r="C716" s="653"/>
      <c r="D716" s="653"/>
      <c r="E716" s="653"/>
      <c r="F716" s="653"/>
      <c r="G716" s="654"/>
      <c r="H716" s="654"/>
      <c r="I716" s="653"/>
      <c r="J716" s="653"/>
      <c r="K716" s="655"/>
      <c r="L716" s="653"/>
      <c r="M716" s="653"/>
      <c r="N716" s="653"/>
      <c r="O716" s="653"/>
      <c r="P716" s="653"/>
      <c r="Q716" s="653"/>
      <c r="R716" s="653"/>
      <c r="S716" s="653"/>
      <c r="T716" s="653"/>
      <c r="U716" s="656"/>
      <c r="V716" s="653"/>
      <c r="W716" s="653"/>
      <c r="X716" s="653"/>
      <c r="Y716" s="657"/>
      <c r="Z716" s="615"/>
      <c r="AA716" s="653"/>
      <c r="AB716" s="657"/>
      <c r="AC716" s="653"/>
      <c r="AD716" s="653"/>
      <c r="AE716" s="653"/>
      <c r="AF716" s="653"/>
      <c r="AG716" s="653"/>
      <c r="AH716" s="653"/>
      <c r="AI716" s="653"/>
      <c r="AJ716" s="653"/>
      <c r="AK716" s="653"/>
      <c r="AL716" s="653"/>
      <c r="AM716" s="653"/>
      <c r="AN716" s="653"/>
      <c r="AO716" s="653"/>
      <c r="AP716" s="653"/>
      <c r="AQ716" s="653"/>
      <c r="AR716" s="653"/>
      <c r="AS716" s="653"/>
      <c r="AT716" s="653"/>
      <c r="AU716" s="653"/>
      <c r="AV716" s="653"/>
    </row>
    <row r="717" spans="1:48" ht="14.5">
      <c r="A717" s="653"/>
      <c r="B717" s="653"/>
      <c r="C717" s="653"/>
      <c r="D717" s="653"/>
      <c r="E717" s="653"/>
      <c r="F717" s="653"/>
      <c r="G717" s="654"/>
      <c r="H717" s="654"/>
      <c r="I717" s="653"/>
      <c r="J717" s="653"/>
      <c r="K717" s="655"/>
      <c r="L717" s="653"/>
      <c r="M717" s="653"/>
      <c r="N717" s="653"/>
      <c r="O717" s="653"/>
      <c r="P717" s="653"/>
      <c r="Q717" s="653"/>
      <c r="R717" s="653"/>
      <c r="S717" s="653"/>
      <c r="T717" s="653"/>
      <c r="U717" s="656"/>
      <c r="V717" s="653"/>
      <c r="W717" s="653"/>
      <c r="X717" s="653"/>
      <c r="Y717" s="657"/>
      <c r="Z717" s="615"/>
      <c r="AA717" s="653"/>
      <c r="AB717" s="657"/>
      <c r="AC717" s="653"/>
      <c r="AD717" s="653"/>
      <c r="AE717" s="653"/>
      <c r="AF717" s="653"/>
      <c r="AG717" s="653"/>
      <c r="AH717" s="653"/>
      <c r="AI717" s="653"/>
      <c r="AJ717" s="653"/>
      <c r="AK717" s="653"/>
      <c r="AL717" s="653"/>
      <c r="AM717" s="653"/>
      <c r="AN717" s="653"/>
      <c r="AO717" s="653"/>
      <c r="AP717" s="653"/>
      <c r="AQ717" s="653"/>
      <c r="AR717" s="653"/>
      <c r="AS717" s="653"/>
      <c r="AT717" s="653"/>
      <c r="AU717" s="653"/>
      <c r="AV717" s="653"/>
    </row>
    <row r="718" spans="1:48" ht="14.5">
      <c r="A718" s="653"/>
      <c r="B718" s="653"/>
      <c r="C718" s="653"/>
      <c r="D718" s="653"/>
      <c r="E718" s="653"/>
      <c r="F718" s="653"/>
      <c r="G718" s="654"/>
      <c r="H718" s="654"/>
      <c r="I718" s="653"/>
      <c r="J718" s="653"/>
      <c r="K718" s="655"/>
      <c r="L718" s="653"/>
      <c r="M718" s="653"/>
      <c r="N718" s="653"/>
      <c r="O718" s="653"/>
      <c r="P718" s="653"/>
      <c r="Q718" s="653"/>
      <c r="R718" s="653"/>
      <c r="S718" s="653"/>
      <c r="T718" s="653"/>
      <c r="U718" s="656"/>
      <c r="V718" s="653"/>
      <c r="W718" s="653"/>
      <c r="X718" s="653"/>
      <c r="Y718" s="657"/>
      <c r="Z718" s="615"/>
      <c r="AA718" s="653"/>
      <c r="AB718" s="657"/>
      <c r="AC718" s="653"/>
      <c r="AD718" s="653"/>
      <c r="AE718" s="653"/>
      <c r="AF718" s="653"/>
      <c r="AG718" s="653"/>
      <c r="AH718" s="653"/>
      <c r="AI718" s="653"/>
      <c r="AJ718" s="653"/>
      <c r="AK718" s="653"/>
      <c r="AL718" s="653"/>
      <c r="AM718" s="653"/>
      <c r="AN718" s="653"/>
      <c r="AO718" s="653"/>
      <c r="AP718" s="653"/>
      <c r="AQ718" s="653"/>
      <c r="AR718" s="653"/>
      <c r="AS718" s="653"/>
      <c r="AT718" s="653"/>
      <c r="AU718" s="653"/>
      <c r="AV718" s="653"/>
    </row>
    <row r="719" spans="1:48" ht="14.5">
      <c r="A719" s="653"/>
      <c r="B719" s="653"/>
      <c r="C719" s="653"/>
      <c r="D719" s="653"/>
      <c r="E719" s="653"/>
      <c r="F719" s="653"/>
      <c r="G719" s="654"/>
      <c r="H719" s="654"/>
      <c r="I719" s="653"/>
      <c r="J719" s="653"/>
      <c r="K719" s="655"/>
      <c r="L719" s="653"/>
      <c r="M719" s="653"/>
      <c r="N719" s="653"/>
      <c r="O719" s="653"/>
      <c r="P719" s="653"/>
      <c r="Q719" s="653"/>
      <c r="R719" s="653"/>
      <c r="S719" s="653"/>
      <c r="T719" s="653"/>
      <c r="U719" s="656"/>
      <c r="V719" s="653"/>
      <c r="W719" s="653"/>
      <c r="X719" s="653"/>
      <c r="Y719" s="657"/>
      <c r="Z719" s="615"/>
      <c r="AA719" s="653"/>
      <c r="AB719" s="657"/>
      <c r="AC719" s="653"/>
      <c r="AD719" s="653"/>
      <c r="AE719" s="653"/>
      <c r="AF719" s="653"/>
      <c r="AG719" s="653"/>
      <c r="AH719" s="653"/>
      <c r="AI719" s="653"/>
      <c r="AJ719" s="653"/>
      <c r="AK719" s="653"/>
      <c r="AL719" s="653"/>
      <c r="AM719" s="653"/>
      <c r="AN719" s="653"/>
      <c r="AO719" s="653"/>
      <c r="AP719" s="653"/>
      <c r="AQ719" s="653"/>
      <c r="AR719" s="653"/>
      <c r="AS719" s="653"/>
      <c r="AT719" s="653"/>
      <c r="AU719" s="653"/>
      <c r="AV719" s="653"/>
    </row>
    <row r="720" spans="1:48" ht="14.5">
      <c r="A720" s="653"/>
      <c r="B720" s="653"/>
      <c r="C720" s="653"/>
      <c r="D720" s="653"/>
      <c r="E720" s="653"/>
      <c r="F720" s="653"/>
      <c r="G720" s="654"/>
      <c r="H720" s="654"/>
      <c r="I720" s="653"/>
      <c r="J720" s="653"/>
      <c r="K720" s="655"/>
      <c r="L720" s="653"/>
      <c r="M720" s="653"/>
      <c r="N720" s="653"/>
      <c r="O720" s="653"/>
      <c r="P720" s="653"/>
      <c r="Q720" s="653"/>
      <c r="R720" s="653"/>
      <c r="S720" s="653"/>
      <c r="T720" s="653"/>
      <c r="U720" s="656"/>
      <c r="V720" s="653"/>
      <c r="W720" s="653"/>
      <c r="X720" s="653"/>
      <c r="Y720" s="657"/>
      <c r="Z720" s="615"/>
      <c r="AA720" s="653"/>
      <c r="AB720" s="657"/>
      <c r="AC720" s="653"/>
      <c r="AD720" s="653"/>
      <c r="AE720" s="653"/>
      <c r="AF720" s="653"/>
      <c r="AG720" s="653"/>
      <c r="AH720" s="653"/>
      <c r="AI720" s="653"/>
      <c r="AJ720" s="653"/>
      <c r="AK720" s="653"/>
      <c r="AL720" s="653"/>
      <c r="AM720" s="653"/>
      <c r="AN720" s="653"/>
      <c r="AO720" s="653"/>
      <c r="AP720" s="653"/>
      <c r="AQ720" s="653"/>
      <c r="AR720" s="653"/>
      <c r="AS720" s="653"/>
      <c r="AT720" s="653"/>
      <c r="AU720" s="653"/>
      <c r="AV720" s="653"/>
    </row>
    <row r="721" spans="1:48" ht="14.5">
      <c r="A721" s="653"/>
      <c r="B721" s="653"/>
      <c r="C721" s="653"/>
      <c r="D721" s="653"/>
      <c r="E721" s="653"/>
      <c r="F721" s="653"/>
      <c r="G721" s="654"/>
      <c r="H721" s="654"/>
      <c r="I721" s="653"/>
      <c r="J721" s="653"/>
      <c r="K721" s="655"/>
      <c r="L721" s="653"/>
      <c r="M721" s="653"/>
      <c r="N721" s="653"/>
      <c r="O721" s="653"/>
      <c r="P721" s="653"/>
      <c r="Q721" s="653"/>
      <c r="R721" s="653"/>
      <c r="S721" s="653"/>
      <c r="T721" s="653"/>
      <c r="U721" s="656"/>
      <c r="V721" s="653"/>
      <c r="W721" s="653"/>
      <c r="X721" s="653"/>
      <c r="Y721" s="657"/>
      <c r="Z721" s="615"/>
      <c r="AA721" s="653"/>
      <c r="AB721" s="657"/>
      <c r="AC721" s="653"/>
      <c r="AD721" s="653"/>
      <c r="AE721" s="653"/>
      <c r="AF721" s="653"/>
      <c r="AG721" s="653"/>
      <c r="AH721" s="653"/>
      <c r="AI721" s="653"/>
      <c r="AJ721" s="653"/>
      <c r="AK721" s="653"/>
      <c r="AL721" s="653"/>
      <c r="AM721" s="653"/>
      <c r="AN721" s="653"/>
      <c r="AO721" s="653"/>
      <c r="AP721" s="653"/>
      <c r="AQ721" s="653"/>
      <c r="AR721" s="653"/>
      <c r="AS721" s="653"/>
      <c r="AT721" s="653"/>
      <c r="AU721" s="653"/>
      <c r="AV721" s="653"/>
    </row>
    <row r="722" spans="1:48" ht="14.5">
      <c r="A722" s="653"/>
      <c r="B722" s="653"/>
      <c r="C722" s="653"/>
      <c r="D722" s="653"/>
      <c r="E722" s="653"/>
      <c r="F722" s="653"/>
      <c r="G722" s="654"/>
      <c r="H722" s="654"/>
      <c r="I722" s="653"/>
      <c r="J722" s="653"/>
      <c r="K722" s="655"/>
      <c r="L722" s="653"/>
      <c r="M722" s="653"/>
      <c r="N722" s="653"/>
      <c r="O722" s="653"/>
      <c r="P722" s="653"/>
      <c r="Q722" s="653"/>
      <c r="R722" s="653"/>
      <c r="S722" s="653"/>
      <c r="T722" s="653"/>
      <c r="U722" s="656"/>
      <c r="V722" s="653"/>
      <c r="W722" s="653"/>
      <c r="X722" s="653"/>
      <c r="Y722" s="657"/>
      <c r="Z722" s="615"/>
      <c r="AA722" s="653"/>
      <c r="AB722" s="657"/>
      <c r="AC722" s="653"/>
      <c r="AD722" s="653"/>
      <c r="AE722" s="653"/>
      <c r="AF722" s="653"/>
      <c r="AG722" s="653"/>
      <c r="AH722" s="653"/>
      <c r="AI722" s="653"/>
      <c r="AJ722" s="653"/>
      <c r="AK722" s="653"/>
      <c r="AL722" s="653"/>
      <c r="AM722" s="653"/>
      <c r="AN722" s="653"/>
      <c r="AO722" s="653"/>
      <c r="AP722" s="653"/>
      <c r="AQ722" s="653"/>
      <c r="AR722" s="653"/>
      <c r="AS722" s="653"/>
      <c r="AT722" s="653"/>
      <c r="AU722" s="653"/>
      <c r="AV722" s="653"/>
    </row>
    <row r="723" spans="1:48" ht="14.5">
      <c r="A723" s="653"/>
      <c r="B723" s="653"/>
      <c r="C723" s="653"/>
      <c r="D723" s="653"/>
      <c r="E723" s="653"/>
      <c r="F723" s="653"/>
      <c r="G723" s="654"/>
      <c r="H723" s="654"/>
      <c r="I723" s="653"/>
      <c r="J723" s="653"/>
      <c r="K723" s="655"/>
      <c r="L723" s="653"/>
      <c r="M723" s="653"/>
      <c r="N723" s="653"/>
      <c r="O723" s="653"/>
      <c r="P723" s="653"/>
      <c r="Q723" s="653"/>
      <c r="R723" s="653"/>
      <c r="S723" s="653"/>
      <c r="T723" s="653"/>
      <c r="U723" s="656"/>
      <c r="V723" s="653"/>
      <c r="W723" s="653"/>
      <c r="X723" s="653"/>
      <c r="Y723" s="657"/>
      <c r="Z723" s="615"/>
      <c r="AA723" s="653"/>
      <c r="AB723" s="657"/>
      <c r="AC723" s="653"/>
      <c r="AD723" s="653"/>
      <c r="AE723" s="653"/>
      <c r="AF723" s="653"/>
      <c r="AG723" s="653"/>
      <c r="AH723" s="653"/>
      <c r="AI723" s="653"/>
      <c r="AJ723" s="653"/>
      <c r="AK723" s="653"/>
      <c r="AL723" s="653"/>
      <c r="AM723" s="653"/>
      <c r="AN723" s="653"/>
      <c r="AO723" s="653"/>
      <c r="AP723" s="653"/>
      <c r="AQ723" s="653"/>
      <c r="AR723" s="653"/>
      <c r="AS723" s="653"/>
      <c r="AT723" s="653"/>
      <c r="AU723" s="653"/>
      <c r="AV723" s="653"/>
    </row>
    <row r="724" spans="1:48" ht="14.5">
      <c r="A724" s="653"/>
      <c r="B724" s="653"/>
      <c r="C724" s="653"/>
      <c r="D724" s="653"/>
      <c r="E724" s="653"/>
      <c r="F724" s="653"/>
      <c r="G724" s="654"/>
      <c r="H724" s="654"/>
      <c r="I724" s="653"/>
      <c r="J724" s="653"/>
      <c r="K724" s="655"/>
      <c r="L724" s="653"/>
      <c r="M724" s="653"/>
      <c r="N724" s="653"/>
      <c r="O724" s="653"/>
      <c r="P724" s="653"/>
      <c r="Q724" s="653"/>
      <c r="R724" s="653"/>
      <c r="S724" s="653"/>
      <c r="T724" s="653"/>
      <c r="U724" s="656"/>
      <c r="V724" s="653"/>
      <c r="W724" s="653"/>
      <c r="X724" s="653"/>
      <c r="Y724" s="657"/>
      <c r="Z724" s="615"/>
      <c r="AA724" s="653"/>
      <c r="AB724" s="657"/>
      <c r="AC724" s="653"/>
      <c r="AD724" s="653"/>
      <c r="AE724" s="653"/>
      <c r="AF724" s="653"/>
      <c r="AG724" s="653"/>
      <c r="AH724" s="653"/>
      <c r="AI724" s="653"/>
      <c r="AJ724" s="653"/>
      <c r="AK724" s="653"/>
      <c r="AL724" s="653"/>
      <c r="AM724" s="653"/>
      <c r="AN724" s="653"/>
      <c r="AO724" s="653"/>
      <c r="AP724" s="653"/>
      <c r="AQ724" s="653"/>
      <c r="AR724" s="653"/>
      <c r="AS724" s="653"/>
      <c r="AT724" s="653"/>
      <c r="AU724" s="653"/>
      <c r="AV724" s="653"/>
    </row>
    <row r="725" spans="1:48" ht="14.5">
      <c r="A725" s="653"/>
      <c r="B725" s="653"/>
      <c r="C725" s="653"/>
      <c r="D725" s="653"/>
      <c r="E725" s="653"/>
      <c r="F725" s="653"/>
      <c r="G725" s="654"/>
      <c r="H725" s="654"/>
      <c r="I725" s="653"/>
      <c r="J725" s="653"/>
      <c r="K725" s="655"/>
      <c r="L725" s="653"/>
      <c r="M725" s="653"/>
      <c r="N725" s="653"/>
      <c r="O725" s="653"/>
      <c r="P725" s="653"/>
      <c r="Q725" s="653"/>
      <c r="R725" s="653"/>
      <c r="S725" s="653"/>
      <c r="T725" s="653"/>
      <c r="U725" s="656"/>
      <c r="V725" s="653"/>
      <c r="W725" s="653"/>
      <c r="X725" s="653"/>
      <c r="Y725" s="657"/>
      <c r="Z725" s="615"/>
      <c r="AA725" s="653"/>
      <c r="AB725" s="657"/>
      <c r="AC725" s="653"/>
      <c r="AD725" s="653"/>
      <c r="AE725" s="653"/>
      <c r="AF725" s="653"/>
      <c r="AG725" s="653"/>
      <c r="AH725" s="653"/>
      <c r="AI725" s="653"/>
      <c r="AJ725" s="653"/>
      <c r="AK725" s="653"/>
      <c r="AL725" s="653"/>
      <c r="AM725" s="653"/>
      <c r="AN725" s="653"/>
      <c r="AO725" s="653"/>
      <c r="AP725" s="653"/>
      <c r="AQ725" s="653"/>
      <c r="AR725" s="653"/>
      <c r="AS725" s="653"/>
      <c r="AT725" s="653"/>
      <c r="AU725" s="653"/>
      <c r="AV725" s="653"/>
    </row>
    <row r="726" spans="1:48" ht="14.5">
      <c r="A726" s="653"/>
      <c r="B726" s="653"/>
      <c r="C726" s="653"/>
      <c r="D726" s="653"/>
      <c r="E726" s="653"/>
      <c r="F726" s="653"/>
      <c r="G726" s="654"/>
      <c r="H726" s="654"/>
      <c r="I726" s="653"/>
      <c r="J726" s="653"/>
      <c r="K726" s="655"/>
      <c r="L726" s="653"/>
      <c r="M726" s="653"/>
      <c r="N726" s="653"/>
      <c r="O726" s="653"/>
      <c r="P726" s="653"/>
      <c r="Q726" s="653"/>
      <c r="R726" s="653"/>
      <c r="S726" s="653"/>
      <c r="T726" s="653"/>
      <c r="U726" s="656"/>
      <c r="V726" s="653"/>
      <c r="W726" s="653"/>
      <c r="X726" s="653"/>
      <c r="Y726" s="657"/>
      <c r="Z726" s="615"/>
      <c r="AA726" s="653"/>
      <c r="AB726" s="657"/>
      <c r="AC726" s="653"/>
      <c r="AD726" s="653"/>
      <c r="AE726" s="653"/>
      <c r="AF726" s="653"/>
      <c r="AG726" s="653"/>
      <c r="AH726" s="653"/>
      <c r="AI726" s="653"/>
      <c r="AJ726" s="653"/>
      <c r="AK726" s="653"/>
      <c r="AL726" s="653"/>
      <c r="AM726" s="653"/>
      <c r="AN726" s="653"/>
      <c r="AO726" s="653"/>
      <c r="AP726" s="653"/>
      <c r="AQ726" s="653"/>
      <c r="AR726" s="653"/>
      <c r="AS726" s="653"/>
      <c r="AT726" s="653"/>
      <c r="AU726" s="653"/>
      <c r="AV726" s="653"/>
    </row>
    <row r="727" spans="1:48" ht="14.5">
      <c r="A727" s="653"/>
      <c r="B727" s="653"/>
      <c r="C727" s="653"/>
      <c r="D727" s="653"/>
      <c r="E727" s="653"/>
      <c r="F727" s="653"/>
      <c r="G727" s="654"/>
      <c r="H727" s="654"/>
      <c r="I727" s="653"/>
      <c r="J727" s="653"/>
      <c r="K727" s="655"/>
      <c r="L727" s="653"/>
      <c r="M727" s="653"/>
      <c r="N727" s="653"/>
      <c r="O727" s="653"/>
      <c r="P727" s="653"/>
      <c r="Q727" s="653"/>
      <c r="R727" s="653"/>
      <c r="S727" s="653"/>
      <c r="T727" s="653"/>
      <c r="U727" s="656"/>
      <c r="V727" s="653"/>
      <c r="W727" s="653"/>
      <c r="X727" s="653"/>
      <c r="Y727" s="657"/>
      <c r="Z727" s="615"/>
      <c r="AA727" s="653"/>
      <c r="AB727" s="657"/>
      <c r="AC727" s="653"/>
      <c r="AD727" s="653"/>
      <c r="AE727" s="653"/>
      <c r="AF727" s="653"/>
      <c r="AG727" s="653"/>
      <c r="AH727" s="653"/>
      <c r="AI727" s="653"/>
      <c r="AJ727" s="653"/>
      <c r="AK727" s="653"/>
      <c r="AL727" s="653"/>
      <c r="AM727" s="653"/>
      <c r="AN727" s="653"/>
      <c r="AO727" s="653"/>
      <c r="AP727" s="653"/>
      <c r="AQ727" s="653"/>
      <c r="AR727" s="653"/>
      <c r="AS727" s="653"/>
      <c r="AT727" s="653"/>
      <c r="AU727" s="653"/>
      <c r="AV727" s="653"/>
    </row>
    <row r="728" spans="1:48" ht="14.5">
      <c r="A728" s="653"/>
      <c r="B728" s="653"/>
      <c r="C728" s="653"/>
      <c r="D728" s="653"/>
      <c r="E728" s="653"/>
      <c r="F728" s="653"/>
      <c r="G728" s="654"/>
      <c r="H728" s="654"/>
      <c r="I728" s="653"/>
      <c r="J728" s="653"/>
      <c r="K728" s="655"/>
      <c r="L728" s="653"/>
      <c r="M728" s="653"/>
      <c r="N728" s="653"/>
      <c r="O728" s="653"/>
      <c r="P728" s="653"/>
      <c r="Q728" s="653"/>
      <c r="R728" s="653"/>
      <c r="S728" s="653"/>
      <c r="T728" s="653"/>
      <c r="U728" s="656"/>
      <c r="V728" s="653"/>
      <c r="W728" s="653"/>
      <c r="X728" s="653"/>
      <c r="Y728" s="657"/>
      <c r="Z728" s="615"/>
      <c r="AA728" s="653"/>
      <c r="AB728" s="657"/>
      <c r="AC728" s="653"/>
      <c r="AD728" s="653"/>
      <c r="AE728" s="653"/>
      <c r="AF728" s="653"/>
      <c r="AG728" s="653"/>
      <c r="AH728" s="653"/>
      <c r="AI728" s="653"/>
      <c r="AJ728" s="653"/>
      <c r="AK728" s="653"/>
      <c r="AL728" s="653"/>
      <c r="AM728" s="653"/>
      <c r="AN728" s="653"/>
      <c r="AO728" s="653"/>
      <c r="AP728" s="653"/>
      <c r="AQ728" s="653"/>
      <c r="AR728" s="653"/>
      <c r="AS728" s="653"/>
      <c r="AT728" s="653"/>
      <c r="AU728" s="653"/>
      <c r="AV728" s="653"/>
    </row>
    <row r="729" spans="1:48" ht="14.5">
      <c r="A729" s="653"/>
      <c r="B729" s="653"/>
      <c r="C729" s="653"/>
      <c r="D729" s="653"/>
      <c r="E729" s="653"/>
      <c r="F729" s="653"/>
      <c r="G729" s="654"/>
      <c r="H729" s="654"/>
      <c r="I729" s="653"/>
      <c r="J729" s="653"/>
      <c r="K729" s="655"/>
      <c r="L729" s="653"/>
      <c r="M729" s="653"/>
      <c r="N729" s="653"/>
      <c r="O729" s="653"/>
      <c r="P729" s="653"/>
      <c r="Q729" s="653"/>
      <c r="R729" s="653"/>
      <c r="S729" s="653"/>
      <c r="T729" s="653"/>
      <c r="U729" s="656"/>
      <c r="V729" s="653"/>
      <c r="W729" s="653"/>
      <c r="X729" s="653"/>
      <c r="Y729" s="657"/>
      <c r="Z729" s="615"/>
      <c r="AA729" s="653"/>
      <c r="AB729" s="657"/>
      <c r="AC729" s="653"/>
      <c r="AD729" s="653"/>
      <c r="AE729" s="653"/>
      <c r="AF729" s="653"/>
      <c r="AG729" s="653"/>
      <c r="AH729" s="653"/>
      <c r="AI729" s="653"/>
      <c r="AJ729" s="653"/>
      <c r="AK729" s="653"/>
      <c r="AL729" s="653"/>
      <c r="AM729" s="653"/>
      <c r="AN729" s="653"/>
      <c r="AO729" s="653"/>
      <c r="AP729" s="653"/>
      <c r="AQ729" s="653"/>
      <c r="AR729" s="653"/>
      <c r="AS729" s="653"/>
      <c r="AT729" s="653"/>
      <c r="AU729" s="653"/>
      <c r="AV729" s="653"/>
    </row>
    <row r="730" spans="1:48" ht="14.5">
      <c r="A730" s="653"/>
      <c r="B730" s="653"/>
      <c r="C730" s="653"/>
      <c r="D730" s="653"/>
      <c r="E730" s="653"/>
      <c r="F730" s="653"/>
      <c r="G730" s="654"/>
      <c r="H730" s="654"/>
      <c r="I730" s="653"/>
      <c r="J730" s="653"/>
      <c r="K730" s="655"/>
      <c r="L730" s="653"/>
      <c r="M730" s="653"/>
      <c r="N730" s="653"/>
      <c r="O730" s="653"/>
      <c r="P730" s="653"/>
      <c r="Q730" s="653"/>
      <c r="R730" s="653"/>
      <c r="S730" s="653"/>
      <c r="T730" s="653"/>
      <c r="U730" s="656"/>
      <c r="V730" s="653"/>
      <c r="W730" s="653"/>
      <c r="X730" s="653"/>
      <c r="Y730" s="657"/>
      <c r="Z730" s="615"/>
      <c r="AA730" s="653"/>
      <c r="AB730" s="657"/>
      <c r="AC730" s="653"/>
      <c r="AD730" s="653"/>
      <c r="AE730" s="653"/>
      <c r="AF730" s="653"/>
      <c r="AG730" s="653"/>
      <c r="AH730" s="653"/>
      <c r="AI730" s="653"/>
      <c r="AJ730" s="653"/>
      <c r="AK730" s="653"/>
      <c r="AL730" s="653"/>
      <c r="AM730" s="653"/>
      <c r="AN730" s="653"/>
      <c r="AO730" s="653"/>
      <c r="AP730" s="653"/>
      <c r="AQ730" s="653"/>
      <c r="AR730" s="653"/>
      <c r="AS730" s="653"/>
      <c r="AT730" s="653"/>
      <c r="AU730" s="653"/>
      <c r="AV730" s="653"/>
    </row>
    <row r="731" spans="1:48" ht="14.5">
      <c r="A731" s="653"/>
      <c r="B731" s="653"/>
      <c r="C731" s="653"/>
      <c r="D731" s="653"/>
      <c r="E731" s="653"/>
      <c r="F731" s="653"/>
      <c r="G731" s="654"/>
      <c r="H731" s="654"/>
      <c r="I731" s="653"/>
      <c r="J731" s="653"/>
      <c r="K731" s="655"/>
      <c r="L731" s="653"/>
      <c r="M731" s="653"/>
      <c r="N731" s="653"/>
      <c r="O731" s="653"/>
      <c r="P731" s="653"/>
      <c r="Q731" s="653"/>
      <c r="R731" s="653"/>
      <c r="S731" s="653"/>
      <c r="T731" s="653"/>
      <c r="U731" s="656"/>
      <c r="V731" s="653"/>
      <c r="W731" s="653"/>
      <c r="X731" s="653"/>
      <c r="Y731" s="657"/>
      <c r="Z731" s="615"/>
      <c r="AA731" s="653"/>
      <c r="AB731" s="657"/>
      <c r="AC731" s="653"/>
      <c r="AD731" s="653"/>
      <c r="AE731" s="653"/>
      <c r="AF731" s="653"/>
      <c r="AG731" s="653"/>
      <c r="AH731" s="653"/>
      <c r="AI731" s="653"/>
      <c r="AJ731" s="653"/>
      <c r="AK731" s="653"/>
      <c r="AL731" s="653"/>
      <c r="AM731" s="653"/>
      <c r="AN731" s="653"/>
      <c r="AO731" s="653"/>
      <c r="AP731" s="653"/>
      <c r="AQ731" s="653"/>
      <c r="AR731" s="653"/>
      <c r="AS731" s="653"/>
      <c r="AT731" s="653"/>
      <c r="AU731" s="653"/>
      <c r="AV731" s="653"/>
    </row>
    <row r="732" spans="1:48" ht="14.5">
      <c r="A732" s="653"/>
      <c r="B732" s="653"/>
      <c r="C732" s="653"/>
      <c r="D732" s="653"/>
      <c r="E732" s="653"/>
      <c r="F732" s="653"/>
      <c r="G732" s="654"/>
      <c r="H732" s="654"/>
      <c r="I732" s="653"/>
      <c r="J732" s="653"/>
      <c r="K732" s="655"/>
      <c r="L732" s="653"/>
      <c r="M732" s="653"/>
      <c r="N732" s="653"/>
      <c r="O732" s="653"/>
      <c r="P732" s="653"/>
      <c r="Q732" s="653"/>
      <c r="R732" s="653"/>
      <c r="S732" s="653"/>
      <c r="T732" s="653"/>
      <c r="U732" s="656"/>
      <c r="V732" s="653"/>
      <c r="W732" s="653"/>
      <c r="X732" s="653"/>
      <c r="Y732" s="657"/>
      <c r="Z732" s="615"/>
      <c r="AA732" s="653"/>
      <c r="AB732" s="657"/>
      <c r="AC732" s="653"/>
      <c r="AD732" s="653"/>
      <c r="AE732" s="653"/>
      <c r="AF732" s="653"/>
      <c r="AG732" s="653"/>
      <c r="AH732" s="653"/>
      <c r="AI732" s="653"/>
      <c r="AJ732" s="653"/>
      <c r="AK732" s="653"/>
      <c r="AL732" s="653"/>
      <c r="AM732" s="653"/>
      <c r="AN732" s="653"/>
      <c r="AO732" s="653"/>
      <c r="AP732" s="653"/>
      <c r="AQ732" s="653"/>
      <c r="AR732" s="653"/>
      <c r="AS732" s="653"/>
      <c r="AT732" s="653"/>
      <c r="AU732" s="653"/>
      <c r="AV732" s="653"/>
    </row>
    <row r="733" spans="1:48" ht="14.5">
      <c r="A733" s="653"/>
      <c r="B733" s="653"/>
      <c r="C733" s="653"/>
      <c r="D733" s="653"/>
      <c r="E733" s="653"/>
      <c r="F733" s="653"/>
      <c r="G733" s="654"/>
      <c r="H733" s="654"/>
      <c r="I733" s="653"/>
      <c r="J733" s="653"/>
      <c r="K733" s="655"/>
      <c r="L733" s="653"/>
      <c r="M733" s="653"/>
      <c r="N733" s="653"/>
      <c r="O733" s="653"/>
      <c r="P733" s="653"/>
      <c r="Q733" s="653"/>
      <c r="R733" s="653"/>
      <c r="S733" s="653"/>
      <c r="T733" s="653"/>
      <c r="U733" s="656"/>
      <c r="V733" s="653"/>
      <c r="W733" s="653"/>
      <c r="X733" s="653"/>
      <c r="Y733" s="657"/>
      <c r="Z733" s="615"/>
      <c r="AA733" s="653"/>
      <c r="AB733" s="657"/>
      <c r="AC733" s="653"/>
      <c r="AD733" s="653"/>
      <c r="AE733" s="653"/>
      <c r="AF733" s="653"/>
      <c r="AG733" s="653"/>
      <c r="AH733" s="653"/>
      <c r="AI733" s="653"/>
      <c r="AJ733" s="653"/>
      <c r="AK733" s="653"/>
      <c r="AL733" s="653"/>
      <c r="AM733" s="653"/>
      <c r="AN733" s="653"/>
      <c r="AO733" s="653"/>
      <c r="AP733" s="653"/>
      <c r="AQ733" s="653"/>
      <c r="AR733" s="653"/>
      <c r="AS733" s="653"/>
      <c r="AT733" s="653"/>
      <c r="AU733" s="653"/>
      <c r="AV733" s="653"/>
    </row>
    <row r="734" spans="1:48" ht="14.5">
      <c r="A734" s="653"/>
      <c r="B734" s="653"/>
      <c r="C734" s="653"/>
      <c r="D734" s="653"/>
      <c r="E734" s="653"/>
      <c r="F734" s="653"/>
      <c r="G734" s="654"/>
      <c r="H734" s="654"/>
      <c r="I734" s="653"/>
      <c r="J734" s="653"/>
      <c r="K734" s="655"/>
      <c r="L734" s="653"/>
      <c r="M734" s="653"/>
      <c r="N734" s="653"/>
      <c r="O734" s="653"/>
      <c r="P734" s="653"/>
      <c r="Q734" s="653"/>
      <c r="R734" s="653"/>
      <c r="S734" s="653"/>
      <c r="T734" s="653"/>
      <c r="U734" s="656"/>
      <c r="V734" s="653"/>
      <c r="W734" s="653"/>
      <c r="X734" s="653"/>
      <c r="Y734" s="657"/>
      <c r="Z734" s="615"/>
      <c r="AA734" s="653"/>
      <c r="AB734" s="657"/>
      <c r="AC734" s="653"/>
      <c r="AD734" s="653"/>
      <c r="AE734" s="653"/>
      <c r="AF734" s="653"/>
      <c r="AG734" s="653"/>
      <c r="AH734" s="653"/>
      <c r="AI734" s="653"/>
      <c r="AJ734" s="653"/>
      <c r="AK734" s="653"/>
      <c r="AL734" s="653"/>
      <c r="AM734" s="653"/>
      <c r="AN734" s="653"/>
      <c r="AO734" s="653"/>
      <c r="AP734" s="653"/>
      <c r="AQ734" s="653"/>
      <c r="AR734" s="653"/>
      <c r="AS734" s="653"/>
      <c r="AT734" s="653"/>
      <c r="AU734" s="653"/>
      <c r="AV734" s="653"/>
    </row>
    <row r="735" spans="1:48" ht="14.5">
      <c r="A735" s="653"/>
      <c r="B735" s="653"/>
      <c r="C735" s="653"/>
      <c r="D735" s="653"/>
      <c r="E735" s="653"/>
      <c r="F735" s="653"/>
      <c r="G735" s="654"/>
      <c r="H735" s="654"/>
      <c r="I735" s="653"/>
      <c r="J735" s="653"/>
      <c r="K735" s="655"/>
      <c r="L735" s="653"/>
      <c r="M735" s="653"/>
      <c r="N735" s="653"/>
      <c r="O735" s="653"/>
      <c r="P735" s="653"/>
      <c r="Q735" s="653"/>
      <c r="R735" s="653"/>
      <c r="S735" s="653"/>
      <c r="T735" s="653"/>
      <c r="U735" s="656"/>
      <c r="V735" s="653"/>
      <c r="W735" s="653"/>
      <c r="X735" s="653"/>
      <c r="Y735" s="657"/>
      <c r="Z735" s="615"/>
      <c r="AA735" s="653"/>
      <c r="AB735" s="657"/>
      <c r="AC735" s="653"/>
      <c r="AD735" s="653"/>
      <c r="AE735" s="653"/>
      <c r="AF735" s="653"/>
      <c r="AG735" s="653"/>
      <c r="AH735" s="653"/>
      <c r="AI735" s="653"/>
      <c r="AJ735" s="653"/>
      <c r="AK735" s="653"/>
      <c r="AL735" s="653"/>
      <c r="AM735" s="653"/>
      <c r="AN735" s="653"/>
      <c r="AO735" s="653"/>
      <c r="AP735" s="653"/>
      <c r="AQ735" s="653"/>
      <c r="AR735" s="653"/>
      <c r="AS735" s="653"/>
      <c r="AT735" s="653"/>
      <c r="AU735" s="653"/>
      <c r="AV735" s="653"/>
    </row>
    <row r="736" spans="1:48" ht="14.5">
      <c r="A736" s="653"/>
      <c r="B736" s="653"/>
      <c r="C736" s="653"/>
      <c r="D736" s="653"/>
      <c r="E736" s="653"/>
      <c r="F736" s="653"/>
      <c r="G736" s="654"/>
      <c r="H736" s="654"/>
      <c r="I736" s="653"/>
      <c r="J736" s="653"/>
      <c r="K736" s="655"/>
      <c r="L736" s="653"/>
      <c r="M736" s="653"/>
      <c r="N736" s="653"/>
      <c r="O736" s="653"/>
      <c r="P736" s="653"/>
      <c r="Q736" s="653"/>
      <c r="R736" s="653"/>
      <c r="S736" s="653"/>
      <c r="T736" s="653"/>
      <c r="U736" s="656"/>
      <c r="V736" s="653"/>
      <c r="W736" s="653"/>
      <c r="X736" s="653"/>
      <c r="Y736" s="657"/>
      <c r="Z736" s="615"/>
      <c r="AA736" s="653"/>
      <c r="AB736" s="657"/>
      <c r="AC736" s="653"/>
      <c r="AD736" s="653"/>
      <c r="AE736" s="653"/>
      <c r="AF736" s="653"/>
      <c r="AG736" s="653"/>
      <c r="AH736" s="653"/>
      <c r="AI736" s="653"/>
      <c r="AJ736" s="653"/>
      <c r="AK736" s="653"/>
      <c r="AL736" s="653"/>
      <c r="AM736" s="653"/>
      <c r="AN736" s="653"/>
      <c r="AO736" s="653"/>
      <c r="AP736" s="653"/>
      <c r="AQ736" s="653"/>
      <c r="AR736" s="653"/>
      <c r="AS736" s="653"/>
      <c r="AT736" s="653"/>
      <c r="AU736" s="653"/>
      <c r="AV736" s="653"/>
    </row>
    <row r="737" spans="1:48" ht="14.5">
      <c r="A737" s="653"/>
      <c r="B737" s="653"/>
      <c r="C737" s="653"/>
      <c r="D737" s="653"/>
      <c r="E737" s="653"/>
      <c r="F737" s="653"/>
      <c r="G737" s="654"/>
      <c r="H737" s="654"/>
      <c r="I737" s="653"/>
      <c r="J737" s="653"/>
      <c r="K737" s="655"/>
      <c r="L737" s="653"/>
      <c r="M737" s="653"/>
      <c r="N737" s="653"/>
      <c r="O737" s="653"/>
      <c r="P737" s="653"/>
      <c r="Q737" s="653"/>
      <c r="R737" s="653"/>
      <c r="S737" s="653"/>
      <c r="T737" s="653"/>
      <c r="U737" s="656"/>
      <c r="V737" s="653"/>
      <c r="W737" s="653"/>
      <c r="X737" s="653"/>
      <c r="Y737" s="657"/>
      <c r="Z737" s="615"/>
      <c r="AA737" s="653"/>
      <c r="AB737" s="657"/>
      <c r="AC737" s="653"/>
      <c r="AD737" s="653"/>
      <c r="AE737" s="653"/>
      <c r="AF737" s="653"/>
      <c r="AG737" s="653"/>
      <c r="AH737" s="653"/>
      <c r="AI737" s="653"/>
      <c r="AJ737" s="653"/>
      <c r="AK737" s="653"/>
      <c r="AL737" s="653"/>
      <c r="AM737" s="653"/>
      <c r="AN737" s="653"/>
      <c r="AO737" s="653"/>
      <c r="AP737" s="653"/>
      <c r="AQ737" s="653"/>
      <c r="AR737" s="653"/>
      <c r="AS737" s="653"/>
      <c r="AT737" s="653"/>
      <c r="AU737" s="653"/>
      <c r="AV737" s="653"/>
    </row>
    <row r="738" spans="1:48" ht="14.5">
      <c r="A738" s="653"/>
      <c r="B738" s="653"/>
      <c r="C738" s="653"/>
      <c r="D738" s="653"/>
      <c r="E738" s="653"/>
      <c r="F738" s="653"/>
      <c r="G738" s="654"/>
      <c r="H738" s="654"/>
      <c r="I738" s="653"/>
      <c r="J738" s="653"/>
      <c r="K738" s="655"/>
      <c r="L738" s="653"/>
      <c r="M738" s="653"/>
      <c r="N738" s="653"/>
      <c r="O738" s="653"/>
      <c r="P738" s="653"/>
      <c r="Q738" s="653"/>
      <c r="R738" s="653"/>
      <c r="S738" s="653"/>
      <c r="T738" s="653"/>
      <c r="U738" s="656"/>
      <c r="V738" s="653"/>
      <c r="W738" s="653"/>
      <c r="X738" s="653"/>
      <c r="Y738" s="657"/>
      <c r="Z738" s="615"/>
      <c r="AA738" s="653"/>
      <c r="AB738" s="657"/>
      <c r="AC738" s="653"/>
      <c r="AD738" s="653"/>
      <c r="AE738" s="653"/>
      <c r="AF738" s="653"/>
      <c r="AG738" s="653"/>
      <c r="AH738" s="653"/>
      <c r="AI738" s="653"/>
      <c r="AJ738" s="653"/>
      <c r="AK738" s="653"/>
      <c r="AL738" s="653"/>
      <c r="AM738" s="653"/>
      <c r="AN738" s="653"/>
      <c r="AO738" s="653"/>
      <c r="AP738" s="653"/>
      <c r="AQ738" s="653"/>
      <c r="AR738" s="653"/>
      <c r="AS738" s="653"/>
      <c r="AT738" s="653"/>
      <c r="AU738" s="653"/>
      <c r="AV738" s="653"/>
    </row>
    <row r="739" spans="1:48" ht="14.5">
      <c r="A739" s="653"/>
      <c r="B739" s="653"/>
      <c r="C739" s="653"/>
      <c r="D739" s="653"/>
      <c r="E739" s="653"/>
      <c r="F739" s="653"/>
      <c r="G739" s="654"/>
      <c r="H739" s="654"/>
      <c r="I739" s="653"/>
      <c r="J739" s="653"/>
      <c r="K739" s="655"/>
      <c r="L739" s="653"/>
      <c r="M739" s="653"/>
      <c r="N739" s="653"/>
      <c r="O739" s="653"/>
      <c r="P739" s="653"/>
      <c r="Q739" s="653"/>
      <c r="R739" s="653"/>
      <c r="S739" s="653"/>
      <c r="T739" s="653"/>
      <c r="U739" s="656"/>
      <c r="V739" s="653"/>
      <c r="W739" s="653"/>
      <c r="X739" s="653"/>
      <c r="Y739" s="657"/>
      <c r="Z739" s="615"/>
      <c r="AA739" s="653"/>
      <c r="AB739" s="657"/>
      <c r="AC739" s="653"/>
      <c r="AD739" s="653"/>
      <c r="AE739" s="653"/>
      <c r="AF739" s="653"/>
      <c r="AG739" s="653"/>
      <c r="AH739" s="653"/>
      <c r="AI739" s="653"/>
      <c r="AJ739" s="653"/>
      <c r="AK739" s="653"/>
      <c r="AL739" s="653"/>
      <c r="AM739" s="653"/>
      <c r="AN739" s="653"/>
      <c r="AO739" s="653"/>
      <c r="AP739" s="653"/>
      <c r="AQ739" s="653"/>
      <c r="AR739" s="653"/>
      <c r="AS739" s="653"/>
      <c r="AT739" s="653"/>
      <c r="AU739" s="653"/>
      <c r="AV739" s="653"/>
    </row>
    <row r="740" spans="1:48" ht="14.5">
      <c r="A740" s="653"/>
      <c r="B740" s="653"/>
      <c r="C740" s="653"/>
      <c r="D740" s="653"/>
      <c r="E740" s="653"/>
      <c r="F740" s="653"/>
      <c r="G740" s="654"/>
      <c r="H740" s="654"/>
      <c r="I740" s="653"/>
      <c r="J740" s="653"/>
      <c r="K740" s="655"/>
      <c r="L740" s="653"/>
      <c r="M740" s="653"/>
      <c r="N740" s="653"/>
      <c r="O740" s="653"/>
      <c r="P740" s="653"/>
      <c r="Q740" s="653"/>
      <c r="R740" s="653"/>
      <c r="S740" s="653"/>
      <c r="T740" s="653"/>
      <c r="U740" s="656"/>
      <c r="V740" s="653"/>
      <c r="W740" s="653"/>
      <c r="X740" s="653"/>
      <c r="Y740" s="657"/>
      <c r="Z740" s="615"/>
      <c r="AA740" s="653"/>
      <c r="AB740" s="657"/>
      <c r="AC740" s="653"/>
      <c r="AD740" s="653"/>
      <c r="AE740" s="653"/>
      <c r="AF740" s="653"/>
      <c r="AG740" s="653"/>
      <c r="AH740" s="653"/>
      <c r="AI740" s="653"/>
      <c r="AJ740" s="653"/>
      <c r="AK740" s="653"/>
      <c r="AL740" s="653"/>
      <c r="AM740" s="653"/>
      <c r="AN740" s="653"/>
      <c r="AO740" s="653"/>
      <c r="AP740" s="653"/>
      <c r="AQ740" s="653"/>
      <c r="AR740" s="653"/>
      <c r="AS740" s="653"/>
      <c r="AT740" s="653"/>
      <c r="AU740" s="653"/>
      <c r="AV740" s="653"/>
    </row>
    <row r="741" spans="1:48" ht="14.5">
      <c r="A741" s="653"/>
      <c r="B741" s="653"/>
      <c r="C741" s="653"/>
      <c r="D741" s="653"/>
      <c r="E741" s="653"/>
      <c r="F741" s="653"/>
      <c r="G741" s="654"/>
      <c r="H741" s="654"/>
      <c r="I741" s="653"/>
      <c r="J741" s="653"/>
      <c r="K741" s="655"/>
      <c r="L741" s="653"/>
      <c r="M741" s="653"/>
      <c r="N741" s="653"/>
      <c r="O741" s="653"/>
      <c r="P741" s="653"/>
      <c r="Q741" s="653"/>
      <c r="R741" s="653"/>
      <c r="S741" s="653"/>
      <c r="T741" s="653"/>
      <c r="U741" s="656"/>
      <c r="V741" s="653"/>
      <c r="W741" s="653"/>
      <c r="X741" s="653"/>
      <c r="Y741" s="657"/>
      <c r="Z741" s="615"/>
      <c r="AA741" s="653"/>
      <c r="AB741" s="657"/>
      <c r="AC741" s="653"/>
      <c r="AD741" s="653"/>
      <c r="AE741" s="653"/>
      <c r="AF741" s="653"/>
      <c r="AG741" s="653"/>
      <c r="AH741" s="653"/>
      <c r="AI741" s="653"/>
      <c r="AJ741" s="653"/>
      <c r="AK741" s="653"/>
      <c r="AL741" s="653"/>
      <c r="AM741" s="653"/>
      <c r="AN741" s="653"/>
      <c r="AO741" s="653"/>
      <c r="AP741" s="653"/>
      <c r="AQ741" s="653"/>
      <c r="AR741" s="653"/>
      <c r="AS741" s="653"/>
      <c r="AT741" s="653"/>
      <c r="AU741" s="653"/>
      <c r="AV741" s="653"/>
    </row>
    <row r="742" spans="1:48" ht="14.5">
      <c r="A742" s="653"/>
      <c r="B742" s="653"/>
      <c r="C742" s="653"/>
      <c r="D742" s="653"/>
      <c r="E742" s="653"/>
      <c r="F742" s="653"/>
      <c r="G742" s="654"/>
      <c r="H742" s="654"/>
      <c r="I742" s="653"/>
      <c r="J742" s="653"/>
      <c r="K742" s="655"/>
      <c r="L742" s="653"/>
      <c r="M742" s="653"/>
      <c r="N742" s="653"/>
      <c r="O742" s="653"/>
      <c r="P742" s="653"/>
      <c r="Q742" s="653"/>
      <c r="R742" s="653"/>
      <c r="S742" s="653"/>
      <c r="T742" s="653"/>
      <c r="U742" s="656"/>
      <c r="V742" s="653"/>
      <c r="W742" s="653"/>
      <c r="X742" s="653"/>
      <c r="Y742" s="657"/>
      <c r="Z742" s="615"/>
      <c r="AA742" s="653"/>
      <c r="AB742" s="657"/>
      <c r="AC742" s="653"/>
      <c r="AD742" s="653"/>
      <c r="AE742" s="653"/>
      <c r="AF742" s="653"/>
      <c r="AG742" s="653"/>
      <c r="AH742" s="653"/>
      <c r="AI742" s="653"/>
      <c r="AJ742" s="653"/>
      <c r="AK742" s="653"/>
      <c r="AL742" s="653"/>
      <c r="AM742" s="653"/>
      <c r="AN742" s="653"/>
      <c r="AO742" s="653"/>
      <c r="AP742" s="653"/>
      <c r="AQ742" s="653"/>
      <c r="AR742" s="653"/>
      <c r="AS742" s="653"/>
      <c r="AT742" s="653"/>
      <c r="AU742" s="653"/>
      <c r="AV742" s="653"/>
    </row>
    <row r="743" spans="1:48" ht="14.5">
      <c r="A743" s="653"/>
      <c r="B743" s="653"/>
      <c r="C743" s="653"/>
      <c r="D743" s="653"/>
      <c r="E743" s="653"/>
      <c r="F743" s="653"/>
      <c r="G743" s="654"/>
      <c r="H743" s="654"/>
      <c r="I743" s="653"/>
      <c r="J743" s="653"/>
      <c r="K743" s="655"/>
      <c r="L743" s="653"/>
      <c r="M743" s="653"/>
      <c r="N743" s="653"/>
      <c r="O743" s="653"/>
      <c r="P743" s="653"/>
      <c r="Q743" s="653"/>
      <c r="R743" s="653"/>
      <c r="S743" s="653"/>
      <c r="T743" s="653"/>
      <c r="U743" s="656"/>
      <c r="V743" s="653"/>
      <c r="W743" s="653"/>
      <c r="X743" s="653"/>
      <c r="Y743" s="657"/>
      <c r="Z743" s="615"/>
      <c r="AA743" s="653"/>
      <c r="AB743" s="657"/>
      <c r="AC743" s="653"/>
      <c r="AD743" s="653"/>
      <c r="AE743" s="653"/>
      <c r="AF743" s="653"/>
      <c r="AG743" s="653"/>
      <c r="AH743" s="653"/>
      <c r="AI743" s="653"/>
      <c r="AJ743" s="653"/>
      <c r="AK743" s="653"/>
      <c r="AL743" s="653"/>
      <c r="AM743" s="653"/>
      <c r="AN743" s="653"/>
      <c r="AO743" s="653"/>
      <c r="AP743" s="653"/>
      <c r="AQ743" s="653"/>
      <c r="AR743" s="653"/>
      <c r="AS743" s="653"/>
      <c r="AT743" s="653"/>
      <c r="AU743" s="653"/>
      <c r="AV743" s="653"/>
    </row>
    <row r="744" spans="1:48" ht="14.5">
      <c r="A744" s="653"/>
      <c r="B744" s="653"/>
      <c r="C744" s="653"/>
      <c r="D744" s="653"/>
      <c r="E744" s="653"/>
      <c r="F744" s="653"/>
      <c r="G744" s="654"/>
      <c r="H744" s="654"/>
      <c r="I744" s="653"/>
      <c r="J744" s="653"/>
      <c r="K744" s="655"/>
      <c r="L744" s="653"/>
      <c r="M744" s="653"/>
      <c r="N744" s="653"/>
      <c r="O744" s="653"/>
      <c r="P744" s="653"/>
      <c r="Q744" s="653"/>
      <c r="R744" s="653"/>
      <c r="S744" s="653"/>
      <c r="T744" s="653"/>
      <c r="U744" s="656"/>
      <c r="V744" s="653"/>
      <c r="W744" s="653"/>
      <c r="X744" s="653"/>
      <c r="Y744" s="657"/>
      <c r="Z744" s="615"/>
      <c r="AA744" s="653"/>
      <c r="AB744" s="657"/>
      <c r="AC744" s="653"/>
      <c r="AD744" s="653"/>
      <c r="AE744" s="653"/>
      <c r="AF744" s="653"/>
      <c r="AG744" s="653"/>
      <c r="AH744" s="653"/>
      <c r="AI744" s="653"/>
      <c r="AJ744" s="653"/>
      <c r="AK744" s="653"/>
      <c r="AL744" s="653"/>
      <c r="AM744" s="653"/>
      <c r="AN744" s="653"/>
      <c r="AO744" s="653"/>
      <c r="AP744" s="653"/>
      <c r="AQ744" s="653"/>
      <c r="AR744" s="653"/>
      <c r="AS744" s="653"/>
      <c r="AT744" s="653"/>
      <c r="AU744" s="653"/>
      <c r="AV744" s="653"/>
    </row>
    <row r="745" spans="1:48" ht="14.5">
      <c r="A745" s="653"/>
      <c r="B745" s="653"/>
      <c r="C745" s="653"/>
      <c r="D745" s="653"/>
      <c r="E745" s="653"/>
      <c r="F745" s="653"/>
      <c r="G745" s="654"/>
      <c r="H745" s="654"/>
      <c r="I745" s="653"/>
      <c r="J745" s="653"/>
      <c r="K745" s="655"/>
      <c r="L745" s="653"/>
      <c r="M745" s="653"/>
      <c r="N745" s="653"/>
      <c r="O745" s="653"/>
      <c r="P745" s="653"/>
      <c r="Q745" s="653"/>
      <c r="R745" s="653"/>
      <c r="S745" s="653"/>
      <c r="T745" s="653"/>
      <c r="U745" s="656"/>
      <c r="V745" s="653"/>
      <c r="W745" s="653"/>
      <c r="X745" s="653"/>
      <c r="Y745" s="657"/>
      <c r="Z745" s="615"/>
      <c r="AA745" s="653"/>
      <c r="AB745" s="657"/>
      <c r="AC745" s="653"/>
      <c r="AD745" s="653"/>
      <c r="AE745" s="653"/>
      <c r="AF745" s="653"/>
      <c r="AG745" s="653"/>
      <c r="AH745" s="653"/>
      <c r="AI745" s="653"/>
      <c r="AJ745" s="653"/>
      <c r="AK745" s="653"/>
      <c r="AL745" s="653"/>
      <c r="AM745" s="653"/>
      <c r="AN745" s="653"/>
      <c r="AO745" s="653"/>
      <c r="AP745" s="653"/>
      <c r="AQ745" s="653"/>
      <c r="AR745" s="653"/>
      <c r="AS745" s="653"/>
      <c r="AT745" s="653"/>
      <c r="AU745" s="653"/>
      <c r="AV745" s="653"/>
    </row>
    <row r="746" spans="1:48" ht="14.5">
      <c r="A746" s="653"/>
      <c r="B746" s="653"/>
      <c r="C746" s="653"/>
      <c r="D746" s="653"/>
      <c r="E746" s="653"/>
      <c r="F746" s="653"/>
      <c r="G746" s="654"/>
      <c r="H746" s="654"/>
      <c r="I746" s="653"/>
      <c r="J746" s="653"/>
      <c r="K746" s="655"/>
      <c r="L746" s="653"/>
      <c r="M746" s="653"/>
      <c r="N746" s="653"/>
      <c r="O746" s="653"/>
      <c r="P746" s="653"/>
      <c r="Q746" s="653"/>
      <c r="R746" s="653"/>
      <c r="S746" s="653"/>
      <c r="T746" s="653"/>
      <c r="U746" s="656"/>
      <c r="V746" s="653"/>
      <c r="W746" s="653"/>
      <c r="X746" s="653"/>
      <c r="Y746" s="657"/>
      <c r="Z746" s="615"/>
      <c r="AA746" s="653"/>
      <c r="AB746" s="657"/>
      <c r="AC746" s="653"/>
      <c r="AD746" s="653"/>
      <c r="AE746" s="653"/>
      <c r="AF746" s="653"/>
      <c r="AG746" s="653"/>
      <c r="AH746" s="653"/>
      <c r="AI746" s="653"/>
      <c r="AJ746" s="653"/>
      <c r="AK746" s="653"/>
      <c r="AL746" s="653"/>
      <c r="AM746" s="653"/>
      <c r="AN746" s="653"/>
      <c r="AO746" s="653"/>
      <c r="AP746" s="653"/>
      <c r="AQ746" s="653"/>
      <c r="AR746" s="653"/>
      <c r="AS746" s="653"/>
      <c r="AT746" s="653"/>
      <c r="AU746" s="653"/>
      <c r="AV746" s="653"/>
    </row>
    <row r="747" spans="1:48" ht="14.5">
      <c r="A747" s="653"/>
      <c r="B747" s="653"/>
      <c r="C747" s="653"/>
      <c r="D747" s="653"/>
      <c r="E747" s="653"/>
      <c r="F747" s="653"/>
      <c r="G747" s="654"/>
      <c r="H747" s="654"/>
      <c r="I747" s="653"/>
      <c r="J747" s="653"/>
      <c r="K747" s="655"/>
      <c r="L747" s="653"/>
      <c r="M747" s="653"/>
      <c r="N747" s="653"/>
      <c r="O747" s="653"/>
      <c r="P747" s="653"/>
      <c r="Q747" s="653"/>
      <c r="R747" s="653"/>
      <c r="S747" s="653"/>
      <c r="T747" s="653"/>
      <c r="U747" s="656"/>
      <c r="V747" s="653"/>
      <c r="W747" s="653"/>
      <c r="X747" s="653"/>
      <c r="Y747" s="657"/>
      <c r="Z747" s="615"/>
      <c r="AA747" s="653"/>
      <c r="AB747" s="657"/>
      <c r="AC747" s="653"/>
      <c r="AD747" s="653"/>
      <c r="AE747" s="653"/>
      <c r="AF747" s="653"/>
      <c r="AG747" s="653"/>
      <c r="AH747" s="653"/>
      <c r="AI747" s="653"/>
      <c r="AJ747" s="653"/>
      <c r="AK747" s="653"/>
      <c r="AL747" s="653"/>
      <c r="AM747" s="653"/>
      <c r="AN747" s="653"/>
      <c r="AO747" s="653"/>
      <c r="AP747" s="653"/>
      <c r="AQ747" s="653"/>
      <c r="AR747" s="653"/>
      <c r="AS747" s="653"/>
      <c r="AT747" s="653"/>
      <c r="AU747" s="653"/>
      <c r="AV747" s="653"/>
    </row>
    <row r="748" spans="1:48" ht="14.5">
      <c r="A748" s="653"/>
      <c r="B748" s="653"/>
      <c r="C748" s="653"/>
      <c r="D748" s="653"/>
      <c r="E748" s="653"/>
      <c r="F748" s="653"/>
      <c r="G748" s="654"/>
      <c r="H748" s="654"/>
      <c r="I748" s="653"/>
      <c r="J748" s="653"/>
      <c r="K748" s="655"/>
      <c r="L748" s="653"/>
      <c r="M748" s="653"/>
      <c r="N748" s="653"/>
      <c r="O748" s="653"/>
      <c r="P748" s="653"/>
      <c r="Q748" s="653"/>
      <c r="R748" s="653"/>
      <c r="S748" s="653"/>
      <c r="T748" s="653"/>
      <c r="U748" s="656"/>
      <c r="V748" s="653"/>
      <c r="W748" s="653"/>
      <c r="X748" s="653"/>
      <c r="Y748" s="657"/>
      <c r="Z748" s="615"/>
      <c r="AA748" s="653"/>
      <c r="AB748" s="657"/>
      <c r="AC748" s="653"/>
      <c r="AD748" s="653"/>
      <c r="AE748" s="653"/>
      <c r="AF748" s="653"/>
      <c r="AG748" s="653"/>
      <c r="AH748" s="653"/>
      <c r="AI748" s="653"/>
      <c r="AJ748" s="653"/>
      <c r="AK748" s="653"/>
      <c r="AL748" s="653"/>
      <c r="AM748" s="653"/>
      <c r="AN748" s="653"/>
      <c r="AO748" s="653"/>
      <c r="AP748" s="653"/>
      <c r="AQ748" s="653"/>
      <c r="AR748" s="653"/>
      <c r="AS748" s="653"/>
      <c r="AT748" s="653"/>
      <c r="AU748" s="653"/>
      <c r="AV748" s="653"/>
    </row>
    <row r="749" spans="1:48" ht="14.5">
      <c r="A749" s="653"/>
      <c r="B749" s="653"/>
      <c r="C749" s="653"/>
      <c r="D749" s="653"/>
      <c r="E749" s="653"/>
      <c r="F749" s="653"/>
      <c r="G749" s="654"/>
      <c r="H749" s="654"/>
      <c r="I749" s="653"/>
      <c r="J749" s="653"/>
      <c r="K749" s="655"/>
      <c r="L749" s="653"/>
      <c r="M749" s="653"/>
      <c r="N749" s="653"/>
      <c r="O749" s="653"/>
      <c r="P749" s="653"/>
      <c r="Q749" s="653"/>
      <c r="R749" s="653"/>
      <c r="S749" s="653"/>
      <c r="T749" s="653"/>
      <c r="U749" s="656"/>
      <c r="V749" s="653"/>
      <c r="W749" s="653"/>
      <c r="X749" s="653"/>
      <c r="Y749" s="657"/>
      <c r="Z749" s="615"/>
      <c r="AA749" s="653"/>
      <c r="AB749" s="657"/>
      <c r="AC749" s="653"/>
      <c r="AD749" s="653"/>
      <c r="AE749" s="653"/>
      <c r="AF749" s="653"/>
      <c r="AG749" s="653"/>
      <c r="AH749" s="653"/>
      <c r="AI749" s="653"/>
      <c r="AJ749" s="653"/>
      <c r="AK749" s="653"/>
      <c r="AL749" s="653"/>
      <c r="AM749" s="653"/>
      <c r="AN749" s="653"/>
      <c r="AO749" s="653"/>
      <c r="AP749" s="653"/>
      <c r="AQ749" s="653"/>
      <c r="AR749" s="653"/>
      <c r="AS749" s="653"/>
      <c r="AT749" s="653"/>
      <c r="AU749" s="653"/>
      <c r="AV749" s="653"/>
    </row>
    <row r="750" spans="1:48" ht="14.5">
      <c r="A750" s="653"/>
      <c r="B750" s="653"/>
      <c r="C750" s="653"/>
      <c r="D750" s="653"/>
      <c r="E750" s="653"/>
      <c r="F750" s="653"/>
      <c r="G750" s="654"/>
      <c r="H750" s="654"/>
      <c r="I750" s="653"/>
      <c r="J750" s="653"/>
      <c r="K750" s="655"/>
      <c r="L750" s="653"/>
      <c r="M750" s="653"/>
      <c r="N750" s="653"/>
      <c r="O750" s="653"/>
      <c r="P750" s="653"/>
      <c r="Q750" s="653"/>
      <c r="R750" s="653"/>
      <c r="S750" s="653"/>
      <c r="T750" s="653"/>
      <c r="U750" s="656"/>
      <c r="V750" s="653"/>
      <c r="W750" s="653"/>
      <c r="X750" s="653"/>
      <c r="Y750" s="657"/>
      <c r="Z750" s="615"/>
      <c r="AA750" s="653"/>
      <c r="AB750" s="657"/>
      <c r="AC750" s="653"/>
      <c r="AD750" s="653"/>
      <c r="AE750" s="653"/>
      <c r="AF750" s="653"/>
      <c r="AG750" s="653"/>
      <c r="AH750" s="653"/>
      <c r="AI750" s="653"/>
      <c r="AJ750" s="653"/>
      <c r="AK750" s="653"/>
      <c r="AL750" s="653"/>
      <c r="AM750" s="653"/>
      <c r="AN750" s="653"/>
      <c r="AO750" s="653"/>
      <c r="AP750" s="653"/>
      <c r="AQ750" s="653"/>
      <c r="AR750" s="653"/>
      <c r="AS750" s="653"/>
      <c r="AT750" s="653"/>
      <c r="AU750" s="653"/>
      <c r="AV750" s="653"/>
    </row>
    <row r="751" spans="1:48" ht="14.5">
      <c r="A751" s="653"/>
      <c r="B751" s="653"/>
      <c r="C751" s="653"/>
      <c r="D751" s="653"/>
      <c r="E751" s="653"/>
      <c r="F751" s="653"/>
      <c r="G751" s="654"/>
      <c r="H751" s="654"/>
      <c r="I751" s="653"/>
      <c r="J751" s="653"/>
      <c r="K751" s="655"/>
      <c r="L751" s="653"/>
      <c r="M751" s="653"/>
      <c r="N751" s="653"/>
      <c r="O751" s="653"/>
      <c r="P751" s="653"/>
      <c r="Q751" s="653"/>
      <c r="R751" s="653"/>
      <c r="S751" s="653"/>
      <c r="T751" s="653"/>
      <c r="U751" s="656"/>
      <c r="V751" s="653"/>
      <c r="W751" s="653"/>
      <c r="X751" s="653"/>
      <c r="Y751" s="657"/>
      <c r="Z751" s="615"/>
      <c r="AA751" s="653"/>
      <c r="AB751" s="657"/>
      <c r="AC751" s="653"/>
      <c r="AD751" s="653"/>
      <c r="AE751" s="653"/>
      <c r="AF751" s="653"/>
      <c r="AG751" s="653"/>
      <c r="AH751" s="653"/>
      <c r="AI751" s="653"/>
      <c r="AJ751" s="653"/>
      <c r="AK751" s="653"/>
      <c r="AL751" s="653"/>
      <c r="AM751" s="653"/>
      <c r="AN751" s="653"/>
      <c r="AO751" s="653"/>
      <c r="AP751" s="653"/>
      <c r="AQ751" s="653"/>
      <c r="AR751" s="653"/>
      <c r="AS751" s="653"/>
      <c r="AT751" s="653"/>
      <c r="AU751" s="653"/>
      <c r="AV751" s="653"/>
    </row>
    <row r="752" spans="1:48" ht="14.5">
      <c r="A752" s="653"/>
      <c r="B752" s="653"/>
      <c r="C752" s="653"/>
      <c r="D752" s="653"/>
      <c r="E752" s="653"/>
      <c r="F752" s="653"/>
      <c r="G752" s="654"/>
      <c r="H752" s="654"/>
      <c r="I752" s="653"/>
      <c r="J752" s="653"/>
      <c r="K752" s="655"/>
      <c r="L752" s="653"/>
      <c r="M752" s="653"/>
      <c r="N752" s="653"/>
      <c r="O752" s="653"/>
      <c r="P752" s="653"/>
      <c r="Q752" s="653"/>
      <c r="R752" s="653"/>
      <c r="S752" s="653"/>
      <c r="T752" s="653"/>
      <c r="U752" s="656"/>
      <c r="V752" s="653"/>
      <c r="W752" s="653"/>
      <c r="X752" s="653"/>
      <c r="Y752" s="657"/>
      <c r="Z752" s="615"/>
      <c r="AA752" s="653"/>
      <c r="AB752" s="657"/>
      <c r="AC752" s="653"/>
      <c r="AD752" s="653"/>
      <c r="AE752" s="653"/>
      <c r="AF752" s="653"/>
      <c r="AG752" s="653"/>
      <c r="AH752" s="653"/>
      <c r="AI752" s="653"/>
      <c r="AJ752" s="653"/>
      <c r="AK752" s="653"/>
      <c r="AL752" s="653"/>
      <c r="AM752" s="653"/>
      <c r="AN752" s="653"/>
      <c r="AO752" s="653"/>
      <c r="AP752" s="653"/>
      <c r="AQ752" s="653"/>
      <c r="AR752" s="653"/>
      <c r="AS752" s="653"/>
      <c r="AT752" s="653"/>
      <c r="AU752" s="653"/>
      <c r="AV752" s="653"/>
    </row>
    <row r="753" spans="1:48" ht="14.5">
      <c r="A753" s="653"/>
      <c r="B753" s="653"/>
      <c r="C753" s="653"/>
      <c r="D753" s="653"/>
      <c r="E753" s="653"/>
      <c r="F753" s="653"/>
      <c r="G753" s="654"/>
      <c r="H753" s="654"/>
      <c r="I753" s="653"/>
      <c r="J753" s="653"/>
      <c r="K753" s="655"/>
      <c r="L753" s="653"/>
      <c r="M753" s="653"/>
      <c r="N753" s="653"/>
      <c r="O753" s="653"/>
      <c r="P753" s="653"/>
      <c r="Q753" s="653"/>
      <c r="R753" s="653"/>
      <c r="S753" s="653"/>
      <c r="T753" s="653"/>
      <c r="U753" s="656"/>
      <c r="V753" s="653"/>
      <c r="W753" s="653"/>
      <c r="X753" s="653"/>
      <c r="Y753" s="657"/>
      <c r="Z753" s="615"/>
      <c r="AA753" s="653"/>
      <c r="AB753" s="657"/>
      <c r="AC753" s="653"/>
      <c r="AD753" s="653"/>
      <c r="AE753" s="653"/>
      <c r="AF753" s="653"/>
      <c r="AG753" s="653"/>
      <c r="AH753" s="653"/>
      <c r="AI753" s="653"/>
      <c r="AJ753" s="653"/>
      <c r="AK753" s="653"/>
      <c r="AL753" s="653"/>
      <c r="AM753" s="653"/>
      <c r="AN753" s="653"/>
      <c r="AO753" s="653"/>
      <c r="AP753" s="653"/>
      <c r="AQ753" s="653"/>
      <c r="AR753" s="653"/>
      <c r="AS753" s="653"/>
      <c r="AT753" s="653"/>
      <c r="AU753" s="653"/>
      <c r="AV753" s="653"/>
    </row>
    <row r="754" spans="1:48" ht="14.5">
      <c r="A754" s="653"/>
      <c r="B754" s="653"/>
      <c r="C754" s="653"/>
      <c r="D754" s="653"/>
      <c r="E754" s="653"/>
      <c r="F754" s="653"/>
      <c r="G754" s="654"/>
      <c r="H754" s="654"/>
      <c r="I754" s="653"/>
      <c r="J754" s="653"/>
      <c r="K754" s="655"/>
      <c r="L754" s="653"/>
      <c r="M754" s="653"/>
      <c r="N754" s="653"/>
      <c r="O754" s="653"/>
      <c r="P754" s="653"/>
      <c r="Q754" s="653"/>
      <c r="R754" s="653"/>
      <c r="S754" s="653"/>
      <c r="T754" s="653"/>
      <c r="U754" s="656"/>
      <c r="V754" s="653"/>
      <c r="W754" s="653"/>
      <c r="X754" s="653"/>
      <c r="Y754" s="657"/>
      <c r="Z754" s="615"/>
      <c r="AA754" s="653"/>
      <c r="AB754" s="657"/>
      <c r="AC754" s="653"/>
      <c r="AD754" s="653"/>
      <c r="AE754" s="653"/>
      <c r="AF754" s="653"/>
      <c r="AG754" s="653"/>
      <c r="AH754" s="653"/>
      <c r="AI754" s="653"/>
      <c r="AJ754" s="653"/>
      <c r="AK754" s="653"/>
      <c r="AL754" s="653"/>
      <c r="AM754" s="653"/>
      <c r="AN754" s="653"/>
      <c r="AO754" s="653"/>
      <c r="AP754" s="653"/>
      <c r="AQ754" s="653"/>
      <c r="AR754" s="653"/>
      <c r="AS754" s="653"/>
      <c r="AT754" s="653"/>
      <c r="AU754" s="653"/>
      <c r="AV754" s="653"/>
    </row>
    <row r="755" spans="1:48" ht="14.5">
      <c r="A755" s="653"/>
      <c r="B755" s="653"/>
      <c r="C755" s="653"/>
      <c r="D755" s="653"/>
      <c r="E755" s="653"/>
      <c r="F755" s="653"/>
      <c r="G755" s="654"/>
      <c r="H755" s="654"/>
      <c r="I755" s="653"/>
      <c r="J755" s="653"/>
      <c r="K755" s="655"/>
      <c r="L755" s="653"/>
      <c r="M755" s="653"/>
      <c r="N755" s="653"/>
      <c r="O755" s="653"/>
      <c r="P755" s="653"/>
      <c r="Q755" s="653"/>
      <c r="R755" s="653"/>
      <c r="S755" s="653"/>
      <c r="T755" s="653"/>
      <c r="U755" s="656"/>
      <c r="V755" s="653"/>
      <c r="W755" s="653"/>
      <c r="X755" s="653"/>
      <c r="Y755" s="657"/>
      <c r="Z755" s="615"/>
      <c r="AA755" s="653"/>
      <c r="AB755" s="657"/>
      <c r="AC755" s="653"/>
      <c r="AD755" s="653"/>
      <c r="AE755" s="653"/>
      <c r="AF755" s="653"/>
      <c r="AG755" s="653"/>
      <c r="AH755" s="653"/>
      <c r="AI755" s="653"/>
      <c r="AJ755" s="653"/>
      <c r="AK755" s="653"/>
      <c r="AL755" s="653"/>
      <c r="AM755" s="653"/>
      <c r="AN755" s="653"/>
      <c r="AO755" s="653"/>
      <c r="AP755" s="653"/>
      <c r="AQ755" s="653"/>
      <c r="AR755" s="653"/>
      <c r="AS755" s="653"/>
      <c r="AT755" s="653"/>
      <c r="AU755" s="653"/>
      <c r="AV755" s="653"/>
    </row>
    <row r="756" spans="1:48" ht="14.5">
      <c r="A756" s="653"/>
      <c r="B756" s="653"/>
      <c r="C756" s="653"/>
      <c r="D756" s="653"/>
      <c r="E756" s="653"/>
      <c r="F756" s="653"/>
      <c r="G756" s="654"/>
      <c r="H756" s="654"/>
      <c r="I756" s="653"/>
      <c r="J756" s="653"/>
      <c r="K756" s="655"/>
      <c r="L756" s="653"/>
      <c r="M756" s="653"/>
      <c r="N756" s="653"/>
      <c r="O756" s="653"/>
      <c r="P756" s="653"/>
      <c r="Q756" s="653"/>
      <c r="R756" s="653"/>
      <c r="S756" s="653"/>
      <c r="T756" s="653"/>
      <c r="U756" s="656"/>
      <c r="V756" s="653"/>
      <c r="W756" s="653"/>
      <c r="X756" s="653"/>
      <c r="Y756" s="657"/>
      <c r="Z756" s="615"/>
      <c r="AA756" s="653"/>
      <c r="AB756" s="657"/>
      <c r="AC756" s="653"/>
      <c r="AD756" s="653"/>
      <c r="AE756" s="653"/>
      <c r="AF756" s="653"/>
      <c r="AG756" s="653"/>
      <c r="AH756" s="653"/>
      <c r="AI756" s="653"/>
      <c r="AJ756" s="653"/>
      <c r="AK756" s="653"/>
      <c r="AL756" s="653"/>
      <c r="AM756" s="653"/>
      <c r="AN756" s="653"/>
      <c r="AO756" s="653"/>
      <c r="AP756" s="653"/>
      <c r="AQ756" s="653"/>
      <c r="AR756" s="653"/>
      <c r="AS756" s="653"/>
      <c r="AT756" s="653"/>
      <c r="AU756" s="653"/>
      <c r="AV756" s="653"/>
    </row>
    <row r="757" spans="1:48" ht="14.5">
      <c r="A757" s="653"/>
      <c r="B757" s="653"/>
      <c r="C757" s="653"/>
      <c r="D757" s="653"/>
      <c r="E757" s="653"/>
      <c r="F757" s="653"/>
      <c r="G757" s="654"/>
      <c r="H757" s="654"/>
      <c r="I757" s="653"/>
      <c r="J757" s="653"/>
      <c r="K757" s="655"/>
      <c r="L757" s="653"/>
      <c r="M757" s="653"/>
      <c r="N757" s="653"/>
      <c r="O757" s="653"/>
      <c r="P757" s="653"/>
      <c r="Q757" s="653"/>
      <c r="R757" s="653"/>
      <c r="S757" s="653"/>
      <c r="T757" s="653"/>
      <c r="U757" s="656"/>
      <c r="V757" s="653"/>
      <c r="W757" s="653"/>
      <c r="X757" s="653"/>
      <c r="Y757" s="657"/>
      <c r="Z757" s="615"/>
      <c r="AA757" s="653"/>
      <c r="AB757" s="657"/>
      <c r="AC757" s="653"/>
      <c r="AD757" s="653"/>
      <c r="AE757" s="653"/>
      <c r="AF757" s="653"/>
      <c r="AG757" s="653"/>
      <c r="AH757" s="653"/>
      <c r="AI757" s="653"/>
      <c r="AJ757" s="653"/>
      <c r="AK757" s="653"/>
      <c r="AL757" s="653"/>
      <c r="AM757" s="653"/>
      <c r="AN757" s="653"/>
      <c r="AO757" s="653"/>
      <c r="AP757" s="653"/>
      <c r="AQ757" s="653"/>
      <c r="AR757" s="653"/>
      <c r="AS757" s="653"/>
      <c r="AT757" s="653"/>
      <c r="AU757" s="653"/>
      <c r="AV757" s="653"/>
    </row>
    <row r="758" spans="1:48" ht="14.5">
      <c r="A758" s="653"/>
      <c r="B758" s="653"/>
      <c r="C758" s="653"/>
      <c r="D758" s="653"/>
      <c r="E758" s="653"/>
      <c r="F758" s="653"/>
      <c r="G758" s="654"/>
      <c r="H758" s="654"/>
      <c r="I758" s="653"/>
      <c r="J758" s="653"/>
      <c r="K758" s="655"/>
      <c r="L758" s="653"/>
      <c r="M758" s="653"/>
      <c r="N758" s="653"/>
      <c r="O758" s="653"/>
      <c r="P758" s="653"/>
      <c r="Q758" s="653"/>
      <c r="R758" s="653"/>
      <c r="S758" s="653"/>
      <c r="T758" s="653"/>
      <c r="U758" s="656"/>
      <c r="V758" s="653"/>
      <c r="W758" s="653"/>
      <c r="X758" s="653"/>
      <c r="Y758" s="657"/>
      <c r="Z758" s="615"/>
      <c r="AA758" s="653"/>
      <c r="AB758" s="657"/>
      <c r="AC758" s="653"/>
      <c r="AD758" s="653"/>
      <c r="AE758" s="653"/>
      <c r="AF758" s="653"/>
      <c r="AG758" s="653"/>
      <c r="AH758" s="653"/>
      <c r="AI758" s="653"/>
      <c r="AJ758" s="653"/>
      <c r="AK758" s="653"/>
      <c r="AL758" s="653"/>
      <c r="AM758" s="653"/>
      <c r="AN758" s="653"/>
      <c r="AO758" s="653"/>
      <c r="AP758" s="653"/>
      <c r="AQ758" s="653"/>
      <c r="AR758" s="653"/>
      <c r="AS758" s="653"/>
      <c r="AT758" s="653"/>
      <c r="AU758" s="653"/>
      <c r="AV758" s="653"/>
    </row>
    <row r="759" spans="1:48" ht="14.5">
      <c r="A759" s="653"/>
      <c r="B759" s="653"/>
      <c r="C759" s="653"/>
      <c r="D759" s="653"/>
      <c r="E759" s="653"/>
      <c r="F759" s="653"/>
      <c r="G759" s="654"/>
      <c r="H759" s="654"/>
      <c r="I759" s="653"/>
      <c r="J759" s="653"/>
      <c r="K759" s="655"/>
      <c r="L759" s="653"/>
      <c r="M759" s="653"/>
      <c r="N759" s="653"/>
      <c r="O759" s="653"/>
      <c r="P759" s="653"/>
      <c r="Q759" s="653"/>
      <c r="R759" s="653"/>
      <c r="S759" s="653"/>
      <c r="T759" s="653"/>
      <c r="U759" s="656"/>
      <c r="V759" s="653"/>
      <c r="W759" s="653"/>
      <c r="X759" s="653"/>
      <c r="Y759" s="657"/>
      <c r="Z759" s="615"/>
      <c r="AA759" s="653"/>
      <c r="AB759" s="657"/>
      <c r="AC759" s="653"/>
      <c r="AD759" s="653"/>
      <c r="AE759" s="653"/>
      <c r="AF759" s="653"/>
      <c r="AG759" s="653"/>
      <c r="AH759" s="653"/>
      <c r="AI759" s="653"/>
      <c r="AJ759" s="653"/>
      <c r="AK759" s="653"/>
      <c r="AL759" s="653"/>
      <c r="AM759" s="653"/>
      <c r="AN759" s="653"/>
      <c r="AO759" s="653"/>
      <c r="AP759" s="653"/>
      <c r="AQ759" s="653"/>
      <c r="AR759" s="653"/>
      <c r="AS759" s="653"/>
      <c r="AT759" s="653"/>
      <c r="AU759" s="653"/>
      <c r="AV759" s="653"/>
    </row>
    <row r="760" spans="1:48" ht="14.5">
      <c r="A760" s="653"/>
      <c r="B760" s="653"/>
      <c r="C760" s="653"/>
      <c r="D760" s="653"/>
      <c r="E760" s="653"/>
      <c r="F760" s="653"/>
      <c r="G760" s="654"/>
      <c r="H760" s="654"/>
      <c r="I760" s="653"/>
      <c r="J760" s="653"/>
      <c r="K760" s="655"/>
      <c r="L760" s="653"/>
      <c r="M760" s="653"/>
      <c r="N760" s="653"/>
      <c r="O760" s="653"/>
      <c r="P760" s="653"/>
      <c r="Q760" s="653"/>
      <c r="R760" s="653"/>
      <c r="S760" s="653"/>
      <c r="T760" s="653"/>
      <c r="U760" s="656"/>
      <c r="V760" s="653"/>
      <c r="W760" s="653"/>
      <c r="X760" s="653"/>
      <c r="Y760" s="657"/>
      <c r="Z760" s="615"/>
      <c r="AA760" s="653"/>
      <c r="AB760" s="657"/>
      <c r="AC760" s="653"/>
      <c r="AD760" s="653"/>
      <c r="AE760" s="653"/>
      <c r="AF760" s="653"/>
      <c r="AG760" s="653"/>
      <c r="AH760" s="653"/>
      <c r="AI760" s="653"/>
      <c r="AJ760" s="653"/>
      <c r="AK760" s="653"/>
      <c r="AL760" s="653"/>
      <c r="AM760" s="653"/>
      <c r="AN760" s="653"/>
      <c r="AO760" s="653"/>
      <c r="AP760" s="653"/>
      <c r="AQ760" s="653"/>
      <c r="AR760" s="653"/>
      <c r="AS760" s="653"/>
      <c r="AT760" s="653"/>
      <c r="AU760" s="653"/>
      <c r="AV760" s="653"/>
    </row>
    <row r="761" spans="1:48" ht="14.5">
      <c r="A761" s="653"/>
      <c r="B761" s="653"/>
      <c r="C761" s="653"/>
      <c r="D761" s="653"/>
      <c r="E761" s="653"/>
      <c r="F761" s="653"/>
      <c r="G761" s="654"/>
      <c r="H761" s="654"/>
      <c r="I761" s="653"/>
      <c r="J761" s="653"/>
      <c r="K761" s="655"/>
      <c r="L761" s="653"/>
      <c r="M761" s="653"/>
      <c r="N761" s="653"/>
      <c r="O761" s="653"/>
      <c r="P761" s="653"/>
      <c r="Q761" s="653"/>
      <c r="R761" s="653"/>
      <c r="S761" s="653"/>
      <c r="T761" s="653"/>
      <c r="U761" s="656"/>
      <c r="V761" s="653"/>
      <c r="W761" s="653"/>
      <c r="X761" s="653"/>
      <c r="Y761" s="657"/>
      <c r="Z761" s="615"/>
      <c r="AA761" s="653"/>
      <c r="AB761" s="657"/>
      <c r="AC761" s="653"/>
      <c r="AD761" s="653"/>
      <c r="AE761" s="653"/>
      <c r="AF761" s="653"/>
      <c r="AG761" s="653"/>
      <c r="AH761" s="653"/>
      <c r="AI761" s="653"/>
      <c r="AJ761" s="653"/>
      <c r="AK761" s="653"/>
      <c r="AL761" s="653"/>
      <c r="AM761" s="653"/>
      <c r="AN761" s="653"/>
      <c r="AO761" s="653"/>
      <c r="AP761" s="653"/>
      <c r="AQ761" s="653"/>
      <c r="AR761" s="653"/>
      <c r="AS761" s="653"/>
      <c r="AT761" s="653"/>
      <c r="AU761" s="653"/>
      <c r="AV761" s="653"/>
    </row>
    <row r="762" spans="1:48" ht="14.5">
      <c r="A762" s="653"/>
      <c r="B762" s="653"/>
      <c r="C762" s="653"/>
      <c r="D762" s="653"/>
      <c r="E762" s="653"/>
      <c r="F762" s="653"/>
      <c r="G762" s="654"/>
      <c r="H762" s="654"/>
      <c r="I762" s="653"/>
      <c r="J762" s="653"/>
      <c r="K762" s="655"/>
      <c r="L762" s="653"/>
      <c r="M762" s="653"/>
      <c r="N762" s="653"/>
      <c r="O762" s="653"/>
      <c r="P762" s="653"/>
      <c r="Q762" s="653"/>
      <c r="R762" s="653"/>
      <c r="S762" s="653"/>
      <c r="T762" s="653"/>
      <c r="U762" s="656"/>
      <c r="V762" s="653"/>
      <c r="W762" s="653"/>
      <c r="X762" s="653"/>
      <c r="Y762" s="657"/>
      <c r="Z762" s="615"/>
      <c r="AA762" s="653"/>
      <c r="AB762" s="657"/>
      <c r="AC762" s="653"/>
      <c r="AD762" s="653"/>
      <c r="AE762" s="653"/>
      <c r="AF762" s="653"/>
      <c r="AG762" s="653"/>
      <c r="AH762" s="653"/>
      <c r="AI762" s="653"/>
      <c r="AJ762" s="653"/>
      <c r="AK762" s="653"/>
      <c r="AL762" s="653"/>
      <c r="AM762" s="653"/>
      <c r="AN762" s="653"/>
      <c r="AO762" s="653"/>
      <c r="AP762" s="653"/>
      <c r="AQ762" s="653"/>
      <c r="AR762" s="653"/>
      <c r="AS762" s="653"/>
      <c r="AT762" s="653"/>
      <c r="AU762" s="653"/>
      <c r="AV762" s="653"/>
    </row>
    <row r="763" spans="1:48" ht="14.5">
      <c r="A763" s="653"/>
      <c r="B763" s="653"/>
      <c r="C763" s="653"/>
      <c r="D763" s="653"/>
      <c r="E763" s="653"/>
      <c r="F763" s="653"/>
      <c r="G763" s="654"/>
      <c r="H763" s="654"/>
      <c r="I763" s="653"/>
      <c r="J763" s="653"/>
      <c r="K763" s="655"/>
      <c r="L763" s="653"/>
      <c r="M763" s="653"/>
      <c r="N763" s="653"/>
      <c r="O763" s="653"/>
      <c r="P763" s="653"/>
      <c r="Q763" s="653"/>
      <c r="R763" s="653"/>
      <c r="S763" s="653"/>
      <c r="T763" s="653"/>
      <c r="U763" s="656"/>
      <c r="V763" s="653"/>
      <c r="W763" s="653"/>
      <c r="X763" s="653"/>
      <c r="Y763" s="657"/>
      <c r="Z763" s="615"/>
      <c r="AA763" s="653"/>
      <c r="AB763" s="657"/>
      <c r="AC763" s="653"/>
      <c r="AD763" s="653"/>
      <c r="AE763" s="653"/>
      <c r="AF763" s="653"/>
      <c r="AG763" s="653"/>
      <c r="AH763" s="653"/>
      <c r="AI763" s="653"/>
      <c r="AJ763" s="653"/>
      <c r="AK763" s="653"/>
      <c r="AL763" s="653"/>
      <c r="AM763" s="653"/>
      <c r="AN763" s="653"/>
      <c r="AO763" s="653"/>
      <c r="AP763" s="653"/>
      <c r="AQ763" s="653"/>
      <c r="AR763" s="653"/>
      <c r="AS763" s="653"/>
      <c r="AT763" s="653"/>
      <c r="AU763" s="653"/>
      <c r="AV763" s="653"/>
    </row>
    <row r="764" spans="1:48" ht="14.5">
      <c r="A764" s="653"/>
      <c r="B764" s="653"/>
      <c r="C764" s="653"/>
      <c r="D764" s="653"/>
      <c r="E764" s="653"/>
      <c r="F764" s="653"/>
      <c r="G764" s="654"/>
      <c r="H764" s="654"/>
      <c r="I764" s="653"/>
      <c r="J764" s="653"/>
      <c r="K764" s="655"/>
      <c r="L764" s="653"/>
      <c r="M764" s="653"/>
      <c r="N764" s="653"/>
      <c r="O764" s="653"/>
      <c r="P764" s="653"/>
      <c r="Q764" s="653"/>
      <c r="R764" s="653"/>
      <c r="S764" s="653"/>
      <c r="T764" s="653"/>
      <c r="U764" s="656"/>
      <c r="V764" s="653"/>
      <c r="W764" s="653"/>
      <c r="X764" s="653"/>
      <c r="Y764" s="657"/>
      <c r="Z764" s="615"/>
      <c r="AA764" s="653"/>
      <c r="AB764" s="657"/>
      <c r="AC764" s="653"/>
      <c r="AD764" s="653"/>
      <c r="AE764" s="653"/>
      <c r="AF764" s="653"/>
      <c r="AG764" s="653"/>
      <c r="AH764" s="653"/>
      <c r="AI764" s="653"/>
      <c r="AJ764" s="653"/>
      <c r="AK764" s="653"/>
      <c r="AL764" s="653"/>
      <c r="AM764" s="653"/>
      <c r="AN764" s="653"/>
      <c r="AO764" s="653"/>
      <c r="AP764" s="653"/>
      <c r="AQ764" s="653"/>
      <c r="AR764" s="653"/>
      <c r="AS764" s="653"/>
      <c r="AT764" s="653"/>
      <c r="AU764" s="653"/>
      <c r="AV764" s="653"/>
    </row>
    <row r="765" spans="1:48" ht="14.5">
      <c r="A765" s="653"/>
      <c r="B765" s="653"/>
      <c r="C765" s="653"/>
      <c r="D765" s="653"/>
      <c r="E765" s="653"/>
      <c r="F765" s="653"/>
      <c r="G765" s="654"/>
      <c r="H765" s="654"/>
      <c r="I765" s="653"/>
      <c r="J765" s="653"/>
      <c r="K765" s="655"/>
      <c r="L765" s="653"/>
      <c r="M765" s="653"/>
      <c r="N765" s="653"/>
      <c r="O765" s="653"/>
      <c r="P765" s="653"/>
      <c r="Q765" s="653"/>
      <c r="R765" s="653"/>
      <c r="S765" s="653"/>
      <c r="T765" s="653"/>
      <c r="U765" s="656"/>
      <c r="V765" s="653"/>
      <c r="W765" s="653"/>
      <c r="X765" s="653"/>
      <c r="Y765" s="657"/>
      <c r="Z765" s="615"/>
      <c r="AA765" s="653"/>
      <c r="AB765" s="657"/>
      <c r="AC765" s="653"/>
      <c r="AD765" s="653"/>
      <c r="AE765" s="653"/>
      <c r="AF765" s="653"/>
      <c r="AG765" s="653"/>
      <c r="AH765" s="653"/>
      <c r="AI765" s="653"/>
      <c r="AJ765" s="653"/>
      <c r="AK765" s="653"/>
      <c r="AL765" s="653"/>
      <c r="AM765" s="653"/>
      <c r="AN765" s="653"/>
      <c r="AO765" s="653"/>
      <c r="AP765" s="653"/>
      <c r="AQ765" s="653"/>
      <c r="AR765" s="653"/>
      <c r="AS765" s="653"/>
      <c r="AT765" s="653"/>
      <c r="AU765" s="653"/>
      <c r="AV765" s="653"/>
    </row>
    <row r="766" spans="1:48" ht="14.5">
      <c r="A766" s="653"/>
      <c r="B766" s="653"/>
      <c r="C766" s="653"/>
      <c r="D766" s="653"/>
      <c r="E766" s="653"/>
      <c r="F766" s="653"/>
      <c r="G766" s="654"/>
      <c r="H766" s="654"/>
      <c r="I766" s="653"/>
      <c r="J766" s="653"/>
      <c r="K766" s="655"/>
      <c r="L766" s="653"/>
      <c r="M766" s="653"/>
      <c r="N766" s="653"/>
      <c r="O766" s="653"/>
      <c r="P766" s="653"/>
      <c r="Q766" s="653"/>
      <c r="R766" s="653"/>
      <c r="S766" s="653"/>
      <c r="T766" s="653"/>
      <c r="U766" s="656"/>
      <c r="V766" s="653"/>
      <c r="W766" s="653"/>
      <c r="X766" s="653"/>
      <c r="Y766" s="657"/>
      <c r="Z766" s="615"/>
      <c r="AA766" s="653"/>
      <c r="AB766" s="657"/>
      <c r="AC766" s="653"/>
      <c r="AD766" s="653"/>
      <c r="AE766" s="653"/>
      <c r="AF766" s="653"/>
      <c r="AG766" s="653"/>
      <c r="AH766" s="653"/>
      <c r="AI766" s="653"/>
      <c r="AJ766" s="653"/>
      <c r="AK766" s="653"/>
      <c r="AL766" s="653"/>
      <c r="AM766" s="653"/>
      <c r="AN766" s="653"/>
      <c r="AO766" s="653"/>
      <c r="AP766" s="653"/>
      <c r="AQ766" s="653"/>
      <c r="AR766" s="653"/>
      <c r="AS766" s="653"/>
      <c r="AT766" s="653"/>
      <c r="AU766" s="653"/>
      <c r="AV766" s="653"/>
    </row>
    <row r="767" spans="1:48" ht="14.5">
      <c r="A767" s="653"/>
      <c r="B767" s="653"/>
      <c r="C767" s="653"/>
      <c r="D767" s="653"/>
      <c r="E767" s="653"/>
      <c r="F767" s="653"/>
      <c r="G767" s="654"/>
      <c r="H767" s="654"/>
      <c r="I767" s="653"/>
      <c r="J767" s="653"/>
      <c r="K767" s="655"/>
      <c r="L767" s="653"/>
      <c r="M767" s="653"/>
      <c r="N767" s="653"/>
      <c r="O767" s="653"/>
      <c r="P767" s="653"/>
      <c r="Q767" s="653"/>
      <c r="R767" s="653"/>
      <c r="S767" s="653"/>
      <c r="T767" s="653"/>
      <c r="U767" s="656"/>
      <c r="V767" s="653"/>
      <c r="W767" s="653"/>
      <c r="X767" s="653"/>
      <c r="Y767" s="657"/>
      <c r="Z767" s="615"/>
      <c r="AA767" s="653"/>
      <c r="AB767" s="657"/>
      <c r="AC767" s="653"/>
      <c r="AD767" s="653"/>
      <c r="AE767" s="653"/>
      <c r="AF767" s="653"/>
      <c r="AG767" s="653"/>
      <c r="AH767" s="653"/>
      <c r="AI767" s="653"/>
      <c r="AJ767" s="653"/>
      <c r="AK767" s="653"/>
      <c r="AL767" s="653"/>
      <c r="AM767" s="653"/>
      <c r="AN767" s="653"/>
      <c r="AO767" s="653"/>
      <c r="AP767" s="653"/>
      <c r="AQ767" s="653"/>
      <c r="AR767" s="653"/>
      <c r="AS767" s="653"/>
      <c r="AT767" s="653"/>
      <c r="AU767" s="653"/>
      <c r="AV767" s="653"/>
    </row>
    <row r="768" spans="1:48" ht="14.5">
      <c r="A768" s="653"/>
      <c r="B768" s="653"/>
      <c r="C768" s="653"/>
      <c r="D768" s="653"/>
      <c r="E768" s="653"/>
      <c r="F768" s="653"/>
      <c r="G768" s="654"/>
      <c r="H768" s="654"/>
      <c r="I768" s="653"/>
      <c r="J768" s="653"/>
      <c r="K768" s="655"/>
      <c r="L768" s="653"/>
      <c r="M768" s="653"/>
      <c r="N768" s="653"/>
      <c r="O768" s="653"/>
      <c r="P768" s="653"/>
      <c r="Q768" s="653"/>
      <c r="R768" s="653"/>
      <c r="S768" s="653"/>
      <c r="T768" s="653"/>
      <c r="U768" s="656"/>
      <c r="V768" s="653"/>
      <c r="W768" s="653"/>
      <c r="X768" s="653"/>
      <c r="Y768" s="657"/>
      <c r="Z768" s="615"/>
      <c r="AA768" s="653"/>
      <c r="AB768" s="657"/>
      <c r="AC768" s="653"/>
      <c r="AD768" s="653"/>
      <c r="AE768" s="653"/>
      <c r="AF768" s="653"/>
      <c r="AG768" s="653"/>
      <c r="AH768" s="653"/>
      <c r="AI768" s="653"/>
      <c r="AJ768" s="653"/>
      <c r="AK768" s="653"/>
      <c r="AL768" s="653"/>
      <c r="AM768" s="653"/>
      <c r="AN768" s="653"/>
      <c r="AO768" s="653"/>
      <c r="AP768" s="653"/>
      <c r="AQ768" s="653"/>
      <c r="AR768" s="653"/>
      <c r="AS768" s="653"/>
      <c r="AT768" s="653"/>
      <c r="AU768" s="653"/>
      <c r="AV768" s="653"/>
    </row>
    <row r="769" spans="1:48" ht="14.5">
      <c r="A769" s="653"/>
      <c r="B769" s="653"/>
      <c r="C769" s="653"/>
      <c r="D769" s="653"/>
      <c r="E769" s="653"/>
      <c r="F769" s="653"/>
      <c r="G769" s="654"/>
      <c r="H769" s="654"/>
      <c r="I769" s="653"/>
      <c r="J769" s="653"/>
      <c r="K769" s="655"/>
      <c r="L769" s="653"/>
      <c r="M769" s="653"/>
      <c r="N769" s="653"/>
      <c r="O769" s="653"/>
      <c r="P769" s="653"/>
      <c r="Q769" s="653"/>
      <c r="R769" s="653"/>
      <c r="S769" s="653"/>
      <c r="T769" s="653"/>
      <c r="U769" s="656"/>
      <c r="V769" s="653"/>
      <c r="W769" s="653"/>
      <c r="X769" s="653"/>
      <c r="Y769" s="657"/>
      <c r="Z769" s="615"/>
      <c r="AA769" s="653"/>
      <c r="AB769" s="657"/>
      <c r="AC769" s="653"/>
      <c r="AD769" s="653"/>
      <c r="AE769" s="653"/>
      <c r="AF769" s="653"/>
      <c r="AG769" s="653"/>
      <c r="AH769" s="653"/>
      <c r="AI769" s="653"/>
      <c r="AJ769" s="653"/>
      <c r="AK769" s="653"/>
      <c r="AL769" s="653"/>
      <c r="AM769" s="653"/>
      <c r="AN769" s="653"/>
      <c r="AO769" s="653"/>
      <c r="AP769" s="653"/>
      <c r="AQ769" s="653"/>
      <c r="AR769" s="653"/>
      <c r="AS769" s="653"/>
      <c r="AT769" s="653"/>
      <c r="AU769" s="653"/>
      <c r="AV769" s="653"/>
    </row>
    <row r="770" spans="1:48" ht="14.5">
      <c r="A770" s="653"/>
      <c r="B770" s="653"/>
      <c r="C770" s="653"/>
      <c r="D770" s="653"/>
      <c r="E770" s="653"/>
      <c r="F770" s="653"/>
      <c r="G770" s="654"/>
      <c r="H770" s="654"/>
      <c r="I770" s="653"/>
      <c r="J770" s="653"/>
      <c r="K770" s="655"/>
      <c r="L770" s="653"/>
      <c r="M770" s="653"/>
      <c r="N770" s="653"/>
      <c r="O770" s="653"/>
      <c r="P770" s="653"/>
      <c r="Q770" s="653"/>
      <c r="R770" s="653"/>
      <c r="S770" s="653"/>
      <c r="T770" s="653"/>
      <c r="U770" s="656"/>
      <c r="V770" s="653"/>
      <c r="W770" s="653"/>
      <c r="X770" s="653"/>
      <c r="Y770" s="657"/>
      <c r="Z770" s="615"/>
      <c r="AA770" s="653"/>
      <c r="AB770" s="657"/>
      <c r="AC770" s="653"/>
      <c r="AD770" s="653"/>
      <c r="AE770" s="653"/>
      <c r="AF770" s="653"/>
      <c r="AG770" s="653"/>
      <c r="AH770" s="653"/>
      <c r="AI770" s="653"/>
      <c r="AJ770" s="653"/>
      <c r="AK770" s="653"/>
      <c r="AL770" s="653"/>
      <c r="AM770" s="653"/>
      <c r="AN770" s="653"/>
      <c r="AO770" s="653"/>
      <c r="AP770" s="653"/>
      <c r="AQ770" s="653"/>
      <c r="AR770" s="653"/>
      <c r="AS770" s="653"/>
      <c r="AT770" s="653"/>
      <c r="AU770" s="653"/>
      <c r="AV770" s="653"/>
    </row>
    <row r="771" spans="1:48" ht="14.5">
      <c r="A771" s="653"/>
      <c r="B771" s="653"/>
      <c r="C771" s="653"/>
      <c r="D771" s="653"/>
      <c r="E771" s="653"/>
      <c r="F771" s="653"/>
      <c r="G771" s="654"/>
      <c r="H771" s="654"/>
      <c r="I771" s="653"/>
      <c r="J771" s="653"/>
      <c r="K771" s="655"/>
      <c r="L771" s="653"/>
      <c r="M771" s="653"/>
      <c r="N771" s="653"/>
      <c r="O771" s="653"/>
      <c r="P771" s="653"/>
      <c r="Q771" s="653"/>
      <c r="R771" s="653"/>
      <c r="S771" s="653"/>
      <c r="T771" s="653"/>
      <c r="U771" s="656"/>
      <c r="V771" s="653"/>
      <c r="W771" s="653"/>
      <c r="X771" s="653"/>
      <c r="Y771" s="657"/>
      <c r="Z771" s="615"/>
      <c r="AA771" s="653"/>
      <c r="AB771" s="657"/>
      <c r="AC771" s="653"/>
      <c r="AD771" s="653"/>
      <c r="AE771" s="653"/>
      <c r="AF771" s="653"/>
      <c r="AG771" s="653"/>
      <c r="AH771" s="653"/>
      <c r="AI771" s="653"/>
      <c r="AJ771" s="653"/>
      <c r="AK771" s="653"/>
      <c r="AL771" s="653"/>
      <c r="AM771" s="653"/>
      <c r="AN771" s="653"/>
      <c r="AO771" s="653"/>
      <c r="AP771" s="653"/>
      <c r="AQ771" s="653"/>
      <c r="AR771" s="653"/>
      <c r="AS771" s="653"/>
      <c r="AT771" s="653"/>
      <c r="AU771" s="653"/>
      <c r="AV771" s="653"/>
    </row>
    <row r="772" spans="1:48" ht="14.5">
      <c r="A772" s="653"/>
      <c r="B772" s="653"/>
      <c r="C772" s="653"/>
      <c r="D772" s="653"/>
      <c r="E772" s="653"/>
      <c r="F772" s="653"/>
      <c r="G772" s="654"/>
      <c r="H772" s="654"/>
      <c r="I772" s="653"/>
      <c r="J772" s="653"/>
      <c r="K772" s="655"/>
      <c r="L772" s="653"/>
      <c r="M772" s="653"/>
      <c r="N772" s="653"/>
      <c r="O772" s="653"/>
      <c r="P772" s="653"/>
      <c r="Q772" s="653"/>
      <c r="R772" s="653"/>
      <c r="S772" s="653"/>
      <c r="T772" s="653"/>
      <c r="U772" s="656"/>
      <c r="V772" s="653"/>
      <c r="W772" s="653"/>
      <c r="X772" s="653"/>
      <c r="Y772" s="657"/>
      <c r="Z772" s="615"/>
      <c r="AA772" s="653"/>
      <c r="AB772" s="657"/>
      <c r="AC772" s="653"/>
      <c r="AD772" s="653"/>
      <c r="AE772" s="653"/>
      <c r="AF772" s="653"/>
      <c r="AG772" s="653"/>
      <c r="AH772" s="653"/>
      <c r="AI772" s="653"/>
      <c r="AJ772" s="653"/>
      <c r="AK772" s="653"/>
      <c r="AL772" s="653"/>
      <c r="AM772" s="653"/>
      <c r="AN772" s="653"/>
      <c r="AO772" s="653"/>
      <c r="AP772" s="653"/>
      <c r="AQ772" s="653"/>
      <c r="AR772" s="653"/>
      <c r="AS772" s="653"/>
      <c r="AT772" s="653"/>
      <c r="AU772" s="653"/>
      <c r="AV772" s="653"/>
    </row>
    <row r="773" spans="1:48" ht="14.5">
      <c r="A773" s="653"/>
      <c r="B773" s="653"/>
      <c r="C773" s="653"/>
      <c r="D773" s="653"/>
      <c r="E773" s="653"/>
      <c r="F773" s="653"/>
      <c r="G773" s="654"/>
      <c r="H773" s="654"/>
      <c r="I773" s="653"/>
      <c r="J773" s="653"/>
      <c r="K773" s="655"/>
      <c r="L773" s="653"/>
      <c r="M773" s="653"/>
      <c r="N773" s="653"/>
      <c r="O773" s="653"/>
      <c r="P773" s="653"/>
      <c r="Q773" s="653"/>
      <c r="R773" s="653"/>
      <c r="S773" s="653"/>
      <c r="T773" s="653"/>
      <c r="U773" s="656"/>
      <c r="V773" s="653"/>
      <c r="W773" s="653"/>
      <c r="X773" s="653"/>
      <c r="Y773" s="657"/>
      <c r="Z773" s="615"/>
      <c r="AA773" s="653"/>
      <c r="AB773" s="657"/>
      <c r="AC773" s="653"/>
      <c r="AD773" s="653"/>
      <c r="AE773" s="653"/>
      <c r="AF773" s="653"/>
      <c r="AG773" s="653"/>
      <c r="AH773" s="653"/>
      <c r="AI773" s="653"/>
      <c r="AJ773" s="653"/>
      <c r="AK773" s="653"/>
      <c r="AL773" s="653"/>
      <c r="AM773" s="653"/>
      <c r="AN773" s="653"/>
      <c r="AO773" s="653"/>
      <c r="AP773" s="653"/>
      <c r="AQ773" s="653"/>
      <c r="AR773" s="653"/>
      <c r="AS773" s="653"/>
      <c r="AT773" s="653"/>
      <c r="AU773" s="653"/>
      <c r="AV773" s="653"/>
    </row>
    <row r="774" spans="1:48" ht="14.5">
      <c r="A774" s="653"/>
      <c r="B774" s="653"/>
      <c r="C774" s="653"/>
      <c r="D774" s="653"/>
      <c r="E774" s="653"/>
      <c r="F774" s="653"/>
      <c r="G774" s="654"/>
      <c r="H774" s="654"/>
      <c r="I774" s="653"/>
      <c r="J774" s="653"/>
      <c r="K774" s="655"/>
      <c r="L774" s="653"/>
      <c r="M774" s="653"/>
      <c r="N774" s="653"/>
      <c r="O774" s="653"/>
      <c r="P774" s="653"/>
      <c r="Q774" s="653"/>
      <c r="R774" s="653"/>
      <c r="S774" s="653"/>
      <c r="T774" s="653"/>
      <c r="U774" s="656"/>
      <c r="V774" s="653"/>
      <c r="W774" s="653"/>
      <c r="X774" s="653"/>
      <c r="Y774" s="657"/>
      <c r="Z774" s="615"/>
      <c r="AA774" s="653"/>
      <c r="AB774" s="657"/>
      <c r="AC774" s="653"/>
      <c r="AD774" s="653"/>
      <c r="AE774" s="653"/>
      <c r="AF774" s="653"/>
      <c r="AG774" s="653"/>
      <c r="AH774" s="653"/>
      <c r="AI774" s="653"/>
      <c r="AJ774" s="653"/>
      <c r="AK774" s="653"/>
      <c r="AL774" s="653"/>
      <c r="AM774" s="653"/>
      <c r="AN774" s="653"/>
      <c r="AO774" s="653"/>
      <c r="AP774" s="653"/>
      <c r="AQ774" s="653"/>
      <c r="AR774" s="653"/>
      <c r="AS774" s="653"/>
      <c r="AT774" s="653"/>
      <c r="AU774" s="653"/>
      <c r="AV774" s="653"/>
    </row>
    <row r="775" spans="1:48" ht="14.5">
      <c r="A775" s="653"/>
      <c r="B775" s="653"/>
      <c r="C775" s="653"/>
      <c r="D775" s="653"/>
      <c r="E775" s="653"/>
      <c r="F775" s="653"/>
      <c r="G775" s="654"/>
      <c r="H775" s="654"/>
      <c r="I775" s="653"/>
      <c r="J775" s="653"/>
      <c r="K775" s="655"/>
      <c r="L775" s="653"/>
      <c r="M775" s="653"/>
      <c r="N775" s="653"/>
      <c r="O775" s="653"/>
      <c r="P775" s="653"/>
      <c r="Q775" s="653"/>
      <c r="R775" s="653"/>
      <c r="S775" s="653"/>
      <c r="T775" s="653"/>
      <c r="U775" s="656"/>
      <c r="V775" s="653"/>
      <c r="W775" s="653"/>
      <c r="X775" s="653"/>
      <c r="Y775" s="657"/>
      <c r="Z775" s="615"/>
      <c r="AA775" s="653"/>
      <c r="AB775" s="657"/>
      <c r="AC775" s="653"/>
      <c r="AD775" s="653"/>
      <c r="AE775" s="653"/>
      <c r="AF775" s="653"/>
      <c r="AG775" s="653"/>
      <c r="AH775" s="653"/>
      <c r="AI775" s="653"/>
      <c r="AJ775" s="653"/>
      <c r="AK775" s="653"/>
      <c r="AL775" s="653"/>
      <c r="AM775" s="653"/>
      <c r="AN775" s="653"/>
      <c r="AO775" s="653"/>
      <c r="AP775" s="653"/>
      <c r="AQ775" s="653"/>
      <c r="AR775" s="653"/>
      <c r="AS775" s="653"/>
      <c r="AT775" s="653"/>
      <c r="AU775" s="653"/>
      <c r="AV775" s="653"/>
    </row>
    <row r="776" spans="1:48" ht="14.5">
      <c r="A776" s="653"/>
      <c r="B776" s="653"/>
      <c r="C776" s="653"/>
      <c r="D776" s="653"/>
      <c r="E776" s="653"/>
      <c r="F776" s="653"/>
      <c r="G776" s="654"/>
      <c r="H776" s="654"/>
      <c r="I776" s="653"/>
      <c r="J776" s="653"/>
      <c r="K776" s="655"/>
      <c r="L776" s="653"/>
      <c r="M776" s="653"/>
      <c r="N776" s="653"/>
      <c r="O776" s="653"/>
      <c r="P776" s="653"/>
      <c r="Q776" s="653"/>
      <c r="R776" s="653"/>
      <c r="S776" s="653"/>
      <c r="T776" s="653"/>
      <c r="U776" s="656"/>
      <c r="V776" s="653"/>
      <c r="W776" s="653"/>
      <c r="X776" s="653"/>
      <c r="Y776" s="657"/>
      <c r="Z776" s="615"/>
      <c r="AA776" s="653"/>
      <c r="AB776" s="657"/>
      <c r="AC776" s="653"/>
      <c r="AD776" s="653"/>
      <c r="AE776" s="653"/>
      <c r="AF776" s="653"/>
      <c r="AG776" s="653"/>
      <c r="AH776" s="653"/>
      <c r="AI776" s="653"/>
      <c r="AJ776" s="653"/>
      <c r="AK776" s="653"/>
      <c r="AL776" s="653"/>
      <c r="AM776" s="653"/>
      <c r="AN776" s="653"/>
      <c r="AO776" s="653"/>
      <c r="AP776" s="653"/>
      <c r="AQ776" s="653"/>
      <c r="AR776" s="653"/>
      <c r="AS776" s="653"/>
      <c r="AT776" s="653"/>
      <c r="AU776" s="653"/>
      <c r="AV776" s="653"/>
    </row>
    <row r="777" spans="1:48" ht="14.5">
      <c r="A777" s="653"/>
      <c r="B777" s="653"/>
      <c r="C777" s="653"/>
      <c r="D777" s="653"/>
      <c r="E777" s="653"/>
      <c r="F777" s="653"/>
      <c r="G777" s="654"/>
      <c r="H777" s="654"/>
      <c r="I777" s="653"/>
      <c r="J777" s="653"/>
      <c r="K777" s="655"/>
      <c r="L777" s="653"/>
      <c r="M777" s="653"/>
      <c r="N777" s="653"/>
      <c r="O777" s="653"/>
      <c r="P777" s="653"/>
      <c r="Q777" s="653"/>
      <c r="R777" s="653"/>
      <c r="S777" s="653"/>
      <c r="T777" s="653"/>
      <c r="U777" s="656"/>
      <c r="V777" s="653"/>
      <c r="W777" s="653"/>
      <c r="X777" s="653"/>
      <c r="Y777" s="657"/>
      <c r="Z777" s="615"/>
      <c r="AA777" s="653"/>
      <c r="AB777" s="657"/>
      <c r="AC777" s="653"/>
      <c r="AD777" s="653"/>
      <c r="AE777" s="653"/>
      <c r="AF777" s="653"/>
      <c r="AG777" s="653"/>
      <c r="AH777" s="653"/>
      <c r="AI777" s="653"/>
      <c r="AJ777" s="653"/>
      <c r="AK777" s="653"/>
      <c r="AL777" s="653"/>
      <c r="AM777" s="653"/>
      <c r="AN777" s="653"/>
      <c r="AO777" s="653"/>
      <c r="AP777" s="653"/>
      <c r="AQ777" s="653"/>
      <c r="AR777" s="653"/>
      <c r="AS777" s="653"/>
      <c r="AT777" s="653"/>
      <c r="AU777" s="653"/>
      <c r="AV777" s="653"/>
    </row>
    <row r="778" spans="1:48" ht="14.5">
      <c r="A778" s="653"/>
      <c r="B778" s="653"/>
      <c r="C778" s="653"/>
      <c r="D778" s="653"/>
      <c r="E778" s="653"/>
      <c r="F778" s="653"/>
      <c r="G778" s="654"/>
      <c r="H778" s="654"/>
      <c r="I778" s="653"/>
      <c r="J778" s="653"/>
      <c r="K778" s="655"/>
      <c r="L778" s="653"/>
      <c r="M778" s="653"/>
      <c r="N778" s="653"/>
      <c r="O778" s="653"/>
      <c r="P778" s="653"/>
      <c r="Q778" s="653"/>
      <c r="R778" s="653"/>
      <c r="S778" s="653"/>
      <c r="T778" s="653"/>
      <c r="U778" s="656"/>
      <c r="V778" s="653"/>
      <c r="W778" s="653"/>
      <c r="X778" s="653"/>
      <c r="Y778" s="657"/>
      <c r="Z778" s="615"/>
      <c r="AA778" s="653"/>
      <c r="AB778" s="657"/>
      <c r="AC778" s="653"/>
      <c r="AD778" s="653"/>
      <c r="AE778" s="653"/>
      <c r="AF778" s="653"/>
      <c r="AG778" s="653"/>
      <c r="AH778" s="653"/>
      <c r="AI778" s="653"/>
      <c r="AJ778" s="653"/>
      <c r="AK778" s="653"/>
      <c r="AL778" s="653"/>
      <c r="AM778" s="653"/>
      <c r="AN778" s="653"/>
      <c r="AO778" s="653"/>
      <c r="AP778" s="653"/>
      <c r="AQ778" s="653"/>
      <c r="AR778" s="653"/>
      <c r="AS778" s="653"/>
      <c r="AT778" s="653"/>
      <c r="AU778" s="653"/>
      <c r="AV778" s="653"/>
    </row>
    <row r="779" spans="1:48" ht="14.5">
      <c r="A779" s="653"/>
      <c r="B779" s="653"/>
      <c r="C779" s="653"/>
      <c r="D779" s="653"/>
      <c r="E779" s="653"/>
      <c r="F779" s="653"/>
      <c r="G779" s="654"/>
      <c r="H779" s="654"/>
      <c r="I779" s="653"/>
      <c r="J779" s="653"/>
      <c r="K779" s="655"/>
      <c r="L779" s="653"/>
      <c r="M779" s="653"/>
      <c r="N779" s="653"/>
      <c r="O779" s="653"/>
      <c r="P779" s="653"/>
      <c r="Q779" s="653"/>
      <c r="R779" s="653"/>
      <c r="S779" s="653"/>
      <c r="T779" s="653"/>
      <c r="U779" s="656"/>
      <c r="V779" s="653"/>
      <c r="W779" s="653"/>
      <c r="X779" s="653"/>
      <c r="Y779" s="657"/>
      <c r="Z779" s="615"/>
      <c r="AA779" s="653"/>
      <c r="AB779" s="657"/>
      <c r="AC779" s="653"/>
      <c r="AD779" s="653"/>
      <c r="AE779" s="653"/>
      <c r="AF779" s="653"/>
      <c r="AG779" s="653"/>
      <c r="AH779" s="653"/>
      <c r="AI779" s="653"/>
      <c r="AJ779" s="653"/>
      <c r="AK779" s="653"/>
      <c r="AL779" s="653"/>
      <c r="AM779" s="653"/>
      <c r="AN779" s="653"/>
      <c r="AO779" s="653"/>
      <c r="AP779" s="653"/>
      <c r="AQ779" s="653"/>
      <c r="AR779" s="653"/>
      <c r="AS779" s="653"/>
      <c r="AT779" s="653"/>
      <c r="AU779" s="653"/>
      <c r="AV779" s="653"/>
    </row>
    <row r="780" spans="1:48" ht="14.5">
      <c r="A780" s="653"/>
      <c r="B780" s="653"/>
      <c r="C780" s="653"/>
      <c r="D780" s="653"/>
      <c r="E780" s="653"/>
      <c r="F780" s="653"/>
      <c r="G780" s="654"/>
      <c r="H780" s="654"/>
      <c r="I780" s="653"/>
      <c r="J780" s="653"/>
      <c r="K780" s="655"/>
      <c r="L780" s="653"/>
      <c r="M780" s="653"/>
      <c r="N780" s="653"/>
      <c r="O780" s="653"/>
      <c r="P780" s="653"/>
      <c r="Q780" s="653"/>
      <c r="R780" s="653"/>
      <c r="S780" s="653"/>
      <c r="T780" s="653"/>
      <c r="U780" s="656"/>
      <c r="V780" s="653"/>
      <c r="W780" s="653"/>
      <c r="X780" s="653"/>
      <c r="Y780" s="657"/>
      <c r="Z780" s="615"/>
      <c r="AA780" s="653"/>
      <c r="AB780" s="657"/>
      <c r="AC780" s="653"/>
      <c r="AD780" s="653"/>
      <c r="AE780" s="653"/>
      <c r="AF780" s="653"/>
      <c r="AG780" s="653"/>
      <c r="AH780" s="653"/>
      <c r="AI780" s="653"/>
      <c r="AJ780" s="653"/>
      <c r="AK780" s="653"/>
      <c r="AL780" s="653"/>
      <c r="AM780" s="653"/>
      <c r="AN780" s="653"/>
      <c r="AO780" s="653"/>
      <c r="AP780" s="653"/>
      <c r="AQ780" s="653"/>
      <c r="AR780" s="653"/>
      <c r="AS780" s="653"/>
      <c r="AT780" s="653"/>
      <c r="AU780" s="653"/>
      <c r="AV780" s="653"/>
    </row>
    <row r="781" spans="1:48" ht="14.5">
      <c r="A781" s="653"/>
      <c r="B781" s="653"/>
      <c r="C781" s="653"/>
      <c r="D781" s="653"/>
      <c r="E781" s="653"/>
      <c r="F781" s="653"/>
      <c r="G781" s="654"/>
      <c r="H781" s="654"/>
      <c r="I781" s="653"/>
      <c r="J781" s="653"/>
      <c r="K781" s="655"/>
      <c r="L781" s="653"/>
      <c r="M781" s="653"/>
      <c r="N781" s="653"/>
      <c r="O781" s="653"/>
      <c r="P781" s="653"/>
      <c r="Q781" s="653"/>
      <c r="R781" s="653"/>
      <c r="S781" s="653"/>
      <c r="T781" s="653"/>
      <c r="U781" s="656"/>
      <c r="V781" s="653"/>
      <c r="W781" s="653"/>
      <c r="X781" s="653"/>
      <c r="Y781" s="657"/>
      <c r="Z781" s="615"/>
      <c r="AA781" s="653"/>
      <c r="AB781" s="657"/>
      <c r="AC781" s="653"/>
      <c r="AD781" s="653"/>
      <c r="AE781" s="653"/>
      <c r="AF781" s="653"/>
      <c r="AG781" s="653"/>
      <c r="AH781" s="653"/>
      <c r="AI781" s="653"/>
      <c r="AJ781" s="653"/>
      <c r="AK781" s="653"/>
      <c r="AL781" s="653"/>
      <c r="AM781" s="653"/>
      <c r="AN781" s="653"/>
      <c r="AO781" s="653"/>
      <c r="AP781" s="653"/>
      <c r="AQ781" s="653"/>
      <c r="AR781" s="653"/>
      <c r="AS781" s="653"/>
      <c r="AT781" s="653"/>
      <c r="AU781" s="653"/>
      <c r="AV781" s="653"/>
    </row>
    <row r="782" spans="1:48" ht="14.5">
      <c r="A782" s="653"/>
      <c r="B782" s="653"/>
      <c r="C782" s="653"/>
      <c r="D782" s="653"/>
      <c r="E782" s="653"/>
      <c r="F782" s="653"/>
      <c r="G782" s="654"/>
      <c r="H782" s="654"/>
      <c r="I782" s="653"/>
      <c r="J782" s="653"/>
      <c r="K782" s="655"/>
      <c r="L782" s="653"/>
      <c r="M782" s="653"/>
      <c r="N782" s="653"/>
      <c r="O782" s="653"/>
      <c r="P782" s="653"/>
      <c r="Q782" s="653"/>
      <c r="R782" s="653"/>
      <c r="S782" s="653"/>
      <c r="T782" s="653"/>
      <c r="U782" s="656"/>
      <c r="V782" s="653"/>
      <c r="W782" s="653"/>
      <c r="X782" s="653"/>
      <c r="Y782" s="657"/>
      <c r="Z782" s="615"/>
      <c r="AA782" s="653"/>
      <c r="AB782" s="657"/>
      <c r="AC782" s="653"/>
      <c r="AD782" s="653"/>
      <c r="AE782" s="653"/>
      <c r="AF782" s="653"/>
      <c r="AG782" s="653"/>
      <c r="AH782" s="653"/>
      <c r="AI782" s="653"/>
      <c r="AJ782" s="653"/>
      <c r="AK782" s="653"/>
      <c r="AL782" s="653"/>
      <c r="AM782" s="653"/>
      <c r="AN782" s="653"/>
      <c r="AO782" s="653"/>
      <c r="AP782" s="653"/>
      <c r="AQ782" s="653"/>
      <c r="AR782" s="653"/>
      <c r="AS782" s="653"/>
      <c r="AT782" s="653"/>
      <c r="AU782" s="653"/>
      <c r="AV782" s="653"/>
    </row>
    <row r="783" spans="1:48" ht="14.5">
      <c r="A783" s="653"/>
      <c r="B783" s="653"/>
      <c r="C783" s="653"/>
      <c r="D783" s="653"/>
      <c r="E783" s="653"/>
      <c r="F783" s="653"/>
      <c r="G783" s="654"/>
      <c r="H783" s="654"/>
      <c r="I783" s="653"/>
      <c r="J783" s="653"/>
      <c r="K783" s="655"/>
      <c r="L783" s="653"/>
      <c r="M783" s="653"/>
      <c r="N783" s="653"/>
      <c r="O783" s="653"/>
      <c r="P783" s="653"/>
      <c r="Q783" s="653"/>
      <c r="R783" s="653"/>
      <c r="S783" s="653"/>
      <c r="T783" s="653"/>
      <c r="U783" s="656"/>
      <c r="V783" s="653"/>
      <c r="W783" s="653"/>
      <c r="X783" s="653"/>
      <c r="Y783" s="657"/>
      <c r="Z783" s="615"/>
      <c r="AA783" s="653"/>
      <c r="AB783" s="657"/>
      <c r="AC783" s="653"/>
      <c r="AD783" s="653"/>
      <c r="AE783" s="653"/>
      <c r="AF783" s="653"/>
      <c r="AG783" s="653"/>
      <c r="AH783" s="653"/>
      <c r="AI783" s="653"/>
      <c r="AJ783" s="653"/>
      <c r="AK783" s="653"/>
      <c r="AL783" s="653"/>
      <c r="AM783" s="653"/>
      <c r="AN783" s="653"/>
      <c r="AO783" s="653"/>
      <c r="AP783" s="653"/>
      <c r="AQ783" s="653"/>
      <c r="AR783" s="653"/>
      <c r="AS783" s="653"/>
      <c r="AT783" s="653"/>
      <c r="AU783" s="653"/>
      <c r="AV783" s="653"/>
    </row>
    <row r="784" spans="1:48" ht="14.5">
      <c r="A784" s="653"/>
      <c r="B784" s="653"/>
      <c r="C784" s="653"/>
      <c r="D784" s="653"/>
      <c r="E784" s="653"/>
      <c r="F784" s="653"/>
      <c r="G784" s="654"/>
      <c r="H784" s="654"/>
      <c r="I784" s="653"/>
      <c r="J784" s="653"/>
      <c r="K784" s="655"/>
      <c r="L784" s="653"/>
      <c r="M784" s="653"/>
      <c r="N784" s="653"/>
      <c r="O784" s="653"/>
      <c r="P784" s="653"/>
      <c r="Q784" s="653"/>
      <c r="R784" s="653"/>
      <c r="S784" s="653"/>
      <c r="T784" s="653"/>
      <c r="U784" s="656"/>
      <c r="V784" s="653"/>
      <c r="W784" s="653"/>
      <c r="X784" s="653"/>
      <c r="Y784" s="657"/>
      <c r="Z784" s="615"/>
      <c r="AA784" s="653"/>
      <c r="AB784" s="657"/>
      <c r="AC784" s="653"/>
      <c r="AD784" s="653"/>
      <c r="AE784" s="653"/>
      <c r="AF784" s="653"/>
      <c r="AG784" s="653"/>
      <c r="AH784" s="653"/>
      <c r="AI784" s="653"/>
      <c r="AJ784" s="653"/>
      <c r="AK784" s="653"/>
      <c r="AL784" s="653"/>
      <c r="AM784" s="653"/>
      <c r="AN784" s="653"/>
      <c r="AO784" s="653"/>
      <c r="AP784" s="653"/>
      <c r="AQ784" s="653"/>
      <c r="AR784" s="653"/>
      <c r="AS784" s="653"/>
      <c r="AT784" s="653"/>
      <c r="AU784" s="653"/>
      <c r="AV784" s="653"/>
    </row>
    <row r="785" spans="1:48" ht="14.5">
      <c r="A785" s="653"/>
      <c r="B785" s="653"/>
      <c r="C785" s="653"/>
      <c r="D785" s="653"/>
      <c r="E785" s="653"/>
      <c r="F785" s="653"/>
      <c r="G785" s="654"/>
      <c r="H785" s="654"/>
      <c r="I785" s="653"/>
      <c r="J785" s="653"/>
      <c r="K785" s="655"/>
      <c r="L785" s="653"/>
      <c r="M785" s="653"/>
      <c r="N785" s="653"/>
      <c r="O785" s="653"/>
      <c r="P785" s="653"/>
      <c r="Q785" s="653"/>
      <c r="R785" s="653"/>
      <c r="S785" s="653"/>
      <c r="T785" s="653"/>
      <c r="U785" s="656"/>
      <c r="V785" s="653"/>
      <c r="W785" s="653"/>
      <c r="X785" s="653"/>
      <c r="Y785" s="657"/>
      <c r="Z785" s="615"/>
      <c r="AA785" s="653"/>
      <c r="AB785" s="657"/>
      <c r="AC785" s="653"/>
      <c r="AD785" s="653"/>
      <c r="AE785" s="653"/>
      <c r="AF785" s="653"/>
      <c r="AG785" s="653"/>
      <c r="AH785" s="653"/>
      <c r="AI785" s="653"/>
      <c r="AJ785" s="653"/>
      <c r="AK785" s="653"/>
      <c r="AL785" s="653"/>
      <c r="AM785" s="653"/>
      <c r="AN785" s="653"/>
      <c r="AO785" s="653"/>
      <c r="AP785" s="653"/>
      <c r="AQ785" s="653"/>
      <c r="AR785" s="653"/>
      <c r="AS785" s="653"/>
      <c r="AT785" s="653"/>
      <c r="AU785" s="653"/>
      <c r="AV785" s="653"/>
    </row>
    <row r="786" spans="1:48" ht="14.5">
      <c r="A786" s="653"/>
      <c r="B786" s="653"/>
      <c r="C786" s="653"/>
      <c r="D786" s="653"/>
      <c r="E786" s="653"/>
      <c r="F786" s="653"/>
      <c r="G786" s="654"/>
      <c r="H786" s="654"/>
      <c r="I786" s="653"/>
      <c r="J786" s="653"/>
      <c r="K786" s="655"/>
      <c r="L786" s="653"/>
      <c r="M786" s="653"/>
      <c r="N786" s="653"/>
      <c r="O786" s="653"/>
      <c r="P786" s="653"/>
      <c r="Q786" s="653"/>
      <c r="R786" s="653"/>
      <c r="S786" s="653"/>
      <c r="T786" s="653"/>
      <c r="U786" s="656"/>
      <c r="V786" s="653"/>
      <c r="W786" s="653"/>
      <c r="X786" s="653"/>
      <c r="Y786" s="657"/>
      <c r="Z786" s="615"/>
      <c r="AA786" s="653"/>
      <c r="AB786" s="657"/>
      <c r="AC786" s="653"/>
      <c r="AD786" s="653"/>
      <c r="AE786" s="653"/>
      <c r="AF786" s="653"/>
      <c r="AG786" s="653"/>
      <c r="AH786" s="653"/>
      <c r="AI786" s="653"/>
      <c r="AJ786" s="653"/>
      <c r="AK786" s="653"/>
      <c r="AL786" s="653"/>
      <c r="AM786" s="653"/>
      <c r="AN786" s="653"/>
      <c r="AO786" s="653"/>
      <c r="AP786" s="653"/>
      <c r="AQ786" s="653"/>
      <c r="AR786" s="653"/>
      <c r="AS786" s="653"/>
      <c r="AT786" s="653"/>
      <c r="AU786" s="653"/>
      <c r="AV786" s="653"/>
    </row>
    <row r="787" spans="1:48" ht="14.5">
      <c r="A787" s="653"/>
      <c r="B787" s="653"/>
      <c r="C787" s="653"/>
      <c r="D787" s="653"/>
      <c r="E787" s="653"/>
      <c r="F787" s="653"/>
      <c r="G787" s="654"/>
      <c r="H787" s="654"/>
      <c r="I787" s="653"/>
      <c r="J787" s="653"/>
      <c r="K787" s="655"/>
      <c r="L787" s="653"/>
      <c r="M787" s="653"/>
      <c r="N787" s="653"/>
      <c r="O787" s="653"/>
      <c r="P787" s="653"/>
      <c r="Q787" s="653"/>
      <c r="R787" s="653"/>
      <c r="S787" s="653"/>
      <c r="T787" s="653"/>
      <c r="U787" s="656"/>
      <c r="V787" s="653"/>
      <c r="W787" s="653"/>
      <c r="X787" s="653"/>
      <c r="Y787" s="657"/>
      <c r="Z787" s="615"/>
      <c r="AA787" s="653"/>
      <c r="AB787" s="657"/>
      <c r="AC787" s="653"/>
      <c r="AD787" s="653"/>
      <c r="AE787" s="653"/>
      <c r="AF787" s="653"/>
      <c r="AG787" s="653"/>
      <c r="AH787" s="653"/>
      <c r="AI787" s="653"/>
      <c r="AJ787" s="653"/>
      <c r="AK787" s="653"/>
      <c r="AL787" s="653"/>
      <c r="AM787" s="653"/>
      <c r="AN787" s="653"/>
      <c r="AO787" s="653"/>
      <c r="AP787" s="653"/>
      <c r="AQ787" s="653"/>
      <c r="AR787" s="653"/>
      <c r="AS787" s="653"/>
      <c r="AT787" s="653"/>
      <c r="AU787" s="653"/>
      <c r="AV787" s="653"/>
    </row>
    <row r="788" spans="1:48" ht="14.5">
      <c r="A788" s="653"/>
      <c r="B788" s="653"/>
      <c r="C788" s="653"/>
      <c r="D788" s="653"/>
      <c r="E788" s="653"/>
      <c r="F788" s="653"/>
      <c r="G788" s="654"/>
      <c r="H788" s="654"/>
      <c r="I788" s="653"/>
      <c r="J788" s="653"/>
      <c r="K788" s="655"/>
      <c r="L788" s="653"/>
      <c r="M788" s="653"/>
      <c r="N788" s="653"/>
      <c r="O788" s="653"/>
      <c r="P788" s="653"/>
      <c r="Q788" s="653"/>
      <c r="R788" s="653"/>
      <c r="S788" s="653"/>
      <c r="T788" s="653"/>
      <c r="U788" s="656"/>
      <c r="V788" s="653"/>
      <c r="W788" s="653"/>
      <c r="X788" s="653"/>
      <c r="Y788" s="657"/>
      <c r="Z788" s="615"/>
      <c r="AA788" s="653"/>
      <c r="AB788" s="657"/>
      <c r="AC788" s="653"/>
      <c r="AD788" s="653"/>
      <c r="AE788" s="653"/>
      <c r="AF788" s="653"/>
      <c r="AG788" s="653"/>
      <c r="AH788" s="653"/>
      <c r="AI788" s="653"/>
      <c r="AJ788" s="653"/>
      <c r="AK788" s="653"/>
      <c r="AL788" s="653"/>
      <c r="AM788" s="653"/>
      <c r="AN788" s="653"/>
      <c r="AO788" s="653"/>
      <c r="AP788" s="653"/>
      <c r="AQ788" s="653"/>
      <c r="AR788" s="653"/>
      <c r="AS788" s="653"/>
      <c r="AT788" s="653"/>
      <c r="AU788" s="653"/>
      <c r="AV788" s="653"/>
    </row>
    <row r="789" spans="1:48" ht="14.5">
      <c r="A789" s="653"/>
      <c r="B789" s="653"/>
      <c r="C789" s="653"/>
      <c r="D789" s="653"/>
      <c r="E789" s="653"/>
      <c r="F789" s="653"/>
      <c r="G789" s="654"/>
      <c r="H789" s="654"/>
      <c r="I789" s="653"/>
      <c r="J789" s="653"/>
      <c r="K789" s="655"/>
      <c r="L789" s="653"/>
      <c r="M789" s="653"/>
      <c r="N789" s="653"/>
      <c r="O789" s="653"/>
      <c r="P789" s="653"/>
      <c r="Q789" s="653"/>
      <c r="R789" s="653"/>
      <c r="S789" s="653"/>
      <c r="T789" s="653"/>
      <c r="U789" s="656"/>
      <c r="V789" s="653"/>
      <c r="W789" s="653"/>
      <c r="X789" s="653"/>
      <c r="Y789" s="657"/>
      <c r="Z789" s="615"/>
      <c r="AA789" s="653"/>
      <c r="AB789" s="657"/>
      <c r="AC789" s="653"/>
      <c r="AD789" s="653"/>
      <c r="AE789" s="653"/>
      <c r="AF789" s="653"/>
      <c r="AG789" s="653"/>
      <c r="AH789" s="653"/>
      <c r="AI789" s="653"/>
      <c r="AJ789" s="653"/>
      <c r="AK789" s="653"/>
      <c r="AL789" s="653"/>
      <c r="AM789" s="653"/>
      <c r="AN789" s="653"/>
      <c r="AO789" s="653"/>
      <c r="AP789" s="653"/>
      <c r="AQ789" s="653"/>
      <c r="AR789" s="653"/>
      <c r="AS789" s="653"/>
      <c r="AT789" s="653"/>
      <c r="AU789" s="653"/>
      <c r="AV789" s="653"/>
    </row>
    <row r="790" spans="1:48" ht="14.5">
      <c r="A790" s="653"/>
      <c r="B790" s="653"/>
      <c r="C790" s="653"/>
      <c r="D790" s="653"/>
      <c r="E790" s="653"/>
      <c r="F790" s="653"/>
      <c r="G790" s="654"/>
      <c r="H790" s="654"/>
      <c r="I790" s="653"/>
      <c r="J790" s="653"/>
      <c r="K790" s="655"/>
      <c r="L790" s="653"/>
      <c r="M790" s="653"/>
      <c r="N790" s="653"/>
      <c r="O790" s="653"/>
      <c r="P790" s="653"/>
      <c r="Q790" s="653"/>
      <c r="R790" s="653"/>
      <c r="S790" s="653"/>
      <c r="T790" s="653"/>
      <c r="U790" s="656"/>
      <c r="V790" s="653"/>
      <c r="W790" s="653"/>
      <c r="X790" s="653"/>
      <c r="Y790" s="657"/>
      <c r="Z790" s="615"/>
      <c r="AA790" s="653"/>
      <c r="AB790" s="657"/>
      <c r="AC790" s="653"/>
      <c r="AD790" s="653"/>
      <c r="AE790" s="653"/>
      <c r="AF790" s="653"/>
      <c r="AG790" s="653"/>
      <c r="AH790" s="653"/>
      <c r="AI790" s="653"/>
      <c r="AJ790" s="653"/>
      <c r="AK790" s="653"/>
      <c r="AL790" s="653"/>
      <c r="AM790" s="653"/>
      <c r="AN790" s="653"/>
      <c r="AO790" s="653"/>
      <c r="AP790" s="653"/>
      <c r="AQ790" s="653"/>
      <c r="AR790" s="653"/>
      <c r="AS790" s="653"/>
      <c r="AT790" s="653"/>
      <c r="AU790" s="653"/>
      <c r="AV790" s="653"/>
    </row>
    <row r="791" spans="1:48" ht="14.5">
      <c r="A791" s="653"/>
      <c r="B791" s="653"/>
      <c r="C791" s="653"/>
      <c r="D791" s="653"/>
      <c r="E791" s="653"/>
      <c r="F791" s="653"/>
      <c r="G791" s="654"/>
      <c r="H791" s="654"/>
      <c r="I791" s="653"/>
      <c r="J791" s="653"/>
      <c r="K791" s="655"/>
      <c r="L791" s="653"/>
      <c r="M791" s="653"/>
      <c r="N791" s="653"/>
      <c r="O791" s="653"/>
      <c r="P791" s="653"/>
      <c r="Q791" s="653"/>
      <c r="R791" s="653"/>
      <c r="S791" s="653"/>
      <c r="T791" s="653"/>
      <c r="U791" s="656"/>
      <c r="V791" s="653"/>
      <c r="W791" s="653"/>
      <c r="X791" s="653"/>
      <c r="Y791" s="657"/>
      <c r="Z791" s="615"/>
      <c r="AA791" s="653"/>
      <c r="AB791" s="657"/>
      <c r="AC791" s="653"/>
      <c r="AD791" s="653"/>
      <c r="AE791" s="653"/>
      <c r="AF791" s="653"/>
      <c r="AG791" s="653"/>
      <c r="AH791" s="653"/>
      <c r="AI791" s="653"/>
      <c r="AJ791" s="653"/>
      <c r="AK791" s="653"/>
      <c r="AL791" s="653"/>
      <c r="AM791" s="653"/>
      <c r="AN791" s="653"/>
      <c r="AO791" s="653"/>
      <c r="AP791" s="653"/>
      <c r="AQ791" s="653"/>
      <c r="AR791" s="653"/>
      <c r="AS791" s="653"/>
      <c r="AT791" s="653"/>
      <c r="AU791" s="653"/>
      <c r="AV791" s="653"/>
    </row>
    <row r="792" spans="1:48" ht="14.5">
      <c r="A792" s="653"/>
      <c r="B792" s="653"/>
      <c r="C792" s="653"/>
      <c r="D792" s="653"/>
      <c r="E792" s="653"/>
      <c r="F792" s="653"/>
      <c r="G792" s="654"/>
      <c r="H792" s="654"/>
      <c r="I792" s="653"/>
      <c r="J792" s="653"/>
      <c r="K792" s="655"/>
      <c r="L792" s="653"/>
      <c r="M792" s="653"/>
      <c r="N792" s="653"/>
      <c r="O792" s="653"/>
      <c r="P792" s="653"/>
      <c r="Q792" s="653"/>
      <c r="R792" s="653"/>
      <c r="S792" s="653"/>
      <c r="T792" s="653"/>
      <c r="U792" s="656"/>
      <c r="V792" s="653"/>
      <c r="W792" s="653"/>
      <c r="X792" s="653"/>
      <c r="Y792" s="657"/>
      <c r="Z792" s="615"/>
      <c r="AA792" s="653"/>
      <c r="AB792" s="657"/>
      <c r="AC792" s="653"/>
      <c r="AD792" s="653"/>
      <c r="AE792" s="653"/>
      <c r="AF792" s="653"/>
      <c r="AG792" s="653"/>
      <c r="AH792" s="653"/>
      <c r="AI792" s="653"/>
      <c r="AJ792" s="653"/>
      <c r="AK792" s="653"/>
      <c r="AL792" s="653"/>
      <c r="AM792" s="653"/>
      <c r="AN792" s="653"/>
      <c r="AO792" s="653"/>
      <c r="AP792" s="653"/>
      <c r="AQ792" s="653"/>
      <c r="AR792" s="653"/>
      <c r="AS792" s="653"/>
      <c r="AT792" s="653"/>
      <c r="AU792" s="653"/>
      <c r="AV792" s="653"/>
    </row>
    <row r="793" spans="1:48" ht="14.5">
      <c r="A793" s="653"/>
      <c r="B793" s="653"/>
      <c r="C793" s="653"/>
      <c r="D793" s="653"/>
      <c r="E793" s="653"/>
      <c r="F793" s="653"/>
      <c r="G793" s="654"/>
      <c r="H793" s="654"/>
      <c r="I793" s="653"/>
      <c r="J793" s="653"/>
      <c r="K793" s="655"/>
      <c r="L793" s="653"/>
      <c r="M793" s="653"/>
      <c r="N793" s="653"/>
      <c r="O793" s="653"/>
      <c r="P793" s="653"/>
      <c r="Q793" s="653"/>
      <c r="R793" s="653"/>
      <c r="S793" s="653"/>
      <c r="T793" s="653"/>
      <c r="U793" s="656"/>
      <c r="V793" s="653"/>
      <c r="W793" s="653"/>
      <c r="X793" s="653"/>
      <c r="Y793" s="657"/>
      <c r="Z793" s="615"/>
      <c r="AA793" s="653"/>
      <c r="AB793" s="657"/>
      <c r="AC793" s="653"/>
      <c r="AD793" s="653"/>
      <c r="AE793" s="653"/>
      <c r="AF793" s="653"/>
      <c r="AG793" s="653"/>
      <c r="AH793" s="653"/>
      <c r="AI793" s="653"/>
      <c r="AJ793" s="653"/>
      <c r="AK793" s="653"/>
      <c r="AL793" s="653"/>
      <c r="AM793" s="653"/>
      <c r="AN793" s="653"/>
      <c r="AO793" s="653"/>
      <c r="AP793" s="653"/>
      <c r="AQ793" s="653"/>
      <c r="AR793" s="653"/>
      <c r="AS793" s="653"/>
      <c r="AT793" s="653"/>
      <c r="AU793" s="653"/>
      <c r="AV793" s="653"/>
    </row>
    <row r="794" spans="1:48" ht="14.5">
      <c r="A794" s="653"/>
      <c r="B794" s="653"/>
      <c r="C794" s="653"/>
      <c r="D794" s="653"/>
      <c r="E794" s="653"/>
      <c r="F794" s="653"/>
      <c r="G794" s="654"/>
      <c r="H794" s="654"/>
      <c r="I794" s="653"/>
      <c r="J794" s="653"/>
      <c r="K794" s="655"/>
      <c r="L794" s="653"/>
      <c r="M794" s="653"/>
      <c r="N794" s="653"/>
      <c r="O794" s="653"/>
      <c r="P794" s="653"/>
      <c r="Q794" s="653"/>
      <c r="R794" s="653"/>
      <c r="S794" s="653"/>
      <c r="T794" s="653"/>
      <c r="U794" s="656"/>
      <c r="V794" s="653"/>
      <c r="W794" s="653"/>
      <c r="X794" s="653"/>
      <c r="Y794" s="657"/>
      <c r="Z794" s="615"/>
      <c r="AA794" s="653"/>
      <c r="AB794" s="657"/>
      <c r="AC794" s="653"/>
      <c r="AD794" s="653"/>
      <c r="AE794" s="653"/>
      <c r="AF794" s="653"/>
      <c r="AG794" s="653"/>
      <c r="AH794" s="653"/>
      <c r="AI794" s="653"/>
      <c r="AJ794" s="653"/>
      <c r="AK794" s="653"/>
      <c r="AL794" s="653"/>
      <c r="AM794" s="653"/>
      <c r="AN794" s="653"/>
      <c r="AO794" s="653"/>
      <c r="AP794" s="653"/>
      <c r="AQ794" s="653"/>
      <c r="AR794" s="653"/>
      <c r="AS794" s="653"/>
      <c r="AT794" s="653"/>
      <c r="AU794" s="653"/>
      <c r="AV794" s="653"/>
    </row>
    <row r="795" spans="1:48" ht="14.5">
      <c r="A795" s="653"/>
      <c r="B795" s="653"/>
      <c r="C795" s="653"/>
      <c r="D795" s="653"/>
      <c r="E795" s="653"/>
      <c r="F795" s="653"/>
      <c r="G795" s="654"/>
      <c r="H795" s="654"/>
      <c r="I795" s="653"/>
      <c r="J795" s="653"/>
      <c r="K795" s="655"/>
      <c r="L795" s="653"/>
      <c r="M795" s="653"/>
      <c r="N795" s="653"/>
      <c r="O795" s="653"/>
      <c r="P795" s="653"/>
      <c r="Q795" s="653"/>
      <c r="R795" s="653"/>
      <c r="S795" s="653"/>
      <c r="T795" s="653"/>
      <c r="U795" s="656"/>
      <c r="V795" s="653"/>
      <c r="W795" s="653"/>
      <c r="X795" s="653"/>
      <c r="Y795" s="657"/>
      <c r="Z795" s="615"/>
      <c r="AA795" s="653"/>
      <c r="AB795" s="657"/>
      <c r="AC795" s="653"/>
      <c r="AD795" s="653"/>
      <c r="AE795" s="653"/>
      <c r="AF795" s="653"/>
      <c r="AG795" s="653"/>
      <c r="AH795" s="653"/>
      <c r="AI795" s="653"/>
      <c r="AJ795" s="653"/>
      <c r="AK795" s="653"/>
      <c r="AL795" s="653"/>
      <c r="AM795" s="653"/>
      <c r="AN795" s="653"/>
      <c r="AO795" s="653"/>
      <c r="AP795" s="653"/>
      <c r="AQ795" s="653"/>
      <c r="AR795" s="653"/>
      <c r="AS795" s="653"/>
      <c r="AT795" s="653"/>
      <c r="AU795" s="653"/>
      <c r="AV795" s="653"/>
    </row>
    <row r="796" spans="1:48" ht="14.5">
      <c r="A796" s="653"/>
      <c r="B796" s="653"/>
      <c r="C796" s="653"/>
      <c r="D796" s="653"/>
      <c r="E796" s="653"/>
      <c r="F796" s="653"/>
      <c r="G796" s="654"/>
      <c r="H796" s="654"/>
      <c r="I796" s="653"/>
      <c r="J796" s="653"/>
      <c r="K796" s="655"/>
      <c r="L796" s="653"/>
      <c r="M796" s="653"/>
      <c r="N796" s="653"/>
      <c r="O796" s="653"/>
      <c r="P796" s="653"/>
      <c r="Q796" s="653"/>
      <c r="R796" s="653"/>
      <c r="S796" s="653"/>
      <c r="T796" s="653"/>
      <c r="U796" s="656"/>
      <c r="V796" s="653"/>
      <c r="W796" s="653"/>
      <c r="X796" s="653"/>
      <c r="Y796" s="657"/>
      <c r="Z796" s="615"/>
      <c r="AA796" s="653"/>
      <c r="AB796" s="657"/>
      <c r="AC796" s="653"/>
      <c r="AD796" s="653"/>
      <c r="AE796" s="653"/>
      <c r="AF796" s="653"/>
      <c r="AG796" s="653"/>
      <c r="AH796" s="653"/>
      <c r="AI796" s="653"/>
      <c r="AJ796" s="653"/>
      <c r="AK796" s="653"/>
      <c r="AL796" s="653"/>
      <c r="AM796" s="653"/>
      <c r="AN796" s="653"/>
      <c r="AO796" s="653"/>
      <c r="AP796" s="653"/>
      <c r="AQ796" s="653"/>
      <c r="AR796" s="653"/>
      <c r="AS796" s="653"/>
      <c r="AT796" s="653"/>
      <c r="AU796" s="653"/>
      <c r="AV796" s="653"/>
    </row>
    <row r="797" spans="1:48" ht="14.5">
      <c r="A797" s="653"/>
      <c r="B797" s="653"/>
      <c r="C797" s="653"/>
      <c r="D797" s="653"/>
      <c r="E797" s="653"/>
      <c r="F797" s="653"/>
      <c r="G797" s="654"/>
      <c r="H797" s="654"/>
      <c r="I797" s="653"/>
      <c r="J797" s="653"/>
      <c r="K797" s="655"/>
      <c r="L797" s="653"/>
      <c r="M797" s="653"/>
      <c r="N797" s="653"/>
      <c r="O797" s="653"/>
      <c r="P797" s="653"/>
      <c r="Q797" s="653"/>
      <c r="R797" s="653"/>
      <c r="S797" s="653"/>
      <c r="T797" s="653"/>
      <c r="U797" s="656"/>
      <c r="V797" s="653"/>
      <c r="W797" s="653"/>
      <c r="X797" s="653"/>
      <c r="Y797" s="657"/>
      <c r="Z797" s="615"/>
      <c r="AA797" s="653"/>
      <c r="AB797" s="657"/>
      <c r="AC797" s="653"/>
      <c r="AD797" s="653"/>
      <c r="AE797" s="653"/>
      <c r="AF797" s="653"/>
      <c r="AG797" s="653"/>
      <c r="AH797" s="653"/>
      <c r="AI797" s="653"/>
      <c r="AJ797" s="653"/>
      <c r="AK797" s="653"/>
      <c r="AL797" s="653"/>
      <c r="AM797" s="653"/>
      <c r="AN797" s="653"/>
      <c r="AO797" s="653"/>
      <c r="AP797" s="653"/>
      <c r="AQ797" s="653"/>
      <c r="AR797" s="653"/>
      <c r="AS797" s="653"/>
      <c r="AT797" s="653"/>
      <c r="AU797" s="653"/>
      <c r="AV797" s="653"/>
    </row>
    <row r="798" spans="1:48" ht="14.5">
      <c r="A798" s="653"/>
      <c r="B798" s="653"/>
      <c r="C798" s="653"/>
      <c r="D798" s="653"/>
      <c r="E798" s="653"/>
      <c r="F798" s="653"/>
      <c r="G798" s="654"/>
      <c r="H798" s="654"/>
      <c r="I798" s="653"/>
      <c r="J798" s="653"/>
      <c r="K798" s="655"/>
      <c r="L798" s="653"/>
      <c r="M798" s="653"/>
      <c r="N798" s="653"/>
      <c r="O798" s="653"/>
      <c r="P798" s="653"/>
      <c r="Q798" s="653"/>
      <c r="R798" s="653"/>
      <c r="S798" s="653"/>
      <c r="T798" s="653"/>
      <c r="U798" s="656"/>
      <c r="V798" s="653"/>
      <c r="W798" s="653"/>
      <c r="X798" s="653"/>
      <c r="Y798" s="657"/>
      <c r="Z798" s="615"/>
      <c r="AA798" s="653"/>
      <c r="AB798" s="657"/>
      <c r="AC798" s="653"/>
      <c r="AD798" s="653"/>
      <c r="AE798" s="653"/>
      <c r="AF798" s="653"/>
      <c r="AG798" s="653"/>
      <c r="AH798" s="653"/>
      <c r="AI798" s="653"/>
      <c r="AJ798" s="653"/>
      <c r="AK798" s="653"/>
      <c r="AL798" s="653"/>
      <c r="AM798" s="653"/>
      <c r="AN798" s="653"/>
      <c r="AO798" s="653"/>
      <c r="AP798" s="653"/>
      <c r="AQ798" s="653"/>
      <c r="AR798" s="653"/>
      <c r="AS798" s="653"/>
      <c r="AT798" s="653"/>
      <c r="AU798" s="653"/>
      <c r="AV798" s="653"/>
    </row>
    <row r="799" spans="1:48" ht="14.5">
      <c r="A799" s="653"/>
      <c r="B799" s="653"/>
      <c r="C799" s="653"/>
      <c r="D799" s="653"/>
      <c r="E799" s="653"/>
      <c r="F799" s="653"/>
      <c r="G799" s="654"/>
      <c r="H799" s="654"/>
      <c r="I799" s="653"/>
      <c r="J799" s="653"/>
      <c r="K799" s="655"/>
      <c r="L799" s="653"/>
      <c r="M799" s="653"/>
      <c r="N799" s="653"/>
      <c r="O799" s="653"/>
      <c r="P799" s="653"/>
      <c r="Q799" s="653"/>
      <c r="R799" s="653"/>
      <c r="S799" s="653"/>
      <c r="T799" s="653"/>
      <c r="U799" s="656"/>
      <c r="V799" s="653"/>
      <c r="W799" s="653"/>
      <c r="X799" s="653"/>
      <c r="Y799" s="657"/>
      <c r="Z799" s="615"/>
      <c r="AA799" s="653"/>
      <c r="AB799" s="657"/>
      <c r="AC799" s="653"/>
      <c r="AD799" s="653"/>
      <c r="AE799" s="653"/>
      <c r="AF799" s="653"/>
      <c r="AG799" s="653"/>
      <c r="AH799" s="653"/>
      <c r="AI799" s="653"/>
      <c r="AJ799" s="653"/>
      <c r="AK799" s="653"/>
      <c r="AL799" s="653"/>
      <c r="AM799" s="653"/>
      <c r="AN799" s="653"/>
      <c r="AO799" s="653"/>
      <c r="AP799" s="653"/>
      <c r="AQ799" s="653"/>
      <c r="AR799" s="653"/>
      <c r="AS799" s="653"/>
      <c r="AT799" s="653"/>
      <c r="AU799" s="653"/>
      <c r="AV799" s="653"/>
    </row>
    <row r="800" spans="1:48" ht="14.5">
      <c r="A800" s="653"/>
      <c r="B800" s="653"/>
      <c r="C800" s="653"/>
      <c r="D800" s="653"/>
      <c r="E800" s="653"/>
      <c r="F800" s="653"/>
      <c r="G800" s="654"/>
      <c r="H800" s="654"/>
      <c r="I800" s="653"/>
      <c r="J800" s="653"/>
      <c r="K800" s="655"/>
      <c r="L800" s="653"/>
      <c r="M800" s="653"/>
      <c r="N800" s="653"/>
      <c r="O800" s="653"/>
      <c r="P800" s="653"/>
      <c r="Q800" s="653"/>
      <c r="R800" s="653"/>
      <c r="S800" s="653"/>
      <c r="T800" s="653"/>
      <c r="U800" s="656"/>
      <c r="V800" s="653"/>
      <c r="W800" s="653"/>
      <c r="X800" s="653"/>
      <c r="Y800" s="657"/>
      <c r="Z800" s="615"/>
      <c r="AA800" s="653"/>
      <c r="AB800" s="657"/>
      <c r="AC800" s="653"/>
      <c r="AD800" s="653"/>
      <c r="AE800" s="653"/>
      <c r="AF800" s="653"/>
      <c r="AG800" s="653"/>
      <c r="AH800" s="653"/>
      <c r="AI800" s="653"/>
      <c r="AJ800" s="653"/>
      <c r="AK800" s="653"/>
      <c r="AL800" s="653"/>
      <c r="AM800" s="653"/>
      <c r="AN800" s="653"/>
      <c r="AO800" s="653"/>
      <c r="AP800" s="653"/>
      <c r="AQ800" s="653"/>
      <c r="AR800" s="653"/>
      <c r="AS800" s="653"/>
      <c r="AT800" s="653"/>
      <c r="AU800" s="653"/>
      <c r="AV800" s="653"/>
    </row>
    <row r="801" spans="1:48" ht="14.5">
      <c r="A801" s="653"/>
      <c r="B801" s="653"/>
      <c r="C801" s="653"/>
      <c r="D801" s="653"/>
      <c r="E801" s="653"/>
      <c r="F801" s="653"/>
      <c r="G801" s="654"/>
      <c r="H801" s="654"/>
      <c r="I801" s="653"/>
      <c r="J801" s="653"/>
      <c r="K801" s="655"/>
      <c r="L801" s="653"/>
      <c r="M801" s="653"/>
      <c r="N801" s="653"/>
      <c r="O801" s="653"/>
      <c r="P801" s="653"/>
      <c r="Q801" s="653"/>
      <c r="R801" s="653"/>
      <c r="S801" s="653"/>
      <c r="T801" s="653"/>
      <c r="U801" s="656"/>
      <c r="V801" s="653"/>
      <c r="W801" s="653"/>
      <c r="X801" s="653"/>
      <c r="Y801" s="657"/>
      <c r="Z801" s="615"/>
      <c r="AA801" s="653"/>
      <c r="AB801" s="657"/>
      <c r="AC801" s="653"/>
      <c r="AD801" s="653"/>
      <c r="AE801" s="653"/>
      <c r="AF801" s="653"/>
      <c r="AG801" s="653"/>
      <c r="AH801" s="653"/>
      <c r="AI801" s="653"/>
      <c r="AJ801" s="653"/>
      <c r="AK801" s="653"/>
      <c r="AL801" s="653"/>
      <c r="AM801" s="653"/>
      <c r="AN801" s="653"/>
      <c r="AO801" s="653"/>
      <c r="AP801" s="653"/>
      <c r="AQ801" s="653"/>
      <c r="AR801" s="653"/>
      <c r="AS801" s="653"/>
      <c r="AT801" s="653"/>
      <c r="AU801" s="653"/>
      <c r="AV801" s="653"/>
    </row>
    <row r="802" spans="1:48" ht="14.5">
      <c r="A802" s="653"/>
      <c r="B802" s="653"/>
      <c r="C802" s="653"/>
      <c r="D802" s="653"/>
      <c r="E802" s="653"/>
      <c r="F802" s="653"/>
      <c r="G802" s="654"/>
      <c r="H802" s="654"/>
      <c r="I802" s="653"/>
      <c r="J802" s="653"/>
      <c r="K802" s="655"/>
      <c r="L802" s="653"/>
      <c r="M802" s="653"/>
      <c r="N802" s="653"/>
      <c r="O802" s="653"/>
      <c r="P802" s="653"/>
      <c r="Q802" s="653"/>
      <c r="R802" s="653"/>
      <c r="S802" s="653"/>
      <c r="T802" s="653"/>
      <c r="U802" s="656"/>
      <c r="V802" s="653"/>
      <c r="W802" s="653"/>
      <c r="X802" s="653"/>
      <c r="Y802" s="657"/>
      <c r="Z802" s="615"/>
      <c r="AA802" s="653"/>
      <c r="AB802" s="657"/>
      <c r="AC802" s="653"/>
      <c r="AD802" s="653"/>
      <c r="AE802" s="653"/>
      <c r="AF802" s="653"/>
      <c r="AG802" s="653"/>
      <c r="AH802" s="653"/>
      <c r="AI802" s="653"/>
      <c r="AJ802" s="653"/>
      <c r="AK802" s="653"/>
      <c r="AL802" s="653"/>
      <c r="AM802" s="653"/>
      <c r="AN802" s="653"/>
      <c r="AO802" s="653"/>
      <c r="AP802" s="653"/>
      <c r="AQ802" s="653"/>
      <c r="AR802" s="653"/>
      <c r="AS802" s="653"/>
      <c r="AT802" s="653"/>
      <c r="AU802" s="653"/>
      <c r="AV802" s="653"/>
    </row>
    <row r="803" spans="1:48" ht="14.5">
      <c r="A803" s="653"/>
      <c r="B803" s="653"/>
      <c r="C803" s="653"/>
      <c r="D803" s="653"/>
      <c r="E803" s="653"/>
      <c r="F803" s="653"/>
      <c r="G803" s="654"/>
      <c r="H803" s="654"/>
      <c r="I803" s="653"/>
      <c r="J803" s="653"/>
      <c r="K803" s="655"/>
      <c r="L803" s="653"/>
      <c r="M803" s="653"/>
      <c r="N803" s="653"/>
      <c r="O803" s="653"/>
      <c r="P803" s="653"/>
      <c r="Q803" s="653"/>
      <c r="R803" s="653"/>
      <c r="S803" s="653"/>
      <c r="T803" s="653"/>
      <c r="U803" s="656"/>
      <c r="V803" s="653"/>
      <c r="W803" s="653"/>
      <c r="X803" s="653"/>
      <c r="Y803" s="657"/>
      <c r="Z803" s="615"/>
      <c r="AA803" s="653"/>
      <c r="AB803" s="657"/>
      <c r="AC803" s="653"/>
      <c r="AD803" s="653"/>
      <c r="AE803" s="653"/>
      <c r="AF803" s="653"/>
      <c r="AG803" s="653"/>
      <c r="AH803" s="653"/>
      <c r="AI803" s="653"/>
      <c r="AJ803" s="653"/>
      <c r="AK803" s="653"/>
      <c r="AL803" s="653"/>
      <c r="AM803" s="653"/>
      <c r="AN803" s="653"/>
      <c r="AO803" s="653"/>
      <c r="AP803" s="653"/>
      <c r="AQ803" s="653"/>
      <c r="AR803" s="653"/>
      <c r="AS803" s="653"/>
      <c r="AT803" s="653"/>
      <c r="AU803" s="653"/>
      <c r="AV803" s="653"/>
    </row>
    <row r="804" spans="1:48" ht="14.5">
      <c r="A804" s="653"/>
      <c r="B804" s="653"/>
      <c r="C804" s="653"/>
      <c r="D804" s="653"/>
      <c r="E804" s="653"/>
      <c r="F804" s="653"/>
      <c r="G804" s="654"/>
      <c r="H804" s="654"/>
      <c r="I804" s="653"/>
      <c r="J804" s="653"/>
      <c r="K804" s="655"/>
      <c r="L804" s="653"/>
      <c r="M804" s="653"/>
      <c r="N804" s="653"/>
      <c r="O804" s="653"/>
      <c r="P804" s="653"/>
      <c r="Q804" s="653"/>
      <c r="R804" s="653"/>
      <c r="S804" s="653"/>
      <c r="T804" s="653"/>
      <c r="U804" s="656"/>
      <c r="V804" s="653"/>
      <c r="W804" s="653"/>
      <c r="X804" s="653"/>
      <c r="Y804" s="657"/>
      <c r="Z804" s="615"/>
      <c r="AA804" s="653"/>
      <c r="AB804" s="657"/>
      <c r="AC804" s="653"/>
      <c r="AD804" s="653"/>
      <c r="AE804" s="653"/>
      <c r="AF804" s="653"/>
      <c r="AG804" s="653"/>
      <c r="AH804" s="653"/>
      <c r="AI804" s="653"/>
      <c r="AJ804" s="653"/>
      <c r="AK804" s="653"/>
      <c r="AL804" s="653"/>
      <c r="AM804" s="653"/>
      <c r="AN804" s="653"/>
      <c r="AO804" s="653"/>
      <c r="AP804" s="653"/>
      <c r="AQ804" s="653"/>
      <c r="AR804" s="653"/>
      <c r="AS804" s="653"/>
      <c r="AT804" s="653"/>
      <c r="AU804" s="653"/>
      <c r="AV804" s="653"/>
    </row>
    <row r="805" spans="1:48" ht="14.5">
      <c r="A805" s="653"/>
      <c r="B805" s="653"/>
      <c r="C805" s="653"/>
      <c r="D805" s="653"/>
      <c r="E805" s="653"/>
      <c r="F805" s="653"/>
      <c r="G805" s="654"/>
      <c r="H805" s="654"/>
      <c r="I805" s="653"/>
      <c r="J805" s="653"/>
      <c r="K805" s="655"/>
      <c r="L805" s="653"/>
      <c r="M805" s="653"/>
      <c r="N805" s="653"/>
      <c r="O805" s="653"/>
      <c r="P805" s="653"/>
      <c r="Q805" s="653"/>
      <c r="R805" s="653"/>
      <c r="S805" s="653"/>
      <c r="T805" s="653"/>
      <c r="U805" s="656"/>
      <c r="V805" s="653"/>
      <c r="W805" s="653"/>
      <c r="X805" s="653"/>
      <c r="Y805" s="657"/>
      <c r="Z805" s="615"/>
      <c r="AA805" s="653"/>
      <c r="AB805" s="657"/>
      <c r="AC805" s="653"/>
      <c r="AD805" s="653"/>
      <c r="AE805" s="653"/>
      <c r="AF805" s="653"/>
      <c r="AG805" s="653"/>
      <c r="AH805" s="653"/>
      <c r="AI805" s="653"/>
      <c r="AJ805" s="653"/>
      <c r="AK805" s="653"/>
      <c r="AL805" s="653"/>
      <c r="AM805" s="653"/>
      <c r="AN805" s="653"/>
      <c r="AO805" s="653"/>
      <c r="AP805" s="653"/>
      <c r="AQ805" s="653"/>
      <c r="AR805" s="653"/>
      <c r="AS805" s="653"/>
      <c r="AT805" s="653"/>
      <c r="AU805" s="653"/>
      <c r="AV805" s="653"/>
    </row>
    <row r="806" spans="1:48" ht="14.5">
      <c r="A806" s="653"/>
      <c r="B806" s="653"/>
      <c r="C806" s="653"/>
      <c r="D806" s="653"/>
      <c r="E806" s="653"/>
      <c r="F806" s="653"/>
      <c r="G806" s="654"/>
      <c r="H806" s="654"/>
      <c r="I806" s="653"/>
      <c r="J806" s="653"/>
      <c r="K806" s="655"/>
      <c r="L806" s="653"/>
      <c r="M806" s="653"/>
      <c r="N806" s="653"/>
      <c r="O806" s="653"/>
      <c r="P806" s="653"/>
      <c r="Q806" s="653"/>
      <c r="R806" s="653"/>
      <c r="S806" s="653"/>
      <c r="T806" s="653"/>
      <c r="U806" s="656"/>
      <c r="V806" s="653"/>
      <c r="W806" s="653"/>
      <c r="X806" s="653"/>
      <c r="Y806" s="657"/>
      <c r="Z806" s="615"/>
      <c r="AA806" s="653"/>
      <c r="AB806" s="657"/>
      <c r="AC806" s="653"/>
      <c r="AD806" s="653"/>
      <c r="AE806" s="653"/>
      <c r="AF806" s="653"/>
      <c r="AG806" s="653"/>
      <c r="AH806" s="653"/>
      <c r="AI806" s="653"/>
      <c r="AJ806" s="653"/>
      <c r="AK806" s="653"/>
      <c r="AL806" s="653"/>
      <c r="AM806" s="653"/>
      <c r="AN806" s="653"/>
      <c r="AO806" s="653"/>
      <c r="AP806" s="653"/>
      <c r="AQ806" s="653"/>
      <c r="AR806" s="653"/>
      <c r="AS806" s="653"/>
      <c r="AT806" s="653"/>
      <c r="AU806" s="653"/>
      <c r="AV806" s="653"/>
    </row>
    <row r="807" spans="1:48" ht="14.5">
      <c r="A807" s="653"/>
      <c r="B807" s="653"/>
      <c r="C807" s="653"/>
      <c r="D807" s="653"/>
      <c r="E807" s="653"/>
      <c r="F807" s="653"/>
      <c r="G807" s="654"/>
      <c r="H807" s="654"/>
      <c r="I807" s="653"/>
      <c r="J807" s="653"/>
      <c r="K807" s="655"/>
      <c r="L807" s="653"/>
      <c r="M807" s="653"/>
      <c r="N807" s="653"/>
      <c r="O807" s="653"/>
      <c r="P807" s="653"/>
      <c r="Q807" s="653"/>
      <c r="R807" s="653"/>
      <c r="S807" s="653"/>
      <c r="T807" s="653"/>
      <c r="U807" s="656"/>
      <c r="V807" s="653"/>
      <c r="W807" s="653"/>
      <c r="X807" s="653"/>
      <c r="Y807" s="657"/>
      <c r="Z807" s="615"/>
      <c r="AA807" s="653"/>
      <c r="AB807" s="657"/>
      <c r="AC807" s="653"/>
      <c r="AD807" s="653"/>
      <c r="AE807" s="653"/>
      <c r="AF807" s="653"/>
      <c r="AG807" s="653"/>
      <c r="AH807" s="653"/>
      <c r="AI807" s="653"/>
      <c r="AJ807" s="653"/>
      <c r="AK807" s="653"/>
      <c r="AL807" s="653"/>
      <c r="AM807" s="653"/>
      <c r="AN807" s="653"/>
      <c r="AO807" s="653"/>
      <c r="AP807" s="653"/>
      <c r="AQ807" s="653"/>
      <c r="AR807" s="653"/>
      <c r="AS807" s="653"/>
      <c r="AT807" s="653"/>
      <c r="AU807" s="653"/>
      <c r="AV807" s="653"/>
    </row>
    <row r="808" spans="1:48" ht="14.5">
      <c r="A808" s="653"/>
      <c r="B808" s="653"/>
      <c r="C808" s="653"/>
      <c r="D808" s="653"/>
      <c r="E808" s="653"/>
      <c r="F808" s="653"/>
      <c r="G808" s="654"/>
      <c r="H808" s="654"/>
      <c r="I808" s="653"/>
      <c r="J808" s="653"/>
      <c r="K808" s="655"/>
      <c r="L808" s="653"/>
      <c r="M808" s="653"/>
      <c r="N808" s="653"/>
      <c r="O808" s="653"/>
      <c r="P808" s="653"/>
      <c r="Q808" s="653"/>
      <c r="R808" s="653"/>
      <c r="S808" s="653"/>
      <c r="T808" s="653"/>
      <c r="U808" s="656"/>
      <c r="V808" s="653"/>
      <c r="W808" s="653"/>
      <c r="X808" s="653"/>
      <c r="Y808" s="657"/>
      <c r="Z808" s="615"/>
      <c r="AA808" s="653"/>
      <c r="AB808" s="657"/>
      <c r="AC808" s="653"/>
      <c r="AD808" s="653"/>
      <c r="AE808" s="653"/>
      <c r="AF808" s="653"/>
      <c r="AG808" s="653"/>
      <c r="AH808" s="653"/>
      <c r="AI808" s="653"/>
      <c r="AJ808" s="653"/>
      <c r="AK808" s="653"/>
      <c r="AL808" s="653"/>
      <c r="AM808" s="653"/>
      <c r="AN808" s="653"/>
      <c r="AO808" s="653"/>
      <c r="AP808" s="653"/>
      <c r="AQ808" s="653"/>
      <c r="AR808" s="653"/>
      <c r="AS808" s="653"/>
      <c r="AT808" s="653"/>
      <c r="AU808" s="653"/>
      <c r="AV808" s="653"/>
    </row>
    <row r="809" spans="1:48" ht="14.5">
      <c r="A809" s="653"/>
      <c r="B809" s="653"/>
      <c r="C809" s="653"/>
      <c r="D809" s="653"/>
      <c r="E809" s="653"/>
      <c r="F809" s="653"/>
      <c r="G809" s="654"/>
      <c r="H809" s="654"/>
      <c r="I809" s="653"/>
      <c r="J809" s="653"/>
      <c r="K809" s="655"/>
      <c r="L809" s="653"/>
      <c r="M809" s="653"/>
      <c r="N809" s="653"/>
      <c r="O809" s="653"/>
      <c r="P809" s="653"/>
      <c r="Q809" s="653"/>
      <c r="R809" s="653"/>
      <c r="S809" s="653"/>
      <c r="T809" s="653"/>
      <c r="U809" s="656"/>
      <c r="V809" s="653"/>
      <c r="W809" s="653"/>
      <c r="X809" s="653"/>
      <c r="Y809" s="657"/>
      <c r="Z809" s="615"/>
      <c r="AA809" s="653"/>
      <c r="AB809" s="657"/>
      <c r="AC809" s="653"/>
      <c r="AD809" s="653"/>
      <c r="AE809" s="653"/>
      <c r="AF809" s="653"/>
      <c r="AG809" s="653"/>
      <c r="AH809" s="653"/>
      <c r="AI809" s="653"/>
      <c r="AJ809" s="653"/>
      <c r="AK809" s="653"/>
      <c r="AL809" s="653"/>
      <c r="AM809" s="653"/>
      <c r="AN809" s="653"/>
      <c r="AO809" s="653"/>
      <c r="AP809" s="653"/>
      <c r="AQ809" s="653"/>
      <c r="AR809" s="653"/>
      <c r="AS809" s="653"/>
      <c r="AT809" s="653"/>
      <c r="AU809" s="653"/>
      <c r="AV809" s="653"/>
    </row>
    <row r="810" spans="1:48" ht="14.5">
      <c r="A810" s="653"/>
      <c r="B810" s="653"/>
      <c r="C810" s="653"/>
      <c r="D810" s="653"/>
      <c r="E810" s="653"/>
      <c r="F810" s="653"/>
      <c r="G810" s="654"/>
      <c r="H810" s="654"/>
      <c r="I810" s="653"/>
      <c r="J810" s="653"/>
      <c r="K810" s="655"/>
      <c r="L810" s="653"/>
      <c r="M810" s="653"/>
      <c r="N810" s="653"/>
      <c r="O810" s="653"/>
      <c r="P810" s="653"/>
      <c r="Q810" s="653"/>
      <c r="R810" s="653"/>
      <c r="S810" s="653"/>
      <c r="T810" s="653"/>
      <c r="U810" s="656"/>
      <c r="V810" s="653"/>
      <c r="W810" s="653"/>
      <c r="X810" s="653"/>
      <c r="Y810" s="657"/>
      <c r="Z810" s="615"/>
      <c r="AA810" s="653"/>
      <c r="AB810" s="657"/>
      <c r="AC810" s="653"/>
      <c r="AD810" s="653"/>
      <c r="AE810" s="653"/>
      <c r="AF810" s="653"/>
      <c r="AG810" s="653"/>
      <c r="AH810" s="653"/>
      <c r="AI810" s="653"/>
      <c r="AJ810" s="653"/>
      <c r="AK810" s="653"/>
      <c r="AL810" s="653"/>
      <c r="AM810" s="653"/>
      <c r="AN810" s="653"/>
      <c r="AO810" s="653"/>
      <c r="AP810" s="653"/>
      <c r="AQ810" s="653"/>
      <c r="AR810" s="653"/>
      <c r="AS810" s="653"/>
      <c r="AT810" s="653"/>
      <c r="AU810" s="653"/>
      <c r="AV810" s="653"/>
    </row>
    <row r="811" spans="1:48" ht="14.5">
      <c r="A811" s="653"/>
      <c r="B811" s="653"/>
      <c r="C811" s="653"/>
      <c r="D811" s="653"/>
      <c r="E811" s="653"/>
      <c r="F811" s="653"/>
      <c r="G811" s="654"/>
      <c r="H811" s="654"/>
      <c r="I811" s="653"/>
      <c r="J811" s="653"/>
      <c r="K811" s="655"/>
      <c r="L811" s="653"/>
      <c r="M811" s="653"/>
      <c r="N811" s="653"/>
      <c r="O811" s="653"/>
      <c r="P811" s="653"/>
      <c r="Q811" s="653"/>
      <c r="R811" s="653"/>
      <c r="S811" s="653"/>
      <c r="T811" s="653"/>
      <c r="U811" s="656"/>
      <c r="V811" s="653"/>
      <c r="W811" s="653"/>
      <c r="X811" s="653"/>
      <c r="Y811" s="657"/>
      <c r="Z811" s="615"/>
      <c r="AA811" s="653"/>
      <c r="AB811" s="657"/>
      <c r="AC811" s="653"/>
      <c r="AD811" s="653"/>
      <c r="AE811" s="653"/>
      <c r="AF811" s="653"/>
      <c r="AG811" s="653"/>
      <c r="AH811" s="653"/>
      <c r="AI811" s="653"/>
      <c r="AJ811" s="653"/>
      <c r="AK811" s="653"/>
      <c r="AL811" s="653"/>
      <c r="AM811" s="653"/>
      <c r="AN811" s="653"/>
      <c r="AO811" s="653"/>
      <c r="AP811" s="653"/>
      <c r="AQ811" s="653"/>
      <c r="AR811" s="653"/>
      <c r="AS811" s="653"/>
      <c r="AT811" s="653"/>
      <c r="AU811" s="653"/>
      <c r="AV811" s="653"/>
    </row>
    <row r="812" spans="1:48" ht="14.5">
      <c r="A812" s="653"/>
      <c r="B812" s="653"/>
      <c r="C812" s="653"/>
      <c r="D812" s="653"/>
      <c r="E812" s="653"/>
      <c r="F812" s="653"/>
      <c r="G812" s="654"/>
      <c r="H812" s="654"/>
      <c r="I812" s="653"/>
      <c r="J812" s="653"/>
      <c r="K812" s="655"/>
      <c r="L812" s="653"/>
      <c r="M812" s="653"/>
      <c r="N812" s="653"/>
      <c r="O812" s="653"/>
      <c r="P812" s="653"/>
      <c r="Q812" s="653"/>
      <c r="R812" s="653"/>
      <c r="S812" s="653"/>
      <c r="T812" s="653"/>
      <c r="U812" s="656"/>
      <c r="V812" s="653"/>
      <c r="W812" s="653"/>
      <c r="X812" s="653"/>
      <c r="Y812" s="657"/>
      <c r="Z812" s="615"/>
      <c r="AA812" s="653"/>
      <c r="AB812" s="657"/>
      <c r="AC812" s="653"/>
      <c r="AD812" s="653"/>
      <c r="AE812" s="653"/>
      <c r="AF812" s="653"/>
      <c r="AG812" s="653"/>
      <c r="AH812" s="653"/>
      <c r="AI812" s="653"/>
      <c r="AJ812" s="653"/>
      <c r="AK812" s="653"/>
      <c r="AL812" s="653"/>
      <c r="AM812" s="653"/>
      <c r="AN812" s="653"/>
      <c r="AO812" s="653"/>
      <c r="AP812" s="653"/>
      <c r="AQ812" s="653"/>
      <c r="AR812" s="653"/>
      <c r="AS812" s="653"/>
      <c r="AT812" s="653"/>
      <c r="AU812" s="653"/>
      <c r="AV812" s="653"/>
    </row>
    <row r="813" spans="1:48" ht="14.5">
      <c r="A813" s="653"/>
      <c r="B813" s="653"/>
      <c r="C813" s="653"/>
      <c r="D813" s="653"/>
      <c r="E813" s="653"/>
      <c r="F813" s="653"/>
      <c r="G813" s="654"/>
      <c r="H813" s="654"/>
      <c r="I813" s="653"/>
      <c r="J813" s="653"/>
      <c r="K813" s="655"/>
      <c r="L813" s="653"/>
      <c r="M813" s="653"/>
      <c r="N813" s="653"/>
      <c r="O813" s="653"/>
      <c r="P813" s="653"/>
      <c r="Q813" s="653"/>
      <c r="R813" s="653"/>
      <c r="S813" s="653"/>
      <c r="T813" s="653"/>
      <c r="U813" s="656"/>
      <c r="V813" s="653"/>
      <c r="W813" s="653"/>
      <c r="X813" s="653"/>
      <c r="Y813" s="657"/>
      <c r="Z813" s="615"/>
      <c r="AA813" s="653"/>
      <c r="AB813" s="657"/>
      <c r="AC813" s="653"/>
      <c r="AD813" s="653"/>
      <c r="AE813" s="653"/>
      <c r="AF813" s="653"/>
      <c r="AG813" s="653"/>
      <c r="AH813" s="653"/>
      <c r="AI813" s="653"/>
      <c r="AJ813" s="653"/>
      <c r="AK813" s="653"/>
      <c r="AL813" s="653"/>
      <c r="AM813" s="653"/>
      <c r="AN813" s="653"/>
      <c r="AO813" s="653"/>
      <c r="AP813" s="653"/>
      <c r="AQ813" s="653"/>
      <c r="AR813" s="653"/>
      <c r="AS813" s="653"/>
      <c r="AT813" s="653"/>
      <c r="AU813" s="653"/>
      <c r="AV813" s="653"/>
    </row>
    <row r="814" spans="1:48" ht="14.5">
      <c r="A814" s="653"/>
      <c r="B814" s="653"/>
      <c r="C814" s="653"/>
      <c r="D814" s="653"/>
      <c r="E814" s="653"/>
      <c r="F814" s="653"/>
      <c r="G814" s="654"/>
      <c r="H814" s="654"/>
      <c r="I814" s="653"/>
      <c r="J814" s="653"/>
      <c r="K814" s="655"/>
      <c r="L814" s="653"/>
      <c r="M814" s="653"/>
      <c r="N814" s="653"/>
      <c r="O814" s="653"/>
      <c r="P814" s="653"/>
      <c r="Q814" s="653"/>
      <c r="R814" s="653"/>
      <c r="S814" s="653"/>
      <c r="T814" s="653"/>
      <c r="U814" s="656"/>
      <c r="V814" s="653"/>
      <c r="W814" s="653"/>
      <c r="X814" s="653"/>
      <c r="Y814" s="657"/>
      <c r="Z814" s="615"/>
      <c r="AA814" s="653"/>
      <c r="AB814" s="657"/>
      <c r="AC814" s="653"/>
      <c r="AD814" s="653"/>
      <c r="AE814" s="653"/>
      <c r="AF814" s="653"/>
      <c r="AG814" s="653"/>
      <c r="AH814" s="653"/>
      <c r="AI814" s="653"/>
      <c r="AJ814" s="653"/>
      <c r="AK814" s="653"/>
      <c r="AL814" s="653"/>
      <c r="AM814" s="653"/>
      <c r="AN814" s="653"/>
      <c r="AO814" s="653"/>
      <c r="AP814" s="653"/>
      <c r="AQ814" s="653"/>
      <c r="AR814" s="653"/>
      <c r="AS814" s="653"/>
      <c r="AT814" s="653"/>
      <c r="AU814" s="653"/>
      <c r="AV814" s="653"/>
    </row>
    <row r="815" spans="1:48" ht="14.5">
      <c r="A815" s="653"/>
      <c r="B815" s="653"/>
      <c r="C815" s="653"/>
      <c r="D815" s="653"/>
      <c r="E815" s="653"/>
      <c r="F815" s="653"/>
      <c r="G815" s="654"/>
      <c r="H815" s="654"/>
      <c r="I815" s="653"/>
      <c r="J815" s="653"/>
      <c r="K815" s="655"/>
      <c r="L815" s="653"/>
      <c r="M815" s="653"/>
      <c r="N815" s="653"/>
      <c r="O815" s="653"/>
      <c r="P815" s="653"/>
      <c r="Q815" s="653"/>
      <c r="R815" s="653"/>
      <c r="S815" s="653"/>
      <c r="T815" s="653"/>
      <c r="U815" s="656"/>
      <c r="V815" s="653"/>
      <c r="W815" s="653"/>
      <c r="X815" s="653"/>
      <c r="Y815" s="657"/>
      <c r="Z815" s="615"/>
      <c r="AA815" s="653"/>
      <c r="AB815" s="657"/>
      <c r="AC815" s="653"/>
      <c r="AD815" s="653"/>
      <c r="AE815" s="653"/>
      <c r="AF815" s="653"/>
      <c r="AG815" s="653"/>
      <c r="AH815" s="653"/>
      <c r="AI815" s="653"/>
      <c r="AJ815" s="653"/>
      <c r="AK815" s="653"/>
      <c r="AL815" s="653"/>
      <c r="AM815" s="653"/>
      <c r="AN815" s="653"/>
      <c r="AO815" s="653"/>
      <c r="AP815" s="653"/>
      <c r="AQ815" s="653"/>
      <c r="AR815" s="653"/>
      <c r="AS815" s="653"/>
      <c r="AT815" s="653"/>
      <c r="AU815" s="653"/>
      <c r="AV815" s="653"/>
    </row>
    <row r="816" spans="1:48" ht="14.5">
      <c r="A816" s="653"/>
      <c r="B816" s="653"/>
      <c r="C816" s="653"/>
      <c r="D816" s="653"/>
      <c r="E816" s="653"/>
      <c r="F816" s="653"/>
      <c r="G816" s="654"/>
      <c r="H816" s="654"/>
      <c r="I816" s="653"/>
      <c r="J816" s="653"/>
      <c r="K816" s="655"/>
      <c r="L816" s="653"/>
      <c r="M816" s="653"/>
      <c r="N816" s="653"/>
      <c r="O816" s="653"/>
      <c r="P816" s="653"/>
      <c r="Q816" s="653"/>
      <c r="R816" s="653"/>
      <c r="S816" s="653"/>
      <c r="T816" s="653"/>
      <c r="U816" s="656"/>
      <c r="V816" s="653"/>
      <c r="W816" s="653"/>
      <c r="X816" s="653"/>
      <c r="Y816" s="657"/>
      <c r="Z816" s="615"/>
      <c r="AA816" s="653"/>
      <c r="AB816" s="657"/>
      <c r="AC816" s="653"/>
      <c r="AD816" s="653"/>
      <c r="AE816" s="653"/>
      <c r="AF816" s="653"/>
      <c r="AG816" s="653"/>
      <c r="AH816" s="653"/>
      <c r="AI816" s="653"/>
      <c r="AJ816" s="653"/>
      <c r="AK816" s="653"/>
      <c r="AL816" s="653"/>
      <c r="AM816" s="653"/>
      <c r="AN816" s="653"/>
      <c r="AO816" s="653"/>
      <c r="AP816" s="653"/>
      <c r="AQ816" s="653"/>
      <c r="AR816" s="653"/>
      <c r="AS816" s="653"/>
      <c r="AT816" s="653"/>
      <c r="AU816" s="653"/>
      <c r="AV816" s="653"/>
    </row>
    <row r="817" spans="1:48" ht="14.5">
      <c r="A817" s="653"/>
      <c r="B817" s="653"/>
      <c r="C817" s="653"/>
      <c r="D817" s="653"/>
      <c r="E817" s="653"/>
      <c r="F817" s="653"/>
      <c r="G817" s="654"/>
      <c r="H817" s="654"/>
      <c r="I817" s="653"/>
      <c r="J817" s="653"/>
      <c r="K817" s="655"/>
      <c r="L817" s="653"/>
      <c r="M817" s="653"/>
      <c r="N817" s="653"/>
      <c r="O817" s="653"/>
      <c r="P817" s="653"/>
      <c r="Q817" s="653"/>
      <c r="R817" s="653"/>
      <c r="S817" s="653"/>
      <c r="T817" s="653"/>
      <c r="U817" s="656"/>
      <c r="V817" s="653"/>
      <c r="W817" s="653"/>
      <c r="X817" s="653"/>
      <c r="Y817" s="657"/>
      <c r="Z817" s="615"/>
      <c r="AA817" s="653"/>
      <c r="AB817" s="657"/>
      <c r="AC817" s="653"/>
      <c r="AD817" s="653"/>
      <c r="AE817" s="653"/>
      <c r="AF817" s="653"/>
      <c r="AG817" s="653"/>
      <c r="AH817" s="653"/>
      <c r="AI817" s="653"/>
      <c r="AJ817" s="653"/>
      <c r="AK817" s="653"/>
      <c r="AL817" s="653"/>
      <c r="AM817" s="653"/>
      <c r="AN817" s="653"/>
      <c r="AO817" s="653"/>
      <c r="AP817" s="653"/>
      <c r="AQ817" s="653"/>
      <c r="AR817" s="653"/>
      <c r="AS817" s="653"/>
      <c r="AT817" s="653"/>
      <c r="AU817" s="653"/>
      <c r="AV817" s="653"/>
    </row>
    <row r="818" spans="1:48" ht="14.5">
      <c r="A818" s="653"/>
      <c r="B818" s="653"/>
      <c r="C818" s="653"/>
      <c r="D818" s="653"/>
      <c r="E818" s="653"/>
      <c r="F818" s="653"/>
      <c r="G818" s="654"/>
      <c r="H818" s="654"/>
      <c r="I818" s="653"/>
      <c r="J818" s="653"/>
      <c r="K818" s="655"/>
      <c r="L818" s="653"/>
      <c r="M818" s="653"/>
      <c r="N818" s="653"/>
      <c r="O818" s="653"/>
      <c r="P818" s="653"/>
      <c r="Q818" s="653"/>
      <c r="R818" s="653"/>
      <c r="S818" s="653"/>
      <c r="T818" s="653"/>
      <c r="U818" s="656"/>
      <c r="V818" s="653"/>
      <c r="W818" s="653"/>
      <c r="X818" s="653"/>
      <c r="Y818" s="657"/>
      <c r="Z818" s="615"/>
      <c r="AA818" s="653"/>
      <c r="AB818" s="657"/>
      <c r="AC818" s="653"/>
      <c r="AD818" s="653"/>
      <c r="AE818" s="653"/>
      <c r="AF818" s="653"/>
      <c r="AG818" s="653"/>
      <c r="AH818" s="653"/>
      <c r="AI818" s="653"/>
      <c r="AJ818" s="653"/>
      <c r="AK818" s="653"/>
      <c r="AL818" s="653"/>
      <c r="AM818" s="653"/>
      <c r="AN818" s="653"/>
      <c r="AO818" s="653"/>
      <c r="AP818" s="653"/>
      <c r="AQ818" s="653"/>
      <c r="AR818" s="653"/>
      <c r="AS818" s="653"/>
      <c r="AT818" s="653"/>
      <c r="AU818" s="653"/>
      <c r="AV818" s="653"/>
    </row>
    <row r="819" spans="1:48" ht="14.5">
      <c r="A819" s="653"/>
      <c r="B819" s="653"/>
      <c r="C819" s="653"/>
      <c r="D819" s="653"/>
      <c r="E819" s="653"/>
      <c r="F819" s="653"/>
      <c r="G819" s="654"/>
      <c r="H819" s="654"/>
      <c r="I819" s="653"/>
      <c r="J819" s="653"/>
      <c r="K819" s="655"/>
      <c r="L819" s="653"/>
      <c r="M819" s="653"/>
      <c r="N819" s="653"/>
      <c r="O819" s="653"/>
      <c r="P819" s="653"/>
      <c r="Q819" s="653"/>
      <c r="R819" s="653"/>
      <c r="S819" s="653"/>
      <c r="T819" s="653"/>
      <c r="U819" s="656"/>
      <c r="V819" s="653"/>
      <c r="W819" s="653"/>
      <c r="X819" s="653"/>
      <c r="Y819" s="657"/>
      <c r="Z819" s="615"/>
      <c r="AA819" s="653"/>
      <c r="AB819" s="657"/>
      <c r="AC819" s="653"/>
      <c r="AD819" s="653"/>
      <c r="AE819" s="653"/>
      <c r="AF819" s="653"/>
      <c r="AG819" s="653"/>
      <c r="AH819" s="653"/>
      <c r="AI819" s="653"/>
      <c r="AJ819" s="653"/>
      <c r="AK819" s="653"/>
      <c r="AL819" s="653"/>
      <c r="AM819" s="653"/>
      <c r="AN819" s="653"/>
      <c r="AO819" s="653"/>
      <c r="AP819" s="653"/>
      <c r="AQ819" s="653"/>
      <c r="AR819" s="653"/>
      <c r="AS819" s="653"/>
      <c r="AT819" s="653"/>
      <c r="AU819" s="653"/>
      <c r="AV819" s="653"/>
    </row>
    <row r="820" spans="1:48" ht="14.5">
      <c r="A820" s="653"/>
      <c r="B820" s="653"/>
      <c r="C820" s="653"/>
      <c r="D820" s="653"/>
      <c r="E820" s="653"/>
      <c r="F820" s="653"/>
      <c r="G820" s="654"/>
      <c r="H820" s="654"/>
      <c r="I820" s="653"/>
      <c r="J820" s="653"/>
      <c r="K820" s="655"/>
      <c r="L820" s="653"/>
      <c r="M820" s="653"/>
      <c r="N820" s="653"/>
      <c r="O820" s="653"/>
      <c r="P820" s="653"/>
      <c r="Q820" s="653"/>
      <c r="R820" s="653"/>
      <c r="S820" s="653"/>
      <c r="T820" s="653"/>
      <c r="U820" s="656"/>
      <c r="V820" s="653"/>
      <c r="W820" s="653"/>
      <c r="X820" s="653"/>
      <c r="Y820" s="657"/>
      <c r="Z820" s="615"/>
      <c r="AA820" s="653"/>
      <c r="AB820" s="657"/>
      <c r="AC820" s="653"/>
      <c r="AD820" s="653"/>
      <c r="AE820" s="653"/>
      <c r="AF820" s="653"/>
      <c r="AG820" s="653"/>
      <c r="AH820" s="653"/>
      <c r="AI820" s="653"/>
      <c r="AJ820" s="653"/>
      <c r="AK820" s="653"/>
      <c r="AL820" s="653"/>
      <c r="AM820" s="653"/>
      <c r="AN820" s="653"/>
      <c r="AO820" s="653"/>
      <c r="AP820" s="653"/>
      <c r="AQ820" s="653"/>
      <c r="AR820" s="653"/>
      <c r="AS820" s="653"/>
      <c r="AT820" s="653"/>
      <c r="AU820" s="653"/>
      <c r="AV820" s="653"/>
    </row>
    <row r="821" spans="1:48" ht="14.5">
      <c r="A821" s="653"/>
      <c r="B821" s="653"/>
      <c r="C821" s="653"/>
      <c r="D821" s="653"/>
      <c r="E821" s="653"/>
      <c r="F821" s="653"/>
      <c r="G821" s="654"/>
      <c r="H821" s="654"/>
      <c r="I821" s="653"/>
      <c r="J821" s="653"/>
      <c r="K821" s="655"/>
      <c r="L821" s="653"/>
      <c r="M821" s="653"/>
      <c r="N821" s="653"/>
      <c r="O821" s="653"/>
      <c r="P821" s="653"/>
      <c r="Q821" s="653"/>
      <c r="R821" s="653"/>
      <c r="S821" s="653"/>
      <c r="T821" s="653"/>
      <c r="U821" s="656"/>
      <c r="V821" s="653"/>
      <c r="W821" s="653"/>
      <c r="X821" s="653"/>
      <c r="Y821" s="657"/>
      <c r="Z821" s="615"/>
      <c r="AA821" s="653"/>
      <c r="AB821" s="657"/>
      <c r="AC821" s="653"/>
      <c r="AD821" s="653"/>
      <c r="AE821" s="653"/>
      <c r="AF821" s="653"/>
      <c r="AG821" s="653"/>
      <c r="AH821" s="653"/>
      <c r="AI821" s="653"/>
      <c r="AJ821" s="653"/>
      <c r="AK821" s="653"/>
      <c r="AL821" s="653"/>
      <c r="AM821" s="653"/>
      <c r="AN821" s="653"/>
      <c r="AO821" s="653"/>
      <c r="AP821" s="653"/>
      <c r="AQ821" s="653"/>
      <c r="AR821" s="653"/>
      <c r="AS821" s="653"/>
      <c r="AT821" s="653"/>
      <c r="AU821" s="653"/>
      <c r="AV821" s="653"/>
    </row>
    <row r="822" spans="1:48" ht="14.5">
      <c r="A822" s="653"/>
      <c r="B822" s="653"/>
      <c r="C822" s="653"/>
      <c r="D822" s="653"/>
      <c r="E822" s="653"/>
      <c r="F822" s="653"/>
      <c r="G822" s="654"/>
      <c r="H822" s="654"/>
      <c r="I822" s="653"/>
      <c r="J822" s="653"/>
      <c r="K822" s="655"/>
      <c r="L822" s="653"/>
      <c r="M822" s="653"/>
      <c r="N822" s="653"/>
      <c r="O822" s="653"/>
      <c r="P822" s="653"/>
      <c r="Q822" s="653"/>
      <c r="R822" s="653"/>
      <c r="S822" s="653"/>
      <c r="T822" s="653"/>
      <c r="U822" s="656"/>
      <c r="V822" s="653"/>
      <c r="W822" s="653"/>
      <c r="X822" s="653"/>
      <c r="Y822" s="657"/>
      <c r="Z822" s="615"/>
      <c r="AA822" s="653"/>
      <c r="AB822" s="657"/>
      <c r="AC822" s="653"/>
      <c r="AD822" s="653"/>
      <c r="AE822" s="653"/>
      <c r="AF822" s="653"/>
      <c r="AG822" s="653"/>
      <c r="AH822" s="653"/>
      <c r="AI822" s="653"/>
      <c r="AJ822" s="653"/>
      <c r="AK822" s="653"/>
      <c r="AL822" s="653"/>
      <c r="AM822" s="653"/>
      <c r="AN822" s="653"/>
      <c r="AO822" s="653"/>
      <c r="AP822" s="653"/>
      <c r="AQ822" s="653"/>
      <c r="AR822" s="653"/>
      <c r="AS822" s="653"/>
      <c r="AT822" s="653"/>
      <c r="AU822" s="653"/>
      <c r="AV822" s="653"/>
    </row>
    <row r="823" spans="1:48" ht="14.5">
      <c r="A823" s="653"/>
      <c r="B823" s="653"/>
      <c r="C823" s="653"/>
      <c r="D823" s="653"/>
      <c r="E823" s="653"/>
      <c r="F823" s="653"/>
      <c r="G823" s="654"/>
      <c r="H823" s="654"/>
      <c r="I823" s="653"/>
      <c r="J823" s="653"/>
      <c r="K823" s="655"/>
      <c r="L823" s="653"/>
      <c r="M823" s="653"/>
      <c r="N823" s="653"/>
      <c r="O823" s="653"/>
      <c r="P823" s="653"/>
      <c r="Q823" s="653"/>
      <c r="R823" s="653"/>
      <c r="S823" s="653"/>
      <c r="T823" s="653"/>
      <c r="U823" s="656"/>
      <c r="V823" s="653"/>
      <c r="W823" s="653"/>
      <c r="X823" s="653"/>
      <c r="Y823" s="657"/>
      <c r="Z823" s="615"/>
      <c r="AA823" s="653"/>
      <c r="AB823" s="657"/>
      <c r="AC823" s="653"/>
      <c r="AD823" s="653"/>
      <c r="AE823" s="653"/>
      <c r="AF823" s="653"/>
      <c r="AG823" s="653"/>
      <c r="AH823" s="653"/>
      <c r="AI823" s="653"/>
      <c r="AJ823" s="653"/>
      <c r="AK823" s="653"/>
      <c r="AL823" s="653"/>
      <c r="AM823" s="653"/>
      <c r="AN823" s="653"/>
      <c r="AO823" s="653"/>
      <c r="AP823" s="653"/>
      <c r="AQ823" s="653"/>
      <c r="AR823" s="653"/>
      <c r="AS823" s="653"/>
      <c r="AT823" s="653"/>
      <c r="AU823" s="653"/>
      <c r="AV823" s="653"/>
    </row>
    <row r="824" spans="1:48" ht="14.5">
      <c r="A824" s="653"/>
      <c r="B824" s="653"/>
      <c r="C824" s="653"/>
      <c r="D824" s="653"/>
      <c r="E824" s="653"/>
      <c r="F824" s="653"/>
      <c r="G824" s="654"/>
      <c r="H824" s="654"/>
      <c r="I824" s="653"/>
      <c r="J824" s="653"/>
      <c r="K824" s="655"/>
      <c r="L824" s="653"/>
      <c r="M824" s="653"/>
      <c r="N824" s="653"/>
      <c r="O824" s="653"/>
      <c r="P824" s="653"/>
      <c r="Q824" s="653"/>
      <c r="R824" s="653"/>
      <c r="S824" s="653"/>
      <c r="T824" s="653"/>
      <c r="U824" s="656"/>
      <c r="V824" s="653"/>
      <c r="W824" s="653"/>
      <c r="X824" s="653"/>
      <c r="Y824" s="657"/>
      <c r="Z824" s="615"/>
      <c r="AA824" s="653"/>
      <c r="AB824" s="657"/>
      <c r="AC824" s="653"/>
      <c r="AD824" s="653"/>
      <c r="AE824" s="653"/>
      <c r="AF824" s="653"/>
      <c r="AG824" s="653"/>
      <c r="AH824" s="653"/>
      <c r="AI824" s="653"/>
      <c r="AJ824" s="653"/>
      <c r="AK824" s="653"/>
      <c r="AL824" s="653"/>
      <c r="AM824" s="653"/>
      <c r="AN824" s="653"/>
      <c r="AO824" s="653"/>
      <c r="AP824" s="653"/>
      <c r="AQ824" s="653"/>
      <c r="AR824" s="653"/>
      <c r="AS824" s="653"/>
      <c r="AT824" s="653"/>
      <c r="AU824" s="653"/>
      <c r="AV824" s="653"/>
    </row>
    <row r="825" spans="1:48" ht="14.5">
      <c r="A825" s="653"/>
      <c r="B825" s="653"/>
      <c r="C825" s="653"/>
      <c r="D825" s="653"/>
      <c r="E825" s="653"/>
      <c r="F825" s="653"/>
      <c r="G825" s="654"/>
      <c r="H825" s="654"/>
      <c r="I825" s="653"/>
      <c r="J825" s="653"/>
      <c r="K825" s="655"/>
      <c r="L825" s="653"/>
      <c r="M825" s="653"/>
      <c r="N825" s="653"/>
      <c r="O825" s="653"/>
      <c r="P825" s="653"/>
      <c r="Q825" s="653"/>
      <c r="R825" s="653"/>
      <c r="S825" s="653"/>
      <c r="T825" s="653"/>
      <c r="U825" s="656"/>
      <c r="V825" s="653"/>
      <c r="W825" s="653"/>
      <c r="X825" s="653"/>
      <c r="Y825" s="657"/>
      <c r="Z825" s="615"/>
      <c r="AA825" s="653"/>
      <c r="AB825" s="657"/>
      <c r="AC825" s="653"/>
      <c r="AD825" s="653"/>
      <c r="AE825" s="653"/>
      <c r="AF825" s="653"/>
      <c r="AG825" s="653"/>
      <c r="AH825" s="653"/>
      <c r="AI825" s="653"/>
      <c r="AJ825" s="653"/>
      <c r="AK825" s="653"/>
      <c r="AL825" s="653"/>
      <c r="AM825" s="653"/>
      <c r="AN825" s="653"/>
      <c r="AO825" s="653"/>
      <c r="AP825" s="653"/>
      <c r="AQ825" s="653"/>
      <c r="AR825" s="653"/>
      <c r="AS825" s="653"/>
      <c r="AT825" s="653"/>
      <c r="AU825" s="653"/>
      <c r="AV825" s="653"/>
    </row>
    <row r="826" spans="1:48" ht="14.5">
      <c r="A826" s="653"/>
      <c r="B826" s="653"/>
      <c r="C826" s="653"/>
      <c r="D826" s="653"/>
      <c r="E826" s="653"/>
      <c r="F826" s="653"/>
      <c r="G826" s="654"/>
      <c r="H826" s="654"/>
      <c r="I826" s="653"/>
      <c r="J826" s="653"/>
      <c r="K826" s="655"/>
      <c r="L826" s="653"/>
      <c r="M826" s="653"/>
      <c r="N826" s="653"/>
      <c r="O826" s="653"/>
      <c r="P826" s="653"/>
      <c r="Q826" s="653"/>
      <c r="R826" s="653"/>
      <c r="S826" s="653"/>
      <c r="T826" s="653"/>
      <c r="U826" s="656"/>
      <c r="V826" s="653"/>
      <c r="W826" s="653"/>
      <c r="X826" s="653"/>
      <c r="Y826" s="657"/>
      <c r="Z826" s="615"/>
      <c r="AA826" s="653"/>
      <c r="AB826" s="657"/>
      <c r="AC826" s="653"/>
      <c r="AD826" s="653"/>
      <c r="AE826" s="653"/>
      <c r="AF826" s="653"/>
      <c r="AG826" s="653"/>
      <c r="AH826" s="653"/>
      <c r="AI826" s="653"/>
      <c r="AJ826" s="653"/>
      <c r="AK826" s="653"/>
      <c r="AL826" s="653"/>
      <c r="AM826" s="653"/>
      <c r="AN826" s="653"/>
      <c r="AO826" s="653"/>
      <c r="AP826" s="653"/>
      <c r="AQ826" s="653"/>
      <c r="AR826" s="653"/>
      <c r="AS826" s="653"/>
      <c r="AT826" s="653"/>
      <c r="AU826" s="653"/>
      <c r="AV826" s="653"/>
    </row>
    <row r="827" spans="1:48" ht="14.5">
      <c r="A827" s="653"/>
      <c r="B827" s="653"/>
      <c r="C827" s="653"/>
      <c r="D827" s="653"/>
      <c r="E827" s="653"/>
      <c r="F827" s="653"/>
      <c r="G827" s="654"/>
      <c r="H827" s="654"/>
      <c r="I827" s="653"/>
      <c r="J827" s="653"/>
      <c r="K827" s="655"/>
      <c r="L827" s="653"/>
      <c r="M827" s="653"/>
      <c r="N827" s="653"/>
      <c r="O827" s="653"/>
      <c r="P827" s="653"/>
      <c r="Q827" s="653"/>
      <c r="R827" s="653"/>
      <c r="S827" s="653"/>
      <c r="T827" s="653"/>
      <c r="U827" s="656"/>
      <c r="V827" s="653"/>
      <c r="W827" s="653"/>
      <c r="X827" s="653"/>
      <c r="Y827" s="657"/>
      <c r="Z827" s="615"/>
      <c r="AA827" s="653"/>
      <c r="AB827" s="657"/>
      <c r="AC827" s="653"/>
      <c r="AD827" s="653"/>
      <c r="AE827" s="653"/>
      <c r="AF827" s="653"/>
      <c r="AG827" s="653"/>
      <c r="AH827" s="653"/>
      <c r="AI827" s="653"/>
      <c r="AJ827" s="653"/>
      <c r="AK827" s="653"/>
      <c r="AL827" s="653"/>
      <c r="AM827" s="653"/>
      <c r="AN827" s="653"/>
      <c r="AO827" s="653"/>
      <c r="AP827" s="653"/>
      <c r="AQ827" s="653"/>
      <c r="AR827" s="653"/>
      <c r="AS827" s="653"/>
      <c r="AT827" s="653"/>
      <c r="AU827" s="653"/>
      <c r="AV827" s="653"/>
    </row>
    <row r="828" spans="1:48" ht="14.5">
      <c r="A828" s="653"/>
      <c r="B828" s="653"/>
      <c r="C828" s="653"/>
      <c r="D828" s="653"/>
      <c r="E828" s="653"/>
      <c r="F828" s="653"/>
      <c r="G828" s="654"/>
      <c r="H828" s="654"/>
      <c r="I828" s="653"/>
      <c r="J828" s="653"/>
      <c r="K828" s="655"/>
      <c r="L828" s="653"/>
      <c r="M828" s="653"/>
      <c r="N828" s="653"/>
      <c r="O828" s="653"/>
      <c r="P828" s="653"/>
      <c r="Q828" s="653"/>
      <c r="R828" s="653"/>
      <c r="S828" s="653"/>
      <c r="T828" s="653"/>
      <c r="U828" s="656"/>
      <c r="V828" s="653"/>
      <c r="W828" s="653"/>
      <c r="X828" s="653"/>
      <c r="Y828" s="657"/>
      <c r="Z828" s="615"/>
      <c r="AA828" s="653"/>
      <c r="AB828" s="657"/>
      <c r="AC828" s="653"/>
      <c r="AD828" s="653"/>
      <c r="AE828" s="653"/>
      <c r="AF828" s="653"/>
      <c r="AG828" s="653"/>
      <c r="AH828" s="653"/>
      <c r="AI828" s="653"/>
      <c r="AJ828" s="653"/>
      <c r="AK828" s="653"/>
      <c r="AL828" s="653"/>
      <c r="AM828" s="653"/>
      <c r="AN828" s="653"/>
      <c r="AO828" s="653"/>
      <c r="AP828" s="653"/>
      <c r="AQ828" s="653"/>
      <c r="AR828" s="653"/>
      <c r="AS828" s="653"/>
      <c r="AT828" s="653"/>
      <c r="AU828" s="653"/>
      <c r="AV828" s="653"/>
    </row>
    <row r="829" spans="1:48" ht="14.5">
      <c r="A829" s="653"/>
      <c r="B829" s="653"/>
      <c r="C829" s="653"/>
      <c r="D829" s="653"/>
      <c r="E829" s="653"/>
      <c r="F829" s="653"/>
      <c r="G829" s="654"/>
      <c r="H829" s="654"/>
      <c r="I829" s="653"/>
      <c r="J829" s="653"/>
      <c r="K829" s="655"/>
      <c r="L829" s="653"/>
      <c r="M829" s="653"/>
      <c r="N829" s="653"/>
      <c r="O829" s="653"/>
      <c r="P829" s="653"/>
      <c r="Q829" s="653"/>
      <c r="R829" s="653"/>
      <c r="S829" s="653"/>
      <c r="T829" s="653"/>
      <c r="U829" s="656"/>
      <c r="V829" s="653"/>
      <c r="W829" s="653"/>
      <c r="X829" s="653"/>
      <c r="Y829" s="657"/>
      <c r="Z829" s="615"/>
      <c r="AA829" s="653"/>
      <c r="AB829" s="657"/>
      <c r="AC829" s="653"/>
      <c r="AD829" s="653"/>
      <c r="AE829" s="653"/>
      <c r="AF829" s="653"/>
      <c r="AG829" s="653"/>
      <c r="AH829" s="653"/>
      <c r="AI829" s="653"/>
      <c r="AJ829" s="653"/>
      <c r="AK829" s="653"/>
      <c r="AL829" s="653"/>
      <c r="AM829" s="653"/>
      <c r="AN829" s="653"/>
      <c r="AO829" s="653"/>
      <c r="AP829" s="653"/>
      <c r="AQ829" s="653"/>
      <c r="AR829" s="653"/>
      <c r="AS829" s="653"/>
      <c r="AT829" s="653"/>
      <c r="AU829" s="653"/>
      <c r="AV829" s="653"/>
    </row>
    <row r="830" spans="1:48" ht="14.5">
      <c r="A830" s="653"/>
      <c r="B830" s="653"/>
      <c r="C830" s="653"/>
      <c r="D830" s="653"/>
      <c r="E830" s="653"/>
      <c r="F830" s="653"/>
      <c r="G830" s="654"/>
      <c r="H830" s="654"/>
      <c r="I830" s="653"/>
      <c r="J830" s="653"/>
      <c r="K830" s="655"/>
      <c r="L830" s="653"/>
      <c r="M830" s="653"/>
      <c r="N830" s="653"/>
      <c r="O830" s="653"/>
      <c r="P830" s="653"/>
      <c r="Q830" s="653"/>
      <c r="R830" s="653"/>
      <c r="S830" s="653"/>
      <c r="T830" s="653"/>
      <c r="U830" s="656"/>
      <c r="V830" s="653"/>
      <c r="W830" s="653"/>
      <c r="X830" s="653"/>
      <c r="Y830" s="657"/>
      <c r="Z830" s="615"/>
      <c r="AA830" s="653"/>
      <c r="AB830" s="657"/>
      <c r="AC830" s="653"/>
      <c r="AD830" s="653"/>
      <c r="AE830" s="653"/>
      <c r="AF830" s="653"/>
      <c r="AG830" s="653"/>
      <c r="AH830" s="653"/>
      <c r="AI830" s="653"/>
      <c r="AJ830" s="653"/>
      <c r="AK830" s="653"/>
      <c r="AL830" s="653"/>
      <c r="AM830" s="653"/>
      <c r="AN830" s="653"/>
      <c r="AO830" s="653"/>
      <c r="AP830" s="653"/>
      <c r="AQ830" s="653"/>
      <c r="AR830" s="653"/>
      <c r="AS830" s="653"/>
      <c r="AT830" s="653"/>
      <c r="AU830" s="653"/>
      <c r="AV830" s="653"/>
    </row>
    <row r="831" spans="1:48" ht="14.5">
      <c r="A831" s="653"/>
      <c r="B831" s="653"/>
      <c r="C831" s="653"/>
      <c r="D831" s="653"/>
      <c r="E831" s="653"/>
      <c r="F831" s="653"/>
      <c r="G831" s="654"/>
      <c r="H831" s="654"/>
      <c r="I831" s="653"/>
      <c r="J831" s="653"/>
      <c r="K831" s="655"/>
      <c r="L831" s="653"/>
      <c r="M831" s="653"/>
      <c r="N831" s="653"/>
      <c r="O831" s="653"/>
      <c r="P831" s="653"/>
      <c r="Q831" s="653"/>
      <c r="R831" s="653"/>
      <c r="S831" s="653"/>
      <c r="T831" s="653"/>
      <c r="U831" s="656"/>
      <c r="V831" s="653"/>
      <c r="W831" s="653"/>
      <c r="X831" s="653"/>
      <c r="Y831" s="657"/>
      <c r="Z831" s="615"/>
      <c r="AA831" s="653"/>
      <c r="AB831" s="657"/>
      <c r="AC831" s="653"/>
      <c r="AD831" s="653"/>
      <c r="AE831" s="653"/>
      <c r="AF831" s="653"/>
      <c r="AG831" s="653"/>
      <c r="AH831" s="653"/>
      <c r="AI831" s="653"/>
      <c r="AJ831" s="653"/>
      <c r="AK831" s="653"/>
      <c r="AL831" s="653"/>
      <c r="AM831" s="653"/>
      <c r="AN831" s="653"/>
      <c r="AO831" s="653"/>
      <c r="AP831" s="653"/>
      <c r="AQ831" s="653"/>
      <c r="AR831" s="653"/>
      <c r="AS831" s="653"/>
      <c r="AT831" s="653"/>
      <c r="AU831" s="653"/>
      <c r="AV831" s="653"/>
    </row>
    <row r="832" spans="1:48" ht="14.5">
      <c r="A832" s="653"/>
      <c r="B832" s="653"/>
      <c r="C832" s="653"/>
      <c r="D832" s="653"/>
      <c r="E832" s="653"/>
      <c r="F832" s="653"/>
      <c r="G832" s="654"/>
      <c r="H832" s="654"/>
      <c r="I832" s="653"/>
      <c r="J832" s="653"/>
      <c r="K832" s="655"/>
      <c r="L832" s="653"/>
      <c r="M832" s="653"/>
      <c r="N832" s="653"/>
      <c r="O832" s="653"/>
      <c r="P832" s="653"/>
      <c r="Q832" s="653"/>
      <c r="R832" s="653"/>
      <c r="S832" s="653"/>
      <c r="T832" s="653"/>
      <c r="U832" s="656"/>
      <c r="V832" s="653"/>
      <c r="W832" s="653"/>
      <c r="X832" s="653"/>
      <c r="Y832" s="657"/>
      <c r="Z832" s="615"/>
      <c r="AA832" s="653"/>
      <c r="AB832" s="657"/>
      <c r="AC832" s="653"/>
      <c r="AD832" s="653"/>
      <c r="AE832" s="653"/>
      <c r="AF832" s="653"/>
      <c r="AG832" s="653"/>
      <c r="AH832" s="653"/>
      <c r="AI832" s="653"/>
      <c r="AJ832" s="653"/>
      <c r="AK832" s="653"/>
      <c r="AL832" s="653"/>
      <c r="AM832" s="653"/>
      <c r="AN832" s="653"/>
      <c r="AO832" s="653"/>
      <c r="AP832" s="653"/>
      <c r="AQ832" s="653"/>
      <c r="AR832" s="653"/>
      <c r="AS832" s="653"/>
      <c r="AT832" s="653"/>
      <c r="AU832" s="653"/>
      <c r="AV832" s="653"/>
    </row>
    <row r="833" spans="1:48" ht="14.5">
      <c r="A833" s="653"/>
      <c r="B833" s="653"/>
      <c r="C833" s="653"/>
      <c r="D833" s="653"/>
      <c r="E833" s="653"/>
      <c r="F833" s="653"/>
      <c r="G833" s="654"/>
      <c r="H833" s="654"/>
      <c r="I833" s="653"/>
      <c r="J833" s="653"/>
      <c r="K833" s="655"/>
      <c r="L833" s="653"/>
      <c r="M833" s="653"/>
      <c r="N833" s="653"/>
      <c r="O833" s="653"/>
      <c r="P833" s="653"/>
      <c r="Q833" s="653"/>
      <c r="R833" s="653"/>
      <c r="S833" s="653"/>
      <c r="T833" s="653"/>
      <c r="U833" s="656"/>
      <c r="V833" s="653"/>
      <c r="W833" s="653"/>
      <c r="X833" s="653"/>
      <c r="Y833" s="657"/>
      <c r="Z833" s="615"/>
      <c r="AA833" s="653"/>
      <c r="AB833" s="657"/>
      <c r="AC833" s="653"/>
      <c r="AD833" s="653"/>
      <c r="AE833" s="653"/>
      <c r="AF833" s="653"/>
      <c r="AG833" s="653"/>
      <c r="AH833" s="653"/>
      <c r="AI833" s="653"/>
      <c r="AJ833" s="653"/>
      <c r="AK833" s="653"/>
      <c r="AL833" s="653"/>
      <c r="AM833" s="653"/>
      <c r="AN833" s="653"/>
      <c r="AO833" s="653"/>
      <c r="AP833" s="653"/>
      <c r="AQ833" s="653"/>
      <c r="AR833" s="653"/>
      <c r="AS833" s="653"/>
      <c r="AT833" s="653"/>
      <c r="AU833" s="653"/>
      <c r="AV833" s="653"/>
    </row>
    <row r="834" spans="1:48" ht="14.5">
      <c r="A834" s="653"/>
      <c r="B834" s="653"/>
      <c r="C834" s="653"/>
      <c r="D834" s="653"/>
      <c r="E834" s="653"/>
      <c r="F834" s="653"/>
      <c r="G834" s="654"/>
      <c r="H834" s="654"/>
      <c r="I834" s="653"/>
      <c r="J834" s="653"/>
      <c r="K834" s="655"/>
      <c r="L834" s="653"/>
      <c r="M834" s="653"/>
      <c r="N834" s="653"/>
      <c r="O834" s="653"/>
      <c r="P834" s="653"/>
      <c r="Q834" s="653"/>
      <c r="R834" s="653"/>
      <c r="S834" s="653"/>
      <c r="T834" s="653"/>
      <c r="U834" s="656"/>
      <c r="V834" s="653"/>
      <c r="W834" s="653"/>
      <c r="X834" s="653"/>
      <c r="Y834" s="657"/>
      <c r="Z834" s="615"/>
      <c r="AA834" s="653"/>
      <c r="AB834" s="657"/>
      <c r="AC834" s="653"/>
      <c r="AD834" s="653"/>
      <c r="AE834" s="653"/>
      <c r="AF834" s="653"/>
      <c r="AG834" s="653"/>
      <c r="AH834" s="653"/>
      <c r="AI834" s="653"/>
      <c r="AJ834" s="653"/>
      <c r="AK834" s="653"/>
      <c r="AL834" s="653"/>
      <c r="AM834" s="653"/>
      <c r="AN834" s="653"/>
      <c r="AO834" s="653"/>
      <c r="AP834" s="653"/>
      <c r="AQ834" s="653"/>
      <c r="AR834" s="653"/>
      <c r="AS834" s="653"/>
      <c r="AT834" s="653"/>
      <c r="AU834" s="653"/>
      <c r="AV834" s="653"/>
    </row>
    <row r="835" spans="1:48" ht="14.5">
      <c r="A835" s="653"/>
      <c r="B835" s="653"/>
      <c r="C835" s="653"/>
      <c r="D835" s="653"/>
      <c r="E835" s="653"/>
      <c r="F835" s="653"/>
      <c r="G835" s="654"/>
      <c r="H835" s="654"/>
      <c r="I835" s="653"/>
      <c r="J835" s="653"/>
      <c r="K835" s="655"/>
      <c r="L835" s="653"/>
      <c r="M835" s="653"/>
      <c r="N835" s="653"/>
      <c r="O835" s="653"/>
      <c r="P835" s="653"/>
      <c r="Q835" s="653"/>
      <c r="R835" s="653"/>
      <c r="S835" s="653"/>
      <c r="T835" s="653"/>
      <c r="U835" s="656"/>
      <c r="V835" s="653"/>
      <c r="W835" s="653"/>
      <c r="X835" s="653"/>
      <c r="Y835" s="657"/>
      <c r="Z835" s="615"/>
      <c r="AA835" s="653"/>
      <c r="AB835" s="657"/>
      <c r="AC835" s="653"/>
      <c r="AD835" s="653"/>
      <c r="AE835" s="653"/>
      <c r="AF835" s="653"/>
      <c r="AG835" s="653"/>
      <c r="AH835" s="653"/>
      <c r="AI835" s="653"/>
      <c r="AJ835" s="653"/>
      <c r="AK835" s="653"/>
      <c r="AL835" s="653"/>
      <c r="AM835" s="653"/>
      <c r="AN835" s="653"/>
      <c r="AO835" s="653"/>
      <c r="AP835" s="653"/>
      <c r="AQ835" s="653"/>
      <c r="AR835" s="653"/>
      <c r="AS835" s="653"/>
      <c r="AT835" s="653"/>
      <c r="AU835" s="653"/>
      <c r="AV835" s="653"/>
    </row>
    <row r="836" spans="1:48" ht="14.5">
      <c r="A836" s="653"/>
      <c r="B836" s="653"/>
      <c r="C836" s="653"/>
      <c r="D836" s="653"/>
      <c r="E836" s="653"/>
      <c r="F836" s="653"/>
      <c r="G836" s="654"/>
      <c r="H836" s="654"/>
      <c r="I836" s="653"/>
      <c r="J836" s="653"/>
      <c r="K836" s="655"/>
      <c r="L836" s="653"/>
      <c r="M836" s="653"/>
      <c r="N836" s="653"/>
      <c r="O836" s="653"/>
      <c r="P836" s="653"/>
      <c r="Q836" s="653"/>
      <c r="R836" s="653"/>
      <c r="S836" s="653"/>
      <c r="T836" s="653"/>
      <c r="U836" s="656"/>
      <c r="V836" s="653"/>
      <c r="W836" s="653"/>
      <c r="X836" s="653"/>
      <c r="Y836" s="657"/>
      <c r="Z836" s="615"/>
      <c r="AA836" s="653"/>
      <c r="AB836" s="657"/>
      <c r="AC836" s="653"/>
      <c r="AD836" s="653"/>
      <c r="AE836" s="653"/>
      <c r="AF836" s="653"/>
      <c r="AG836" s="653"/>
      <c r="AH836" s="653"/>
      <c r="AI836" s="653"/>
      <c r="AJ836" s="653"/>
      <c r="AK836" s="653"/>
      <c r="AL836" s="653"/>
      <c r="AM836" s="653"/>
      <c r="AN836" s="653"/>
      <c r="AO836" s="653"/>
      <c r="AP836" s="653"/>
      <c r="AQ836" s="653"/>
      <c r="AR836" s="653"/>
      <c r="AS836" s="653"/>
      <c r="AT836" s="653"/>
      <c r="AU836" s="653"/>
      <c r="AV836" s="653"/>
    </row>
    <row r="837" spans="1:48" ht="14.5">
      <c r="A837" s="653"/>
      <c r="B837" s="653"/>
      <c r="C837" s="653"/>
      <c r="D837" s="653"/>
      <c r="E837" s="653"/>
      <c r="F837" s="653"/>
      <c r="G837" s="654"/>
      <c r="H837" s="654"/>
      <c r="I837" s="653"/>
      <c r="J837" s="653"/>
      <c r="K837" s="655"/>
      <c r="L837" s="653"/>
      <c r="M837" s="653"/>
      <c r="N837" s="653"/>
      <c r="O837" s="653"/>
      <c r="P837" s="653"/>
      <c r="Q837" s="653"/>
      <c r="R837" s="653"/>
      <c r="S837" s="653"/>
      <c r="T837" s="653"/>
      <c r="U837" s="656"/>
      <c r="V837" s="653"/>
      <c r="W837" s="653"/>
      <c r="X837" s="653"/>
      <c r="Y837" s="657"/>
      <c r="Z837" s="615"/>
      <c r="AA837" s="653"/>
      <c r="AB837" s="657"/>
      <c r="AC837" s="653"/>
      <c r="AD837" s="653"/>
      <c r="AE837" s="653"/>
      <c r="AF837" s="653"/>
      <c r="AG837" s="653"/>
      <c r="AH837" s="653"/>
      <c r="AI837" s="653"/>
      <c r="AJ837" s="653"/>
      <c r="AK837" s="653"/>
      <c r="AL837" s="653"/>
      <c r="AM837" s="653"/>
      <c r="AN837" s="653"/>
      <c r="AO837" s="653"/>
      <c r="AP837" s="653"/>
      <c r="AQ837" s="653"/>
      <c r="AR837" s="653"/>
      <c r="AS837" s="653"/>
      <c r="AT837" s="653"/>
      <c r="AU837" s="653"/>
      <c r="AV837" s="653"/>
    </row>
    <row r="838" spans="1:48" ht="14.5">
      <c r="A838" s="653"/>
      <c r="B838" s="653"/>
      <c r="C838" s="653"/>
      <c r="D838" s="653"/>
      <c r="E838" s="653"/>
      <c r="F838" s="653"/>
      <c r="G838" s="654"/>
      <c r="H838" s="654"/>
      <c r="I838" s="653"/>
      <c r="J838" s="653"/>
      <c r="K838" s="655"/>
      <c r="L838" s="653"/>
      <c r="M838" s="653"/>
      <c r="N838" s="653"/>
      <c r="O838" s="653"/>
      <c r="P838" s="653"/>
      <c r="Q838" s="653"/>
      <c r="R838" s="653"/>
      <c r="S838" s="653"/>
      <c r="T838" s="653"/>
      <c r="U838" s="656"/>
      <c r="V838" s="653"/>
      <c r="W838" s="653"/>
      <c r="X838" s="653"/>
      <c r="Y838" s="657"/>
      <c r="Z838" s="615"/>
      <c r="AA838" s="653"/>
      <c r="AB838" s="657"/>
      <c r="AC838" s="653"/>
      <c r="AD838" s="653"/>
      <c r="AE838" s="653"/>
      <c r="AF838" s="653"/>
      <c r="AG838" s="653"/>
      <c r="AH838" s="653"/>
      <c r="AI838" s="653"/>
      <c r="AJ838" s="653"/>
      <c r="AK838" s="653"/>
      <c r="AL838" s="653"/>
      <c r="AM838" s="653"/>
      <c r="AN838" s="653"/>
      <c r="AO838" s="653"/>
      <c r="AP838" s="653"/>
      <c r="AQ838" s="653"/>
      <c r="AR838" s="653"/>
      <c r="AS838" s="653"/>
      <c r="AT838" s="653"/>
      <c r="AU838" s="653"/>
      <c r="AV838" s="653"/>
    </row>
    <row r="839" spans="1:48" ht="14.5">
      <c r="A839" s="653"/>
      <c r="B839" s="653"/>
      <c r="C839" s="653"/>
      <c r="D839" s="653"/>
      <c r="E839" s="653"/>
      <c r="F839" s="653"/>
      <c r="G839" s="654"/>
      <c r="H839" s="654"/>
      <c r="I839" s="653"/>
      <c r="J839" s="653"/>
      <c r="K839" s="655"/>
      <c r="L839" s="653"/>
      <c r="M839" s="653"/>
      <c r="N839" s="653"/>
      <c r="O839" s="653"/>
      <c r="P839" s="653"/>
      <c r="Q839" s="653"/>
      <c r="R839" s="653"/>
      <c r="S839" s="653"/>
      <c r="T839" s="653"/>
      <c r="U839" s="656"/>
      <c r="V839" s="653"/>
      <c r="W839" s="653"/>
      <c r="X839" s="653"/>
      <c r="Y839" s="657"/>
      <c r="Z839" s="615"/>
      <c r="AA839" s="653"/>
      <c r="AB839" s="657"/>
      <c r="AC839" s="653"/>
      <c r="AD839" s="653"/>
      <c r="AE839" s="653"/>
      <c r="AF839" s="653"/>
      <c r="AG839" s="653"/>
      <c r="AH839" s="653"/>
      <c r="AI839" s="653"/>
      <c r="AJ839" s="653"/>
      <c r="AK839" s="653"/>
      <c r="AL839" s="653"/>
      <c r="AM839" s="653"/>
      <c r="AN839" s="653"/>
      <c r="AO839" s="653"/>
      <c r="AP839" s="653"/>
      <c r="AQ839" s="653"/>
      <c r="AR839" s="653"/>
      <c r="AS839" s="653"/>
      <c r="AT839" s="653"/>
      <c r="AU839" s="653"/>
      <c r="AV839" s="653"/>
    </row>
    <row r="840" spans="1:48" ht="14.5">
      <c r="A840" s="653"/>
      <c r="B840" s="653"/>
      <c r="C840" s="653"/>
      <c r="D840" s="653"/>
      <c r="E840" s="653"/>
      <c r="F840" s="653"/>
      <c r="G840" s="654"/>
      <c r="H840" s="654"/>
      <c r="I840" s="653"/>
      <c r="J840" s="653"/>
      <c r="K840" s="655"/>
      <c r="L840" s="653"/>
      <c r="M840" s="653"/>
      <c r="N840" s="653"/>
      <c r="O840" s="653"/>
      <c r="P840" s="653"/>
      <c r="Q840" s="653"/>
      <c r="R840" s="653"/>
      <c r="S840" s="653"/>
      <c r="T840" s="653"/>
      <c r="U840" s="656"/>
      <c r="V840" s="653"/>
      <c r="W840" s="653"/>
      <c r="X840" s="653"/>
      <c r="Y840" s="657"/>
      <c r="Z840" s="615"/>
      <c r="AA840" s="653"/>
      <c r="AB840" s="657"/>
      <c r="AC840" s="653"/>
      <c r="AD840" s="653"/>
      <c r="AE840" s="653"/>
      <c r="AF840" s="653"/>
      <c r="AG840" s="653"/>
      <c r="AH840" s="653"/>
      <c r="AI840" s="653"/>
      <c r="AJ840" s="653"/>
      <c r="AK840" s="653"/>
      <c r="AL840" s="653"/>
      <c r="AM840" s="653"/>
      <c r="AN840" s="653"/>
      <c r="AO840" s="653"/>
      <c r="AP840" s="653"/>
      <c r="AQ840" s="653"/>
      <c r="AR840" s="653"/>
      <c r="AS840" s="653"/>
      <c r="AT840" s="653"/>
      <c r="AU840" s="653"/>
      <c r="AV840" s="653"/>
    </row>
    <row r="841" spans="1:48" ht="14.5">
      <c r="A841" s="653"/>
      <c r="B841" s="653"/>
      <c r="C841" s="653"/>
      <c r="D841" s="653"/>
      <c r="E841" s="653"/>
      <c r="F841" s="653"/>
      <c r="G841" s="654"/>
      <c r="H841" s="654"/>
      <c r="I841" s="653"/>
      <c r="J841" s="653"/>
      <c r="K841" s="655"/>
      <c r="L841" s="653"/>
      <c r="M841" s="653"/>
      <c r="N841" s="653"/>
      <c r="O841" s="653"/>
      <c r="P841" s="653"/>
      <c r="Q841" s="653"/>
      <c r="R841" s="653"/>
      <c r="S841" s="653"/>
      <c r="T841" s="653"/>
      <c r="U841" s="656"/>
      <c r="V841" s="653"/>
      <c r="W841" s="653"/>
      <c r="X841" s="653"/>
      <c r="Y841" s="657"/>
      <c r="Z841" s="615"/>
      <c r="AA841" s="653"/>
      <c r="AB841" s="657"/>
      <c r="AC841" s="653"/>
      <c r="AD841" s="653"/>
      <c r="AE841" s="653"/>
      <c r="AF841" s="653"/>
      <c r="AG841" s="653"/>
      <c r="AH841" s="653"/>
      <c r="AI841" s="653"/>
      <c r="AJ841" s="653"/>
      <c r="AK841" s="653"/>
      <c r="AL841" s="653"/>
      <c r="AM841" s="653"/>
      <c r="AN841" s="653"/>
      <c r="AO841" s="653"/>
      <c r="AP841" s="653"/>
      <c r="AQ841" s="653"/>
      <c r="AR841" s="653"/>
      <c r="AS841" s="653"/>
      <c r="AT841" s="653"/>
      <c r="AU841" s="653"/>
      <c r="AV841" s="653"/>
    </row>
    <row r="842" spans="1:48" ht="14.5">
      <c r="A842" s="653"/>
      <c r="B842" s="653"/>
      <c r="C842" s="653"/>
      <c r="D842" s="653"/>
      <c r="E842" s="653"/>
      <c r="F842" s="653"/>
      <c r="G842" s="654"/>
      <c r="H842" s="654"/>
      <c r="I842" s="653"/>
      <c r="J842" s="653"/>
      <c r="K842" s="655"/>
      <c r="L842" s="653"/>
      <c r="M842" s="653"/>
      <c r="N842" s="653"/>
      <c r="O842" s="653"/>
      <c r="P842" s="653"/>
      <c r="Q842" s="653"/>
      <c r="R842" s="653"/>
      <c r="S842" s="653"/>
      <c r="T842" s="653"/>
      <c r="U842" s="656"/>
      <c r="V842" s="653"/>
      <c r="W842" s="653"/>
      <c r="X842" s="653"/>
      <c r="Y842" s="657"/>
      <c r="Z842" s="615"/>
      <c r="AA842" s="653"/>
      <c r="AB842" s="657"/>
      <c r="AC842" s="653"/>
      <c r="AD842" s="653"/>
      <c r="AE842" s="653"/>
      <c r="AF842" s="653"/>
      <c r="AG842" s="653"/>
      <c r="AH842" s="653"/>
      <c r="AI842" s="653"/>
      <c r="AJ842" s="653"/>
      <c r="AK842" s="653"/>
      <c r="AL842" s="653"/>
      <c r="AM842" s="653"/>
      <c r="AN842" s="653"/>
      <c r="AO842" s="653"/>
      <c r="AP842" s="653"/>
      <c r="AQ842" s="653"/>
      <c r="AR842" s="653"/>
      <c r="AS842" s="653"/>
      <c r="AT842" s="653"/>
      <c r="AU842" s="653"/>
      <c r="AV842" s="653"/>
    </row>
    <row r="843" spans="1:48" ht="14.5">
      <c r="A843" s="653"/>
      <c r="B843" s="653"/>
      <c r="C843" s="653"/>
      <c r="D843" s="653"/>
      <c r="E843" s="653"/>
      <c r="F843" s="653"/>
      <c r="G843" s="654"/>
      <c r="H843" s="654"/>
      <c r="I843" s="653"/>
      <c r="J843" s="653"/>
      <c r="K843" s="655"/>
      <c r="L843" s="653"/>
      <c r="M843" s="653"/>
      <c r="N843" s="653"/>
      <c r="O843" s="653"/>
      <c r="P843" s="653"/>
      <c r="Q843" s="653"/>
      <c r="R843" s="653"/>
      <c r="S843" s="653"/>
      <c r="T843" s="653"/>
      <c r="U843" s="656"/>
      <c r="V843" s="653"/>
      <c r="W843" s="653"/>
      <c r="X843" s="653"/>
      <c r="Y843" s="657"/>
      <c r="Z843" s="615"/>
      <c r="AA843" s="653"/>
      <c r="AB843" s="657"/>
      <c r="AC843" s="653"/>
      <c r="AD843" s="653"/>
      <c r="AE843" s="653"/>
      <c r="AF843" s="653"/>
      <c r="AG843" s="653"/>
      <c r="AH843" s="653"/>
      <c r="AI843" s="653"/>
      <c r="AJ843" s="653"/>
      <c r="AK843" s="653"/>
      <c r="AL843" s="653"/>
      <c r="AM843" s="653"/>
      <c r="AN843" s="653"/>
      <c r="AO843" s="653"/>
      <c r="AP843" s="653"/>
      <c r="AQ843" s="653"/>
      <c r="AR843" s="653"/>
      <c r="AS843" s="653"/>
      <c r="AT843" s="653"/>
      <c r="AU843" s="653"/>
      <c r="AV843" s="653"/>
    </row>
    <row r="844" spans="1:48" ht="14.5">
      <c r="A844" s="653"/>
      <c r="B844" s="653"/>
      <c r="C844" s="653"/>
      <c r="D844" s="653"/>
      <c r="E844" s="653"/>
      <c r="F844" s="653"/>
      <c r="G844" s="654"/>
      <c r="H844" s="654"/>
      <c r="I844" s="653"/>
      <c r="J844" s="653"/>
      <c r="K844" s="655"/>
      <c r="L844" s="653"/>
      <c r="M844" s="653"/>
      <c r="N844" s="653"/>
      <c r="O844" s="653"/>
      <c r="P844" s="653"/>
      <c r="Q844" s="653"/>
      <c r="R844" s="653"/>
      <c r="S844" s="653"/>
      <c r="T844" s="653"/>
      <c r="U844" s="656"/>
      <c r="V844" s="653"/>
      <c r="W844" s="653"/>
      <c r="X844" s="653"/>
      <c r="Y844" s="657"/>
      <c r="Z844" s="615"/>
      <c r="AA844" s="653"/>
      <c r="AB844" s="657"/>
      <c r="AC844" s="653"/>
      <c r="AD844" s="653"/>
      <c r="AE844" s="653"/>
      <c r="AF844" s="653"/>
      <c r="AG844" s="653"/>
      <c r="AH844" s="653"/>
      <c r="AI844" s="653"/>
      <c r="AJ844" s="653"/>
      <c r="AK844" s="653"/>
      <c r="AL844" s="653"/>
      <c r="AM844" s="653"/>
      <c r="AN844" s="653"/>
      <c r="AO844" s="653"/>
      <c r="AP844" s="653"/>
      <c r="AQ844" s="653"/>
      <c r="AR844" s="653"/>
      <c r="AS844" s="653"/>
      <c r="AT844" s="653"/>
      <c r="AU844" s="653"/>
      <c r="AV844" s="653"/>
    </row>
    <row r="845" spans="1:48" ht="14.5">
      <c r="A845" s="653"/>
      <c r="B845" s="653"/>
      <c r="C845" s="653"/>
      <c r="D845" s="653"/>
      <c r="E845" s="653"/>
      <c r="F845" s="653"/>
      <c r="G845" s="654"/>
      <c r="H845" s="654"/>
      <c r="I845" s="653"/>
      <c r="J845" s="653"/>
      <c r="K845" s="655"/>
      <c r="L845" s="653"/>
      <c r="M845" s="653"/>
      <c r="N845" s="653"/>
      <c r="O845" s="653"/>
      <c r="P845" s="653"/>
      <c r="Q845" s="653"/>
      <c r="R845" s="653"/>
      <c r="S845" s="653"/>
      <c r="T845" s="653"/>
      <c r="U845" s="656"/>
      <c r="V845" s="653"/>
      <c r="W845" s="653"/>
      <c r="X845" s="653"/>
      <c r="Y845" s="657"/>
      <c r="Z845" s="615"/>
      <c r="AA845" s="653"/>
      <c r="AB845" s="657"/>
      <c r="AC845" s="653"/>
      <c r="AD845" s="653"/>
      <c r="AE845" s="653"/>
      <c r="AF845" s="653"/>
      <c r="AG845" s="653"/>
      <c r="AH845" s="653"/>
      <c r="AI845" s="653"/>
      <c r="AJ845" s="653"/>
      <c r="AK845" s="653"/>
      <c r="AL845" s="653"/>
      <c r="AM845" s="653"/>
      <c r="AN845" s="653"/>
      <c r="AO845" s="653"/>
      <c r="AP845" s="653"/>
      <c r="AQ845" s="653"/>
      <c r="AR845" s="653"/>
      <c r="AS845" s="653"/>
      <c r="AT845" s="653"/>
      <c r="AU845" s="653"/>
      <c r="AV845" s="653"/>
    </row>
    <row r="846" spans="1:48" ht="14.5">
      <c r="A846" s="653"/>
      <c r="B846" s="653"/>
      <c r="C846" s="653"/>
      <c r="D846" s="653"/>
      <c r="E846" s="653"/>
      <c r="F846" s="653"/>
      <c r="G846" s="654"/>
      <c r="H846" s="654"/>
      <c r="I846" s="653"/>
      <c r="J846" s="653"/>
      <c r="K846" s="655"/>
      <c r="L846" s="653"/>
      <c r="M846" s="653"/>
      <c r="N846" s="653"/>
      <c r="O846" s="653"/>
      <c r="P846" s="653"/>
      <c r="Q846" s="653"/>
      <c r="R846" s="653"/>
      <c r="S846" s="653"/>
      <c r="T846" s="653"/>
      <c r="U846" s="656"/>
      <c r="V846" s="653"/>
      <c r="W846" s="653"/>
      <c r="X846" s="653"/>
      <c r="Y846" s="657"/>
      <c r="Z846" s="615"/>
      <c r="AA846" s="653"/>
      <c r="AB846" s="657"/>
      <c r="AC846" s="653"/>
      <c r="AD846" s="653"/>
      <c r="AE846" s="653"/>
      <c r="AF846" s="653"/>
      <c r="AG846" s="653"/>
      <c r="AH846" s="653"/>
      <c r="AI846" s="653"/>
      <c r="AJ846" s="653"/>
      <c r="AK846" s="653"/>
      <c r="AL846" s="653"/>
      <c r="AM846" s="653"/>
      <c r="AN846" s="653"/>
      <c r="AO846" s="653"/>
      <c r="AP846" s="653"/>
      <c r="AQ846" s="653"/>
      <c r="AR846" s="653"/>
      <c r="AS846" s="653"/>
      <c r="AT846" s="653"/>
      <c r="AU846" s="653"/>
      <c r="AV846" s="653"/>
    </row>
    <row r="847" spans="1:48" ht="14.5">
      <c r="A847" s="653"/>
      <c r="B847" s="653"/>
      <c r="C847" s="653"/>
      <c r="D847" s="653"/>
      <c r="E847" s="653"/>
      <c r="F847" s="653"/>
      <c r="G847" s="654"/>
      <c r="H847" s="654"/>
      <c r="I847" s="653"/>
      <c r="J847" s="653"/>
      <c r="K847" s="655"/>
      <c r="L847" s="653"/>
      <c r="M847" s="653"/>
      <c r="N847" s="653"/>
      <c r="O847" s="653"/>
      <c r="P847" s="653"/>
      <c r="Q847" s="653"/>
      <c r="R847" s="653"/>
      <c r="S847" s="653"/>
      <c r="T847" s="653"/>
      <c r="U847" s="656"/>
      <c r="V847" s="653"/>
      <c r="W847" s="653"/>
      <c r="X847" s="653"/>
      <c r="Y847" s="657"/>
      <c r="Z847" s="615"/>
      <c r="AA847" s="653"/>
      <c r="AB847" s="657"/>
      <c r="AC847" s="653"/>
      <c r="AD847" s="653"/>
      <c r="AE847" s="653"/>
      <c r="AF847" s="653"/>
      <c r="AG847" s="653"/>
      <c r="AH847" s="653"/>
      <c r="AI847" s="653"/>
      <c r="AJ847" s="653"/>
      <c r="AK847" s="653"/>
      <c r="AL847" s="653"/>
      <c r="AM847" s="653"/>
      <c r="AN847" s="653"/>
      <c r="AO847" s="653"/>
      <c r="AP847" s="653"/>
      <c r="AQ847" s="653"/>
      <c r="AR847" s="653"/>
      <c r="AS847" s="653"/>
      <c r="AT847" s="653"/>
      <c r="AU847" s="653"/>
      <c r="AV847" s="653"/>
    </row>
    <row r="848" spans="1:48" ht="14.5">
      <c r="A848" s="653"/>
      <c r="B848" s="653"/>
      <c r="C848" s="653"/>
      <c r="D848" s="653"/>
      <c r="E848" s="653"/>
      <c r="F848" s="653"/>
      <c r="G848" s="654"/>
      <c r="H848" s="654"/>
      <c r="I848" s="653"/>
      <c r="J848" s="653"/>
      <c r="K848" s="655"/>
      <c r="L848" s="653"/>
      <c r="M848" s="653"/>
      <c r="N848" s="653"/>
      <c r="O848" s="653"/>
      <c r="P848" s="653"/>
      <c r="Q848" s="653"/>
      <c r="R848" s="653"/>
      <c r="S848" s="653"/>
      <c r="T848" s="653"/>
      <c r="U848" s="656"/>
      <c r="V848" s="653"/>
      <c r="W848" s="653"/>
      <c r="X848" s="653"/>
      <c r="Y848" s="657"/>
      <c r="Z848" s="615"/>
      <c r="AA848" s="653"/>
      <c r="AB848" s="657"/>
      <c r="AC848" s="653"/>
      <c r="AD848" s="653"/>
      <c r="AE848" s="653"/>
      <c r="AF848" s="653"/>
      <c r="AG848" s="653"/>
      <c r="AH848" s="653"/>
      <c r="AI848" s="653"/>
      <c r="AJ848" s="653"/>
      <c r="AK848" s="653"/>
      <c r="AL848" s="653"/>
      <c r="AM848" s="653"/>
      <c r="AN848" s="653"/>
      <c r="AO848" s="653"/>
      <c r="AP848" s="653"/>
      <c r="AQ848" s="653"/>
      <c r="AR848" s="653"/>
      <c r="AS848" s="653"/>
      <c r="AT848" s="653"/>
      <c r="AU848" s="653"/>
      <c r="AV848" s="653"/>
    </row>
    <row r="849" spans="1:48" ht="14.5">
      <c r="A849" s="653"/>
      <c r="B849" s="653"/>
      <c r="C849" s="653"/>
      <c r="D849" s="653"/>
      <c r="E849" s="653"/>
      <c r="F849" s="653"/>
      <c r="G849" s="654"/>
      <c r="H849" s="654"/>
      <c r="I849" s="653"/>
      <c r="J849" s="653"/>
      <c r="K849" s="655"/>
      <c r="L849" s="653"/>
      <c r="M849" s="653"/>
      <c r="N849" s="653"/>
      <c r="O849" s="653"/>
      <c r="P849" s="653"/>
      <c r="Q849" s="653"/>
      <c r="R849" s="653"/>
      <c r="S849" s="653"/>
      <c r="T849" s="653"/>
      <c r="U849" s="656"/>
      <c r="V849" s="653"/>
      <c r="W849" s="653"/>
      <c r="X849" s="653"/>
      <c r="Y849" s="657"/>
      <c r="Z849" s="615"/>
      <c r="AA849" s="653"/>
      <c r="AB849" s="657"/>
      <c r="AC849" s="653"/>
      <c r="AD849" s="653"/>
      <c r="AE849" s="653"/>
      <c r="AF849" s="653"/>
      <c r="AG849" s="653"/>
      <c r="AH849" s="653"/>
      <c r="AI849" s="653"/>
      <c r="AJ849" s="653"/>
      <c r="AK849" s="653"/>
      <c r="AL849" s="653"/>
      <c r="AM849" s="653"/>
      <c r="AN849" s="653"/>
      <c r="AO849" s="653"/>
      <c r="AP849" s="653"/>
      <c r="AQ849" s="653"/>
      <c r="AR849" s="653"/>
      <c r="AS849" s="653"/>
      <c r="AT849" s="653"/>
      <c r="AU849" s="653"/>
      <c r="AV849" s="653"/>
    </row>
    <row r="850" spans="1:48" ht="14.5">
      <c r="A850" s="653"/>
      <c r="B850" s="653"/>
      <c r="C850" s="653"/>
      <c r="D850" s="653"/>
      <c r="E850" s="653"/>
      <c r="F850" s="653"/>
      <c r="G850" s="654"/>
      <c r="H850" s="654"/>
      <c r="I850" s="653"/>
      <c r="J850" s="653"/>
      <c r="K850" s="655"/>
      <c r="L850" s="653"/>
      <c r="M850" s="653"/>
      <c r="N850" s="653"/>
      <c r="O850" s="653"/>
      <c r="P850" s="653"/>
      <c r="Q850" s="653"/>
      <c r="R850" s="653"/>
      <c r="S850" s="653"/>
      <c r="T850" s="653"/>
      <c r="U850" s="656"/>
      <c r="V850" s="653"/>
      <c r="W850" s="653"/>
      <c r="X850" s="653"/>
      <c r="Y850" s="657"/>
      <c r="Z850" s="615"/>
      <c r="AA850" s="653"/>
      <c r="AB850" s="657"/>
      <c r="AC850" s="653"/>
      <c r="AD850" s="653"/>
      <c r="AE850" s="653"/>
      <c r="AF850" s="653"/>
      <c r="AG850" s="653"/>
      <c r="AH850" s="653"/>
      <c r="AI850" s="653"/>
      <c r="AJ850" s="653"/>
      <c r="AK850" s="653"/>
      <c r="AL850" s="653"/>
      <c r="AM850" s="653"/>
      <c r="AN850" s="653"/>
      <c r="AO850" s="653"/>
      <c r="AP850" s="653"/>
      <c r="AQ850" s="653"/>
      <c r="AR850" s="653"/>
      <c r="AS850" s="653"/>
      <c r="AT850" s="653"/>
      <c r="AU850" s="653"/>
      <c r="AV850" s="653"/>
    </row>
    <row r="851" spans="1:48" ht="14.5">
      <c r="A851" s="653"/>
      <c r="B851" s="653"/>
      <c r="C851" s="653"/>
      <c r="D851" s="653"/>
      <c r="E851" s="653"/>
      <c r="F851" s="653"/>
      <c r="G851" s="654"/>
      <c r="H851" s="654"/>
      <c r="I851" s="653"/>
      <c r="J851" s="653"/>
      <c r="K851" s="655"/>
      <c r="L851" s="653"/>
      <c r="M851" s="653"/>
      <c r="N851" s="653"/>
      <c r="O851" s="653"/>
      <c r="P851" s="653"/>
      <c r="Q851" s="653"/>
      <c r="R851" s="653"/>
      <c r="S851" s="653"/>
      <c r="T851" s="653"/>
      <c r="U851" s="656"/>
      <c r="V851" s="653"/>
      <c r="W851" s="653"/>
      <c r="X851" s="653"/>
      <c r="Y851" s="657"/>
      <c r="Z851" s="615"/>
      <c r="AA851" s="653"/>
      <c r="AB851" s="657"/>
      <c r="AC851" s="653"/>
      <c r="AD851" s="653"/>
      <c r="AE851" s="653"/>
      <c r="AF851" s="653"/>
      <c r="AG851" s="653"/>
      <c r="AH851" s="653"/>
      <c r="AI851" s="653"/>
      <c r="AJ851" s="653"/>
      <c r="AK851" s="653"/>
      <c r="AL851" s="653"/>
      <c r="AM851" s="653"/>
      <c r="AN851" s="653"/>
      <c r="AO851" s="653"/>
      <c r="AP851" s="653"/>
      <c r="AQ851" s="653"/>
      <c r="AR851" s="653"/>
      <c r="AS851" s="653"/>
      <c r="AT851" s="653"/>
      <c r="AU851" s="653"/>
      <c r="AV851" s="653"/>
    </row>
    <row r="852" spans="1:48" ht="14.5">
      <c r="A852" s="653"/>
      <c r="B852" s="653"/>
      <c r="C852" s="653"/>
      <c r="D852" s="653"/>
      <c r="E852" s="653"/>
      <c r="F852" s="653"/>
      <c r="G852" s="654"/>
      <c r="H852" s="654"/>
      <c r="I852" s="653"/>
      <c r="J852" s="653"/>
      <c r="K852" s="655"/>
      <c r="L852" s="653"/>
      <c r="M852" s="653"/>
      <c r="N852" s="653"/>
      <c r="O852" s="653"/>
      <c r="P852" s="653"/>
      <c r="Q852" s="653"/>
      <c r="R852" s="653"/>
      <c r="S852" s="653"/>
      <c r="T852" s="653"/>
      <c r="U852" s="656"/>
      <c r="V852" s="653"/>
      <c r="W852" s="653"/>
      <c r="X852" s="653"/>
      <c r="Y852" s="657"/>
      <c r="Z852" s="615"/>
      <c r="AA852" s="653"/>
      <c r="AB852" s="657"/>
      <c r="AC852" s="653"/>
      <c r="AD852" s="653"/>
      <c r="AE852" s="653"/>
      <c r="AF852" s="653"/>
      <c r="AG852" s="653"/>
      <c r="AH852" s="653"/>
      <c r="AI852" s="653"/>
      <c r="AJ852" s="653"/>
      <c r="AK852" s="653"/>
      <c r="AL852" s="653"/>
      <c r="AM852" s="653"/>
      <c r="AN852" s="653"/>
      <c r="AO852" s="653"/>
      <c r="AP852" s="653"/>
      <c r="AQ852" s="653"/>
      <c r="AR852" s="653"/>
      <c r="AS852" s="653"/>
      <c r="AT852" s="653"/>
      <c r="AU852" s="653"/>
      <c r="AV852" s="653"/>
    </row>
    <row r="853" spans="1:48" ht="14.5">
      <c r="A853" s="653"/>
      <c r="B853" s="653"/>
      <c r="C853" s="653"/>
      <c r="D853" s="653"/>
      <c r="E853" s="653"/>
      <c r="F853" s="653"/>
      <c r="G853" s="654"/>
      <c r="H853" s="654"/>
      <c r="I853" s="653"/>
      <c r="J853" s="653"/>
      <c r="K853" s="655"/>
      <c r="L853" s="653"/>
      <c r="M853" s="653"/>
      <c r="N853" s="653"/>
      <c r="O853" s="653"/>
      <c r="P853" s="653"/>
      <c r="Q853" s="653"/>
      <c r="R853" s="653"/>
      <c r="S853" s="653"/>
      <c r="T853" s="653"/>
      <c r="U853" s="656"/>
      <c r="V853" s="653"/>
      <c r="W853" s="653"/>
      <c r="X853" s="653"/>
      <c r="Y853" s="657"/>
      <c r="Z853" s="615"/>
      <c r="AA853" s="653"/>
      <c r="AB853" s="657"/>
      <c r="AC853" s="653"/>
      <c r="AD853" s="653"/>
      <c r="AE853" s="653"/>
      <c r="AF853" s="653"/>
      <c r="AG853" s="653"/>
      <c r="AH853" s="653"/>
      <c r="AI853" s="653"/>
      <c r="AJ853" s="653"/>
      <c r="AK853" s="653"/>
      <c r="AL853" s="653"/>
      <c r="AM853" s="653"/>
      <c r="AN853" s="653"/>
      <c r="AO853" s="653"/>
      <c r="AP853" s="653"/>
      <c r="AQ853" s="653"/>
      <c r="AR853" s="653"/>
      <c r="AS853" s="653"/>
      <c r="AT853" s="653"/>
      <c r="AU853" s="653"/>
      <c r="AV853" s="653"/>
    </row>
    <row r="854" spans="1:48" ht="14.5">
      <c r="A854" s="653"/>
      <c r="B854" s="653"/>
      <c r="C854" s="653"/>
      <c r="D854" s="653"/>
      <c r="E854" s="653"/>
      <c r="F854" s="653"/>
      <c r="G854" s="654"/>
      <c r="H854" s="654"/>
      <c r="I854" s="653"/>
      <c r="J854" s="653"/>
      <c r="K854" s="655"/>
      <c r="L854" s="653"/>
      <c r="M854" s="653"/>
      <c r="N854" s="653"/>
      <c r="O854" s="653"/>
      <c r="P854" s="653"/>
      <c r="Q854" s="653"/>
      <c r="R854" s="653"/>
      <c r="S854" s="653"/>
      <c r="T854" s="653"/>
      <c r="U854" s="656"/>
      <c r="V854" s="653"/>
      <c r="W854" s="653"/>
      <c r="X854" s="653"/>
      <c r="Y854" s="657"/>
      <c r="Z854" s="615"/>
      <c r="AA854" s="653"/>
      <c r="AB854" s="657"/>
      <c r="AC854" s="653"/>
      <c r="AD854" s="653"/>
      <c r="AE854" s="653"/>
      <c r="AF854" s="653"/>
      <c r="AG854" s="653"/>
      <c r="AH854" s="653"/>
      <c r="AI854" s="653"/>
      <c r="AJ854" s="653"/>
      <c r="AK854" s="653"/>
      <c r="AL854" s="653"/>
      <c r="AM854" s="653"/>
      <c r="AN854" s="653"/>
      <c r="AO854" s="653"/>
      <c r="AP854" s="653"/>
      <c r="AQ854" s="653"/>
      <c r="AR854" s="653"/>
      <c r="AS854" s="653"/>
      <c r="AT854" s="653"/>
      <c r="AU854" s="653"/>
      <c r="AV854" s="653"/>
    </row>
    <row r="855" spans="1:48" ht="14.5">
      <c r="A855" s="653"/>
      <c r="B855" s="653"/>
      <c r="C855" s="653"/>
      <c r="D855" s="653"/>
      <c r="E855" s="653"/>
      <c r="F855" s="653"/>
      <c r="G855" s="654"/>
      <c r="H855" s="654"/>
      <c r="I855" s="653"/>
      <c r="J855" s="653"/>
      <c r="K855" s="655"/>
      <c r="L855" s="653"/>
      <c r="M855" s="653"/>
      <c r="N855" s="653"/>
      <c r="O855" s="653"/>
      <c r="P855" s="653"/>
      <c r="Q855" s="653"/>
      <c r="R855" s="653"/>
      <c r="S855" s="653"/>
      <c r="T855" s="653"/>
      <c r="U855" s="656"/>
      <c r="V855" s="653"/>
      <c r="W855" s="653"/>
      <c r="X855" s="653"/>
      <c r="Y855" s="657"/>
      <c r="Z855" s="615"/>
      <c r="AA855" s="653"/>
      <c r="AB855" s="657"/>
      <c r="AC855" s="653"/>
      <c r="AD855" s="653"/>
      <c r="AE855" s="653"/>
      <c r="AF855" s="653"/>
      <c r="AG855" s="653"/>
      <c r="AH855" s="653"/>
      <c r="AI855" s="653"/>
      <c r="AJ855" s="653"/>
      <c r="AK855" s="653"/>
      <c r="AL855" s="653"/>
      <c r="AM855" s="653"/>
      <c r="AN855" s="653"/>
      <c r="AO855" s="653"/>
      <c r="AP855" s="653"/>
      <c r="AQ855" s="653"/>
      <c r="AR855" s="653"/>
      <c r="AS855" s="653"/>
      <c r="AT855" s="653"/>
      <c r="AU855" s="653"/>
      <c r="AV855" s="653"/>
    </row>
    <row r="856" spans="1:48" ht="14.5">
      <c r="A856" s="653"/>
      <c r="B856" s="653"/>
      <c r="C856" s="653"/>
      <c r="D856" s="653"/>
      <c r="E856" s="653"/>
      <c r="F856" s="653"/>
      <c r="G856" s="654"/>
      <c r="H856" s="654"/>
      <c r="I856" s="653"/>
      <c r="J856" s="653"/>
      <c r="K856" s="655"/>
      <c r="L856" s="653"/>
      <c r="M856" s="653"/>
      <c r="N856" s="653"/>
      <c r="O856" s="653"/>
      <c r="P856" s="653"/>
      <c r="Q856" s="653"/>
      <c r="R856" s="653"/>
      <c r="S856" s="653"/>
      <c r="T856" s="653"/>
      <c r="U856" s="656"/>
      <c r="V856" s="653"/>
      <c r="W856" s="653"/>
      <c r="X856" s="653"/>
      <c r="Y856" s="657"/>
      <c r="Z856" s="615"/>
      <c r="AA856" s="653"/>
      <c r="AB856" s="657"/>
      <c r="AC856" s="653"/>
      <c r="AD856" s="653"/>
      <c r="AE856" s="653"/>
      <c r="AF856" s="653"/>
      <c r="AG856" s="653"/>
      <c r="AH856" s="653"/>
      <c r="AI856" s="653"/>
      <c r="AJ856" s="653"/>
      <c r="AK856" s="653"/>
      <c r="AL856" s="653"/>
      <c r="AM856" s="653"/>
      <c r="AN856" s="653"/>
      <c r="AO856" s="653"/>
      <c r="AP856" s="653"/>
      <c r="AQ856" s="653"/>
      <c r="AR856" s="653"/>
      <c r="AS856" s="653"/>
      <c r="AT856" s="653"/>
      <c r="AU856" s="653"/>
      <c r="AV856" s="653"/>
    </row>
    <row r="857" spans="1:48" ht="14.5">
      <c r="A857" s="653"/>
      <c r="B857" s="653"/>
      <c r="C857" s="653"/>
      <c r="D857" s="653"/>
      <c r="E857" s="653"/>
      <c r="F857" s="653"/>
      <c r="G857" s="654"/>
      <c r="H857" s="654"/>
      <c r="I857" s="653"/>
      <c r="J857" s="653"/>
      <c r="K857" s="655"/>
      <c r="L857" s="653"/>
      <c r="M857" s="653"/>
      <c r="N857" s="653"/>
      <c r="O857" s="653"/>
      <c r="P857" s="653"/>
      <c r="Q857" s="653"/>
      <c r="R857" s="653"/>
      <c r="S857" s="653"/>
      <c r="T857" s="653"/>
      <c r="U857" s="656"/>
      <c r="V857" s="653"/>
      <c r="W857" s="653"/>
      <c r="X857" s="653"/>
      <c r="Y857" s="657"/>
      <c r="Z857" s="615"/>
      <c r="AA857" s="653"/>
      <c r="AB857" s="657"/>
      <c r="AC857" s="653"/>
      <c r="AD857" s="653"/>
      <c r="AE857" s="653"/>
      <c r="AF857" s="653"/>
      <c r="AG857" s="653"/>
      <c r="AH857" s="653"/>
      <c r="AI857" s="653"/>
      <c r="AJ857" s="653"/>
      <c r="AK857" s="653"/>
      <c r="AL857" s="653"/>
      <c r="AM857" s="653"/>
      <c r="AN857" s="653"/>
      <c r="AO857" s="653"/>
      <c r="AP857" s="653"/>
      <c r="AQ857" s="653"/>
      <c r="AR857" s="653"/>
      <c r="AS857" s="653"/>
      <c r="AT857" s="653"/>
      <c r="AU857" s="653"/>
      <c r="AV857" s="653"/>
    </row>
    <row r="858" spans="1:48" ht="14.5">
      <c r="A858" s="653"/>
      <c r="B858" s="653"/>
      <c r="C858" s="653"/>
      <c r="D858" s="653"/>
      <c r="E858" s="653"/>
      <c r="F858" s="653"/>
      <c r="G858" s="654"/>
      <c r="H858" s="654"/>
      <c r="I858" s="653"/>
      <c r="J858" s="653"/>
      <c r="K858" s="655"/>
      <c r="L858" s="653"/>
      <c r="M858" s="653"/>
      <c r="N858" s="653"/>
      <c r="O858" s="653"/>
      <c r="P858" s="653"/>
      <c r="Q858" s="653"/>
      <c r="R858" s="653"/>
      <c r="S858" s="653"/>
      <c r="T858" s="653"/>
      <c r="U858" s="656"/>
      <c r="V858" s="653"/>
      <c r="W858" s="653"/>
      <c r="X858" s="653"/>
      <c r="Y858" s="657"/>
      <c r="Z858" s="615"/>
      <c r="AA858" s="653"/>
      <c r="AB858" s="657"/>
      <c r="AC858" s="653"/>
      <c r="AD858" s="653"/>
      <c r="AE858" s="653"/>
      <c r="AF858" s="653"/>
      <c r="AG858" s="653"/>
      <c r="AH858" s="653"/>
      <c r="AI858" s="653"/>
      <c r="AJ858" s="653"/>
      <c r="AK858" s="653"/>
      <c r="AL858" s="653"/>
      <c r="AM858" s="653"/>
      <c r="AN858" s="653"/>
      <c r="AO858" s="653"/>
      <c r="AP858" s="653"/>
      <c r="AQ858" s="653"/>
      <c r="AR858" s="653"/>
      <c r="AS858" s="653"/>
      <c r="AT858" s="653"/>
      <c r="AU858" s="653"/>
      <c r="AV858" s="653"/>
    </row>
    <row r="859" spans="1:48" ht="14.5">
      <c r="A859" s="653"/>
      <c r="B859" s="653"/>
      <c r="C859" s="653"/>
      <c r="D859" s="653"/>
      <c r="E859" s="653"/>
      <c r="F859" s="653"/>
      <c r="G859" s="654"/>
      <c r="H859" s="654"/>
      <c r="I859" s="653"/>
      <c r="J859" s="653"/>
      <c r="K859" s="655"/>
      <c r="L859" s="653"/>
      <c r="M859" s="653"/>
      <c r="N859" s="653"/>
      <c r="O859" s="653"/>
      <c r="P859" s="653"/>
      <c r="Q859" s="653"/>
      <c r="R859" s="653"/>
      <c r="S859" s="653"/>
      <c r="T859" s="653"/>
      <c r="U859" s="656"/>
      <c r="V859" s="653"/>
      <c r="W859" s="653"/>
      <c r="X859" s="653"/>
      <c r="Y859" s="657"/>
      <c r="Z859" s="615"/>
      <c r="AA859" s="653"/>
      <c r="AB859" s="657"/>
      <c r="AC859" s="653"/>
      <c r="AD859" s="653"/>
      <c r="AE859" s="653"/>
      <c r="AF859" s="653"/>
      <c r="AG859" s="653"/>
      <c r="AH859" s="653"/>
      <c r="AI859" s="653"/>
      <c r="AJ859" s="653"/>
      <c r="AK859" s="653"/>
      <c r="AL859" s="653"/>
      <c r="AM859" s="653"/>
      <c r="AN859" s="653"/>
      <c r="AO859" s="653"/>
      <c r="AP859" s="653"/>
      <c r="AQ859" s="653"/>
      <c r="AR859" s="653"/>
      <c r="AS859" s="653"/>
      <c r="AT859" s="653"/>
      <c r="AU859" s="653"/>
      <c r="AV859" s="653"/>
    </row>
    <row r="860" spans="1:48" ht="14.5">
      <c r="A860" s="653"/>
      <c r="B860" s="653"/>
      <c r="C860" s="653"/>
      <c r="D860" s="653"/>
      <c r="E860" s="653"/>
      <c r="F860" s="653"/>
      <c r="G860" s="654"/>
      <c r="H860" s="654"/>
      <c r="I860" s="653"/>
      <c r="J860" s="653"/>
      <c r="K860" s="655"/>
      <c r="L860" s="653"/>
      <c r="M860" s="653"/>
      <c r="N860" s="653"/>
      <c r="O860" s="653"/>
      <c r="P860" s="653"/>
      <c r="Q860" s="653"/>
      <c r="R860" s="653"/>
      <c r="S860" s="653"/>
      <c r="T860" s="653"/>
      <c r="U860" s="656"/>
      <c r="V860" s="653"/>
      <c r="W860" s="653"/>
      <c r="X860" s="653"/>
      <c r="Y860" s="657"/>
      <c r="Z860" s="615"/>
      <c r="AA860" s="653"/>
      <c r="AB860" s="657"/>
      <c r="AC860" s="653"/>
      <c r="AD860" s="653"/>
      <c r="AE860" s="653"/>
      <c r="AF860" s="653"/>
      <c r="AG860" s="653"/>
      <c r="AH860" s="653"/>
      <c r="AI860" s="653"/>
      <c r="AJ860" s="653"/>
      <c r="AK860" s="653"/>
      <c r="AL860" s="653"/>
      <c r="AM860" s="653"/>
      <c r="AN860" s="653"/>
      <c r="AO860" s="653"/>
      <c r="AP860" s="653"/>
      <c r="AQ860" s="653"/>
      <c r="AR860" s="653"/>
      <c r="AS860" s="653"/>
      <c r="AT860" s="653"/>
      <c r="AU860" s="653"/>
      <c r="AV860" s="653"/>
    </row>
    <row r="861" spans="1:48" ht="14.5">
      <c r="A861" s="653"/>
      <c r="B861" s="653"/>
      <c r="C861" s="653"/>
      <c r="D861" s="653"/>
      <c r="E861" s="653"/>
      <c r="F861" s="653"/>
      <c r="G861" s="654"/>
      <c r="H861" s="654"/>
      <c r="I861" s="653"/>
      <c r="J861" s="653"/>
      <c r="K861" s="655"/>
      <c r="L861" s="653"/>
      <c r="M861" s="653"/>
      <c r="N861" s="653"/>
      <c r="O861" s="653"/>
      <c r="P861" s="653"/>
      <c r="Q861" s="653"/>
      <c r="R861" s="653"/>
      <c r="S861" s="653"/>
      <c r="T861" s="653"/>
      <c r="U861" s="656"/>
      <c r="V861" s="653"/>
      <c r="W861" s="653"/>
      <c r="X861" s="653"/>
      <c r="Y861" s="657"/>
      <c r="Z861" s="615"/>
      <c r="AA861" s="653"/>
      <c r="AB861" s="657"/>
      <c r="AC861" s="653"/>
      <c r="AD861" s="653"/>
      <c r="AE861" s="653"/>
      <c r="AF861" s="653"/>
      <c r="AG861" s="653"/>
      <c r="AH861" s="653"/>
      <c r="AI861" s="653"/>
      <c r="AJ861" s="653"/>
      <c r="AK861" s="653"/>
      <c r="AL861" s="653"/>
      <c r="AM861" s="653"/>
      <c r="AN861" s="653"/>
      <c r="AO861" s="653"/>
      <c r="AP861" s="653"/>
      <c r="AQ861" s="653"/>
      <c r="AR861" s="653"/>
      <c r="AS861" s="653"/>
      <c r="AT861" s="653"/>
      <c r="AU861" s="653"/>
      <c r="AV861" s="653"/>
    </row>
    <row r="862" spans="1:48" ht="14.5">
      <c r="A862" s="653"/>
      <c r="B862" s="653"/>
      <c r="C862" s="653"/>
      <c r="D862" s="653"/>
      <c r="E862" s="653"/>
      <c r="F862" s="653"/>
      <c r="G862" s="654"/>
      <c r="H862" s="654"/>
      <c r="I862" s="653"/>
      <c r="J862" s="653"/>
      <c r="K862" s="655"/>
      <c r="L862" s="653"/>
      <c r="M862" s="653"/>
      <c r="N862" s="653"/>
      <c r="O862" s="653"/>
      <c r="P862" s="653"/>
      <c r="Q862" s="653"/>
      <c r="R862" s="653"/>
      <c r="S862" s="653"/>
      <c r="T862" s="653"/>
      <c r="U862" s="656"/>
      <c r="V862" s="653"/>
      <c r="W862" s="653"/>
      <c r="X862" s="653"/>
      <c r="Y862" s="657"/>
      <c r="Z862" s="615"/>
      <c r="AA862" s="653"/>
      <c r="AB862" s="657"/>
      <c r="AC862" s="653"/>
      <c r="AD862" s="653"/>
      <c r="AE862" s="653"/>
      <c r="AF862" s="653"/>
      <c r="AG862" s="653"/>
      <c r="AH862" s="653"/>
      <c r="AI862" s="653"/>
      <c r="AJ862" s="653"/>
      <c r="AK862" s="653"/>
      <c r="AL862" s="653"/>
      <c r="AM862" s="653"/>
      <c r="AN862" s="653"/>
      <c r="AO862" s="653"/>
      <c r="AP862" s="653"/>
      <c r="AQ862" s="653"/>
      <c r="AR862" s="653"/>
      <c r="AS862" s="653"/>
      <c r="AT862" s="653"/>
      <c r="AU862" s="653"/>
      <c r="AV862" s="653"/>
    </row>
    <row r="863" spans="1:48" ht="14.5">
      <c r="A863" s="653"/>
      <c r="B863" s="653"/>
      <c r="C863" s="653"/>
      <c r="D863" s="653"/>
      <c r="E863" s="653"/>
      <c r="F863" s="653"/>
      <c r="G863" s="654"/>
      <c r="H863" s="654"/>
      <c r="I863" s="653"/>
      <c r="J863" s="653"/>
      <c r="K863" s="655"/>
      <c r="L863" s="653"/>
      <c r="M863" s="653"/>
      <c r="N863" s="653"/>
      <c r="O863" s="653"/>
      <c r="P863" s="653"/>
      <c r="Q863" s="653"/>
      <c r="R863" s="653"/>
      <c r="S863" s="653"/>
      <c r="T863" s="653"/>
      <c r="U863" s="656"/>
      <c r="V863" s="653"/>
      <c r="W863" s="653"/>
      <c r="X863" s="653"/>
      <c r="Y863" s="657"/>
      <c r="Z863" s="615"/>
      <c r="AA863" s="653"/>
      <c r="AB863" s="657"/>
      <c r="AC863" s="653"/>
      <c r="AD863" s="653"/>
      <c r="AE863" s="653"/>
      <c r="AF863" s="653"/>
      <c r="AG863" s="653"/>
      <c r="AH863" s="653"/>
      <c r="AI863" s="653"/>
      <c r="AJ863" s="653"/>
      <c r="AK863" s="653"/>
      <c r="AL863" s="653"/>
      <c r="AM863" s="653"/>
      <c r="AN863" s="653"/>
      <c r="AO863" s="653"/>
      <c r="AP863" s="653"/>
      <c r="AQ863" s="653"/>
      <c r="AR863" s="653"/>
      <c r="AS863" s="653"/>
      <c r="AT863" s="653"/>
      <c r="AU863" s="653"/>
      <c r="AV863" s="653"/>
    </row>
    <row r="864" spans="1:48" ht="14.5">
      <c r="A864" s="653"/>
      <c r="B864" s="653"/>
      <c r="C864" s="653"/>
      <c r="D864" s="653"/>
      <c r="E864" s="653"/>
      <c r="F864" s="653"/>
      <c r="G864" s="654"/>
      <c r="H864" s="654"/>
      <c r="I864" s="653"/>
      <c r="J864" s="653"/>
      <c r="K864" s="655"/>
      <c r="L864" s="653"/>
      <c r="M864" s="653"/>
      <c r="N864" s="653"/>
      <c r="O864" s="653"/>
      <c r="P864" s="653"/>
      <c r="Q864" s="653"/>
      <c r="R864" s="653"/>
      <c r="S864" s="653"/>
      <c r="T864" s="653"/>
      <c r="U864" s="656"/>
      <c r="V864" s="653"/>
      <c r="W864" s="653"/>
      <c r="X864" s="653"/>
      <c r="Y864" s="657"/>
      <c r="Z864" s="615"/>
      <c r="AA864" s="653"/>
      <c r="AB864" s="657"/>
      <c r="AC864" s="653"/>
      <c r="AD864" s="653"/>
      <c r="AE864" s="653"/>
      <c r="AF864" s="653"/>
      <c r="AG864" s="653"/>
      <c r="AH864" s="653"/>
      <c r="AI864" s="653"/>
      <c r="AJ864" s="653"/>
      <c r="AK864" s="653"/>
      <c r="AL864" s="653"/>
      <c r="AM864" s="653"/>
      <c r="AN864" s="653"/>
      <c r="AO864" s="653"/>
      <c r="AP864" s="653"/>
      <c r="AQ864" s="653"/>
      <c r="AR864" s="653"/>
      <c r="AS864" s="653"/>
      <c r="AT864" s="653"/>
      <c r="AU864" s="653"/>
      <c r="AV864" s="653"/>
    </row>
    <row r="865" spans="1:48" ht="14.5">
      <c r="A865" s="653"/>
      <c r="B865" s="653"/>
      <c r="C865" s="653"/>
      <c r="D865" s="653"/>
      <c r="E865" s="653"/>
      <c r="F865" s="653"/>
      <c r="G865" s="654"/>
      <c r="H865" s="654"/>
      <c r="I865" s="653"/>
      <c r="J865" s="653"/>
      <c r="K865" s="655"/>
      <c r="L865" s="653"/>
      <c r="M865" s="653"/>
      <c r="N865" s="653"/>
      <c r="O865" s="653"/>
      <c r="P865" s="653"/>
      <c r="Q865" s="653"/>
      <c r="R865" s="653"/>
      <c r="S865" s="653"/>
      <c r="T865" s="653"/>
      <c r="U865" s="656"/>
      <c r="V865" s="653"/>
      <c r="W865" s="653"/>
      <c r="X865" s="653"/>
      <c r="Y865" s="657"/>
      <c r="Z865" s="615"/>
      <c r="AA865" s="653"/>
      <c r="AB865" s="657"/>
      <c r="AC865" s="653"/>
      <c r="AD865" s="653"/>
      <c r="AE865" s="653"/>
      <c r="AF865" s="653"/>
      <c r="AG865" s="653"/>
      <c r="AH865" s="653"/>
      <c r="AI865" s="653"/>
      <c r="AJ865" s="653"/>
      <c r="AK865" s="653"/>
      <c r="AL865" s="653"/>
      <c r="AM865" s="653"/>
      <c r="AN865" s="653"/>
      <c r="AO865" s="653"/>
      <c r="AP865" s="653"/>
      <c r="AQ865" s="653"/>
      <c r="AR865" s="653"/>
      <c r="AS865" s="653"/>
      <c r="AT865" s="653"/>
      <c r="AU865" s="653"/>
      <c r="AV865" s="653"/>
    </row>
    <row r="866" spans="1:48" ht="14.5">
      <c r="A866" s="653"/>
      <c r="B866" s="653"/>
      <c r="C866" s="653"/>
      <c r="D866" s="653"/>
      <c r="E866" s="653"/>
      <c r="F866" s="653"/>
      <c r="G866" s="654"/>
      <c r="H866" s="654"/>
      <c r="I866" s="653"/>
      <c r="J866" s="653"/>
      <c r="K866" s="655"/>
      <c r="L866" s="653"/>
      <c r="M866" s="653"/>
      <c r="N866" s="653"/>
      <c r="O866" s="653"/>
      <c r="P866" s="653"/>
      <c r="Q866" s="653"/>
      <c r="R866" s="653"/>
      <c r="S866" s="653"/>
      <c r="T866" s="653"/>
      <c r="U866" s="656"/>
      <c r="V866" s="653"/>
      <c r="W866" s="653"/>
      <c r="X866" s="653"/>
      <c r="Y866" s="657"/>
      <c r="Z866" s="615"/>
      <c r="AA866" s="653"/>
      <c r="AB866" s="657"/>
      <c r="AC866" s="653"/>
      <c r="AD866" s="653"/>
      <c r="AE866" s="653"/>
      <c r="AF866" s="653"/>
      <c r="AG866" s="653"/>
      <c r="AH866" s="653"/>
      <c r="AI866" s="653"/>
      <c r="AJ866" s="653"/>
      <c r="AK866" s="653"/>
      <c r="AL866" s="653"/>
      <c r="AM866" s="653"/>
      <c r="AN866" s="653"/>
      <c r="AO866" s="653"/>
      <c r="AP866" s="653"/>
      <c r="AQ866" s="653"/>
      <c r="AR866" s="653"/>
      <c r="AS866" s="653"/>
      <c r="AT866" s="653"/>
      <c r="AU866" s="653"/>
      <c r="AV866" s="653"/>
    </row>
    <row r="867" spans="1:48" ht="14.5">
      <c r="A867" s="653"/>
      <c r="B867" s="653"/>
      <c r="C867" s="653"/>
      <c r="D867" s="653"/>
      <c r="E867" s="653"/>
      <c r="F867" s="653"/>
      <c r="G867" s="654"/>
      <c r="H867" s="654"/>
      <c r="I867" s="653"/>
      <c r="J867" s="653"/>
      <c r="K867" s="655"/>
      <c r="L867" s="653"/>
      <c r="M867" s="653"/>
      <c r="N867" s="653"/>
      <c r="O867" s="653"/>
      <c r="P867" s="653"/>
      <c r="Q867" s="653"/>
      <c r="R867" s="653"/>
      <c r="S867" s="653"/>
      <c r="T867" s="653"/>
      <c r="U867" s="656"/>
      <c r="V867" s="653"/>
      <c r="W867" s="653"/>
      <c r="X867" s="653"/>
      <c r="Y867" s="657"/>
      <c r="Z867" s="615"/>
      <c r="AA867" s="653"/>
      <c r="AB867" s="657"/>
      <c r="AC867" s="653"/>
      <c r="AD867" s="653"/>
      <c r="AE867" s="653"/>
      <c r="AF867" s="653"/>
      <c r="AG867" s="653"/>
      <c r="AH867" s="653"/>
      <c r="AI867" s="653"/>
      <c r="AJ867" s="653"/>
      <c r="AK867" s="653"/>
      <c r="AL867" s="653"/>
      <c r="AM867" s="653"/>
      <c r="AN867" s="653"/>
      <c r="AO867" s="653"/>
      <c r="AP867" s="653"/>
      <c r="AQ867" s="653"/>
      <c r="AR867" s="653"/>
      <c r="AS867" s="653"/>
      <c r="AT867" s="653"/>
      <c r="AU867" s="653"/>
      <c r="AV867" s="653"/>
    </row>
    <row r="868" spans="1:48" ht="14.5">
      <c r="A868" s="653"/>
      <c r="B868" s="653"/>
      <c r="C868" s="653"/>
      <c r="D868" s="653"/>
      <c r="E868" s="653"/>
      <c r="F868" s="653"/>
      <c r="G868" s="654"/>
      <c r="H868" s="654"/>
      <c r="I868" s="653"/>
      <c r="J868" s="653"/>
      <c r="K868" s="655"/>
      <c r="L868" s="653"/>
      <c r="M868" s="653"/>
      <c r="N868" s="653"/>
      <c r="O868" s="653"/>
      <c r="P868" s="653"/>
      <c r="Q868" s="653"/>
      <c r="R868" s="653"/>
      <c r="S868" s="653"/>
      <c r="T868" s="653"/>
      <c r="U868" s="656"/>
      <c r="V868" s="653"/>
      <c r="W868" s="653"/>
      <c r="X868" s="653"/>
      <c r="Y868" s="657"/>
      <c r="Z868" s="615"/>
      <c r="AA868" s="653"/>
      <c r="AB868" s="657"/>
      <c r="AC868" s="653"/>
      <c r="AD868" s="653"/>
      <c r="AE868" s="653"/>
      <c r="AF868" s="653"/>
      <c r="AG868" s="653"/>
      <c r="AH868" s="653"/>
      <c r="AI868" s="653"/>
      <c r="AJ868" s="653"/>
      <c r="AK868" s="653"/>
      <c r="AL868" s="653"/>
      <c r="AM868" s="653"/>
      <c r="AN868" s="653"/>
      <c r="AO868" s="653"/>
      <c r="AP868" s="653"/>
      <c r="AQ868" s="653"/>
      <c r="AR868" s="653"/>
      <c r="AS868" s="653"/>
      <c r="AT868" s="653"/>
      <c r="AU868" s="653"/>
      <c r="AV868" s="653"/>
    </row>
    <row r="869" spans="1:48" ht="14.5">
      <c r="A869" s="653"/>
      <c r="B869" s="653"/>
      <c r="C869" s="653"/>
      <c r="D869" s="653"/>
      <c r="E869" s="653"/>
      <c r="F869" s="653"/>
      <c r="G869" s="654"/>
      <c r="H869" s="654"/>
      <c r="I869" s="653"/>
      <c r="J869" s="653"/>
      <c r="K869" s="655"/>
      <c r="L869" s="653"/>
      <c r="M869" s="653"/>
      <c r="N869" s="653"/>
      <c r="O869" s="653"/>
      <c r="P869" s="653"/>
      <c r="Q869" s="653"/>
      <c r="R869" s="653"/>
      <c r="S869" s="653"/>
      <c r="T869" s="653"/>
      <c r="U869" s="656"/>
      <c r="V869" s="653"/>
      <c r="W869" s="653"/>
      <c r="X869" s="653"/>
      <c r="Y869" s="657"/>
      <c r="Z869" s="615"/>
      <c r="AA869" s="653"/>
      <c r="AB869" s="657"/>
      <c r="AC869" s="653"/>
      <c r="AD869" s="653"/>
      <c r="AE869" s="653"/>
      <c r="AF869" s="653"/>
      <c r="AG869" s="653"/>
      <c r="AH869" s="653"/>
      <c r="AI869" s="653"/>
      <c r="AJ869" s="653"/>
      <c r="AK869" s="653"/>
      <c r="AL869" s="653"/>
      <c r="AM869" s="653"/>
      <c r="AN869" s="653"/>
      <c r="AO869" s="653"/>
      <c r="AP869" s="653"/>
      <c r="AQ869" s="653"/>
      <c r="AR869" s="653"/>
      <c r="AS869" s="653"/>
      <c r="AT869" s="653"/>
      <c r="AU869" s="653"/>
      <c r="AV869" s="653"/>
    </row>
    <row r="870" spans="1:48" ht="14.5">
      <c r="A870" s="653"/>
      <c r="B870" s="653"/>
      <c r="C870" s="653"/>
      <c r="D870" s="653"/>
      <c r="E870" s="653"/>
      <c r="F870" s="653"/>
      <c r="G870" s="654"/>
      <c r="H870" s="654"/>
      <c r="I870" s="653"/>
      <c r="J870" s="653"/>
      <c r="K870" s="655"/>
      <c r="L870" s="653"/>
      <c r="M870" s="653"/>
      <c r="N870" s="653"/>
      <c r="O870" s="653"/>
      <c r="P870" s="653"/>
      <c r="Q870" s="653"/>
      <c r="R870" s="653"/>
      <c r="S870" s="653"/>
      <c r="T870" s="653"/>
      <c r="U870" s="656"/>
      <c r="V870" s="653"/>
      <c r="W870" s="653"/>
      <c r="X870" s="653"/>
      <c r="Y870" s="657"/>
      <c r="Z870" s="615"/>
      <c r="AA870" s="653"/>
      <c r="AB870" s="657"/>
      <c r="AC870" s="653"/>
      <c r="AD870" s="653"/>
      <c r="AE870" s="653"/>
      <c r="AF870" s="653"/>
      <c r="AG870" s="653"/>
      <c r="AH870" s="653"/>
      <c r="AI870" s="653"/>
      <c r="AJ870" s="653"/>
      <c r="AK870" s="653"/>
      <c r="AL870" s="653"/>
      <c r="AM870" s="653"/>
      <c r="AN870" s="653"/>
      <c r="AO870" s="653"/>
      <c r="AP870" s="653"/>
      <c r="AQ870" s="653"/>
      <c r="AR870" s="653"/>
      <c r="AS870" s="653"/>
      <c r="AT870" s="653"/>
      <c r="AU870" s="653"/>
      <c r="AV870" s="653"/>
    </row>
    <row r="871" spans="1:48" ht="14.5">
      <c r="A871" s="653"/>
      <c r="B871" s="653"/>
      <c r="C871" s="653"/>
      <c r="D871" s="653"/>
      <c r="E871" s="653"/>
      <c r="F871" s="653"/>
      <c r="G871" s="654"/>
      <c r="H871" s="654"/>
      <c r="I871" s="653"/>
      <c r="J871" s="653"/>
      <c r="K871" s="655"/>
      <c r="L871" s="653"/>
      <c r="M871" s="653"/>
      <c r="N871" s="653"/>
      <c r="O871" s="653"/>
      <c r="P871" s="653"/>
      <c r="Q871" s="653"/>
      <c r="R871" s="653"/>
      <c r="S871" s="653"/>
      <c r="T871" s="653"/>
      <c r="U871" s="656"/>
      <c r="V871" s="653"/>
      <c r="W871" s="653"/>
      <c r="X871" s="653"/>
      <c r="Y871" s="657"/>
      <c r="Z871" s="615"/>
      <c r="AA871" s="653"/>
      <c r="AB871" s="657"/>
      <c r="AC871" s="653"/>
      <c r="AD871" s="653"/>
      <c r="AE871" s="653"/>
      <c r="AF871" s="653"/>
      <c r="AG871" s="653"/>
      <c r="AH871" s="653"/>
      <c r="AI871" s="653"/>
      <c r="AJ871" s="653"/>
      <c r="AK871" s="653"/>
      <c r="AL871" s="653"/>
      <c r="AM871" s="653"/>
      <c r="AN871" s="653"/>
      <c r="AO871" s="653"/>
      <c r="AP871" s="653"/>
      <c r="AQ871" s="653"/>
      <c r="AR871" s="653"/>
      <c r="AS871" s="653"/>
      <c r="AT871" s="653"/>
      <c r="AU871" s="653"/>
      <c r="AV871" s="653"/>
    </row>
    <row r="872" spans="1:48" ht="14.5">
      <c r="A872" s="653"/>
      <c r="B872" s="653"/>
      <c r="C872" s="653"/>
      <c r="D872" s="653"/>
      <c r="E872" s="653"/>
      <c r="F872" s="653"/>
      <c r="G872" s="654"/>
      <c r="H872" s="654"/>
      <c r="I872" s="653"/>
      <c r="J872" s="653"/>
      <c r="K872" s="655"/>
      <c r="L872" s="653"/>
      <c r="M872" s="653"/>
      <c r="N872" s="653"/>
      <c r="O872" s="653"/>
      <c r="P872" s="653"/>
      <c r="Q872" s="653"/>
      <c r="R872" s="653"/>
      <c r="S872" s="653"/>
      <c r="T872" s="653"/>
      <c r="U872" s="656"/>
      <c r="V872" s="653"/>
      <c r="W872" s="653"/>
      <c r="X872" s="653"/>
      <c r="Y872" s="657"/>
      <c r="Z872" s="615"/>
      <c r="AA872" s="653"/>
      <c r="AB872" s="657"/>
      <c r="AC872" s="653"/>
      <c r="AD872" s="653"/>
      <c r="AE872" s="653"/>
      <c r="AF872" s="653"/>
      <c r="AG872" s="653"/>
      <c r="AH872" s="653"/>
      <c r="AI872" s="653"/>
      <c r="AJ872" s="653"/>
      <c r="AK872" s="653"/>
      <c r="AL872" s="653"/>
      <c r="AM872" s="653"/>
      <c r="AN872" s="653"/>
      <c r="AO872" s="653"/>
      <c r="AP872" s="653"/>
      <c r="AQ872" s="653"/>
      <c r="AR872" s="653"/>
      <c r="AS872" s="653"/>
      <c r="AT872" s="653"/>
      <c r="AU872" s="653"/>
      <c r="AV872" s="653"/>
    </row>
    <row r="873" spans="1:48" ht="14.5">
      <c r="A873" s="653"/>
      <c r="B873" s="653"/>
      <c r="C873" s="653"/>
      <c r="D873" s="653"/>
      <c r="E873" s="653"/>
      <c r="F873" s="653"/>
      <c r="G873" s="654"/>
      <c r="H873" s="654"/>
      <c r="I873" s="653"/>
      <c r="J873" s="653"/>
      <c r="K873" s="655"/>
      <c r="L873" s="653"/>
      <c r="M873" s="653"/>
      <c r="N873" s="653"/>
      <c r="O873" s="653"/>
      <c r="P873" s="653"/>
      <c r="Q873" s="653"/>
      <c r="R873" s="653"/>
      <c r="S873" s="653"/>
      <c r="T873" s="653"/>
      <c r="U873" s="656"/>
      <c r="V873" s="653"/>
      <c r="W873" s="653"/>
      <c r="X873" s="653"/>
      <c r="Y873" s="657"/>
      <c r="Z873" s="615"/>
      <c r="AA873" s="653"/>
      <c r="AB873" s="657"/>
      <c r="AC873" s="653"/>
      <c r="AD873" s="653"/>
      <c r="AE873" s="653"/>
      <c r="AF873" s="653"/>
      <c r="AG873" s="653"/>
      <c r="AH873" s="653"/>
      <c r="AI873" s="653"/>
      <c r="AJ873" s="653"/>
      <c r="AK873" s="653"/>
      <c r="AL873" s="653"/>
      <c r="AM873" s="653"/>
      <c r="AN873" s="653"/>
      <c r="AO873" s="653"/>
      <c r="AP873" s="653"/>
      <c r="AQ873" s="653"/>
      <c r="AR873" s="653"/>
      <c r="AS873" s="653"/>
      <c r="AT873" s="653"/>
      <c r="AU873" s="653"/>
      <c r="AV873" s="653"/>
    </row>
    <row r="874" spans="1:48" ht="14.5">
      <c r="A874" s="653"/>
      <c r="B874" s="653"/>
      <c r="C874" s="653"/>
      <c r="D874" s="653"/>
      <c r="E874" s="653"/>
      <c r="F874" s="653"/>
      <c r="G874" s="654"/>
      <c r="H874" s="654"/>
      <c r="I874" s="653"/>
      <c r="J874" s="653"/>
      <c r="K874" s="655"/>
      <c r="L874" s="653"/>
      <c r="M874" s="653"/>
      <c r="N874" s="653"/>
      <c r="O874" s="653"/>
      <c r="P874" s="653"/>
      <c r="Q874" s="653"/>
      <c r="R874" s="653"/>
      <c r="S874" s="653"/>
      <c r="T874" s="653"/>
      <c r="U874" s="656"/>
      <c r="V874" s="653"/>
      <c r="W874" s="653"/>
      <c r="X874" s="653"/>
      <c r="Y874" s="657"/>
      <c r="Z874" s="615"/>
      <c r="AA874" s="653"/>
      <c r="AB874" s="657"/>
      <c r="AC874" s="653"/>
      <c r="AD874" s="653"/>
      <c r="AE874" s="653"/>
      <c r="AF874" s="653"/>
      <c r="AG874" s="653"/>
      <c r="AH874" s="653"/>
      <c r="AI874" s="653"/>
      <c r="AJ874" s="653"/>
      <c r="AK874" s="653"/>
      <c r="AL874" s="653"/>
      <c r="AM874" s="653"/>
      <c r="AN874" s="653"/>
      <c r="AO874" s="653"/>
      <c r="AP874" s="653"/>
      <c r="AQ874" s="653"/>
      <c r="AR874" s="653"/>
      <c r="AS874" s="653"/>
      <c r="AT874" s="653"/>
      <c r="AU874" s="653"/>
      <c r="AV874" s="653"/>
    </row>
    <row r="875" spans="1:48" ht="14.5">
      <c r="A875" s="653"/>
      <c r="B875" s="653"/>
      <c r="C875" s="653"/>
      <c r="D875" s="653"/>
      <c r="E875" s="653"/>
      <c r="F875" s="653"/>
      <c r="G875" s="654"/>
      <c r="H875" s="654"/>
      <c r="I875" s="653"/>
      <c r="J875" s="653"/>
      <c r="K875" s="655"/>
      <c r="L875" s="653"/>
      <c r="M875" s="653"/>
      <c r="N875" s="653"/>
      <c r="O875" s="653"/>
      <c r="P875" s="653"/>
      <c r="Q875" s="653"/>
      <c r="R875" s="653"/>
      <c r="S875" s="653"/>
      <c r="T875" s="653"/>
      <c r="U875" s="656"/>
      <c r="V875" s="653"/>
      <c r="W875" s="653"/>
      <c r="X875" s="653"/>
      <c r="Y875" s="657"/>
      <c r="Z875" s="615"/>
      <c r="AA875" s="653"/>
      <c r="AB875" s="657"/>
      <c r="AC875" s="653"/>
      <c r="AD875" s="653"/>
      <c r="AE875" s="653"/>
      <c r="AF875" s="653"/>
      <c r="AG875" s="653"/>
      <c r="AH875" s="653"/>
      <c r="AI875" s="653"/>
      <c r="AJ875" s="653"/>
      <c r="AK875" s="653"/>
      <c r="AL875" s="653"/>
      <c r="AM875" s="653"/>
      <c r="AN875" s="653"/>
      <c r="AO875" s="653"/>
      <c r="AP875" s="653"/>
      <c r="AQ875" s="653"/>
      <c r="AR875" s="653"/>
      <c r="AS875" s="653"/>
      <c r="AT875" s="653"/>
      <c r="AU875" s="653"/>
      <c r="AV875" s="653"/>
    </row>
    <row r="876" spans="1:48" ht="14.5">
      <c r="A876" s="653"/>
      <c r="B876" s="653"/>
      <c r="C876" s="653"/>
      <c r="D876" s="653"/>
      <c r="E876" s="653"/>
      <c r="F876" s="653"/>
      <c r="G876" s="654"/>
      <c r="H876" s="654"/>
      <c r="I876" s="653"/>
      <c r="J876" s="653"/>
      <c r="K876" s="655"/>
      <c r="L876" s="653"/>
      <c r="M876" s="653"/>
      <c r="N876" s="653"/>
      <c r="O876" s="653"/>
      <c r="P876" s="653"/>
      <c r="Q876" s="653"/>
      <c r="R876" s="653"/>
      <c r="S876" s="653"/>
      <c r="T876" s="653"/>
      <c r="U876" s="656"/>
      <c r="V876" s="653"/>
      <c r="W876" s="653"/>
      <c r="X876" s="653"/>
      <c r="Y876" s="657"/>
      <c r="Z876" s="615"/>
      <c r="AA876" s="653"/>
      <c r="AB876" s="657"/>
      <c r="AC876" s="653"/>
      <c r="AD876" s="653"/>
      <c r="AE876" s="653"/>
      <c r="AF876" s="653"/>
      <c r="AG876" s="653"/>
      <c r="AH876" s="653"/>
      <c r="AI876" s="653"/>
      <c r="AJ876" s="653"/>
      <c r="AK876" s="653"/>
      <c r="AL876" s="653"/>
      <c r="AM876" s="653"/>
      <c r="AN876" s="653"/>
      <c r="AO876" s="653"/>
      <c r="AP876" s="653"/>
      <c r="AQ876" s="653"/>
      <c r="AR876" s="653"/>
      <c r="AS876" s="653"/>
      <c r="AT876" s="653"/>
      <c r="AU876" s="653"/>
      <c r="AV876" s="653"/>
    </row>
    <row r="877" spans="1:48" ht="14.5">
      <c r="A877" s="653"/>
      <c r="B877" s="653"/>
      <c r="C877" s="653"/>
      <c r="D877" s="653"/>
      <c r="E877" s="653"/>
      <c r="F877" s="653"/>
      <c r="G877" s="654"/>
      <c r="H877" s="654"/>
      <c r="I877" s="653"/>
      <c r="J877" s="653"/>
      <c r="K877" s="655"/>
      <c r="L877" s="653"/>
      <c r="M877" s="653"/>
      <c r="N877" s="653"/>
      <c r="O877" s="653"/>
      <c r="P877" s="653"/>
      <c r="Q877" s="653"/>
      <c r="R877" s="653"/>
      <c r="S877" s="653"/>
      <c r="T877" s="653"/>
      <c r="U877" s="656"/>
      <c r="V877" s="653"/>
      <c r="W877" s="653"/>
      <c r="X877" s="653"/>
      <c r="Y877" s="657"/>
      <c r="Z877" s="615"/>
      <c r="AA877" s="653"/>
      <c r="AB877" s="657"/>
      <c r="AC877" s="653"/>
      <c r="AD877" s="653"/>
      <c r="AE877" s="653"/>
      <c r="AF877" s="653"/>
      <c r="AG877" s="653"/>
      <c r="AH877" s="653"/>
      <c r="AI877" s="653"/>
      <c r="AJ877" s="653"/>
      <c r="AK877" s="653"/>
      <c r="AL877" s="653"/>
      <c r="AM877" s="653"/>
      <c r="AN877" s="653"/>
      <c r="AO877" s="653"/>
      <c r="AP877" s="653"/>
      <c r="AQ877" s="653"/>
      <c r="AR877" s="653"/>
      <c r="AS877" s="653"/>
      <c r="AT877" s="653"/>
      <c r="AU877" s="653"/>
      <c r="AV877" s="653"/>
    </row>
    <row r="878" spans="1:48" ht="14.5">
      <c r="A878" s="653"/>
      <c r="B878" s="653"/>
      <c r="C878" s="653"/>
      <c r="D878" s="653"/>
      <c r="E878" s="653"/>
      <c r="F878" s="653"/>
      <c r="G878" s="654"/>
      <c r="H878" s="654"/>
      <c r="I878" s="653"/>
      <c r="J878" s="653"/>
      <c r="K878" s="655"/>
      <c r="L878" s="653"/>
      <c r="M878" s="653"/>
      <c r="N878" s="653"/>
      <c r="O878" s="653"/>
      <c r="P878" s="653"/>
      <c r="Q878" s="653"/>
      <c r="R878" s="653"/>
      <c r="S878" s="653"/>
      <c r="T878" s="653"/>
      <c r="U878" s="656"/>
      <c r="V878" s="653"/>
      <c r="W878" s="653"/>
      <c r="X878" s="653"/>
      <c r="Y878" s="657"/>
      <c r="Z878" s="615"/>
      <c r="AA878" s="653"/>
      <c r="AB878" s="657"/>
      <c r="AC878" s="653"/>
      <c r="AD878" s="653"/>
      <c r="AE878" s="653"/>
      <c r="AF878" s="653"/>
      <c r="AG878" s="653"/>
      <c r="AH878" s="653"/>
      <c r="AI878" s="653"/>
      <c r="AJ878" s="653"/>
      <c r="AK878" s="653"/>
      <c r="AL878" s="653"/>
      <c r="AM878" s="653"/>
      <c r="AN878" s="653"/>
      <c r="AO878" s="653"/>
      <c r="AP878" s="653"/>
      <c r="AQ878" s="653"/>
      <c r="AR878" s="653"/>
      <c r="AS878" s="653"/>
      <c r="AT878" s="653"/>
      <c r="AU878" s="653"/>
      <c r="AV878" s="653"/>
    </row>
    <row r="879" spans="1:48" ht="14.5">
      <c r="A879" s="653"/>
      <c r="B879" s="653"/>
      <c r="C879" s="653"/>
      <c r="D879" s="653"/>
      <c r="E879" s="653"/>
      <c r="F879" s="653"/>
      <c r="G879" s="654"/>
      <c r="H879" s="654"/>
      <c r="I879" s="653"/>
      <c r="J879" s="653"/>
      <c r="K879" s="655"/>
      <c r="L879" s="653"/>
      <c r="M879" s="653"/>
      <c r="N879" s="653"/>
      <c r="O879" s="653"/>
      <c r="P879" s="653"/>
      <c r="Q879" s="653"/>
      <c r="R879" s="653"/>
      <c r="S879" s="653"/>
      <c r="T879" s="653"/>
      <c r="U879" s="656"/>
      <c r="V879" s="653"/>
      <c r="W879" s="653"/>
      <c r="X879" s="653"/>
      <c r="Y879" s="657"/>
      <c r="Z879" s="615"/>
      <c r="AA879" s="653"/>
      <c r="AB879" s="657"/>
      <c r="AC879" s="653"/>
      <c r="AD879" s="653"/>
      <c r="AE879" s="653"/>
      <c r="AF879" s="653"/>
      <c r="AG879" s="653"/>
      <c r="AH879" s="653"/>
      <c r="AI879" s="653"/>
      <c r="AJ879" s="653"/>
      <c r="AK879" s="653"/>
      <c r="AL879" s="653"/>
      <c r="AM879" s="653"/>
      <c r="AN879" s="653"/>
      <c r="AO879" s="653"/>
      <c r="AP879" s="653"/>
      <c r="AQ879" s="653"/>
      <c r="AR879" s="653"/>
      <c r="AS879" s="653"/>
      <c r="AT879" s="653"/>
      <c r="AU879" s="653"/>
      <c r="AV879" s="653"/>
    </row>
    <row r="880" spans="1:48" ht="14.5">
      <c r="A880" s="653"/>
      <c r="B880" s="653"/>
      <c r="C880" s="653"/>
      <c r="D880" s="653"/>
      <c r="E880" s="653"/>
      <c r="F880" s="653"/>
      <c r="G880" s="654"/>
      <c r="H880" s="654"/>
      <c r="I880" s="653"/>
      <c r="J880" s="653"/>
      <c r="K880" s="655"/>
      <c r="L880" s="653"/>
      <c r="M880" s="653"/>
      <c r="N880" s="653"/>
      <c r="O880" s="653"/>
      <c r="P880" s="653"/>
      <c r="Q880" s="653"/>
      <c r="R880" s="653"/>
      <c r="S880" s="653"/>
      <c r="T880" s="653"/>
      <c r="U880" s="656"/>
      <c r="V880" s="653"/>
      <c r="W880" s="653"/>
      <c r="X880" s="653"/>
      <c r="Y880" s="657"/>
      <c r="Z880" s="615"/>
      <c r="AA880" s="653"/>
      <c r="AB880" s="657"/>
      <c r="AC880" s="653"/>
      <c r="AD880" s="653"/>
      <c r="AE880" s="653"/>
      <c r="AF880" s="653"/>
      <c r="AG880" s="653"/>
      <c r="AH880" s="653"/>
      <c r="AI880" s="653"/>
      <c r="AJ880" s="653"/>
      <c r="AK880" s="653"/>
      <c r="AL880" s="653"/>
      <c r="AM880" s="653"/>
      <c r="AN880" s="653"/>
      <c r="AO880" s="653"/>
      <c r="AP880" s="653"/>
      <c r="AQ880" s="653"/>
      <c r="AR880" s="653"/>
      <c r="AS880" s="653"/>
      <c r="AT880" s="653"/>
      <c r="AU880" s="653"/>
      <c r="AV880" s="653"/>
    </row>
    <row r="881" spans="1:48" ht="14.5">
      <c r="A881" s="653"/>
      <c r="B881" s="653"/>
      <c r="C881" s="653"/>
      <c r="D881" s="653"/>
      <c r="E881" s="653"/>
      <c r="F881" s="653"/>
      <c r="G881" s="654"/>
      <c r="H881" s="654"/>
      <c r="I881" s="653"/>
      <c r="J881" s="653"/>
      <c r="K881" s="655"/>
      <c r="L881" s="653"/>
      <c r="M881" s="653"/>
      <c r="N881" s="653"/>
      <c r="O881" s="653"/>
      <c r="P881" s="653"/>
      <c r="Q881" s="653"/>
      <c r="R881" s="653"/>
      <c r="S881" s="653"/>
      <c r="T881" s="653"/>
      <c r="U881" s="656"/>
      <c r="V881" s="653"/>
      <c r="W881" s="653"/>
      <c r="X881" s="653"/>
      <c r="Y881" s="657"/>
      <c r="Z881" s="615"/>
      <c r="AA881" s="653"/>
      <c r="AB881" s="657"/>
      <c r="AC881" s="653"/>
      <c r="AD881" s="653"/>
      <c r="AE881" s="653"/>
      <c r="AF881" s="653"/>
      <c r="AG881" s="653"/>
      <c r="AH881" s="653"/>
      <c r="AI881" s="653"/>
      <c r="AJ881" s="653"/>
      <c r="AK881" s="653"/>
      <c r="AL881" s="653"/>
      <c r="AM881" s="653"/>
      <c r="AN881" s="653"/>
      <c r="AO881" s="653"/>
      <c r="AP881" s="653"/>
      <c r="AQ881" s="653"/>
      <c r="AR881" s="653"/>
      <c r="AS881" s="653"/>
      <c r="AT881" s="653"/>
      <c r="AU881" s="653"/>
      <c r="AV881" s="653"/>
    </row>
    <row r="882" spans="1:48" ht="14.5">
      <c r="A882" s="653"/>
      <c r="B882" s="653"/>
      <c r="C882" s="653"/>
      <c r="D882" s="653"/>
      <c r="E882" s="653"/>
      <c r="F882" s="653"/>
      <c r="G882" s="654"/>
      <c r="H882" s="654"/>
      <c r="I882" s="653"/>
      <c r="J882" s="653"/>
      <c r="K882" s="655"/>
      <c r="L882" s="653"/>
      <c r="M882" s="653"/>
      <c r="N882" s="653"/>
      <c r="O882" s="653"/>
      <c r="P882" s="653"/>
      <c r="Q882" s="653"/>
      <c r="R882" s="653"/>
      <c r="S882" s="653"/>
      <c r="T882" s="653"/>
      <c r="U882" s="653"/>
      <c r="V882" s="653"/>
      <c r="W882" s="653"/>
      <c r="X882" s="653"/>
      <c r="Y882" s="657"/>
      <c r="Z882" s="615"/>
      <c r="AA882" s="653"/>
      <c r="AB882" s="657"/>
      <c r="AC882" s="653"/>
      <c r="AD882" s="653"/>
      <c r="AE882" s="653"/>
      <c r="AF882" s="653"/>
      <c r="AG882" s="653"/>
      <c r="AH882" s="653"/>
      <c r="AI882" s="653"/>
      <c r="AJ882" s="653"/>
      <c r="AK882" s="653"/>
      <c r="AL882" s="653"/>
      <c r="AM882" s="653"/>
      <c r="AN882" s="653"/>
      <c r="AO882" s="653"/>
      <c r="AP882" s="653"/>
      <c r="AQ882" s="653"/>
      <c r="AR882" s="653"/>
      <c r="AS882" s="653"/>
      <c r="AT882" s="653"/>
      <c r="AU882" s="653"/>
      <c r="AV882" s="653"/>
    </row>
    <row r="883" spans="1:48" ht="14.5">
      <c r="A883" s="653"/>
      <c r="B883" s="653"/>
      <c r="C883" s="653"/>
      <c r="D883" s="653"/>
      <c r="E883" s="653"/>
      <c r="F883" s="653"/>
      <c r="G883" s="654"/>
      <c r="H883" s="654"/>
      <c r="I883" s="653"/>
      <c r="J883" s="653"/>
      <c r="K883" s="655"/>
      <c r="L883" s="653"/>
      <c r="M883" s="653"/>
      <c r="N883" s="653"/>
      <c r="O883" s="653"/>
      <c r="P883" s="653"/>
      <c r="Q883" s="653"/>
      <c r="R883" s="653"/>
      <c r="S883" s="653"/>
      <c r="T883" s="653"/>
      <c r="U883" s="653"/>
      <c r="V883" s="653"/>
      <c r="W883" s="653"/>
      <c r="X883" s="653"/>
      <c r="Y883" s="657"/>
      <c r="Z883" s="615"/>
      <c r="AA883" s="653"/>
      <c r="AB883" s="657"/>
      <c r="AC883" s="653"/>
      <c r="AD883" s="653"/>
      <c r="AE883" s="653"/>
      <c r="AF883" s="653"/>
      <c r="AG883" s="653"/>
      <c r="AH883" s="653"/>
      <c r="AI883" s="653"/>
      <c r="AJ883" s="653"/>
      <c r="AK883" s="653"/>
      <c r="AL883" s="653"/>
      <c r="AM883" s="653"/>
      <c r="AN883" s="653"/>
      <c r="AO883" s="653"/>
      <c r="AP883" s="653"/>
      <c r="AQ883" s="653"/>
      <c r="AR883" s="653"/>
      <c r="AS883" s="653"/>
      <c r="AT883" s="653"/>
      <c r="AU883" s="653"/>
      <c r="AV883" s="653"/>
    </row>
    <row r="884" spans="1:48" ht="14.5">
      <c r="A884" s="653"/>
      <c r="B884" s="653"/>
      <c r="C884" s="653"/>
      <c r="D884" s="653"/>
      <c r="E884" s="653"/>
      <c r="F884" s="653"/>
      <c r="G884" s="654"/>
      <c r="H884" s="654"/>
      <c r="I884" s="653"/>
      <c r="J884" s="653"/>
      <c r="K884" s="655"/>
      <c r="L884" s="653"/>
      <c r="M884" s="653"/>
      <c r="N884" s="653"/>
      <c r="O884" s="653"/>
      <c r="P884" s="653"/>
      <c r="Q884" s="653"/>
      <c r="R884" s="653"/>
      <c r="S884" s="653"/>
      <c r="T884" s="653"/>
      <c r="U884" s="653"/>
      <c r="V884" s="653"/>
      <c r="W884" s="653"/>
      <c r="X884" s="653"/>
      <c r="Y884" s="657"/>
      <c r="Z884" s="615"/>
      <c r="AA884" s="653"/>
      <c r="AB884" s="657"/>
      <c r="AC884" s="653"/>
      <c r="AD884" s="653"/>
      <c r="AE884" s="653"/>
      <c r="AF884" s="653"/>
      <c r="AG884" s="653"/>
      <c r="AH884" s="653"/>
      <c r="AI884" s="653"/>
      <c r="AJ884" s="653"/>
      <c r="AK884" s="653"/>
      <c r="AL884" s="653"/>
      <c r="AM884" s="653"/>
      <c r="AN884" s="653"/>
      <c r="AO884" s="653"/>
      <c r="AP884" s="653"/>
      <c r="AQ884" s="653"/>
      <c r="AR884" s="653"/>
      <c r="AS884" s="653"/>
      <c r="AT884" s="653"/>
      <c r="AU884" s="653"/>
      <c r="AV884" s="653"/>
    </row>
    <row r="885" spans="1:48" ht="14.5">
      <c r="A885" s="653"/>
      <c r="B885" s="653"/>
      <c r="C885" s="653"/>
      <c r="D885" s="653"/>
      <c r="E885" s="653"/>
      <c r="F885" s="653"/>
      <c r="G885" s="654"/>
      <c r="H885" s="654"/>
      <c r="I885" s="653"/>
      <c r="J885" s="653"/>
      <c r="K885" s="655"/>
      <c r="L885" s="653"/>
      <c r="M885" s="653"/>
      <c r="N885" s="653"/>
      <c r="O885" s="653"/>
      <c r="P885" s="653"/>
      <c r="Q885" s="653"/>
      <c r="R885" s="653"/>
      <c r="S885" s="653"/>
      <c r="T885" s="653"/>
      <c r="U885" s="653"/>
      <c r="V885" s="653"/>
      <c r="W885" s="653"/>
      <c r="X885" s="653"/>
      <c r="Y885" s="657"/>
      <c r="Z885" s="615"/>
      <c r="AA885" s="653"/>
      <c r="AB885" s="657"/>
      <c r="AC885" s="653"/>
      <c r="AD885" s="653"/>
      <c r="AE885" s="653"/>
      <c r="AF885" s="653"/>
      <c r="AG885" s="653"/>
      <c r="AH885" s="653"/>
      <c r="AI885" s="653"/>
      <c r="AJ885" s="653"/>
      <c r="AK885" s="653"/>
      <c r="AL885" s="653"/>
      <c r="AM885" s="653"/>
      <c r="AN885" s="653"/>
      <c r="AO885" s="653"/>
      <c r="AP885" s="653"/>
      <c r="AQ885" s="653"/>
      <c r="AR885" s="653"/>
      <c r="AS885" s="653"/>
      <c r="AT885" s="653"/>
      <c r="AU885" s="653"/>
      <c r="AV885" s="653"/>
    </row>
    <row r="886" spans="1:48" ht="14.5">
      <c r="A886" s="653"/>
      <c r="B886" s="653"/>
      <c r="C886" s="653"/>
      <c r="D886" s="653"/>
      <c r="E886" s="653"/>
      <c r="F886" s="653"/>
      <c r="G886" s="654"/>
      <c r="H886" s="654"/>
      <c r="I886" s="653"/>
      <c r="J886" s="653"/>
      <c r="K886" s="655"/>
      <c r="L886" s="653"/>
      <c r="M886" s="653"/>
      <c r="N886" s="653"/>
      <c r="O886" s="653"/>
      <c r="P886" s="653"/>
      <c r="Q886" s="653"/>
      <c r="R886" s="653"/>
      <c r="S886" s="653"/>
      <c r="T886" s="653"/>
      <c r="U886" s="653"/>
      <c r="V886" s="653"/>
      <c r="W886" s="653"/>
      <c r="X886" s="653"/>
      <c r="Y886" s="657"/>
      <c r="Z886" s="615"/>
      <c r="AA886" s="653"/>
      <c r="AB886" s="657"/>
      <c r="AC886" s="653"/>
      <c r="AD886" s="653"/>
      <c r="AE886" s="653"/>
      <c r="AF886" s="653"/>
      <c r="AG886" s="653"/>
      <c r="AH886" s="653"/>
      <c r="AI886" s="653"/>
      <c r="AJ886" s="653"/>
      <c r="AK886" s="653"/>
      <c r="AL886" s="653"/>
      <c r="AM886" s="653"/>
      <c r="AN886" s="653"/>
      <c r="AO886" s="653"/>
      <c r="AP886" s="653"/>
      <c r="AQ886" s="653"/>
      <c r="AR886" s="653"/>
      <c r="AS886" s="653"/>
      <c r="AT886" s="653"/>
      <c r="AU886" s="653"/>
      <c r="AV886" s="653"/>
    </row>
    <row r="887" spans="1:48" ht="14.5">
      <c r="A887" s="653"/>
      <c r="B887" s="653"/>
      <c r="C887" s="653"/>
      <c r="D887" s="653"/>
      <c r="E887" s="653"/>
      <c r="F887" s="653"/>
      <c r="G887" s="654"/>
      <c r="H887" s="654"/>
      <c r="I887" s="653"/>
      <c r="J887" s="653"/>
      <c r="K887" s="655"/>
      <c r="L887" s="653"/>
      <c r="M887" s="653"/>
      <c r="N887" s="653"/>
      <c r="O887" s="653"/>
      <c r="P887" s="653"/>
      <c r="Q887" s="653"/>
      <c r="R887" s="653"/>
      <c r="S887" s="653"/>
      <c r="T887" s="653"/>
      <c r="U887" s="653"/>
      <c r="V887" s="653"/>
      <c r="W887" s="653"/>
      <c r="X887" s="653"/>
      <c r="Y887" s="657"/>
      <c r="Z887" s="615"/>
      <c r="AA887" s="653"/>
      <c r="AB887" s="657"/>
      <c r="AC887" s="653"/>
      <c r="AD887" s="653"/>
      <c r="AE887" s="653"/>
      <c r="AF887" s="653"/>
      <c r="AG887" s="653"/>
      <c r="AH887" s="653"/>
      <c r="AI887" s="653"/>
      <c r="AJ887" s="653"/>
      <c r="AK887" s="653"/>
      <c r="AL887" s="653"/>
      <c r="AM887" s="653"/>
      <c r="AN887" s="653"/>
      <c r="AO887" s="653"/>
      <c r="AP887" s="653"/>
      <c r="AQ887" s="653"/>
      <c r="AR887" s="653"/>
      <c r="AS887" s="653"/>
      <c r="AT887" s="653"/>
      <c r="AU887" s="653"/>
      <c r="AV887" s="653"/>
    </row>
    <row r="888" spans="1:48" ht="14.5">
      <c r="A888" s="653"/>
      <c r="B888" s="653"/>
      <c r="C888" s="653"/>
      <c r="D888" s="653"/>
      <c r="E888" s="653"/>
      <c r="F888" s="653"/>
      <c r="G888" s="654"/>
      <c r="H888" s="654"/>
      <c r="I888" s="653"/>
      <c r="J888" s="653"/>
      <c r="K888" s="655"/>
      <c r="L888" s="653"/>
      <c r="M888" s="653"/>
      <c r="N888" s="653"/>
      <c r="O888" s="653"/>
      <c r="P888" s="653"/>
      <c r="Q888" s="653"/>
      <c r="R888" s="653"/>
      <c r="S888" s="653"/>
      <c r="T888" s="653"/>
      <c r="U888" s="653"/>
      <c r="V888" s="653"/>
      <c r="W888" s="653"/>
      <c r="X888" s="653"/>
      <c r="Y888" s="657"/>
      <c r="Z888" s="615"/>
      <c r="AA888" s="653"/>
      <c r="AB888" s="657"/>
      <c r="AC888" s="653"/>
      <c r="AD888" s="653"/>
      <c r="AE888" s="653"/>
      <c r="AF888" s="653"/>
      <c r="AG888" s="653"/>
      <c r="AH888" s="653"/>
      <c r="AI888" s="653"/>
      <c r="AJ888" s="653"/>
      <c r="AK888" s="653"/>
      <c r="AL888" s="653"/>
      <c r="AM888" s="653"/>
      <c r="AN888" s="653"/>
      <c r="AO888" s="653"/>
      <c r="AP888" s="653"/>
      <c r="AQ888" s="653"/>
      <c r="AR888" s="653"/>
      <c r="AS888" s="653"/>
      <c r="AT888" s="653"/>
      <c r="AU888" s="653"/>
      <c r="AV888" s="653"/>
    </row>
    <row r="889" spans="1:48" ht="14.5">
      <c r="A889" s="653"/>
      <c r="B889" s="653"/>
      <c r="C889" s="653"/>
      <c r="D889" s="653"/>
      <c r="E889" s="653"/>
      <c r="F889" s="653"/>
      <c r="G889" s="654"/>
      <c r="H889" s="654"/>
      <c r="I889" s="653"/>
      <c r="J889" s="653"/>
      <c r="K889" s="655"/>
      <c r="L889" s="653"/>
      <c r="M889" s="653"/>
      <c r="N889" s="653"/>
      <c r="O889" s="653"/>
      <c r="P889" s="653"/>
      <c r="Q889" s="653"/>
      <c r="R889" s="653"/>
      <c r="S889" s="653"/>
      <c r="T889" s="653"/>
      <c r="U889" s="653"/>
      <c r="V889" s="653"/>
      <c r="W889" s="653"/>
      <c r="X889" s="653"/>
      <c r="Y889" s="657"/>
      <c r="Z889" s="615"/>
      <c r="AA889" s="653"/>
      <c r="AB889" s="657"/>
      <c r="AC889" s="653"/>
      <c r="AD889" s="653"/>
      <c r="AE889" s="653"/>
      <c r="AF889" s="653"/>
      <c r="AG889" s="653"/>
      <c r="AH889" s="653"/>
      <c r="AI889" s="653"/>
      <c r="AJ889" s="653"/>
      <c r="AK889" s="653"/>
      <c r="AL889" s="653"/>
      <c r="AM889" s="653"/>
      <c r="AN889" s="653"/>
      <c r="AO889" s="653"/>
      <c r="AP889" s="653"/>
      <c r="AQ889" s="653"/>
      <c r="AR889" s="653"/>
      <c r="AS889" s="653"/>
      <c r="AT889" s="653"/>
      <c r="AU889" s="653"/>
      <c r="AV889" s="653"/>
    </row>
    <row r="890" spans="1:48" ht="14.5">
      <c r="A890" s="653"/>
      <c r="B890" s="653"/>
      <c r="C890" s="653"/>
      <c r="D890" s="653"/>
      <c r="E890" s="653"/>
      <c r="F890" s="653"/>
      <c r="G890" s="654"/>
      <c r="H890" s="654"/>
      <c r="I890" s="653"/>
      <c r="J890" s="653"/>
      <c r="K890" s="655"/>
      <c r="L890" s="653"/>
      <c r="M890" s="653"/>
      <c r="N890" s="653"/>
      <c r="O890" s="653"/>
      <c r="P890" s="653"/>
      <c r="Q890" s="653"/>
      <c r="R890" s="653"/>
      <c r="S890" s="653"/>
      <c r="T890" s="653"/>
      <c r="U890" s="653"/>
      <c r="V890" s="653"/>
      <c r="W890" s="653"/>
      <c r="X890" s="653"/>
      <c r="Y890" s="657"/>
      <c r="Z890" s="615"/>
      <c r="AA890" s="653"/>
      <c r="AB890" s="657"/>
      <c r="AC890" s="653"/>
      <c r="AD890" s="653"/>
      <c r="AE890" s="653"/>
      <c r="AF890" s="653"/>
      <c r="AG890" s="653"/>
      <c r="AH890" s="653"/>
      <c r="AI890" s="653"/>
      <c r="AJ890" s="653"/>
      <c r="AK890" s="653"/>
      <c r="AL890" s="653"/>
      <c r="AM890" s="653"/>
      <c r="AN890" s="653"/>
      <c r="AO890" s="653"/>
      <c r="AP890" s="653"/>
      <c r="AQ890" s="653"/>
      <c r="AR890" s="653"/>
      <c r="AS890" s="653"/>
      <c r="AT890" s="653"/>
      <c r="AU890" s="653"/>
      <c r="AV890" s="653"/>
    </row>
    <row r="891" spans="1:48" ht="14.5">
      <c r="A891" s="653"/>
      <c r="B891" s="653"/>
      <c r="C891" s="653"/>
      <c r="D891" s="653"/>
      <c r="E891" s="653"/>
      <c r="F891" s="653"/>
      <c r="G891" s="654"/>
      <c r="H891" s="654"/>
      <c r="I891" s="653"/>
      <c r="J891" s="653"/>
      <c r="K891" s="655"/>
      <c r="L891" s="653"/>
      <c r="M891" s="653"/>
      <c r="N891" s="653"/>
      <c r="O891" s="653"/>
      <c r="P891" s="653"/>
      <c r="Q891" s="653"/>
      <c r="R891" s="653"/>
      <c r="S891" s="653"/>
      <c r="T891" s="653"/>
      <c r="U891" s="653"/>
      <c r="V891" s="653"/>
      <c r="W891" s="653"/>
      <c r="X891" s="653"/>
      <c r="Y891" s="657"/>
      <c r="Z891" s="615"/>
      <c r="AA891" s="653"/>
      <c r="AB891" s="657"/>
      <c r="AC891" s="653"/>
      <c r="AD891" s="653"/>
      <c r="AE891" s="653"/>
      <c r="AF891" s="653"/>
      <c r="AG891" s="653"/>
      <c r="AH891" s="653"/>
      <c r="AI891" s="653"/>
      <c r="AJ891" s="653"/>
      <c r="AK891" s="653"/>
      <c r="AL891" s="653"/>
      <c r="AM891" s="653"/>
      <c r="AN891" s="653"/>
      <c r="AO891" s="653"/>
      <c r="AP891" s="653"/>
      <c r="AQ891" s="653"/>
      <c r="AR891" s="653"/>
      <c r="AS891" s="653"/>
      <c r="AT891" s="653"/>
      <c r="AU891" s="653"/>
      <c r="AV891" s="653"/>
    </row>
    <row r="892" spans="1:48" ht="14.5">
      <c r="A892" s="653"/>
      <c r="B892" s="653"/>
      <c r="C892" s="653"/>
      <c r="D892" s="653"/>
      <c r="E892" s="653"/>
      <c r="F892" s="653"/>
      <c r="G892" s="654"/>
      <c r="H892" s="654"/>
      <c r="I892" s="653"/>
      <c r="J892" s="653"/>
      <c r="K892" s="655"/>
      <c r="L892" s="653"/>
      <c r="M892" s="653"/>
      <c r="N892" s="653"/>
      <c r="O892" s="653"/>
      <c r="P892" s="653"/>
      <c r="Q892" s="653"/>
      <c r="R892" s="653"/>
      <c r="S892" s="653"/>
      <c r="T892" s="653"/>
      <c r="U892" s="653"/>
      <c r="V892" s="653"/>
      <c r="W892" s="653"/>
      <c r="X892" s="653"/>
      <c r="Y892" s="657"/>
      <c r="Z892" s="615"/>
      <c r="AA892" s="653"/>
      <c r="AB892" s="657"/>
      <c r="AC892" s="653"/>
      <c r="AD892" s="653"/>
      <c r="AE892" s="653"/>
      <c r="AF892" s="653"/>
      <c r="AG892" s="653"/>
      <c r="AH892" s="653"/>
      <c r="AI892" s="653"/>
      <c r="AJ892" s="653"/>
      <c r="AK892" s="653"/>
      <c r="AL892" s="653"/>
      <c r="AM892" s="653"/>
      <c r="AN892" s="653"/>
      <c r="AO892" s="653"/>
      <c r="AP892" s="653"/>
      <c r="AQ892" s="653"/>
      <c r="AR892" s="653"/>
      <c r="AS892" s="653"/>
      <c r="AT892" s="653"/>
      <c r="AU892" s="653"/>
      <c r="AV892" s="653"/>
    </row>
    <row r="893" spans="1:48" ht="14.5">
      <c r="A893" s="653"/>
      <c r="B893" s="653"/>
      <c r="C893" s="653"/>
      <c r="D893" s="653"/>
      <c r="E893" s="653"/>
      <c r="F893" s="653"/>
      <c r="G893" s="654"/>
      <c r="H893" s="654"/>
      <c r="I893" s="653"/>
      <c r="J893" s="653"/>
      <c r="K893" s="655"/>
      <c r="L893" s="653"/>
      <c r="M893" s="653"/>
      <c r="N893" s="653"/>
      <c r="O893" s="653"/>
      <c r="P893" s="653"/>
      <c r="Q893" s="653"/>
      <c r="R893" s="653"/>
      <c r="S893" s="653"/>
      <c r="T893" s="653"/>
      <c r="U893" s="653"/>
      <c r="V893" s="653"/>
      <c r="W893" s="653"/>
      <c r="X893" s="653"/>
      <c r="Y893" s="657"/>
      <c r="Z893" s="615"/>
      <c r="AA893" s="653"/>
      <c r="AB893" s="657"/>
      <c r="AC893" s="653"/>
      <c r="AD893" s="653"/>
      <c r="AE893" s="653"/>
      <c r="AF893" s="653"/>
      <c r="AG893" s="653"/>
      <c r="AH893" s="653"/>
      <c r="AI893" s="653"/>
      <c r="AJ893" s="653"/>
      <c r="AK893" s="653"/>
      <c r="AL893" s="653"/>
      <c r="AM893" s="653"/>
      <c r="AN893" s="653"/>
      <c r="AO893" s="653"/>
      <c r="AP893" s="653"/>
      <c r="AQ893" s="653"/>
      <c r="AR893" s="653"/>
      <c r="AS893" s="653"/>
      <c r="AT893" s="653"/>
      <c r="AU893" s="653"/>
      <c r="AV893" s="653"/>
    </row>
    <row r="894" spans="1:48" ht="14.5">
      <c r="A894" s="653"/>
      <c r="B894" s="653"/>
      <c r="C894" s="653"/>
      <c r="D894" s="653"/>
      <c r="E894" s="653"/>
      <c r="F894" s="653"/>
      <c r="G894" s="654"/>
      <c r="H894" s="654"/>
      <c r="I894" s="653"/>
      <c r="J894" s="653"/>
      <c r="K894" s="655"/>
      <c r="L894" s="653"/>
      <c r="M894" s="653"/>
      <c r="N894" s="653"/>
      <c r="O894" s="653"/>
      <c r="P894" s="653"/>
      <c r="Q894" s="653"/>
      <c r="R894" s="653"/>
      <c r="S894" s="653"/>
      <c r="T894" s="653"/>
      <c r="U894" s="653"/>
      <c r="V894" s="653"/>
      <c r="W894" s="653"/>
      <c r="X894" s="653"/>
      <c r="Y894" s="657"/>
      <c r="Z894" s="615"/>
      <c r="AA894" s="653"/>
      <c r="AB894" s="657"/>
      <c r="AC894" s="653"/>
      <c r="AD894" s="653"/>
      <c r="AE894" s="653"/>
      <c r="AF894" s="653"/>
      <c r="AG894" s="653"/>
      <c r="AH894" s="653"/>
      <c r="AI894" s="653"/>
      <c r="AJ894" s="653"/>
      <c r="AK894" s="653"/>
      <c r="AL894" s="653"/>
      <c r="AM894" s="653"/>
      <c r="AN894" s="653"/>
      <c r="AO894" s="653"/>
      <c r="AP894" s="653"/>
      <c r="AQ894" s="653"/>
      <c r="AR894" s="653"/>
      <c r="AS894" s="653"/>
      <c r="AT894" s="653"/>
      <c r="AU894" s="653"/>
      <c r="AV894" s="653"/>
    </row>
    <row r="895" spans="1:48" ht="14.5">
      <c r="A895" s="653"/>
      <c r="B895" s="653"/>
      <c r="C895" s="653"/>
      <c r="D895" s="653"/>
      <c r="E895" s="653"/>
      <c r="F895" s="653"/>
      <c r="G895" s="654"/>
      <c r="H895" s="654"/>
      <c r="I895" s="653"/>
      <c r="J895" s="653"/>
      <c r="K895" s="655"/>
      <c r="L895" s="653"/>
      <c r="M895" s="653"/>
      <c r="N895" s="653"/>
      <c r="O895" s="653"/>
      <c r="P895" s="653"/>
      <c r="Q895" s="653"/>
      <c r="R895" s="653"/>
      <c r="S895" s="653"/>
      <c r="T895" s="653"/>
      <c r="U895" s="653"/>
      <c r="V895" s="653"/>
      <c r="W895" s="653"/>
      <c r="X895" s="653"/>
      <c r="Y895" s="657"/>
      <c r="Z895" s="615"/>
      <c r="AA895" s="653"/>
      <c r="AB895" s="657"/>
      <c r="AC895" s="653"/>
      <c r="AD895" s="653"/>
      <c r="AE895" s="653"/>
      <c r="AF895" s="653"/>
      <c r="AG895" s="653"/>
      <c r="AH895" s="653"/>
      <c r="AI895" s="653"/>
      <c r="AJ895" s="653"/>
      <c r="AK895" s="653"/>
      <c r="AL895" s="653"/>
      <c r="AM895" s="653"/>
      <c r="AN895" s="653"/>
      <c r="AO895" s="653"/>
      <c r="AP895" s="653"/>
      <c r="AQ895" s="653"/>
      <c r="AR895" s="653"/>
      <c r="AS895" s="653"/>
      <c r="AT895" s="653"/>
      <c r="AU895" s="653"/>
      <c r="AV895" s="653"/>
    </row>
    <row r="896" spans="1:48" ht="14.5">
      <c r="A896" s="653"/>
      <c r="B896" s="653"/>
      <c r="C896" s="653"/>
      <c r="D896" s="653"/>
      <c r="E896" s="653"/>
      <c r="F896" s="653"/>
      <c r="G896" s="654"/>
      <c r="H896" s="654"/>
      <c r="I896" s="653"/>
      <c r="J896" s="653"/>
      <c r="K896" s="655"/>
      <c r="L896" s="653"/>
      <c r="M896" s="653"/>
      <c r="N896" s="653"/>
      <c r="O896" s="653"/>
      <c r="P896" s="653"/>
      <c r="Q896" s="653"/>
      <c r="R896" s="653"/>
      <c r="S896" s="653"/>
      <c r="T896" s="653"/>
      <c r="U896" s="653"/>
      <c r="V896" s="653"/>
      <c r="W896" s="653"/>
      <c r="X896" s="653"/>
      <c r="Y896" s="657"/>
      <c r="Z896" s="615"/>
      <c r="AA896" s="653"/>
      <c r="AB896" s="657"/>
      <c r="AC896" s="653"/>
      <c r="AD896" s="653"/>
      <c r="AE896" s="653"/>
      <c r="AF896" s="653"/>
      <c r="AG896" s="653"/>
      <c r="AH896" s="653"/>
      <c r="AI896" s="653"/>
      <c r="AJ896" s="653"/>
      <c r="AK896" s="653"/>
      <c r="AL896" s="653"/>
      <c r="AM896" s="653"/>
      <c r="AN896" s="653"/>
      <c r="AO896" s="653"/>
      <c r="AP896" s="653"/>
      <c r="AQ896" s="653"/>
      <c r="AR896" s="653"/>
      <c r="AS896" s="653"/>
      <c r="AT896" s="653"/>
      <c r="AU896" s="653"/>
      <c r="AV896" s="653"/>
    </row>
    <row r="897" spans="1:48" ht="14.5">
      <c r="A897" s="653"/>
      <c r="B897" s="653"/>
      <c r="C897" s="653"/>
      <c r="D897" s="653"/>
      <c r="E897" s="653"/>
      <c r="F897" s="653"/>
      <c r="G897" s="654"/>
      <c r="H897" s="654"/>
      <c r="I897" s="653"/>
      <c r="J897" s="653"/>
      <c r="K897" s="655"/>
      <c r="L897" s="653"/>
      <c r="M897" s="653"/>
      <c r="N897" s="653"/>
      <c r="O897" s="653"/>
      <c r="P897" s="653"/>
      <c r="Q897" s="653"/>
      <c r="R897" s="653"/>
      <c r="S897" s="653"/>
      <c r="T897" s="653"/>
      <c r="U897" s="653"/>
      <c r="V897" s="653"/>
      <c r="W897" s="653"/>
      <c r="X897" s="653"/>
      <c r="Y897" s="657"/>
      <c r="Z897" s="615"/>
      <c r="AA897" s="653"/>
      <c r="AB897" s="657"/>
      <c r="AC897" s="653"/>
      <c r="AD897" s="653"/>
      <c r="AE897" s="653"/>
      <c r="AF897" s="653"/>
      <c r="AG897" s="653"/>
      <c r="AH897" s="653"/>
      <c r="AI897" s="653"/>
      <c r="AJ897" s="653"/>
      <c r="AK897" s="653"/>
      <c r="AL897" s="653"/>
      <c r="AM897" s="653"/>
      <c r="AN897" s="653"/>
      <c r="AO897" s="653"/>
      <c r="AP897" s="653"/>
      <c r="AQ897" s="653"/>
      <c r="AR897" s="653"/>
      <c r="AS897" s="653"/>
      <c r="AT897" s="653"/>
      <c r="AU897" s="653"/>
      <c r="AV897" s="653"/>
    </row>
    <row r="898" spans="1:48" ht="14.5">
      <c r="A898" s="653"/>
      <c r="B898" s="653"/>
      <c r="C898" s="653"/>
      <c r="D898" s="653"/>
      <c r="E898" s="653"/>
      <c r="F898" s="653"/>
      <c r="G898" s="654"/>
      <c r="H898" s="654"/>
      <c r="I898" s="653"/>
      <c r="J898" s="653"/>
      <c r="K898" s="655"/>
      <c r="L898" s="653"/>
      <c r="M898" s="653"/>
      <c r="N898" s="653"/>
      <c r="O898" s="653"/>
      <c r="P898" s="653"/>
      <c r="Q898" s="653"/>
      <c r="R898" s="653"/>
      <c r="S898" s="653"/>
      <c r="T898" s="653"/>
      <c r="U898" s="653"/>
      <c r="V898" s="653"/>
      <c r="W898" s="653"/>
      <c r="X898" s="653"/>
      <c r="Y898" s="657"/>
      <c r="Z898" s="615"/>
      <c r="AA898" s="653"/>
      <c r="AB898" s="657"/>
      <c r="AC898" s="653"/>
      <c r="AD898" s="653"/>
      <c r="AE898" s="653"/>
      <c r="AF898" s="653"/>
      <c r="AG898" s="653"/>
      <c r="AH898" s="653"/>
      <c r="AI898" s="653"/>
      <c r="AJ898" s="653"/>
      <c r="AK898" s="653"/>
      <c r="AL898" s="653"/>
      <c r="AM898" s="653"/>
      <c r="AN898" s="653"/>
      <c r="AO898" s="653"/>
      <c r="AP898" s="653"/>
      <c r="AQ898" s="653"/>
      <c r="AR898" s="653"/>
      <c r="AS898" s="653"/>
      <c r="AT898" s="653"/>
      <c r="AU898" s="653"/>
      <c r="AV898" s="653"/>
    </row>
    <row r="899" spans="1:48" ht="14.5">
      <c r="A899" s="653"/>
      <c r="B899" s="653"/>
      <c r="C899" s="653"/>
      <c r="D899" s="653"/>
      <c r="E899" s="653"/>
      <c r="F899" s="653"/>
      <c r="G899" s="654"/>
      <c r="H899" s="654"/>
      <c r="I899" s="653"/>
      <c r="J899" s="653"/>
      <c r="K899" s="655"/>
      <c r="L899" s="653"/>
      <c r="M899" s="653"/>
      <c r="N899" s="653"/>
      <c r="O899" s="653"/>
      <c r="P899" s="653"/>
      <c r="Q899" s="653"/>
      <c r="R899" s="653"/>
      <c r="S899" s="653"/>
      <c r="T899" s="653"/>
      <c r="U899" s="653"/>
      <c r="V899" s="653"/>
      <c r="W899" s="653"/>
      <c r="X899" s="653"/>
      <c r="Y899" s="657"/>
      <c r="Z899" s="615"/>
      <c r="AA899" s="653"/>
      <c r="AB899" s="657"/>
      <c r="AC899" s="653"/>
      <c r="AD899" s="653"/>
      <c r="AE899" s="653"/>
      <c r="AF899" s="653"/>
      <c r="AG899" s="653"/>
      <c r="AH899" s="653"/>
      <c r="AI899" s="653"/>
      <c r="AJ899" s="653"/>
      <c r="AK899" s="653"/>
      <c r="AL899" s="653"/>
      <c r="AM899" s="653"/>
      <c r="AN899" s="653"/>
      <c r="AO899" s="653"/>
      <c r="AP899" s="653"/>
      <c r="AQ899" s="653"/>
      <c r="AR899" s="653"/>
      <c r="AS899" s="653"/>
      <c r="AT899" s="653"/>
      <c r="AU899" s="653"/>
      <c r="AV899" s="653"/>
    </row>
    <row r="900" spans="1:48" ht="14.5">
      <c r="A900" s="653"/>
      <c r="B900" s="653"/>
      <c r="C900" s="653"/>
      <c r="D900" s="653"/>
      <c r="E900" s="653"/>
      <c r="F900" s="653"/>
      <c r="G900" s="654"/>
      <c r="H900" s="654"/>
      <c r="I900" s="653"/>
      <c r="J900" s="653"/>
      <c r="K900" s="655"/>
      <c r="L900" s="653"/>
      <c r="M900" s="653"/>
      <c r="N900" s="653"/>
      <c r="O900" s="653"/>
      <c r="P900" s="653"/>
      <c r="Q900" s="653"/>
      <c r="R900" s="653"/>
      <c r="S900" s="653"/>
      <c r="T900" s="653"/>
      <c r="U900" s="653"/>
      <c r="V900" s="653"/>
      <c r="W900" s="653"/>
      <c r="X900" s="653"/>
      <c r="Y900" s="657"/>
      <c r="Z900" s="615"/>
      <c r="AA900" s="653"/>
      <c r="AB900" s="657"/>
      <c r="AC900" s="653"/>
      <c r="AD900" s="653"/>
      <c r="AE900" s="653"/>
      <c r="AF900" s="653"/>
      <c r="AG900" s="653"/>
      <c r="AH900" s="653"/>
      <c r="AI900" s="653"/>
      <c r="AJ900" s="653"/>
      <c r="AK900" s="653"/>
      <c r="AL900" s="653"/>
      <c r="AM900" s="653"/>
      <c r="AN900" s="653"/>
      <c r="AO900" s="653"/>
      <c r="AP900" s="653"/>
      <c r="AQ900" s="653"/>
      <c r="AR900" s="653"/>
      <c r="AS900" s="653"/>
      <c r="AT900" s="653"/>
      <c r="AU900" s="653"/>
      <c r="AV900" s="653"/>
    </row>
    <row r="901" spans="1:48" ht="14.5">
      <c r="A901" s="653"/>
      <c r="B901" s="653"/>
      <c r="C901" s="653"/>
      <c r="D901" s="653"/>
      <c r="E901" s="653"/>
      <c r="F901" s="653"/>
      <c r="G901" s="654"/>
      <c r="H901" s="654"/>
      <c r="I901" s="653"/>
      <c r="J901" s="653"/>
      <c r="K901" s="655"/>
      <c r="L901" s="653"/>
      <c r="M901" s="653"/>
      <c r="N901" s="653"/>
      <c r="O901" s="653"/>
      <c r="P901" s="653"/>
      <c r="Q901" s="653"/>
      <c r="R901" s="653"/>
      <c r="S901" s="653"/>
      <c r="T901" s="653"/>
      <c r="U901" s="653"/>
      <c r="V901" s="653"/>
      <c r="W901" s="653"/>
      <c r="X901" s="653"/>
      <c r="Y901" s="657"/>
      <c r="Z901" s="615"/>
      <c r="AA901" s="653"/>
      <c r="AB901" s="657"/>
      <c r="AC901" s="653"/>
      <c r="AD901" s="653"/>
      <c r="AE901" s="653"/>
      <c r="AF901" s="653"/>
      <c r="AG901" s="653"/>
      <c r="AH901" s="653"/>
      <c r="AI901" s="653"/>
      <c r="AJ901" s="653"/>
      <c r="AK901" s="653"/>
      <c r="AL901" s="653"/>
      <c r="AM901" s="653"/>
      <c r="AN901" s="653"/>
      <c r="AO901" s="653"/>
      <c r="AP901" s="653"/>
      <c r="AQ901" s="653"/>
      <c r="AR901" s="653"/>
      <c r="AS901" s="653"/>
      <c r="AT901" s="653"/>
      <c r="AU901" s="653"/>
      <c r="AV901" s="653"/>
    </row>
    <row r="902" spans="1:48" ht="14.5">
      <c r="A902" s="653"/>
      <c r="B902" s="653"/>
      <c r="C902" s="653"/>
      <c r="D902" s="653"/>
      <c r="E902" s="653"/>
      <c r="F902" s="653"/>
      <c r="G902" s="654"/>
      <c r="H902" s="654"/>
      <c r="I902" s="653"/>
      <c r="J902" s="653"/>
      <c r="K902" s="655"/>
      <c r="L902" s="653"/>
      <c r="M902" s="653"/>
      <c r="N902" s="653"/>
      <c r="O902" s="653"/>
      <c r="P902" s="653"/>
      <c r="Q902" s="653"/>
      <c r="R902" s="653"/>
      <c r="S902" s="653"/>
      <c r="T902" s="653"/>
      <c r="U902" s="653"/>
      <c r="V902" s="653"/>
      <c r="W902" s="653"/>
      <c r="X902" s="653"/>
      <c r="Y902" s="657"/>
      <c r="Z902" s="615"/>
      <c r="AA902" s="653"/>
      <c r="AB902" s="657"/>
      <c r="AC902" s="653"/>
      <c r="AD902" s="653"/>
      <c r="AE902" s="653"/>
      <c r="AF902" s="653"/>
      <c r="AG902" s="653"/>
      <c r="AH902" s="653"/>
      <c r="AI902" s="653"/>
      <c r="AJ902" s="653"/>
      <c r="AK902" s="653"/>
      <c r="AL902" s="653"/>
      <c r="AM902" s="653"/>
      <c r="AN902" s="653"/>
      <c r="AO902" s="653"/>
      <c r="AP902" s="653"/>
      <c r="AQ902" s="653"/>
      <c r="AR902" s="653"/>
      <c r="AS902" s="653"/>
      <c r="AT902" s="653"/>
      <c r="AU902" s="653"/>
      <c r="AV902" s="653"/>
    </row>
    <row r="903" spans="1:48" ht="14.5">
      <c r="A903" s="653"/>
      <c r="B903" s="653"/>
      <c r="C903" s="653"/>
      <c r="D903" s="653"/>
      <c r="E903" s="653"/>
      <c r="F903" s="653"/>
      <c r="G903" s="654"/>
      <c r="H903" s="654"/>
      <c r="I903" s="653"/>
      <c r="J903" s="653"/>
      <c r="K903" s="655"/>
      <c r="L903" s="653"/>
      <c r="M903" s="653"/>
      <c r="N903" s="653"/>
      <c r="O903" s="653"/>
      <c r="P903" s="653"/>
      <c r="Q903" s="653"/>
      <c r="R903" s="653"/>
      <c r="S903" s="653"/>
      <c r="T903" s="653"/>
      <c r="U903" s="653"/>
      <c r="V903" s="653"/>
      <c r="W903" s="653"/>
      <c r="X903" s="653"/>
      <c r="Y903" s="657"/>
      <c r="Z903" s="615"/>
      <c r="AA903" s="653"/>
      <c r="AB903" s="657"/>
      <c r="AC903" s="653"/>
      <c r="AD903" s="653"/>
      <c r="AE903" s="653"/>
      <c r="AF903" s="653"/>
      <c r="AG903" s="653"/>
      <c r="AH903" s="653"/>
      <c r="AI903" s="653"/>
      <c r="AJ903" s="653"/>
      <c r="AK903" s="653"/>
      <c r="AL903" s="653"/>
      <c r="AM903" s="653"/>
      <c r="AN903" s="653"/>
      <c r="AO903" s="653"/>
      <c r="AP903" s="653"/>
      <c r="AQ903" s="653"/>
      <c r="AR903" s="653"/>
      <c r="AS903" s="653"/>
      <c r="AT903" s="653"/>
      <c r="AU903" s="653"/>
      <c r="AV903" s="653"/>
    </row>
    <row r="904" spans="1:48" ht="14.5">
      <c r="A904" s="653"/>
      <c r="B904" s="653"/>
      <c r="C904" s="653"/>
      <c r="D904" s="653"/>
      <c r="E904" s="653"/>
      <c r="F904" s="653"/>
      <c r="G904" s="654"/>
      <c r="H904" s="654"/>
      <c r="I904" s="653"/>
      <c r="J904" s="653"/>
      <c r="K904" s="655"/>
      <c r="L904" s="653"/>
      <c r="M904" s="653"/>
      <c r="N904" s="653"/>
      <c r="O904" s="653"/>
      <c r="P904" s="653"/>
      <c r="Q904" s="653"/>
      <c r="R904" s="653"/>
      <c r="S904" s="653"/>
      <c r="T904" s="653"/>
      <c r="U904" s="653"/>
      <c r="V904" s="653"/>
      <c r="W904" s="653"/>
      <c r="X904" s="653"/>
      <c r="Y904" s="657"/>
      <c r="Z904" s="615"/>
      <c r="AA904" s="653"/>
      <c r="AB904" s="657"/>
      <c r="AC904" s="653"/>
      <c r="AD904" s="653"/>
      <c r="AE904" s="653"/>
      <c r="AF904" s="653"/>
      <c r="AG904" s="653"/>
      <c r="AH904" s="653"/>
      <c r="AI904" s="653"/>
      <c r="AJ904" s="653"/>
      <c r="AK904" s="653"/>
      <c r="AL904" s="653"/>
      <c r="AM904" s="653"/>
      <c r="AN904" s="653"/>
      <c r="AO904" s="653"/>
      <c r="AP904" s="653"/>
      <c r="AQ904" s="653"/>
      <c r="AR904" s="653"/>
      <c r="AS904" s="653"/>
      <c r="AT904" s="653"/>
      <c r="AU904" s="653"/>
      <c r="AV904" s="653"/>
    </row>
    <row r="905" spans="1:48" ht="14.5">
      <c r="A905" s="653"/>
      <c r="B905" s="653"/>
      <c r="C905" s="653"/>
      <c r="D905" s="653"/>
      <c r="E905" s="653"/>
      <c r="F905" s="653"/>
      <c r="G905" s="654"/>
      <c r="H905" s="654"/>
      <c r="I905" s="653"/>
      <c r="J905" s="653"/>
      <c r="K905" s="655"/>
      <c r="L905" s="653"/>
      <c r="M905" s="653"/>
      <c r="N905" s="653"/>
      <c r="O905" s="653"/>
      <c r="P905" s="653"/>
      <c r="Q905" s="653"/>
      <c r="R905" s="653"/>
      <c r="S905" s="653"/>
      <c r="T905" s="653"/>
      <c r="U905" s="653"/>
      <c r="V905" s="653"/>
      <c r="W905" s="653"/>
      <c r="X905" s="653"/>
      <c r="Y905" s="657"/>
      <c r="Z905" s="615"/>
      <c r="AA905" s="653"/>
      <c r="AB905" s="657"/>
      <c r="AC905" s="653"/>
      <c r="AD905" s="653"/>
      <c r="AE905" s="653"/>
      <c r="AF905" s="653"/>
      <c r="AG905" s="653"/>
      <c r="AH905" s="653"/>
      <c r="AI905" s="653"/>
      <c r="AJ905" s="653"/>
      <c r="AK905" s="653"/>
      <c r="AL905" s="653"/>
      <c r="AM905" s="653"/>
      <c r="AN905" s="653"/>
      <c r="AO905" s="653"/>
      <c r="AP905" s="653"/>
      <c r="AQ905" s="653"/>
      <c r="AR905" s="653"/>
      <c r="AS905" s="653"/>
      <c r="AT905" s="653"/>
      <c r="AU905" s="653"/>
      <c r="AV905" s="653"/>
    </row>
    <row r="906" spans="1:48" ht="14.5">
      <c r="A906" s="653"/>
      <c r="B906" s="653"/>
      <c r="C906" s="653"/>
      <c r="D906" s="653"/>
      <c r="E906" s="653"/>
      <c r="F906" s="653"/>
      <c r="G906" s="654"/>
      <c r="H906" s="654"/>
      <c r="I906" s="653"/>
      <c r="J906" s="653"/>
      <c r="K906" s="655"/>
      <c r="L906" s="653"/>
      <c r="M906" s="653"/>
      <c r="N906" s="653"/>
      <c r="O906" s="653"/>
      <c r="P906" s="653"/>
      <c r="Q906" s="653"/>
      <c r="R906" s="653"/>
      <c r="S906" s="653"/>
      <c r="T906" s="653"/>
      <c r="U906" s="653"/>
      <c r="V906" s="653"/>
      <c r="W906" s="653"/>
      <c r="X906" s="653"/>
      <c r="Y906" s="657"/>
      <c r="Z906" s="615"/>
      <c r="AA906" s="653"/>
      <c r="AB906" s="657"/>
      <c r="AC906" s="653"/>
      <c r="AD906" s="653"/>
      <c r="AE906" s="653"/>
      <c r="AF906" s="653"/>
      <c r="AG906" s="653"/>
      <c r="AH906" s="653"/>
      <c r="AI906" s="653"/>
      <c r="AJ906" s="653"/>
      <c r="AK906" s="653"/>
      <c r="AL906" s="653"/>
      <c r="AM906" s="653"/>
      <c r="AN906" s="653"/>
      <c r="AO906" s="653"/>
      <c r="AP906" s="653"/>
      <c r="AQ906" s="653"/>
      <c r="AR906" s="653"/>
      <c r="AS906" s="653"/>
      <c r="AT906" s="653"/>
      <c r="AU906" s="653"/>
      <c r="AV906" s="653"/>
    </row>
    <row r="907" spans="1:48" ht="14.5">
      <c r="A907" s="653"/>
      <c r="B907" s="653"/>
      <c r="C907" s="653"/>
      <c r="D907" s="653"/>
      <c r="E907" s="653"/>
      <c r="F907" s="653"/>
      <c r="G907" s="654"/>
      <c r="H907" s="654"/>
      <c r="I907" s="653"/>
      <c r="J907" s="653"/>
      <c r="K907" s="655"/>
      <c r="L907" s="653"/>
      <c r="M907" s="653"/>
      <c r="N907" s="653"/>
      <c r="O907" s="653"/>
      <c r="P907" s="653"/>
      <c r="Q907" s="653"/>
      <c r="R907" s="653"/>
      <c r="S907" s="653"/>
      <c r="T907" s="653"/>
      <c r="U907" s="653"/>
      <c r="V907" s="653"/>
      <c r="W907" s="653"/>
      <c r="X907" s="653"/>
      <c r="Y907" s="657"/>
      <c r="Z907" s="615"/>
      <c r="AA907" s="653"/>
      <c r="AB907" s="657"/>
      <c r="AC907" s="653"/>
      <c r="AD907" s="653"/>
      <c r="AE907" s="653"/>
      <c r="AF907" s="653"/>
      <c r="AG907" s="653"/>
      <c r="AH907" s="653"/>
      <c r="AI907" s="653"/>
      <c r="AJ907" s="653"/>
      <c r="AK907" s="653"/>
      <c r="AL907" s="653"/>
      <c r="AM907" s="653"/>
      <c r="AN907" s="653"/>
      <c r="AO907" s="653"/>
      <c r="AP907" s="653"/>
      <c r="AQ907" s="653"/>
      <c r="AR907" s="653"/>
      <c r="AS907" s="653"/>
      <c r="AT907" s="653"/>
      <c r="AU907" s="653"/>
      <c r="AV907" s="653"/>
    </row>
    <row r="908" spans="1:48" ht="14.5">
      <c r="A908" s="653"/>
      <c r="B908" s="653"/>
      <c r="C908" s="653"/>
      <c r="D908" s="653"/>
      <c r="E908" s="653"/>
      <c r="F908" s="653"/>
      <c r="G908" s="654"/>
      <c r="H908" s="654"/>
      <c r="I908" s="653"/>
      <c r="J908" s="653"/>
      <c r="K908" s="655"/>
      <c r="L908" s="653"/>
      <c r="M908" s="653"/>
      <c r="N908" s="653"/>
      <c r="O908" s="653"/>
      <c r="P908" s="653"/>
      <c r="Q908" s="653"/>
      <c r="R908" s="653"/>
      <c r="S908" s="653"/>
      <c r="T908" s="653"/>
      <c r="U908" s="653"/>
      <c r="V908" s="653"/>
      <c r="W908" s="653"/>
      <c r="X908" s="653"/>
      <c r="Y908" s="657"/>
      <c r="Z908" s="615"/>
      <c r="AA908" s="653"/>
      <c r="AB908" s="657"/>
      <c r="AC908" s="653"/>
      <c r="AD908" s="653"/>
      <c r="AE908" s="653"/>
      <c r="AF908" s="653"/>
      <c r="AG908" s="653"/>
      <c r="AH908" s="653"/>
      <c r="AI908" s="653"/>
      <c r="AJ908" s="653"/>
      <c r="AK908" s="653"/>
      <c r="AL908" s="653"/>
      <c r="AM908" s="653"/>
      <c r="AN908" s="653"/>
      <c r="AO908" s="653"/>
      <c r="AP908" s="653"/>
      <c r="AQ908" s="653"/>
      <c r="AR908" s="653"/>
      <c r="AS908" s="653"/>
      <c r="AT908" s="653"/>
      <c r="AU908" s="653"/>
      <c r="AV908" s="653"/>
    </row>
    <row r="909" spans="1:48" ht="14.5">
      <c r="A909" s="653"/>
      <c r="B909" s="653"/>
      <c r="C909" s="653"/>
      <c r="D909" s="653"/>
      <c r="E909" s="653"/>
      <c r="F909" s="653"/>
      <c r="G909" s="654"/>
      <c r="H909" s="654"/>
      <c r="I909" s="653"/>
      <c r="J909" s="653"/>
      <c r="K909" s="655"/>
      <c r="L909" s="653"/>
      <c r="M909" s="653"/>
      <c r="N909" s="653"/>
      <c r="O909" s="653"/>
      <c r="P909" s="653"/>
      <c r="Q909" s="653"/>
      <c r="R909" s="653"/>
      <c r="S909" s="653"/>
      <c r="T909" s="653"/>
      <c r="U909" s="653"/>
      <c r="V909" s="653"/>
      <c r="W909" s="653"/>
      <c r="X909" s="653"/>
      <c r="Y909" s="657"/>
      <c r="Z909" s="615"/>
      <c r="AA909" s="653"/>
      <c r="AB909" s="657"/>
      <c r="AC909" s="653"/>
      <c r="AD909" s="653"/>
      <c r="AE909" s="653"/>
      <c r="AF909" s="653"/>
      <c r="AG909" s="653"/>
      <c r="AH909" s="653"/>
      <c r="AI909" s="653"/>
      <c r="AJ909" s="653"/>
      <c r="AK909" s="653"/>
      <c r="AL909" s="653"/>
      <c r="AM909" s="653"/>
      <c r="AN909" s="653"/>
      <c r="AO909" s="653"/>
      <c r="AP909" s="653"/>
      <c r="AQ909" s="653"/>
      <c r="AR909" s="653"/>
      <c r="AS909" s="653"/>
      <c r="AT909" s="653"/>
      <c r="AU909" s="653"/>
      <c r="AV909" s="653"/>
    </row>
    <row r="910" spans="1:48" ht="14.5">
      <c r="A910" s="653"/>
      <c r="B910" s="653"/>
      <c r="C910" s="653"/>
      <c r="D910" s="653"/>
      <c r="E910" s="653"/>
      <c r="F910" s="653"/>
      <c r="G910" s="654"/>
      <c r="H910" s="654"/>
      <c r="I910" s="653"/>
      <c r="J910" s="653"/>
      <c r="K910" s="655"/>
      <c r="L910" s="653"/>
      <c r="M910" s="653"/>
      <c r="N910" s="653"/>
      <c r="O910" s="653"/>
      <c r="P910" s="653"/>
      <c r="Q910" s="653"/>
      <c r="R910" s="653"/>
      <c r="S910" s="653"/>
      <c r="T910" s="653"/>
      <c r="U910" s="653"/>
      <c r="V910" s="653"/>
      <c r="W910" s="653"/>
      <c r="X910" s="653"/>
      <c r="Y910" s="657"/>
      <c r="Z910" s="615"/>
      <c r="AA910" s="653"/>
      <c r="AB910" s="657"/>
      <c r="AC910" s="653"/>
      <c r="AD910" s="653"/>
      <c r="AE910" s="653"/>
      <c r="AF910" s="653"/>
      <c r="AG910" s="653"/>
      <c r="AH910" s="653"/>
      <c r="AI910" s="653"/>
      <c r="AJ910" s="653"/>
      <c r="AK910" s="653"/>
      <c r="AL910" s="653"/>
      <c r="AM910" s="653"/>
      <c r="AN910" s="653"/>
      <c r="AO910" s="653"/>
      <c r="AP910" s="653"/>
      <c r="AQ910" s="653"/>
      <c r="AR910" s="653"/>
      <c r="AS910" s="653"/>
      <c r="AT910" s="653"/>
      <c r="AU910" s="653"/>
      <c r="AV910" s="653"/>
    </row>
  </sheetData>
  <phoneticPr fontId="135"/>
  <conditionalFormatting sqref="A4:S4 U4:AV4 T4:T5 J51:J59 T51:T106 J61:J74">
    <cfRule type="expression" dxfId="53" priority="1">
      <formula>$AH4="退職"</formula>
    </cfRule>
  </conditionalFormatting>
  <conditionalFormatting sqref="A3:AL7 AM5:AV6 A9:T49 V9:AL49 U9:U880 AM10:AV12 AM51:AV106 A51:T109 V51:AL109 A111:J114 M111:T114 V111:AL114 K111:L115">
    <cfRule type="expression" dxfId="52" priority="2">
      <formula>$AH3="退職"</formula>
    </cfRule>
  </conditionalFormatting>
  <conditionalFormatting sqref="M3 C3:C7 N3:O7 Q3:Q7 U3:U7 A5:B6 D5:M6 P5:P6 R5:T6 V5:AI6 AK5:AK6 C9:C12 Q9:Q12 N9:O32 U9:U32 A10:B12 D10:M12 P10:P12 R10:T12 V10:AI12 AK10:AK12 N34:O49 U34:U49 A51:M106 P51:T106 V51:AI106 AK51:AK106 N51:O109 U51:U109 N111:O114 U111:U114">
    <cfRule type="expression" dxfId="51" priority="3">
      <formula>$AG3="退職"</formula>
    </cfRule>
  </conditionalFormatting>
  <dataValidations count="9">
    <dataValidation type="list" allowBlank="1" sqref="AH3 AH5:AH7 AH13:AH32 AH34:AH49 AH60:AH109 AH111:AH114" xr:uid="{00000000-0002-0000-0300-000000000000}">
      <formula1>"',退職,退職予定,一時退職,一時帰国"</formula1>
    </dataValidation>
    <dataValidation type="list" allowBlank="1" sqref="AH4 AH10:AH12" xr:uid="{00000000-0002-0000-0300-000001000000}">
      <formula1>"',退職,退職予定,一時退職,一時帰国,一時帰国予定"</formula1>
    </dataValidation>
    <dataValidation type="list" allowBlank="1" showErrorMessage="1" sqref="M5:M7 M13:M32 M34:M49 M51:M109 M111:M114" xr:uid="{00000000-0002-0000-0300-000002000000}">
      <formula1>"有,無"</formula1>
    </dataValidation>
    <dataValidation type="list" allowBlank="1" showErrorMessage="1" sqref="N6 N10:N12 N14:N32 N34:N49" xr:uid="{00000000-0002-0000-0300-000003000000}">
      <formula1>"中四国,ポエム,キュービック,デルタ四国,ｅ-人財,H&amp;C,関東食肉,INA,中温"</formula1>
    </dataValidation>
    <dataValidation type="list" allowBlank="1" showErrorMessage="1" sqref="D3:D7 D10:D32 D34:D49 D60 D75:D109 D111:D114" xr:uid="{00000000-0002-0000-0300-000004000000}">
      <formula1>"’,ベトナム,インドネシア"</formula1>
    </dataValidation>
    <dataValidation type="list" allowBlank="1" showErrorMessage="1" sqref="J51:J59 J61:J74 J76:J85 J87:J104" xr:uid="{00000000-0002-0000-0300-000005000000}">
      <formula1>"女,男"</formula1>
    </dataValidation>
    <dataValidation type="list" allowBlank="1" showErrorMessage="1" sqref="N1" xr:uid="{00000000-0002-0000-0300-000006000000}">
      <formula1>"中四国,ポエム,キュービック,デルタ四国,ｅ-人財,H&amp;C,関東食肉"</formula1>
    </dataValidation>
    <dataValidation type="list" allowBlank="1" showErrorMessage="1" sqref="Q2:Q8 Q10:Q341" xr:uid="{00000000-0002-0000-0300-000007000000}">
      <formula1>"',特定活動告示9号,技能実習1号,技能実習2号,技能実習3号,特定技能１号,特定技能２号,特定活動"</formula1>
    </dataValidation>
    <dataValidation type="list" allowBlank="1" showErrorMessage="1" sqref="C3:C7 C10:C32 C34:C49 C60:C109 C111:C114" xr:uid="{00000000-0002-0000-0300-000008000000}">
      <formula1>"’,津吉,本社,協同本社"</formula1>
    </dataValidation>
  </dataValidations>
  <printOptions horizontalCentered="1" gridLines="1"/>
  <pageMargins left="1" right="1" top="1" bottom="1" header="0" footer="0"/>
  <pageSetup paperSize="9" fitToHeight="0"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Q1000"/>
  <sheetViews>
    <sheetView topLeftCell="A43" zoomScale="82" workbookViewId="0">
      <selection activeCell="A19" sqref="A19:G20"/>
    </sheetView>
  </sheetViews>
  <sheetFormatPr defaultColWidth="12.6328125" defaultRowHeight="15" customHeight="1"/>
  <sheetData>
    <row r="1" spans="1:17" ht="15" customHeight="1">
      <c r="A1" s="683"/>
      <c r="B1" s="683"/>
      <c r="C1" s="683"/>
      <c r="D1" s="683"/>
      <c r="E1" s="683"/>
      <c r="F1" s="683"/>
      <c r="G1" s="683"/>
      <c r="H1" s="683"/>
      <c r="I1" s="683"/>
      <c r="J1" s="683"/>
      <c r="K1" s="683"/>
      <c r="L1" s="683"/>
      <c r="M1" s="683"/>
      <c r="N1" s="683"/>
      <c r="O1" s="683"/>
      <c r="P1" s="683"/>
      <c r="Q1" s="683"/>
    </row>
    <row r="2" spans="1:17">
      <c r="A2" s="684"/>
      <c r="B2" s="684"/>
      <c r="C2" s="684"/>
      <c r="D2" s="684"/>
      <c r="E2" s="684"/>
      <c r="F2" s="684"/>
      <c r="G2" s="684"/>
      <c r="H2" s="684"/>
      <c r="I2" s="684"/>
      <c r="J2" s="684"/>
      <c r="K2" s="684"/>
      <c r="L2" s="684"/>
      <c r="M2" s="684"/>
      <c r="N2" s="684"/>
      <c r="O2" s="684"/>
      <c r="P2" s="684"/>
      <c r="Q2" s="684"/>
    </row>
    <row r="3" spans="1:17">
      <c r="A3" s="1601" t="s">
        <v>3404</v>
      </c>
      <c r="B3" s="1602"/>
      <c r="C3" s="1602"/>
      <c r="D3" s="1602"/>
      <c r="E3" s="1602"/>
      <c r="F3" s="1602"/>
      <c r="G3" s="1602"/>
      <c r="H3" s="684"/>
      <c r="I3" s="684"/>
      <c r="J3" s="684"/>
      <c r="K3" s="684"/>
      <c r="L3" s="684"/>
      <c r="M3" s="684"/>
      <c r="N3" s="684"/>
      <c r="O3" s="684"/>
      <c r="P3" s="684"/>
      <c r="Q3" s="684"/>
    </row>
    <row r="4" spans="1:17">
      <c r="A4" s="1602"/>
      <c r="B4" s="1602"/>
      <c r="C4" s="1602"/>
      <c r="D4" s="1602"/>
      <c r="E4" s="1602"/>
      <c r="F4" s="1602"/>
      <c r="G4" s="1602"/>
      <c r="H4" s="684"/>
      <c r="I4" s="684"/>
      <c r="J4" s="684"/>
      <c r="K4" s="684"/>
      <c r="L4" s="684"/>
      <c r="M4" s="684"/>
      <c r="N4" s="684"/>
      <c r="O4" s="684"/>
      <c r="P4" s="684"/>
      <c r="Q4" s="684"/>
    </row>
    <row r="5" spans="1:17">
      <c r="A5" s="684"/>
      <c r="B5" s="1603" t="s">
        <v>3405</v>
      </c>
      <c r="C5" s="1602"/>
      <c r="D5" s="1602"/>
      <c r="E5" s="1602"/>
      <c r="F5" s="684"/>
      <c r="G5" s="684"/>
      <c r="H5" s="1604">
        <v>45612</v>
      </c>
      <c r="I5" s="1602"/>
      <c r="J5" s="1602"/>
      <c r="K5" s="684"/>
      <c r="L5" s="684"/>
      <c r="M5" s="684"/>
      <c r="N5" s="684"/>
      <c r="O5" s="684"/>
      <c r="P5" s="684"/>
      <c r="Q5" s="684"/>
    </row>
    <row r="6" spans="1:17">
      <c r="A6" s="684"/>
      <c r="B6" s="684"/>
      <c r="C6" s="684"/>
      <c r="D6" s="684"/>
      <c r="E6" s="684"/>
      <c r="F6" s="684"/>
      <c r="G6" s="684"/>
      <c r="H6" s="684"/>
      <c r="I6" s="684"/>
      <c r="J6" s="684"/>
      <c r="K6" s="684"/>
      <c r="L6" s="684"/>
      <c r="M6" s="684"/>
      <c r="N6" s="684"/>
      <c r="O6" s="684"/>
      <c r="P6" s="684"/>
      <c r="Q6" s="684"/>
    </row>
    <row r="7" spans="1:17">
      <c r="A7" s="1605" t="s">
        <v>3406</v>
      </c>
      <c r="B7" s="1606"/>
      <c r="C7" s="1607"/>
      <c r="D7" s="685" t="s">
        <v>3407</v>
      </c>
      <c r="E7" s="1605" t="s">
        <v>7</v>
      </c>
      <c r="F7" s="1606"/>
      <c r="G7" s="1607"/>
      <c r="H7" s="1608" t="s">
        <v>3408</v>
      </c>
      <c r="I7" s="1607"/>
      <c r="J7" s="1608" t="s">
        <v>3409</v>
      </c>
      <c r="K7" s="1607"/>
      <c r="L7" s="684"/>
      <c r="M7" s="684"/>
      <c r="N7" s="684"/>
      <c r="O7" s="684"/>
      <c r="P7" s="684"/>
      <c r="Q7" s="684"/>
    </row>
    <row r="8" spans="1:17" ht="15" customHeight="1">
      <c r="A8" s="1605" t="s">
        <v>3410</v>
      </c>
      <c r="B8" s="1607"/>
      <c r="C8" s="686" t="s">
        <v>3411</v>
      </c>
      <c r="D8" s="687" t="s">
        <v>320</v>
      </c>
      <c r="E8" s="1612" t="s">
        <v>3412</v>
      </c>
      <c r="F8" s="1613"/>
      <c r="G8" s="1610"/>
      <c r="H8" s="1612" t="s">
        <v>3413</v>
      </c>
      <c r="I8" s="1610"/>
      <c r="J8" s="1612" t="s">
        <v>3414</v>
      </c>
      <c r="K8" s="1610"/>
      <c r="L8" s="684"/>
      <c r="M8" s="684"/>
      <c r="N8" s="684"/>
      <c r="O8" s="684"/>
      <c r="P8" s="684"/>
      <c r="Q8" s="684"/>
    </row>
    <row r="9" spans="1:17" ht="15" customHeight="1">
      <c r="A9" s="688"/>
      <c r="B9" s="689"/>
      <c r="C9" s="690" t="s">
        <v>3411</v>
      </c>
      <c r="D9" s="691" t="s">
        <v>3415</v>
      </c>
      <c r="E9" s="1611" t="s">
        <v>3416</v>
      </c>
      <c r="F9" s="1613"/>
      <c r="G9" s="1610"/>
      <c r="H9" s="1611" t="s">
        <v>3417</v>
      </c>
      <c r="I9" s="1610"/>
      <c r="J9" s="1611" t="s">
        <v>3418</v>
      </c>
      <c r="K9" s="1610"/>
      <c r="L9" s="684"/>
      <c r="M9" s="684"/>
      <c r="N9" s="684"/>
      <c r="O9" s="684"/>
      <c r="P9" s="684"/>
      <c r="Q9" s="684"/>
    </row>
    <row r="10" spans="1:17" ht="15" customHeight="1">
      <c r="A10" s="688"/>
      <c r="B10" s="684"/>
      <c r="C10" s="692" t="s">
        <v>3419</v>
      </c>
      <c r="D10" s="693" t="s">
        <v>159</v>
      </c>
      <c r="E10" s="1609" t="s">
        <v>3420</v>
      </c>
      <c r="F10" s="1613"/>
      <c r="G10" s="1610"/>
      <c r="H10" s="1609" t="s">
        <v>3421</v>
      </c>
      <c r="I10" s="1610"/>
      <c r="J10" s="1609" t="s">
        <v>3422</v>
      </c>
      <c r="K10" s="1610"/>
      <c r="L10" s="684"/>
      <c r="M10" s="684"/>
      <c r="N10" s="684"/>
      <c r="O10" s="684"/>
      <c r="P10" s="684"/>
      <c r="Q10" s="684"/>
    </row>
    <row r="11" spans="1:17" ht="15" customHeight="1">
      <c r="A11" s="688"/>
      <c r="B11" s="684"/>
      <c r="C11" s="694" t="s">
        <v>3419</v>
      </c>
      <c r="D11" s="693" t="s">
        <v>144</v>
      </c>
      <c r="E11" s="1608" t="s">
        <v>3423</v>
      </c>
      <c r="F11" s="1606"/>
      <c r="G11" s="1607"/>
      <c r="H11" s="1609" t="s">
        <v>3421</v>
      </c>
      <c r="I11" s="1610"/>
      <c r="J11" s="1609" t="s">
        <v>3422</v>
      </c>
      <c r="K11" s="1610"/>
      <c r="L11" s="684"/>
      <c r="M11" s="684"/>
      <c r="N11" s="684"/>
      <c r="O11" s="684"/>
      <c r="P11" s="684"/>
      <c r="Q11" s="684"/>
    </row>
    <row r="12" spans="1:17">
      <c r="A12" s="1605" t="s">
        <v>3424</v>
      </c>
      <c r="B12" s="1607"/>
      <c r="C12" s="695" t="s">
        <v>3411</v>
      </c>
      <c r="D12" s="696" t="s">
        <v>3425</v>
      </c>
      <c r="E12" s="1611" t="s">
        <v>3426</v>
      </c>
      <c r="F12" s="1613"/>
      <c r="G12" s="1610"/>
      <c r="H12" s="1611" t="s">
        <v>3413</v>
      </c>
      <c r="I12" s="1610"/>
      <c r="J12" s="1611" t="s">
        <v>3414</v>
      </c>
      <c r="K12" s="1610"/>
      <c r="L12" s="684"/>
      <c r="M12" s="684"/>
      <c r="N12" s="684"/>
      <c r="O12" s="684"/>
      <c r="P12" s="684"/>
      <c r="Q12" s="684"/>
    </row>
    <row r="13" spans="1:17" ht="15" customHeight="1">
      <c r="A13" s="697"/>
      <c r="B13" s="698"/>
      <c r="C13" s="689" t="s">
        <v>3419</v>
      </c>
      <c r="D13" s="699" t="s">
        <v>186</v>
      </c>
      <c r="E13" s="1608" t="s">
        <v>3427</v>
      </c>
      <c r="F13" s="1606"/>
      <c r="G13" s="1607"/>
      <c r="H13" s="1608" t="s">
        <v>3428</v>
      </c>
      <c r="I13" s="1607"/>
      <c r="J13" s="1608" t="s">
        <v>3429</v>
      </c>
      <c r="K13" s="1607"/>
      <c r="L13" s="684"/>
      <c r="M13" s="684"/>
      <c r="N13" s="684"/>
      <c r="O13" s="684"/>
      <c r="P13" s="684"/>
      <c r="Q13" s="684"/>
    </row>
    <row r="14" spans="1:17" ht="15" customHeight="1">
      <c r="A14" s="1605" t="s">
        <v>3430</v>
      </c>
      <c r="B14" s="1607"/>
      <c r="C14" s="695" t="s">
        <v>3411</v>
      </c>
      <c r="D14" s="691" t="s">
        <v>346</v>
      </c>
      <c r="E14" s="1611" t="s">
        <v>3431</v>
      </c>
      <c r="F14" s="1613"/>
      <c r="G14" s="1610"/>
      <c r="H14" s="1611" t="s">
        <v>3413</v>
      </c>
      <c r="I14" s="1610"/>
      <c r="J14" s="1611" t="s">
        <v>3414</v>
      </c>
      <c r="K14" s="1610"/>
      <c r="L14" s="684"/>
      <c r="M14" s="684"/>
      <c r="N14" s="684"/>
      <c r="O14" s="684"/>
      <c r="P14" s="684"/>
      <c r="Q14" s="684"/>
    </row>
    <row r="15" spans="1:17" ht="15" customHeight="1">
      <c r="A15" s="697"/>
      <c r="B15" s="698"/>
      <c r="C15" s="698" t="s">
        <v>3419</v>
      </c>
      <c r="D15" s="699" t="s">
        <v>3432</v>
      </c>
      <c r="E15" s="1609" t="s">
        <v>3433</v>
      </c>
      <c r="F15" s="1613"/>
      <c r="G15" s="1610"/>
      <c r="H15" s="1609" t="s">
        <v>3428</v>
      </c>
      <c r="I15" s="1610"/>
      <c r="J15" s="1609" t="s">
        <v>3418</v>
      </c>
      <c r="K15" s="1610"/>
      <c r="L15" s="1603" t="s">
        <v>3434</v>
      </c>
      <c r="M15" s="1602"/>
      <c r="N15" s="1602"/>
      <c r="O15" s="1602"/>
      <c r="P15" s="1602"/>
      <c r="Q15" s="1602"/>
    </row>
    <row r="16" spans="1:17">
      <c r="A16" s="684"/>
      <c r="B16" s="684"/>
      <c r="C16" s="684"/>
      <c r="D16" s="684"/>
      <c r="E16" s="684"/>
      <c r="F16" s="684"/>
      <c r="G16" s="684"/>
      <c r="H16" s="684"/>
      <c r="I16" s="684"/>
      <c r="J16" s="684"/>
      <c r="K16" s="684"/>
      <c r="L16" s="684"/>
      <c r="M16" s="684"/>
      <c r="N16" s="684"/>
      <c r="O16" s="684"/>
      <c r="P16" s="684"/>
      <c r="Q16" s="684"/>
    </row>
    <row r="17" spans="1:17" ht="15" customHeight="1">
      <c r="A17" s="683"/>
      <c r="B17" s="683"/>
      <c r="C17" s="683"/>
      <c r="D17" s="683"/>
      <c r="E17" s="683"/>
      <c r="F17" s="683"/>
      <c r="G17" s="683"/>
      <c r="H17" s="683"/>
      <c r="I17" s="683"/>
      <c r="J17" s="683"/>
      <c r="K17" s="683"/>
      <c r="L17" s="683"/>
      <c r="M17" s="683"/>
      <c r="N17" s="683"/>
      <c r="O17" s="683"/>
      <c r="P17" s="683"/>
      <c r="Q17" s="683"/>
    </row>
    <row r="18" spans="1:17" ht="15" customHeight="1">
      <c r="A18" s="683"/>
      <c r="B18" s="683"/>
      <c r="C18" s="683"/>
      <c r="D18" s="683"/>
      <c r="E18" s="683"/>
      <c r="F18" s="683"/>
      <c r="G18" s="683"/>
      <c r="H18" s="683"/>
      <c r="I18" s="683"/>
      <c r="J18" s="683"/>
      <c r="K18" s="683"/>
      <c r="L18" s="683"/>
      <c r="M18" s="683"/>
      <c r="N18" s="683"/>
      <c r="O18" s="683"/>
      <c r="P18" s="683"/>
      <c r="Q18" s="683"/>
    </row>
    <row r="19" spans="1:17" ht="15" customHeight="1">
      <c r="A19" s="1601" t="s">
        <v>3404</v>
      </c>
      <c r="B19" s="1602"/>
      <c r="C19" s="1602"/>
      <c r="D19" s="1602"/>
      <c r="E19" s="1602"/>
      <c r="F19" s="1602"/>
      <c r="G19" s="1602"/>
      <c r="H19" s="700"/>
      <c r="I19" s="700"/>
      <c r="J19" s="700"/>
      <c r="K19" s="684"/>
      <c r="L19" s="684"/>
      <c r="M19" s="684"/>
      <c r="N19" s="684"/>
      <c r="O19" s="684"/>
      <c r="P19" s="684"/>
      <c r="Q19" s="683"/>
    </row>
    <row r="20" spans="1:17" ht="15" customHeight="1">
      <c r="A20" s="1602"/>
      <c r="B20" s="1602"/>
      <c r="C20" s="1602"/>
      <c r="D20" s="1602"/>
      <c r="E20" s="1602"/>
      <c r="F20" s="1602"/>
      <c r="G20" s="1602"/>
      <c r="H20" s="684"/>
      <c r="I20" s="684"/>
      <c r="J20" s="684"/>
      <c r="K20" s="684"/>
      <c r="L20" s="684"/>
      <c r="M20" s="684"/>
      <c r="N20" s="684"/>
      <c r="O20" s="684"/>
      <c r="P20" s="684"/>
      <c r="Q20" s="683"/>
    </row>
    <row r="21" spans="1:17" ht="15" customHeight="1">
      <c r="A21" s="684"/>
      <c r="B21" s="1631" t="s">
        <v>3405</v>
      </c>
      <c r="C21" s="1615"/>
      <c r="D21" s="1615"/>
      <c r="E21" s="1615"/>
      <c r="F21" s="684"/>
      <c r="G21" s="684"/>
      <c r="H21" s="684"/>
      <c r="I21" s="1614">
        <v>45730</v>
      </c>
      <c r="J21" s="1615"/>
      <c r="K21" s="1616"/>
      <c r="L21" s="684"/>
      <c r="M21" s="684"/>
      <c r="N21" s="684"/>
      <c r="O21" s="684"/>
      <c r="P21" s="684"/>
      <c r="Q21" s="683"/>
    </row>
    <row r="22" spans="1:17" ht="15" customHeight="1">
      <c r="A22" s="684"/>
      <c r="B22" s="684"/>
      <c r="C22" s="684"/>
      <c r="D22" s="684"/>
      <c r="E22" s="684"/>
      <c r="F22" s="684"/>
      <c r="G22" s="684"/>
      <c r="H22" s="700"/>
      <c r="I22" s="700"/>
      <c r="J22" s="684"/>
      <c r="K22" s="684"/>
      <c r="L22" s="684"/>
      <c r="M22" s="684"/>
      <c r="N22" s="684"/>
      <c r="O22" s="684"/>
      <c r="P22" s="684"/>
      <c r="Q22" s="683"/>
    </row>
    <row r="23" spans="1:17" ht="15" customHeight="1">
      <c r="A23" s="1632" t="s">
        <v>3406</v>
      </c>
      <c r="B23" s="1613"/>
      <c r="C23" s="1610"/>
      <c r="D23" s="685" t="s">
        <v>3407</v>
      </c>
      <c r="E23" s="1632" t="s">
        <v>7</v>
      </c>
      <c r="F23" s="1613"/>
      <c r="G23" s="1610"/>
      <c r="H23" s="701" t="s">
        <v>9</v>
      </c>
      <c r="I23" s="1609" t="s">
        <v>3408</v>
      </c>
      <c r="J23" s="1610"/>
      <c r="K23" s="1609" t="s">
        <v>3409</v>
      </c>
      <c r="L23" s="1610"/>
      <c r="M23" s="1609" t="s">
        <v>3</v>
      </c>
      <c r="N23" s="1610"/>
      <c r="O23" s="684"/>
      <c r="P23" s="684"/>
      <c r="Q23" s="683"/>
    </row>
    <row r="24" spans="1:17" ht="15" customHeight="1">
      <c r="A24" s="1634" t="s">
        <v>3435</v>
      </c>
      <c r="B24" s="1606"/>
      <c r="C24" s="1606"/>
      <c r="D24" s="702" t="s">
        <v>74</v>
      </c>
      <c r="E24" s="1633" t="s">
        <v>3436</v>
      </c>
      <c r="F24" s="1615"/>
      <c r="G24" s="1616"/>
      <c r="H24" s="703" t="s">
        <v>3437</v>
      </c>
      <c r="I24" s="1617">
        <v>43040</v>
      </c>
      <c r="J24" s="1610"/>
      <c r="K24" s="1618" t="s">
        <v>3438</v>
      </c>
      <c r="L24" s="1610"/>
      <c r="M24" s="1618" t="s">
        <v>55</v>
      </c>
      <c r="N24" s="1610"/>
      <c r="O24" s="684"/>
      <c r="P24" s="684"/>
      <c r="Q24" s="683"/>
    </row>
    <row r="25" spans="1:17" ht="15" customHeight="1">
      <c r="A25" s="1635" t="s">
        <v>3439</v>
      </c>
      <c r="B25" s="1615"/>
      <c r="C25" s="1615"/>
      <c r="D25" s="693" t="s">
        <v>3440</v>
      </c>
      <c r="E25" s="1636" t="s">
        <v>3441</v>
      </c>
      <c r="F25" s="1615"/>
      <c r="G25" s="1616"/>
      <c r="H25" s="704" t="s">
        <v>3437</v>
      </c>
      <c r="I25" s="1619">
        <v>44566</v>
      </c>
      <c r="J25" s="1610"/>
      <c r="K25" s="1609" t="s">
        <v>3442</v>
      </c>
      <c r="L25" s="1610"/>
      <c r="M25" s="1609" t="s">
        <v>55</v>
      </c>
      <c r="N25" s="1610"/>
      <c r="O25" s="684"/>
      <c r="P25" s="684"/>
      <c r="Q25" s="683"/>
    </row>
    <row r="26" spans="1:17" ht="15" customHeight="1">
      <c r="A26" s="1605" t="s">
        <v>3443</v>
      </c>
      <c r="B26" s="1606"/>
      <c r="C26" s="1606"/>
      <c r="D26" s="693" t="s">
        <v>236</v>
      </c>
      <c r="E26" s="1637" t="s">
        <v>3444</v>
      </c>
      <c r="F26" s="1606"/>
      <c r="G26" s="1607"/>
      <c r="H26" s="704" t="s">
        <v>3437</v>
      </c>
      <c r="I26" s="1619">
        <v>43729</v>
      </c>
      <c r="J26" s="1610"/>
      <c r="K26" s="1609" t="s">
        <v>3445</v>
      </c>
      <c r="L26" s="1610"/>
      <c r="M26" s="1609" t="s">
        <v>55</v>
      </c>
      <c r="N26" s="1610"/>
      <c r="O26" s="684"/>
      <c r="P26" s="684"/>
      <c r="Q26" s="683"/>
    </row>
    <row r="27" spans="1:17" ht="15" customHeight="1">
      <c r="A27" s="1605" t="s">
        <v>3443</v>
      </c>
      <c r="B27" s="1606"/>
      <c r="C27" s="1606"/>
      <c r="D27" s="693" t="s">
        <v>1155</v>
      </c>
      <c r="E27" s="1638" t="s">
        <v>1157</v>
      </c>
      <c r="F27" s="1613"/>
      <c r="G27" s="1610"/>
      <c r="H27" s="705" t="s">
        <v>3446</v>
      </c>
      <c r="I27" s="1619">
        <v>44937</v>
      </c>
      <c r="J27" s="1610"/>
      <c r="K27" s="1609" t="s">
        <v>3447</v>
      </c>
      <c r="L27" s="1610"/>
      <c r="M27" s="1609" t="s">
        <v>611</v>
      </c>
      <c r="N27" s="1610"/>
      <c r="O27" s="684"/>
      <c r="P27" s="684"/>
      <c r="Q27" s="683"/>
    </row>
    <row r="28" spans="1:17" ht="15" customHeight="1">
      <c r="A28" s="1632" t="s">
        <v>3448</v>
      </c>
      <c r="B28" s="1613"/>
      <c r="C28" s="1613"/>
      <c r="D28" s="693" t="s">
        <v>3449</v>
      </c>
      <c r="E28" s="1638" t="s">
        <v>3450</v>
      </c>
      <c r="F28" s="1613"/>
      <c r="G28" s="1610"/>
      <c r="H28" s="705" t="s">
        <v>3446</v>
      </c>
      <c r="I28" s="1619">
        <v>44566</v>
      </c>
      <c r="J28" s="1610"/>
      <c r="K28" s="1609" t="s">
        <v>3442</v>
      </c>
      <c r="L28" s="1610"/>
      <c r="M28" s="1609" t="s">
        <v>55</v>
      </c>
      <c r="N28" s="1610"/>
      <c r="O28" s="684"/>
      <c r="P28" s="684"/>
      <c r="Q28" s="683"/>
    </row>
    <row r="29" spans="1:17" ht="15" customHeight="1">
      <c r="A29" s="1605" t="s">
        <v>3448</v>
      </c>
      <c r="B29" s="1606"/>
      <c r="C29" s="1606"/>
      <c r="D29" s="693" t="s">
        <v>743</v>
      </c>
      <c r="E29" s="1637" t="s">
        <v>3451</v>
      </c>
      <c r="F29" s="1606"/>
      <c r="G29" s="1607"/>
      <c r="H29" s="704" t="s">
        <v>3437</v>
      </c>
      <c r="I29" s="1619">
        <v>44669</v>
      </c>
      <c r="J29" s="1610"/>
      <c r="K29" s="1609" t="s">
        <v>3452</v>
      </c>
      <c r="L29" s="1610"/>
      <c r="M29" s="1609" t="s">
        <v>611</v>
      </c>
      <c r="N29" s="1610"/>
      <c r="O29" s="684"/>
      <c r="P29" s="684"/>
      <c r="Q29" s="683"/>
    </row>
    <row r="30" spans="1:17" ht="15" customHeight="1">
      <c r="A30" s="1632" t="s">
        <v>3453</v>
      </c>
      <c r="B30" s="1613"/>
      <c r="C30" s="1613"/>
      <c r="D30" s="693" t="s">
        <v>3454</v>
      </c>
      <c r="E30" s="1638" t="s">
        <v>848</v>
      </c>
      <c r="F30" s="1613"/>
      <c r="G30" s="1610"/>
      <c r="H30" s="705" t="s">
        <v>3446</v>
      </c>
      <c r="I30" s="1619">
        <v>44669</v>
      </c>
      <c r="J30" s="1610"/>
      <c r="K30" s="1609" t="s">
        <v>3452</v>
      </c>
      <c r="L30" s="1610"/>
      <c r="M30" s="1609" t="s">
        <v>611</v>
      </c>
      <c r="N30" s="1610"/>
      <c r="O30" s="684"/>
      <c r="P30" s="684"/>
      <c r="Q30" s="683"/>
    </row>
    <row r="31" spans="1:17" ht="15" customHeight="1">
      <c r="A31" s="1605" t="s">
        <v>3455</v>
      </c>
      <c r="B31" s="1606"/>
      <c r="C31" s="1606"/>
      <c r="D31" s="693" t="s">
        <v>3456</v>
      </c>
      <c r="E31" s="1637" t="s">
        <v>731</v>
      </c>
      <c r="F31" s="1606"/>
      <c r="G31" s="1607"/>
      <c r="H31" s="704" t="s">
        <v>3437</v>
      </c>
      <c r="I31" s="1619">
        <v>44669</v>
      </c>
      <c r="J31" s="1610"/>
      <c r="K31" s="1609" t="s">
        <v>3452</v>
      </c>
      <c r="L31" s="1610"/>
      <c r="M31" s="1609" t="s">
        <v>611</v>
      </c>
      <c r="N31" s="1610"/>
      <c r="O31" s="684"/>
      <c r="P31" s="684"/>
      <c r="Q31" s="683"/>
    </row>
    <row r="32" spans="1:17" ht="19.5">
      <c r="A32" s="1605" t="s">
        <v>3455</v>
      </c>
      <c r="B32" s="1606"/>
      <c r="C32" s="1606"/>
      <c r="D32" s="693" t="s">
        <v>721</v>
      </c>
      <c r="E32" s="1636" t="s">
        <v>723</v>
      </c>
      <c r="F32" s="1615"/>
      <c r="G32" s="1616"/>
      <c r="H32" s="704" t="s">
        <v>3437</v>
      </c>
      <c r="I32" s="1619">
        <v>44669</v>
      </c>
      <c r="J32" s="1610"/>
      <c r="K32" s="1609" t="s">
        <v>3452</v>
      </c>
      <c r="L32" s="1610"/>
      <c r="M32" s="1609" t="s">
        <v>611</v>
      </c>
      <c r="N32" s="1610"/>
      <c r="O32" s="684"/>
      <c r="P32" s="684"/>
      <c r="Q32" s="683"/>
    </row>
    <row r="33" spans="1:17" ht="19.5">
      <c r="A33" s="1632" t="s">
        <v>3455</v>
      </c>
      <c r="B33" s="1613"/>
      <c r="C33" s="1613"/>
      <c r="D33" s="693" t="s">
        <v>697</v>
      </c>
      <c r="E33" s="1640" t="s">
        <v>3457</v>
      </c>
      <c r="F33" s="1615"/>
      <c r="G33" s="1616"/>
      <c r="H33" s="705" t="s">
        <v>3446</v>
      </c>
      <c r="I33" s="1619">
        <v>45027</v>
      </c>
      <c r="J33" s="1610"/>
      <c r="K33" s="1609" t="s">
        <v>3458</v>
      </c>
      <c r="L33" s="1610"/>
      <c r="M33" s="1609" t="s">
        <v>611</v>
      </c>
      <c r="N33" s="1610"/>
      <c r="O33" s="684"/>
      <c r="P33" s="684"/>
      <c r="Q33" s="683"/>
    </row>
    <row r="34" spans="1:17" ht="19.5">
      <c r="A34" s="1632" t="s">
        <v>3455</v>
      </c>
      <c r="B34" s="1613"/>
      <c r="C34" s="1613"/>
      <c r="D34" s="693" t="s">
        <v>683</v>
      </c>
      <c r="E34" s="1640" t="s">
        <v>3459</v>
      </c>
      <c r="F34" s="1615"/>
      <c r="G34" s="1616"/>
      <c r="H34" s="705" t="s">
        <v>3446</v>
      </c>
      <c r="I34" s="1619">
        <v>45027</v>
      </c>
      <c r="J34" s="1610"/>
      <c r="K34" s="1609" t="s">
        <v>3458</v>
      </c>
      <c r="L34" s="1610"/>
      <c r="M34" s="1609" t="s">
        <v>611</v>
      </c>
      <c r="N34" s="1610"/>
      <c r="O34" s="684"/>
      <c r="P34" s="684"/>
      <c r="Q34" s="683"/>
    </row>
    <row r="35" spans="1:17" ht="19.5">
      <c r="A35" s="1632" t="s">
        <v>3460</v>
      </c>
      <c r="B35" s="1613"/>
      <c r="C35" s="1613"/>
      <c r="D35" s="693" t="s">
        <v>301</v>
      </c>
      <c r="E35" s="1620" t="s">
        <v>3461</v>
      </c>
      <c r="F35" s="1613"/>
      <c r="G35" s="1610"/>
      <c r="H35" s="704" t="s">
        <v>3437</v>
      </c>
      <c r="I35" s="1619">
        <v>44013</v>
      </c>
      <c r="J35" s="1610"/>
      <c r="K35" s="1609" t="s">
        <v>3462</v>
      </c>
      <c r="L35" s="1610"/>
      <c r="M35" s="1609" t="s">
        <v>55</v>
      </c>
      <c r="N35" s="1610"/>
      <c r="O35" s="684" t="s">
        <v>3463</v>
      </c>
      <c r="P35" s="684"/>
      <c r="Q35" s="683"/>
    </row>
    <row r="36" spans="1:17" ht="19.5">
      <c r="A36" s="1632" t="s">
        <v>3464</v>
      </c>
      <c r="B36" s="1613"/>
      <c r="C36" s="1613"/>
      <c r="D36" s="693" t="s">
        <v>1135</v>
      </c>
      <c r="E36" s="1638" t="s">
        <v>3465</v>
      </c>
      <c r="F36" s="1613"/>
      <c r="G36" s="1610"/>
      <c r="H36" s="705" t="s">
        <v>3446</v>
      </c>
      <c r="I36" s="1619">
        <v>44937</v>
      </c>
      <c r="J36" s="1610"/>
      <c r="K36" s="1609" t="s">
        <v>3447</v>
      </c>
      <c r="L36" s="1610"/>
      <c r="M36" s="1609" t="s">
        <v>611</v>
      </c>
      <c r="N36" s="1610"/>
      <c r="O36" s="684"/>
      <c r="P36" s="683"/>
      <c r="Q36" s="683"/>
    </row>
    <row r="37" spans="1:17" ht="19.5">
      <c r="A37" s="1639"/>
      <c r="B37" s="1602"/>
      <c r="C37" s="1602"/>
      <c r="D37" s="706"/>
      <c r="E37" s="1620" t="s">
        <v>3466</v>
      </c>
      <c r="F37" s="1613"/>
      <c r="G37" s="1613"/>
      <c r="H37" s="1613"/>
      <c r="I37" s="1613"/>
      <c r="J37" s="1610"/>
      <c r="K37" s="684"/>
      <c r="L37" s="684"/>
      <c r="M37" s="684"/>
      <c r="N37" s="684"/>
      <c r="O37" s="684"/>
      <c r="P37" s="683"/>
      <c r="Q37" s="683"/>
    </row>
    <row r="38" spans="1:17" ht="19.5">
      <c r="A38" s="683"/>
      <c r="B38" s="683"/>
      <c r="C38" s="683"/>
      <c r="D38" s="683"/>
      <c r="E38" s="683"/>
      <c r="F38" s="683"/>
      <c r="G38" s="683"/>
      <c r="H38" s="683"/>
      <c r="I38" s="683"/>
      <c r="J38" s="683"/>
      <c r="K38" s="683"/>
      <c r="L38" s="683"/>
      <c r="M38" s="683"/>
      <c r="N38" s="683"/>
      <c r="O38" s="683"/>
      <c r="P38" s="683"/>
      <c r="Q38" s="683"/>
    </row>
    <row r="39" spans="1:17" ht="19.5">
      <c r="A39" s="683"/>
      <c r="B39" s="1641" t="s">
        <v>3467</v>
      </c>
      <c r="C39" s="1602"/>
      <c r="D39" s="1602"/>
      <c r="E39" s="1602"/>
      <c r="F39" s="1602"/>
      <c r="G39" s="1602"/>
      <c r="H39" s="707"/>
      <c r="I39" s="707"/>
      <c r="J39" s="707"/>
      <c r="K39" s="707"/>
      <c r="L39" s="707"/>
      <c r="M39" s="707"/>
      <c r="N39" s="707"/>
      <c r="O39" s="707"/>
      <c r="P39" s="707"/>
      <c r="Q39" s="683"/>
    </row>
    <row r="40" spans="1:17" ht="19.5">
      <c r="A40" s="683"/>
      <c r="B40" s="1602"/>
      <c r="C40" s="1602"/>
      <c r="D40" s="1602"/>
      <c r="E40" s="1602"/>
      <c r="F40" s="1602"/>
      <c r="G40" s="1602"/>
      <c r="H40" s="707"/>
      <c r="I40" s="707"/>
      <c r="J40" s="707"/>
      <c r="K40" s="707"/>
      <c r="L40" s="707"/>
      <c r="M40" s="707"/>
      <c r="N40" s="707"/>
      <c r="O40" s="707"/>
      <c r="P40" s="707"/>
      <c r="Q40" s="683"/>
    </row>
    <row r="41" spans="1:17" ht="19.5">
      <c r="A41" s="683"/>
      <c r="B41" s="707"/>
      <c r="C41" s="1628" t="s">
        <v>3405</v>
      </c>
      <c r="D41" s="1602"/>
      <c r="E41" s="707"/>
      <c r="F41" s="707"/>
      <c r="G41" s="707"/>
      <c r="H41" s="707"/>
      <c r="I41" s="1644">
        <v>46001</v>
      </c>
      <c r="J41" s="1602"/>
      <c r="K41" s="1602"/>
      <c r="L41" s="707"/>
      <c r="M41" s="707"/>
      <c r="N41" s="707"/>
      <c r="O41" s="707"/>
      <c r="P41" s="707"/>
      <c r="Q41" s="683"/>
    </row>
    <row r="42" spans="1:17" ht="19.5">
      <c r="A42" s="683"/>
      <c r="B42" s="707"/>
      <c r="C42" s="707"/>
      <c r="D42" s="707"/>
      <c r="E42" s="707"/>
      <c r="F42" s="707"/>
      <c r="G42" s="707"/>
      <c r="H42" s="707"/>
      <c r="I42" s="707"/>
      <c r="J42" s="707"/>
      <c r="K42" s="707"/>
      <c r="L42" s="707"/>
      <c r="M42" s="707"/>
      <c r="N42" s="707"/>
      <c r="O42" s="707"/>
      <c r="P42" s="707"/>
      <c r="Q42" s="683"/>
    </row>
    <row r="43" spans="1:17" ht="19.5">
      <c r="A43" s="1621" t="s">
        <v>3406</v>
      </c>
      <c r="B43" s="1613"/>
      <c r="C43" s="1610"/>
      <c r="E43" s="1621" t="s">
        <v>7</v>
      </c>
      <c r="F43" s="1613"/>
      <c r="G43" s="1610"/>
      <c r="H43" s="708" t="s">
        <v>9</v>
      </c>
      <c r="I43" s="1621" t="s">
        <v>3408</v>
      </c>
      <c r="J43" s="1610"/>
      <c r="K43" s="1621" t="s">
        <v>3409</v>
      </c>
      <c r="L43" s="1610"/>
      <c r="M43" s="1645" t="s">
        <v>3</v>
      </c>
      <c r="N43" s="1610"/>
      <c r="O43" s="707"/>
      <c r="P43" s="707"/>
      <c r="Q43" s="683"/>
    </row>
    <row r="44" spans="1:17" ht="19.5">
      <c r="A44" s="1621" t="s">
        <v>3435</v>
      </c>
      <c r="B44" s="1613"/>
      <c r="C44" s="1610"/>
      <c r="E44" s="1623" t="s">
        <v>1126</v>
      </c>
      <c r="F44" s="1613"/>
      <c r="G44" s="1610"/>
      <c r="H44" s="709" t="s">
        <v>3446</v>
      </c>
      <c r="I44" s="1643">
        <v>44937</v>
      </c>
      <c r="J44" s="1610"/>
      <c r="K44" s="1621" t="s">
        <v>3468</v>
      </c>
      <c r="L44" s="1610"/>
      <c r="M44" s="1642" t="s">
        <v>611</v>
      </c>
      <c r="N44" s="1610"/>
      <c r="O44" s="707"/>
      <c r="P44" s="707"/>
      <c r="Q44" s="683"/>
    </row>
    <row r="45" spans="1:17" ht="19.5">
      <c r="A45" s="1621" t="s">
        <v>3435</v>
      </c>
      <c r="B45" s="1613"/>
      <c r="C45" s="1610"/>
      <c r="E45" s="1626" t="s">
        <v>3469</v>
      </c>
      <c r="F45" s="1613"/>
      <c r="G45" s="1610"/>
      <c r="H45" s="710" t="s">
        <v>3437</v>
      </c>
      <c r="I45" s="1643">
        <v>45027</v>
      </c>
      <c r="J45" s="1610"/>
      <c r="K45" s="1621" t="s">
        <v>3470</v>
      </c>
      <c r="L45" s="1610"/>
      <c r="M45" s="1642" t="s">
        <v>611</v>
      </c>
      <c r="N45" s="1610"/>
      <c r="O45" s="707"/>
      <c r="P45" s="707"/>
      <c r="Q45" s="683"/>
    </row>
    <row r="46" spans="1:17" ht="19.5">
      <c r="A46" s="1621" t="s">
        <v>3448</v>
      </c>
      <c r="B46" s="1613"/>
      <c r="C46" s="1610"/>
      <c r="E46" s="1626" t="s">
        <v>901</v>
      </c>
      <c r="F46" s="1613"/>
      <c r="G46" s="1610"/>
      <c r="H46" s="710" t="s">
        <v>3437</v>
      </c>
      <c r="I46" s="1643">
        <v>45098</v>
      </c>
      <c r="J46" s="1610"/>
      <c r="K46" s="1621" t="s">
        <v>3471</v>
      </c>
      <c r="L46" s="1610"/>
      <c r="M46" s="1642" t="s">
        <v>611</v>
      </c>
      <c r="N46" s="1610"/>
      <c r="O46" s="707"/>
      <c r="P46" s="707"/>
      <c r="Q46" s="683"/>
    </row>
    <row r="47" spans="1:17" ht="19.5">
      <c r="A47" s="1622" t="s">
        <v>3472</v>
      </c>
      <c r="B47" s="1606"/>
      <c r="C47" s="1606"/>
      <c r="E47" s="1623" t="s">
        <v>859</v>
      </c>
      <c r="F47" s="1613"/>
      <c r="G47" s="1610"/>
      <c r="H47" s="709" t="s">
        <v>3446</v>
      </c>
      <c r="I47" s="1643">
        <v>44669</v>
      </c>
      <c r="J47" s="1610"/>
      <c r="K47" s="1621" t="s">
        <v>3473</v>
      </c>
      <c r="L47" s="1610"/>
      <c r="M47" s="1642" t="s">
        <v>611</v>
      </c>
      <c r="N47" s="1610"/>
      <c r="O47" s="1646" t="s">
        <v>3463</v>
      </c>
      <c r="P47" s="1602"/>
      <c r="Q47" s="683"/>
    </row>
    <row r="48" spans="1:17" ht="19.5">
      <c r="A48" s="1622" t="s">
        <v>3455</v>
      </c>
      <c r="B48" s="1606"/>
      <c r="C48" s="1606"/>
      <c r="E48" s="1626" t="s">
        <v>3474</v>
      </c>
      <c r="F48" s="1613"/>
      <c r="G48" s="1610"/>
      <c r="H48" s="710" t="s">
        <v>3437</v>
      </c>
      <c r="I48" s="1643">
        <v>45075</v>
      </c>
      <c r="J48" s="1610"/>
      <c r="K48" s="1621" t="s">
        <v>3475</v>
      </c>
      <c r="L48" s="1610"/>
      <c r="M48" s="1642" t="s">
        <v>611</v>
      </c>
      <c r="N48" s="1610"/>
      <c r="O48" s="707"/>
      <c r="P48" s="707"/>
      <c r="Q48" s="683"/>
    </row>
    <row r="49" spans="1:17" ht="19.5">
      <c r="A49" s="1622" t="s">
        <v>3455</v>
      </c>
      <c r="B49" s="1606"/>
      <c r="C49" s="1606"/>
      <c r="E49" s="1626" t="s">
        <v>1072</v>
      </c>
      <c r="F49" s="1613"/>
      <c r="G49" s="1610"/>
      <c r="H49" s="710" t="s">
        <v>3437</v>
      </c>
      <c r="I49" s="1643">
        <v>45216</v>
      </c>
      <c r="J49" s="1610"/>
      <c r="K49" s="1621" t="s">
        <v>3476</v>
      </c>
      <c r="L49" s="1610"/>
      <c r="M49" s="1642" t="s">
        <v>611</v>
      </c>
      <c r="N49" s="1610"/>
      <c r="O49" s="707"/>
      <c r="P49" s="707"/>
      <c r="Q49" s="683"/>
    </row>
    <row r="50" spans="1:17" ht="19.5">
      <c r="A50" s="683"/>
      <c r="B50" s="711"/>
      <c r="C50" s="711"/>
      <c r="D50" s="711"/>
      <c r="E50" s="707"/>
      <c r="F50" s="707"/>
      <c r="G50" s="707"/>
      <c r="H50" s="712" t="s">
        <v>3477</v>
      </c>
      <c r="I50" s="707"/>
      <c r="J50" s="707"/>
      <c r="K50" s="707"/>
      <c r="L50" s="707"/>
      <c r="M50" s="707"/>
      <c r="N50" s="707"/>
      <c r="O50" s="707"/>
      <c r="P50" s="707"/>
      <c r="Q50" s="683"/>
    </row>
    <row r="51" spans="1:17" ht="19.5">
      <c r="A51" s="683"/>
      <c r="B51" s="1627" t="s">
        <v>3478</v>
      </c>
      <c r="C51" s="1602"/>
      <c r="D51" s="1602"/>
      <c r="E51" s="1602"/>
      <c r="F51" s="1602"/>
      <c r="G51" s="1602"/>
      <c r="H51" s="707"/>
      <c r="I51" s="707"/>
      <c r="J51" s="707"/>
      <c r="K51" s="707"/>
      <c r="L51" s="707"/>
      <c r="M51" s="707"/>
      <c r="N51" s="707"/>
      <c r="O51" s="707"/>
      <c r="P51" s="707"/>
      <c r="Q51" s="683"/>
    </row>
    <row r="52" spans="1:17" ht="19.5">
      <c r="A52" s="683"/>
      <c r="B52" s="1602"/>
      <c r="C52" s="1602"/>
      <c r="D52" s="1602"/>
      <c r="E52" s="1602"/>
      <c r="F52" s="1602"/>
      <c r="G52" s="1602"/>
      <c r="H52" s="707"/>
      <c r="I52" s="707"/>
      <c r="J52" s="707"/>
      <c r="K52" s="707"/>
      <c r="L52" s="707"/>
      <c r="M52" s="707"/>
      <c r="N52" s="707"/>
      <c r="O52" s="707"/>
      <c r="P52" s="707"/>
      <c r="Q52" s="683"/>
    </row>
    <row r="53" spans="1:17" ht="19.5">
      <c r="A53" s="683"/>
      <c r="B53" s="707"/>
      <c r="C53" s="1628" t="s">
        <v>3405</v>
      </c>
      <c r="D53" s="1602"/>
      <c r="E53" s="707"/>
      <c r="F53" s="707"/>
      <c r="G53" s="707"/>
      <c r="H53" s="707"/>
      <c r="I53" s="1644">
        <v>46001</v>
      </c>
      <c r="J53" s="1602"/>
      <c r="K53" s="1602"/>
      <c r="L53" s="707"/>
      <c r="M53" s="707"/>
      <c r="N53" s="707"/>
      <c r="O53" s="707"/>
      <c r="P53" s="707"/>
      <c r="Q53" s="683"/>
    </row>
    <row r="54" spans="1:17" ht="19.5">
      <c r="A54" s="683"/>
      <c r="B54" s="707"/>
      <c r="C54" s="707"/>
      <c r="D54" s="707"/>
      <c r="E54" s="707"/>
      <c r="F54" s="707"/>
      <c r="G54" s="707"/>
      <c r="H54" s="707"/>
      <c r="I54" s="707"/>
      <c r="J54" s="707"/>
      <c r="K54" s="707"/>
      <c r="L54" s="707"/>
      <c r="M54" s="707"/>
      <c r="N54" s="707"/>
      <c r="O54" s="707"/>
      <c r="P54" s="707"/>
      <c r="Q54" s="683"/>
    </row>
    <row r="55" spans="1:17" ht="19.5">
      <c r="A55" s="1621" t="s">
        <v>3406</v>
      </c>
      <c r="B55" s="1613"/>
      <c r="C55" s="1610"/>
      <c r="E55" s="1621" t="s">
        <v>7</v>
      </c>
      <c r="F55" s="1613"/>
      <c r="G55" s="1610"/>
      <c r="H55" s="708" t="s">
        <v>9</v>
      </c>
      <c r="I55" s="1621" t="s">
        <v>3408</v>
      </c>
      <c r="J55" s="1610"/>
      <c r="K55" s="1621" t="s">
        <v>3409</v>
      </c>
      <c r="L55" s="1610"/>
      <c r="M55" s="1645" t="s">
        <v>3</v>
      </c>
      <c r="N55" s="1610"/>
      <c r="O55" s="707"/>
      <c r="P55" s="707"/>
      <c r="Q55" s="683"/>
    </row>
    <row r="56" spans="1:17" ht="19.5">
      <c r="A56" s="1621" t="s">
        <v>3479</v>
      </c>
      <c r="B56" s="1613"/>
      <c r="C56" s="1610"/>
      <c r="E56" s="1629" t="s">
        <v>818</v>
      </c>
      <c r="F56" s="1615"/>
      <c r="G56" s="1616"/>
      <c r="H56" s="710" t="s">
        <v>3437</v>
      </c>
      <c r="I56" s="1643">
        <v>44669</v>
      </c>
      <c r="J56" s="1610"/>
      <c r="K56" s="1621" t="s">
        <v>3480</v>
      </c>
      <c r="L56" s="1610"/>
      <c r="M56" s="1642" t="s">
        <v>611</v>
      </c>
      <c r="N56" s="1610"/>
      <c r="O56" s="1646" t="s">
        <v>3463</v>
      </c>
      <c r="P56" s="1602"/>
      <c r="Q56" s="683"/>
    </row>
    <row r="57" spans="1:17" ht="19.5">
      <c r="A57" s="1621" t="s">
        <v>3448</v>
      </c>
      <c r="B57" s="1613"/>
      <c r="C57" s="1610"/>
      <c r="E57" s="1630" t="s">
        <v>1517</v>
      </c>
      <c r="F57" s="1615"/>
      <c r="G57" s="1616"/>
      <c r="H57" s="709" t="s">
        <v>3446</v>
      </c>
      <c r="I57" s="1643">
        <v>45376</v>
      </c>
      <c r="J57" s="1610"/>
      <c r="K57" s="1621" t="s">
        <v>3481</v>
      </c>
      <c r="L57" s="1610"/>
      <c r="M57" s="1642" t="s">
        <v>611</v>
      </c>
      <c r="N57" s="1610"/>
      <c r="O57" s="707"/>
      <c r="P57" s="707"/>
      <c r="Q57" s="683"/>
    </row>
    <row r="58" spans="1:17" ht="19.5">
      <c r="A58" s="1621" t="s">
        <v>3453</v>
      </c>
      <c r="B58" s="1613"/>
      <c r="C58" s="1613"/>
      <c r="E58" s="1623" t="s">
        <v>1570</v>
      </c>
      <c r="F58" s="1613"/>
      <c r="G58" s="1610"/>
      <c r="H58" s="709" t="s">
        <v>3446</v>
      </c>
      <c r="I58" s="1643">
        <v>45505</v>
      </c>
      <c r="J58" s="1610"/>
      <c r="K58" s="1621" t="s">
        <v>3482</v>
      </c>
      <c r="L58" s="1610"/>
      <c r="M58" s="1642" t="s">
        <v>611</v>
      </c>
      <c r="N58" s="1610"/>
      <c r="O58" s="707"/>
      <c r="P58" s="707"/>
      <c r="Q58" s="683"/>
    </row>
    <row r="59" spans="1:17" ht="19.5">
      <c r="A59" s="1622" t="s">
        <v>3455</v>
      </c>
      <c r="B59" s="1606"/>
      <c r="C59" s="1606"/>
      <c r="E59" s="1624" t="s">
        <v>1615</v>
      </c>
      <c r="F59" s="1613"/>
      <c r="G59" s="1610"/>
      <c r="H59" s="709" t="s">
        <v>3446</v>
      </c>
      <c r="I59" s="1643">
        <v>45594</v>
      </c>
      <c r="J59" s="1610"/>
      <c r="K59" s="1621" t="s">
        <v>3483</v>
      </c>
      <c r="L59" s="1610"/>
      <c r="M59" s="1642" t="s">
        <v>611</v>
      </c>
      <c r="N59" s="1610"/>
      <c r="O59" s="707"/>
      <c r="P59" s="707"/>
      <c r="Q59" s="683"/>
    </row>
    <row r="60" spans="1:17" ht="19.5">
      <c r="A60" s="1622" t="s">
        <v>3455</v>
      </c>
      <c r="B60" s="1606"/>
      <c r="C60" s="1606"/>
      <c r="E60" s="1624" t="s">
        <v>1632</v>
      </c>
      <c r="F60" s="1613"/>
      <c r="G60" s="1610"/>
      <c r="H60" s="709" t="s">
        <v>3446</v>
      </c>
      <c r="I60" s="1643">
        <v>45594</v>
      </c>
      <c r="J60" s="1610"/>
      <c r="K60" s="1621" t="s">
        <v>3483</v>
      </c>
      <c r="L60" s="1610"/>
      <c r="M60" s="1642" t="s">
        <v>611</v>
      </c>
      <c r="N60" s="1610"/>
      <c r="O60" s="707"/>
      <c r="P60" s="707"/>
      <c r="Q60" s="683"/>
    </row>
    <row r="61" spans="1:17" ht="19.5">
      <c r="A61" s="1622" t="s">
        <v>3455</v>
      </c>
      <c r="B61" s="1606"/>
      <c r="C61" s="1606"/>
      <c r="E61" s="1625" t="s">
        <v>1081</v>
      </c>
      <c r="F61" s="1613"/>
      <c r="G61" s="1610"/>
      <c r="H61" s="710" t="s">
        <v>3437</v>
      </c>
      <c r="I61" s="1643">
        <v>45216</v>
      </c>
      <c r="J61" s="1610"/>
      <c r="K61" s="1621" t="s">
        <v>3476</v>
      </c>
      <c r="L61" s="1610"/>
      <c r="M61" s="1642" t="s">
        <v>611</v>
      </c>
      <c r="N61" s="1610"/>
      <c r="O61" s="707"/>
      <c r="P61" s="707"/>
      <c r="Q61" s="683"/>
    </row>
    <row r="62" spans="1:17" ht="19.5">
      <c r="A62" s="1621" t="s">
        <v>3460</v>
      </c>
      <c r="B62" s="1613"/>
      <c r="C62" s="1613"/>
      <c r="E62" s="1623" t="s">
        <v>676</v>
      </c>
      <c r="F62" s="1613"/>
      <c r="G62" s="1610"/>
      <c r="H62" s="709" t="s">
        <v>3446</v>
      </c>
      <c r="I62" s="1643">
        <v>45027</v>
      </c>
      <c r="J62" s="1610"/>
      <c r="K62" s="1621" t="s">
        <v>3470</v>
      </c>
      <c r="L62" s="1610"/>
      <c r="M62" s="1642" t="s">
        <v>611</v>
      </c>
      <c r="N62" s="1610"/>
      <c r="O62" s="707"/>
      <c r="P62" s="707"/>
      <c r="Q62" s="683"/>
    </row>
    <row r="63" spans="1:17" ht="19.5">
      <c r="A63" s="1621" t="s">
        <v>3460</v>
      </c>
      <c r="B63" s="1613"/>
      <c r="C63" s="1613"/>
      <c r="E63" s="1626" t="s">
        <v>954</v>
      </c>
      <c r="F63" s="1613"/>
      <c r="G63" s="1610"/>
      <c r="H63" s="710" t="s">
        <v>3437</v>
      </c>
      <c r="I63" s="1643">
        <v>45098</v>
      </c>
      <c r="J63" s="1610"/>
      <c r="K63" s="1621" t="s">
        <v>3471</v>
      </c>
      <c r="L63" s="1610"/>
      <c r="M63" s="1642" t="s">
        <v>611</v>
      </c>
      <c r="N63" s="1610"/>
      <c r="O63" s="707"/>
      <c r="P63" s="707"/>
      <c r="Q63" s="683"/>
    </row>
    <row r="64" spans="1:17" ht="19.5">
      <c r="A64" s="683"/>
      <c r="B64" s="683"/>
      <c r="C64" s="683"/>
      <c r="D64" s="683"/>
      <c r="E64" s="683"/>
      <c r="F64" s="683"/>
      <c r="G64" s="683"/>
      <c r="H64" s="683"/>
      <c r="I64" s="683"/>
      <c r="J64" s="683"/>
      <c r="K64" s="683"/>
      <c r="L64" s="683"/>
      <c r="M64" s="683"/>
      <c r="N64" s="683"/>
      <c r="O64" s="683"/>
      <c r="P64" s="683"/>
      <c r="Q64" s="683"/>
    </row>
    <row r="65" spans="1:17" ht="19.5">
      <c r="A65" s="683"/>
      <c r="B65" s="683"/>
      <c r="C65" s="683"/>
      <c r="D65" s="683"/>
      <c r="E65" s="683"/>
      <c r="F65" s="683"/>
      <c r="G65" s="683"/>
      <c r="H65" s="683"/>
      <c r="I65" s="683"/>
      <c r="J65" s="683"/>
      <c r="K65" s="683"/>
      <c r="L65" s="683"/>
      <c r="M65" s="683"/>
      <c r="N65" s="683"/>
      <c r="O65" s="683"/>
      <c r="P65" s="683"/>
      <c r="Q65" s="683"/>
    </row>
    <row r="66" spans="1:17" ht="19.5">
      <c r="A66" s="683"/>
      <c r="B66" s="683"/>
      <c r="C66" s="683"/>
      <c r="D66" s="683"/>
      <c r="E66" s="683"/>
      <c r="F66" s="683"/>
      <c r="G66" s="683"/>
      <c r="H66" s="683"/>
      <c r="I66" s="683"/>
      <c r="J66" s="683"/>
      <c r="K66" s="683"/>
      <c r="L66" s="683"/>
      <c r="M66" s="683"/>
      <c r="N66" s="683"/>
      <c r="O66" s="683"/>
      <c r="P66" s="683"/>
      <c r="Q66" s="683"/>
    </row>
    <row r="67" spans="1:17" ht="19.5">
      <c r="A67" s="683"/>
      <c r="B67" s="683"/>
      <c r="C67" s="683"/>
      <c r="D67" s="683"/>
      <c r="E67" s="683"/>
      <c r="F67" s="683"/>
      <c r="G67" s="683"/>
      <c r="H67" s="683"/>
      <c r="I67" s="683"/>
      <c r="J67" s="683"/>
      <c r="K67" s="683"/>
      <c r="L67" s="683"/>
      <c r="M67" s="683"/>
      <c r="N67" s="683"/>
      <c r="O67" s="683"/>
      <c r="P67" s="683"/>
      <c r="Q67" s="683"/>
    </row>
    <row r="68" spans="1:17" ht="19.5">
      <c r="A68" s="683"/>
      <c r="E68" s="683"/>
      <c r="F68" s="683"/>
      <c r="G68" s="683"/>
      <c r="H68" s="683"/>
      <c r="I68" s="683"/>
      <c r="J68" s="683"/>
      <c r="K68" s="683"/>
      <c r="L68" s="683"/>
      <c r="M68" s="683"/>
      <c r="N68" s="683"/>
      <c r="O68" s="683"/>
      <c r="P68" s="683"/>
      <c r="Q68" s="683"/>
    </row>
    <row r="69" spans="1:17" ht="19.5">
      <c r="A69" s="683"/>
      <c r="E69" s="683"/>
      <c r="F69" s="683"/>
      <c r="G69" s="683"/>
      <c r="H69" s="683"/>
      <c r="I69" s="683"/>
      <c r="J69" s="683"/>
      <c r="K69" s="683"/>
      <c r="L69" s="683"/>
      <c r="M69" s="683"/>
      <c r="N69" s="683"/>
      <c r="O69" s="683"/>
      <c r="P69" s="683"/>
      <c r="Q69" s="683"/>
    </row>
    <row r="70" spans="1:17" ht="19.5">
      <c r="A70" s="683"/>
      <c r="E70" s="683"/>
      <c r="F70" s="683"/>
      <c r="G70" s="683"/>
      <c r="H70" s="683"/>
      <c r="I70" s="683"/>
      <c r="J70" s="683"/>
      <c r="K70" s="683"/>
      <c r="L70" s="683"/>
      <c r="M70" s="683"/>
      <c r="N70" s="683"/>
      <c r="O70" s="683"/>
      <c r="P70" s="683"/>
      <c r="Q70" s="683"/>
    </row>
    <row r="71" spans="1:17" ht="19.5">
      <c r="A71" s="683"/>
      <c r="E71" s="683"/>
      <c r="F71" s="683"/>
      <c r="G71" s="683"/>
      <c r="H71" s="683"/>
      <c r="I71" s="683"/>
      <c r="J71" s="683"/>
      <c r="K71" s="683"/>
      <c r="L71" s="683"/>
      <c r="M71" s="683"/>
      <c r="N71" s="683"/>
      <c r="O71" s="683"/>
      <c r="P71" s="683"/>
      <c r="Q71" s="683"/>
    </row>
    <row r="72" spans="1:17" ht="19.5">
      <c r="A72" s="683"/>
      <c r="E72" s="683"/>
      <c r="F72" s="683"/>
      <c r="G72" s="683"/>
      <c r="H72" s="683"/>
      <c r="I72" s="683"/>
      <c r="J72" s="683"/>
      <c r="K72" s="683"/>
      <c r="L72" s="683"/>
      <c r="M72" s="683"/>
      <c r="N72" s="683"/>
      <c r="O72" s="683"/>
      <c r="P72" s="683"/>
      <c r="Q72" s="683"/>
    </row>
    <row r="73" spans="1:17" ht="19.5">
      <c r="A73" s="683"/>
      <c r="E73" s="683"/>
      <c r="F73" s="683"/>
      <c r="G73" s="683"/>
      <c r="H73" s="683"/>
      <c r="I73" s="683"/>
      <c r="J73" s="683"/>
      <c r="K73" s="683"/>
      <c r="L73" s="683"/>
      <c r="M73" s="683"/>
      <c r="N73" s="683"/>
      <c r="O73" s="683"/>
      <c r="P73" s="683"/>
      <c r="Q73" s="683"/>
    </row>
    <row r="74" spans="1:17" ht="19.5">
      <c r="A74" s="683"/>
      <c r="E74" s="683"/>
      <c r="F74" s="683"/>
      <c r="G74" s="683"/>
      <c r="H74" s="683"/>
      <c r="I74" s="683"/>
      <c r="J74" s="683"/>
      <c r="K74" s="683"/>
      <c r="L74" s="683"/>
      <c r="M74" s="683"/>
      <c r="N74" s="683"/>
      <c r="O74" s="683"/>
      <c r="P74" s="683"/>
      <c r="Q74" s="683"/>
    </row>
    <row r="75" spans="1:17" ht="19.5">
      <c r="A75" s="683"/>
      <c r="E75" s="683"/>
      <c r="F75" s="683"/>
      <c r="G75" s="683"/>
      <c r="H75" s="683"/>
      <c r="I75" s="683"/>
      <c r="J75" s="683"/>
      <c r="K75" s="683"/>
      <c r="L75" s="683"/>
      <c r="M75" s="683"/>
      <c r="N75" s="683"/>
      <c r="O75" s="683"/>
      <c r="P75" s="683"/>
      <c r="Q75" s="683"/>
    </row>
    <row r="76" spans="1:17" ht="19.5">
      <c r="A76" s="683"/>
      <c r="E76" s="683"/>
      <c r="F76" s="683"/>
      <c r="G76" s="683"/>
      <c r="H76" s="683"/>
      <c r="I76" s="683"/>
      <c r="J76" s="683"/>
      <c r="K76" s="683"/>
      <c r="L76" s="683"/>
      <c r="M76" s="683"/>
      <c r="N76" s="683"/>
      <c r="O76" s="683"/>
      <c r="P76" s="683"/>
      <c r="Q76" s="683"/>
    </row>
    <row r="77" spans="1:17" ht="19.5">
      <c r="A77" s="683"/>
      <c r="B77" s="683"/>
      <c r="C77" s="683"/>
      <c r="D77" s="683"/>
      <c r="E77" s="683"/>
      <c r="F77" s="683"/>
      <c r="G77" s="683"/>
      <c r="H77" s="683"/>
      <c r="I77" s="683"/>
      <c r="J77" s="683"/>
      <c r="K77" s="683"/>
      <c r="L77" s="683"/>
      <c r="M77" s="683"/>
      <c r="N77" s="683"/>
      <c r="O77" s="683"/>
      <c r="P77" s="683"/>
      <c r="Q77" s="683"/>
    </row>
    <row r="78" spans="1:17" ht="19.5">
      <c r="A78" s="683"/>
      <c r="B78" s="683"/>
      <c r="C78" s="683"/>
      <c r="D78" s="683"/>
      <c r="E78" s="683"/>
      <c r="F78" s="683"/>
      <c r="G78" s="683"/>
      <c r="H78" s="683"/>
      <c r="I78" s="683"/>
      <c r="J78" s="683"/>
      <c r="K78" s="683"/>
      <c r="L78" s="683"/>
      <c r="M78" s="683"/>
      <c r="N78" s="683"/>
      <c r="O78" s="683"/>
      <c r="P78" s="683"/>
      <c r="Q78" s="683"/>
    </row>
    <row r="79" spans="1:17" ht="19.5">
      <c r="A79" s="683"/>
      <c r="B79" s="683"/>
      <c r="C79" s="683"/>
      <c r="D79" s="683"/>
      <c r="E79" s="683"/>
      <c r="F79" s="683"/>
      <c r="G79" s="683"/>
      <c r="H79" s="683"/>
      <c r="I79" s="683"/>
      <c r="J79" s="683"/>
      <c r="K79" s="683"/>
      <c r="L79" s="683"/>
      <c r="M79" s="683"/>
      <c r="N79" s="683"/>
      <c r="O79" s="683"/>
      <c r="P79" s="683"/>
      <c r="Q79" s="683"/>
    </row>
    <row r="80" spans="1:17" ht="19.5">
      <c r="A80" s="683"/>
      <c r="B80" s="683"/>
      <c r="C80" s="683"/>
      <c r="D80" s="683"/>
      <c r="E80" s="683"/>
      <c r="F80" s="683"/>
      <c r="G80" s="683"/>
      <c r="H80" s="683"/>
      <c r="I80" s="683"/>
      <c r="J80" s="683"/>
      <c r="K80" s="683"/>
      <c r="L80" s="683"/>
      <c r="M80" s="683"/>
      <c r="N80" s="683"/>
      <c r="O80" s="683"/>
      <c r="P80" s="683"/>
      <c r="Q80" s="683"/>
    </row>
    <row r="81" spans="1:17" ht="19.5">
      <c r="A81" s="683"/>
      <c r="B81" s="683"/>
      <c r="C81" s="683"/>
      <c r="D81" s="683"/>
      <c r="E81" s="683"/>
      <c r="F81" s="683"/>
      <c r="G81" s="683"/>
      <c r="H81" s="683"/>
      <c r="I81" s="683"/>
      <c r="J81" s="683"/>
      <c r="K81" s="683"/>
      <c r="L81" s="683"/>
      <c r="M81" s="683"/>
      <c r="N81" s="683"/>
      <c r="O81" s="683"/>
      <c r="P81" s="683"/>
      <c r="Q81" s="683"/>
    </row>
    <row r="82" spans="1:17" ht="19.5">
      <c r="A82" s="683"/>
      <c r="B82" s="683"/>
      <c r="C82" s="683"/>
      <c r="D82" s="683"/>
      <c r="E82" s="683"/>
      <c r="F82" s="683"/>
      <c r="G82" s="683"/>
      <c r="H82" s="683"/>
      <c r="I82" s="683"/>
      <c r="J82" s="683"/>
      <c r="K82" s="683"/>
      <c r="L82" s="683"/>
      <c r="M82" s="683"/>
      <c r="N82" s="683"/>
      <c r="O82" s="683"/>
      <c r="P82" s="683"/>
      <c r="Q82" s="683"/>
    </row>
    <row r="83" spans="1:17" ht="19.5">
      <c r="A83" s="683"/>
      <c r="B83" s="683"/>
      <c r="C83" s="683"/>
      <c r="D83" s="683"/>
      <c r="E83" s="683"/>
      <c r="F83" s="683"/>
      <c r="G83" s="683"/>
      <c r="H83" s="683"/>
      <c r="I83" s="683"/>
      <c r="J83" s="683"/>
      <c r="K83" s="683"/>
      <c r="L83" s="683"/>
      <c r="M83" s="683"/>
      <c r="N83" s="683"/>
      <c r="O83" s="683"/>
      <c r="P83" s="683"/>
      <c r="Q83" s="683"/>
    </row>
    <row r="84" spans="1:17" ht="19.5">
      <c r="A84" s="683"/>
      <c r="B84" s="683"/>
      <c r="C84" s="683"/>
      <c r="D84" s="683"/>
      <c r="E84" s="683"/>
      <c r="F84" s="683"/>
      <c r="G84" s="683"/>
      <c r="H84" s="683"/>
      <c r="I84" s="683"/>
      <c r="J84" s="683"/>
      <c r="K84" s="683"/>
      <c r="L84" s="683"/>
      <c r="M84" s="683"/>
      <c r="N84" s="683"/>
      <c r="O84" s="683"/>
      <c r="P84" s="683"/>
      <c r="Q84" s="683"/>
    </row>
    <row r="85" spans="1:17" ht="19.5">
      <c r="A85" s="683"/>
      <c r="B85" s="683"/>
      <c r="C85" s="683"/>
      <c r="D85" s="683"/>
      <c r="E85" s="683"/>
      <c r="F85" s="683"/>
      <c r="G85" s="683"/>
      <c r="H85" s="683"/>
      <c r="I85" s="683"/>
      <c r="J85" s="683"/>
      <c r="K85" s="683"/>
      <c r="L85" s="683"/>
      <c r="M85" s="683"/>
      <c r="N85" s="683"/>
      <c r="O85" s="683"/>
      <c r="P85" s="683"/>
      <c r="Q85" s="683"/>
    </row>
    <row r="86" spans="1:17" ht="19.5">
      <c r="A86" s="683"/>
      <c r="B86" s="683"/>
      <c r="C86" s="683"/>
      <c r="D86" s="683"/>
      <c r="E86" s="683"/>
      <c r="F86" s="683"/>
      <c r="G86" s="683"/>
      <c r="H86" s="683"/>
      <c r="I86" s="683"/>
      <c r="J86" s="683"/>
      <c r="K86" s="683"/>
      <c r="L86" s="683"/>
      <c r="M86" s="683"/>
      <c r="N86" s="683"/>
      <c r="O86" s="683"/>
      <c r="P86" s="683"/>
      <c r="Q86" s="683"/>
    </row>
    <row r="87" spans="1:17" ht="19.5">
      <c r="A87" s="683"/>
      <c r="B87" s="683"/>
      <c r="C87" s="683"/>
      <c r="D87" s="683"/>
      <c r="E87" s="683"/>
      <c r="F87" s="683"/>
      <c r="G87" s="683"/>
      <c r="H87" s="683"/>
      <c r="I87" s="683"/>
      <c r="J87" s="683"/>
      <c r="K87" s="683"/>
      <c r="L87" s="683"/>
      <c r="M87" s="683"/>
      <c r="N87" s="683"/>
      <c r="O87" s="683"/>
      <c r="P87" s="683"/>
      <c r="Q87" s="683"/>
    </row>
    <row r="88" spans="1:17" ht="19.5">
      <c r="A88" s="683"/>
      <c r="B88" s="683"/>
      <c r="C88" s="683"/>
      <c r="D88" s="683"/>
      <c r="E88" s="683"/>
      <c r="F88" s="683"/>
      <c r="G88" s="683"/>
      <c r="H88" s="683"/>
      <c r="I88" s="683"/>
      <c r="J88" s="683"/>
      <c r="K88" s="683"/>
      <c r="L88" s="683"/>
      <c r="M88" s="683"/>
      <c r="N88" s="683"/>
      <c r="O88" s="683"/>
      <c r="P88" s="683"/>
      <c r="Q88" s="683"/>
    </row>
    <row r="89" spans="1:17" ht="19.5">
      <c r="A89" s="683"/>
      <c r="B89" s="683"/>
      <c r="C89" s="683"/>
      <c r="D89" s="683"/>
      <c r="E89" s="683"/>
      <c r="F89" s="683"/>
      <c r="G89" s="683"/>
      <c r="H89" s="683"/>
      <c r="I89" s="683"/>
      <c r="J89" s="683"/>
      <c r="K89" s="683"/>
      <c r="L89" s="683"/>
      <c r="M89" s="683"/>
      <c r="N89" s="683"/>
      <c r="O89" s="683"/>
      <c r="P89" s="683"/>
      <c r="Q89" s="683"/>
    </row>
    <row r="90" spans="1:17" ht="19.5">
      <c r="A90" s="683"/>
      <c r="B90" s="683"/>
      <c r="C90" s="683"/>
      <c r="D90" s="683"/>
      <c r="E90" s="683"/>
      <c r="F90" s="683"/>
      <c r="G90" s="683"/>
      <c r="H90" s="683"/>
      <c r="I90" s="683"/>
      <c r="J90" s="683"/>
      <c r="K90" s="683"/>
      <c r="L90" s="683"/>
      <c r="M90" s="683"/>
      <c r="N90" s="683"/>
      <c r="O90" s="683"/>
      <c r="P90" s="683"/>
      <c r="Q90" s="683"/>
    </row>
    <row r="91" spans="1:17" ht="19.5">
      <c r="A91" s="683"/>
      <c r="B91" s="683"/>
      <c r="C91" s="683"/>
      <c r="D91" s="683"/>
      <c r="E91" s="683"/>
      <c r="F91" s="683"/>
      <c r="G91" s="683"/>
      <c r="H91" s="683"/>
      <c r="I91" s="683"/>
      <c r="J91" s="683"/>
      <c r="K91" s="683"/>
      <c r="L91" s="683"/>
      <c r="M91" s="683"/>
      <c r="N91" s="683"/>
      <c r="O91" s="683"/>
      <c r="P91" s="683"/>
      <c r="Q91" s="683"/>
    </row>
    <row r="92" spans="1:17" ht="19.5">
      <c r="A92" s="683"/>
      <c r="B92" s="683"/>
      <c r="C92" s="683"/>
      <c r="D92" s="683"/>
      <c r="E92" s="683"/>
      <c r="F92" s="683"/>
      <c r="G92" s="683"/>
      <c r="H92" s="683"/>
      <c r="I92" s="683"/>
      <c r="J92" s="683"/>
      <c r="K92" s="683"/>
      <c r="L92" s="683"/>
      <c r="M92" s="683"/>
      <c r="N92" s="683"/>
      <c r="O92" s="683"/>
      <c r="P92" s="683"/>
      <c r="Q92" s="683"/>
    </row>
    <row r="93" spans="1:17" ht="19.5">
      <c r="A93" s="683"/>
      <c r="B93" s="683"/>
      <c r="C93" s="683"/>
      <c r="D93" s="683"/>
      <c r="E93" s="683"/>
      <c r="F93" s="683"/>
      <c r="G93" s="683"/>
      <c r="H93" s="683"/>
      <c r="I93" s="683"/>
      <c r="J93" s="683"/>
      <c r="K93" s="683"/>
      <c r="L93" s="683"/>
      <c r="M93" s="683"/>
      <c r="N93" s="683"/>
      <c r="O93" s="683"/>
      <c r="P93" s="683"/>
      <c r="Q93" s="683"/>
    </row>
    <row r="94" spans="1:17" ht="19.5">
      <c r="A94" s="683"/>
      <c r="B94" s="683"/>
      <c r="C94" s="683"/>
      <c r="D94" s="683"/>
      <c r="E94" s="683"/>
      <c r="F94" s="683"/>
      <c r="G94" s="683"/>
      <c r="H94" s="683"/>
      <c r="I94" s="683"/>
      <c r="J94" s="683"/>
      <c r="K94" s="683"/>
      <c r="L94" s="683"/>
      <c r="M94" s="683"/>
      <c r="N94" s="683"/>
      <c r="O94" s="683"/>
      <c r="P94" s="683"/>
      <c r="Q94" s="683"/>
    </row>
    <row r="95" spans="1:17" ht="19.5">
      <c r="A95" s="683"/>
      <c r="B95" s="683"/>
      <c r="C95" s="683"/>
      <c r="D95" s="683"/>
      <c r="E95" s="683"/>
      <c r="F95" s="683"/>
      <c r="G95" s="683"/>
      <c r="H95" s="683"/>
      <c r="I95" s="683"/>
      <c r="J95" s="683"/>
      <c r="K95" s="683"/>
      <c r="L95" s="683"/>
      <c r="M95" s="683"/>
      <c r="N95" s="683"/>
      <c r="O95" s="683"/>
      <c r="P95" s="683"/>
      <c r="Q95" s="683"/>
    </row>
    <row r="96" spans="1:17" ht="19.5">
      <c r="A96" s="683"/>
      <c r="B96" s="683"/>
      <c r="C96" s="683"/>
      <c r="D96" s="683"/>
      <c r="E96" s="683"/>
      <c r="F96" s="683"/>
      <c r="G96" s="683"/>
      <c r="H96" s="683"/>
      <c r="I96" s="683"/>
      <c r="J96" s="683"/>
      <c r="K96" s="683"/>
      <c r="L96" s="683"/>
      <c r="M96" s="683"/>
      <c r="N96" s="683"/>
      <c r="O96" s="683"/>
      <c r="P96" s="683"/>
      <c r="Q96" s="683"/>
    </row>
    <row r="97" spans="1:17" ht="19.5">
      <c r="A97" s="683"/>
      <c r="B97" s="683"/>
      <c r="C97" s="683"/>
      <c r="D97" s="683"/>
      <c r="E97" s="683"/>
      <c r="F97" s="683"/>
      <c r="G97" s="683"/>
      <c r="H97" s="683"/>
      <c r="I97" s="683"/>
      <c r="J97" s="683"/>
      <c r="K97" s="683"/>
      <c r="L97" s="683"/>
      <c r="M97" s="683"/>
      <c r="N97" s="683"/>
      <c r="O97" s="683"/>
      <c r="P97" s="683"/>
      <c r="Q97" s="683"/>
    </row>
    <row r="98" spans="1:17" ht="19.5">
      <c r="A98" s="683"/>
      <c r="B98" s="683"/>
      <c r="C98" s="683"/>
      <c r="D98" s="683"/>
      <c r="E98" s="683"/>
      <c r="F98" s="683"/>
      <c r="G98" s="683"/>
      <c r="H98" s="683"/>
      <c r="I98" s="683"/>
      <c r="J98" s="683"/>
      <c r="K98" s="683"/>
      <c r="L98" s="683"/>
      <c r="M98" s="683"/>
      <c r="N98" s="683"/>
      <c r="O98" s="683"/>
      <c r="P98" s="683"/>
      <c r="Q98" s="683"/>
    </row>
    <row r="99" spans="1:17" ht="19.5">
      <c r="A99" s="683"/>
      <c r="B99" s="683"/>
      <c r="C99" s="683"/>
      <c r="D99" s="683"/>
      <c r="E99" s="683"/>
      <c r="F99" s="683"/>
      <c r="G99" s="683"/>
      <c r="H99" s="683"/>
      <c r="I99" s="683"/>
      <c r="J99" s="683"/>
      <c r="K99" s="683"/>
      <c r="L99" s="683"/>
      <c r="M99" s="683"/>
      <c r="N99" s="683"/>
      <c r="O99" s="683"/>
      <c r="P99" s="683"/>
      <c r="Q99" s="683"/>
    </row>
    <row r="100" spans="1:17" ht="19.5">
      <c r="A100" s="683"/>
      <c r="B100" s="683"/>
      <c r="C100" s="683"/>
      <c r="D100" s="683"/>
      <c r="E100" s="683"/>
      <c r="F100" s="683"/>
      <c r="G100" s="683"/>
      <c r="H100" s="683"/>
      <c r="I100" s="683"/>
      <c r="J100" s="683"/>
      <c r="K100" s="683"/>
      <c r="L100" s="683"/>
      <c r="M100" s="683"/>
      <c r="N100" s="683"/>
      <c r="O100" s="683"/>
      <c r="P100" s="683"/>
      <c r="Q100" s="683"/>
    </row>
    <row r="101" spans="1:17" ht="19.5">
      <c r="A101" s="683"/>
      <c r="B101" s="683"/>
      <c r="C101" s="683"/>
      <c r="D101" s="683"/>
      <c r="E101" s="683"/>
      <c r="F101" s="683"/>
      <c r="G101" s="683"/>
      <c r="H101" s="683"/>
      <c r="I101" s="683"/>
      <c r="J101" s="683"/>
      <c r="K101" s="683"/>
      <c r="L101" s="683"/>
      <c r="M101" s="683"/>
      <c r="N101" s="683"/>
      <c r="O101" s="683"/>
      <c r="P101" s="683"/>
      <c r="Q101" s="683"/>
    </row>
    <row r="102" spans="1:17" ht="19.5">
      <c r="A102" s="683"/>
      <c r="B102" s="683"/>
      <c r="C102" s="683"/>
      <c r="D102" s="683"/>
      <c r="E102" s="683"/>
      <c r="F102" s="683"/>
      <c r="G102" s="683"/>
      <c r="H102" s="683"/>
      <c r="I102" s="683"/>
      <c r="J102" s="683"/>
      <c r="K102" s="683"/>
      <c r="L102" s="683"/>
      <c r="M102" s="683"/>
      <c r="N102" s="683"/>
      <c r="O102" s="683"/>
      <c r="P102" s="683"/>
      <c r="Q102" s="683"/>
    </row>
    <row r="103" spans="1:17" ht="19.5">
      <c r="A103" s="683"/>
      <c r="B103" s="683"/>
      <c r="C103" s="683"/>
      <c r="D103" s="683"/>
      <c r="E103" s="683"/>
      <c r="F103" s="683"/>
      <c r="G103" s="683"/>
      <c r="H103" s="683"/>
      <c r="I103" s="683"/>
      <c r="J103" s="683"/>
      <c r="K103" s="683"/>
      <c r="L103" s="683"/>
      <c r="M103" s="683"/>
      <c r="N103" s="683"/>
      <c r="O103" s="683"/>
      <c r="P103" s="683"/>
      <c r="Q103" s="683"/>
    </row>
    <row r="104" spans="1:17" ht="19.5">
      <c r="A104" s="683"/>
      <c r="B104" s="683"/>
      <c r="C104" s="683"/>
      <c r="D104" s="683"/>
      <c r="E104" s="683"/>
      <c r="F104" s="683"/>
      <c r="G104" s="683"/>
      <c r="H104" s="683"/>
      <c r="I104" s="683"/>
      <c r="J104" s="683"/>
      <c r="K104" s="683"/>
      <c r="L104" s="683"/>
      <c r="M104" s="683"/>
      <c r="N104" s="683"/>
      <c r="O104" s="683"/>
      <c r="P104" s="683"/>
      <c r="Q104" s="683"/>
    </row>
    <row r="105" spans="1:17" ht="19.5">
      <c r="A105" s="683"/>
      <c r="B105" s="683"/>
      <c r="C105" s="683"/>
      <c r="D105" s="683"/>
      <c r="E105" s="683"/>
      <c r="F105" s="683"/>
      <c r="G105" s="683"/>
      <c r="H105" s="683"/>
      <c r="I105" s="683"/>
      <c r="J105" s="683"/>
      <c r="K105" s="683"/>
      <c r="L105" s="683"/>
      <c r="M105" s="683"/>
      <c r="N105" s="683"/>
      <c r="O105" s="683"/>
      <c r="P105" s="683"/>
      <c r="Q105" s="683"/>
    </row>
    <row r="106" spans="1:17" ht="19.5">
      <c r="A106" s="683"/>
      <c r="B106" s="683"/>
      <c r="C106" s="683"/>
      <c r="D106" s="683"/>
      <c r="E106" s="683"/>
      <c r="F106" s="683"/>
      <c r="G106" s="683"/>
      <c r="H106" s="683"/>
      <c r="I106" s="683"/>
      <c r="J106" s="683"/>
      <c r="K106" s="683"/>
      <c r="L106" s="683"/>
      <c r="M106" s="683"/>
      <c r="N106" s="683"/>
      <c r="O106" s="683"/>
      <c r="P106" s="683"/>
      <c r="Q106" s="683"/>
    </row>
    <row r="107" spans="1:17" ht="19.5">
      <c r="A107" s="683"/>
      <c r="B107" s="683"/>
      <c r="C107" s="683"/>
      <c r="D107" s="683"/>
      <c r="E107" s="683"/>
      <c r="F107" s="683"/>
      <c r="G107" s="683"/>
      <c r="H107" s="683"/>
      <c r="I107" s="683"/>
      <c r="J107" s="683"/>
      <c r="K107" s="683"/>
      <c r="L107" s="683"/>
      <c r="M107" s="683"/>
      <c r="N107" s="683"/>
      <c r="O107" s="683"/>
      <c r="P107" s="683"/>
      <c r="Q107" s="683"/>
    </row>
    <row r="108" spans="1:17" ht="19.5">
      <c r="A108" s="683"/>
      <c r="B108" s="683"/>
      <c r="C108" s="683"/>
      <c r="D108" s="683"/>
      <c r="E108" s="683"/>
      <c r="F108" s="683"/>
      <c r="G108" s="683"/>
      <c r="H108" s="683"/>
      <c r="I108" s="683"/>
      <c r="J108" s="683"/>
      <c r="K108" s="683"/>
      <c r="L108" s="683"/>
      <c r="M108" s="683"/>
      <c r="N108" s="683"/>
      <c r="O108" s="683"/>
      <c r="P108" s="683"/>
      <c r="Q108" s="683"/>
    </row>
    <row r="109" spans="1:17" ht="19.5">
      <c r="A109" s="683"/>
      <c r="B109" s="683"/>
      <c r="C109" s="683"/>
      <c r="D109" s="683"/>
      <c r="E109" s="683"/>
      <c r="F109" s="683"/>
      <c r="G109" s="683"/>
      <c r="H109" s="683"/>
      <c r="I109" s="683"/>
      <c r="J109" s="683"/>
      <c r="K109" s="683"/>
      <c r="L109" s="683"/>
      <c r="M109" s="683"/>
      <c r="N109" s="683"/>
      <c r="O109" s="683"/>
      <c r="P109" s="683"/>
      <c r="Q109" s="683"/>
    </row>
    <row r="110" spans="1:17" ht="19.5">
      <c r="A110" s="683"/>
      <c r="B110" s="683"/>
      <c r="C110" s="683"/>
      <c r="D110" s="683"/>
      <c r="E110" s="683"/>
      <c r="F110" s="683"/>
      <c r="G110" s="683"/>
      <c r="H110" s="683"/>
      <c r="I110" s="683"/>
      <c r="J110" s="683"/>
      <c r="K110" s="683"/>
      <c r="L110" s="683"/>
      <c r="M110" s="683"/>
      <c r="N110" s="683"/>
      <c r="O110" s="683"/>
      <c r="P110" s="683"/>
      <c r="Q110" s="683"/>
    </row>
    <row r="111" spans="1:17" ht="19.5">
      <c r="A111" s="683"/>
      <c r="B111" s="683"/>
      <c r="C111" s="683"/>
      <c r="D111" s="683"/>
      <c r="E111" s="683"/>
      <c r="F111" s="683"/>
      <c r="G111" s="683"/>
      <c r="H111" s="683"/>
      <c r="I111" s="683"/>
      <c r="J111" s="683"/>
      <c r="K111" s="683"/>
      <c r="L111" s="683"/>
      <c r="M111" s="683"/>
      <c r="N111" s="683"/>
      <c r="O111" s="683"/>
      <c r="P111" s="683"/>
      <c r="Q111" s="683"/>
    </row>
    <row r="112" spans="1:17" ht="19.5">
      <c r="A112" s="683"/>
      <c r="B112" s="683"/>
      <c r="C112" s="683"/>
      <c r="D112" s="683"/>
      <c r="E112" s="683"/>
      <c r="F112" s="683"/>
      <c r="G112" s="683"/>
      <c r="H112" s="683"/>
      <c r="I112" s="683"/>
      <c r="J112" s="683"/>
      <c r="K112" s="683"/>
      <c r="L112" s="683"/>
      <c r="M112" s="683"/>
      <c r="N112" s="683"/>
      <c r="O112" s="683"/>
      <c r="P112" s="683"/>
      <c r="Q112" s="683"/>
    </row>
    <row r="113" spans="1:17" ht="19.5">
      <c r="A113" s="683"/>
      <c r="B113" s="683"/>
      <c r="C113" s="683"/>
      <c r="D113" s="683"/>
      <c r="E113" s="683"/>
      <c r="F113" s="683"/>
      <c r="G113" s="683"/>
      <c r="H113" s="683"/>
      <c r="I113" s="683"/>
      <c r="J113" s="683"/>
      <c r="K113" s="683"/>
      <c r="L113" s="683"/>
      <c r="M113" s="683"/>
      <c r="N113" s="683"/>
      <c r="O113" s="683"/>
      <c r="P113" s="683"/>
      <c r="Q113" s="683"/>
    </row>
    <row r="114" spans="1:17" ht="19.5">
      <c r="A114" s="683"/>
      <c r="B114" s="683"/>
      <c r="C114" s="683"/>
      <c r="D114" s="683"/>
      <c r="E114" s="683"/>
      <c r="F114" s="683"/>
      <c r="G114" s="683"/>
      <c r="H114" s="683"/>
      <c r="I114" s="683"/>
      <c r="J114" s="683"/>
      <c r="K114" s="683"/>
      <c r="L114" s="683"/>
      <c r="M114" s="683"/>
      <c r="N114" s="683"/>
      <c r="O114" s="683"/>
      <c r="P114" s="683"/>
      <c r="Q114" s="683"/>
    </row>
    <row r="115" spans="1:17" ht="19.5">
      <c r="A115" s="683"/>
      <c r="B115" s="683"/>
      <c r="C115" s="683"/>
      <c r="D115" s="683"/>
      <c r="E115" s="683"/>
      <c r="F115" s="683"/>
      <c r="G115" s="683"/>
      <c r="H115" s="683"/>
      <c r="I115" s="683"/>
      <c r="J115" s="683"/>
      <c r="K115" s="683"/>
      <c r="L115" s="683"/>
      <c r="M115" s="683"/>
      <c r="N115" s="683"/>
      <c r="O115" s="683"/>
      <c r="P115" s="683"/>
      <c r="Q115" s="683"/>
    </row>
    <row r="116" spans="1:17" ht="19.5">
      <c r="A116" s="683"/>
      <c r="B116" s="683"/>
      <c r="C116" s="683"/>
      <c r="D116" s="683"/>
      <c r="E116" s="683"/>
      <c r="F116" s="683"/>
      <c r="G116" s="683"/>
      <c r="H116" s="683"/>
      <c r="I116" s="683"/>
      <c r="J116" s="683"/>
      <c r="K116" s="683"/>
      <c r="L116" s="683"/>
      <c r="M116" s="683"/>
      <c r="N116" s="683"/>
      <c r="O116" s="683"/>
      <c r="P116" s="683"/>
      <c r="Q116" s="683"/>
    </row>
    <row r="117" spans="1:17" ht="19.5">
      <c r="A117" s="683"/>
      <c r="B117" s="683"/>
      <c r="C117" s="683"/>
      <c r="D117" s="683"/>
      <c r="E117" s="683"/>
      <c r="F117" s="683"/>
      <c r="G117" s="683"/>
      <c r="H117" s="683"/>
      <c r="I117" s="683"/>
      <c r="J117" s="683"/>
      <c r="K117" s="683"/>
      <c r="L117" s="683"/>
      <c r="M117" s="683"/>
      <c r="N117" s="683"/>
      <c r="O117" s="683"/>
      <c r="P117" s="683"/>
      <c r="Q117" s="683"/>
    </row>
    <row r="118" spans="1:17" ht="19.5">
      <c r="A118" s="683"/>
      <c r="B118" s="683"/>
      <c r="C118" s="683"/>
      <c r="D118" s="683"/>
      <c r="E118" s="683"/>
      <c r="F118" s="683"/>
      <c r="G118" s="683"/>
      <c r="H118" s="683"/>
      <c r="I118" s="683"/>
      <c r="J118" s="683"/>
      <c r="K118" s="683"/>
      <c r="L118" s="683"/>
      <c r="M118" s="683"/>
      <c r="N118" s="683"/>
      <c r="O118" s="683"/>
      <c r="P118" s="683"/>
      <c r="Q118" s="683"/>
    </row>
    <row r="119" spans="1:17" ht="19.5">
      <c r="A119" s="683"/>
      <c r="B119" s="683"/>
      <c r="C119" s="683"/>
      <c r="D119" s="683"/>
      <c r="E119" s="683"/>
      <c r="F119" s="683"/>
      <c r="G119" s="683"/>
      <c r="H119" s="683"/>
      <c r="I119" s="683"/>
      <c r="J119" s="683"/>
      <c r="K119" s="683"/>
      <c r="L119" s="683"/>
      <c r="M119" s="683"/>
      <c r="N119" s="683"/>
      <c r="O119" s="683"/>
      <c r="P119" s="683"/>
      <c r="Q119" s="683"/>
    </row>
    <row r="120" spans="1:17" ht="19.5">
      <c r="A120" s="683"/>
      <c r="B120" s="683"/>
      <c r="C120" s="683"/>
      <c r="D120" s="683"/>
      <c r="E120" s="683"/>
      <c r="F120" s="683"/>
      <c r="G120" s="683"/>
      <c r="H120" s="683"/>
      <c r="I120" s="683"/>
      <c r="J120" s="683"/>
      <c r="K120" s="683"/>
      <c r="L120" s="683"/>
      <c r="M120" s="683"/>
      <c r="N120" s="683"/>
      <c r="O120" s="683"/>
      <c r="P120" s="683"/>
      <c r="Q120" s="683"/>
    </row>
    <row r="121" spans="1:17" ht="19.5">
      <c r="A121" s="683"/>
      <c r="B121" s="683"/>
      <c r="C121" s="683"/>
      <c r="D121" s="683"/>
      <c r="E121" s="683"/>
      <c r="F121" s="683"/>
      <c r="G121" s="683"/>
      <c r="H121" s="683"/>
      <c r="I121" s="683"/>
      <c r="J121" s="683"/>
      <c r="K121" s="683"/>
      <c r="L121" s="683"/>
      <c r="M121" s="683"/>
      <c r="N121" s="683"/>
      <c r="O121" s="683"/>
      <c r="P121" s="683"/>
      <c r="Q121" s="683"/>
    </row>
    <row r="122" spans="1:17" ht="19.5">
      <c r="A122" s="683"/>
      <c r="B122" s="683"/>
      <c r="C122" s="683"/>
      <c r="D122" s="683"/>
      <c r="E122" s="683"/>
      <c r="F122" s="683"/>
      <c r="G122" s="683"/>
      <c r="H122" s="683"/>
      <c r="I122" s="683"/>
      <c r="J122" s="683"/>
      <c r="K122" s="683"/>
      <c r="L122" s="683"/>
      <c r="M122" s="683"/>
      <c r="N122" s="683"/>
      <c r="O122" s="683"/>
      <c r="P122" s="683"/>
      <c r="Q122" s="683"/>
    </row>
    <row r="123" spans="1:17" ht="19.5">
      <c r="A123" s="683"/>
      <c r="B123" s="683"/>
      <c r="C123" s="683"/>
      <c r="D123" s="683"/>
      <c r="E123" s="683"/>
      <c r="F123" s="683"/>
      <c r="G123" s="683"/>
      <c r="H123" s="683"/>
      <c r="I123" s="683"/>
      <c r="J123" s="683"/>
      <c r="K123" s="683"/>
      <c r="L123" s="683"/>
      <c r="M123" s="683"/>
      <c r="N123" s="683"/>
      <c r="O123" s="683"/>
      <c r="P123" s="683"/>
      <c r="Q123" s="683"/>
    </row>
    <row r="124" spans="1:17" ht="19.5">
      <c r="A124" s="683"/>
      <c r="B124" s="683"/>
      <c r="C124" s="683"/>
      <c r="D124" s="683"/>
      <c r="E124" s="683"/>
      <c r="F124" s="683"/>
      <c r="G124" s="683"/>
      <c r="H124" s="683"/>
      <c r="I124" s="683"/>
      <c r="J124" s="683"/>
      <c r="K124" s="683"/>
      <c r="L124" s="683"/>
      <c r="M124" s="683"/>
      <c r="N124" s="683"/>
      <c r="O124" s="683"/>
      <c r="P124" s="683"/>
      <c r="Q124" s="683"/>
    </row>
    <row r="125" spans="1:17" ht="19.5">
      <c r="A125" s="683"/>
      <c r="B125" s="683"/>
      <c r="C125" s="683"/>
      <c r="D125" s="683"/>
      <c r="E125" s="683"/>
      <c r="F125" s="683"/>
      <c r="G125" s="683"/>
      <c r="H125" s="683"/>
      <c r="I125" s="683"/>
      <c r="J125" s="683"/>
      <c r="K125" s="683"/>
      <c r="L125" s="683"/>
      <c r="M125" s="683"/>
      <c r="N125" s="683"/>
      <c r="O125" s="683"/>
      <c r="P125" s="683"/>
      <c r="Q125" s="683"/>
    </row>
    <row r="126" spans="1:17" ht="19.5">
      <c r="A126" s="683"/>
      <c r="B126" s="683"/>
      <c r="C126" s="683"/>
      <c r="D126" s="683"/>
      <c r="E126" s="683"/>
      <c r="F126" s="683"/>
      <c r="G126" s="683"/>
      <c r="H126" s="683"/>
      <c r="I126" s="683"/>
      <c r="J126" s="683"/>
      <c r="K126" s="683"/>
      <c r="L126" s="683"/>
      <c r="M126" s="683"/>
      <c r="N126" s="683"/>
      <c r="O126" s="683"/>
      <c r="P126" s="683"/>
      <c r="Q126" s="683"/>
    </row>
    <row r="127" spans="1:17" ht="19.5">
      <c r="A127" s="683"/>
      <c r="B127" s="683"/>
      <c r="C127" s="683"/>
      <c r="D127" s="683"/>
      <c r="E127" s="683"/>
      <c r="F127" s="683"/>
      <c r="G127" s="683"/>
      <c r="H127" s="683"/>
      <c r="I127" s="683"/>
      <c r="J127" s="683"/>
      <c r="K127" s="683"/>
      <c r="L127" s="683"/>
      <c r="M127" s="683"/>
      <c r="N127" s="683"/>
      <c r="O127" s="683"/>
      <c r="P127" s="683"/>
      <c r="Q127" s="683"/>
    </row>
    <row r="128" spans="1:17" ht="19.5">
      <c r="A128" s="683"/>
      <c r="B128" s="683"/>
      <c r="C128" s="683"/>
      <c r="D128" s="683"/>
      <c r="E128" s="683"/>
      <c r="F128" s="683"/>
      <c r="G128" s="683"/>
      <c r="H128" s="683"/>
      <c r="I128" s="683"/>
      <c r="J128" s="683"/>
      <c r="K128" s="683"/>
      <c r="L128" s="683"/>
      <c r="M128" s="683"/>
      <c r="N128" s="683"/>
      <c r="O128" s="683"/>
      <c r="P128" s="683"/>
      <c r="Q128" s="683"/>
    </row>
    <row r="129" spans="1:17" ht="19.5">
      <c r="A129" s="683"/>
      <c r="B129" s="683"/>
      <c r="C129" s="683"/>
      <c r="D129" s="683"/>
      <c r="E129" s="683"/>
      <c r="F129" s="683"/>
      <c r="G129" s="683"/>
      <c r="H129" s="683"/>
      <c r="I129" s="683"/>
      <c r="J129" s="683"/>
      <c r="K129" s="683"/>
      <c r="L129" s="683"/>
      <c r="M129" s="683"/>
      <c r="N129" s="683"/>
      <c r="O129" s="683"/>
      <c r="P129" s="683"/>
      <c r="Q129" s="683"/>
    </row>
    <row r="130" spans="1:17" ht="19.5">
      <c r="A130" s="683"/>
      <c r="B130" s="683"/>
      <c r="C130" s="683"/>
      <c r="D130" s="683"/>
      <c r="E130" s="683"/>
      <c r="F130" s="683"/>
      <c r="G130" s="683"/>
      <c r="H130" s="683"/>
      <c r="I130" s="683"/>
      <c r="J130" s="683"/>
      <c r="K130" s="683"/>
      <c r="L130" s="683"/>
      <c r="M130" s="683"/>
      <c r="N130" s="683"/>
      <c r="O130" s="683"/>
      <c r="P130" s="683"/>
      <c r="Q130" s="683"/>
    </row>
    <row r="131" spans="1:17" ht="19.5">
      <c r="A131" s="683"/>
      <c r="B131" s="683"/>
      <c r="C131" s="683"/>
      <c r="D131" s="683"/>
      <c r="E131" s="683"/>
      <c r="F131" s="683"/>
      <c r="G131" s="683"/>
      <c r="H131" s="683"/>
      <c r="I131" s="683"/>
      <c r="J131" s="683"/>
      <c r="K131" s="683"/>
      <c r="L131" s="683"/>
      <c r="M131" s="683"/>
      <c r="N131" s="683"/>
      <c r="O131" s="683"/>
      <c r="P131" s="683"/>
      <c r="Q131" s="683"/>
    </row>
    <row r="132" spans="1:17" ht="19.5">
      <c r="A132" s="683"/>
      <c r="B132" s="683"/>
      <c r="C132" s="683"/>
      <c r="D132" s="683"/>
      <c r="E132" s="683"/>
      <c r="F132" s="683"/>
      <c r="G132" s="683"/>
      <c r="H132" s="683"/>
      <c r="I132" s="683"/>
      <c r="J132" s="683"/>
      <c r="K132" s="683"/>
      <c r="L132" s="683"/>
      <c r="M132" s="683"/>
      <c r="N132" s="683"/>
      <c r="O132" s="683"/>
      <c r="P132" s="683"/>
      <c r="Q132" s="683"/>
    </row>
    <row r="133" spans="1:17" ht="19.5">
      <c r="A133" s="683"/>
      <c r="B133" s="683"/>
      <c r="C133" s="683"/>
      <c r="D133" s="683"/>
      <c r="E133" s="683"/>
      <c r="F133" s="683"/>
      <c r="G133" s="683"/>
      <c r="H133" s="683"/>
      <c r="I133" s="683"/>
      <c r="J133" s="683"/>
      <c r="K133" s="683"/>
      <c r="L133" s="683"/>
      <c r="M133" s="683"/>
      <c r="N133" s="683"/>
      <c r="O133" s="683"/>
      <c r="P133" s="683"/>
      <c r="Q133" s="683"/>
    </row>
    <row r="134" spans="1:17" ht="19.5">
      <c r="A134" s="683"/>
      <c r="B134" s="683"/>
      <c r="C134" s="683"/>
      <c r="D134" s="683"/>
      <c r="E134" s="683"/>
      <c r="F134" s="683"/>
      <c r="G134" s="683"/>
      <c r="H134" s="683"/>
      <c r="I134" s="683"/>
      <c r="J134" s="683"/>
      <c r="K134" s="683"/>
      <c r="L134" s="683"/>
      <c r="M134" s="683"/>
      <c r="N134" s="683"/>
      <c r="O134" s="683"/>
      <c r="P134" s="683"/>
      <c r="Q134" s="683"/>
    </row>
    <row r="135" spans="1:17" ht="19.5">
      <c r="A135" s="683"/>
      <c r="B135" s="683"/>
      <c r="C135" s="683"/>
      <c r="D135" s="683"/>
      <c r="E135" s="683"/>
      <c r="F135" s="683"/>
      <c r="G135" s="683"/>
      <c r="H135" s="683"/>
      <c r="I135" s="683"/>
      <c r="J135" s="683"/>
      <c r="K135" s="683"/>
      <c r="L135" s="683"/>
      <c r="M135" s="683"/>
      <c r="N135" s="683"/>
      <c r="O135" s="683"/>
      <c r="P135" s="683"/>
      <c r="Q135" s="683"/>
    </row>
    <row r="136" spans="1:17" ht="19.5">
      <c r="A136" s="683"/>
      <c r="B136" s="683"/>
      <c r="C136" s="683"/>
      <c r="D136" s="683"/>
      <c r="E136" s="683"/>
      <c r="F136" s="683"/>
      <c r="G136" s="683"/>
      <c r="H136" s="683"/>
      <c r="I136" s="683"/>
      <c r="J136" s="683"/>
      <c r="K136" s="683"/>
      <c r="L136" s="683"/>
      <c r="M136" s="683"/>
      <c r="N136" s="683"/>
      <c r="O136" s="683"/>
      <c r="P136" s="683"/>
      <c r="Q136" s="683"/>
    </row>
    <row r="137" spans="1:17" ht="19.5">
      <c r="A137" s="683"/>
      <c r="B137" s="683"/>
      <c r="C137" s="683"/>
      <c r="D137" s="683"/>
      <c r="E137" s="683"/>
      <c r="F137" s="683"/>
      <c r="G137" s="683"/>
      <c r="H137" s="683"/>
      <c r="I137" s="683"/>
      <c r="J137" s="683"/>
      <c r="K137" s="683"/>
      <c r="L137" s="683"/>
      <c r="M137" s="683"/>
      <c r="N137" s="683"/>
      <c r="O137" s="683"/>
      <c r="P137" s="683"/>
      <c r="Q137" s="683"/>
    </row>
    <row r="138" spans="1:17" ht="19.5">
      <c r="A138" s="683"/>
      <c r="B138" s="683"/>
      <c r="C138" s="683"/>
      <c r="D138" s="683"/>
      <c r="E138" s="683"/>
      <c r="F138" s="683"/>
      <c r="G138" s="683"/>
      <c r="H138" s="683"/>
      <c r="I138" s="683"/>
      <c r="J138" s="683"/>
      <c r="K138" s="683"/>
      <c r="L138" s="683"/>
      <c r="M138" s="683"/>
      <c r="N138" s="683"/>
      <c r="O138" s="683"/>
      <c r="P138" s="683"/>
      <c r="Q138" s="683"/>
    </row>
    <row r="139" spans="1:17" ht="19.5">
      <c r="A139" s="683"/>
      <c r="B139" s="683"/>
      <c r="C139" s="683"/>
      <c r="D139" s="683"/>
      <c r="E139" s="683"/>
      <c r="F139" s="683"/>
      <c r="G139" s="683"/>
      <c r="H139" s="683"/>
      <c r="I139" s="683"/>
      <c r="J139" s="683"/>
      <c r="K139" s="683"/>
      <c r="L139" s="683"/>
      <c r="M139" s="683"/>
      <c r="N139" s="683"/>
      <c r="O139" s="683"/>
      <c r="P139" s="683"/>
      <c r="Q139" s="683"/>
    </row>
    <row r="140" spans="1:17" ht="19.5">
      <c r="A140" s="683"/>
      <c r="B140" s="683"/>
      <c r="C140" s="683"/>
      <c r="D140" s="683"/>
      <c r="E140" s="683"/>
      <c r="F140" s="683"/>
      <c r="G140" s="683"/>
      <c r="H140" s="683"/>
      <c r="I140" s="683"/>
      <c r="J140" s="683"/>
      <c r="K140" s="683"/>
      <c r="L140" s="683"/>
      <c r="M140" s="683"/>
      <c r="N140" s="683"/>
      <c r="O140" s="683"/>
      <c r="P140" s="683"/>
      <c r="Q140" s="683"/>
    </row>
    <row r="141" spans="1:17" ht="19.5">
      <c r="A141" s="683"/>
      <c r="B141" s="683"/>
      <c r="C141" s="683"/>
      <c r="D141" s="683"/>
      <c r="E141" s="683"/>
      <c r="F141" s="683"/>
      <c r="G141" s="683"/>
      <c r="H141" s="683"/>
      <c r="I141" s="683"/>
      <c r="J141" s="683"/>
      <c r="K141" s="683"/>
      <c r="L141" s="683"/>
      <c r="M141" s="683"/>
      <c r="N141" s="683"/>
      <c r="O141" s="683"/>
      <c r="P141" s="683"/>
      <c r="Q141" s="683"/>
    </row>
    <row r="142" spans="1:17" ht="19.5">
      <c r="A142" s="683"/>
      <c r="B142" s="683"/>
      <c r="C142" s="683"/>
      <c r="D142" s="683"/>
      <c r="E142" s="683"/>
      <c r="F142" s="683"/>
      <c r="G142" s="683"/>
      <c r="H142" s="683"/>
      <c r="I142" s="683"/>
      <c r="J142" s="683"/>
      <c r="K142" s="683"/>
      <c r="L142" s="683"/>
      <c r="M142" s="683"/>
      <c r="N142" s="683"/>
      <c r="O142" s="683"/>
      <c r="P142" s="683"/>
      <c r="Q142" s="683"/>
    </row>
    <row r="143" spans="1:17" ht="19.5">
      <c r="A143" s="683"/>
      <c r="B143" s="683"/>
      <c r="C143" s="683"/>
      <c r="D143" s="683"/>
      <c r="E143" s="683"/>
      <c r="F143" s="683"/>
      <c r="G143" s="683"/>
      <c r="H143" s="683"/>
      <c r="I143" s="683"/>
      <c r="J143" s="683"/>
      <c r="K143" s="683"/>
      <c r="L143" s="683"/>
      <c r="M143" s="683"/>
      <c r="N143" s="683"/>
      <c r="O143" s="683"/>
      <c r="P143" s="683"/>
      <c r="Q143" s="683"/>
    </row>
    <row r="144" spans="1:17" ht="19.5">
      <c r="A144" s="683"/>
      <c r="B144" s="683"/>
      <c r="C144" s="683"/>
      <c r="D144" s="683"/>
      <c r="E144" s="683"/>
      <c r="F144" s="683"/>
      <c r="G144" s="683"/>
      <c r="H144" s="683"/>
      <c r="I144" s="683"/>
      <c r="J144" s="683"/>
      <c r="K144" s="683"/>
      <c r="L144" s="683"/>
      <c r="M144" s="683"/>
      <c r="N144" s="683"/>
      <c r="O144" s="683"/>
      <c r="P144" s="683"/>
      <c r="Q144" s="683"/>
    </row>
    <row r="145" spans="1:17" ht="19.5">
      <c r="A145" s="683"/>
      <c r="B145" s="683"/>
      <c r="C145" s="683"/>
      <c r="D145" s="683"/>
      <c r="E145" s="683"/>
      <c r="F145" s="683"/>
      <c r="G145" s="683"/>
      <c r="H145" s="683"/>
      <c r="I145" s="683"/>
      <c r="J145" s="683"/>
      <c r="K145" s="683"/>
      <c r="L145" s="683"/>
      <c r="M145" s="683"/>
      <c r="N145" s="683"/>
      <c r="O145" s="683"/>
      <c r="P145" s="683"/>
      <c r="Q145" s="683"/>
    </row>
    <row r="146" spans="1:17" ht="19.5">
      <c r="A146" s="683"/>
      <c r="B146" s="683"/>
      <c r="C146" s="683"/>
      <c r="D146" s="683"/>
      <c r="E146" s="683"/>
      <c r="F146" s="683"/>
      <c r="G146" s="683"/>
      <c r="H146" s="683"/>
      <c r="I146" s="683"/>
      <c r="J146" s="683"/>
      <c r="K146" s="683"/>
      <c r="L146" s="683"/>
      <c r="M146" s="683"/>
      <c r="N146" s="683"/>
      <c r="O146" s="683"/>
      <c r="P146" s="683"/>
      <c r="Q146" s="683"/>
    </row>
    <row r="147" spans="1:17" ht="19.5">
      <c r="A147" s="683"/>
      <c r="B147" s="683"/>
      <c r="C147" s="683"/>
      <c r="D147" s="683"/>
      <c r="E147" s="683"/>
      <c r="F147" s="683"/>
      <c r="G147" s="683"/>
      <c r="H147" s="683"/>
      <c r="I147" s="683"/>
      <c r="J147" s="683"/>
      <c r="K147" s="683"/>
      <c r="L147" s="683"/>
      <c r="M147" s="683"/>
      <c r="N147" s="683"/>
      <c r="O147" s="683"/>
      <c r="P147" s="683"/>
      <c r="Q147" s="683"/>
    </row>
    <row r="148" spans="1:17" ht="19.5">
      <c r="A148" s="683"/>
      <c r="B148" s="683"/>
      <c r="C148" s="683"/>
      <c r="D148" s="683"/>
      <c r="E148" s="683"/>
      <c r="F148" s="683"/>
      <c r="G148" s="683"/>
      <c r="H148" s="683"/>
      <c r="I148" s="683"/>
      <c r="J148" s="683"/>
      <c r="K148" s="683"/>
      <c r="L148" s="683"/>
      <c r="M148" s="683"/>
      <c r="N148" s="683"/>
      <c r="O148" s="683"/>
      <c r="P148" s="683"/>
      <c r="Q148" s="683"/>
    </row>
    <row r="149" spans="1:17" ht="19.5">
      <c r="A149" s="683"/>
      <c r="B149" s="683"/>
      <c r="C149" s="683"/>
      <c r="D149" s="683"/>
      <c r="E149" s="683"/>
      <c r="F149" s="683"/>
      <c r="G149" s="683"/>
      <c r="H149" s="683"/>
      <c r="I149" s="683"/>
      <c r="J149" s="683"/>
      <c r="K149" s="683"/>
      <c r="L149" s="683"/>
      <c r="M149" s="683"/>
      <c r="N149" s="683"/>
      <c r="O149" s="683"/>
      <c r="P149" s="683"/>
      <c r="Q149" s="683"/>
    </row>
    <row r="150" spans="1:17" ht="19.5">
      <c r="A150" s="683"/>
      <c r="B150" s="683"/>
      <c r="C150" s="683"/>
      <c r="D150" s="683"/>
      <c r="E150" s="683"/>
      <c r="F150" s="683"/>
      <c r="G150" s="683"/>
      <c r="H150" s="683"/>
      <c r="I150" s="683"/>
      <c r="J150" s="683"/>
      <c r="K150" s="683"/>
      <c r="L150" s="683"/>
      <c r="M150" s="683"/>
      <c r="N150" s="683"/>
      <c r="O150" s="683"/>
      <c r="P150" s="683"/>
      <c r="Q150" s="683"/>
    </row>
    <row r="151" spans="1:17" ht="19.5">
      <c r="A151" s="683"/>
      <c r="B151" s="683"/>
      <c r="C151" s="683"/>
      <c r="D151" s="683"/>
      <c r="E151" s="683"/>
      <c r="F151" s="683"/>
      <c r="G151" s="683"/>
      <c r="H151" s="683"/>
      <c r="I151" s="683"/>
      <c r="J151" s="683"/>
      <c r="K151" s="683"/>
      <c r="L151" s="683"/>
      <c r="M151" s="683"/>
      <c r="N151" s="683"/>
      <c r="O151" s="683"/>
      <c r="P151" s="683"/>
      <c r="Q151" s="683"/>
    </row>
    <row r="152" spans="1:17" ht="19.5">
      <c r="A152" s="683"/>
      <c r="B152" s="683"/>
      <c r="C152" s="683"/>
      <c r="D152" s="683"/>
      <c r="E152" s="683"/>
      <c r="F152" s="683"/>
      <c r="G152" s="683"/>
      <c r="H152" s="683"/>
      <c r="I152" s="683"/>
      <c r="J152" s="683"/>
      <c r="K152" s="683"/>
      <c r="L152" s="683"/>
      <c r="M152" s="683"/>
      <c r="N152" s="683"/>
      <c r="O152" s="683"/>
      <c r="P152" s="683"/>
      <c r="Q152" s="683"/>
    </row>
    <row r="153" spans="1:17" ht="19.5">
      <c r="A153" s="683"/>
      <c r="B153" s="683"/>
      <c r="C153" s="683"/>
      <c r="D153" s="683"/>
      <c r="E153" s="683"/>
      <c r="F153" s="683"/>
      <c r="G153" s="683"/>
      <c r="H153" s="683"/>
      <c r="I153" s="683"/>
      <c r="J153" s="683"/>
      <c r="K153" s="683"/>
      <c r="L153" s="683"/>
      <c r="M153" s="683"/>
      <c r="N153" s="683"/>
      <c r="O153" s="683"/>
      <c r="P153" s="683"/>
      <c r="Q153" s="683"/>
    </row>
    <row r="154" spans="1:17" ht="19.5">
      <c r="A154" s="683"/>
      <c r="B154" s="683"/>
      <c r="C154" s="683"/>
      <c r="D154" s="683"/>
      <c r="E154" s="683"/>
      <c r="F154" s="683"/>
      <c r="G154" s="683"/>
      <c r="H154" s="683"/>
      <c r="I154" s="683"/>
      <c r="J154" s="683"/>
      <c r="K154" s="683"/>
      <c r="L154" s="683"/>
      <c r="M154" s="683"/>
      <c r="N154" s="683"/>
      <c r="O154" s="683"/>
      <c r="P154" s="683"/>
      <c r="Q154" s="683"/>
    </row>
    <row r="155" spans="1:17" ht="19.5">
      <c r="A155" s="683"/>
      <c r="B155" s="683"/>
      <c r="C155" s="683"/>
      <c r="D155" s="683"/>
      <c r="E155" s="683"/>
      <c r="F155" s="683"/>
      <c r="G155" s="683"/>
      <c r="H155" s="683"/>
      <c r="I155" s="683"/>
      <c r="J155" s="683"/>
      <c r="K155" s="683"/>
      <c r="L155" s="683"/>
      <c r="M155" s="683"/>
      <c r="N155" s="683"/>
      <c r="O155" s="683"/>
      <c r="P155" s="683"/>
      <c r="Q155" s="683"/>
    </row>
    <row r="156" spans="1:17" ht="19.5">
      <c r="A156" s="683"/>
      <c r="B156" s="683"/>
      <c r="C156" s="683"/>
      <c r="D156" s="683"/>
      <c r="E156" s="683"/>
      <c r="F156" s="683"/>
      <c r="G156" s="683"/>
      <c r="H156" s="683"/>
      <c r="I156" s="683"/>
      <c r="J156" s="683"/>
      <c r="K156" s="683"/>
      <c r="L156" s="683"/>
      <c r="M156" s="683"/>
      <c r="N156" s="683"/>
      <c r="O156" s="683"/>
      <c r="P156" s="683"/>
      <c r="Q156" s="683"/>
    </row>
    <row r="157" spans="1:17" ht="19.5">
      <c r="A157" s="683"/>
      <c r="B157" s="683"/>
      <c r="C157" s="683"/>
      <c r="D157" s="683"/>
      <c r="E157" s="683"/>
      <c r="F157" s="683"/>
      <c r="G157" s="683"/>
      <c r="H157" s="683"/>
      <c r="I157" s="683"/>
      <c r="J157" s="683"/>
      <c r="K157" s="683"/>
      <c r="L157" s="683"/>
      <c r="M157" s="683"/>
      <c r="N157" s="683"/>
      <c r="O157" s="683"/>
      <c r="P157" s="683"/>
      <c r="Q157" s="683"/>
    </row>
    <row r="158" spans="1:17" ht="19.5">
      <c r="A158" s="683"/>
      <c r="B158" s="683"/>
      <c r="C158" s="683"/>
      <c r="D158" s="683"/>
      <c r="E158" s="683"/>
      <c r="F158" s="683"/>
      <c r="G158" s="683"/>
      <c r="H158" s="683"/>
      <c r="I158" s="683"/>
      <c r="J158" s="683"/>
      <c r="K158" s="683"/>
      <c r="L158" s="683"/>
      <c r="M158" s="683"/>
      <c r="N158" s="683"/>
      <c r="O158" s="683"/>
      <c r="P158" s="683"/>
      <c r="Q158" s="683"/>
    </row>
    <row r="159" spans="1:17" ht="19.5">
      <c r="A159" s="683"/>
      <c r="B159" s="683"/>
      <c r="C159" s="683"/>
      <c r="D159" s="683"/>
      <c r="E159" s="683"/>
      <c r="F159" s="683"/>
      <c r="G159" s="683"/>
      <c r="H159" s="683"/>
      <c r="I159" s="683"/>
      <c r="J159" s="683"/>
      <c r="K159" s="683"/>
      <c r="L159" s="683"/>
      <c r="M159" s="683"/>
      <c r="N159" s="683"/>
      <c r="O159" s="683"/>
      <c r="P159" s="683"/>
      <c r="Q159" s="683"/>
    </row>
    <row r="160" spans="1:17" ht="19.5">
      <c r="A160" s="683"/>
      <c r="B160" s="683"/>
      <c r="C160" s="683"/>
      <c r="D160" s="683"/>
      <c r="E160" s="683"/>
      <c r="F160" s="683"/>
      <c r="G160" s="683"/>
      <c r="H160" s="683"/>
      <c r="I160" s="683"/>
      <c r="J160" s="683"/>
      <c r="K160" s="683"/>
      <c r="L160" s="683"/>
      <c r="M160" s="683"/>
      <c r="N160" s="683"/>
      <c r="O160" s="683"/>
      <c r="P160" s="683"/>
      <c r="Q160" s="683"/>
    </row>
    <row r="161" spans="1:17" ht="19.5">
      <c r="A161" s="683"/>
      <c r="B161" s="683"/>
      <c r="C161" s="683"/>
      <c r="D161" s="683"/>
      <c r="E161" s="683"/>
      <c r="F161" s="683"/>
      <c r="G161" s="683"/>
      <c r="H161" s="683"/>
      <c r="I161" s="683"/>
      <c r="J161" s="683"/>
      <c r="K161" s="683"/>
      <c r="L161" s="683"/>
      <c r="M161" s="683"/>
      <c r="N161" s="683"/>
      <c r="O161" s="683"/>
      <c r="P161" s="683"/>
      <c r="Q161" s="683"/>
    </row>
    <row r="162" spans="1:17" ht="19.5">
      <c r="A162" s="683"/>
      <c r="B162" s="683"/>
      <c r="C162" s="683"/>
      <c r="D162" s="683"/>
      <c r="E162" s="683"/>
      <c r="F162" s="683"/>
      <c r="G162" s="683"/>
      <c r="H162" s="683"/>
      <c r="I162" s="683"/>
      <c r="J162" s="683"/>
      <c r="K162" s="683"/>
      <c r="L162" s="683"/>
      <c r="M162" s="683"/>
      <c r="N162" s="683"/>
      <c r="O162" s="683"/>
      <c r="P162" s="683"/>
      <c r="Q162" s="683"/>
    </row>
    <row r="163" spans="1:17" ht="19.5">
      <c r="A163" s="683"/>
      <c r="B163" s="683"/>
      <c r="C163" s="683"/>
      <c r="D163" s="683"/>
      <c r="E163" s="683"/>
      <c r="F163" s="683"/>
      <c r="G163" s="683"/>
      <c r="H163" s="683"/>
      <c r="I163" s="683"/>
      <c r="J163" s="683"/>
      <c r="K163" s="683"/>
      <c r="L163" s="683"/>
      <c r="M163" s="683"/>
      <c r="N163" s="683"/>
      <c r="O163" s="683"/>
      <c r="P163" s="683"/>
      <c r="Q163" s="683"/>
    </row>
    <row r="164" spans="1:17" ht="19.5">
      <c r="A164" s="683"/>
      <c r="B164" s="683"/>
      <c r="C164" s="683"/>
      <c r="D164" s="683"/>
      <c r="E164" s="683"/>
      <c r="F164" s="683"/>
      <c r="G164" s="683"/>
      <c r="H164" s="683"/>
      <c r="I164" s="683"/>
      <c r="J164" s="683"/>
      <c r="K164" s="683"/>
      <c r="L164" s="683"/>
      <c r="M164" s="683"/>
      <c r="N164" s="683"/>
      <c r="O164" s="683"/>
      <c r="P164" s="683"/>
      <c r="Q164" s="683"/>
    </row>
    <row r="165" spans="1:17" ht="19.5">
      <c r="A165" s="683"/>
      <c r="B165" s="683"/>
      <c r="C165" s="683"/>
      <c r="D165" s="683"/>
      <c r="E165" s="683"/>
      <c r="F165" s="683"/>
      <c r="G165" s="683"/>
      <c r="H165" s="683"/>
      <c r="I165" s="683"/>
      <c r="J165" s="683"/>
      <c r="K165" s="683"/>
      <c r="L165" s="683"/>
      <c r="M165" s="683"/>
      <c r="N165" s="683"/>
      <c r="O165" s="683"/>
      <c r="P165" s="683"/>
      <c r="Q165" s="683"/>
    </row>
    <row r="166" spans="1:17" ht="19.5">
      <c r="A166" s="683"/>
      <c r="B166" s="683"/>
      <c r="C166" s="683"/>
      <c r="D166" s="683"/>
      <c r="E166" s="683"/>
      <c r="F166" s="683"/>
      <c r="G166" s="683"/>
      <c r="H166" s="683"/>
      <c r="I166" s="683"/>
      <c r="J166" s="683"/>
      <c r="K166" s="683"/>
      <c r="L166" s="683"/>
      <c r="M166" s="683"/>
      <c r="N166" s="683"/>
      <c r="O166" s="683"/>
      <c r="P166" s="683"/>
      <c r="Q166" s="683"/>
    </row>
    <row r="167" spans="1:17" ht="19.5">
      <c r="A167" s="683"/>
      <c r="B167" s="683"/>
      <c r="C167" s="683"/>
      <c r="D167" s="683"/>
      <c r="E167" s="683"/>
      <c r="F167" s="683"/>
      <c r="G167" s="683"/>
      <c r="H167" s="683"/>
      <c r="I167" s="683"/>
      <c r="J167" s="683"/>
      <c r="K167" s="683"/>
      <c r="L167" s="683"/>
      <c r="M167" s="683"/>
      <c r="N167" s="683"/>
      <c r="O167" s="683"/>
      <c r="P167" s="683"/>
      <c r="Q167" s="683"/>
    </row>
    <row r="168" spans="1:17" ht="19.5">
      <c r="A168" s="683"/>
      <c r="B168" s="683"/>
      <c r="C168" s="683"/>
      <c r="D168" s="683"/>
      <c r="E168" s="683"/>
      <c r="F168" s="683"/>
      <c r="G168" s="683"/>
      <c r="H168" s="683"/>
      <c r="I168" s="683"/>
      <c r="J168" s="683"/>
      <c r="K168" s="683"/>
      <c r="L168" s="683"/>
      <c r="M168" s="683"/>
      <c r="N168" s="683"/>
      <c r="O168" s="683"/>
      <c r="P168" s="683"/>
      <c r="Q168" s="683"/>
    </row>
    <row r="169" spans="1:17" ht="19.5">
      <c r="A169" s="683"/>
      <c r="B169" s="683"/>
      <c r="C169" s="683"/>
      <c r="D169" s="683"/>
      <c r="E169" s="683"/>
      <c r="F169" s="683"/>
      <c r="G169" s="683"/>
      <c r="H169" s="683"/>
      <c r="I169" s="683"/>
      <c r="J169" s="683"/>
      <c r="K169" s="683"/>
      <c r="L169" s="683"/>
      <c r="M169" s="683"/>
      <c r="N169" s="683"/>
      <c r="O169" s="683"/>
      <c r="P169" s="683"/>
      <c r="Q169" s="683"/>
    </row>
    <row r="170" spans="1:17" ht="19.5">
      <c r="A170" s="683"/>
      <c r="B170" s="683"/>
      <c r="C170" s="683"/>
      <c r="D170" s="683"/>
      <c r="E170" s="683"/>
      <c r="F170" s="683"/>
      <c r="G170" s="683"/>
      <c r="H170" s="683"/>
      <c r="I170" s="683"/>
      <c r="J170" s="683"/>
      <c r="K170" s="683"/>
      <c r="L170" s="683"/>
      <c r="M170" s="683"/>
      <c r="N170" s="683"/>
      <c r="O170" s="683"/>
      <c r="P170" s="683"/>
      <c r="Q170" s="683"/>
    </row>
    <row r="171" spans="1:17" ht="19.5">
      <c r="A171" s="683"/>
      <c r="B171" s="683"/>
      <c r="C171" s="683"/>
      <c r="D171" s="683"/>
      <c r="E171" s="683"/>
      <c r="F171" s="683"/>
      <c r="G171" s="683"/>
      <c r="H171" s="683"/>
      <c r="I171" s="683"/>
      <c r="J171" s="683"/>
      <c r="K171" s="683"/>
      <c r="L171" s="683"/>
      <c r="M171" s="683"/>
      <c r="N171" s="683"/>
      <c r="O171" s="683"/>
      <c r="P171" s="683"/>
      <c r="Q171" s="683"/>
    </row>
    <row r="172" spans="1:17" ht="19.5">
      <c r="A172" s="683"/>
      <c r="B172" s="683"/>
      <c r="C172" s="683"/>
      <c r="D172" s="683"/>
      <c r="E172" s="683"/>
      <c r="F172" s="683"/>
      <c r="G172" s="683"/>
      <c r="H172" s="683"/>
      <c r="I172" s="683"/>
      <c r="J172" s="683"/>
      <c r="K172" s="683"/>
      <c r="L172" s="683"/>
      <c r="M172" s="683"/>
      <c r="N172" s="683"/>
      <c r="O172" s="683"/>
      <c r="P172" s="683"/>
      <c r="Q172" s="683"/>
    </row>
    <row r="173" spans="1:17" ht="19.5">
      <c r="A173" s="683"/>
      <c r="B173" s="683"/>
      <c r="C173" s="683"/>
      <c r="D173" s="683"/>
      <c r="E173" s="683"/>
      <c r="F173" s="683"/>
      <c r="G173" s="683"/>
      <c r="H173" s="683"/>
      <c r="I173" s="683"/>
      <c r="J173" s="683"/>
      <c r="K173" s="683"/>
      <c r="L173" s="683"/>
      <c r="M173" s="683"/>
      <c r="N173" s="683"/>
      <c r="O173" s="683"/>
      <c r="P173" s="683"/>
      <c r="Q173" s="683"/>
    </row>
    <row r="174" spans="1:17" ht="19.5">
      <c r="A174" s="683"/>
      <c r="B174" s="683"/>
      <c r="C174" s="683"/>
      <c r="D174" s="683"/>
      <c r="E174" s="683"/>
      <c r="F174" s="683"/>
      <c r="G174" s="683"/>
      <c r="H174" s="683"/>
      <c r="I174" s="683"/>
      <c r="J174" s="683"/>
      <c r="K174" s="683"/>
      <c r="L174" s="683"/>
      <c r="M174" s="683"/>
      <c r="N174" s="683"/>
      <c r="O174" s="683"/>
      <c r="P174" s="683"/>
      <c r="Q174" s="683"/>
    </row>
    <row r="175" spans="1:17" ht="19.5">
      <c r="A175" s="683"/>
      <c r="B175" s="683"/>
      <c r="C175" s="683"/>
      <c r="D175" s="683"/>
      <c r="E175" s="683"/>
      <c r="F175" s="683"/>
      <c r="G175" s="683"/>
      <c r="H175" s="683"/>
      <c r="I175" s="683"/>
      <c r="J175" s="683"/>
      <c r="K175" s="683"/>
      <c r="L175" s="683"/>
      <c r="M175" s="683"/>
      <c r="N175" s="683"/>
      <c r="O175" s="683"/>
      <c r="P175" s="683"/>
      <c r="Q175" s="683"/>
    </row>
    <row r="176" spans="1:17" ht="19.5">
      <c r="A176" s="683"/>
      <c r="B176" s="683"/>
      <c r="C176" s="683"/>
      <c r="D176" s="683"/>
      <c r="E176" s="683"/>
      <c r="F176" s="683"/>
      <c r="G176" s="683"/>
      <c r="H176" s="683"/>
      <c r="I176" s="683"/>
      <c r="J176" s="683"/>
      <c r="K176" s="683"/>
      <c r="L176" s="683"/>
      <c r="M176" s="683"/>
      <c r="N176" s="683"/>
      <c r="O176" s="683"/>
      <c r="P176" s="683"/>
      <c r="Q176" s="683"/>
    </row>
    <row r="177" spans="1:17" ht="19.5">
      <c r="A177" s="683"/>
      <c r="B177" s="683"/>
      <c r="C177" s="683"/>
      <c r="D177" s="683"/>
      <c r="E177" s="683"/>
      <c r="F177" s="683"/>
      <c r="G177" s="683"/>
      <c r="H177" s="683"/>
      <c r="I177" s="683"/>
      <c r="J177" s="683"/>
      <c r="K177" s="683"/>
      <c r="L177" s="683"/>
      <c r="M177" s="683"/>
      <c r="N177" s="683"/>
      <c r="O177" s="683"/>
      <c r="P177" s="683"/>
      <c r="Q177" s="683"/>
    </row>
    <row r="178" spans="1:17" ht="19.5">
      <c r="A178" s="683"/>
      <c r="B178" s="683"/>
      <c r="C178" s="683"/>
      <c r="D178" s="683"/>
      <c r="E178" s="683"/>
      <c r="F178" s="683"/>
      <c r="G178" s="683"/>
      <c r="H178" s="683"/>
      <c r="I178" s="683"/>
      <c r="J178" s="683"/>
      <c r="K178" s="683"/>
      <c r="L178" s="683"/>
      <c r="M178" s="683"/>
      <c r="N178" s="683"/>
      <c r="O178" s="683"/>
      <c r="P178" s="683"/>
      <c r="Q178" s="683"/>
    </row>
    <row r="179" spans="1:17" ht="19.5">
      <c r="A179" s="683"/>
      <c r="B179" s="683"/>
      <c r="C179" s="683"/>
      <c r="D179" s="683"/>
      <c r="E179" s="683"/>
      <c r="F179" s="683"/>
      <c r="G179" s="683"/>
      <c r="H179" s="683"/>
      <c r="I179" s="683"/>
      <c r="J179" s="683"/>
      <c r="K179" s="683"/>
      <c r="L179" s="683"/>
      <c r="M179" s="683"/>
      <c r="N179" s="683"/>
      <c r="O179" s="683"/>
      <c r="P179" s="683"/>
      <c r="Q179" s="683"/>
    </row>
    <row r="180" spans="1:17" ht="19.5">
      <c r="A180" s="683"/>
      <c r="B180" s="683"/>
      <c r="C180" s="683"/>
      <c r="D180" s="683"/>
      <c r="E180" s="683"/>
      <c r="F180" s="683"/>
      <c r="G180" s="683"/>
      <c r="H180" s="683"/>
      <c r="I180" s="683"/>
      <c r="J180" s="683"/>
      <c r="K180" s="683"/>
      <c r="L180" s="683"/>
      <c r="M180" s="683"/>
      <c r="N180" s="683"/>
      <c r="O180" s="683"/>
      <c r="P180" s="683"/>
      <c r="Q180" s="683"/>
    </row>
    <row r="181" spans="1:17" ht="19.5">
      <c r="A181" s="683"/>
      <c r="B181" s="683"/>
      <c r="C181" s="683"/>
      <c r="D181" s="683"/>
      <c r="E181" s="683"/>
      <c r="F181" s="683"/>
      <c r="G181" s="683"/>
      <c r="H181" s="683"/>
      <c r="I181" s="683"/>
      <c r="J181" s="683"/>
      <c r="K181" s="683"/>
      <c r="L181" s="683"/>
      <c r="M181" s="683"/>
      <c r="N181" s="683"/>
      <c r="O181" s="683"/>
      <c r="P181" s="683"/>
      <c r="Q181" s="683"/>
    </row>
    <row r="182" spans="1:17" ht="19.5">
      <c r="A182" s="683"/>
      <c r="B182" s="683"/>
      <c r="C182" s="683"/>
      <c r="D182" s="683"/>
      <c r="E182" s="683"/>
      <c r="F182" s="683"/>
      <c r="G182" s="683"/>
      <c r="H182" s="683"/>
      <c r="I182" s="683"/>
      <c r="J182" s="683"/>
      <c r="K182" s="683"/>
      <c r="L182" s="683"/>
      <c r="M182" s="683"/>
      <c r="N182" s="683"/>
      <c r="O182" s="683"/>
      <c r="P182" s="683"/>
      <c r="Q182" s="683"/>
    </row>
    <row r="183" spans="1:17" ht="19.5">
      <c r="A183" s="683"/>
      <c r="B183" s="683"/>
      <c r="C183" s="683"/>
      <c r="D183" s="683"/>
      <c r="E183" s="683"/>
      <c r="F183" s="683"/>
      <c r="G183" s="683"/>
      <c r="H183" s="683"/>
      <c r="I183" s="683"/>
      <c r="J183" s="683"/>
      <c r="K183" s="683"/>
      <c r="L183" s="683"/>
      <c r="M183" s="683"/>
      <c r="N183" s="683"/>
      <c r="O183" s="683"/>
      <c r="P183" s="683"/>
      <c r="Q183" s="683"/>
    </row>
    <row r="184" spans="1:17" ht="19.5">
      <c r="A184" s="683"/>
      <c r="B184" s="683"/>
      <c r="C184" s="683"/>
      <c r="D184" s="683"/>
      <c r="E184" s="683"/>
      <c r="F184" s="683"/>
      <c r="G184" s="683"/>
      <c r="H184" s="683"/>
      <c r="I184" s="683"/>
      <c r="J184" s="683"/>
      <c r="K184" s="683"/>
      <c r="L184" s="683"/>
      <c r="M184" s="683"/>
      <c r="N184" s="683"/>
      <c r="O184" s="683"/>
      <c r="P184" s="683"/>
      <c r="Q184" s="683"/>
    </row>
    <row r="185" spans="1:17" ht="19.5">
      <c r="A185" s="683"/>
      <c r="B185" s="683"/>
      <c r="C185" s="683"/>
      <c r="D185" s="683"/>
      <c r="E185" s="683"/>
      <c r="F185" s="683"/>
      <c r="G185" s="683"/>
      <c r="H185" s="683"/>
      <c r="I185" s="683"/>
      <c r="J185" s="683"/>
      <c r="K185" s="683"/>
      <c r="L185" s="683"/>
      <c r="M185" s="683"/>
      <c r="N185" s="683"/>
      <c r="O185" s="683"/>
      <c r="P185" s="683"/>
      <c r="Q185" s="683"/>
    </row>
    <row r="186" spans="1:17" ht="19.5">
      <c r="A186" s="683"/>
      <c r="B186" s="683"/>
      <c r="C186" s="683"/>
      <c r="D186" s="683"/>
      <c r="E186" s="683"/>
      <c r="F186" s="683"/>
      <c r="G186" s="683"/>
      <c r="H186" s="683"/>
      <c r="I186" s="683"/>
      <c r="J186" s="683"/>
      <c r="K186" s="683"/>
      <c r="L186" s="683"/>
      <c r="M186" s="683"/>
      <c r="N186" s="683"/>
      <c r="O186" s="683"/>
      <c r="P186" s="683"/>
      <c r="Q186" s="683"/>
    </row>
    <row r="187" spans="1:17" ht="19.5">
      <c r="A187" s="683"/>
      <c r="B187" s="683"/>
      <c r="C187" s="683"/>
      <c r="D187" s="683"/>
      <c r="E187" s="683"/>
      <c r="F187" s="683"/>
      <c r="G187" s="683"/>
      <c r="H187" s="683"/>
      <c r="I187" s="683"/>
      <c r="J187" s="683"/>
      <c r="K187" s="683"/>
      <c r="L187" s="683"/>
      <c r="M187" s="683"/>
      <c r="N187" s="683"/>
      <c r="O187" s="683"/>
      <c r="P187" s="683"/>
      <c r="Q187" s="683"/>
    </row>
    <row r="188" spans="1:17" ht="19.5">
      <c r="A188" s="683"/>
      <c r="B188" s="683"/>
      <c r="C188" s="683"/>
      <c r="D188" s="683"/>
      <c r="E188" s="683"/>
      <c r="F188" s="683"/>
      <c r="G188" s="683"/>
      <c r="H188" s="683"/>
      <c r="I188" s="683"/>
      <c r="J188" s="683"/>
      <c r="K188" s="683"/>
      <c r="L188" s="683"/>
      <c r="M188" s="683"/>
      <c r="N188" s="683"/>
      <c r="O188" s="683"/>
      <c r="P188" s="683"/>
      <c r="Q188" s="683"/>
    </row>
    <row r="189" spans="1:17" ht="19.5">
      <c r="A189" s="683"/>
      <c r="B189" s="683"/>
      <c r="C189" s="683"/>
      <c r="D189" s="683"/>
      <c r="E189" s="683"/>
      <c r="F189" s="683"/>
      <c r="G189" s="683"/>
      <c r="H189" s="683"/>
      <c r="I189" s="683"/>
      <c r="J189" s="683"/>
      <c r="K189" s="683"/>
      <c r="L189" s="683"/>
      <c r="M189" s="683"/>
      <c r="N189" s="683"/>
      <c r="O189" s="683"/>
      <c r="P189" s="683"/>
      <c r="Q189" s="683"/>
    </row>
    <row r="190" spans="1:17" ht="19.5">
      <c r="A190" s="683"/>
      <c r="B190" s="683"/>
      <c r="C190" s="683"/>
      <c r="D190" s="683"/>
      <c r="E190" s="683"/>
      <c r="F190" s="683"/>
      <c r="G190" s="683"/>
      <c r="H190" s="683"/>
      <c r="I190" s="683"/>
      <c r="J190" s="683"/>
      <c r="K190" s="683"/>
      <c r="L190" s="683"/>
      <c r="M190" s="683"/>
      <c r="N190" s="683"/>
      <c r="O190" s="683"/>
      <c r="P190" s="683"/>
      <c r="Q190" s="683"/>
    </row>
    <row r="191" spans="1:17" ht="19.5">
      <c r="A191" s="683"/>
      <c r="B191" s="683"/>
      <c r="C191" s="683"/>
      <c r="D191" s="683"/>
      <c r="E191" s="683"/>
      <c r="F191" s="683"/>
      <c r="G191" s="683"/>
      <c r="H191" s="683"/>
      <c r="I191" s="683"/>
      <c r="J191" s="683"/>
      <c r="K191" s="683"/>
      <c r="L191" s="683"/>
      <c r="M191" s="683"/>
      <c r="N191" s="683"/>
      <c r="O191" s="683"/>
      <c r="P191" s="683"/>
      <c r="Q191" s="683"/>
    </row>
    <row r="192" spans="1:17" ht="19.5">
      <c r="A192" s="683"/>
      <c r="B192" s="683"/>
      <c r="C192" s="683"/>
      <c r="D192" s="683"/>
      <c r="E192" s="683"/>
      <c r="F192" s="683"/>
      <c r="G192" s="683"/>
      <c r="H192" s="683"/>
      <c r="I192" s="683"/>
      <c r="J192" s="683"/>
      <c r="K192" s="683"/>
      <c r="L192" s="683"/>
      <c r="M192" s="683"/>
      <c r="N192" s="683"/>
      <c r="O192" s="683"/>
      <c r="P192" s="683"/>
      <c r="Q192" s="683"/>
    </row>
    <row r="193" spans="1:17" ht="19.5">
      <c r="A193" s="683"/>
      <c r="B193" s="683"/>
      <c r="C193" s="683"/>
      <c r="D193" s="683"/>
      <c r="E193" s="683"/>
      <c r="F193" s="683"/>
      <c r="G193" s="683"/>
      <c r="H193" s="683"/>
      <c r="I193" s="683"/>
      <c r="J193" s="683"/>
      <c r="K193" s="683"/>
      <c r="L193" s="683"/>
      <c r="M193" s="683"/>
      <c r="N193" s="683"/>
      <c r="O193" s="683"/>
      <c r="P193" s="683"/>
      <c r="Q193" s="683"/>
    </row>
    <row r="194" spans="1:17" ht="19.5">
      <c r="A194" s="683"/>
      <c r="B194" s="683"/>
      <c r="C194" s="683"/>
      <c r="D194" s="683"/>
      <c r="E194" s="683"/>
      <c r="F194" s="683"/>
      <c r="G194" s="683"/>
      <c r="H194" s="683"/>
      <c r="I194" s="683"/>
      <c r="J194" s="683"/>
      <c r="K194" s="683"/>
      <c r="L194" s="683"/>
      <c r="M194" s="683"/>
      <c r="N194" s="683"/>
      <c r="O194" s="683"/>
      <c r="P194" s="683"/>
      <c r="Q194" s="683"/>
    </row>
    <row r="195" spans="1:17" ht="19.5">
      <c r="A195" s="683"/>
      <c r="B195" s="683"/>
      <c r="C195" s="683"/>
      <c r="D195" s="683"/>
      <c r="E195" s="683"/>
      <c r="F195" s="683"/>
      <c r="G195" s="683"/>
      <c r="H195" s="683"/>
      <c r="I195" s="683"/>
      <c r="J195" s="683"/>
      <c r="K195" s="683"/>
      <c r="L195" s="683"/>
      <c r="M195" s="683"/>
      <c r="N195" s="683"/>
      <c r="O195" s="683"/>
      <c r="P195" s="683"/>
      <c r="Q195" s="683"/>
    </row>
    <row r="196" spans="1:17" ht="19.5">
      <c r="A196" s="683"/>
      <c r="B196" s="683"/>
      <c r="C196" s="683"/>
      <c r="D196" s="683"/>
      <c r="E196" s="683"/>
      <c r="F196" s="683"/>
      <c r="G196" s="683"/>
      <c r="H196" s="683"/>
      <c r="I196" s="683"/>
      <c r="J196" s="683"/>
      <c r="K196" s="683"/>
      <c r="L196" s="683"/>
      <c r="M196" s="683"/>
      <c r="N196" s="683"/>
      <c r="O196" s="683"/>
      <c r="P196" s="683"/>
      <c r="Q196" s="683"/>
    </row>
    <row r="197" spans="1:17" ht="19.5">
      <c r="A197" s="683"/>
      <c r="B197" s="683"/>
      <c r="C197" s="683"/>
      <c r="D197" s="683"/>
      <c r="E197" s="683"/>
      <c r="F197" s="683"/>
      <c r="G197" s="683"/>
      <c r="H197" s="683"/>
      <c r="I197" s="683"/>
      <c r="J197" s="683"/>
      <c r="K197" s="683"/>
      <c r="L197" s="683"/>
      <c r="M197" s="683"/>
      <c r="N197" s="683"/>
      <c r="O197" s="683"/>
      <c r="P197" s="683"/>
      <c r="Q197" s="683"/>
    </row>
    <row r="198" spans="1:17" ht="19.5">
      <c r="A198" s="683"/>
      <c r="B198" s="683"/>
      <c r="C198" s="683"/>
      <c r="D198" s="683"/>
      <c r="E198" s="683"/>
      <c r="F198" s="683"/>
      <c r="G198" s="683"/>
      <c r="H198" s="683"/>
      <c r="I198" s="683"/>
      <c r="J198" s="683"/>
      <c r="K198" s="683"/>
      <c r="L198" s="683"/>
      <c r="M198" s="683"/>
      <c r="N198" s="683"/>
      <c r="O198" s="683"/>
      <c r="P198" s="683"/>
      <c r="Q198" s="683"/>
    </row>
    <row r="199" spans="1:17" ht="19.5">
      <c r="A199" s="683"/>
      <c r="B199" s="683"/>
      <c r="C199" s="683"/>
      <c r="D199" s="683"/>
      <c r="E199" s="683"/>
      <c r="F199" s="683"/>
      <c r="G199" s="683"/>
      <c r="H199" s="683"/>
      <c r="I199" s="683"/>
      <c r="J199" s="683"/>
      <c r="K199" s="683"/>
      <c r="L199" s="683"/>
      <c r="M199" s="683"/>
      <c r="N199" s="683"/>
      <c r="O199" s="683"/>
      <c r="P199" s="683"/>
      <c r="Q199" s="683"/>
    </row>
    <row r="200" spans="1:17" ht="19.5">
      <c r="A200" s="683"/>
      <c r="B200" s="683"/>
      <c r="C200" s="683"/>
      <c r="D200" s="683"/>
      <c r="E200" s="683"/>
      <c r="F200" s="683"/>
      <c r="G200" s="683"/>
      <c r="H200" s="683"/>
      <c r="I200" s="683"/>
      <c r="J200" s="683"/>
      <c r="K200" s="683"/>
      <c r="L200" s="683"/>
      <c r="M200" s="683"/>
      <c r="N200" s="683"/>
      <c r="O200" s="683"/>
      <c r="P200" s="683"/>
      <c r="Q200" s="683"/>
    </row>
    <row r="201" spans="1:17" ht="19.5">
      <c r="A201" s="683"/>
      <c r="B201" s="683"/>
      <c r="C201" s="683"/>
      <c r="D201" s="683"/>
      <c r="E201" s="683"/>
      <c r="F201" s="683"/>
      <c r="G201" s="683"/>
      <c r="H201" s="683"/>
      <c r="I201" s="683"/>
      <c r="J201" s="683"/>
      <c r="K201" s="683"/>
      <c r="L201" s="683"/>
      <c r="M201" s="683"/>
      <c r="N201" s="683"/>
      <c r="O201" s="683"/>
      <c r="P201" s="683"/>
      <c r="Q201" s="683"/>
    </row>
    <row r="202" spans="1:17" ht="19.5">
      <c r="A202" s="683"/>
      <c r="B202" s="683"/>
      <c r="C202" s="683"/>
      <c r="D202" s="683"/>
      <c r="E202" s="683"/>
      <c r="F202" s="683"/>
      <c r="G202" s="683"/>
      <c r="H202" s="683"/>
      <c r="I202" s="683"/>
      <c r="J202" s="683"/>
      <c r="K202" s="683"/>
      <c r="L202" s="683"/>
      <c r="M202" s="683"/>
      <c r="N202" s="683"/>
      <c r="O202" s="683"/>
      <c r="P202" s="683"/>
      <c r="Q202" s="683"/>
    </row>
    <row r="203" spans="1:17" ht="19.5">
      <c r="A203" s="683"/>
      <c r="B203" s="683"/>
      <c r="C203" s="683"/>
      <c r="D203" s="683"/>
      <c r="E203" s="683"/>
      <c r="F203" s="683"/>
      <c r="G203" s="683"/>
      <c r="H203" s="683"/>
      <c r="I203" s="683"/>
      <c r="J203" s="683"/>
      <c r="K203" s="683"/>
      <c r="L203" s="683"/>
      <c r="M203" s="683"/>
      <c r="N203" s="683"/>
      <c r="O203" s="683"/>
      <c r="P203" s="683"/>
      <c r="Q203" s="683"/>
    </row>
    <row r="204" spans="1:17" ht="19.5">
      <c r="A204" s="683"/>
      <c r="B204" s="683"/>
      <c r="C204" s="683"/>
      <c r="D204" s="683"/>
      <c r="E204" s="683"/>
      <c r="F204" s="683"/>
      <c r="G204" s="683"/>
      <c r="H204" s="683"/>
      <c r="I204" s="683"/>
      <c r="J204" s="683"/>
      <c r="K204" s="683"/>
      <c r="L204" s="683"/>
      <c r="M204" s="683"/>
      <c r="N204" s="683"/>
      <c r="O204" s="683"/>
      <c r="P204" s="683"/>
      <c r="Q204" s="683"/>
    </row>
    <row r="205" spans="1:17" ht="19.5">
      <c r="A205" s="683"/>
      <c r="B205" s="683"/>
      <c r="C205" s="683"/>
      <c r="D205" s="683"/>
      <c r="E205" s="683"/>
      <c r="F205" s="683"/>
      <c r="G205" s="683"/>
      <c r="H205" s="683"/>
      <c r="I205" s="683"/>
      <c r="J205" s="683"/>
      <c r="K205" s="683"/>
      <c r="L205" s="683"/>
      <c r="M205" s="683"/>
      <c r="N205" s="683"/>
      <c r="O205" s="683"/>
      <c r="P205" s="683"/>
      <c r="Q205" s="683"/>
    </row>
    <row r="206" spans="1:17" ht="19.5">
      <c r="A206" s="683"/>
      <c r="B206" s="683"/>
      <c r="C206" s="683"/>
      <c r="D206" s="683"/>
      <c r="E206" s="683"/>
      <c r="F206" s="683"/>
      <c r="G206" s="683"/>
      <c r="H206" s="683"/>
      <c r="I206" s="683"/>
      <c r="J206" s="683"/>
      <c r="K206" s="683"/>
      <c r="L206" s="683"/>
      <c r="M206" s="683"/>
      <c r="N206" s="683"/>
      <c r="O206" s="683"/>
      <c r="P206" s="683"/>
      <c r="Q206" s="683"/>
    </row>
    <row r="207" spans="1:17" ht="19.5">
      <c r="A207" s="683"/>
      <c r="B207" s="683"/>
      <c r="C207" s="683"/>
      <c r="D207" s="683"/>
      <c r="E207" s="683"/>
      <c r="F207" s="683"/>
      <c r="G207" s="683"/>
      <c r="H207" s="683"/>
      <c r="I207" s="683"/>
      <c r="J207" s="683"/>
      <c r="K207" s="683"/>
      <c r="L207" s="683"/>
      <c r="M207" s="683"/>
      <c r="N207" s="683"/>
      <c r="O207" s="683"/>
      <c r="P207" s="683"/>
      <c r="Q207" s="683"/>
    </row>
    <row r="208" spans="1:17" ht="19.5">
      <c r="A208" s="683"/>
      <c r="B208" s="683"/>
      <c r="C208" s="683"/>
      <c r="D208" s="683"/>
      <c r="E208" s="683"/>
      <c r="F208" s="683"/>
      <c r="G208" s="683"/>
      <c r="H208" s="683"/>
      <c r="I208" s="683"/>
      <c r="J208" s="683"/>
      <c r="K208" s="683"/>
      <c r="L208" s="683"/>
      <c r="M208" s="683"/>
      <c r="N208" s="683"/>
      <c r="O208" s="683"/>
      <c r="P208" s="683"/>
      <c r="Q208" s="683"/>
    </row>
    <row r="209" spans="1:17" ht="19.5">
      <c r="A209" s="683"/>
      <c r="B209" s="683"/>
      <c r="C209" s="683"/>
      <c r="D209" s="683"/>
      <c r="E209" s="683"/>
      <c r="F209" s="683"/>
      <c r="G209" s="683"/>
      <c r="H209" s="683"/>
      <c r="I209" s="683"/>
      <c r="J209" s="683"/>
      <c r="K209" s="683"/>
      <c r="L209" s="683"/>
      <c r="M209" s="683"/>
      <c r="N209" s="683"/>
      <c r="O209" s="683"/>
      <c r="P209" s="683"/>
      <c r="Q209" s="683"/>
    </row>
    <row r="210" spans="1:17" ht="19.5">
      <c r="A210" s="683"/>
      <c r="B210" s="683"/>
      <c r="C210" s="683"/>
      <c r="D210" s="683"/>
      <c r="E210" s="683"/>
      <c r="F210" s="683"/>
      <c r="G210" s="683"/>
      <c r="H210" s="683"/>
      <c r="I210" s="683"/>
      <c r="J210" s="683"/>
      <c r="K210" s="683"/>
      <c r="L210" s="683"/>
      <c r="M210" s="683"/>
      <c r="N210" s="683"/>
      <c r="O210" s="683"/>
      <c r="P210" s="683"/>
      <c r="Q210" s="683"/>
    </row>
    <row r="211" spans="1:17" ht="19.5">
      <c r="A211" s="683"/>
      <c r="B211" s="683"/>
      <c r="C211" s="683"/>
      <c r="D211" s="683"/>
      <c r="E211" s="683"/>
      <c r="F211" s="683"/>
      <c r="G211" s="683"/>
      <c r="H211" s="683"/>
      <c r="I211" s="683"/>
      <c r="J211" s="683"/>
      <c r="K211" s="683"/>
      <c r="L211" s="683"/>
      <c r="M211" s="683"/>
      <c r="N211" s="683"/>
      <c r="O211" s="683"/>
      <c r="P211" s="683"/>
      <c r="Q211" s="683"/>
    </row>
    <row r="212" spans="1:17" ht="19.5">
      <c r="A212" s="683"/>
      <c r="B212" s="683"/>
      <c r="C212" s="683"/>
      <c r="D212" s="683"/>
      <c r="E212" s="683"/>
      <c r="F212" s="683"/>
      <c r="G212" s="683"/>
      <c r="H212" s="683"/>
      <c r="I212" s="683"/>
      <c r="J212" s="683"/>
      <c r="K212" s="683"/>
      <c r="L212" s="683"/>
      <c r="M212" s="683"/>
      <c r="N212" s="683"/>
      <c r="O212" s="683"/>
      <c r="P212" s="683"/>
      <c r="Q212" s="683"/>
    </row>
    <row r="213" spans="1:17" ht="19.5">
      <c r="A213" s="683"/>
      <c r="B213" s="683"/>
      <c r="C213" s="683"/>
      <c r="D213" s="683"/>
      <c r="E213" s="683"/>
      <c r="F213" s="683"/>
      <c r="G213" s="683"/>
      <c r="H213" s="683"/>
      <c r="I213" s="683"/>
      <c r="J213" s="683"/>
      <c r="K213" s="683"/>
      <c r="L213" s="683"/>
      <c r="M213" s="683"/>
      <c r="N213" s="683"/>
      <c r="O213" s="683"/>
      <c r="P213" s="683"/>
      <c r="Q213" s="683"/>
    </row>
    <row r="214" spans="1:17" ht="19.5">
      <c r="A214" s="683"/>
      <c r="B214" s="683"/>
      <c r="C214" s="683"/>
      <c r="D214" s="683"/>
      <c r="E214" s="683"/>
      <c r="F214" s="683"/>
      <c r="G214" s="683"/>
      <c r="H214" s="683"/>
      <c r="I214" s="683"/>
      <c r="J214" s="683"/>
      <c r="K214" s="683"/>
      <c r="L214" s="683"/>
      <c r="M214" s="683"/>
      <c r="N214" s="683"/>
      <c r="O214" s="683"/>
      <c r="P214" s="683"/>
      <c r="Q214" s="683"/>
    </row>
    <row r="215" spans="1:17" ht="19.5">
      <c r="A215" s="683"/>
      <c r="B215" s="683"/>
      <c r="C215" s="683"/>
      <c r="D215" s="683"/>
      <c r="E215" s="683"/>
      <c r="F215" s="683"/>
      <c r="G215" s="683"/>
      <c r="H215" s="683"/>
      <c r="I215" s="683"/>
      <c r="J215" s="683"/>
      <c r="K215" s="683"/>
      <c r="L215" s="683"/>
      <c r="M215" s="683"/>
      <c r="N215" s="683"/>
      <c r="O215" s="683"/>
      <c r="P215" s="683"/>
      <c r="Q215" s="683"/>
    </row>
    <row r="216" spans="1:17" ht="19.5">
      <c r="A216" s="683"/>
      <c r="B216" s="683"/>
      <c r="C216" s="683"/>
      <c r="D216" s="683"/>
      <c r="E216" s="683"/>
      <c r="F216" s="683"/>
      <c r="G216" s="683"/>
      <c r="H216" s="683"/>
      <c r="I216" s="683"/>
      <c r="J216" s="683"/>
      <c r="K216" s="683"/>
      <c r="L216" s="683"/>
      <c r="M216" s="683"/>
      <c r="N216" s="683"/>
      <c r="O216" s="683"/>
      <c r="P216" s="683"/>
      <c r="Q216" s="683"/>
    </row>
    <row r="217" spans="1:17" ht="19.5">
      <c r="A217" s="683"/>
      <c r="B217" s="683"/>
      <c r="C217" s="683"/>
      <c r="D217" s="683"/>
      <c r="E217" s="683"/>
      <c r="F217" s="683"/>
      <c r="G217" s="683"/>
      <c r="H217" s="683"/>
      <c r="I217" s="683"/>
      <c r="J217" s="683"/>
      <c r="K217" s="683"/>
      <c r="L217" s="683"/>
      <c r="M217" s="683"/>
      <c r="N217" s="683"/>
      <c r="O217" s="683"/>
      <c r="P217" s="683"/>
      <c r="Q217" s="683"/>
    </row>
    <row r="218" spans="1:17" ht="19.5">
      <c r="A218" s="683"/>
      <c r="B218" s="683"/>
      <c r="C218" s="683"/>
      <c r="D218" s="683"/>
      <c r="E218" s="683"/>
      <c r="F218" s="683"/>
      <c r="G218" s="683"/>
      <c r="H218" s="683"/>
      <c r="I218" s="683"/>
      <c r="J218" s="683"/>
      <c r="K218" s="683"/>
      <c r="L218" s="683"/>
      <c r="M218" s="683"/>
      <c r="N218" s="683"/>
      <c r="O218" s="683"/>
      <c r="P218" s="683"/>
      <c r="Q218" s="683"/>
    </row>
    <row r="219" spans="1:17" ht="19.5">
      <c r="A219" s="683"/>
      <c r="B219" s="683"/>
      <c r="C219" s="683"/>
      <c r="D219" s="683"/>
      <c r="E219" s="683"/>
      <c r="F219" s="683"/>
      <c r="G219" s="683"/>
      <c r="H219" s="683"/>
      <c r="I219" s="683"/>
      <c r="J219" s="683"/>
      <c r="K219" s="683"/>
      <c r="L219" s="683"/>
      <c r="M219" s="683"/>
      <c r="N219" s="683"/>
      <c r="O219" s="683"/>
      <c r="P219" s="683"/>
      <c r="Q219" s="683"/>
    </row>
    <row r="220" spans="1:17" ht="19.5">
      <c r="A220" s="683"/>
      <c r="B220" s="683"/>
      <c r="C220" s="683"/>
      <c r="D220" s="683"/>
      <c r="E220" s="683"/>
      <c r="F220" s="683"/>
      <c r="G220" s="683"/>
      <c r="H220" s="683"/>
      <c r="I220" s="683"/>
      <c r="J220" s="683"/>
      <c r="K220" s="683"/>
      <c r="L220" s="683"/>
      <c r="M220" s="683"/>
      <c r="N220" s="683"/>
      <c r="O220" s="683"/>
      <c r="P220" s="683"/>
      <c r="Q220" s="683"/>
    </row>
    <row r="221" spans="1:17" ht="19.5">
      <c r="A221" s="683"/>
      <c r="B221" s="683"/>
      <c r="C221" s="683"/>
      <c r="D221" s="683"/>
      <c r="E221" s="683"/>
      <c r="F221" s="683"/>
      <c r="G221" s="683"/>
      <c r="H221" s="683"/>
      <c r="I221" s="683"/>
      <c r="J221" s="683"/>
      <c r="K221" s="683"/>
      <c r="L221" s="683"/>
      <c r="M221" s="683"/>
      <c r="N221" s="683"/>
      <c r="O221" s="683"/>
      <c r="P221" s="683"/>
      <c r="Q221" s="683"/>
    </row>
    <row r="222" spans="1:17" ht="19.5">
      <c r="A222" s="683"/>
      <c r="B222" s="683"/>
      <c r="C222" s="683"/>
      <c r="D222" s="683"/>
      <c r="E222" s="683"/>
      <c r="F222" s="683"/>
      <c r="G222" s="683"/>
      <c r="H222" s="683"/>
      <c r="I222" s="683"/>
      <c r="J222" s="683"/>
      <c r="K222" s="683"/>
      <c r="L222" s="683"/>
      <c r="M222" s="683"/>
      <c r="N222" s="683"/>
      <c r="O222" s="683"/>
      <c r="P222" s="683"/>
      <c r="Q222" s="683"/>
    </row>
    <row r="223" spans="1:17" ht="19.5">
      <c r="A223" s="683"/>
      <c r="B223" s="683"/>
      <c r="C223" s="683"/>
      <c r="D223" s="683"/>
      <c r="E223" s="683"/>
      <c r="F223" s="683"/>
      <c r="G223" s="683"/>
      <c r="H223" s="683"/>
      <c r="I223" s="683"/>
      <c r="J223" s="683"/>
      <c r="K223" s="683"/>
      <c r="L223" s="683"/>
      <c r="M223" s="683"/>
      <c r="N223" s="683"/>
      <c r="O223" s="683"/>
      <c r="P223" s="683"/>
      <c r="Q223" s="683"/>
    </row>
    <row r="224" spans="1:17" ht="19.5">
      <c r="A224" s="683"/>
      <c r="B224" s="683"/>
      <c r="C224" s="683"/>
      <c r="D224" s="683"/>
      <c r="E224" s="683"/>
      <c r="F224" s="683"/>
      <c r="G224" s="683"/>
      <c r="H224" s="683"/>
      <c r="I224" s="683"/>
      <c r="J224" s="683"/>
      <c r="K224" s="683"/>
      <c r="L224" s="683"/>
      <c r="M224" s="683"/>
      <c r="N224" s="683"/>
      <c r="O224" s="683"/>
      <c r="P224" s="683"/>
      <c r="Q224" s="683"/>
    </row>
    <row r="225" spans="1:17" ht="19.5">
      <c r="A225" s="683"/>
      <c r="B225" s="683"/>
      <c r="C225" s="683"/>
      <c r="D225" s="683"/>
      <c r="E225" s="683"/>
      <c r="F225" s="683"/>
      <c r="G225" s="683"/>
      <c r="H225" s="683"/>
      <c r="I225" s="683"/>
      <c r="J225" s="683"/>
      <c r="K225" s="683"/>
      <c r="L225" s="683"/>
      <c r="M225" s="683"/>
      <c r="N225" s="683"/>
      <c r="O225" s="683"/>
      <c r="P225" s="683"/>
      <c r="Q225" s="683"/>
    </row>
    <row r="226" spans="1:17" ht="19.5">
      <c r="A226" s="683"/>
      <c r="B226" s="683"/>
      <c r="C226" s="683"/>
      <c r="D226" s="683"/>
      <c r="E226" s="683"/>
      <c r="F226" s="683"/>
      <c r="G226" s="683"/>
      <c r="H226" s="683"/>
      <c r="I226" s="683"/>
      <c r="J226" s="683"/>
      <c r="K226" s="683"/>
      <c r="L226" s="683"/>
      <c r="M226" s="683"/>
      <c r="N226" s="683"/>
      <c r="O226" s="683"/>
      <c r="P226" s="683"/>
      <c r="Q226" s="683"/>
    </row>
    <row r="227" spans="1:17" ht="19.5">
      <c r="A227" s="683"/>
      <c r="B227" s="683"/>
      <c r="C227" s="683"/>
      <c r="D227" s="683"/>
      <c r="E227" s="683"/>
      <c r="F227" s="683"/>
      <c r="G227" s="683"/>
      <c r="H227" s="683"/>
      <c r="I227" s="683"/>
      <c r="J227" s="683"/>
      <c r="K227" s="683"/>
      <c r="L227" s="683"/>
      <c r="M227" s="683"/>
      <c r="N227" s="683"/>
      <c r="O227" s="683"/>
      <c r="P227" s="683"/>
      <c r="Q227" s="683"/>
    </row>
    <row r="228" spans="1:17" ht="19.5">
      <c r="A228" s="683"/>
      <c r="B228" s="683"/>
      <c r="C228" s="683"/>
      <c r="D228" s="683"/>
      <c r="E228" s="683"/>
      <c r="F228" s="683"/>
      <c r="G228" s="683"/>
      <c r="H228" s="683"/>
      <c r="I228" s="683"/>
      <c r="J228" s="683"/>
      <c r="K228" s="683"/>
      <c r="L228" s="683"/>
      <c r="M228" s="683"/>
      <c r="N228" s="683"/>
      <c r="O228" s="683"/>
      <c r="P228" s="683"/>
      <c r="Q228" s="683"/>
    </row>
    <row r="229" spans="1:17" ht="19.5">
      <c r="A229" s="683"/>
      <c r="B229" s="683"/>
      <c r="C229" s="683"/>
      <c r="D229" s="683"/>
      <c r="E229" s="683"/>
      <c r="F229" s="683"/>
      <c r="G229" s="683"/>
      <c r="H229" s="683"/>
      <c r="I229" s="683"/>
      <c r="J229" s="683"/>
      <c r="K229" s="683"/>
      <c r="L229" s="683"/>
      <c r="M229" s="683"/>
      <c r="N229" s="683"/>
      <c r="O229" s="683"/>
      <c r="P229" s="683"/>
      <c r="Q229" s="683"/>
    </row>
    <row r="230" spans="1:17" ht="19.5">
      <c r="A230" s="683"/>
      <c r="B230" s="683"/>
      <c r="C230" s="683"/>
      <c r="D230" s="683"/>
      <c r="E230" s="683"/>
      <c r="F230" s="683"/>
      <c r="G230" s="683"/>
      <c r="H230" s="683"/>
      <c r="I230" s="683"/>
      <c r="J230" s="683"/>
      <c r="K230" s="683"/>
      <c r="L230" s="683"/>
      <c r="M230" s="683"/>
      <c r="N230" s="683"/>
      <c r="O230" s="683"/>
      <c r="P230" s="683"/>
      <c r="Q230" s="683"/>
    </row>
    <row r="231" spans="1:17" ht="19.5">
      <c r="A231" s="683"/>
      <c r="B231" s="683"/>
      <c r="C231" s="683"/>
      <c r="D231" s="683"/>
      <c r="E231" s="683"/>
      <c r="F231" s="683"/>
      <c r="G231" s="683"/>
      <c r="H231" s="683"/>
      <c r="I231" s="683"/>
      <c r="J231" s="683"/>
      <c r="K231" s="683"/>
      <c r="L231" s="683"/>
      <c r="M231" s="683"/>
      <c r="N231" s="683"/>
      <c r="O231" s="683"/>
      <c r="P231" s="683"/>
      <c r="Q231" s="683"/>
    </row>
    <row r="232" spans="1:17" ht="19.5">
      <c r="A232" s="683"/>
      <c r="B232" s="683"/>
      <c r="C232" s="683"/>
      <c r="D232" s="683"/>
      <c r="E232" s="683"/>
      <c r="F232" s="683"/>
      <c r="G232" s="683"/>
      <c r="H232" s="683"/>
      <c r="I232" s="683"/>
      <c r="J232" s="683"/>
      <c r="K232" s="683"/>
      <c r="L232" s="683"/>
      <c r="M232" s="683"/>
      <c r="N232" s="683"/>
      <c r="O232" s="683"/>
      <c r="P232" s="683"/>
      <c r="Q232" s="683"/>
    </row>
    <row r="233" spans="1:17" ht="19.5">
      <c r="A233" s="683"/>
      <c r="B233" s="683"/>
      <c r="C233" s="683"/>
      <c r="D233" s="683"/>
      <c r="E233" s="683"/>
      <c r="F233" s="683"/>
      <c r="G233" s="683"/>
      <c r="H233" s="683"/>
      <c r="I233" s="683"/>
      <c r="J233" s="683"/>
      <c r="K233" s="683"/>
      <c r="L233" s="683"/>
      <c r="M233" s="683"/>
      <c r="N233" s="683"/>
      <c r="O233" s="683"/>
      <c r="P233" s="683"/>
      <c r="Q233" s="683"/>
    </row>
    <row r="234" spans="1:17" ht="19.5">
      <c r="A234" s="683"/>
      <c r="B234" s="683"/>
      <c r="C234" s="683"/>
      <c r="D234" s="683"/>
      <c r="E234" s="683"/>
      <c r="F234" s="683"/>
      <c r="G234" s="683"/>
      <c r="H234" s="683"/>
      <c r="I234" s="683"/>
      <c r="J234" s="683"/>
      <c r="K234" s="683"/>
      <c r="L234" s="683"/>
      <c r="M234" s="683"/>
      <c r="N234" s="683"/>
      <c r="O234" s="683"/>
      <c r="P234" s="683"/>
      <c r="Q234" s="683"/>
    </row>
    <row r="235" spans="1:17" ht="19.5">
      <c r="A235" s="683"/>
      <c r="B235" s="683"/>
      <c r="C235" s="683"/>
      <c r="D235" s="683"/>
      <c r="E235" s="683"/>
      <c r="F235" s="683"/>
      <c r="G235" s="683"/>
      <c r="H235" s="683"/>
      <c r="I235" s="683"/>
      <c r="J235" s="683"/>
      <c r="K235" s="683"/>
      <c r="L235" s="683"/>
      <c r="M235" s="683"/>
      <c r="N235" s="683"/>
      <c r="O235" s="683"/>
      <c r="P235" s="683"/>
      <c r="Q235" s="683"/>
    </row>
    <row r="236" spans="1:17" ht="19.5">
      <c r="A236" s="683"/>
      <c r="B236" s="683"/>
      <c r="C236" s="683"/>
      <c r="D236" s="683"/>
      <c r="E236" s="683"/>
      <c r="F236" s="683"/>
      <c r="G236" s="683"/>
      <c r="H236" s="683"/>
      <c r="I236" s="683"/>
      <c r="J236" s="683"/>
      <c r="K236" s="683"/>
      <c r="L236" s="683"/>
      <c r="M236" s="683"/>
      <c r="N236" s="683"/>
      <c r="O236" s="683"/>
      <c r="P236" s="683"/>
      <c r="Q236" s="683"/>
    </row>
    <row r="237" spans="1:17" ht="19.5">
      <c r="A237" s="683"/>
      <c r="B237" s="683"/>
      <c r="C237" s="683"/>
      <c r="D237" s="683"/>
      <c r="E237" s="683"/>
      <c r="F237" s="683"/>
      <c r="G237" s="683"/>
      <c r="H237" s="683"/>
      <c r="I237" s="683"/>
      <c r="J237" s="683"/>
      <c r="K237" s="683"/>
      <c r="L237" s="683"/>
      <c r="M237" s="683"/>
      <c r="N237" s="683"/>
      <c r="O237" s="683"/>
      <c r="P237" s="683"/>
      <c r="Q237" s="683"/>
    </row>
    <row r="238" spans="1:17" ht="19.5">
      <c r="A238" s="683"/>
      <c r="B238" s="683"/>
      <c r="C238" s="683"/>
      <c r="D238" s="683"/>
      <c r="E238" s="683"/>
      <c r="F238" s="683"/>
      <c r="G238" s="683"/>
      <c r="H238" s="683"/>
      <c r="I238" s="683"/>
      <c r="J238" s="683"/>
      <c r="K238" s="683"/>
      <c r="L238" s="683"/>
      <c r="M238" s="683"/>
      <c r="N238" s="683"/>
      <c r="O238" s="683"/>
      <c r="P238" s="683"/>
      <c r="Q238" s="683"/>
    </row>
    <row r="239" spans="1:17" ht="19.5">
      <c r="A239" s="683"/>
      <c r="B239" s="683"/>
      <c r="C239" s="683"/>
      <c r="D239" s="683"/>
      <c r="E239" s="683"/>
      <c r="F239" s="683"/>
      <c r="G239" s="683"/>
      <c r="H239" s="683"/>
      <c r="I239" s="683"/>
      <c r="J239" s="683"/>
      <c r="K239" s="683"/>
      <c r="L239" s="683"/>
      <c r="M239" s="683"/>
      <c r="N239" s="683"/>
      <c r="O239" s="683"/>
      <c r="P239" s="683"/>
      <c r="Q239" s="683"/>
    </row>
    <row r="240" spans="1:17" ht="19.5">
      <c r="A240" s="683"/>
      <c r="B240" s="683"/>
      <c r="C240" s="683"/>
      <c r="D240" s="683"/>
      <c r="E240" s="683"/>
      <c r="F240" s="683"/>
      <c r="G240" s="683"/>
      <c r="H240" s="683"/>
      <c r="I240" s="683"/>
      <c r="J240" s="683"/>
      <c r="K240" s="683"/>
      <c r="L240" s="683"/>
      <c r="M240" s="683"/>
      <c r="N240" s="683"/>
      <c r="O240" s="683"/>
      <c r="P240" s="683"/>
      <c r="Q240" s="683"/>
    </row>
    <row r="241" spans="1:17" ht="19.5">
      <c r="A241" s="683"/>
      <c r="B241" s="683"/>
      <c r="C241" s="683"/>
      <c r="D241" s="683"/>
      <c r="E241" s="683"/>
      <c r="F241" s="683"/>
      <c r="G241" s="683"/>
      <c r="H241" s="683"/>
      <c r="I241" s="683"/>
      <c r="J241" s="683"/>
      <c r="K241" s="683"/>
      <c r="L241" s="683"/>
      <c r="M241" s="683"/>
      <c r="N241" s="683"/>
      <c r="O241" s="683"/>
      <c r="P241" s="683"/>
      <c r="Q241" s="683"/>
    </row>
    <row r="242" spans="1:17" ht="19.5">
      <c r="A242" s="683"/>
      <c r="B242" s="683"/>
      <c r="C242" s="683"/>
      <c r="D242" s="683"/>
      <c r="E242" s="683"/>
      <c r="F242" s="683"/>
      <c r="G242" s="683"/>
      <c r="H242" s="683"/>
      <c r="I242" s="683"/>
      <c r="J242" s="683"/>
      <c r="K242" s="683"/>
      <c r="L242" s="683"/>
      <c r="M242" s="683"/>
      <c r="N242" s="683"/>
      <c r="O242" s="683"/>
      <c r="P242" s="683"/>
      <c r="Q242" s="683"/>
    </row>
    <row r="243" spans="1:17" ht="19.5">
      <c r="A243" s="683"/>
      <c r="B243" s="683"/>
      <c r="C243" s="683"/>
      <c r="D243" s="683"/>
      <c r="E243" s="683"/>
      <c r="F243" s="683"/>
      <c r="G243" s="683"/>
      <c r="H243" s="683"/>
      <c r="I243" s="683"/>
      <c r="J243" s="683"/>
      <c r="K243" s="683"/>
      <c r="L243" s="683"/>
      <c r="M243" s="683"/>
      <c r="N243" s="683"/>
      <c r="O243" s="683"/>
      <c r="P243" s="683"/>
      <c r="Q243" s="683"/>
    </row>
    <row r="244" spans="1:17" ht="19.5">
      <c r="A244" s="683"/>
      <c r="B244" s="683"/>
      <c r="C244" s="683"/>
      <c r="D244" s="683"/>
      <c r="E244" s="683"/>
      <c r="F244" s="683"/>
      <c r="G244" s="683"/>
      <c r="H244" s="683"/>
      <c r="I244" s="683"/>
      <c r="J244" s="683"/>
      <c r="K244" s="683"/>
      <c r="L244" s="683"/>
      <c r="M244" s="683"/>
      <c r="N244" s="683"/>
      <c r="O244" s="683"/>
      <c r="P244" s="683"/>
      <c r="Q244" s="683"/>
    </row>
    <row r="245" spans="1:17" ht="19.5">
      <c r="A245" s="683"/>
      <c r="B245" s="683"/>
      <c r="C245" s="683"/>
      <c r="D245" s="683"/>
      <c r="E245" s="683"/>
      <c r="F245" s="683"/>
      <c r="G245" s="683"/>
      <c r="H245" s="683"/>
      <c r="I245" s="683"/>
      <c r="J245" s="683"/>
      <c r="K245" s="683"/>
      <c r="L245" s="683"/>
      <c r="M245" s="683"/>
      <c r="N245" s="683"/>
      <c r="O245" s="683"/>
      <c r="P245" s="683"/>
      <c r="Q245" s="683"/>
    </row>
    <row r="246" spans="1:17" ht="19.5">
      <c r="A246" s="683"/>
      <c r="B246" s="683"/>
      <c r="C246" s="683"/>
      <c r="D246" s="683"/>
      <c r="E246" s="683"/>
      <c r="F246" s="683"/>
      <c r="G246" s="683"/>
      <c r="H246" s="683"/>
      <c r="I246" s="683"/>
      <c r="J246" s="683"/>
      <c r="K246" s="683"/>
      <c r="L246" s="683"/>
      <c r="M246" s="683"/>
      <c r="N246" s="683"/>
      <c r="O246" s="683"/>
      <c r="P246" s="683"/>
      <c r="Q246" s="683"/>
    </row>
    <row r="247" spans="1:17" ht="19.5">
      <c r="A247" s="683"/>
      <c r="B247" s="683"/>
      <c r="C247" s="683"/>
      <c r="D247" s="683"/>
      <c r="E247" s="683"/>
      <c r="F247" s="683"/>
      <c r="G247" s="683"/>
      <c r="H247" s="683"/>
      <c r="I247" s="683"/>
      <c r="J247" s="683"/>
      <c r="K247" s="683"/>
      <c r="L247" s="683"/>
      <c r="M247" s="683"/>
      <c r="N247" s="683"/>
      <c r="O247" s="683"/>
      <c r="P247" s="683"/>
      <c r="Q247" s="683"/>
    </row>
    <row r="248" spans="1:17" ht="19.5">
      <c r="A248" s="683"/>
      <c r="B248" s="683"/>
      <c r="C248" s="683"/>
      <c r="D248" s="683"/>
      <c r="E248" s="683"/>
      <c r="F248" s="683"/>
      <c r="G248" s="683"/>
      <c r="H248" s="683"/>
      <c r="I248" s="683"/>
      <c r="J248" s="683"/>
      <c r="K248" s="683"/>
      <c r="L248" s="683"/>
      <c r="M248" s="683"/>
      <c r="N248" s="683"/>
      <c r="O248" s="683"/>
      <c r="P248" s="683"/>
      <c r="Q248" s="683"/>
    </row>
    <row r="249" spans="1:17" ht="19.5">
      <c r="A249" s="683"/>
      <c r="B249" s="683"/>
      <c r="C249" s="683"/>
      <c r="D249" s="683"/>
      <c r="E249" s="683"/>
      <c r="F249" s="683"/>
      <c r="G249" s="683"/>
      <c r="H249" s="683"/>
      <c r="I249" s="683"/>
      <c r="J249" s="683"/>
      <c r="K249" s="683"/>
      <c r="L249" s="683"/>
      <c r="M249" s="683"/>
      <c r="N249" s="683"/>
      <c r="O249" s="683"/>
      <c r="P249" s="683"/>
      <c r="Q249" s="683"/>
    </row>
    <row r="250" spans="1:17" ht="19.5">
      <c r="A250" s="683"/>
      <c r="B250" s="683"/>
      <c r="C250" s="683"/>
      <c r="D250" s="683"/>
      <c r="E250" s="683"/>
      <c r="F250" s="683"/>
      <c r="G250" s="683"/>
      <c r="H250" s="683"/>
      <c r="I250" s="683"/>
      <c r="J250" s="683"/>
      <c r="K250" s="683"/>
      <c r="L250" s="683"/>
      <c r="M250" s="683"/>
      <c r="N250" s="683"/>
      <c r="O250" s="683"/>
      <c r="P250" s="683"/>
      <c r="Q250" s="683"/>
    </row>
    <row r="251" spans="1:17" ht="19.5">
      <c r="A251" s="683"/>
      <c r="B251" s="683"/>
      <c r="C251" s="683"/>
      <c r="D251" s="683"/>
      <c r="E251" s="683"/>
      <c r="F251" s="683"/>
      <c r="G251" s="683"/>
      <c r="H251" s="683"/>
      <c r="I251" s="683"/>
      <c r="J251" s="683"/>
      <c r="K251" s="683"/>
      <c r="L251" s="683"/>
      <c r="M251" s="683"/>
      <c r="N251" s="683"/>
      <c r="O251" s="683"/>
      <c r="P251" s="683"/>
      <c r="Q251" s="683"/>
    </row>
    <row r="252" spans="1:17" ht="19.5">
      <c r="A252" s="683"/>
      <c r="B252" s="683"/>
      <c r="C252" s="683"/>
      <c r="D252" s="683"/>
      <c r="E252" s="683"/>
      <c r="F252" s="683"/>
      <c r="G252" s="683"/>
      <c r="H252" s="683"/>
      <c r="I252" s="683"/>
      <c r="J252" s="683"/>
      <c r="K252" s="683"/>
      <c r="L252" s="683"/>
      <c r="M252" s="683"/>
      <c r="N252" s="683"/>
      <c r="O252" s="683"/>
      <c r="P252" s="683"/>
      <c r="Q252" s="683"/>
    </row>
    <row r="253" spans="1:17" ht="19.5">
      <c r="A253" s="683"/>
      <c r="B253" s="683"/>
      <c r="C253" s="683"/>
      <c r="D253" s="683"/>
      <c r="E253" s="683"/>
      <c r="F253" s="683"/>
      <c r="G253" s="683"/>
      <c r="H253" s="683"/>
      <c r="I253" s="683"/>
      <c r="J253" s="683"/>
      <c r="K253" s="683"/>
      <c r="L253" s="683"/>
      <c r="M253" s="683"/>
      <c r="N253" s="683"/>
      <c r="O253" s="683"/>
      <c r="P253" s="683"/>
      <c r="Q253" s="683"/>
    </row>
    <row r="254" spans="1:17" ht="19.5">
      <c r="A254" s="683"/>
      <c r="B254" s="683"/>
      <c r="C254" s="683"/>
      <c r="D254" s="683"/>
      <c r="E254" s="683"/>
      <c r="F254" s="683"/>
      <c r="G254" s="683"/>
      <c r="H254" s="683"/>
      <c r="I254" s="683"/>
      <c r="J254" s="683"/>
      <c r="K254" s="683"/>
      <c r="L254" s="683"/>
      <c r="M254" s="683"/>
      <c r="N254" s="683"/>
      <c r="O254" s="683"/>
      <c r="P254" s="683"/>
      <c r="Q254" s="683"/>
    </row>
    <row r="255" spans="1:17" ht="19.5">
      <c r="A255" s="683"/>
      <c r="B255" s="683"/>
      <c r="C255" s="683"/>
      <c r="D255" s="683"/>
      <c r="E255" s="683"/>
      <c r="F255" s="683"/>
      <c r="G255" s="683"/>
      <c r="H255" s="683"/>
      <c r="I255" s="683"/>
      <c r="J255" s="683"/>
      <c r="K255" s="683"/>
      <c r="L255" s="683"/>
      <c r="M255" s="683"/>
      <c r="N255" s="683"/>
      <c r="O255" s="683"/>
      <c r="P255" s="683"/>
      <c r="Q255" s="683"/>
    </row>
    <row r="256" spans="1:17" ht="19.5">
      <c r="A256" s="683"/>
      <c r="B256" s="683"/>
      <c r="C256" s="683"/>
      <c r="D256" s="683"/>
      <c r="E256" s="683"/>
      <c r="F256" s="683"/>
      <c r="G256" s="683"/>
      <c r="H256" s="683"/>
      <c r="I256" s="683"/>
      <c r="J256" s="683"/>
      <c r="K256" s="683"/>
      <c r="L256" s="683"/>
      <c r="M256" s="683"/>
      <c r="N256" s="683"/>
      <c r="O256" s="683"/>
      <c r="P256" s="683"/>
      <c r="Q256" s="683"/>
    </row>
    <row r="257" spans="1:17" ht="19.5">
      <c r="A257" s="683"/>
      <c r="B257" s="683"/>
      <c r="C257" s="683"/>
      <c r="D257" s="683"/>
      <c r="E257" s="683"/>
      <c r="F257" s="683"/>
      <c r="G257" s="683"/>
      <c r="H257" s="683"/>
      <c r="I257" s="683"/>
      <c r="J257" s="683"/>
      <c r="K257" s="683"/>
      <c r="L257" s="683"/>
      <c r="M257" s="683"/>
      <c r="N257" s="683"/>
      <c r="O257" s="683"/>
      <c r="P257" s="683"/>
      <c r="Q257" s="683"/>
    </row>
    <row r="258" spans="1:17" ht="19.5">
      <c r="A258" s="683"/>
      <c r="B258" s="683"/>
      <c r="C258" s="683"/>
      <c r="D258" s="683"/>
      <c r="E258" s="683"/>
      <c r="F258" s="683"/>
      <c r="G258" s="683"/>
      <c r="H258" s="683"/>
      <c r="I258" s="683"/>
      <c r="J258" s="683"/>
      <c r="K258" s="683"/>
      <c r="L258" s="683"/>
      <c r="M258" s="683"/>
      <c r="N258" s="683"/>
      <c r="O258" s="683"/>
      <c r="P258" s="683"/>
      <c r="Q258" s="683"/>
    </row>
    <row r="259" spans="1:17" ht="19.5">
      <c r="A259" s="683"/>
      <c r="B259" s="683"/>
      <c r="C259" s="683"/>
      <c r="D259" s="683"/>
      <c r="E259" s="683"/>
      <c r="F259" s="683"/>
      <c r="G259" s="683"/>
      <c r="H259" s="683"/>
      <c r="I259" s="683"/>
      <c r="J259" s="683"/>
      <c r="K259" s="683"/>
      <c r="L259" s="683"/>
      <c r="M259" s="683"/>
      <c r="N259" s="683"/>
      <c r="O259" s="683"/>
      <c r="P259" s="683"/>
      <c r="Q259" s="683"/>
    </row>
    <row r="260" spans="1:17" ht="19.5">
      <c r="A260" s="683"/>
      <c r="B260" s="683"/>
      <c r="C260" s="683"/>
      <c r="D260" s="683"/>
      <c r="E260" s="683"/>
      <c r="F260" s="683"/>
      <c r="G260" s="683"/>
      <c r="H260" s="683"/>
      <c r="I260" s="683"/>
      <c r="J260" s="683"/>
      <c r="K260" s="683"/>
      <c r="L260" s="683"/>
      <c r="M260" s="683"/>
      <c r="N260" s="683"/>
      <c r="O260" s="683"/>
      <c r="P260" s="683"/>
      <c r="Q260" s="683"/>
    </row>
    <row r="261" spans="1:17" ht="19.5">
      <c r="A261" s="683"/>
      <c r="B261" s="683"/>
      <c r="C261" s="683"/>
      <c r="D261" s="683"/>
      <c r="E261" s="683"/>
      <c r="F261" s="683"/>
      <c r="G261" s="683"/>
      <c r="H261" s="683"/>
      <c r="I261" s="683"/>
      <c r="J261" s="683"/>
      <c r="K261" s="683"/>
      <c r="L261" s="683"/>
      <c r="M261" s="683"/>
      <c r="N261" s="683"/>
      <c r="O261" s="683"/>
      <c r="P261" s="683"/>
      <c r="Q261" s="683"/>
    </row>
    <row r="262" spans="1:17" ht="19.5">
      <c r="A262" s="683"/>
      <c r="B262" s="683"/>
      <c r="C262" s="683"/>
      <c r="D262" s="683"/>
      <c r="E262" s="683"/>
      <c r="F262" s="683"/>
      <c r="G262" s="683"/>
      <c r="H262" s="683"/>
      <c r="I262" s="683"/>
      <c r="J262" s="683"/>
      <c r="K262" s="683"/>
      <c r="L262" s="683"/>
      <c r="M262" s="683"/>
      <c r="N262" s="683"/>
      <c r="O262" s="683"/>
      <c r="P262" s="683"/>
      <c r="Q262" s="683"/>
    </row>
    <row r="263" spans="1:17" ht="19.5">
      <c r="A263" s="683"/>
      <c r="B263" s="683"/>
      <c r="C263" s="683"/>
      <c r="D263" s="683"/>
      <c r="E263" s="683"/>
      <c r="F263" s="683"/>
      <c r="G263" s="683"/>
      <c r="H263" s="683"/>
      <c r="I263" s="683"/>
      <c r="J263" s="683"/>
      <c r="K263" s="683"/>
      <c r="L263" s="683"/>
      <c r="M263" s="683"/>
      <c r="N263" s="683"/>
      <c r="O263" s="683"/>
      <c r="P263" s="683"/>
      <c r="Q263" s="683"/>
    </row>
    <row r="264" spans="1:17" ht="19.5">
      <c r="A264" s="683"/>
      <c r="B264" s="683"/>
      <c r="C264" s="683"/>
      <c r="D264" s="683"/>
      <c r="E264" s="683"/>
      <c r="F264" s="683"/>
      <c r="G264" s="683"/>
      <c r="H264" s="683"/>
      <c r="I264" s="683"/>
      <c r="J264" s="683"/>
      <c r="K264" s="683"/>
      <c r="L264" s="683"/>
      <c r="M264" s="683"/>
      <c r="N264" s="683"/>
      <c r="O264" s="683"/>
      <c r="P264" s="683"/>
      <c r="Q264" s="683"/>
    </row>
    <row r="265" spans="1:17" ht="19.5">
      <c r="A265" s="683"/>
      <c r="B265" s="683"/>
      <c r="C265" s="683"/>
      <c r="D265" s="683"/>
      <c r="E265" s="683"/>
      <c r="F265" s="683"/>
      <c r="G265" s="683"/>
      <c r="H265" s="683"/>
      <c r="I265" s="683"/>
      <c r="J265" s="683"/>
      <c r="K265" s="683"/>
      <c r="L265" s="683"/>
      <c r="M265" s="683"/>
      <c r="N265" s="683"/>
      <c r="O265" s="683"/>
      <c r="P265" s="683"/>
      <c r="Q265" s="683"/>
    </row>
    <row r="266" spans="1:17" ht="19.5">
      <c r="A266" s="683"/>
      <c r="B266" s="683"/>
      <c r="C266" s="683"/>
      <c r="D266" s="683"/>
      <c r="E266" s="683"/>
      <c r="F266" s="683"/>
      <c r="G266" s="683"/>
      <c r="H266" s="683"/>
      <c r="I266" s="683"/>
      <c r="J266" s="683"/>
      <c r="K266" s="683"/>
      <c r="L266" s="683"/>
      <c r="M266" s="683"/>
      <c r="N266" s="683"/>
      <c r="O266" s="683"/>
      <c r="P266" s="683"/>
      <c r="Q266" s="683"/>
    </row>
    <row r="267" spans="1:17" ht="19.5">
      <c r="A267" s="683"/>
      <c r="B267" s="683"/>
      <c r="C267" s="683"/>
      <c r="D267" s="683"/>
      <c r="E267" s="683"/>
      <c r="F267" s="683"/>
      <c r="G267" s="683"/>
      <c r="H267" s="683"/>
      <c r="I267" s="683"/>
      <c r="J267" s="683"/>
      <c r="K267" s="683"/>
      <c r="L267" s="683"/>
      <c r="M267" s="683"/>
      <c r="N267" s="683"/>
      <c r="O267" s="683"/>
      <c r="P267" s="683"/>
      <c r="Q267" s="683"/>
    </row>
    <row r="268" spans="1:17" ht="19.5">
      <c r="A268" s="683"/>
      <c r="B268" s="683"/>
      <c r="C268" s="683"/>
      <c r="D268" s="683"/>
      <c r="E268" s="683"/>
      <c r="F268" s="683"/>
      <c r="G268" s="683"/>
      <c r="H268" s="683"/>
      <c r="I268" s="683"/>
      <c r="J268" s="683"/>
      <c r="K268" s="683"/>
      <c r="L268" s="683"/>
      <c r="M268" s="683"/>
      <c r="N268" s="683"/>
      <c r="O268" s="683"/>
      <c r="P268" s="683"/>
      <c r="Q268" s="683"/>
    </row>
    <row r="269" spans="1:17" ht="19.5">
      <c r="A269" s="683"/>
      <c r="B269" s="683"/>
      <c r="C269" s="683"/>
      <c r="D269" s="683"/>
      <c r="E269" s="683"/>
      <c r="F269" s="683"/>
      <c r="G269" s="683"/>
      <c r="H269" s="683"/>
      <c r="I269" s="683"/>
      <c r="J269" s="683"/>
      <c r="K269" s="683"/>
      <c r="L269" s="683"/>
      <c r="M269" s="683"/>
      <c r="N269" s="683"/>
      <c r="O269" s="683"/>
      <c r="P269" s="683"/>
      <c r="Q269" s="683"/>
    </row>
    <row r="270" spans="1:17" ht="19.5">
      <c r="A270" s="683"/>
      <c r="B270" s="683"/>
      <c r="C270" s="683"/>
      <c r="D270" s="683"/>
      <c r="E270" s="683"/>
      <c r="F270" s="683"/>
      <c r="G270" s="683"/>
      <c r="H270" s="683"/>
      <c r="I270" s="683"/>
      <c r="J270" s="683"/>
      <c r="K270" s="683"/>
      <c r="L270" s="683"/>
      <c r="M270" s="683"/>
      <c r="N270" s="683"/>
      <c r="O270" s="683"/>
      <c r="P270" s="683"/>
      <c r="Q270" s="683"/>
    </row>
    <row r="271" spans="1:17" ht="19.5">
      <c r="A271" s="683"/>
      <c r="B271" s="683"/>
      <c r="C271" s="683"/>
      <c r="D271" s="683"/>
      <c r="E271" s="683"/>
      <c r="F271" s="683"/>
      <c r="G271" s="683"/>
      <c r="H271" s="683"/>
      <c r="I271" s="683"/>
      <c r="J271" s="683"/>
      <c r="K271" s="683"/>
      <c r="L271" s="683"/>
      <c r="M271" s="683"/>
      <c r="N271" s="683"/>
      <c r="O271" s="683"/>
      <c r="P271" s="683"/>
      <c r="Q271" s="683"/>
    </row>
    <row r="272" spans="1:17" ht="19.5">
      <c r="A272" s="683"/>
      <c r="B272" s="683"/>
      <c r="C272" s="683"/>
      <c r="D272" s="683"/>
      <c r="E272" s="683"/>
      <c r="F272" s="683"/>
      <c r="G272" s="683"/>
      <c r="H272" s="683"/>
      <c r="I272" s="683"/>
      <c r="J272" s="683"/>
      <c r="K272" s="683"/>
      <c r="L272" s="683"/>
      <c r="M272" s="683"/>
      <c r="N272" s="683"/>
      <c r="O272" s="683"/>
      <c r="P272" s="683"/>
      <c r="Q272" s="683"/>
    </row>
    <row r="273" spans="1:17" ht="19.5">
      <c r="A273" s="683"/>
      <c r="B273" s="683"/>
      <c r="C273" s="683"/>
      <c r="D273" s="683"/>
      <c r="E273" s="683"/>
      <c r="F273" s="683"/>
      <c r="G273" s="683"/>
      <c r="H273" s="683"/>
      <c r="I273" s="683"/>
      <c r="J273" s="683"/>
      <c r="K273" s="683"/>
      <c r="L273" s="683"/>
      <c r="M273" s="683"/>
      <c r="N273" s="683"/>
      <c r="O273" s="683"/>
      <c r="P273" s="683"/>
      <c r="Q273" s="683"/>
    </row>
    <row r="274" spans="1:17" ht="19.5">
      <c r="A274" s="683"/>
      <c r="B274" s="683"/>
      <c r="C274" s="683"/>
      <c r="D274" s="683"/>
      <c r="E274" s="683"/>
      <c r="F274" s="683"/>
      <c r="G274" s="683"/>
      <c r="H274" s="683"/>
      <c r="I274" s="683"/>
      <c r="J274" s="683"/>
      <c r="K274" s="683"/>
      <c r="L274" s="683"/>
      <c r="M274" s="683"/>
      <c r="N274" s="683"/>
      <c r="O274" s="683"/>
      <c r="P274" s="683"/>
      <c r="Q274" s="683"/>
    </row>
    <row r="275" spans="1:17" ht="19.5">
      <c r="A275" s="683"/>
      <c r="B275" s="683"/>
      <c r="C275" s="683"/>
      <c r="D275" s="683"/>
      <c r="E275" s="683"/>
      <c r="F275" s="683"/>
      <c r="G275" s="683"/>
      <c r="H275" s="683"/>
      <c r="I275" s="683"/>
      <c r="J275" s="683"/>
      <c r="K275" s="683"/>
      <c r="L275" s="683"/>
      <c r="M275" s="683"/>
      <c r="N275" s="683"/>
      <c r="O275" s="683"/>
      <c r="P275" s="683"/>
      <c r="Q275" s="683"/>
    </row>
    <row r="276" spans="1:17" ht="19.5">
      <c r="A276" s="683"/>
      <c r="B276" s="683"/>
      <c r="C276" s="683"/>
      <c r="D276" s="683"/>
      <c r="E276" s="683"/>
      <c r="F276" s="683"/>
      <c r="G276" s="683"/>
      <c r="H276" s="683"/>
      <c r="I276" s="683"/>
      <c r="J276" s="683"/>
      <c r="K276" s="683"/>
      <c r="L276" s="683"/>
      <c r="M276" s="683"/>
      <c r="N276" s="683"/>
      <c r="O276" s="683"/>
      <c r="P276" s="683"/>
      <c r="Q276" s="683"/>
    </row>
    <row r="277" spans="1:17" ht="19.5">
      <c r="A277" s="683"/>
      <c r="B277" s="683"/>
      <c r="C277" s="683"/>
      <c r="D277" s="683"/>
      <c r="E277" s="683"/>
      <c r="F277" s="683"/>
      <c r="G277" s="683"/>
      <c r="H277" s="683"/>
      <c r="I277" s="683"/>
      <c r="J277" s="683"/>
      <c r="K277" s="683"/>
      <c r="L277" s="683"/>
      <c r="M277" s="683"/>
      <c r="N277" s="683"/>
      <c r="O277" s="683"/>
      <c r="P277" s="683"/>
      <c r="Q277" s="683"/>
    </row>
    <row r="278" spans="1:17" ht="19.5">
      <c r="A278" s="683"/>
      <c r="B278" s="683"/>
      <c r="C278" s="683"/>
      <c r="D278" s="683"/>
      <c r="E278" s="683"/>
      <c r="F278" s="683"/>
      <c r="G278" s="683"/>
      <c r="H278" s="683"/>
      <c r="I278" s="683"/>
      <c r="J278" s="683"/>
      <c r="K278" s="683"/>
      <c r="L278" s="683"/>
      <c r="M278" s="683"/>
      <c r="N278" s="683"/>
      <c r="O278" s="683"/>
      <c r="P278" s="683"/>
      <c r="Q278" s="683"/>
    </row>
    <row r="279" spans="1:17" ht="19.5">
      <c r="A279" s="683"/>
      <c r="B279" s="683"/>
      <c r="C279" s="683"/>
      <c r="D279" s="683"/>
      <c r="E279" s="683"/>
      <c r="F279" s="683"/>
      <c r="G279" s="683"/>
      <c r="H279" s="683"/>
      <c r="I279" s="683"/>
      <c r="J279" s="683"/>
      <c r="K279" s="683"/>
      <c r="L279" s="683"/>
      <c r="M279" s="683"/>
      <c r="N279" s="683"/>
      <c r="O279" s="683"/>
      <c r="P279" s="683"/>
      <c r="Q279" s="683"/>
    </row>
    <row r="280" spans="1:17" ht="19.5">
      <c r="A280" s="683"/>
      <c r="B280" s="683"/>
      <c r="C280" s="683"/>
      <c r="D280" s="683"/>
      <c r="E280" s="683"/>
      <c r="F280" s="683"/>
      <c r="G280" s="683"/>
      <c r="H280" s="683"/>
      <c r="I280" s="683"/>
      <c r="J280" s="683"/>
      <c r="K280" s="683"/>
      <c r="L280" s="683"/>
      <c r="M280" s="683"/>
      <c r="N280" s="683"/>
      <c r="O280" s="683"/>
      <c r="P280" s="683"/>
      <c r="Q280" s="683"/>
    </row>
    <row r="281" spans="1:17" ht="19.5">
      <c r="A281" s="683"/>
      <c r="B281" s="683"/>
      <c r="C281" s="683"/>
      <c r="D281" s="683"/>
      <c r="E281" s="683"/>
      <c r="F281" s="683"/>
      <c r="G281" s="683"/>
      <c r="H281" s="683"/>
      <c r="I281" s="683"/>
      <c r="J281" s="683"/>
      <c r="K281" s="683"/>
      <c r="L281" s="683"/>
      <c r="M281" s="683"/>
      <c r="N281" s="683"/>
      <c r="O281" s="683"/>
      <c r="P281" s="683"/>
      <c r="Q281" s="683"/>
    </row>
    <row r="282" spans="1:17" ht="19.5">
      <c r="A282" s="683"/>
      <c r="B282" s="683"/>
      <c r="C282" s="683"/>
      <c r="D282" s="683"/>
      <c r="E282" s="683"/>
      <c r="F282" s="683"/>
      <c r="G282" s="683"/>
      <c r="H282" s="683"/>
      <c r="I282" s="683"/>
      <c r="J282" s="683"/>
      <c r="K282" s="683"/>
      <c r="L282" s="683"/>
      <c r="M282" s="683"/>
      <c r="N282" s="683"/>
      <c r="O282" s="683"/>
      <c r="P282" s="683"/>
      <c r="Q282" s="683"/>
    </row>
    <row r="283" spans="1:17" ht="19.5">
      <c r="A283" s="683"/>
      <c r="B283" s="683"/>
      <c r="C283" s="683"/>
      <c r="D283" s="683"/>
      <c r="E283" s="683"/>
      <c r="F283" s="683"/>
      <c r="G283" s="683"/>
      <c r="H283" s="683"/>
      <c r="I283" s="683"/>
      <c r="J283" s="683"/>
      <c r="K283" s="683"/>
      <c r="L283" s="683"/>
      <c r="M283" s="683"/>
      <c r="N283" s="683"/>
      <c r="O283" s="683"/>
      <c r="P283" s="683"/>
      <c r="Q283" s="683"/>
    </row>
    <row r="284" spans="1:17" ht="19.5">
      <c r="A284" s="683"/>
      <c r="B284" s="683"/>
      <c r="C284" s="683"/>
      <c r="D284" s="683"/>
      <c r="E284" s="683"/>
      <c r="F284" s="683"/>
      <c r="G284" s="683"/>
      <c r="H284" s="683"/>
      <c r="I284" s="683"/>
      <c r="J284" s="683"/>
      <c r="K284" s="683"/>
      <c r="L284" s="683"/>
      <c r="M284" s="683"/>
      <c r="N284" s="683"/>
      <c r="O284" s="683"/>
      <c r="P284" s="683"/>
      <c r="Q284" s="683"/>
    </row>
    <row r="285" spans="1:17" ht="19.5">
      <c r="A285" s="683"/>
      <c r="B285" s="683"/>
      <c r="C285" s="683"/>
      <c r="D285" s="683"/>
      <c r="E285" s="683"/>
      <c r="F285" s="683"/>
      <c r="G285" s="683"/>
      <c r="H285" s="683"/>
      <c r="I285" s="683"/>
      <c r="J285" s="683"/>
      <c r="K285" s="683"/>
      <c r="L285" s="683"/>
      <c r="M285" s="683"/>
      <c r="N285" s="683"/>
      <c r="O285" s="683"/>
      <c r="P285" s="683"/>
      <c r="Q285" s="683"/>
    </row>
    <row r="286" spans="1:17" ht="19.5">
      <c r="A286" s="683"/>
      <c r="B286" s="683"/>
      <c r="C286" s="683"/>
      <c r="D286" s="683"/>
      <c r="E286" s="683"/>
      <c r="F286" s="683"/>
      <c r="G286" s="683"/>
      <c r="H286" s="683"/>
      <c r="I286" s="683"/>
      <c r="J286" s="683"/>
      <c r="K286" s="683"/>
      <c r="L286" s="683"/>
      <c r="M286" s="683"/>
      <c r="N286" s="683"/>
      <c r="O286" s="683"/>
      <c r="P286" s="683"/>
      <c r="Q286" s="683"/>
    </row>
    <row r="287" spans="1:17" ht="19.5">
      <c r="A287" s="683"/>
      <c r="B287" s="683"/>
      <c r="C287" s="683"/>
      <c r="D287" s="683"/>
      <c r="E287" s="683"/>
      <c r="F287" s="683"/>
      <c r="G287" s="683"/>
      <c r="H287" s="683"/>
      <c r="I287" s="683"/>
      <c r="J287" s="683"/>
      <c r="K287" s="683"/>
      <c r="L287" s="683"/>
      <c r="M287" s="683"/>
      <c r="N287" s="683"/>
      <c r="O287" s="683"/>
      <c r="P287" s="683"/>
      <c r="Q287" s="683"/>
    </row>
    <row r="288" spans="1:17" ht="19.5">
      <c r="A288" s="683"/>
      <c r="B288" s="683"/>
      <c r="C288" s="683"/>
      <c r="D288" s="683"/>
      <c r="E288" s="683"/>
      <c r="F288" s="683"/>
      <c r="G288" s="683"/>
      <c r="H288" s="683"/>
      <c r="I288" s="683"/>
      <c r="J288" s="683"/>
      <c r="K288" s="683"/>
      <c r="L288" s="683"/>
      <c r="M288" s="683"/>
      <c r="N288" s="683"/>
      <c r="O288" s="683"/>
      <c r="P288" s="683"/>
      <c r="Q288" s="683"/>
    </row>
    <row r="289" spans="1:17" ht="19.5">
      <c r="A289" s="683"/>
      <c r="B289" s="683"/>
      <c r="C289" s="683"/>
      <c r="D289" s="683"/>
      <c r="E289" s="683"/>
      <c r="F289" s="683"/>
      <c r="G289" s="683"/>
      <c r="H289" s="683"/>
      <c r="I289" s="683"/>
      <c r="J289" s="683"/>
      <c r="K289" s="683"/>
      <c r="L289" s="683"/>
      <c r="M289" s="683"/>
      <c r="N289" s="683"/>
      <c r="O289" s="683"/>
      <c r="P289" s="683"/>
      <c r="Q289" s="683"/>
    </row>
    <row r="290" spans="1:17" ht="19.5">
      <c r="A290" s="683"/>
      <c r="B290" s="683"/>
      <c r="C290" s="683"/>
      <c r="D290" s="683"/>
      <c r="E290" s="683"/>
      <c r="F290" s="683"/>
      <c r="G290" s="683"/>
      <c r="H290" s="683"/>
      <c r="I290" s="683"/>
      <c r="J290" s="683"/>
      <c r="K290" s="683"/>
      <c r="L290" s="683"/>
      <c r="M290" s="683"/>
      <c r="N290" s="683"/>
      <c r="O290" s="683"/>
      <c r="P290" s="683"/>
      <c r="Q290" s="683"/>
    </row>
    <row r="291" spans="1:17" ht="19.5">
      <c r="A291" s="683"/>
      <c r="B291" s="683"/>
      <c r="C291" s="683"/>
      <c r="D291" s="683"/>
      <c r="E291" s="683"/>
      <c r="F291" s="683"/>
      <c r="G291" s="683"/>
      <c r="H291" s="683"/>
      <c r="I291" s="683"/>
      <c r="J291" s="683"/>
      <c r="K291" s="683"/>
      <c r="L291" s="683"/>
      <c r="M291" s="683"/>
      <c r="N291" s="683"/>
      <c r="O291" s="683"/>
      <c r="P291" s="683"/>
      <c r="Q291" s="683"/>
    </row>
    <row r="292" spans="1:17" ht="19.5">
      <c r="A292" s="683"/>
      <c r="B292" s="683"/>
      <c r="C292" s="683"/>
      <c r="D292" s="683"/>
      <c r="E292" s="683"/>
      <c r="F292" s="683"/>
      <c r="G292" s="683"/>
      <c r="H292" s="683"/>
      <c r="I292" s="683"/>
      <c r="J292" s="683"/>
      <c r="K292" s="683"/>
      <c r="L292" s="683"/>
      <c r="M292" s="683"/>
      <c r="N292" s="683"/>
      <c r="O292" s="683"/>
      <c r="P292" s="683"/>
      <c r="Q292" s="683"/>
    </row>
    <row r="293" spans="1:17" ht="19.5">
      <c r="A293" s="683"/>
      <c r="B293" s="683"/>
      <c r="C293" s="683"/>
      <c r="D293" s="683"/>
      <c r="E293" s="683"/>
      <c r="F293" s="683"/>
      <c r="G293" s="683"/>
      <c r="H293" s="683"/>
      <c r="I293" s="683"/>
      <c r="J293" s="683"/>
      <c r="K293" s="683"/>
      <c r="L293" s="683"/>
      <c r="M293" s="683"/>
      <c r="N293" s="683"/>
      <c r="O293" s="683"/>
      <c r="P293" s="683"/>
      <c r="Q293" s="683"/>
    </row>
    <row r="294" spans="1:17" ht="19.5">
      <c r="A294" s="683"/>
      <c r="B294" s="683"/>
      <c r="C294" s="683"/>
      <c r="D294" s="683"/>
      <c r="E294" s="683"/>
      <c r="F294" s="683"/>
      <c r="G294" s="683"/>
      <c r="H294" s="683"/>
      <c r="I294" s="683"/>
      <c r="J294" s="683"/>
      <c r="K294" s="683"/>
      <c r="L294" s="683"/>
      <c r="M294" s="683"/>
      <c r="N294" s="683"/>
      <c r="O294" s="683"/>
      <c r="P294" s="683"/>
      <c r="Q294" s="683"/>
    </row>
    <row r="295" spans="1:17" ht="19.5">
      <c r="A295" s="683"/>
      <c r="B295" s="683"/>
      <c r="C295" s="683"/>
      <c r="D295" s="683"/>
      <c r="E295" s="683"/>
      <c r="F295" s="683"/>
      <c r="G295" s="683"/>
      <c r="H295" s="683"/>
      <c r="I295" s="683"/>
      <c r="J295" s="683"/>
      <c r="K295" s="683"/>
      <c r="L295" s="683"/>
      <c r="M295" s="683"/>
      <c r="N295" s="683"/>
      <c r="O295" s="683"/>
      <c r="P295" s="683"/>
      <c r="Q295" s="683"/>
    </row>
    <row r="296" spans="1:17" ht="19.5">
      <c r="A296" s="683"/>
      <c r="B296" s="683"/>
      <c r="C296" s="683"/>
      <c r="D296" s="683"/>
      <c r="E296" s="683"/>
      <c r="F296" s="683"/>
      <c r="G296" s="683"/>
      <c r="H296" s="683"/>
      <c r="I296" s="683"/>
      <c r="J296" s="683"/>
      <c r="K296" s="683"/>
      <c r="L296" s="683"/>
      <c r="M296" s="683"/>
      <c r="N296" s="683"/>
      <c r="O296" s="683"/>
      <c r="P296" s="683"/>
      <c r="Q296" s="683"/>
    </row>
    <row r="297" spans="1:17" ht="19.5">
      <c r="A297" s="683"/>
      <c r="B297" s="683"/>
      <c r="C297" s="683"/>
      <c r="D297" s="683"/>
      <c r="E297" s="683"/>
      <c r="F297" s="683"/>
      <c r="G297" s="683"/>
      <c r="H297" s="683"/>
      <c r="I297" s="683"/>
      <c r="J297" s="683"/>
      <c r="K297" s="683"/>
      <c r="L297" s="683"/>
      <c r="M297" s="683"/>
      <c r="N297" s="683"/>
      <c r="O297" s="683"/>
      <c r="P297" s="683"/>
      <c r="Q297" s="683"/>
    </row>
    <row r="298" spans="1:17" ht="19.5">
      <c r="A298" s="683"/>
      <c r="B298" s="683"/>
      <c r="C298" s="683"/>
      <c r="D298" s="683"/>
      <c r="E298" s="683"/>
      <c r="F298" s="683"/>
      <c r="G298" s="683"/>
      <c r="H298" s="683"/>
      <c r="I298" s="683"/>
      <c r="J298" s="683"/>
      <c r="K298" s="683"/>
      <c r="L298" s="683"/>
      <c r="M298" s="683"/>
      <c r="N298" s="683"/>
      <c r="O298" s="683"/>
      <c r="P298" s="683"/>
      <c r="Q298" s="683"/>
    </row>
    <row r="299" spans="1:17" ht="19.5">
      <c r="A299" s="683"/>
      <c r="B299" s="683"/>
      <c r="C299" s="683"/>
      <c r="D299" s="683"/>
      <c r="E299" s="683"/>
      <c r="F299" s="683"/>
      <c r="G299" s="683"/>
      <c r="H299" s="683"/>
      <c r="I299" s="683"/>
      <c r="J299" s="683"/>
      <c r="K299" s="683"/>
      <c r="L299" s="683"/>
      <c r="M299" s="683"/>
      <c r="N299" s="683"/>
      <c r="O299" s="683"/>
      <c r="P299" s="683"/>
      <c r="Q299" s="683"/>
    </row>
    <row r="300" spans="1:17" ht="19.5">
      <c r="A300" s="683"/>
      <c r="B300" s="683"/>
      <c r="C300" s="683"/>
      <c r="D300" s="683"/>
      <c r="E300" s="683"/>
      <c r="F300" s="683"/>
      <c r="G300" s="683"/>
      <c r="H300" s="683"/>
      <c r="I300" s="683"/>
      <c r="J300" s="683"/>
      <c r="K300" s="683"/>
      <c r="L300" s="683"/>
      <c r="M300" s="683"/>
      <c r="N300" s="683"/>
      <c r="O300" s="683"/>
      <c r="P300" s="683"/>
      <c r="Q300" s="683"/>
    </row>
    <row r="301" spans="1:17" ht="19.5">
      <c r="A301" s="683"/>
      <c r="B301" s="683"/>
      <c r="C301" s="683"/>
      <c r="D301" s="683"/>
      <c r="E301" s="683"/>
      <c r="F301" s="683"/>
      <c r="G301" s="683"/>
      <c r="H301" s="683"/>
      <c r="I301" s="683"/>
      <c r="J301" s="683"/>
      <c r="K301" s="683"/>
      <c r="L301" s="683"/>
      <c r="M301" s="683"/>
      <c r="N301" s="683"/>
      <c r="O301" s="683"/>
      <c r="P301" s="683"/>
      <c r="Q301" s="683"/>
    </row>
    <row r="302" spans="1:17" ht="19.5">
      <c r="A302" s="683"/>
      <c r="B302" s="683"/>
      <c r="C302" s="683"/>
      <c r="D302" s="683"/>
      <c r="E302" s="683"/>
      <c r="F302" s="683"/>
      <c r="G302" s="683"/>
      <c r="H302" s="683"/>
      <c r="I302" s="683"/>
      <c r="J302" s="683"/>
      <c r="K302" s="683"/>
      <c r="L302" s="683"/>
      <c r="M302" s="683"/>
      <c r="N302" s="683"/>
      <c r="O302" s="683"/>
      <c r="P302" s="683"/>
      <c r="Q302" s="683"/>
    </row>
    <row r="303" spans="1:17" ht="19.5">
      <c r="A303" s="683"/>
      <c r="B303" s="683"/>
      <c r="C303" s="683"/>
      <c r="D303" s="683"/>
      <c r="E303" s="683"/>
      <c r="F303" s="683"/>
      <c r="G303" s="683"/>
      <c r="H303" s="683"/>
      <c r="I303" s="683"/>
      <c r="J303" s="683"/>
      <c r="K303" s="683"/>
      <c r="L303" s="683"/>
      <c r="M303" s="683"/>
      <c r="N303" s="683"/>
      <c r="O303" s="683"/>
      <c r="P303" s="683"/>
      <c r="Q303" s="683"/>
    </row>
    <row r="304" spans="1:17" ht="19.5">
      <c r="A304" s="683"/>
      <c r="B304" s="683"/>
      <c r="C304" s="683"/>
      <c r="D304" s="683"/>
      <c r="E304" s="683"/>
      <c r="F304" s="683"/>
      <c r="G304" s="683"/>
      <c r="H304" s="683"/>
      <c r="I304" s="683"/>
      <c r="J304" s="683"/>
      <c r="K304" s="683"/>
      <c r="L304" s="683"/>
      <c r="M304" s="683"/>
      <c r="N304" s="683"/>
      <c r="O304" s="683"/>
      <c r="P304" s="683"/>
      <c r="Q304" s="683"/>
    </row>
    <row r="305" spans="1:17" ht="19.5">
      <c r="A305" s="683"/>
      <c r="B305" s="683"/>
      <c r="C305" s="683"/>
      <c r="D305" s="683"/>
      <c r="E305" s="683"/>
      <c r="F305" s="683"/>
      <c r="G305" s="683"/>
      <c r="H305" s="683"/>
      <c r="I305" s="683"/>
      <c r="J305" s="683"/>
      <c r="K305" s="683"/>
      <c r="L305" s="683"/>
      <c r="M305" s="683"/>
      <c r="N305" s="683"/>
      <c r="O305" s="683"/>
      <c r="P305" s="683"/>
      <c r="Q305" s="683"/>
    </row>
    <row r="306" spans="1:17" ht="19.5">
      <c r="A306" s="683"/>
      <c r="B306" s="683"/>
      <c r="C306" s="683"/>
      <c r="D306" s="683"/>
      <c r="E306" s="683"/>
      <c r="F306" s="683"/>
      <c r="G306" s="683"/>
      <c r="H306" s="683"/>
      <c r="I306" s="683"/>
      <c r="J306" s="683"/>
      <c r="K306" s="683"/>
      <c r="L306" s="683"/>
      <c r="M306" s="683"/>
      <c r="N306" s="683"/>
      <c r="O306" s="683"/>
      <c r="P306" s="683"/>
      <c r="Q306" s="683"/>
    </row>
    <row r="307" spans="1:17" ht="19.5">
      <c r="A307" s="683"/>
      <c r="B307" s="683"/>
      <c r="C307" s="683"/>
      <c r="D307" s="683"/>
      <c r="E307" s="683"/>
      <c r="F307" s="683"/>
      <c r="G307" s="683"/>
      <c r="H307" s="683"/>
      <c r="I307" s="683"/>
      <c r="J307" s="683"/>
      <c r="K307" s="683"/>
      <c r="L307" s="683"/>
      <c r="M307" s="683"/>
      <c r="N307" s="683"/>
      <c r="O307" s="683"/>
      <c r="P307" s="683"/>
      <c r="Q307" s="683"/>
    </row>
    <row r="308" spans="1:17" ht="19.5">
      <c r="A308" s="683"/>
      <c r="B308" s="683"/>
      <c r="C308" s="683"/>
      <c r="D308" s="683"/>
      <c r="E308" s="683"/>
      <c r="F308" s="683"/>
      <c r="G308" s="683"/>
      <c r="H308" s="683"/>
      <c r="I308" s="683"/>
      <c r="J308" s="683"/>
      <c r="K308" s="683"/>
      <c r="L308" s="683"/>
      <c r="M308" s="683"/>
      <c r="N308" s="683"/>
      <c r="O308" s="683"/>
      <c r="P308" s="683"/>
      <c r="Q308" s="683"/>
    </row>
    <row r="309" spans="1:17" ht="19.5">
      <c r="A309" s="683"/>
      <c r="B309" s="683"/>
      <c r="C309" s="683"/>
      <c r="D309" s="683"/>
      <c r="E309" s="683"/>
      <c r="F309" s="683"/>
      <c r="G309" s="683"/>
      <c r="H309" s="683"/>
      <c r="I309" s="683"/>
      <c r="J309" s="683"/>
      <c r="K309" s="683"/>
      <c r="L309" s="683"/>
      <c r="M309" s="683"/>
      <c r="N309" s="683"/>
      <c r="O309" s="683"/>
      <c r="P309" s="683"/>
      <c r="Q309" s="683"/>
    </row>
    <row r="310" spans="1:17" ht="19.5">
      <c r="A310" s="683"/>
      <c r="B310" s="683"/>
      <c r="C310" s="683"/>
      <c r="D310" s="683"/>
      <c r="E310" s="683"/>
      <c r="F310" s="683"/>
      <c r="G310" s="683"/>
      <c r="H310" s="683"/>
      <c r="I310" s="683"/>
      <c r="J310" s="683"/>
      <c r="K310" s="683"/>
      <c r="L310" s="683"/>
      <c r="M310" s="683"/>
      <c r="N310" s="683"/>
      <c r="O310" s="683"/>
      <c r="P310" s="683"/>
      <c r="Q310" s="683"/>
    </row>
    <row r="311" spans="1:17" ht="19.5">
      <c r="A311" s="683"/>
      <c r="B311" s="683"/>
      <c r="C311" s="683"/>
      <c r="D311" s="683"/>
      <c r="E311" s="683"/>
      <c r="F311" s="683"/>
      <c r="G311" s="683"/>
      <c r="H311" s="683"/>
      <c r="I311" s="683"/>
      <c r="J311" s="683"/>
      <c r="K311" s="683"/>
      <c r="L311" s="683"/>
      <c r="M311" s="683"/>
      <c r="N311" s="683"/>
      <c r="O311" s="683"/>
      <c r="P311" s="683"/>
      <c r="Q311" s="683"/>
    </row>
    <row r="312" spans="1:17" ht="19.5">
      <c r="A312" s="683"/>
      <c r="B312" s="683"/>
      <c r="C312" s="683"/>
      <c r="D312" s="683"/>
      <c r="E312" s="683"/>
      <c r="F312" s="683"/>
      <c r="G312" s="683"/>
      <c r="H312" s="683"/>
      <c r="I312" s="683"/>
      <c r="J312" s="683"/>
      <c r="K312" s="683"/>
      <c r="L312" s="683"/>
      <c r="M312" s="683"/>
      <c r="N312" s="683"/>
      <c r="O312" s="683"/>
      <c r="P312" s="683"/>
      <c r="Q312" s="683"/>
    </row>
    <row r="313" spans="1:17" ht="19.5">
      <c r="A313" s="683"/>
      <c r="B313" s="683"/>
      <c r="C313" s="683"/>
      <c r="D313" s="683"/>
      <c r="E313" s="683"/>
      <c r="F313" s="683"/>
      <c r="G313" s="683"/>
      <c r="H313" s="683"/>
      <c r="I313" s="683"/>
      <c r="J313" s="683"/>
      <c r="K313" s="683"/>
      <c r="L313" s="683"/>
      <c r="M313" s="683"/>
      <c r="N313" s="683"/>
      <c r="O313" s="683"/>
      <c r="P313" s="683"/>
      <c r="Q313" s="683"/>
    </row>
    <row r="314" spans="1:17" ht="19.5">
      <c r="A314" s="683"/>
      <c r="B314" s="683"/>
      <c r="C314" s="683"/>
      <c r="D314" s="683"/>
      <c r="E314" s="683"/>
      <c r="F314" s="683"/>
      <c r="G314" s="683"/>
      <c r="H314" s="683"/>
      <c r="I314" s="683"/>
      <c r="J314" s="683"/>
      <c r="K314" s="683"/>
      <c r="L314" s="683"/>
      <c r="M314" s="683"/>
      <c r="N314" s="683"/>
      <c r="O314" s="683"/>
      <c r="P314" s="683"/>
      <c r="Q314" s="683"/>
    </row>
    <row r="315" spans="1:17" ht="19.5">
      <c r="A315" s="683"/>
      <c r="B315" s="683"/>
      <c r="C315" s="683"/>
      <c r="D315" s="683"/>
      <c r="E315" s="683"/>
      <c r="F315" s="683"/>
      <c r="G315" s="683"/>
      <c r="H315" s="683"/>
      <c r="I315" s="683"/>
      <c r="J315" s="683"/>
      <c r="K315" s="683"/>
      <c r="L315" s="683"/>
      <c r="M315" s="683"/>
      <c r="N315" s="683"/>
      <c r="O315" s="683"/>
      <c r="P315" s="683"/>
      <c r="Q315" s="683"/>
    </row>
    <row r="316" spans="1:17" ht="19.5">
      <c r="A316" s="683"/>
      <c r="B316" s="683"/>
      <c r="C316" s="683"/>
      <c r="D316" s="683"/>
      <c r="E316" s="683"/>
      <c r="F316" s="683"/>
      <c r="G316" s="683"/>
      <c r="H316" s="683"/>
      <c r="I316" s="683"/>
      <c r="J316" s="683"/>
      <c r="K316" s="683"/>
      <c r="L316" s="683"/>
      <c r="M316" s="683"/>
      <c r="N316" s="683"/>
      <c r="O316" s="683"/>
      <c r="P316" s="683"/>
      <c r="Q316" s="683"/>
    </row>
    <row r="317" spans="1:17" ht="19.5">
      <c r="A317" s="683"/>
      <c r="B317" s="683"/>
      <c r="C317" s="683"/>
      <c r="D317" s="683"/>
      <c r="E317" s="683"/>
      <c r="F317" s="683"/>
      <c r="G317" s="683"/>
      <c r="H317" s="683"/>
      <c r="I317" s="683"/>
      <c r="J317" s="683"/>
      <c r="K317" s="683"/>
      <c r="L317" s="683"/>
      <c r="M317" s="683"/>
      <c r="N317" s="683"/>
      <c r="O317" s="683"/>
      <c r="P317" s="683"/>
      <c r="Q317" s="683"/>
    </row>
    <row r="318" spans="1:17" ht="19.5">
      <c r="A318" s="683"/>
      <c r="B318" s="683"/>
      <c r="C318" s="683"/>
      <c r="D318" s="683"/>
      <c r="E318" s="683"/>
      <c r="F318" s="683"/>
      <c r="G318" s="683"/>
      <c r="H318" s="683"/>
      <c r="I318" s="683"/>
      <c r="J318" s="683"/>
      <c r="K318" s="683"/>
      <c r="L318" s="683"/>
      <c r="M318" s="683"/>
      <c r="N318" s="683"/>
      <c r="O318" s="683"/>
      <c r="P318" s="683"/>
      <c r="Q318" s="683"/>
    </row>
    <row r="319" spans="1:17" ht="19.5">
      <c r="A319" s="683"/>
      <c r="B319" s="683"/>
      <c r="C319" s="683"/>
      <c r="D319" s="683"/>
      <c r="E319" s="683"/>
      <c r="F319" s="683"/>
      <c r="G319" s="683"/>
      <c r="H319" s="683"/>
      <c r="I319" s="683"/>
      <c r="J319" s="683"/>
      <c r="K319" s="683"/>
      <c r="L319" s="683"/>
      <c r="M319" s="683"/>
      <c r="N319" s="683"/>
      <c r="O319" s="683"/>
      <c r="P319" s="683"/>
      <c r="Q319" s="683"/>
    </row>
    <row r="320" spans="1:17" ht="19.5">
      <c r="A320" s="683"/>
      <c r="B320" s="683"/>
      <c r="C320" s="683"/>
      <c r="D320" s="683"/>
      <c r="E320" s="683"/>
      <c r="F320" s="683"/>
      <c r="G320" s="683"/>
      <c r="H320" s="683"/>
      <c r="I320" s="683"/>
      <c r="J320" s="683"/>
      <c r="K320" s="683"/>
      <c r="L320" s="683"/>
      <c r="M320" s="683"/>
      <c r="N320" s="683"/>
      <c r="O320" s="683"/>
      <c r="P320" s="683"/>
      <c r="Q320" s="683"/>
    </row>
    <row r="321" spans="1:17" ht="19.5">
      <c r="A321" s="683"/>
      <c r="B321" s="683"/>
      <c r="C321" s="683"/>
      <c r="D321" s="683"/>
      <c r="E321" s="683"/>
      <c r="F321" s="683"/>
      <c r="G321" s="683"/>
      <c r="H321" s="683"/>
      <c r="I321" s="683"/>
      <c r="J321" s="683"/>
      <c r="K321" s="683"/>
      <c r="L321" s="683"/>
      <c r="M321" s="683"/>
      <c r="N321" s="683"/>
      <c r="O321" s="683"/>
      <c r="P321" s="683"/>
      <c r="Q321" s="683"/>
    </row>
    <row r="322" spans="1:17" ht="19.5">
      <c r="A322" s="683"/>
      <c r="B322" s="683"/>
      <c r="C322" s="683"/>
      <c r="D322" s="683"/>
      <c r="E322" s="683"/>
      <c r="F322" s="683"/>
      <c r="G322" s="683"/>
      <c r="H322" s="683"/>
      <c r="I322" s="683"/>
      <c r="J322" s="683"/>
      <c r="K322" s="683"/>
      <c r="L322" s="683"/>
      <c r="M322" s="683"/>
      <c r="N322" s="683"/>
      <c r="O322" s="683"/>
      <c r="P322" s="683"/>
      <c r="Q322" s="683"/>
    </row>
    <row r="323" spans="1:17" ht="19.5">
      <c r="A323" s="683"/>
      <c r="B323" s="683"/>
      <c r="C323" s="683"/>
      <c r="D323" s="683"/>
      <c r="E323" s="683"/>
      <c r="F323" s="683"/>
      <c r="G323" s="683"/>
      <c r="H323" s="683"/>
      <c r="I323" s="683"/>
      <c r="J323" s="683"/>
      <c r="K323" s="683"/>
      <c r="L323" s="683"/>
      <c r="M323" s="683"/>
      <c r="N323" s="683"/>
      <c r="O323" s="683"/>
      <c r="P323" s="683"/>
      <c r="Q323" s="683"/>
    </row>
    <row r="324" spans="1:17" ht="19.5">
      <c r="A324" s="683"/>
      <c r="B324" s="683"/>
      <c r="C324" s="683"/>
      <c r="D324" s="683"/>
      <c r="E324" s="683"/>
      <c r="F324" s="683"/>
      <c r="G324" s="683"/>
      <c r="H324" s="683"/>
      <c r="I324" s="683"/>
      <c r="J324" s="683"/>
      <c r="K324" s="683"/>
      <c r="L324" s="683"/>
      <c r="M324" s="683"/>
      <c r="N324" s="683"/>
      <c r="O324" s="683"/>
      <c r="P324" s="683"/>
      <c r="Q324" s="683"/>
    </row>
    <row r="325" spans="1:17" ht="19.5">
      <c r="A325" s="683"/>
      <c r="B325" s="683"/>
      <c r="C325" s="683"/>
      <c r="D325" s="683"/>
      <c r="E325" s="683"/>
      <c r="F325" s="683"/>
      <c r="G325" s="683"/>
      <c r="H325" s="683"/>
      <c r="I325" s="683"/>
      <c r="J325" s="683"/>
      <c r="K325" s="683"/>
      <c r="L325" s="683"/>
      <c r="M325" s="683"/>
      <c r="N325" s="683"/>
      <c r="O325" s="683"/>
      <c r="P325" s="683"/>
      <c r="Q325" s="683"/>
    </row>
    <row r="326" spans="1:17" ht="19.5">
      <c r="A326" s="683"/>
      <c r="B326" s="683"/>
      <c r="C326" s="683"/>
      <c r="D326" s="683"/>
      <c r="E326" s="683"/>
      <c r="F326" s="683"/>
      <c r="G326" s="683"/>
      <c r="H326" s="683"/>
      <c r="I326" s="683"/>
      <c r="J326" s="683"/>
      <c r="K326" s="683"/>
      <c r="L326" s="683"/>
      <c r="M326" s="683"/>
      <c r="N326" s="683"/>
      <c r="O326" s="683"/>
      <c r="P326" s="683"/>
      <c r="Q326" s="683"/>
    </row>
    <row r="327" spans="1:17" ht="19.5">
      <c r="A327" s="683"/>
      <c r="B327" s="683"/>
      <c r="C327" s="683"/>
      <c r="D327" s="683"/>
      <c r="E327" s="683"/>
      <c r="F327" s="683"/>
      <c r="G327" s="683"/>
      <c r="H327" s="683"/>
      <c r="I327" s="683"/>
      <c r="J327" s="683"/>
      <c r="K327" s="683"/>
      <c r="L327" s="683"/>
      <c r="M327" s="683"/>
      <c r="N327" s="683"/>
      <c r="O327" s="683"/>
      <c r="P327" s="683"/>
      <c r="Q327" s="683"/>
    </row>
    <row r="328" spans="1:17" ht="19.5">
      <c r="A328" s="683"/>
      <c r="B328" s="683"/>
      <c r="C328" s="683"/>
      <c r="D328" s="683"/>
      <c r="E328" s="683"/>
      <c r="F328" s="683"/>
      <c r="G328" s="683"/>
      <c r="H328" s="683"/>
      <c r="I328" s="683"/>
      <c r="J328" s="683"/>
      <c r="K328" s="683"/>
      <c r="L328" s="683"/>
      <c r="M328" s="683"/>
      <c r="N328" s="683"/>
      <c r="O328" s="683"/>
      <c r="P328" s="683"/>
      <c r="Q328" s="683"/>
    </row>
    <row r="329" spans="1:17" ht="19.5">
      <c r="A329" s="683"/>
      <c r="B329" s="683"/>
      <c r="C329" s="683"/>
      <c r="D329" s="683"/>
      <c r="E329" s="683"/>
      <c r="F329" s="683"/>
      <c r="G329" s="683"/>
      <c r="H329" s="683"/>
      <c r="I329" s="683"/>
      <c r="J329" s="683"/>
      <c r="K329" s="683"/>
      <c r="L329" s="683"/>
      <c r="M329" s="683"/>
      <c r="N329" s="683"/>
      <c r="O329" s="683"/>
      <c r="P329" s="683"/>
      <c r="Q329" s="683"/>
    </row>
    <row r="330" spans="1:17" ht="19.5">
      <c r="A330" s="683"/>
      <c r="B330" s="683"/>
      <c r="C330" s="683"/>
      <c r="D330" s="683"/>
      <c r="E330" s="683"/>
      <c r="F330" s="683"/>
      <c r="G330" s="683"/>
      <c r="H330" s="683"/>
      <c r="I330" s="683"/>
      <c r="J330" s="683"/>
      <c r="K330" s="683"/>
      <c r="L330" s="683"/>
      <c r="M330" s="683"/>
      <c r="N330" s="683"/>
      <c r="O330" s="683"/>
      <c r="P330" s="683"/>
      <c r="Q330" s="683"/>
    </row>
    <row r="331" spans="1:17" ht="19.5">
      <c r="A331" s="683"/>
      <c r="B331" s="683"/>
      <c r="C331" s="683"/>
      <c r="D331" s="683"/>
      <c r="E331" s="683"/>
      <c r="F331" s="683"/>
      <c r="G331" s="683"/>
      <c r="H331" s="683"/>
      <c r="I331" s="683"/>
      <c r="J331" s="683"/>
      <c r="K331" s="683"/>
      <c r="L331" s="683"/>
      <c r="M331" s="683"/>
      <c r="N331" s="683"/>
      <c r="O331" s="683"/>
      <c r="P331" s="683"/>
      <c r="Q331" s="683"/>
    </row>
    <row r="332" spans="1:17" ht="19.5">
      <c r="A332" s="683"/>
      <c r="B332" s="683"/>
      <c r="C332" s="683"/>
      <c r="D332" s="683"/>
      <c r="E332" s="683"/>
      <c r="F332" s="683"/>
      <c r="G332" s="683"/>
      <c r="H332" s="683"/>
      <c r="I332" s="683"/>
      <c r="J332" s="683"/>
      <c r="K332" s="683"/>
      <c r="L332" s="683"/>
      <c r="M332" s="683"/>
      <c r="N332" s="683"/>
      <c r="O332" s="683"/>
      <c r="P332" s="683"/>
      <c r="Q332" s="683"/>
    </row>
    <row r="333" spans="1:17" ht="19.5">
      <c r="A333" s="683"/>
      <c r="B333" s="683"/>
      <c r="C333" s="683"/>
      <c r="D333" s="683"/>
      <c r="E333" s="683"/>
      <c r="F333" s="683"/>
      <c r="G333" s="683"/>
      <c r="H333" s="683"/>
      <c r="I333" s="683"/>
      <c r="J333" s="683"/>
      <c r="K333" s="683"/>
      <c r="L333" s="683"/>
      <c r="M333" s="683"/>
      <c r="N333" s="683"/>
      <c r="O333" s="683"/>
      <c r="P333" s="683"/>
      <c r="Q333" s="683"/>
    </row>
    <row r="334" spans="1:17" ht="19.5">
      <c r="A334" s="683"/>
      <c r="B334" s="683"/>
      <c r="C334" s="683"/>
      <c r="D334" s="683"/>
      <c r="E334" s="683"/>
      <c r="F334" s="683"/>
      <c r="G334" s="683"/>
      <c r="H334" s="683"/>
      <c r="I334" s="683"/>
      <c r="J334" s="683"/>
      <c r="K334" s="683"/>
      <c r="L334" s="683"/>
      <c r="M334" s="683"/>
      <c r="N334" s="683"/>
      <c r="O334" s="683"/>
      <c r="P334" s="683"/>
      <c r="Q334" s="683"/>
    </row>
    <row r="335" spans="1:17" ht="19.5">
      <c r="A335" s="683"/>
      <c r="B335" s="683"/>
      <c r="C335" s="683"/>
      <c r="D335" s="683"/>
      <c r="E335" s="683"/>
      <c r="F335" s="683"/>
      <c r="G335" s="683"/>
      <c r="H335" s="683"/>
      <c r="I335" s="683"/>
      <c r="J335" s="683"/>
      <c r="K335" s="683"/>
      <c r="L335" s="683"/>
      <c r="M335" s="683"/>
      <c r="N335" s="683"/>
      <c r="O335" s="683"/>
      <c r="P335" s="683"/>
      <c r="Q335" s="683"/>
    </row>
    <row r="336" spans="1:17" ht="19.5">
      <c r="A336" s="683"/>
      <c r="B336" s="683"/>
      <c r="C336" s="683"/>
      <c r="D336" s="683"/>
      <c r="E336" s="683"/>
      <c r="F336" s="683"/>
      <c r="G336" s="683"/>
      <c r="H336" s="683"/>
      <c r="I336" s="683"/>
      <c r="J336" s="683"/>
      <c r="K336" s="683"/>
      <c r="L336" s="683"/>
      <c r="M336" s="683"/>
      <c r="N336" s="683"/>
      <c r="O336" s="683"/>
      <c r="P336" s="683"/>
      <c r="Q336" s="683"/>
    </row>
    <row r="337" spans="1:17" ht="19.5">
      <c r="A337" s="683"/>
      <c r="B337" s="683"/>
      <c r="C337" s="683"/>
      <c r="D337" s="683"/>
      <c r="E337" s="683"/>
      <c r="F337" s="683"/>
      <c r="G337" s="683"/>
      <c r="H337" s="683"/>
      <c r="I337" s="683"/>
      <c r="J337" s="683"/>
      <c r="K337" s="683"/>
      <c r="L337" s="683"/>
      <c r="M337" s="683"/>
      <c r="N337" s="683"/>
      <c r="O337" s="683"/>
      <c r="P337" s="683"/>
      <c r="Q337" s="683"/>
    </row>
    <row r="338" spans="1:17" ht="19.5">
      <c r="A338" s="683"/>
      <c r="B338" s="683"/>
      <c r="C338" s="683"/>
      <c r="D338" s="683"/>
      <c r="E338" s="683"/>
      <c r="F338" s="683"/>
      <c r="G338" s="683"/>
      <c r="H338" s="683"/>
      <c r="I338" s="683"/>
      <c r="J338" s="683"/>
      <c r="K338" s="683"/>
      <c r="L338" s="683"/>
      <c r="M338" s="683"/>
      <c r="N338" s="683"/>
      <c r="O338" s="683"/>
      <c r="P338" s="683"/>
      <c r="Q338" s="683"/>
    </row>
    <row r="339" spans="1:17" ht="19.5">
      <c r="A339" s="683"/>
      <c r="B339" s="683"/>
      <c r="C339" s="683"/>
      <c r="D339" s="683"/>
      <c r="E339" s="683"/>
      <c r="F339" s="683"/>
      <c r="G339" s="683"/>
      <c r="H339" s="683"/>
      <c r="I339" s="683"/>
      <c r="J339" s="683"/>
      <c r="K339" s="683"/>
      <c r="L339" s="683"/>
      <c r="M339" s="683"/>
      <c r="N339" s="683"/>
      <c r="O339" s="683"/>
      <c r="P339" s="683"/>
      <c r="Q339" s="683"/>
    </row>
    <row r="340" spans="1:17" ht="19.5">
      <c r="A340" s="683"/>
      <c r="B340" s="683"/>
      <c r="C340" s="683"/>
      <c r="D340" s="683"/>
      <c r="E340" s="683"/>
      <c r="F340" s="683"/>
      <c r="G340" s="683"/>
      <c r="H340" s="683"/>
      <c r="I340" s="683"/>
      <c r="J340" s="683"/>
      <c r="K340" s="683"/>
      <c r="L340" s="683"/>
      <c r="M340" s="683"/>
      <c r="N340" s="683"/>
      <c r="O340" s="683"/>
      <c r="P340" s="683"/>
      <c r="Q340" s="683"/>
    </row>
    <row r="341" spans="1:17" ht="19.5">
      <c r="A341" s="683"/>
      <c r="B341" s="683"/>
      <c r="C341" s="683"/>
      <c r="D341" s="683"/>
      <c r="E341" s="683"/>
      <c r="F341" s="683"/>
      <c r="G341" s="683"/>
      <c r="H341" s="683"/>
      <c r="I341" s="683"/>
      <c r="J341" s="683"/>
      <c r="K341" s="683"/>
      <c r="L341" s="683"/>
      <c r="M341" s="683"/>
      <c r="N341" s="683"/>
      <c r="O341" s="683"/>
      <c r="P341" s="683"/>
      <c r="Q341" s="683"/>
    </row>
    <row r="342" spans="1:17" ht="19.5">
      <c r="A342" s="683"/>
      <c r="B342" s="683"/>
      <c r="C342" s="683"/>
      <c r="D342" s="683"/>
      <c r="E342" s="683"/>
      <c r="F342" s="683"/>
      <c r="G342" s="683"/>
      <c r="H342" s="683"/>
      <c r="I342" s="683"/>
      <c r="J342" s="683"/>
      <c r="K342" s="683"/>
      <c r="L342" s="683"/>
      <c r="M342" s="683"/>
      <c r="N342" s="683"/>
      <c r="O342" s="683"/>
      <c r="P342" s="683"/>
      <c r="Q342" s="683"/>
    </row>
    <row r="343" spans="1:17" ht="19.5">
      <c r="A343" s="683"/>
      <c r="B343" s="683"/>
      <c r="C343" s="683"/>
      <c r="D343" s="683"/>
      <c r="E343" s="683"/>
      <c r="F343" s="683"/>
      <c r="G343" s="683"/>
      <c r="H343" s="683"/>
      <c r="I343" s="683"/>
      <c r="J343" s="683"/>
      <c r="K343" s="683"/>
      <c r="L343" s="683"/>
      <c r="M343" s="683"/>
      <c r="N343" s="683"/>
      <c r="O343" s="683"/>
      <c r="P343" s="683"/>
      <c r="Q343" s="683"/>
    </row>
    <row r="344" spans="1:17" ht="19.5">
      <c r="A344" s="683"/>
      <c r="B344" s="683"/>
      <c r="C344" s="683"/>
      <c r="D344" s="683"/>
      <c r="E344" s="683"/>
      <c r="F344" s="683"/>
      <c r="G344" s="683"/>
      <c r="H344" s="683"/>
      <c r="I344" s="683"/>
      <c r="J344" s="683"/>
      <c r="K344" s="683"/>
      <c r="L344" s="683"/>
      <c r="M344" s="683"/>
      <c r="N344" s="683"/>
      <c r="O344" s="683"/>
      <c r="P344" s="683"/>
      <c r="Q344" s="683"/>
    </row>
    <row r="345" spans="1:17" ht="19.5">
      <c r="A345" s="683"/>
      <c r="B345" s="683"/>
      <c r="C345" s="683"/>
      <c r="D345" s="683"/>
      <c r="E345" s="683"/>
      <c r="F345" s="683"/>
      <c r="G345" s="683"/>
      <c r="H345" s="683"/>
      <c r="I345" s="683"/>
      <c r="J345" s="683"/>
      <c r="K345" s="683"/>
      <c r="L345" s="683"/>
      <c r="M345" s="683"/>
      <c r="N345" s="683"/>
      <c r="O345" s="683"/>
      <c r="P345" s="683"/>
      <c r="Q345" s="683"/>
    </row>
    <row r="346" spans="1:17" ht="19.5">
      <c r="A346" s="683"/>
      <c r="B346" s="683"/>
      <c r="C346" s="683"/>
      <c r="D346" s="683"/>
      <c r="E346" s="683"/>
      <c r="F346" s="683"/>
      <c r="G346" s="683"/>
      <c r="H346" s="683"/>
      <c r="I346" s="683"/>
      <c r="J346" s="683"/>
      <c r="K346" s="683"/>
      <c r="L346" s="683"/>
      <c r="M346" s="683"/>
      <c r="N346" s="683"/>
      <c r="O346" s="683"/>
      <c r="P346" s="683"/>
      <c r="Q346" s="683"/>
    </row>
    <row r="347" spans="1:17" ht="19.5">
      <c r="A347" s="683"/>
      <c r="B347" s="683"/>
      <c r="C347" s="683"/>
      <c r="D347" s="683"/>
      <c r="E347" s="683"/>
      <c r="F347" s="683"/>
      <c r="G347" s="683"/>
      <c r="H347" s="683"/>
      <c r="I347" s="683"/>
      <c r="J347" s="683"/>
      <c r="K347" s="683"/>
      <c r="L347" s="683"/>
      <c r="M347" s="683"/>
      <c r="N347" s="683"/>
      <c r="O347" s="683"/>
      <c r="P347" s="683"/>
      <c r="Q347" s="683"/>
    </row>
    <row r="348" spans="1:17" ht="19.5">
      <c r="A348" s="683"/>
      <c r="B348" s="683"/>
      <c r="C348" s="683"/>
      <c r="D348" s="683"/>
      <c r="E348" s="683"/>
      <c r="F348" s="683"/>
      <c r="G348" s="683"/>
      <c r="H348" s="683"/>
      <c r="I348" s="683"/>
      <c r="J348" s="683"/>
      <c r="K348" s="683"/>
      <c r="L348" s="683"/>
      <c r="M348" s="683"/>
      <c r="N348" s="683"/>
      <c r="O348" s="683"/>
      <c r="P348" s="683"/>
      <c r="Q348" s="683"/>
    </row>
    <row r="349" spans="1:17" ht="19.5">
      <c r="A349" s="683"/>
      <c r="B349" s="683"/>
      <c r="C349" s="683"/>
      <c r="D349" s="683"/>
      <c r="E349" s="683"/>
      <c r="F349" s="683"/>
      <c r="G349" s="683"/>
      <c r="H349" s="683"/>
      <c r="I349" s="683"/>
      <c r="J349" s="683"/>
      <c r="K349" s="683"/>
      <c r="L349" s="683"/>
      <c r="M349" s="683"/>
      <c r="N349" s="683"/>
      <c r="O349" s="683"/>
      <c r="P349" s="683"/>
      <c r="Q349" s="683"/>
    </row>
    <row r="350" spans="1:17" ht="19.5">
      <c r="A350" s="683"/>
      <c r="B350" s="683"/>
      <c r="C350" s="683"/>
      <c r="D350" s="683"/>
      <c r="E350" s="683"/>
      <c r="F350" s="683"/>
      <c r="G350" s="683"/>
      <c r="H350" s="683"/>
      <c r="I350" s="683"/>
      <c r="J350" s="683"/>
      <c r="K350" s="683"/>
      <c r="L350" s="683"/>
      <c r="M350" s="683"/>
      <c r="N350" s="683"/>
      <c r="O350" s="683"/>
      <c r="P350" s="683"/>
      <c r="Q350" s="683"/>
    </row>
    <row r="351" spans="1:17" ht="19.5">
      <c r="A351" s="683"/>
      <c r="B351" s="683"/>
      <c r="C351" s="683"/>
      <c r="D351" s="683"/>
      <c r="E351" s="683"/>
      <c r="F351" s="683"/>
      <c r="G351" s="683"/>
      <c r="H351" s="683"/>
      <c r="I351" s="683"/>
      <c r="J351" s="683"/>
      <c r="K351" s="683"/>
      <c r="L351" s="683"/>
      <c r="M351" s="683"/>
      <c r="N351" s="683"/>
      <c r="O351" s="683"/>
      <c r="P351" s="683"/>
      <c r="Q351" s="683"/>
    </row>
    <row r="352" spans="1:17" ht="19.5">
      <c r="A352" s="683"/>
      <c r="B352" s="683"/>
      <c r="C352" s="683"/>
      <c r="D352" s="683"/>
      <c r="E352" s="683"/>
      <c r="F352" s="683"/>
      <c r="G352" s="683"/>
      <c r="H352" s="683"/>
      <c r="I352" s="683"/>
      <c r="J352" s="683"/>
      <c r="K352" s="683"/>
      <c r="L352" s="683"/>
      <c r="M352" s="683"/>
      <c r="N352" s="683"/>
      <c r="O352" s="683"/>
      <c r="P352" s="683"/>
      <c r="Q352" s="683"/>
    </row>
    <row r="353" spans="1:17" ht="19.5">
      <c r="A353" s="683"/>
      <c r="B353" s="683"/>
      <c r="C353" s="683"/>
      <c r="D353" s="683"/>
      <c r="E353" s="683"/>
      <c r="F353" s="683"/>
      <c r="G353" s="683"/>
      <c r="H353" s="683"/>
      <c r="I353" s="683"/>
      <c r="J353" s="683"/>
      <c r="K353" s="683"/>
      <c r="L353" s="683"/>
      <c r="M353" s="683"/>
      <c r="N353" s="683"/>
      <c r="O353" s="683"/>
      <c r="P353" s="683"/>
      <c r="Q353" s="683"/>
    </row>
    <row r="354" spans="1:17" ht="19.5">
      <c r="A354" s="683"/>
      <c r="B354" s="683"/>
      <c r="C354" s="683"/>
      <c r="D354" s="683"/>
      <c r="E354" s="683"/>
      <c r="F354" s="683"/>
      <c r="G354" s="683"/>
      <c r="H354" s="683"/>
      <c r="I354" s="683"/>
      <c r="J354" s="683"/>
      <c r="K354" s="683"/>
      <c r="L354" s="683"/>
      <c r="M354" s="683"/>
      <c r="N354" s="683"/>
      <c r="O354" s="683"/>
      <c r="P354" s="683"/>
      <c r="Q354" s="683"/>
    </row>
    <row r="355" spans="1:17" ht="19.5">
      <c r="A355" s="683"/>
      <c r="B355" s="683"/>
      <c r="C355" s="683"/>
      <c r="D355" s="683"/>
      <c r="E355" s="683"/>
      <c r="F355" s="683"/>
      <c r="G355" s="683"/>
      <c r="H355" s="683"/>
      <c r="I355" s="683"/>
      <c r="J355" s="683"/>
      <c r="K355" s="683"/>
      <c r="L355" s="683"/>
      <c r="M355" s="683"/>
      <c r="N355" s="683"/>
      <c r="O355" s="683"/>
      <c r="P355" s="683"/>
      <c r="Q355" s="683"/>
    </row>
    <row r="356" spans="1:17" ht="19.5">
      <c r="A356" s="683"/>
      <c r="B356" s="683"/>
      <c r="C356" s="683"/>
      <c r="D356" s="683"/>
      <c r="E356" s="683"/>
      <c r="F356" s="683"/>
      <c r="G356" s="683"/>
      <c r="H356" s="683"/>
      <c r="I356" s="683"/>
      <c r="J356" s="683"/>
      <c r="K356" s="683"/>
      <c r="L356" s="683"/>
      <c r="M356" s="683"/>
      <c r="N356" s="683"/>
      <c r="O356" s="683"/>
      <c r="P356" s="683"/>
      <c r="Q356" s="683"/>
    </row>
    <row r="357" spans="1:17" ht="19.5">
      <c r="A357" s="683"/>
      <c r="B357" s="683"/>
      <c r="C357" s="683"/>
      <c r="D357" s="683"/>
      <c r="E357" s="683"/>
      <c r="F357" s="683"/>
      <c r="G357" s="683"/>
      <c r="H357" s="683"/>
      <c r="I357" s="683"/>
      <c r="J357" s="683"/>
      <c r="K357" s="683"/>
      <c r="L357" s="683"/>
      <c r="M357" s="683"/>
      <c r="N357" s="683"/>
      <c r="O357" s="683"/>
      <c r="P357" s="683"/>
      <c r="Q357" s="683"/>
    </row>
    <row r="358" spans="1:17" ht="19.5">
      <c r="A358" s="683"/>
      <c r="B358" s="683"/>
      <c r="C358" s="683"/>
      <c r="D358" s="683"/>
      <c r="E358" s="683"/>
      <c r="F358" s="683"/>
      <c r="G358" s="683"/>
      <c r="H358" s="683"/>
      <c r="I358" s="683"/>
      <c r="J358" s="683"/>
      <c r="K358" s="683"/>
      <c r="L358" s="683"/>
      <c r="M358" s="683"/>
      <c r="N358" s="683"/>
      <c r="O358" s="683"/>
      <c r="P358" s="683"/>
      <c r="Q358" s="683"/>
    </row>
    <row r="359" spans="1:17" ht="19.5">
      <c r="A359" s="683"/>
      <c r="B359" s="683"/>
      <c r="C359" s="683"/>
      <c r="D359" s="683"/>
      <c r="E359" s="683"/>
      <c r="F359" s="683"/>
      <c r="G359" s="683"/>
      <c r="H359" s="683"/>
      <c r="I359" s="683"/>
      <c r="J359" s="683"/>
      <c r="K359" s="683"/>
      <c r="L359" s="683"/>
      <c r="M359" s="683"/>
      <c r="N359" s="683"/>
      <c r="O359" s="683"/>
      <c r="P359" s="683"/>
      <c r="Q359" s="683"/>
    </row>
    <row r="360" spans="1:17" ht="19.5">
      <c r="A360" s="683"/>
      <c r="B360" s="683"/>
      <c r="C360" s="683"/>
      <c r="D360" s="683"/>
      <c r="E360" s="683"/>
      <c r="F360" s="683"/>
      <c r="G360" s="683"/>
      <c r="H360" s="683"/>
      <c r="I360" s="683"/>
      <c r="J360" s="683"/>
      <c r="K360" s="683"/>
      <c r="L360" s="683"/>
      <c r="M360" s="683"/>
      <c r="N360" s="683"/>
      <c r="O360" s="683"/>
      <c r="P360" s="683"/>
      <c r="Q360" s="683"/>
    </row>
    <row r="361" spans="1:17" ht="19.5">
      <c r="A361" s="683"/>
      <c r="B361" s="683"/>
      <c r="C361" s="683"/>
      <c r="D361" s="683"/>
      <c r="E361" s="683"/>
      <c r="F361" s="683"/>
      <c r="G361" s="683"/>
      <c r="H361" s="683"/>
      <c r="I361" s="683"/>
      <c r="J361" s="683"/>
      <c r="K361" s="683"/>
      <c r="L361" s="683"/>
      <c r="M361" s="683"/>
      <c r="N361" s="683"/>
      <c r="O361" s="683"/>
      <c r="P361" s="683"/>
      <c r="Q361" s="683"/>
    </row>
    <row r="362" spans="1:17" ht="19.5">
      <c r="A362" s="683"/>
      <c r="B362" s="683"/>
      <c r="C362" s="683"/>
      <c r="D362" s="683"/>
      <c r="E362" s="683"/>
      <c r="F362" s="683"/>
      <c r="G362" s="683"/>
      <c r="H362" s="683"/>
      <c r="I362" s="683"/>
      <c r="J362" s="683"/>
      <c r="K362" s="683"/>
      <c r="L362" s="683"/>
      <c r="M362" s="683"/>
      <c r="N362" s="683"/>
      <c r="O362" s="683"/>
      <c r="P362" s="683"/>
      <c r="Q362" s="683"/>
    </row>
    <row r="363" spans="1:17" ht="19.5">
      <c r="A363" s="683"/>
      <c r="B363" s="683"/>
      <c r="C363" s="683"/>
      <c r="D363" s="683"/>
      <c r="E363" s="683"/>
      <c r="F363" s="683"/>
      <c r="G363" s="683"/>
      <c r="H363" s="683"/>
      <c r="I363" s="683"/>
      <c r="J363" s="683"/>
      <c r="K363" s="683"/>
      <c r="L363" s="683"/>
      <c r="M363" s="683"/>
      <c r="N363" s="683"/>
      <c r="O363" s="683"/>
      <c r="P363" s="683"/>
      <c r="Q363" s="683"/>
    </row>
    <row r="364" spans="1:17" ht="19.5">
      <c r="A364" s="683"/>
      <c r="B364" s="683"/>
      <c r="C364" s="683"/>
      <c r="D364" s="683"/>
      <c r="E364" s="683"/>
      <c r="F364" s="683"/>
      <c r="G364" s="683"/>
      <c r="H364" s="683"/>
      <c r="I364" s="683"/>
      <c r="J364" s="683"/>
      <c r="K364" s="683"/>
      <c r="L364" s="683"/>
      <c r="M364" s="683"/>
      <c r="N364" s="683"/>
      <c r="O364" s="683"/>
      <c r="P364" s="683"/>
      <c r="Q364" s="683"/>
    </row>
    <row r="365" spans="1:17" ht="19.5">
      <c r="A365" s="683"/>
      <c r="B365" s="683"/>
      <c r="C365" s="683"/>
      <c r="D365" s="683"/>
      <c r="E365" s="683"/>
      <c r="F365" s="683"/>
      <c r="G365" s="683"/>
      <c r="H365" s="683"/>
      <c r="I365" s="683"/>
      <c r="J365" s="683"/>
      <c r="K365" s="683"/>
      <c r="L365" s="683"/>
      <c r="M365" s="683"/>
      <c r="N365" s="683"/>
      <c r="O365" s="683"/>
      <c r="P365" s="683"/>
      <c r="Q365" s="683"/>
    </row>
    <row r="366" spans="1:17" ht="19.5">
      <c r="A366" s="683"/>
      <c r="B366" s="683"/>
      <c r="C366" s="683"/>
      <c r="D366" s="683"/>
      <c r="E366" s="683"/>
      <c r="F366" s="683"/>
      <c r="G366" s="683"/>
      <c r="H366" s="683"/>
      <c r="I366" s="683"/>
      <c r="J366" s="683"/>
      <c r="K366" s="683"/>
      <c r="L366" s="683"/>
      <c r="M366" s="683"/>
      <c r="N366" s="683"/>
      <c r="O366" s="683"/>
      <c r="P366" s="683"/>
      <c r="Q366" s="683"/>
    </row>
    <row r="367" spans="1:17" ht="19.5">
      <c r="A367" s="683"/>
      <c r="B367" s="683"/>
      <c r="C367" s="683"/>
      <c r="D367" s="683"/>
      <c r="E367" s="683"/>
      <c r="F367" s="683"/>
      <c r="G367" s="683"/>
      <c r="H367" s="683"/>
      <c r="I367" s="683"/>
      <c r="J367" s="683"/>
      <c r="K367" s="683"/>
      <c r="L367" s="683"/>
      <c r="M367" s="683"/>
      <c r="N367" s="683"/>
      <c r="O367" s="683"/>
      <c r="P367" s="683"/>
      <c r="Q367" s="683"/>
    </row>
    <row r="368" spans="1:17" ht="19.5">
      <c r="A368" s="683"/>
      <c r="B368" s="683"/>
      <c r="C368" s="683"/>
      <c r="D368" s="683"/>
      <c r="E368" s="683"/>
      <c r="F368" s="683"/>
      <c r="G368" s="683"/>
      <c r="H368" s="683"/>
      <c r="I368" s="683"/>
      <c r="J368" s="683"/>
      <c r="K368" s="683"/>
      <c r="L368" s="683"/>
      <c r="M368" s="683"/>
      <c r="N368" s="683"/>
      <c r="O368" s="683"/>
      <c r="P368" s="683"/>
      <c r="Q368" s="683"/>
    </row>
    <row r="369" spans="1:17" ht="19.5">
      <c r="A369" s="683"/>
      <c r="B369" s="683"/>
      <c r="C369" s="683"/>
      <c r="D369" s="683"/>
      <c r="E369" s="683"/>
      <c r="F369" s="683"/>
      <c r="G369" s="683"/>
      <c r="H369" s="683"/>
      <c r="I369" s="683"/>
      <c r="J369" s="683"/>
      <c r="K369" s="683"/>
      <c r="L369" s="683"/>
      <c r="M369" s="683"/>
      <c r="N369" s="683"/>
      <c r="O369" s="683"/>
      <c r="P369" s="683"/>
      <c r="Q369" s="683"/>
    </row>
    <row r="370" spans="1:17" ht="19.5">
      <c r="A370" s="683"/>
      <c r="B370" s="683"/>
      <c r="C370" s="683"/>
      <c r="D370" s="683"/>
      <c r="E370" s="683"/>
      <c r="F370" s="683"/>
      <c r="G370" s="683"/>
      <c r="H370" s="683"/>
      <c r="I370" s="683"/>
      <c r="J370" s="683"/>
      <c r="K370" s="683"/>
      <c r="L370" s="683"/>
      <c r="M370" s="683"/>
      <c r="N370" s="683"/>
      <c r="O370" s="683"/>
      <c r="P370" s="683"/>
      <c r="Q370" s="683"/>
    </row>
    <row r="371" spans="1:17" ht="19.5">
      <c r="A371" s="683"/>
      <c r="B371" s="683"/>
      <c r="C371" s="683"/>
      <c r="D371" s="683"/>
      <c r="E371" s="683"/>
      <c r="F371" s="683"/>
      <c r="G371" s="683"/>
      <c r="H371" s="683"/>
      <c r="I371" s="683"/>
      <c r="J371" s="683"/>
      <c r="K371" s="683"/>
      <c r="L371" s="683"/>
      <c r="M371" s="683"/>
      <c r="N371" s="683"/>
      <c r="O371" s="683"/>
      <c r="P371" s="683"/>
      <c r="Q371" s="683"/>
    </row>
    <row r="372" spans="1:17" ht="19.5">
      <c r="A372" s="683"/>
      <c r="B372" s="683"/>
      <c r="C372" s="683"/>
      <c r="D372" s="683"/>
      <c r="E372" s="683"/>
      <c r="F372" s="683"/>
      <c r="G372" s="683"/>
      <c r="H372" s="683"/>
      <c r="I372" s="683"/>
      <c r="J372" s="683"/>
      <c r="K372" s="683"/>
      <c r="L372" s="683"/>
      <c r="M372" s="683"/>
      <c r="N372" s="683"/>
      <c r="O372" s="683"/>
      <c r="P372" s="683"/>
      <c r="Q372" s="683"/>
    </row>
    <row r="373" spans="1:17" ht="19.5">
      <c r="A373" s="683"/>
      <c r="B373" s="683"/>
      <c r="C373" s="683"/>
      <c r="D373" s="683"/>
      <c r="E373" s="683"/>
      <c r="F373" s="683"/>
      <c r="G373" s="683"/>
      <c r="H373" s="683"/>
      <c r="I373" s="683"/>
      <c r="J373" s="683"/>
      <c r="K373" s="683"/>
      <c r="L373" s="683"/>
      <c r="M373" s="683"/>
      <c r="N373" s="683"/>
      <c r="O373" s="683"/>
      <c r="P373" s="683"/>
      <c r="Q373" s="683"/>
    </row>
    <row r="374" spans="1:17" ht="19.5">
      <c r="A374" s="683"/>
      <c r="B374" s="683"/>
      <c r="C374" s="683"/>
      <c r="D374" s="683"/>
      <c r="E374" s="683"/>
      <c r="F374" s="683"/>
      <c r="G374" s="683"/>
      <c r="H374" s="683"/>
      <c r="I374" s="683"/>
      <c r="J374" s="683"/>
      <c r="K374" s="683"/>
      <c r="L374" s="683"/>
      <c r="M374" s="683"/>
      <c r="N374" s="683"/>
      <c r="O374" s="683"/>
      <c r="P374" s="683"/>
      <c r="Q374" s="683"/>
    </row>
    <row r="375" spans="1:17" ht="19.5">
      <c r="A375" s="683"/>
      <c r="B375" s="683"/>
      <c r="C375" s="683"/>
      <c r="D375" s="683"/>
      <c r="E375" s="683"/>
      <c r="F375" s="683"/>
      <c r="G375" s="683"/>
      <c r="H375" s="683"/>
      <c r="I375" s="683"/>
      <c r="J375" s="683"/>
      <c r="K375" s="683"/>
      <c r="L375" s="683"/>
      <c r="M375" s="683"/>
      <c r="N375" s="683"/>
      <c r="O375" s="683"/>
      <c r="P375" s="683"/>
      <c r="Q375" s="683"/>
    </row>
    <row r="376" spans="1:17" ht="19.5">
      <c r="A376" s="683"/>
      <c r="B376" s="683"/>
      <c r="C376" s="683"/>
      <c r="D376" s="683"/>
      <c r="E376" s="683"/>
      <c r="F376" s="683"/>
      <c r="G376" s="683"/>
      <c r="H376" s="683"/>
      <c r="I376" s="683"/>
      <c r="J376" s="683"/>
      <c r="K376" s="683"/>
      <c r="L376" s="683"/>
      <c r="M376" s="683"/>
      <c r="N376" s="683"/>
      <c r="O376" s="683"/>
      <c r="P376" s="683"/>
      <c r="Q376" s="683"/>
    </row>
    <row r="377" spans="1:17" ht="19.5">
      <c r="A377" s="683"/>
      <c r="B377" s="683"/>
      <c r="C377" s="683"/>
      <c r="D377" s="683"/>
      <c r="E377" s="683"/>
      <c r="F377" s="683"/>
      <c r="G377" s="683"/>
      <c r="H377" s="683"/>
      <c r="I377" s="683"/>
      <c r="J377" s="683"/>
      <c r="K377" s="683"/>
      <c r="L377" s="683"/>
      <c r="M377" s="683"/>
      <c r="N377" s="683"/>
      <c r="O377" s="683"/>
      <c r="P377" s="683"/>
      <c r="Q377" s="683"/>
    </row>
    <row r="378" spans="1:17" ht="19.5">
      <c r="A378" s="683"/>
      <c r="B378" s="683"/>
      <c r="C378" s="683"/>
      <c r="D378" s="683"/>
      <c r="E378" s="683"/>
      <c r="F378" s="683"/>
      <c r="G378" s="683"/>
      <c r="H378" s="683"/>
      <c r="I378" s="683"/>
      <c r="J378" s="683"/>
      <c r="K378" s="683"/>
      <c r="L378" s="683"/>
      <c r="M378" s="683"/>
      <c r="N378" s="683"/>
      <c r="O378" s="683"/>
      <c r="P378" s="683"/>
      <c r="Q378" s="683"/>
    </row>
    <row r="379" spans="1:17" ht="19.5">
      <c r="A379" s="683"/>
      <c r="B379" s="683"/>
      <c r="C379" s="683"/>
      <c r="D379" s="683"/>
      <c r="E379" s="683"/>
      <c r="F379" s="683"/>
      <c r="G379" s="683"/>
      <c r="H379" s="683"/>
      <c r="I379" s="683"/>
      <c r="J379" s="683"/>
      <c r="K379" s="683"/>
      <c r="L379" s="683"/>
      <c r="M379" s="683"/>
      <c r="N379" s="683"/>
      <c r="O379" s="683"/>
      <c r="P379" s="683"/>
      <c r="Q379" s="683"/>
    </row>
    <row r="380" spans="1:17" ht="19.5">
      <c r="A380" s="683"/>
      <c r="B380" s="683"/>
      <c r="C380" s="683"/>
      <c r="D380" s="683"/>
      <c r="E380" s="683"/>
      <c r="F380" s="683"/>
      <c r="G380" s="683"/>
      <c r="H380" s="683"/>
      <c r="I380" s="683"/>
      <c r="J380" s="683"/>
      <c r="K380" s="683"/>
      <c r="L380" s="683"/>
      <c r="M380" s="683"/>
      <c r="N380" s="683"/>
      <c r="O380" s="683"/>
      <c r="P380" s="683"/>
      <c r="Q380" s="683"/>
    </row>
    <row r="381" spans="1:17" ht="19.5">
      <c r="A381" s="683"/>
      <c r="B381" s="683"/>
      <c r="C381" s="683"/>
      <c r="D381" s="683"/>
      <c r="E381" s="683"/>
      <c r="F381" s="683"/>
      <c r="G381" s="683"/>
      <c r="H381" s="683"/>
      <c r="I381" s="683"/>
      <c r="J381" s="683"/>
      <c r="K381" s="683"/>
      <c r="L381" s="683"/>
      <c r="M381" s="683"/>
      <c r="N381" s="683"/>
      <c r="O381" s="683"/>
      <c r="P381" s="683"/>
      <c r="Q381" s="683"/>
    </row>
    <row r="382" spans="1:17" ht="19.5">
      <c r="A382" s="683"/>
      <c r="B382" s="683"/>
      <c r="C382" s="683"/>
      <c r="D382" s="683"/>
      <c r="E382" s="683"/>
      <c r="F382" s="683"/>
      <c r="G382" s="683"/>
      <c r="H382" s="683"/>
      <c r="I382" s="683"/>
      <c r="J382" s="683"/>
      <c r="K382" s="683"/>
      <c r="L382" s="683"/>
      <c r="M382" s="683"/>
      <c r="N382" s="683"/>
      <c r="O382" s="683"/>
      <c r="P382" s="683"/>
      <c r="Q382" s="683"/>
    </row>
    <row r="383" spans="1:17" ht="19.5">
      <c r="A383" s="683"/>
      <c r="B383" s="683"/>
      <c r="C383" s="683"/>
      <c r="D383" s="683"/>
      <c r="E383" s="683"/>
      <c r="F383" s="683"/>
      <c r="G383" s="683"/>
      <c r="H383" s="683"/>
      <c r="I383" s="683"/>
      <c r="J383" s="683"/>
      <c r="K383" s="683"/>
      <c r="L383" s="683"/>
      <c r="M383" s="683"/>
      <c r="N383" s="683"/>
      <c r="O383" s="683"/>
      <c r="P383" s="683"/>
      <c r="Q383" s="683"/>
    </row>
    <row r="384" spans="1:17" ht="19.5">
      <c r="A384" s="683"/>
      <c r="B384" s="683"/>
      <c r="C384" s="683"/>
      <c r="D384" s="683"/>
      <c r="E384" s="683"/>
      <c r="F384" s="683"/>
      <c r="G384" s="683"/>
      <c r="H384" s="683"/>
      <c r="I384" s="683"/>
      <c r="J384" s="683"/>
      <c r="K384" s="683"/>
      <c r="L384" s="683"/>
      <c r="M384" s="683"/>
      <c r="N384" s="683"/>
      <c r="O384" s="683"/>
      <c r="P384" s="683"/>
      <c r="Q384" s="683"/>
    </row>
    <row r="385" spans="1:17" ht="19.5">
      <c r="A385" s="683"/>
      <c r="B385" s="683"/>
      <c r="C385" s="683"/>
      <c r="D385" s="683"/>
      <c r="E385" s="683"/>
      <c r="F385" s="683"/>
      <c r="G385" s="683"/>
      <c r="H385" s="683"/>
      <c r="I385" s="683"/>
      <c r="J385" s="683"/>
      <c r="K385" s="683"/>
      <c r="L385" s="683"/>
      <c r="M385" s="683"/>
      <c r="N385" s="683"/>
      <c r="O385" s="683"/>
      <c r="P385" s="683"/>
      <c r="Q385" s="683"/>
    </row>
    <row r="386" spans="1:17" ht="19.5">
      <c r="A386" s="683"/>
      <c r="B386" s="683"/>
      <c r="C386" s="683"/>
      <c r="D386" s="683"/>
      <c r="E386" s="683"/>
      <c r="F386" s="683"/>
      <c r="G386" s="683"/>
      <c r="H386" s="683"/>
      <c r="I386" s="683"/>
      <c r="J386" s="683"/>
      <c r="K386" s="683"/>
      <c r="L386" s="683"/>
      <c r="M386" s="683"/>
      <c r="N386" s="683"/>
      <c r="O386" s="683"/>
      <c r="P386" s="683"/>
      <c r="Q386" s="683"/>
    </row>
    <row r="387" spans="1:17" ht="19.5">
      <c r="A387" s="683"/>
      <c r="B387" s="683"/>
      <c r="C387" s="683"/>
      <c r="D387" s="683"/>
      <c r="E387" s="683"/>
      <c r="F387" s="683"/>
      <c r="G387" s="683"/>
      <c r="H387" s="683"/>
      <c r="I387" s="683"/>
      <c r="J387" s="683"/>
      <c r="K387" s="683"/>
      <c r="L387" s="683"/>
      <c r="M387" s="683"/>
      <c r="N387" s="683"/>
      <c r="O387" s="683"/>
      <c r="P387" s="683"/>
      <c r="Q387" s="683"/>
    </row>
    <row r="388" spans="1:17" ht="19.5">
      <c r="A388" s="683"/>
      <c r="B388" s="683"/>
      <c r="C388" s="683"/>
      <c r="D388" s="683"/>
      <c r="E388" s="683"/>
      <c r="F388" s="683"/>
      <c r="G388" s="683"/>
      <c r="H388" s="683"/>
      <c r="I388" s="683"/>
      <c r="J388" s="683"/>
      <c r="K388" s="683"/>
      <c r="L388" s="683"/>
      <c r="M388" s="683"/>
      <c r="N388" s="683"/>
      <c r="O388" s="683"/>
      <c r="P388" s="683"/>
      <c r="Q388" s="683"/>
    </row>
    <row r="389" spans="1:17" ht="19.5">
      <c r="A389" s="683"/>
      <c r="B389" s="683"/>
      <c r="C389" s="683"/>
      <c r="D389" s="683"/>
      <c r="E389" s="683"/>
      <c r="F389" s="683"/>
      <c r="G389" s="683"/>
      <c r="H389" s="683"/>
      <c r="I389" s="683"/>
      <c r="J389" s="683"/>
      <c r="K389" s="683"/>
      <c r="L389" s="683"/>
      <c r="M389" s="683"/>
      <c r="N389" s="683"/>
      <c r="O389" s="683"/>
      <c r="P389" s="683"/>
      <c r="Q389" s="683"/>
    </row>
    <row r="390" spans="1:17" ht="19.5">
      <c r="A390" s="683"/>
      <c r="B390" s="683"/>
      <c r="C390" s="683"/>
      <c r="D390" s="683"/>
      <c r="E390" s="683"/>
      <c r="F390" s="683"/>
      <c r="G390" s="683"/>
      <c r="H390" s="683"/>
      <c r="I390" s="683"/>
      <c r="J390" s="683"/>
      <c r="K390" s="683"/>
      <c r="L390" s="683"/>
      <c r="M390" s="683"/>
      <c r="N390" s="683"/>
      <c r="O390" s="683"/>
      <c r="P390" s="683"/>
      <c r="Q390" s="683"/>
    </row>
    <row r="391" spans="1:17" ht="19.5">
      <c r="A391" s="683"/>
      <c r="B391" s="683"/>
      <c r="C391" s="683"/>
      <c r="D391" s="683"/>
      <c r="E391" s="683"/>
      <c r="F391" s="683"/>
      <c r="G391" s="683"/>
      <c r="H391" s="683"/>
      <c r="I391" s="683"/>
      <c r="J391" s="683"/>
      <c r="K391" s="683"/>
      <c r="L391" s="683"/>
      <c r="M391" s="683"/>
      <c r="N391" s="683"/>
      <c r="O391" s="683"/>
      <c r="P391" s="683"/>
      <c r="Q391" s="683"/>
    </row>
    <row r="392" spans="1:17" ht="19.5">
      <c r="A392" s="683"/>
      <c r="B392" s="683"/>
      <c r="C392" s="683"/>
      <c r="D392" s="683"/>
      <c r="E392" s="683"/>
      <c r="F392" s="683"/>
      <c r="G392" s="683"/>
      <c r="H392" s="683"/>
      <c r="I392" s="683"/>
      <c r="J392" s="683"/>
      <c r="K392" s="683"/>
      <c r="L392" s="683"/>
      <c r="M392" s="683"/>
      <c r="N392" s="683"/>
      <c r="O392" s="683"/>
      <c r="P392" s="683"/>
      <c r="Q392" s="683"/>
    </row>
    <row r="393" spans="1:17" ht="19.5">
      <c r="A393" s="683"/>
      <c r="B393" s="683"/>
      <c r="C393" s="683"/>
      <c r="D393" s="683"/>
      <c r="E393" s="683"/>
      <c r="F393" s="683"/>
      <c r="G393" s="683"/>
      <c r="H393" s="683"/>
      <c r="I393" s="683"/>
      <c r="J393" s="683"/>
      <c r="K393" s="683"/>
      <c r="L393" s="683"/>
      <c r="M393" s="683"/>
      <c r="N393" s="683"/>
      <c r="O393" s="683"/>
      <c r="P393" s="683"/>
      <c r="Q393" s="683"/>
    </row>
    <row r="394" spans="1:17" ht="19.5">
      <c r="A394" s="683"/>
      <c r="B394" s="683"/>
      <c r="C394" s="683"/>
      <c r="D394" s="683"/>
      <c r="E394" s="683"/>
      <c r="F394" s="683"/>
      <c r="G394" s="683"/>
      <c r="H394" s="683"/>
      <c r="I394" s="683"/>
      <c r="J394" s="683"/>
      <c r="K394" s="683"/>
      <c r="L394" s="683"/>
      <c r="M394" s="683"/>
      <c r="N394" s="683"/>
      <c r="O394" s="683"/>
      <c r="P394" s="683"/>
      <c r="Q394" s="683"/>
    </row>
    <row r="395" spans="1:17" ht="19.5">
      <c r="A395" s="683"/>
      <c r="B395" s="683"/>
      <c r="C395" s="683"/>
      <c r="D395" s="683"/>
      <c r="E395" s="683"/>
      <c r="F395" s="683"/>
      <c r="G395" s="683"/>
      <c r="H395" s="683"/>
      <c r="I395" s="683"/>
      <c r="J395" s="683"/>
      <c r="K395" s="683"/>
      <c r="L395" s="683"/>
      <c r="M395" s="683"/>
      <c r="N395" s="683"/>
      <c r="O395" s="683"/>
      <c r="P395" s="683"/>
      <c r="Q395" s="683"/>
    </row>
    <row r="396" spans="1:17" ht="19.5">
      <c r="A396" s="683"/>
      <c r="B396" s="683"/>
      <c r="C396" s="683"/>
      <c r="D396" s="683"/>
      <c r="E396" s="683"/>
      <c r="F396" s="683"/>
      <c r="G396" s="683"/>
      <c r="H396" s="683"/>
      <c r="I396" s="683"/>
      <c r="J396" s="683"/>
      <c r="K396" s="683"/>
      <c r="L396" s="683"/>
      <c r="M396" s="683"/>
      <c r="N396" s="683"/>
      <c r="O396" s="683"/>
      <c r="P396" s="683"/>
      <c r="Q396" s="683"/>
    </row>
    <row r="397" spans="1:17" ht="19.5">
      <c r="A397" s="683"/>
      <c r="B397" s="683"/>
      <c r="C397" s="683"/>
      <c r="D397" s="683"/>
      <c r="E397" s="683"/>
      <c r="F397" s="683"/>
      <c r="G397" s="683"/>
      <c r="H397" s="683"/>
      <c r="I397" s="683"/>
      <c r="J397" s="683"/>
      <c r="K397" s="683"/>
      <c r="L397" s="683"/>
      <c r="M397" s="683"/>
      <c r="N397" s="683"/>
      <c r="O397" s="683"/>
      <c r="P397" s="683"/>
      <c r="Q397" s="683"/>
    </row>
    <row r="398" spans="1:17" ht="19.5">
      <c r="A398" s="683"/>
      <c r="B398" s="683"/>
      <c r="C398" s="683"/>
      <c r="D398" s="683"/>
      <c r="E398" s="683"/>
      <c r="F398" s="683"/>
      <c r="G398" s="683"/>
      <c r="H398" s="683"/>
      <c r="I398" s="683"/>
      <c r="J398" s="683"/>
      <c r="K398" s="683"/>
      <c r="L398" s="683"/>
      <c r="M398" s="683"/>
      <c r="N398" s="683"/>
      <c r="O398" s="683"/>
      <c r="P398" s="683"/>
      <c r="Q398" s="683"/>
    </row>
    <row r="399" spans="1:17" ht="19.5">
      <c r="A399" s="683"/>
      <c r="B399" s="683"/>
      <c r="C399" s="683"/>
      <c r="D399" s="683"/>
      <c r="E399" s="683"/>
      <c r="F399" s="683"/>
      <c r="G399" s="683"/>
      <c r="H399" s="683"/>
      <c r="I399" s="683"/>
      <c r="J399" s="683"/>
      <c r="K399" s="683"/>
      <c r="L399" s="683"/>
      <c r="M399" s="683"/>
      <c r="N399" s="683"/>
      <c r="O399" s="683"/>
      <c r="P399" s="683"/>
      <c r="Q399" s="683"/>
    </row>
    <row r="400" spans="1:17" ht="19.5">
      <c r="A400" s="683"/>
      <c r="B400" s="683"/>
      <c r="C400" s="683"/>
      <c r="D400" s="683"/>
      <c r="E400" s="683"/>
      <c r="F400" s="683"/>
      <c r="G400" s="683"/>
      <c r="H400" s="683"/>
      <c r="I400" s="683"/>
      <c r="J400" s="683"/>
      <c r="K400" s="683"/>
      <c r="L400" s="683"/>
      <c r="M400" s="683"/>
      <c r="N400" s="683"/>
      <c r="O400" s="683"/>
      <c r="P400" s="683"/>
      <c r="Q400" s="683"/>
    </row>
    <row r="401" spans="1:17" ht="19.5">
      <c r="A401" s="683"/>
      <c r="B401" s="683"/>
      <c r="C401" s="683"/>
      <c r="D401" s="683"/>
      <c r="E401" s="683"/>
      <c r="F401" s="683"/>
      <c r="G401" s="683"/>
      <c r="H401" s="683"/>
      <c r="I401" s="683"/>
      <c r="J401" s="683"/>
      <c r="K401" s="683"/>
      <c r="L401" s="683"/>
      <c r="M401" s="683"/>
      <c r="N401" s="683"/>
      <c r="O401" s="683"/>
      <c r="P401" s="683"/>
      <c r="Q401" s="683"/>
    </row>
    <row r="402" spans="1:17" ht="19.5">
      <c r="A402" s="683"/>
      <c r="B402" s="683"/>
      <c r="C402" s="683"/>
      <c r="D402" s="683"/>
      <c r="E402" s="683"/>
      <c r="F402" s="683"/>
      <c r="G402" s="683"/>
      <c r="H402" s="683"/>
      <c r="I402" s="683"/>
      <c r="J402" s="683"/>
      <c r="K402" s="683"/>
      <c r="L402" s="683"/>
      <c r="M402" s="683"/>
      <c r="N402" s="683"/>
      <c r="O402" s="683"/>
      <c r="P402" s="683"/>
      <c r="Q402" s="683"/>
    </row>
    <row r="403" spans="1:17" ht="19.5">
      <c r="A403" s="683"/>
      <c r="B403" s="683"/>
      <c r="C403" s="683"/>
      <c r="D403" s="683"/>
      <c r="E403" s="683"/>
      <c r="F403" s="683"/>
      <c r="G403" s="683"/>
      <c r="H403" s="683"/>
      <c r="I403" s="683"/>
      <c r="J403" s="683"/>
      <c r="K403" s="683"/>
      <c r="L403" s="683"/>
      <c r="M403" s="683"/>
      <c r="N403" s="683"/>
      <c r="O403" s="683"/>
      <c r="P403" s="683"/>
      <c r="Q403" s="683"/>
    </row>
    <row r="404" spans="1:17" ht="19.5">
      <c r="A404" s="683"/>
      <c r="B404" s="683"/>
      <c r="C404" s="683"/>
      <c r="D404" s="683"/>
      <c r="E404" s="683"/>
      <c r="F404" s="683"/>
      <c r="G404" s="683"/>
      <c r="H404" s="683"/>
      <c r="I404" s="683"/>
      <c r="J404" s="683"/>
      <c r="K404" s="683"/>
      <c r="L404" s="683"/>
      <c r="M404" s="683"/>
      <c r="N404" s="683"/>
      <c r="O404" s="683"/>
      <c r="P404" s="683"/>
      <c r="Q404" s="683"/>
    </row>
    <row r="405" spans="1:17" ht="19.5">
      <c r="A405" s="683"/>
      <c r="B405" s="683"/>
      <c r="C405" s="683"/>
      <c r="D405" s="683"/>
      <c r="E405" s="683"/>
      <c r="F405" s="683"/>
      <c r="G405" s="683"/>
      <c r="H405" s="683"/>
      <c r="I405" s="683"/>
      <c r="J405" s="683"/>
      <c r="K405" s="683"/>
      <c r="L405" s="683"/>
      <c r="M405" s="683"/>
      <c r="N405" s="683"/>
      <c r="O405" s="683"/>
      <c r="P405" s="683"/>
      <c r="Q405" s="683"/>
    </row>
    <row r="406" spans="1:17" ht="19.5">
      <c r="A406" s="683"/>
      <c r="B406" s="683"/>
      <c r="C406" s="683"/>
      <c r="D406" s="683"/>
      <c r="E406" s="683"/>
      <c r="F406" s="683"/>
      <c r="G406" s="683"/>
      <c r="H406" s="683"/>
      <c r="I406" s="683"/>
      <c r="J406" s="683"/>
      <c r="K406" s="683"/>
      <c r="L406" s="683"/>
      <c r="M406" s="683"/>
      <c r="N406" s="683"/>
      <c r="O406" s="683"/>
      <c r="P406" s="683"/>
      <c r="Q406" s="683"/>
    </row>
    <row r="407" spans="1:17" ht="19.5">
      <c r="A407" s="683"/>
      <c r="B407" s="683"/>
      <c r="C407" s="683"/>
      <c r="D407" s="683"/>
      <c r="E407" s="683"/>
      <c r="F407" s="683"/>
      <c r="G407" s="683"/>
      <c r="H407" s="683"/>
      <c r="I407" s="683"/>
      <c r="J407" s="683"/>
      <c r="K407" s="683"/>
      <c r="L407" s="683"/>
      <c r="M407" s="683"/>
      <c r="N407" s="683"/>
      <c r="O407" s="683"/>
      <c r="P407" s="683"/>
      <c r="Q407" s="683"/>
    </row>
    <row r="408" spans="1:17" ht="19.5">
      <c r="A408" s="683"/>
      <c r="B408" s="683"/>
      <c r="C408" s="683"/>
      <c r="D408" s="683"/>
      <c r="E408" s="683"/>
      <c r="F408" s="683"/>
      <c r="G408" s="683"/>
      <c r="H408" s="683"/>
      <c r="I408" s="683"/>
      <c r="J408" s="683"/>
      <c r="K408" s="683"/>
      <c r="L408" s="683"/>
      <c r="M408" s="683"/>
      <c r="N408" s="683"/>
      <c r="O408" s="683"/>
      <c r="P408" s="683"/>
      <c r="Q408" s="683"/>
    </row>
    <row r="409" spans="1:17" ht="19.5">
      <c r="A409" s="683"/>
      <c r="B409" s="683"/>
      <c r="C409" s="683"/>
      <c r="D409" s="683"/>
      <c r="E409" s="683"/>
      <c r="F409" s="683"/>
      <c r="G409" s="683"/>
      <c r="H409" s="683"/>
      <c r="I409" s="683"/>
      <c r="J409" s="683"/>
      <c r="K409" s="683"/>
      <c r="L409" s="683"/>
      <c r="M409" s="683"/>
      <c r="N409" s="683"/>
      <c r="O409" s="683"/>
      <c r="P409" s="683"/>
      <c r="Q409" s="683"/>
    </row>
    <row r="410" spans="1:17" ht="19.5">
      <c r="A410" s="683"/>
      <c r="B410" s="683"/>
      <c r="C410" s="683"/>
      <c r="D410" s="683"/>
      <c r="E410" s="683"/>
      <c r="F410" s="683"/>
      <c r="G410" s="683"/>
      <c r="H410" s="683"/>
      <c r="I410" s="683"/>
      <c r="J410" s="683"/>
      <c r="K410" s="683"/>
      <c r="L410" s="683"/>
      <c r="M410" s="683"/>
      <c r="N410" s="683"/>
      <c r="O410" s="683"/>
      <c r="P410" s="683"/>
      <c r="Q410" s="683"/>
    </row>
    <row r="411" spans="1:17" ht="19.5">
      <c r="A411" s="683"/>
      <c r="B411" s="683"/>
      <c r="C411" s="683"/>
      <c r="D411" s="683"/>
      <c r="E411" s="683"/>
      <c r="F411" s="683"/>
      <c r="G411" s="683"/>
      <c r="H411" s="683"/>
      <c r="I411" s="683"/>
      <c r="J411" s="683"/>
      <c r="K411" s="683"/>
      <c r="L411" s="683"/>
      <c r="M411" s="683"/>
      <c r="N411" s="683"/>
      <c r="O411" s="683"/>
      <c r="P411" s="683"/>
      <c r="Q411" s="683"/>
    </row>
    <row r="412" spans="1:17" ht="19.5">
      <c r="A412" s="683"/>
      <c r="B412" s="683"/>
      <c r="C412" s="683"/>
      <c r="D412" s="683"/>
      <c r="E412" s="683"/>
      <c r="F412" s="683"/>
      <c r="G412" s="683"/>
      <c r="H412" s="683"/>
      <c r="I412" s="683"/>
      <c r="J412" s="683"/>
      <c r="K412" s="683"/>
      <c r="L412" s="683"/>
      <c r="M412" s="683"/>
      <c r="N412" s="683"/>
      <c r="O412" s="683"/>
      <c r="P412" s="683"/>
      <c r="Q412" s="683"/>
    </row>
    <row r="413" spans="1:17" ht="19.5">
      <c r="A413" s="683"/>
      <c r="B413" s="683"/>
      <c r="C413" s="683"/>
      <c r="D413" s="683"/>
      <c r="E413" s="683"/>
      <c r="F413" s="683"/>
      <c r="G413" s="683"/>
      <c r="H413" s="683"/>
      <c r="I413" s="683"/>
      <c r="J413" s="683"/>
      <c r="K413" s="683"/>
      <c r="L413" s="683"/>
      <c r="M413" s="683"/>
      <c r="N413" s="683"/>
      <c r="O413" s="683"/>
      <c r="P413" s="683"/>
      <c r="Q413" s="683"/>
    </row>
    <row r="414" spans="1:17" ht="19.5">
      <c r="A414" s="683"/>
      <c r="B414" s="683"/>
      <c r="C414" s="683"/>
      <c r="D414" s="683"/>
      <c r="E414" s="683"/>
      <c r="F414" s="683"/>
      <c r="G414" s="683"/>
      <c r="H414" s="683"/>
      <c r="I414" s="683"/>
      <c r="J414" s="683"/>
      <c r="K414" s="683"/>
      <c r="L414" s="683"/>
      <c r="M414" s="683"/>
      <c r="N414" s="683"/>
      <c r="O414" s="683"/>
      <c r="P414" s="683"/>
      <c r="Q414" s="683"/>
    </row>
    <row r="415" spans="1:17" ht="19.5">
      <c r="A415" s="683"/>
      <c r="B415" s="683"/>
      <c r="C415" s="683"/>
      <c r="D415" s="683"/>
      <c r="E415" s="683"/>
      <c r="F415" s="683"/>
      <c r="G415" s="683"/>
      <c r="H415" s="683"/>
      <c r="I415" s="683"/>
      <c r="J415" s="683"/>
      <c r="K415" s="683"/>
      <c r="L415" s="683"/>
      <c r="M415" s="683"/>
      <c r="N415" s="683"/>
      <c r="O415" s="683"/>
      <c r="P415" s="683"/>
      <c r="Q415" s="683"/>
    </row>
    <row r="416" spans="1:17" ht="19.5">
      <c r="A416" s="683"/>
      <c r="B416" s="683"/>
      <c r="C416" s="683"/>
      <c r="D416" s="683"/>
      <c r="E416" s="683"/>
      <c r="F416" s="683"/>
      <c r="G416" s="683"/>
      <c r="H416" s="683"/>
      <c r="I416" s="683"/>
      <c r="J416" s="683"/>
      <c r="K416" s="683"/>
      <c r="L416" s="683"/>
      <c r="M416" s="683"/>
      <c r="N416" s="683"/>
      <c r="O416" s="683"/>
      <c r="P416" s="683"/>
      <c r="Q416" s="683"/>
    </row>
    <row r="417" spans="1:17" ht="19.5">
      <c r="A417" s="683"/>
      <c r="B417" s="683"/>
      <c r="C417" s="683"/>
      <c r="D417" s="683"/>
      <c r="E417" s="683"/>
      <c r="F417" s="683"/>
      <c r="G417" s="683"/>
      <c r="H417" s="683"/>
      <c r="I417" s="683"/>
      <c r="J417" s="683"/>
      <c r="K417" s="683"/>
      <c r="L417" s="683"/>
      <c r="M417" s="683"/>
      <c r="N417" s="683"/>
      <c r="O417" s="683"/>
      <c r="P417" s="683"/>
      <c r="Q417" s="683"/>
    </row>
    <row r="418" spans="1:17" ht="19.5">
      <c r="A418" s="683"/>
      <c r="B418" s="683"/>
      <c r="C418" s="683"/>
      <c r="D418" s="683"/>
      <c r="E418" s="683"/>
      <c r="F418" s="683"/>
      <c r="G418" s="683"/>
      <c r="H418" s="683"/>
      <c r="I418" s="683"/>
      <c r="J418" s="683"/>
      <c r="K418" s="683"/>
      <c r="L418" s="683"/>
      <c r="M418" s="683"/>
      <c r="N418" s="683"/>
      <c r="O418" s="683"/>
      <c r="P418" s="683"/>
      <c r="Q418" s="683"/>
    </row>
    <row r="419" spans="1:17" ht="19.5">
      <c r="A419" s="683"/>
      <c r="B419" s="683"/>
      <c r="C419" s="683"/>
      <c r="D419" s="683"/>
      <c r="E419" s="683"/>
      <c r="F419" s="683"/>
      <c r="G419" s="683"/>
      <c r="H419" s="683"/>
      <c r="I419" s="683"/>
      <c r="J419" s="683"/>
      <c r="K419" s="683"/>
      <c r="L419" s="683"/>
      <c r="M419" s="683"/>
      <c r="N419" s="683"/>
      <c r="O419" s="683"/>
      <c r="P419" s="683"/>
      <c r="Q419" s="683"/>
    </row>
    <row r="420" spans="1:17" ht="19.5">
      <c r="A420" s="683"/>
      <c r="B420" s="683"/>
      <c r="C420" s="683"/>
      <c r="D420" s="683"/>
      <c r="E420" s="683"/>
      <c r="F420" s="683"/>
      <c r="G420" s="683"/>
      <c r="H420" s="683"/>
      <c r="I420" s="683"/>
      <c r="J420" s="683"/>
      <c r="K420" s="683"/>
      <c r="L420" s="683"/>
      <c r="M420" s="683"/>
      <c r="N420" s="683"/>
      <c r="O420" s="683"/>
      <c r="P420" s="683"/>
      <c r="Q420" s="683"/>
    </row>
    <row r="421" spans="1:17" ht="19.5">
      <c r="A421" s="683"/>
      <c r="B421" s="683"/>
      <c r="C421" s="683"/>
      <c r="D421" s="683"/>
      <c r="E421" s="683"/>
      <c r="F421" s="683"/>
      <c r="G421" s="683"/>
      <c r="H421" s="683"/>
      <c r="I421" s="683"/>
      <c r="J421" s="683"/>
      <c r="K421" s="683"/>
      <c r="L421" s="683"/>
      <c r="M421" s="683"/>
      <c r="N421" s="683"/>
      <c r="O421" s="683"/>
      <c r="P421" s="683"/>
      <c r="Q421" s="683"/>
    </row>
    <row r="422" spans="1:17" ht="19.5">
      <c r="A422" s="683"/>
      <c r="B422" s="683"/>
      <c r="C422" s="683"/>
      <c r="D422" s="683"/>
      <c r="E422" s="683"/>
      <c r="F422" s="683"/>
      <c r="G422" s="683"/>
      <c r="H422" s="683"/>
      <c r="I422" s="683"/>
      <c r="J422" s="683"/>
      <c r="K422" s="683"/>
      <c r="L422" s="683"/>
      <c r="M422" s="683"/>
      <c r="N422" s="683"/>
      <c r="O422" s="683"/>
      <c r="P422" s="683"/>
      <c r="Q422" s="683"/>
    </row>
    <row r="423" spans="1:17" ht="19.5">
      <c r="A423" s="683"/>
      <c r="B423" s="683"/>
      <c r="C423" s="683"/>
      <c r="D423" s="683"/>
      <c r="E423" s="683"/>
      <c r="F423" s="683"/>
      <c r="G423" s="683"/>
      <c r="H423" s="683"/>
      <c r="I423" s="683"/>
      <c r="J423" s="683"/>
      <c r="K423" s="683"/>
      <c r="L423" s="683"/>
      <c r="M423" s="683"/>
      <c r="N423" s="683"/>
      <c r="O423" s="683"/>
      <c r="P423" s="683"/>
      <c r="Q423" s="683"/>
    </row>
    <row r="424" spans="1:17" ht="19.5">
      <c r="A424" s="683"/>
      <c r="B424" s="683"/>
      <c r="C424" s="683"/>
      <c r="D424" s="683"/>
      <c r="E424" s="683"/>
      <c r="F424" s="683"/>
      <c r="G424" s="683"/>
      <c r="H424" s="683"/>
      <c r="I424" s="683"/>
      <c r="J424" s="683"/>
      <c r="K424" s="683"/>
      <c r="L424" s="683"/>
      <c r="M424" s="683"/>
      <c r="N424" s="683"/>
      <c r="O424" s="683"/>
      <c r="P424" s="683"/>
      <c r="Q424" s="683"/>
    </row>
    <row r="425" spans="1:17" ht="19.5">
      <c r="A425" s="683"/>
      <c r="B425" s="683"/>
      <c r="C425" s="683"/>
      <c r="D425" s="683"/>
      <c r="E425" s="683"/>
      <c r="F425" s="683"/>
      <c r="G425" s="683"/>
      <c r="H425" s="683"/>
      <c r="I425" s="683"/>
      <c r="J425" s="683"/>
      <c r="K425" s="683"/>
      <c r="L425" s="683"/>
      <c r="M425" s="683"/>
      <c r="N425" s="683"/>
      <c r="O425" s="683"/>
      <c r="P425" s="683"/>
      <c r="Q425" s="683"/>
    </row>
    <row r="426" spans="1:17" ht="19.5">
      <c r="A426" s="683"/>
      <c r="B426" s="683"/>
      <c r="C426" s="683"/>
      <c r="D426" s="683"/>
      <c r="E426" s="683"/>
      <c r="F426" s="683"/>
      <c r="G426" s="683"/>
      <c r="H426" s="683"/>
      <c r="I426" s="683"/>
      <c r="J426" s="683"/>
      <c r="K426" s="683"/>
      <c r="L426" s="683"/>
      <c r="M426" s="683"/>
      <c r="N426" s="683"/>
      <c r="O426" s="683"/>
      <c r="P426" s="683"/>
      <c r="Q426" s="683"/>
    </row>
    <row r="427" spans="1:17" ht="19.5">
      <c r="A427" s="683"/>
      <c r="B427" s="683"/>
      <c r="C427" s="683"/>
      <c r="D427" s="683"/>
      <c r="E427" s="683"/>
      <c r="F427" s="683"/>
      <c r="G427" s="683"/>
      <c r="H427" s="683"/>
      <c r="I427" s="683"/>
      <c r="J427" s="683"/>
      <c r="K427" s="683"/>
      <c r="L427" s="683"/>
      <c r="M427" s="683"/>
      <c r="N427" s="683"/>
      <c r="O427" s="683"/>
      <c r="P427" s="683"/>
      <c r="Q427" s="683"/>
    </row>
    <row r="428" spans="1:17" ht="19.5">
      <c r="A428" s="683"/>
      <c r="B428" s="683"/>
      <c r="C428" s="683"/>
      <c r="D428" s="683"/>
      <c r="E428" s="683"/>
      <c r="F428" s="683"/>
      <c r="G428" s="683"/>
      <c r="H428" s="683"/>
      <c r="I428" s="683"/>
      <c r="J428" s="683"/>
      <c r="K428" s="683"/>
      <c r="L428" s="683"/>
      <c r="M428" s="683"/>
      <c r="N428" s="683"/>
      <c r="O428" s="683"/>
      <c r="P428" s="683"/>
      <c r="Q428" s="683"/>
    </row>
    <row r="429" spans="1:17" ht="19.5">
      <c r="A429" s="683"/>
      <c r="B429" s="683"/>
      <c r="C429" s="683"/>
      <c r="D429" s="683"/>
      <c r="E429" s="683"/>
      <c r="F429" s="683"/>
      <c r="G429" s="683"/>
      <c r="H429" s="683"/>
      <c r="I429" s="683"/>
      <c r="J429" s="683"/>
      <c r="K429" s="683"/>
      <c r="L429" s="683"/>
      <c r="M429" s="683"/>
      <c r="N429" s="683"/>
      <c r="O429" s="683"/>
      <c r="P429" s="683"/>
      <c r="Q429" s="683"/>
    </row>
    <row r="430" spans="1:17" ht="19.5">
      <c r="A430" s="683"/>
      <c r="B430" s="683"/>
      <c r="C430" s="683"/>
      <c r="D430" s="683"/>
      <c r="E430" s="683"/>
      <c r="F430" s="683"/>
      <c r="G430" s="683"/>
      <c r="H430" s="683"/>
      <c r="I430" s="683"/>
      <c r="J430" s="683"/>
      <c r="K430" s="683"/>
      <c r="L430" s="683"/>
      <c r="M430" s="683"/>
      <c r="N430" s="683"/>
      <c r="O430" s="683"/>
      <c r="P430" s="683"/>
      <c r="Q430" s="683"/>
    </row>
    <row r="431" spans="1:17" ht="19.5">
      <c r="A431" s="683"/>
      <c r="B431" s="683"/>
      <c r="C431" s="683"/>
      <c r="D431" s="683"/>
      <c r="E431" s="683"/>
      <c r="F431" s="683"/>
      <c r="G431" s="683"/>
      <c r="H431" s="683"/>
      <c r="I431" s="683"/>
      <c r="J431" s="683"/>
      <c r="K431" s="683"/>
      <c r="L431" s="683"/>
      <c r="M431" s="683"/>
      <c r="N431" s="683"/>
      <c r="O431" s="683"/>
      <c r="P431" s="683"/>
      <c r="Q431" s="683"/>
    </row>
    <row r="432" spans="1:17" ht="19.5">
      <c r="A432" s="683"/>
      <c r="B432" s="683"/>
      <c r="C432" s="683"/>
      <c r="D432" s="683"/>
      <c r="E432" s="683"/>
      <c r="F432" s="683"/>
      <c r="G432" s="683"/>
      <c r="H432" s="683"/>
      <c r="I432" s="683"/>
      <c r="J432" s="683"/>
      <c r="K432" s="683"/>
      <c r="L432" s="683"/>
      <c r="M432" s="683"/>
      <c r="N432" s="683"/>
      <c r="O432" s="683"/>
      <c r="P432" s="683"/>
      <c r="Q432" s="683"/>
    </row>
    <row r="433" spans="1:17" ht="19.5">
      <c r="A433" s="683"/>
      <c r="B433" s="683"/>
      <c r="C433" s="683"/>
      <c r="D433" s="683"/>
      <c r="E433" s="683"/>
      <c r="F433" s="683"/>
      <c r="G433" s="683"/>
      <c r="H433" s="683"/>
      <c r="I433" s="683"/>
      <c r="J433" s="683"/>
      <c r="K433" s="683"/>
      <c r="L433" s="683"/>
      <c r="M433" s="683"/>
      <c r="N433" s="683"/>
      <c r="O433" s="683"/>
      <c r="P433" s="683"/>
      <c r="Q433" s="683"/>
    </row>
    <row r="434" spans="1:17" ht="19.5">
      <c r="A434" s="683"/>
      <c r="B434" s="683"/>
      <c r="C434" s="683"/>
      <c r="D434" s="683"/>
      <c r="E434" s="683"/>
      <c r="F434" s="683"/>
      <c r="G434" s="683"/>
      <c r="H434" s="683"/>
      <c r="I434" s="683"/>
      <c r="J434" s="683"/>
      <c r="K434" s="683"/>
      <c r="L434" s="683"/>
      <c r="M434" s="683"/>
      <c r="N434" s="683"/>
      <c r="O434" s="683"/>
      <c r="P434" s="683"/>
      <c r="Q434" s="683"/>
    </row>
    <row r="435" spans="1:17" ht="19.5">
      <c r="A435" s="683"/>
      <c r="B435" s="683"/>
      <c r="C435" s="683"/>
      <c r="D435" s="683"/>
      <c r="E435" s="683"/>
      <c r="F435" s="683"/>
      <c r="G435" s="683"/>
      <c r="H435" s="683"/>
      <c r="I435" s="683"/>
      <c r="J435" s="683"/>
      <c r="K435" s="683"/>
      <c r="L435" s="683"/>
      <c r="M435" s="683"/>
      <c r="N435" s="683"/>
      <c r="O435" s="683"/>
      <c r="P435" s="683"/>
      <c r="Q435" s="683"/>
    </row>
    <row r="436" spans="1:17" ht="19.5">
      <c r="A436" s="683"/>
      <c r="B436" s="683"/>
      <c r="C436" s="683"/>
      <c r="D436" s="683"/>
      <c r="E436" s="683"/>
      <c r="F436" s="683"/>
      <c r="G436" s="683"/>
      <c r="H436" s="683"/>
      <c r="I436" s="683"/>
      <c r="J436" s="683"/>
      <c r="K436" s="683"/>
      <c r="L436" s="683"/>
      <c r="M436" s="683"/>
      <c r="N436" s="683"/>
      <c r="O436" s="683"/>
      <c r="P436" s="683"/>
      <c r="Q436" s="683"/>
    </row>
    <row r="437" spans="1:17" ht="19.5">
      <c r="A437" s="683"/>
      <c r="B437" s="683"/>
      <c r="C437" s="683"/>
      <c r="D437" s="683"/>
      <c r="E437" s="683"/>
      <c r="F437" s="683"/>
      <c r="G437" s="683"/>
      <c r="H437" s="683"/>
      <c r="I437" s="683"/>
      <c r="J437" s="683"/>
      <c r="K437" s="683"/>
      <c r="L437" s="683"/>
      <c r="M437" s="683"/>
      <c r="N437" s="683"/>
      <c r="O437" s="683"/>
      <c r="P437" s="683"/>
      <c r="Q437" s="683"/>
    </row>
    <row r="438" spans="1:17" ht="19.5">
      <c r="A438" s="683"/>
      <c r="B438" s="683"/>
      <c r="C438" s="683"/>
      <c r="D438" s="683"/>
      <c r="E438" s="683"/>
      <c r="F438" s="683"/>
      <c r="G438" s="683"/>
      <c r="H438" s="683"/>
      <c r="I438" s="683"/>
      <c r="J438" s="683"/>
      <c r="K438" s="683"/>
      <c r="L438" s="683"/>
      <c r="M438" s="683"/>
      <c r="N438" s="683"/>
      <c r="O438" s="683"/>
      <c r="P438" s="683"/>
      <c r="Q438" s="683"/>
    </row>
    <row r="439" spans="1:17" ht="19.5">
      <c r="A439" s="683"/>
      <c r="B439" s="683"/>
      <c r="C439" s="683"/>
      <c r="D439" s="683"/>
      <c r="E439" s="683"/>
      <c r="F439" s="683"/>
      <c r="G439" s="683"/>
      <c r="H439" s="683"/>
      <c r="I439" s="683"/>
      <c r="J439" s="683"/>
      <c r="K439" s="683"/>
      <c r="L439" s="683"/>
      <c r="M439" s="683"/>
      <c r="N439" s="683"/>
      <c r="O439" s="683"/>
      <c r="P439" s="683"/>
      <c r="Q439" s="683"/>
    </row>
    <row r="440" spans="1:17" ht="19.5">
      <c r="A440" s="683"/>
      <c r="B440" s="683"/>
      <c r="C440" s="683"/>
      <c r="D440" s="683"/>
      <c r="E440" s="683"/>
      <c r="F440" s="683"/>
      <c r="G440" s="683"/>
      <c r="H440" s="683"/>
      <c r="I440" s="683"/>
      <c r="J440" s="683"/>
      <c r="K440" s="683"/>
      <c r="L440" s="683"/>
      <c r="M440" s="683"/>
      <c r="N440" s="683"/>
      <c r="O440" s="683"/>
      <c r="P440" s="683"/>
      <c r="Q440" s="683"/>
    </row>
    <row r="441" spans="1:17" ht="19.5">
      <c r="A441" s="683"/>
      <c r="B441" s="683"/>
      <c r="C441" s="683"/>
      <c r="D441" s="683"/>
      <c r="E441" s="683"/>
      <c r="F441" s="683"/>
      <c r="G441" s="683"/>
      <c r="H441" s="683"/>
      <c r="I441" s="683"/>
      <c r="J441" s="683"/>
      <c r="K441" s="683"/>
      <c r="L441" s="683"/>
      <c r="M441" s="683"/>
      <c r="N441" s="683"/>
      <c r="O441" s="683"/>
      <c r="P441" s="683"/>
      <c r="Q441" s="683"/>
    </row>
    <row r="442" spans="1:17" ht="19.5">
      <c r="A442" s="683"/>
      <c r="B442" s="683"/>
      <c r="C442" s="683"/>
      <c r="D442" s="683"/>
      <c r="E442" s="683"/>
      <c r="F442" s="683"/>
      <c r="G442" s="683"/>
      <c r="H442" s="683"/>
      <c r="I442" s="683"/>
      <c r="J442" s="683"/>
      <c r="K442" s="683"/>
      <c r="L442" s="683"/>
      <c r="M442" s="683"/>
      <c r="N442" s="683"/>
      <c r="O442" s="683"/>
      <c r="P442" s="683"/>
      <c r="Q442" s="683"/>
    </row>
    <row r="443" spans="1:17" ht="19.5">
      <c r="A443" s="683"/>
      <c r="B443" s="683"/>
      <c r="C443" s="683"/>
      <c r="D443" s="683"/>
      <c r="E443" s="683"/>
      <c r="F443" s="683"/>
      <c r="G443" s="683"/>
      <c r="H443" s="683"/>
      <c r="I443" s="683"/>
      <c r="J443" s="683"/>
      <c r="K443" s="683"/>
      <c r="L443" s="683"/>
      <c r="M443" s="683"/>
      <c r="N443" s="683"/>
      <c r="O443" s="683"/>
      <c r="P443" s="683"/>
      <c r="Q443" s="683"/>
    </row>
    <row r="444" spans="1:17" ht="19.5">
      <c r="A444" s="683"/>
      <c r="B444" s="683"/>
      <c r="C444" s="683"/>
      <c r="D444" s="683"/>
      <c r="E444" s="683"/>
      <c r="F444" s="683"/>
      <c r="G444" s="683"/>
      <c r="H444" s="683"/>
      <c r="I444" s="683"/>
      <c r="J444" s="683"/>
      <c r="K444" s="683"/>
      <c r="L444" s="683"/>
      <c r="M444" s="683"/>
      <c r="N444" s="683"/>
      <c r="O444" s="683"/>
      <c r="P444" s="683"/>
      <c r="Q444" s="683"/>
    </row>
    <row r="445" spans="1:17" ht="19.5">
      <c r="A445" s="683"/>
      <c r="B445" s="683"/>
      <c r="C445" s="683"/>
      <c r="D445" s="683"/>
      <c r="E445" s="683"/>
      <c r="F445" s="683"/>
      <c r="G445" s="683"/>
      <c r="H445" s="683"/>
      <c r="I445" s="683"/>
      <c r="J445" s="683"/>
      <c r="K445" s="683"/>
      <c r="L445" s="683"/>
      <c r="M445" s="683"/>
      <c r="N445" s="683"/>
      <c r="O445" s="683"/>
      <c r="P445" s="683"/>
      <c r="Q445" s="683"/>
    </row>
    <row r="446" spans="1:17" ht="19.5">
      <c r="A446" s="683"/>
      <c r="B446" s="683"/>
      <c r="C446" s="683"/>
      <c r="D446" s="683"/>
      <c r="E446" s="683"/>
      <c r="F446" s="683"/>
      <c r="G446" s="683"/>
      <c r="H446" s="683"/>
      <c r="I446" s="683"/>
      <c r="J446" s="683"/>
      <c r="K446" s="683"/>
      <c r="L446" s="683"/>
      <c r="M446" s="683"/>
      <c r="N446" s="683"/>
      <c r="O446" s="683"/>
      <c r="P446" s="683"/>
      <c r="Q446" s="683"/>
    </row>
    <row r="447" spans="1:17" ht="19.5">
      <c r="A447" s="683"/>
      <c r="B447" s="683"/>
      <c r="C447" s="683"/>
      <c r="D447" s="683"/>
      <c r="E447" s="683"/>
      <c r="F447" s="683"/>
      <c r="G447" s="683"/>
      <c r="H447" s="683"/>
      <c r="I447" s="683"/>
      <c r="J447" s="683"/>
      <c r="K447" s="683"/>
      <c r="L447" s="683"/>
      <c r="M447" s="683"/>
      <c r="N447" s="683"/>
      <c r="O447" s="683"/>
      <c r="P447" s="683"/>
      <c r="Q447" s="683"/>
    </row>
    <row r="448" spans="1:17" ht="19.5">
      <c r="A448" s="683"/>
      <c r="B448" s="683"/>
      <c r="C448" s="683"/>
      <c r="D448" s="683"/>
      <c r="E448" s="683"/>
      <c r="F448" s="683"/>
      <c r="G448" s="683"/>
      <c r="H448" s="683"/>
      <c r="I448" s="683"/>
      <c r="J448" s="683"/>
      <c r="K448" s="683"/>
      <c r="L448" s="683"/>
      <c r="M448" s="683"/>
      <c r="N448" s="683"/>
      <c r="O448" s="683"/>
      <c r="P448" s="683"/>
      <c r="Q448" s="683"/>
    </row>
    <row r="449" spans="1:17" ht="19.5">
      <c r="A449" s="683"/>
      <c r="B449" s="683"/>
      <c r="C449" s="683"/>
      <c r="D449" s="683"/>
      <c r="E449" s="683"/>
      <c r="F449" s="683"/>
      <c r="G449" s="683"/>
      <c r="H449" s="683"/>
      <c r="I449" s="683"/>
      <c r="J449" s="683"/>
      <c r="K449" s="683"/>
      <c r="L449" s="683"/>
      <c r="M449" s="683"/>
      <c r="N449" s="683"/>
      <c r="O449" s="683"/>
      <c r="P449" s="683"/>
      <c r="Q449" s="683"/>
    </row>
    <row r="450" spans="1:17" ht="19.5">
      <c r="A450" s="683"/>
      <c r="B450" s="683"/>
      <c r="C450" s="683"/>
      <c r="D450" s="683"/>
      <c r="E450" s="683"/>
      <c r="F450" s="683"/>
      <c r="G450" s="683"/>
      <c r="H450" s="683"/>
      <c r="I450" s="683"/>
      <c r="J450" s="683"/>
      <c r="K450" s="683"/>
      <c r="L450" s="683"/>
      <c r="M450" s="683"/>
      <c r="N450" s="683"/>
      <c r="O450" s="683"/>
      <c r="P450" s="683"/>
      <c r="Q450" s="683"/>
    </row>
    <row r="451" spans="1:17" ht="19.5">
      <c r="A451" s="683"/>
      <c r="B451" s="683"/>
      <c r="C451" s="683"/>
      <c r="D451" s="683"/>
      <c r="E451" s="683"/>
      <c r="F451" s="683"/>
      <c r="G451" s="683"/>
      <c r="H451" s="683"/>
      <c r="I451" s="683"/>
      <c r="J451" s="683"/>
      <c r="K451" s="683"/>
      <c r="L451" s="683"/>
      <c r="M451" s="683"/>
      <c r="N451" s="683"/>
      <c r="O451" s="683"/>
      <c r="P451" s="683"/>
      <c r="Q451" s="683"/>
    </row>
    <row r="452" spans="1:17" ht="19.5">
      <c r="A452" s="683"/>
      <c r="B452" s="683"/>
      <c r="C452" s="683"/>
      <c r="D452" s="683"/>
      <c r="E452" s="683"/>
      <c r="F452" s="683"/>
      <c r="G452" s="683"/>
      <c r="H452" s="683"/>
      <c r="I452" s="683"/>
      <c r="J452" s="683"/>
      <c r="K452" s="683"/>
      <c r="L452" s="683"/>
      <c r="M452" s="683"/>
      <c r="N452" s="683"/>
      <c r="O452" s="683"/>
      <c r="P452" s="683"/>
      <c r="Q452" s="683"/>
    </row>
    <row r="453" spans="1:17" ht="19.5">
      <c r="A453" s="683"/>
      <c r="B453" s="683"/>
      <c r="C453" s="683"/>
      <c r="D453" s="683"/>
      <c r="E453" s="683"/>
      <c r="F453" s="683"/>
      <c r="G453" s="683"/>
      <c r="H453" s="683"/>
      <c r="I453" s="683"/>
      <c r="J453" s="683"/>
      <c r="K453" s="683"/>
      <c r="L453" s="683"/>
      <c r="M453" s="683"/>
      <c r="N453" s="683"/>
      <c r="O453" s="683"/>
      <c r="P453" s="683"/>
      <c r="Q453" s="683"/>
    </row>
    <row r="454" spans="1:17" ht="19.5">
      <c r="A454" s="683"/>
      <c r="B454" s="683"/>
      <c r="C454" s="683"/>
      <c r="D454" s="683"/>
      <c r="E454" s="683"/>
      <c r="F454" s="683"/>
      <c r="G454" s="683"/>
      <c r="H454" s="683"/>
      <c r="I454" s="683"/>
      <c r="J454" s="683"/>
      <c r="K454" s="683"/>
      <c r="L454" s="683"/>
      <c r="M454" s="683"/>
      <c r="N454" s="683"/>
      <c r="O454" s="683"/>
      <c r="P454" s="683"/>
      <c r="Q454" s="683"/>
    </row>
    <row r="455" spans="1:17" ht="19.5">
      <c r="A455" s="683"/>
      <c r="B455" s="683"/>
      <c r="C455" s="683"/>
      <c r="D455" s="683"/>
      <c r="E455" s="683"/>
      <c r="F455" s="683"/>
      <c r="G455" s="683"/>
      <c r="H455" s="683"/>
      <c r="I455" s="683"/>
      <c r="J455" s="683"/>
      <c r="K455" s="683"/>
      <c r="L455" s="683"/>
      <c r="M455" s="683"/>
      <c r="N455" s="683"/>
      <c r="O455" s="683"/>
      <c r="P455" s="683"/>
      <c r="Q455" s="683"/>
    </row>
    <row r="456" spans="1:17" ht="19.5">
      <c r="A456" s="683"/>
      <c r="B456" s="683"/>
      <c r="C456" s="683"/>
      <c r="D456" s="683"/>
      <c r="E456" s="683"/>
      <c r="F456" s="683"/>
      <c r="G456" s="683"/>
      <c r="H456" s="683"/>
      <c r="I456" s="683"/>
      <c r="J456" s="683"/>
      <c r="K456" s="683"/>
      <c r="L456" s="683"/>
      <c r="M456" s="683"/>
      <c r="N456" s="683"/>
      <c r="O456" s="683"/>
      <c r="P456" s="683"/>
      <c r="Q456" s="683"/>
    </row>
    <row r="457" spans="1:17" ht="19.5">
      <c r="A457" s="683"/>
      <c r="B457" s="683"/>
      <c r="C457" s="683"/>
      <c r="D457" s="683"/>
      <c r="E457" s="683"/>
      <c r="F457" s="683"/>
      <c r="G457" s="683"/>
      <c r="H457" s="683"/>
      <c r="I457" s="683"/>
      <c r="J457" s="683"/>
      <c r="K457" s="683"/>
      <c r="L457" s="683"/>
      <c r="M457" s="683"/>
      <c r="N457" s="683"/>
      <c r="O457" s="683"/>
      <c r="P457" s="683"/>
      <c r="Q457" s="683"/>
    </row>
    <row r="458" spans="1:17" ht="19.5">
      <c r="A458" s="683"/>
      <c r="B458" s="683"/>
      <c r="C458" s="683"/>
      <c r="D458" s="683"/>
      <c r="E458" s="683"/>
      <c r="F458" s="683"/>
      <c r="G458" s="683"/>
      <c r="H458" s="683"/>
      <c r="I458" s="683"/>
      <c r="J458" s="683"/>
      <c r="K458" s="683"/>
      <c r="L458" s="683"/>
      <c r="M458" s="683"/>
      <c r="N458" s="683"/>
      <c r="O458" s="683"/>
      <c r="P458" s="683"/>
      <c r="Q458" s="683"/>
    </row>
    <row r="459" spans="1:17" ht="19.5">
      <c r="A459" s="683"/>
      <c r="B459" s="683"/>
      <c r="C459" s="683"/>
      <c r="D459" s="683"/>
      <c r="E459" s="683"/>
      <c r="F459" s="683"/>
      <c r="G459" s="683"/>
      <c r="H459" s="683"/>
      <c r="I459" s="683"/>
      <c r="J459" s="683"/>
      <c r="K459" s="683"/>
      <c r="L459" s="683"/>
      <c r="M459" s="683"/>
      <c r="N459" s="683"/>
      <c r="O459" s="683"/>
      <c r="P459" s="683"/>
      <c r="Q459" s="683"/>
    </row>
    <row r="460" spans="1:17" ht="19.5">
      <c r="A460" s="683"/>
      <c r="B460" s="683"/>
      <c r="C460" s="683"/>
      <c r="D460" s="683"/>
      <c r="E460" s="683"/>
      <c r="F460" s="683"/>
      <c r="G460" s="683"/>
      <c r="H460" s="683"/>
      <c r="I460" s="683"/>
      <c r="J460" s="683"/>
      <c r="K460" s="683"/>
      <c r="L460" s="683"/>
      <c r="M460" s="683"/>
      <c r="N460" s="683"/>
      <c r="O460" s="683"/>
      <c r="P460" s="683"/>
      <c r="Q460" s="683"/>
    </row>
    <row r="461" spans="1:17" ht="19.5">
      <c r="A461" s="683"/>
      <c r="B461" s="683"/>
      <c r="C461" s="683"/>
      <c r="D461" s="683"/>
      <c r="E461" s="683"/>
      <c r="F461" s="683"/>
      <c r="G461" s="683"/>
      <c r="H461" s="683"/>
      <c r="I461" s="683"/>
      <c r="J461" s="683"/>
      <c r="K461" s="683"/>
      <c r="L461" s="683"/>
      <c r="M461" s="683"/>
      <c r="N461" s="683"/>
      <c r="O461" s="683"/>
      <c r="P461" s="683"/>
      <c r="Q461" s="683"/>
    </row>
    <row r="462" spans="1:17" ht="19.5">
      <c r="A462" s="683"/>
      <c r="B462" s="683"/>
      <c r="C462" s="683"/>
      <c r="D462" s="683"/>
      <c r="E462" s="683"/>
      <c r="F462" s="683"/>
      <c r="G462" s="683"/>
      <c r="H462" s="683"/>
      <c r="I462" s="683"/>
      <c r="J462" s="683"/>
      <c r="K462" s="683"/>
      <c r="L462" s="683"/>
      <c r="M462" s="683"/>
      <c r="N462" s="683"/>
      <c r="O462" s="683"/>
      <c r="P462" s="683"/>
      <c r="Q462" s="683"/>
    </row>
    <row r="463" spans="1:17" ht="19.5">
      <c r="A463" s="683"/>
      <c r="B463" s="683"/>
      <c r="C463" s="683"/>
      <c r="D463" s="683"/>
      <c r="E463" s="683"/>
      <c r="F463" s="683"/>
      <c r="G463" s="683"/>
      <c r="H463" s="683"/>
      <c r="I463" s="683"/>
      <c r="J463" s="683"/>
      <c r="K463" s="683"/>
      <c r="L463" s="683"/>
      <c r="M463" s="683"/>
      <c r="N463" s="683"/>
      <c r="O463" s="683"/>
      <c r="P463" s="683"/>
      <c r="Q463" s="683"/>
    </row>
    <row r="464" spans="1:17" ht="19.5">
      <c r="A464" s="683"/>
      <c r="B464" s="683"/>
      <c r="C464" s="683"/>
      <c r="D464" s="683"/>
      <c r="E464" s="683"/>
      <c r="F464" s="683"/>
      <c r="G464" s="683"/>
      <c r="H464" s="683"/>
      <c r="I464" s="683"/>
      <c r="J464" s="683"/>
      <c r="K464" s="683"/>
      <c r="L464" s="683"/>
      <c r="M464" s="683"/>
      <c r="N464" s="683"/>
      <c r="O464" s="683"/>
      <c r="P464" s="683"/>
      <c r="Q464" s="683"/>
    </row>
    <row r="465" spans="1:17" ht="19.5">
      <c r="A465" s="683"/>
      <c r="B465" s="683"/>
      <c r="C465" s="683"/>
      <c r="D465" s="683"/>
      <c r="E465" s="683"/>
      <c r="F465" s="683"/>
      <c r="G465" s="683"/>
      <c r="H465" s="683"/>
      <c r="I465" s="683"/>
      <c r="J465" s="683"/>
      <c r="K465" s="683"/>
      <c r="L465" s="683"/>
      <c r="M465" s="683"/>
      <c r="N465" s="683"/>
      <c r="O465" s="683"/>
      <c r="P465" s="683"/>
      <c r="Q465" s="683"/>
    </row>
    <row r="466" spans="1:17" ht="19.5">
      <c r="A466" s="683"/>
      <c r="B466" s="683"/>
      <c r="C466" s="683"/>
      <c r="D466" s="683"/>
      <c r="E466" s="683"/>
      <c r="F466" s="683"/>
      <c r="G466" s="683"/>
      <c r="H466" s="683"/>
      <c r="I466" s="683"/>
      <c r="J466" s="683"/>
      <c r="K466" s="683"/>
      <c r="L466" s="683"/>
      <c r="M466" s="683"/>
      <c r="N466" s="683"/>
      <c r="O466" s="683"/>
      <c r="P466" s="683"/>
      <c r="Q466" s="683"/>
    </row>
    <row r="467" spans="1:17" ht="19.5">
      <c r="A467" s="683"/>
      <c r="B467" s="683"/>
      <c r="C467" s="683"/>
      <c r="D467" s="683"/>
      <c r="E467" s="683"/>
      <c r="F467" s="683"/>
      <c r="G467" s="683"/>
      <c r="H467" s="683"/>
      <c r="I467" s="683"/>
      <c r="J467" s="683"/>
      <c r="K467" s="683"/>
      <c r="L467" s="683"/>
      <c r="M467" s="683"/>
      <c r="N467" s="683"/>
      <c r="O467" s="683"/>
      <c r="P467" s="683"/>
      <c r="Q467" s="683"/>
    </row>
    <row r="468" spans="1:17" ht="19.5">
      <c r="A468" s="683"/>
      <c r="B468" s="683"/>
      <c r="C468" s="683"/>
      <c r="D468" s="683"/>
      <c r="E468" s="683"/>
      <c r="F468" s="683"/>
      <c r="G468" s="683"/>
      <c r="H468" s="683"/>
      <c r="I468" s="683"/>
      <c r="J468" s="683"/>
      <c r="K468" s="683"/>
      <c r="L468" s="683"/>
      <c r="M468" s="683"/>
      <c r="N468" s="683"/>
      <c r="O468" s="683"/>
      <c r="P468" s="683"/>
      <c r="Q468" s="683"/>
    </row>
    <row r="469" spans="1:17" ht="19.5">
      <c r="A469" s="683"/>
      <c r="B469" s="683"/>
      <c r="C469" s="683"/>
      <c r="D469" s="683"/>
      <c r="E469" s="683"/>
      <c r="F469" s="683"/>
      <c r="G469" s="683"/>
      <c r="H469" s="683"/>
      <c r="I469" s="683"/>
      <c r="J469" s="683"/>
      <c r="K469" s="683"/>
      <c r="L469" s="683"/>
      <c r="M469" s="683"/>
      <c r="N469" s="683"/>
      <c r="O469" s="683"/>
      <c r="P469" s="683"/>
      <c r="Q469" s="683"/>
    </row>
    <row r="470" spans="1:17" ht="19.5">
      <c r="A470" s="683"/>
      <c r="B470" s="683"/>
      <c r="C470" s="683"/>
      <c r="D470" s="683"/>
      <c r="E470" s="683"/>
      <c r="F470" s="683"/>
      <c r="G470" s="683"/>
      <c r="H470" s="683"/>
      <c r="I470" s="683"/>
      <c r="J470" s="683"/>
      <c r="K470" s="683"/>
      <c r="L470" s="683"/>
      <c r="M470" s="683"/>
      <c r="N470" s="683"/>
      <c r="O470" s="683"/>
      <c r="P470" s="683"/>
      <c r="Q470" s="683"/>
    </row>
    <row r="471" spans="1:17" ht="19.5">
      <c r="A471" s="683"/>
      <c r="B471" s="683"/>
      <c r="C471" s="683"/>
      <c r="D471" s="683"/>
      <c r="E471" s="683"/>
      <c r="F471" s="683"/>
      <c r="G471" s="683"/>
      <c r="H471" s="683"/>
      <c r="I471" s="683"/>
      <c r="J471" s="683"/>
      <c r="K471" s="683"/>
      <c r="L471" s="683"/>
      <c r="M471" s="683"/>
      <c r="N471" s="683"/>
      <c r="O471" s="683"/>
      <c r="P471" s="683"/>
      <c r="Q471" s="683"/>
    </row>
    <row r="472" spans="1:17" ht="19.5">
      <c r="A472" s="683"/>
      <c r="B472" s="683"/>
      <c r="C472" s="683"/>
      <c r="D472" s="683"/>
      <c r="E472" s="683"/>
      <c r="F472" s="683"/>
      <c r="G472" s="683"/>
      <c r="H472" s="683"/>
      <c r="I472" s="683"/>
      <c r="J472" s="683"/>
      <c r="K472" s="683"/>
      <c r="L472" s="683"/>
      <c r="M472" s="683"/>
      <c r="N472" s="683"/>
      <c r="O472" s="683"/>
      <c r="P472" s="683"/>
      <c r="Q472" s="683"/>
    </row>
    <row r="473" spans="1:17" ht="19.5">
      <c r="A473" s="683"/>
      <c r="B473" s="683"/>
      <c r="C473" s="683"/>
      <c r="D473" s="683"/>
      <c r="E473" s="683"/>
      <c r="F473" s="683"/>
      <c r="G473" s="683"/>
      <c r="H473" s="683"/>
      <c r="I473" s="683"/>
      <c r="J473" s="683"/>
      <c r="K473" s="683"/>
      <c r="L473" s="683"/>
      <c r="M473" s="683"/>
      <c r="N473" s="683"/>
      <c r="O473" s="683"/>
      <c r="P473" s="683"/>
      <c r="Q473" s="683"/>
    </row>
    <row r="474" spans="1:17" ht="19.5">
      <c r="A474" s="683"/>
      <c r="B474" s="683"/>
      <c r="C474" s="683"/>
      <c r="D474" s="683"/>
      <c r="E474" s="683"/>
      <c r="F474" s="683"/>
      <c r="G474" s="683"/>
      <c r="H474" s="683"/>
      <c r="I474" s="683"/>
      <c r="J474" s="683"/>
      <c r="K474" s="683"/>
      <c r="L474" s="683"/>
      <c r="M474" s="683"/>
      <c r="N474" s="683"/>
      <c r="O474" s="683"/>
      <c r="P474" s="683"/>
      <c r="Q474" s="683"/>
    </row>
    <row r="475" spans="1:17" ht="19.5">
      <c r="A475" s="683"/>
      <c r="B475" s="683"/>
      <c r="C475" s="683"/>
      <c r="D475" s="683"/>
      <c r="E475" s="683"/>
      <c r="F475" s="683"/>
      <c r="G475" s="683"/>
      <c r="H475" s="683"/>
      <c r="I475" s="683"/>
      <c r="J475" s="683"/>
      <c r="K475" s="683"/>
      <c r="L475" s="683"/>
      <c r="M475" s="683"/>
      <c r="N475" s="683"/>
      <c r="O475" s="683"/>
      <c r="P475" s="683"/>
      <c r="Q475" s="683"/>
    </row>
    <row r="476" spans="1:17" ht="19.5">
      <c r="A476" s="683"/>
      <c r="B476" s="683"/>
      <c r="C476" s="683"/>
      <c r="D476" s="683"/>
      <c r="E476" s="683"/>
      <c r="F476" s="683"/>
      <c r="G476" s="683"/>
      <c r="H476" s="683"/>
      <c r="I476" s="683"/>
      <c r="J476" s="683"/>
      <c r="K476" s="683"/>
      <c r="L476" s="683"/>
      <c r="M476" s="683"/>
      <c r="N476" s="683"/>
      <c r="O476" s="683"/>
      <c r="P476" s="683"/>
      <c r="Q476" s="683"/>
    </row>
    <row r="477" spans="1:17" ht="19.5">
      <c r="A477" s="683"/>
      <c r="B477" s="683"/>
      <c r="C477" s="683"/>
      <c r="D477" s="683"/>
      <c r="E477" s="683"/>
      <c r="F477" s="683"/>
      <c r="G477" s="683"/>
      <c r="H477" s="683"/>
      <c r="I477" s="683"/>
      <c r="J477" s="683"/>
      <c r="K477" s="683"/>
      <c r="L477" s="683"/>
      <c r="M477" s="683"/>
      <c r="N477" s="683"/>
      <c r="O477" s="683"/>
      <c r="P477" s="683"/>
      <c r="Q477" s="683"/>
    </row>
    <row r="478" spans="1:17" ht="19.5">
      <c r="A478" s="683"/>
      <c r="B478" s="683"/>
      <c r="C478" s="683"/>
      <c r="D478" s="683"/>
      <c r="E478" s="683"/>
      <c r="F478" s="683"/>
      <c r="G478" s="683"/>
      <c r="H478" s="683"/>
      <c r="I478" s="683"/>
      <c r="J478" s="683"/>
      <c r="K478" s="683"/>
      <c r="L478" s="683"/>
      <c r="M478" s="683"/>
      <c r="N478" s="683"/>
      <c r="O478" s="683"/>
      <c r="P478" s="683"/>
      <c r="Q478" s="683"/>
    </row>
    <row r="479" spans="1:17" ht="19.5">
      <c r="A479" s="683"/>
      <c r="B479" s="683"/>
      <c r="C479" s="683"/>
      <c r="D479" s="683"/>
      <c r="E479" s="683"/>
      <c r="F479" s="683"/>
      <c r="G479" s="683"/>
      <c r="H479" s="683"/>
      <c r="I479" s="683"/>
      <c r="J479" s="683"/>
      <c r="K479" s="683"/>
      <c r="L479" s="683"/>
      <c r="M479" s="683"/>
      <c r="N479" s="683"/>
      <c r="O479" s="683"/>
      <c r="P479" s="683"/>
      <c r="Q479" s="683"/>
    </row>
    <row r="480" spans="1:17" ht="19.5">
      <c r="A480" s="683"/>
      <c r="B480" s="683"/>
      <c r="C480" s="683"/>
      <c r="D480" s="683"/>
      <c r="E480" s="683"/>
      <c r="F480" s="683"/>
      <c r="G480" s="683"/>
      <c r="H480" s="683"/>
      <c r="I480" s="683"/>
      <c r="J480" s="683"/>
      <c r="K480" s="683"/>
      <c r="L480" s="683"/>
      <c r="M480" s="683"/>
      <c r="N480" s="683"/>
      <c r="O480" s="683"/>
      <c r="P480" s="683"/>
      <c r="Q480" s="683"/>
    </row>
    <row r="481" spans="1:17" ht="19.5">
      <c r="A481" s="683"/>
      <c r="B481" s="683"/>
      <c r="C481" s="683"/>
      <c r="D481" s="683"/>
      <c r="E481" s="683"/>
      <c r="F481" s="683"/>
      <c r="G481" s="683"/>
      <c r="H481" s="683"/>
      <c r="I481" s="683"/>
      <c r="J481" s="683"/>
      <c r="K481" s="683"/>
      <c r="L481" s="683"/>
      <c r="M481" s="683"/>
      <c r="N481" s="683"/>
      <c r="O481" s="683"/>
      <c r="P481" s="683"/>
      <c r="Q481" s="683"/>
    </row>
    <row r="482" spans="1:17" ht="19.5">
      <c r="A482" s="683"/>
      <c r="B482" s="683"/>
      <c r="C482" s="683"/>
      <c r="D482" s="683"/>
      <c r="E482" s="683"/>
      <c r="F482" s="683"/>
      <c r="G482" s="683"/>
      <c r="H482" s="683"/>
      <c r="I482" s="683"/>
      <c r="J482" s="683"/>
      <c r="K482" s="683"/>
      <c r="L482" s="683"/>
      <c r="M482" s="683"/>
      <c r="N482" s="683"/>
      <c r="O482" s="683"/>
      <c r="P482" s="683"/>
      <c r="Q482" s="683"/>
    </row>
    <row r="483" spans="1:17" ht="19.5">
      <c r="A483" s="683"/>
      <c r="B483" s="683"/>
      <c r="C483" s="683"/>
      <c r="D483" s="683"/>
      <c r="E483" s="683"/>
      <c r="F483" s="683"/>
      <c r="G483" s="683"/>
      <c r="H483" s="683"/>
      <c r="I483" s="683"/>
      <c r="J483" s="683"/>
      <c r="K483" s="683"/>
      <c r="L483" s="683"/>
      <c r="M483" s="683"/>
      <c r="N483" s="683"/>
      <c r="O483" s="683"/>
      <c r="P483" s="683"/>
      <c r="Q483" s="683"/>
    </row>
    <row r="484" spans="1:17" ht="19.5">
      <c r="A484" s="683"/>
      <c r="B484" s="683"/>
      <c r="C484" s="683"/>
      <c r="D484" s="683"/>
      <c r="E484" s="683"/>
      <c r="F484" s="683"/>
      <c r="G484" s="683"/>
      <c r="H484" s="683"/>
      <c r="I484" s="683"/>
      <c r="J484" s="683"/>
      <c r="K484" s="683"/>
      <c r="L484" s="683"/>
      <c r="M484" s="683"/>
      <c r="N484" s="683"/>
      <c r="O484" s="683"/>
      <c r="P484" s="683"/>
      <c r="Q484" s="683"/>
    </row>
    <row r="485" spans="1:17" ht="19.5">
      <c r="A485" s="683"/>
      <c r="B485" s="683"/>
      <c r="C485" s="683"/>
      <c r="D485" s="683"/>
      <c r="E485" s="683"/>
      <c r="F485" s="683"/>
      <c r="G485" s="683"/>
      <c r="H485" s="683"/>
      <c r="I485" s="683"/>
      <c r="J485" s="683"/>
      <c r="K485" s="683"/>
      <c r="L485" s="683"/>
      <c r="M485" s="683"/>
      <c r="N485" s="683"/>
      <c r="O485" s="683"/>
      <c r="P485" s="683"/>
      <c r="Q485" s="683"/>
    </row>
    <row r="486" spans="1:17" ht="19.5">
      <c r="A486" s="683"/>
      <c r="B486" s="683"/>
      <c r="C486" s="683"/>
      <c r="D486" s="683"/>
      <c r="E486" s="683"/>
      <c r="F486" s="683"/>
      <c r="G486" s="683"/>
      <c r="H486" s="683"/>
      <c r="I486" s="683"/>
      <c r="J486" s="683"/>
      <c r="K486" s="683"/>
      <c r="L486" s="683"/>
      <c r="M486" s="683"/>
      <c r="N486" s="683"/>
      <c r="O486" s="683"/>
      <c r="P486" s="683"/>
      <c r="Q486" s="683"/>
    </row>
    <row r="487" spans="1:17" ht="19.5">
      <c r="A487" s="683"/>
      <c r="B487" s="683"/>
      <c r="C487" s="683"/>
      <c r="D487" s="683"/>
      <c r="E487" s="683"/>
      <c r="F487" s="683"/>
      <c r="G487" s="683"/>
      <c r="H487" s="683"/>
      <c r="I487" s="683"/>
      <c r="J487" s="683"/>
      <c r="K487" s="683"/>
      <c r="L487" s="683"/>
      <c r="M487" s="683"/>
      <c r="N487" s="683"/>
      <c r="O487" s="683"/>
      <c r="P487" s="683"/>
      <c r="Q487" s="683"/>
    </row>
    <row r="488" spans="1:17" ht="19.5">
      <c r="A488" s="683"/>
      <c r="B488" s="683"/>
      <c r="C488" s="683"/>
      <c r="D488" s="683"/>
      <c r="E488" s="683"/>
      <c r="F488" s="683"/>
      <c r="G488" s="683"/>
      <c r="H488" s="683"/>
      <c r="I488" s="683"/>
      <c r="J488" s="683"/>
      <c r="K488" s="683"/>
      <c r="L488" s="683"/>
      <c r="M488" s="683"/>
      <c r="N488" s="683"/>
      <c r="O488" s="683"/>
      <c r="P488" s="683"/>
      <c r="Q488" s="683"/>
    </row>
    <row r="489" spans="1:17" ht="19.5">
      <c r="A489" s="683"/>
      <c r="B489" s="683"/>
      <c r="C489" s="683"/>
      <c r="D489" s="683"/>
      <c r="E489" s="683"/>
      <c r="F489" s="683"/>
      <c r="G489" s="683"/>
      <c r="H489" s="683"/>
      <c r="I489" s="683"/>
      <c r="J489" s="683"/>
      <c r="K489" s="683"/>
      <c r="L489" s="683"/>
      <c r="M489" s="683"/>
      <c r="N489" s="683"/>
      <c r="O489" s="683"/>
      <c r="P489" s="683"/>
      <c r="Q489" s="683"/>
    </row>
    <row r="490" spans="1:17" ht="19.5">
      <c r="A490" s="683"/>
      <c r="B490" s="683"/>
      <c r="C490" s="683"/>
      <c r="D490" s="683"/>
      <c r="E490" s="683"/>
      <c r="F490" s="683"/>
      <c r="G490" s="683"/>
      <c r="H490" s="683"/>
      <c r="I490" s="683"/>
      <c r="J490" s="683"/>
      <c r="K490" s="683"/>
      <c r="L490" s="683"/>
      <c r="M490" s="683"/>
      <c r="N490" s="683"/>
      <c r="O490" s="683"/>
      <c r="P490" s="683"/>
      <c r="Q490" s="683"/>
    </row>
    <row r="491" spans="1:17" ht="19.5">
      <c r="A491" s="683"/>
      <c r="B491" s="683"/>
      <c r="C491" s="683"/>
      <c r="D491" s="683"/>
      <c r="E491" s="683"/>
      <c r="F491" s="683"/>
      <c r="G491" s="683"/>
      <c r="H491" s="683"/>
      <c r="I491" s="683"/>
      <c r="J491" s="683"/>
      <c r="K491" s="683"/>
      <c r="L491" s="683"/>
      <c r="M491" s="683"/>
      <c r="N491" s="683"/>
      <c r="O491" s="683"/>
      <c r="P491" s="683"/>
      <c r="Q491" s="683"/>
    </row>
    <row r="492" spans="1:17" ht="19.5">
      <c r="A492" s="683"/>
      <c r="B492" s="683"/>
      <c r="C492" s="683"/>
      <c r="D492" s="683"/>
      <c r="E492" s="683"/>
      <c r="F492" s="683"/>
      <c r="G492" s="683"/>
      <c r="H492" s="683"/>
      <c r="I492" s="683"/>
      <c r="J492" s="683"/>
      <c r="K492" s="683"/>
      <c r="L492" s="683"/>
      <c r="M492" s="683"/>
      <c r="N492" s="683"/>
      <c r="O492" s="683"/>
      <c r="P492" s="683"/>
      <c r="Q492" s="683"/>
    </row>
    <row r="493" spans="1:17" ht="19.5">
      <c r="A493" s="683"/>
      <c r="B493" s="683"/>
      <c r="C493" s="683"/>
      <c r="D493" s="683"/>
      <c r="E493" s="683"/>
      <c r="F493" s="683"/>
      <c r="G493" s="683"/>
      <c r="H493" s="683"/>
      <c r="I493" s="683"/>
      <c r="J493" s="683"/>
      <c r="K493" s="683"/>
      <c r="L493" s="683"/>
      <c r="M493" s="683"/>
      <c r="N493" s="683"/>
      <c r="O493" s="683"/>
      <c r="P493" s="683"/>
      <c r="Q493" s="683"/>
    </row>
    <row r="494" spans="1:17" ht="19.5">
      <c r="A494" s="683"/>
      <c r="B494" s="683"/>
      <c r="C494" s="683"/>
      <c r="D494" s="683"/>
      <c r="E494" s="683"/>
      <c r="F494" s="683"/>
      <c r="G494" s="683"/>
      <c r="H494" s="683"/>
      <c r="I494" s="683"/>
      <c r="J494" s="683"/>
      <c r="K494" s="683"/>
      <c r="L494" s="683"/>
      <c r="M494" s="683"/>
      <c r="N494" s="683"/>
      <c r="O494" s="683"/>
      <c r="P494" s="683"/>
      <c r="Q494" s="683"/>
    </row>
    <row r="495" spans="1:17" ht="19.5">
      <c r="A495" s="683"/>
      <c r="B495" s="683"/>
      <c r="C495" s="683"/>
      <c r="D495" s="683"/>
      <c r="E495" s="683"/>
      <c r="F495" s="683"/>
      <c r="G495" s="683"/>
      <c r="H495" s="683"/>
      <c r="I495" s="683"/>
      <c r="J495" s="683"/>
      <c r="K495" s="683"/>
      <c r="L495" s="683"/>
      <c r="M495" s="683"/>
      <c r="N495" s="683"/>
      <c r="O495" s="683"/>
      <c r="P495" s="683"/>
      <c r="Q495" s="683"/>
    </row>
    <row r="496" spans="1:17" ht="19.5">
      <c r="A496" s="683"/>
      <c r="B496" s="683"/>
      <c r="C496" s="683"/>
      <c r="D496" s="683"/>
      <c r="E496" s="683"/>
      <c r="F496" s="683"/>
      <c r="G496" s="683"/>
      <c r="H496" s="683"/>
      <c r="I496" s="683"/>
      <c r="J496" s="683"/>
      <c r="K496" s="683"/>
      <c r="L496" s="683"/>
      <c r="M496" s="683"/>
      <c r="N496" s="683"/>
      <c r="O496" s="683"/>
      <c r="P496" s="683"/>
      <c r="Q496" s="683"/>
    </row>
    <row r="497" spans="1:17" ht="19.5">
      <c r="A497" s="683"/>
      <c r="B497" s="683"/>
      <c r="C497" s="683"/>
      <c r="D497" s="683"/>
      <c r="E497" s="683"/>
      <c r="F497" s="683"/>
      <c r="G497" s="683"/>
      <c r="H497" s="683"/>
      <c r="I497" s="683"/>
      <c r="J497" s="683"/>
      <c r="K497" s="683"/>
      <c r="L497" s="683"/>
      <c r="M497" s="683"/>
      <c r="N497" s="683"/>
      <c r="O497" s="683"/>
      <c r="P497" s="683"/>
      <c r="Q497" s="683"/>
    </row>
    <row r="498" spans="1:17" ht="19.5">
      <c r="A498" s="683"/>
      <c r="B498" s="683"/>
      <c r="C498" s="683"/>
      <c r="D498" s="683"/>
      <c r="E498" s="683"/>
      <c r="F498" s="683"/>
      <c r="G498" s="683"/>
      <c r="H498" s="683"/>
      <c r="I498" s="683"/>
      <c r="J498" s="683"/>
      <c r="K498" s="683"/>
      <c r="L498" s="683"/>
      <c r="M498" s="683"/>
      <c r="N498" s="683"/>
      <c r="O498" s="683"/>
      <c r="P498" s="683"/>
      <c r="Q498" s="683"/>
    </row>
    <row r="499" spans="1:17" ht="19.5">
      <c r="A499" s="683"/>
      <c r="B499" s="683"/>
      <c r="C499" s="683"/>
      <c r="D499" s="683"/>
      <c r="E499" s="683"/>
      <c r="F499" s="683"/>
      <c r="G499" s="683"/>
      <c r="H499" s="683"/>
      <c r="I499" s="683"/>
      <c r="J499" s="683"/>
      <c r="K499" s="683"/>
      <c r="L499" s="683"/>
      <c r="M499" s="683"/>
      <c r="N499" s="683"/>
      <c r="O499" s="683"/>
      <c r="P499" s="683"/>
      <c r="Q499" s="683"/>
    </row>
    <row r="500" spans="1:17" ht="19.5">
      <c r="A500" s="683"/>
      <c r="B500" s="683"/>
      <c r="C500" s="683"/>
      <c r="D500" s="683"/>
      <c r="E500" s="683"/>
      <c r="F500" s="683"/>
      <c r="G500" s="683"/>
      <c r="H500" s="683"/>
      <c r="I500" s="683"/>
      <c r="J500" s="683"/>
      <c r="K500" s="683"/>
      <c r="L500" s="683"/>
      <c r="M500" s="683"/>
      <c r="N500" s="683"/>
      <c r="O500" s="683"/>
      <c r="P500" s="683"/>
      <c r="Q500" s="683"/>
    </row>
    <row r="501" spans="1:17" ht="19.5">
      <c r="A501" s="683"/>
      <c r="B501" s="683"/>
      <c r="C501" s="683"/>
      <c r="D501" s="683"/>
      <c r="E501" s="683"/>
      <c r="F501" s="683"/>
      <c r="G501" s="683"/>
      <c r="H501" s="683"/>
      <c r="I501" s="683"/>
      <c r="J501" s="683"/>
      <c r="K501" s="683"/>
      <c r="L501" s="683"/>
      <c r="M501" s="683"/>
      <c r="N501" s="683"/>
      <c r="O501" s="683"/>
      <c r="P501" s="683"/>
      <c r="Q501" s="683"/>
    </row>
    <row r="502" spans="1:17" ht="19.5">
      <c r="A502" s="683"/>
      <c r="B502" s="683"/>
      <c r="C502" s="683"/>
      <c r="D502" s="683"/>
      <c r="E502" s="683"/>
      <c r="F502" s="683"/>
      <c r="G502" s="683"/>
      <c r="H502" s="683"/>
      <c r="I502" s="683"/>
      <c r="J502" s="683"/>
      <c r="K502" s="683"/>
      <c r="L502" s="683"/>
      <c r="M502" s="683"/>
      <c r="N502" s="683"/>
      <c r="O502" s="683"/>
      <c r="P502" s="683"/>
      <c r="Q502" s="683"/>
    </row>
    <row r="503" spans="1:17" ht="19.5">
      <c r="A503" s="683"/>
      <c r="B503" s="683"/>
      <c r="C503" s="683"/>
      <c r="D503" s="683"/>
      <c r="E503" s="683"/>
      <c r="F503" s="683"/>
      <c r="G503" s="683"/>
      <c r="H503" s="683"/>
      <c r="I503" s="683"/>
      <c r="J503" s="683"/>
      <c r="K503" s="683"/>
      <c r="L503" s="683"/>
      <c r="M503" s="683"/>
      <c r="N503" s="683"/>
      <c r="O503" s="683"/>
      <c r="P503" s="683"/>
      <c r="Q503" s="683"/>
    </row>
    <row r="504" spans="1:17" ht="19.5">
      <c r="A504" s="683"/>
      <c r="B504" s="683"/>
      <c r="C504" s="683"/>
      <c r="D504" s="683"/>
      <c r="E504" s="683"/>
      <c r="F504" s="683"/>
      <c r="G504" s="683"/>
      <c r="H504" s="683"/>
      <c r="I504" s="683"/>
      <c r="J504" s="683"/>
      <c r="K504" s="683"/>
      <c r="L504" s="683"/>
      <c r="M504" s="683"/>
      <c r="N504" s="683"/>
      <c r="O504" s="683"/>
      <c r="P504" s="683"/>
      <c r="Q504" s="683"/>
    </row>
    <row r="505" spans="1:17" ht="19.5">
      <c r="A505" s="683"/>
      <c r="B505" s="683"/>
      <c r="C505" s="683"/>
      <c r="D505" s="683"/>
      <c r="E505" s="683"/>
      <c r="F505" s="683"/>
      <c r="G505" s="683"/>
      <c r="H505" s="683"/>
      <c r="I505" s="683"/>
      <c r="J505" s="683"/>
      <c r="K505" s="683"/>
      <c r="L505" s="683"/>
      <c r="M505" s="683"/>
      <c r="N505" s="683"/>
      <c r="O505" s="683"/>
      <c r="P505" s="683"/>
      <c r="Q505" s="683"/>
    </row>
    <row r="506" spans="1:17" ht="19.5">
      <c r="A506" s="683"/>
      <c r="B506" s="683"/>
      <c r="C506" s="683"/>
      <c r="D506" s="683"/>
      <c r="E506" s="683"/>
      <c r="F506" s="683"/>
      <c r="G506" s="683"/>
      <c r="H506" s="683"/>
      <c r="I506" s="683"/>
      <c r="J506" s="683"/>
      <c r="K506" s="683"/>
      <c r="L506" s="683"/>
      <c r="M506" s="683"/>
      <c r="N506" s="683"/>
      <c r="O506" s="683"/>
      <c r="P506" s="683"/>
      <c r="Q506" s="683"/>
    </row>
    <row r="507" spans="1:17" ht="19.5">
      <c r="A507" s="683"/>
      <c r="B507" s="683"/>
      <c r="C507" s="683"/>
      <c r="D507" s="683"/>
      <c r="E507" s="683"/>
      <c r="F507" s="683"/>
      <c r="G507" s="683"/>
      <c r="H507" s="683"/>
      <c r="I507" s="683"/>
      <c r="J507" s="683"/>
      <c r="K507" s="683"/>
      <c r="L507" s="683"/>
      <c r="M507" s="683"/>
      <c r="N507" s="683"/>
      <c r="O507" s="683"/>
      <c r="P507" s="683"/>
      <c r="Q507" s="683"/>
    </row>
    <row r="508" spans="1:17" ht="19.5">
      <c r="A508" s="683"/>
      <c r="B508" s="683"/>
      <c r="C508" s="683"/>
      <c r="D508" s="683"/>
      <c r="E508" s="683"/>
      <c r="F508" s="683"/>
      <c r="G508" s="683"/>
      <c r="H508" s="683"/>
      <c r="I508" s="683"/>
      <c r="J508" s="683"/>
      <c r="K508" s="683"/>
      <c r="L508" s="683"/>
      <c r="M508" s="683"/>
      <c r="N508" s="683"/>
      <c r="O508" s="683"/>
      <c r="P508" s="683"/>
      <c r="Q508" s="683"/>
    </row>
    <row r="509" spans="1:17" ht="19.5">
      <c r="A509" s="683"/>
      <c r="B509" s="683"/>
      <c r="C509" s="683"/>
      <c r="D509" s="683"/>
      <c r="E509" s="683"/>
      <c r="F509" s="683"/>
      <c r="G509" s="683"/>
      <c r="H509" s="683"/>
      <c r="I509" s="683"/>
      <c r="J509" s="683"/>
      <c r="K509" s="683"/>
      <c r="L509" s="683"/>
      <c r="M509" s="683"/>
      <c r="N509" s="683"/>
      <c r="O509" s="683"/>
      <c r="P509" s="683"/>
      <c r="Q509" s="683"/>
    </row>
    <row r="510" spans="1:17" ht="19.5">
      <c r="A510" s="683"/>
      <c r="B510" s="683"/>
      <c r="C510" s="683"/>
      <c r="D510" s="683"/>
      <c r="E510" s="683"/>
      <c r="F510" s="683"/>
      <c r="G510" s="683"/>
      <c r="H510" s="683"/>
      <c r="I510" s="683"/>
      <c r="J510" s="683"/>
      <c r="K510" s="683"/>
      <c r="L510" s="683"/>
      <c r="M510" s="683"/>
      <c r="N510" s="683"/>
      <c r="O510" s="683"/>
      <c r="P510" s="683"/>
      <c r="Q510" s="683"/>
    </row>
    <row r="511" spans="1:17" ht="19.5">
      <c r="A511" s="683"/>
      <c r="B511" s="683"/>
      <c r="C511" s="683"/>
      <c r="D511" s="683"/>
      <c r="E511" s="683"/>
      <c r="F511" s="683"/>
      <c r="G511" s="683"/>
      <c r="H511" s="683"/>
      <c r="I511" s="683"/>
      <c r="J511" s="683"/>
      <c r="K511" s="683"/>
      <c r="L511" s="683"/>
      <c r="M511" s="683"/>
      <c r="N511" s="683"/>
      <c r="O511" s="683"/>
      <c r="P511" s="683"/>
      <c r="Q511" s="683"/>
    </row>
    <row r="512" spans="1:17" ht="19.5">
      <c r="A512" s="683"/>
      <c r="B512" s="683"/>
      <c r="C512" s="683"/>
      <c r="D512" s="683"/>
      <c r="E512" s="683"/>
      <c r="F512" s="683"/>
      <c r="G512" s="683"/>
      <c r="H512" s="683"/>
      <c r="I512" s="683"/>
      <c r="J512" s="683"/>
      <c r="K512" s="683"/>
      <c r="L512" s="683"/>
      <c r="M512" s="683"/>
      <c r="N512" s="683"/>
      <c r="O512" s="683"/>
      <c r="P512" s="683"/>
      <c r="Q512" s="683"/>
    </row>
    <row r="513" spans="1:17" ht="19.5">
      <c r="A513" s="683"/>
      <c r="B513" s="683"/>
      <c r="C513" s="683"/>
      <c r="D513" s="683"/>
      <c r="E513" s="683"/>
      <c r="F513" s="683"/>
      <c r="G513" s="683"/>
      <c r="H513" s="683"/>
      <c r="I513" s="683"/>
      <c r="J513" s="683"/>
      <c r="K513" s="683"/>
      <c r="L513" s="683"/>
      <c r="M513" s="683"/>
      <c r="N513" s="683"/>
      <c r="O513" s="683"/>
      <c r="P513" s="683"/>
      <c r="Q513" s="683"/>
    </row>
    <row r="514" spans="1:17" ht="19.5">
      <c r="A514" s="683"/>
      <c r="B514" s="683"/>
      <c r="C514" s="683"/>
      <c r="D514" s="683"/>
      <c r="E514" s="683"/>
      <c r="F514" s="683"/>
      <c r="G514" s="683"/>
      <c r="H514" s="683"/>
      <c r="I514" s="683"/>
      <c r="J514" s="683"/>
      <c r="K514" s="683"/>
      <c r="L514" s="683"/>
      <c r="M514" s="683"/>
      <c r="N514" s="683"/>
      <c r="O514" s="683"/>
      <c r="P514" s="683"/>
      <c r="Q514" s="683"/>
    </row>
    <row r="515" spans="1:17" ht="19.5">
      <c r="A515" s="683"/>
      <c r="B515" s="683"/>
      <c r="C515" s="683"/>
      <c r="D515" s="683"/>
      <c r="E515" s="683"/>
      <c r="F515" s="683"/>
      <c r="G515" s="683"/>
      <c r="H515" s="683"/>
      <c r="I515" s="683"/>
      <c r="J515" s="683"/>
      <c r="K515" s="683"/>
      <c r="L515" s="683"/>
      <c r="M515" s="683"/>
      <c r="N515" s="683"/>
      <c r="O515" s="683"/>
      <c r="P515" s="683"/>
      <c r="Q515" s="683"/>
    </row>
    <row r="516" spans="1:17" ht="19.5">
      <c r="A516" s="683"/>
      <c r="B516" s="683"/>
      <c r="C516" s="683"/>
      <c r="D516" s="683"/>
      <c r="E516" s="683"/>
      <c r="F516" s="683"/>
      <c r="G516" s="683"/>
      <c r="H516" s="683"/>
      <c r="I516" s="683"/>
      <c r="J516" s="683"/>
      <c r="K516" s="683"/>
      <c r="L516" s="683"/>
      <c r="M516" s="683"/>
      <c r="N516" s="683"/>
      <c r="O516" s="683"/>
      <c r="P516" s="683"/>
      <c r="Q516" s="683"/>
    </row>
    <row r="517" spans="1:17" ht="19.5">
      <c r="A517" s="683"/>
      <c r="B517" s="683"/>
      <c r="C517" s="683"/>
      <c r="D517" s="683"/>
      <c r="E517" s="683"/>
      <c r="F517" s="683"/>
      <c r="G517" s="683"/>
      <c r="H517" s="683"/>
      <c r="I517" s="683"/>
      <c r="J517" s="683"/>
      <c r="K517" s="683"/>
      <c r="L517" s="683"/>
      <c r="M517" s="683"/>
      <c r="N517" s="683"/>
      <c r="O517" s="683"/>
      <c r="P517" s="683"/>
      <c r="Q517" s="683"/>
    </row>
    <row r="518" spans="1:17" ht="19.5">
      <c r="A518" s="683"/>
      <c r="B518" s="683"/>
      <c r="C518" s="683"/>
      <c r="D518" s="683"/>
      <c r="E518" s="683"/>
      <c r="F518" s="683"/>
      <c r="G518" s="683"/>
      <c r="H518" s="683"/>
      <c r="I518" s="683"/>
      <c r="J518" s="683"/>
      <c r="K518" s="683"/>
      <c r="L518" s="683"/>
      <c r="M518" s="683"/>
      <c r="N518" s="683"/>
      <c r="O518" s="683"/>
      <c r="P518" s="683"/>
      <c r="Q518" s="683"/>
    </row>
    <row r="519" spans="1:17" ht="19.5">
      <c r="A519" s="683"/>
      <c r="B519" s="683"/>
      <c r="C519" s="683"/>
      <c r="D519" s="683"/>
      <c r="E519" s="683"/>
      <c r="F519" s="683"/>
      <c r="G519" s="683"/>
      <c r="H519" s="683"/>
      <c r="I519" s="683"/>
      <c r="J519" s="683"/>
      <c r="K519" s="683"/>
      <c r="L519" s="683"/>
      <c r="M519" s="683"/>
      <c r="N519" s="683"/>
      <c r="O519" s="683"/>
      <c r="P519" s="683"/>
      <c r="Q519" s="683"/>
    </row>
    <row r="520" spans="1:17" ht="19.5">
      <c r="A520" s="683"/>
      <c r="B520" s="683"/>
      <c r="C520" s="683"/>
      <c r="D520" s="683"/>
      <c r="E520" s="683"/>
      <c r="F520" s="683"/>
      <c r="G520" s="683"/>
      <c r="H520" s="683"/>
      <c r="I520" s="683"/>
      <c r="J520" s="683"/>
      <c r="K520" s="683"/>
      <c r="L520" s="683"/>
      <c r="M520" s="683"/>
      <c r="N520" s="683"/>
      <c r="O520" s="683"/>
      <c r="P520" s="683"/>
      <c r="Q520" s="683"/>
    </row>
    <row r="521" spans="1:17" ht="19.5">
      <c r="A521" s="683"/>
      <c r="B521" s="683"/>
      <c r="C521" s="683"/>
      <c r="D521" s="683"/>
      <c r="E521" s="683"/>
      <c r="F521" s="683"/>
      <c r="G521" s="683"/>
      <c r="H521" s="683"/>
      <c r="I521" s="683"/>
      <c r="J521" s="683"/>
      <c r="K521" s="683"/>
      <c r="L521" s="683"/>
      <c r="M521" s="683"/>
      <c r="N521" s="683"/>
      <c r="O521" s="683"/>
      <c r="P521" s="683"/>
      <c r="Q521" s="683"/>
    </row>
    <row r="522" spans="1:17" ht="19.5">
      <c r="A522" s="683"/>
      <c r="B522" s="683"/>
      <c r="C522" s="683"/>
      <c r="D522" s="683"/>
      <c r="E522" s="683"/>
      <c r="F522" s="683"/>
      <c r="G522" s="683"/>
      <c r="H522" s="683"/>
      <c r="I522" s="683"/>
      <c r="J522" s="683"/>
      <c r="K522" s="683"/>
      <c r="L522" s="683"/>
      <c r="M522" s="683"/>
      <c r="N522" s="683"/>
      <c r="O522" s="683"/>
      <c r="P522" s="683"/>
      <c r="Q522" s="683"/>
    </row>
    <row r="523" spans="1:17" ht="19.5">
      <c r="A523" s="683"/>
      <c r="B523" s="683"/>
      <c r="C523" s="683"/>
      <c r="D523" s="683"/>
      <c r="E523" s="683"/>
      <c r="F523" s="683"/>
      <c r="G523" s="683"/>
      <c r="H523" s="683"/>
      <c r="I523" s="683"/>
      <c r="J523" s="683"/>
      <c r="K523" s="683"/>
      <c r="L523" s="683"/>
      <c r="M523" s="683"/>
      <c r="N523" s="683"/>
      <c r="O523" s="683"/>
      <c r="P523" s="683"/>
      <c r="Q523" s="683"/>
    </row>
    <row r="524" spans="1:17" ht="19.5">
      <c r="A524" s="683"/>
      <c r="B524" s="683"/>
      <c r="C524" s="683"/>
      <c r="D524" s="683"/>
      <c r="E524" s="683"/>
      <c r="F524" s="683"/>
      <c r="G524" s="683"/>
      <c r="H524" s="683"/>
      <c r="I524" s="683"/>
      <c r="J524" s="683"/>
      <c r="K524" s="683"/>
      <c r="L524" s="683"/>
      <c r="M524" s="683"/>
      <c r="N524" s="683"/>
      <c r="O524" s="683"/>
      <c r="P524" s="683"/>
      <c r="Q524" s="683"/>
    </row>
    <row r="525" spans="1:17" ht="19.5">
      <c r="A525" s="683"/>
      <c r="B525" s="683"/>
      <c r="C525" s="683"/>
      <c r="D525" s="683"/>
      <c r="E525" s="683"/>
      <c r="F525" s="683"/>
      <c r="G525" s="683"/>
      <c r="H525" s="683"/>
      <c r="I525" s="683"/>
      <c r="J525" s="683"/>
      <c r="K525" s="683"/>
      <c r="L525" s="683"/>
      <c r="M525" s="683"/>
      <c r="N525" s="683"/>
      <c r="O525" s="683"/>
      <c r="P525" s="683"/>
      <c r="Q525" s="683"/>
    </row>
    <row r="526" spans="1:17" ht="19.5">
      <c r="A526" s="683"/>
      <c r="B526" s="683"/>
      <c r="C526" s="683"/>
      <c r="D526" s="683"/>
      <c r="E526" s="683"/>
      <c r="F526" s="683"/>
      <c r="G526" s="683"/>
      <c r="H526" s="683"/>
      <c r="I526" s="683"/>
      <c r="J526" s="683"/>
      <c r="K526" s="683"/>
      <c r="L526" s="683"/>
      <c r="M526" s="683"/>
      <c r="N526" s="683"/>
      <c r="O526" s="683"/>
      <c r="P526" s="683"/>
      <c r="Q526" s="683"/>
    </row>
    <row r="527" spans="1:17" ht="19.5">
      <c r="A527" s="683"/>
      <c r="B527" s="683"/>
      <c r="C527" s="683"/>
      <c r="D527" s="683"/>
      <c r="E527" s="683"/>
      <c r="F527" s="683"/>
      <c r="G527" s="683"/>
      <c r="H527" s="683"/>
      <c r="I527" s="683"/>
      <c r="J527" s="683"/>
      <c r="K527" s="683"/>
      <c r="L527" s="683"/>
      <c r="M527" s="683"/>
      <c r="N527" s="683"/>
      <c r="O527" s="683"/>
      <c r="P527" s="683"/>
      <c r="Q527" s="683"/>
    </row>
    <row r="528" spans="1:17" ht="19.5">
      <c r="A528" s="683"/>
      <c r="B528" s="683"/>
      <c r="C528" s="683"/>
      <c r="D528" s="683"/>
      <c r="E528" s="683"/>
      <c r="F528" s="683"/>
      <c r="G528" s="683"/>
      <c r="H528" s="683"/>
      <c r="I528" s="683"/>
      <c r="J528" s="683"/>
      <c r="K528" s="683"/>
      <c r="L528" s="683"/>
      <c r="M528" s="683"/>
      <c r="N528" s="683"/>
      <c r="O528" s="683"/>
      <c r="P528" s="683"/>
      <c r="Q528" s="683"/>
    </row>
    <row r="529" spans="1:17" ht="19.5">
      <c r="A529" s="683"/>
      <c r="B529" s="683"/>
      <c r="C529" s="683"/>
      <c r="D529" s="683"/>
      <c r="E529" s="683"/>
      <c r="F529" s="683"/>
      <c r="G529" s="683"/>
      <c r="H529" s="683"/>
      <c r="I529" s="683"/>
      <c r="J529" s="683"/>
      <c r="K529" s="683"/>
      <c r="L529" s="683"/>
      <c r="M529" s="683"/>
      <c r="N529" s="683"/>
      <c r="O529" s="683"/>
      <c r="P529" s="683"/>
      <c r="Q529" s="683"/>
    </row>
    <row r="530" spans="1:17" ht="19.5">
      <c r="A530" s="683"/>
      <c r="B530" s="683"/>
      <c r="C530" s="683"/>
      <c r="D530" s="683"/>
      <c r="E530" s="683"/>
      <c r="F530" s="683"/>
      <c r="G530" s="683"/>
      <c r="H530" s="683"/>
      <c r="I530" s="683"/>
      <c r="J530" s="683"/>
      <c r="K530" s="683"/>
      <c r="L530" s="683"/>
      <c r="M530" s="683"/>
      <c r="N530" s="683"/>
      <c r="O530" s="683"/>
      <c r="P530" s="683"/>
      <c r="Q530" s="683"/>
    </row>
    <row r="531" spans="1:17" ht="19.5">
      <c r="A531" s="683"/>
      <c r="B531" s="683"/>
      <c r="C531" s="683"/>
      <c r="D531" s="683"/>
      <c r="E531" s="683"/>
      <c r="F531" s="683"/>
      <c r="G531" s="683"/>
      <c r="H531" s="683"/>
      <c r="I531" s="683"/>
      <c r="J531" s="683"/>
      <c r="K531" s="683"/>
      <c r="L531" s="683"/>
      <c r="M531" s="683"/>
      <c r="N531" s="683"/>
      <c r="O531" s="683"/>
      <c r="P531" s="683"/>
      <c r="Q531" s="683"/>
    </row>
    <row r="532" spans="1:17" ht="19.5">
      <c r="A532" s="683"/>
      <c r="B532" s="683"/>
      <c r="C532" s="683"/>
      <c r="D532" s="683"/>
      <c r="E532" s="683"/>
      <c r="F532" s="683"/>
      <c r="G532" s="683"/>
      <c r="H532" s="683"/>
      <c r="I532" s="683"/>
      <c r="J532" s="683"/>
      <c r="K532" s="683"/>
      <c r="L532" s="683"/>
      <c r="M532" s="683"/>
      <c r="N532" s="683"/>
      <c r="O532" s="683"/>
      <c r="P532" s="683"/>
      <c r="Q532" s="683"/>
    </row>
    <row r="533" spans="1:17" ht="19.5">
      <c r="A533" s="683"/>
      <c r="B533" s="683"/>
      <c r="C533" s="683"/>
      <c r="D533" s="683"/>
      <c r="E533" s="683"/>
      <c r="F533" s="683"/>
      <c r="G533" s="683"/>
      <c r="H533" s="683"/>
      <c r="I533" s="683"/>
      <c r="J533" s="683"/>
      <c r="K533" s="683"/>
      <c r="L533" s="683"/>
      <c r="M533" s="683"/>
      <c r="N533" s="683"/>
      <c r="O533" s="683"/>
      <c r="P533" s="683"/>
      <c r="Q533" s="683"/>
    </row>
    <row r="534" spans="1:17" ht="19.5">
      <c r="A534" s="683"/>
      <c r="B534" s="683"/>
      <c r="C534" s="683"/>
      <c r="D534" s="683"/>
      <c r="E534" s="683"/>
      <c r="F534" s="683"/>
      <c r="G534" s="683"/>
      <c r="H534" s="683"/>
      <c r="I534" s="683"/>
      <c r="J534" s="683"/>
      <c r="K534" s="683"/>
      <c r="L534" s="683"/>
      <c r="M534" s="683"/>
      <c r="N534" s="683"/>
      <c r="O534" s="683"/>
      <c r="P534" s="683"/>
      <c r="Q534" s="683"/>
    </row>
    <row r="535" spans="1:17" ht="19.5">
      <c r="A535" s="683"/>
      <c r="B535" s="683"/>
      <c r="C535" s="683"/>
      <c r="D535" s="683"/>
      <c r="E535" s="683"/>
      <c r="F535" s="683"/>
      <c r="G535" s="683"/>
      <c r="H535" s="683"/>
      <c r="I535" s="683"/>
      <c r="J535" s="683"/>
      <c r="K535" s="683"/>
      <c r="L535" s="683"/>
      <c r="M535" s="683"/>
      <c r="N535" s="683"/>
      <c r="O535" s="683"/>
      <c r="P535" s="683"/>
      <c r="Q535" s="683"/>
    </row>
    <row r="536" spans="1:17" ht="19.5">
      <c r="A536" s="683"/>
      <c r="B536" s="683"/>
      <c r="C536" s="683"/>
      <c r="D536" s="683"/>
      <c r="E536" s="683"/>
      <c r="F536" s="683"/>
      <c r="G536" s="683"/>
      <c r="H536" s="683"/>
      <c r="I536" s="683"/>
      <c r="J536" s="683"/>
      <c r="K536" s="683"/>
      <c r="L536" s="683"/>
      <c r="M536" s="683"/>
      <c r="N536" s="683"/>
      <c r="O536" s="683"/>
      <c r="P536" s="683"/>
      <c r="Q536" s="683"/>
    </row>
    <row r="537" spans="1:17" ht="19.5">
      <c r="A537" s="683"/>
      <c r="B537" s="683"/>
      <c r="C537" s="683"/>
      <c r="D537" s="683"/>
      <c r="E537" s="683"/>
      <c r="F537" s="683"/>
      <c r="G537" s="683"/>
      <c r="H537" s="683"/>
      <c r="I537" s="683"/>
      <c r="J537" s="683"/>
      <c r="K537" s="683"/>
      <c r="L537" s="683"/>
      <c r="M537" s="683"/>
      <c r="N537" s="683"/>
      <c r="O537" s="683"/>
      <c r="P537" s="683"/>
      <c r="Q537" s="683"/>
    </row>
    <row r="538" spans="1:17" ht="19.5">
      <c r="A538" s="683"/>
      <c r="B538" s="683"/>
      <c r="C538" s="683"/>
      <c r="D538" s="683"/>
      <c r="E538" s="683"/>
      <c r="F538" s="683"/>
      <c r="G538" s="683"/>
      <c r="H538" s="683"/>
      <c r="I538" s="683"/>
      <c r="J538" s="683"/>
      <c r="K538" s="683"/>
      <c r="L538" s="683"/>
      <c r="M538" s="683"/>
      <c r="N538" s="683"/>
      <c r="O538" s="683"/>
      <c r="P538" s="683"/>
      <c r="Q538" s="683"/>
    </row>
    <row r="539" spans="1:17" ht="19.5">
      <c r="A539" s="683"/>
      <c r="B539" s="683"/>
      <c r="C539" s="683"/>
      <c r="D539" s="683"/>
      <c r="E539" s="683"/>
      <c r="F539" s="683"/>
      <c r="G539" s="683"/>
      <c r="H539" s="683"/>
      <c r="I539" s="683"/>
      <c r="J539" s="683"/>
      <c r="K539" s="683"/>
      <c r="L539" s="683"/>
      <c r="M539" s="683"/>
      <c r="N539" s="683"/>
      <c r="O539" s="683"/>
      <c r="P539" s="683"/>
      <c r="Q539" s="683"/>
    </row>
    <row r="540" spans="1:17" ht="19.5">
      <c r="A540" s="683"/>
      <c r="B540" s="683"/>
      <c r="C540" s="683"/>
      <c r="D540" s="683"/>
      <c r="E540" s="683"/>
      <c r="F540" s="683"/>
      <c r="G540" s="683"/>
      <c r="H540" s="683"/>
      <c r="I540" s="683"/>
      <c r="J540" s="683"/>
      <c r="K540" s="683"/>
      <c r="L540" s="683"/>
      <c r="M540" s="683"/>
      <c r="N540" s="683"/>
      <c r="O540" s="683"/>
      <c r="P540" s="683"/>
      <c r="Q540" s="683"/>
    </row>
    <row r="541" spans="1:17" ht="19.5">
      <c r="A541" s="683"/>
      <c r="B541" s="683"/>
      <c r="C541" s="683"/>
      <c r="D541" s="683"/>
      <c r="E541" s="683"/>
      <c r="F541" s="683"/>
      <c r="G541" s="683"/>
      <c r="H541" s="683"/>
      <c r="I541" s="683"/>
      <c r="J541" s="683"/>
      <c r="K541" s="683"/>
      <c r="L541" s="683"/>
      <c r="M541" s="683"/>
      <c r="N541" s="683"/>
      <c r="O541" s="683"/>
      <c r="P541" s="683"/>
      <c r="Q541" s="683"/>
    </row>
    <row r="542" spans="1:17" ht="19.5">
      <c r="A542" s="683"/>
      <c r="B542" s="683"/>
      <c r="C542" s="683"/>
      <c r="D542" s="683"/>
      <c r="E542" s="683"/>
      <c r="F542" s="683"/>
      <c r="G542" s="683"/>
      <c r="H542" s="683"/>
      <c r="I542" s="683"/>
      <c r="J542" s="683"/>
      <c r="K542" s="683"/>
      <c r="L542" s="683"/>
      <c r="M542" s="683"/>
      <c r="N542" s="683"/>
      <c r="O542" s="683"/>
      <c r="P542" s="683"/>
      <c r="Q542" s="683"/>
    </row>
    <row r="543" spans="1:17" ht="19.5">
      <c r="A543" s="683"/>
      <c r="B543" s="683"/>
      <c r="C543" s="683"/>
      <c r="D543" s="683"/>
      <c r="E543" s="683"/>
      <c r="F543" s="683"/>
      <c r="G543" s="683"/>
      <c r="H543" s="683"/>
      <c r="I543" s="683"/>
      <c r="J543" s="683"/>
      <c r="K543" s="683"/>
      <c r="L543" s="683"/>
      <c r="M543" s="683"/>
      <c r="N543" s="683"/>
      <c r="O543" s="683"/>
      <c r="P543" s="683"/>
      <c r="Q543" s="683"/>
    </row>
    <row r="544" spans="1:17" ht="19.5">
      <c r="A544" s="683"/>
      <c r="B544" s="683"/>
      <c r="C544" s="683"/>
      <c r="D544" s="683"/>
      <c r="E544" s="683"/>
      <c r="F544" s="683"/>
      <c r="G544" s="683"/>
      <c r="H544" s="683"/>
      <c r="I544" s="683"/>
      <c r="J544" s="683"/>
      <c r="K544" s="683"/>
      <c r="L544" s="683"/>
      <c r="M544" s="683"/>
      <c r="N544" s="683"/>
      <c r="O544" s="683"/>
      <c r="P544" s="683"/>
      <c r="Q544" s="683"/>
    </row>
    <row r="545" spans="1:17" ht="19.5">
      <c r="A545" s="683"/>
      <c r="B545" s="683"/>
      <c r="C545" s="683"/>
      <c r="D545" s="683"/>
      <c r="E545" s="683"/>
      <c r="F545" s="683"/>
      <c r="G545" s="683"/>
      <c r="H545" s="683"/>
      <c r="I545" s="683"/>
      <c r="J545" s="683"/>
      <c r="K545" s="683"/>
      <c r="L545" s="683"/>
      <c r="M545" s="683"/>
      <c r="N545" s="683"/>
      <c r="O545" s="683"/>
      <c r="P545" s="683"/>
      <c r="Q545" s="683"/>
    </row>
    <row r="546" spans="1:17" ht="19.5">
      <c r="A546" s="683"/>
      <c r="B546" s="683"/>
      <c r="C546" s="683"/>
      <c r="D546" s="683"/>
      <c r="E546" s="683"/>
      <c r="F546" s="683"/>
      <c r="G546" s="683"/>
      <c r="H546" s="683"/>
      <c r="I546" s="683"/>
      <c r="J546" s="683"/>
      <c r="K546" s="683"/>
      <c r="L546" s="683"/>
      <c r="M546" s="683"/>
      <c r="N546" s="683"/>
      <c r="O546" s="683"/>
      <c r="P546" s="683"/>
      <c r="Q546" s="683"/>
    </row>
    <row r="547" spans="1:17" ht="19.5">
      <c r="A547" s="683"/>
      <c r="B547" s="683"/>
      <c r="C547" s="683"/>
      <c r="D547" s="683"/>
      <c r="E547" s="683"/>
      <c r="F547" s="683"/>
      <c r="G547" s="683"/>
      <c r="H547" s="683"/>
      <c r="I547" s="683"/>
      <c r="J547" s="683"/>
      <c r="K547" s="683"/>
      <c r="L547" s="683"/>
      <c r="M547" s="683"/>
      <c r="N547" s="683"/>
      <c r="O547" s="683"/>
      <c r="P547" s="683"/>
      <c r="Q547" s="683"/>
    </row>
    <row r="548" spans="1:17" ht="19.5">
      <c r="A548" s="683"/>
      <c r="B548" s="683"/>
      <c r="C548" s="683"/>
      <c r="D548" s="683"/>
      <c r="E548" s="683"/>
      <c r="F548" s="683"/>
      <c r="G548" s="683"/>
      <c r="H548" s="683"/>
      <c r="I548" s="683"/>
      <c r="J548" s="683"/>
      <c r="K548" s="683"/>
      <c r="L548" s="683"/>
      <c r="M548" s="683"/>
      <c r="N548" s="683"/>
      <c r="O548" s="683"/>
      <c r="P548" s="683"/>
      <c r="Q548" s="683"/>
    </row>
    <row r="549" spans="1:17" ht="19.5">
      <c r="A549" s="683"/>
      <c r="B549" s="683"/>
      <c r="C549" s="683"/>
      <c r="D549" s="683"/>
      <c r="E549" s="683"/>
      <c r="F549" s="683"/>
      <c r="G549" s="683"/>
      <c r="H549" s="683"/>
      <c r="I549" s="683"/>
      <c r="J549" s="683"/>
      <c r="K549" s="683"/>
      <c r="L549" s="683"/>
      <c r="M549" s="683"/>
      <c r="N549" s="683"/>
      <c r="O549" s="683"/>
      <c r="P549" s="683"/>
      <c r="Q549" s="683"/>
    </row>
    <row r="550" spans="1:17" ht="19.5">
      <c r="A550" s="683"/>
      <c r="B550" s="683"/>
      <c r="C550" s="683"/>
      <c r="D550" s="683"/>
      <c r="E550" s="683"/>
      <c r="F550" s="683"/>
      <c r="G550" s="683"/>
      <c r="H550" s="683"/>
      <c r="I550" s="683"/>
      <c r="J550" s="683"/>
      <c r="K550" s="683"/>
      <c r="L550" s="683"/>
      <c r="M550" s="683"/>
      <c r="N550" s="683"/>
      <c r="O550" s="683"/>
      <c r="P550" s="683"/>
      <c r="Q550" s="683"/>
    </row>
    <row r="551" spans="1:17" ht="19.5">
      <c r="A551" s="683"/>
      <c r="B551" s="683"/>
      <c r="C551" s="683"/>
      <c r="D551" s="683"/>
      <c r="E551" s="683"/>
      <c r="F551" s="683"/>
      <c r="G551" s="683"/>
      <c r="H551" s="683"/>
      <c r="I551" s="683"/>
      <c r="J551" s="683"/>
      <c r="K551" s="683"/>
      <c r="L551" s="683"/>
      <c r="M551" s="683"/>
      <c r="N551" s="683"/>
      <c r="O551" s="683"/>
      <c r="P551" s="683"/>
      <c r="Q551" s="683"/>
    </row>
    <row r="552" spans="1:17" ht="19.5">
      <c r="A552" s="683"/>
      <c r="B552" s="683"/>
      <c r="C552" s="683"/>
      <c r="D552" s="683"/>
      <c r="E552" s="683"/>
      <c r="F552" s="683"/>
      <c r="G552" s="683"/>
      <c r="H552" s="683"/>
      <c r="I552" s="683"/>
      <c r="J552" s="683"/>
      <c r="K552" s="683"/>
      <c r="L552" s="683"/>
      <c r="M552" s="683"/>
      <c r="N552" s="683"/>
      <c r="O552" s="683"/>
      <c r="P552" s="683"/>
      <c r="Q552" s="683"/>
    </row>
    <row r="553" spans="1:17" ht="19.5">
      <c r="A553" s="683"/>
      <c r="B553" s="683"/>
      <c r="C553" s="683"/>
      <c r="D553" s="683"/>
      <c r="E553" s="683"/>
      <c r="F553" s="683"/>
      <c r="G553" s="683"/>
      <c r="H553" s="683"/>
      <c r="I553" s="683"/>
      <c r="J553" s="683"/>
      <c r="K553" s="683"/>
      <c r="L553" s="683"/>
      <c r="M553" s="683"/>
      <c r="N553" s="683"/>
      <c r="O553" s="683"/>
      <c r="P553" s="683"/>
      <c r="Q553" s="683"/>
    </row>
    <row r="554" spans="1:17" ht="19.5">
      <c r="A554" s="683"/>
      <c r="B554" s="683"/>
      <c r="C554" s="683"/>
      <c r="D554" s="683"/>
      <c r="E554" s="683"/>
      <c r="F554" s="683"/>
      <c r="G554" s="683"/>
      <c r="H554" s="683"/>
      <c r="I554" s="683"/>
      <c r="J554" s="683"/>
      <c r="K554" s="683"/>
      <c r="L554" s="683"/>
      <c r="M554" s="683"/>
      <c r="N554" s="683"/>
      <c r="O554" s="683"/>
      <c r="P554" s="683"/>
      <c r="Q554" s="683"/>
    </row>
    <row r="555" spans="1:17" ht="19.5">
      <c r="A555" s="683"/>
      <c r="B555" s="683"/>
      <c r="C555" s="683"/>
      <c r="D555" s="683"/>
      <c r="E555" s="683"/>
      <c r="F555" s="683"/>
      <c r="G555" s="683"/>
      <c r="H555" s="683"/>
      <c r="I555" s="683"/>
      <c r="J555" s="683"/>
      <c r="K555" s="683"/>
      <c r="L555" s="683"/>
      <c r="M555" s="683"/>
      <c r="N555" s="683"/>
      <c r="O555" s="683"/>
      <c r="P555" s="683"/>
      <c r="Q555" s="683"/>
    </row>
    <row r="556" spans="1:17" ht="19.5">
      <c r="A556" s="683"/>
      <c r="B556" s="683"/>
      <c r="C556" s="683"/>
      <c r="D556" s="683"/>
      <c r="E556" s="683"/>
      <c r="F556" s="683"/>
      <c r="G556" s="683"/>
      <c r="H556" s="683"/>
      <c r="I556" s="683"/>
      <c r="J556" s="683"/>
      <c r="K556" s="683"/>
      <c r="L556" s="683"/>
      <c r="M556" s="683"/>
      <c r="N556" s="683"/>
      <c r="O556" s="683"/>
      <c r="P556" s="683"/>
      <c r="Q556" s="683"/>
    </row>
    <row r="557" spans="1:17" ht="19.5">
      <c r="A557" s="683"/>
      <c r="B557" s="683"/>
      <c r="C557" s="683"/>
      <c r="D557" s="683"/>
      <c r="E557" s="683"/>
      <c r="F557" s="683"/>
      <c r="G557" s="683"/>
      <c r="H557" s="683"/>
      <c r="I557" s="683"/>
      <c r="J557" s="683"/>
      <c r="K557" s="683"/>
      <c r="L557" s="683"/>
      <c r="M557" s="683"/>
      <c r="N557" s="683"/>
      <c r="O557" s="683"/>
      <c r="P557" s="683"/>
      <c r="Q557" s="683"/>
    </row>
    <row r="558" spans="1:17" ht="19.5">
      <c r="A558" s="683"/>
      <c r="B558" s="683"/>
      <c r="C558" s="683"/>
      <c r="D558" s="683"/>
      <c r="E558" s="683"/>
      <c r="F558" s="683"/>
      <c r="G558" s="683"/>
      <c r="H558" s="683"/>
      <c r="I558" s="683"/>
      <c r="J558" s="683"/>
      <c r="K558" s="683"/>
      <c r="L558" s="683"/>
      <c r="M558" s="683"/>
      <c r="N558" s="683"/>
      <c r="O558" s="683"/>
      <c r="P558" s="683"/>
      <c r="Q558" s="683"/>
    </row>
    <row r="559" spans="1:17" ht="19.5">
      <c r="A559" s="683"/>
      <c r="B559" s="683"/>
      <c r="C559" s="683"/>
      <c r="D559" s="683"/>
      <c r="E559" s="683"/>
      <c r="F559" s="683"/>
      <c r="G559" s="683"/>
      <c r="H559" s="683"/>
      <c r="I559" s="683"/>
      <c r="J559" s="683"/>
      <c r="K559" s="683"/>
      <c r="L559" s="683"/>
      <c r="M559" s="683"/>
      <c r="N559" s="683"/>
      <c r="O559" s="683"/>
      <c r="P559" s="683"/>
      <c r="Q559" s="683"/>
    </row>
    <row r="560" spans="1:17" ht="19.5">
      <c r="A560" s="683"/>
      <c r="B560" s="683"/>
      <c r="C560" s="683"/>
      <c r="D560" s="683"/>
      <c r="E560" s="683"/>
      <c r="F560" s="683"/>
      <c r="G560" s="683"/>
      <c r="H560" s="683"/>
      <c r="I560" s="683"/>
      <c r="J560" s="683"/>
      <c r="K560" s="683"/>
      <c r="L560" s="683"/>
      <c r="M560" s="683"/>
      <c r="N560" s="683"/>
      <c r="O560" s="683"/>
      <c r="P560" s="683"/>
      <c r="Q560" s="683"/>
    </row>
    <row r="561" spans="1:17" ht="19.5">
      <c r="A561" s="683"/>
      <c r="B561" s="683"/>
      <c r="C561" s="683"/>
      <c r="D561" s="683"/>
      <c r="E561" s="683"/>
      <c r="F561" s="683"/>
      <c r="G561" s="683"/>
      <c r="H561" s="683"/>
      <c r="I561" s="683"/>
      <c r="J561" s="683"/>
      <c r="K561" s="683"/>
      <c r="L561" s="683"/>
      <c r="M561" s="683"/>
      <c r="N561" s="683"/>
      <c r="O561" s="683"/>
      <c r="P561" s="683"/>
      <c r="Q561" s="683"/>
    </row>
    <row r="562" spans="1:17" ht="19.5">
      <c r="A562" s="683"/>
      <c r="B562" s="683"/>
      <c r="C562" s="683"/>
      <c r="D562" s="683"/>
      <c r="E562" s="683"/>
      <c r="F562" s="683"/>
      <c r="G562" s="683"/>
      <c r="H562" s="683"/>
      <c r="I562" s="683"/>
      <c r="J562" s="683"/>
      <c r="K562" s="683"/>
      <c r="L562" s="683"/>
      <c r="M562" s="683"/>
      <c r="N562" s="683"/>
      <c r="O562" s="683"/>
      <c r="P562" s="683"/>
      <c r="Q562" s="683"/>
    </row>
    <row r="563" spans="1:17" ht="19.5">
      <c r="A563" s="683"/>
      <c r="B563" s="683"/>
      <c r="C563" s="683"/>
      <c r="D563" s="683"/>
      <c r="E563" s="683"/>
      <c r="F563" s="683"/>
      <c r="G563" s="683"/>
      <c r="H563" s="683"/>
      <c r="I563" s="683"/>
      <c r="J563" s="683"/>
      <c r="K563" s="683"/>
      <c r="L563" s="683"/>
      <c r="M563" s="683"/>
      <c r="N563" s="683"/>
      <c r="O563" s="683"/>
      <c r="P563" s="683"/>
      <c r="Q563" s="683"/>
    </row>
    <row r="564" spans="1:17" ht="19.5">
      <c r="A564" s="683"/>
      <c r="B564" s="683"/>
      <c r="C564" s="683"/>
      <c r="D564" s="683"/>
      <c r="E564" s="683"/>
      <c r="F564" s="683"/>
      <c r="G564" s="683"/>
      <c r="H564" s="683"/>
      <c r="I564" s="683"/>
      <c r="J564" s="683"/>
      <c r="K564" s="683"/>
      <c r="L564" s="683"/>
      <c r="M564" s="683"/>
      <c r="N564" s="683"/>
      <c r="O564" s="683"/>
      <c r="P564" s="683"/>
      <c r="Q564" s="683"/>
    </row>
    <row r="565" spans="1:17" ht="19.5">
      <c r="A565" s="683"/>
      <c r="B565" s="683"/>
      <c r="C565" s="683"/>
      <c r="D565" s="683"/>
      <c r="E565" s="683"/>
      <c r="F565" s="683"/>
      <c r="G565" s="683"/>
      <c r="H565" s="683"/>
      <c r="I565" s="683"/>
      <c r="J565" s="683"/>
      <c r="K565" s="683"/>
      <c r="L565" s="683"/>
      <c r="M565" s="683"/>
      <c r="N565" s="683"/>
      <c r="O565" s="683"/>
      <c r="P565" s="683"/>
      <c r="Q565" s="683"/>
    </row>
    <row r="566" spans="1:17" ht="19.5">
      <c r="A566" s="683"/>
      <c r="B566" s="683"/>
      <c r="C566" s="683"/>
      <c r="D566" s="683"/>
      <c r="E566" s="683"/>
      <c r="F566" s="683"/>
      <c r="G566" s="683"/>
      <c r="H566" s="683"/>
      <c r="I566" s="683"/>
      <c r="J566" s="683"/>
      <c r="K566" s="683"/>
      <c r="L566" s="683"/>
      <c r="M566" s="683"/>
      <c r="N566" s="683"/>
      <c r="O566" s="683"/>
      <c r="P566" s="683"/>
      <c r="Q566" s="683"/>
    </row>
    <row r="567" spans="1:17" ht="19.5">
      <c r="A567" s="683"/>
      <c r="B567" s="683"/>
      <c r="C567" s="683"/>
      <c r="D567" s="683"/>
      <c r="E567" s="683"/>
      <c r="F567" s="683"/>
      <c r="G567" s="683"/>
      <c r="H567" s="683"/>
      <c r="I567" s="683"/>
      <c r="J567" s="683"/>
      <c r="K567" s="683"/>
      <c r="L567" s="683"/>
      <c r="M567" s="683"/>
      <c r="N567" s="683"/>
      <c r="O567" s="683"/>
      <c r="P567" s="683"/>
      <c r="Q567" s="683"/>
    </row>
    <row r="568" spans="1:17" ht="19.5">
      <c r="A568" s="683"/>
      <c r="B568" s="683"/>
      <c r="C568" s="683"/>
      <c r="D568" s="683"/>
      <c r="E568" s="683"/>
      <c r="F568" s="683"/>
      <c r="G568" s="683"/>
      <c r="H568" s="683"/>
      <c r="I568" s="683"/>
      <c r="J568" s="683"/>
      <c r="K568" s="683"/>
      <c r="L568" s="683"/>
      <c r="M568" s="683"/>
      <c r="N568" s="683"/>
      <c r="O568" s="683"/>
      <c r="P568" s="683"/>
      <c r="Q568" s="683"/>
    </row>
    <row r="569" spans="1:17" ht="19.5">
      <c r="A569" s="683"/>
      <c r="B569" s="683"/>
      <c r="C569" s="683"/>
      <c r="D569" s="683"/>
      <c r="E569" s="683"/>
      <c r="F569" s="683"/>
      <c r="G569" s="683"/>
      <c r="H569" s="683"/>
      <c r="I569" s="683"/>
      <c r="J569" s="683"/>
      <c r="K569" s="683"/>
      <c r="L569" s="683"/>
      <c r="M569" s="683"/>
      <c r="N569" s="683"/>
      <c r="O569" s="683"/>
      <c r="P569" s="683"/>
      <c r="Q569" s="683"/>
    </row>
    <row r="570" spans="1:17" ht="19.5">
      <c r="A570" s="683"/>
      <c r="B570" s="683"/>
      <c r="C570" s="683"/>
      <c r="D570" s="683"/>
      <c r="E570" s="683"/>
      <c r="F570" s="683"/>
      <c r="G570" s="683"/>
      <c r="H570" s="683"/>
      <c r="I570" s="683"/>
      <c r="J570" s="683"/>
      <c r="K570" s="683"/>
      <c r="L570" s="683"/>
      <c r="M570" s="683"/>
      <c r="N570" s="683"/>
      <c r="O570" s="683"/>
      <c r="P570" s="683"/>
      <c r="Q570" s="683"/>
    </row>
    <row r="571" spans="1:17" ht="19.5">
      <c r="A571" s="683"/>
      <c r="B571" s="683"/>
      <c r="C571" s="683"/>
      <c r="D571" s="683"/>
      <c r="E571" s="683"/>
      <c r="F571" s="683"/>
      <c r="G571" s="683"/>
      <c r="H571" s="683"/>
      <c r="I571" s="683"/>
      <c r="J571" s="683"/>
      <c r="K571" s="683"/>
      <c r="L571" s="683"/>
      <c r="M571" s="683"/>
      <c r="N571" s="683"/>
      <c r="O571" s="683"/>
      <c r="P571" s="683"/>
      <c r="Q571" s="683"/>
    </row>
    <row r="572" spans="1:17" ht="19.5">
      <c r="A572" s="683"/>
      <c r="B572" s="683"/>
      <c r="C572" s="683"/>
      <c r="D572" s="683"/>
      <c r="E572" s="683"/>
      <c r="F572" s="683"/>
      <c r="G572" s="683"/>
      <c r="H572" s="683"/>
      <c r="I572" s="683"/>
      <c r="J572" s="683"/>
      <c r="K572" s="683"/>
      <c r="L572" s="683"/>
      <c r="M572" s="683"/>
      <c r="N572" s="683"/>
      <c r="O572" s="683"/>
      <c r="P572" s="683"/>
      <c r="Q572" s="683"/>
    </row>
    <row r="573" spans="1:17" ht="19.5">
      <c r="A573" s="683"/>
      <c r="B573" s="683"/>
      <c r="C573" s="683"/>
      <c r="D573" s="683"/>
      <c r="E573" s="683"/>
      <c r="F573" s="683"/>
      <c r="G573" s="683"/>
      <c r="H573" s="683"/>
      <c r="I573" s="683"/>
      <c r="J573" s="683"/>
      <c r="K573" s="683"/>
      <c r="L573" s="683"/>
      <c r="M573" s="683"/>
      <c r="N573" s="683"/>
      <c r="O573" s="683"/>
      <c r="P573" s="683"/>
      <c r="Q573" s="683"/>
    </row>
    <row r="574" spans="1:17" ht="19.5">
      <c r="A574" s="683"/>
      <c r="B574" s="683"/>
      <c r="C574" s="683"/>
      <c r="D574" s="683"/>
      <c r="E574" s="683"/>
      <c r="F574" s="683"/>
      <c r="G574" s="683"/>
      <c r="H574" s="683"/>
      <c r="I574" s="683"/>
      <c r="J574" s="683"/>
      <c r="K574" s="683"/>
      <c r="L574" s="683"/>
      <c r="M574" s="683"/>
      <c r="N574" s="683"/>
      <c r="O574" s="683"/>
      <c r="P574" s="683"/>
      <c r="Q574" s="683"/>
    </row>
    <row r="575" spans="1:17" ht="19.5">
      <c r="A575" s="683"/>
      <c r="B575" s="683"/>
      <c r="C575" s="683"/>
      <c r="D575" s="683"/>
      <c r="E575" s="683"/>
      <c r="F575" s="683"/>
      <c r="G575" s="683"/>
      <c r="H575" s="683"/>
      <c r="I575" s="683"/>
      <c r="J575" s="683"/>
      <c r="K575" s="683"/>
      <c r="L575" s="683"/>
      <c r="M575" s="683"/>
      <c r="N575" s="683"/>
      <c r="O575" s="683"/>
      <c r="P575" s="683"/>
      <c r="Q575" s="683"/>
    </row>
    <row r="576" spans="1:17" ht="19.5">
      <c r="A576" s="683"/>
      <c r="B576" s="683"/>
      <c r="C576" s="683"/>
      <c r="D576" s="683"/>
      <c r="E576" s="683"/>
      <c r="F576" s="683"/>
      <c r="G576" s="683"/>
      <c r="H576" s="683"/>
      <c r="I576" s="683"/>
      <c r="J576" s="683"/>
      <c r="K576" s="683"/>
      <c r="L576" s="683"/>
      <c r="M576" s="683"/>
      <c r="N576" s="683"/>
      <c r="O576" s="683"/>
      <c r="P576" s="683"/>
      <c r="Q576" s="683"/>
    </row>
    <row r="577" spans="1:17" ht="19.5">
      <c r="A577" s="683"/>
      <c r="B577" s="683"/>
      <c r="C577" s="683"/>
      <c r="D577" s="683"/>
      <c r="E577" s="683"/>
      <c r="F577" s="683"/>
      <c r="G577" s="683"/>
      <c r="H577" s="683"/>
      <c r="I577" s="683"/>
      <c r="J577" s="683"/>
      <c r="K577" s="683"/>
      <c r="L577" s="683"/>
      <c r="M577" s="683"/>
      <c r="N577" s="683"/>
      <c r="O577" s="683"/>
      <c r="P577" s="683"/>
      <c r="Q577" s="683"/>
    </row>
    <row r="578" spans="1:17" ht="19.5">
      <c r="A578" s="683"/>
      <c r="B578" s="683"/>
      <c r="C578" s="683"/>
      <c r="D578" s="683"/>
      <c r="E578" s="683"/>
      <c r="F578" s="683"/>
      <c r="G578" s="683"/>
      <c r="H578" s="683"/>
      <c r="I578" s="683"/>
      <c r="J578" s="683"/>
      <c r="K578" s="683"/>
      <c r="L578" s="683"/>
      <c r="M578" s="683"/>
      <c r="N578" s="683"/>
      <c r="O578" s="683"/>
      <c r="P578" s="683"/>
      <c r="Q578" s="683"/>
    </row>
    <row r="579" spans="1:17" ht="19.5">
      <c r="A579" s="683"/>
      <c r="B579" s="683"/>
      <c r="C579" s="683"/>
      <c r="D579" s="683"/>
      <c r="E579" s="683"/>
      <c r="F579" s="683"/>
      <c r="G579" s="683"/>
      <c r="H579" s="683"/>
      <c r="I579" s="683"/>
      <c r="J579" s="683"/>
      <c r="K579" s="683"/>
      <c r="L579" s="683"/>
      <c r="M579" s="683"/>
      <c r="N579" s="683"/>
      <c r="O579" s="683"/>
      <c r="P579" s="683"/>
      <c r="Q579" s="683"/>
    </row>
    <row r="580" spans="1:17" ht="19.5">
      <c r="A580" s="683"/>
      <c r="B580" s="683"/>
      <c r="C580" s="683"/>
      <c r="D580" s="683"/>
      <c r="E580" s="683"/>
      <c r="F580" s="683"/>
      <c r="G580" s="683"/>
      <c r="H580" s="683"/>
      <c r="I580" s="683"/>
      <c r="J580" s="683"/>
      <c r="K580" s="683"/>
      <c r="L580" s="683"/>
      <c r="M580" s="683"/>
      <c r="N580" s="683"/>
      <c r="O580" s="683"/>
      <c r="P580" s="683"/>
      <c r="Q580" s="683"/>
    </row>
    <row r="581" spans="1:17" ht="19.5">
      <c r="A581" s="683"/>
      <c r="B581" s="683"/>
      <c r="C581" s="683"/>
      <c r="D581" s="683"/>
      <c r="E581" s="683"/>
      <c r="F581" s="683"/>
      <c r="G581" s="683"/>
      <c r="H581" s="683"/>
      <c r="I581" s="683"/>
      <c r="J581" s="683"/>
      <c r="K581" s="683"/>
      <c r="L581" s="683"/>
      <c r="M581" s="683"/>
      <c r="N581" s="683"/>
      <c r="O581" s="683"/>
      <c r="P581" s="683"/>
      <c r="Q581" s="683"/>
    </row>
    <row r="582" spans="1:17" ht="19.5">
      <c r="A582" s="683"/>
      <c r="B582" s="683"/>
      <c r="C582" s="683"/>
      <c r="D582" s="683"/>
      <c r="E582" s="683"/>
      <c r="F582" s="683"/>
      <c r="G582" s="683"/>
      <c r="H582" s="683"/>
      <c r="I582" s="683"/>
      <c r="J582" s="683"/>
      <c r="K582" s="683"/>
      <c r="L582" s="683"/>
      <c r="M582" s="683"/>
      <c r="N582" s="683"/>
      <c r="O582" s="683"/>
      <c r="P582" s="683"/>
      <c r="Q582" s="683"/>
    </row>
    <row r="583" spans="1:17" ht="19.5">
      <c r="A583" s="683"/>
      <c r="B583" s="683"/>
      <c r="C583" s="683"/>
      <c r="D583" s="683"/>
      <c r="E583" s="683"/>
      <c r="F583" s="683"/>
      <c r="G583" s="683"/>
      <c r="H583" s="683"/>
      <c r="I583" s="683"/>
      <c r="J583" s="683"/>
      <c r="K583" s="683"/>
      <c r="L583" s="683"/>
      <c r="M583" s="683"/>
      <c r="N583" s="683"/>
      <c r="O583" s="683"/>
      <c r="P583" s="683"/>
      <c r="Q583" s="683"/>
    </row>
    <row r="584" spans="1:17" ht="19.5">
      <c r="A584" s="683"/>
      <c r="B584" s="683"/>
      <c r="C584" s="683"/>
      <c r="D584" s="683"/>
      <c r="E584" s="683"/>
      <c r="F584" s="683"/>
      <c r="G584" s="683"/>
      <c r="H584" s="683"/>
      <c r="I584" s="683"/>
      <c r="J584" s="683"/>
      <c r="K584" s="683"/>
      <c r="L584" s="683"/>
      <c r="M584" s="683"/>
      <c r="N584" s="683"/>
      <c r="O584" s="683"/>
      <c r="P584" s="683"/>
      <c r="Q584" s="683"/>
    </row>
    <row r="585" spans="1:17" ht="19.5">
      <c r="A585" s="683"/>
      <c r="B585" s="683"/>
      <c r="C585" s="683"/>
      <c r="D585" s="683"/>
      <c r="E585" s="683"/>
      <c r="F585" s="683"/>
      <c r="G585" s="683"/>
      <c r="H585" s="683"/>
      <c r="I585" s="683"/>
      <c r="J585" s="683"/>
      <c r="K585" s="683"/>
      <c r="L585" s="683"/>
      <c r="M585" s="683"/>
      <c r="N585" s="683"/>
      <c r="O585" s="683"/>
      <c r="P585" s="683"/>
      <c r="Q585" s="683"/>
    </row>
    <row r="586" spans="1:17" ht="19.5">
      <c r="A586" s="683"/>
      <c r="B586" s="683"/>
      <c r="C586" s="683"/>
      <c r="D586" s="683"/>
      <c r="E586" s="683"/>
      <c r="F586" s="683"/>
      <c r="G586" s="683"/>
      <c r="H586" s="683"/>
      <c r="I586" s="683"/>
      <c r="J586" s="683"/>
      <c r="K586" s="683"/>
      <c r="L586" s="683"/>
      <c r="M586" s="683"/>
      <c r="N586" s="683"/>
      <c r="O586" s="683"/>
      <c r="P586" s="683"/>
      <c r="Q586" s="683"/>
    </row>
    <row r="587" spans="1:17" ht="19.5">
      <c r="A587" s="683"/>
      <c r="B587" s="683"/>
      <c r="C587" s="683"/>
      <c r="D587" s="683"/>
      <c r="E587" s="683"/>
      <c r="F587" s="683"/>
      <c r="G587" s="683"/>
      <c r="H587" s="683"/>
      <c r="I587" s="683"/>
      <c r="J587" s="683"/>
      <c r="K587" s="683"/>
      <c r="L587" s="683"/>
      <c r="M587" s="683"/>
      <c r="N587" s="683"/>
      <c r="O587" s="683"/>
      <c r="P587" s="683"/>
      <c r="Q587" s="683"/>
    </row>
    <row r="588" spans="1:17" ht="19.5">
      <c r="A588" s="683"/>
      <c r="B588" s="683"/>
      <c r="C588" s="683"/>
      <c r="D588" s="683"/>
      <c r="E588" s="683"/>
      <c r="F588" s="683"/>
      <c r="G588" s="683"/>
      <c r="H588" s="683"/>
      <c r="I588" s="683"/>
      <c r="J588" s="683"/>
      <c r="K588" s="683"/>
      <c r="L588" s="683"/>
      <c r="M588" s="683"/>
      <c r="N588" s="683"/>
      <c r="O588" s="683"/>
      <c r="P588" s="683"/>
      <c r="Q588" s="683"/>
    </row>
    <row r="589" spans="1:17" ht="19.5">
      <c r="A589" s="683"/>
      <c r="B589" s="683"/>
      <c r="C589" s="683"/>
      <c r="D589" s="683"/>
      <c r="E589" s="683"/>
      <c r="F589" s="683"/>
      <c r="G589" s="683"/>
      <c r="H589" s="683"/>
      <c r="I589" s="683"/>
      <c r="J589" s="683"/>
      <c r="K589" s="683"/>
      <c r="L589" s="683"/>
      <c r="M589" s="683"/>
      <c r="N589" s="683"/>
      <c r="O589" s="683"/>
      <c r="P589" s="683"/>
      <c r="Q589" s="683"/>
    </row>
    <row r="590" spans="1:17" ht="19.5">
      <c r="A590" s="683"/>
      <c r="B590" s="683"/>
      <c r="C590" s="683"/>
      <c r="D590" s="683"/>
      <c r="E590" s="683"/>
      <c r="F590" s="683"/>
      <c r="G590" s="683"/>
      <c r="H590" s="683"/>
      <c r="I590" s="683"/>
      <c r="J590" s="683"/>
      <c r="K590" s="683"/>
      <c r="L590" s="683"/>
      <c r="M590" s="683"/>
      <c r="N590" s="683"/>
      <c r="O590" s="683"/>
      <c r="P590" s="683"/>
      <c r="Q590" s="683"/>
    </row>
    <row r="591" spans="1:17" ht="19.5">
      <c r="A591" s="683"/>
      <c r="B591" s="683"/>
      <c r="C591" s="683"/>
      <c r="D591" s="683"/>
      <c r="E591" s="683"/>
      <c r="F591" s="683"/>
      <c r="G591" s="683"/>
      <c r="H591" s="683"/>
      <c r="I591" s="683"/>
      <c r="J591" s="683"/>
      <c r="K591" s="683"/>
      <c r="L591" s="683"/>
      <c r="M591" s="683"/>
      <c r="N591" s="683"/>
      <c r="O591" s="683"/>
      <c r="P591" s="683"/>
      <c r="Q591" s="683"/>
    </row>
    <row r="592" spans="1:17" ht="19.5">
      <c r="A592" s="683"/>
      <c r="B592" s="683"/>
      <c r="C592" s="683"/>
      <c r="D592" s="683"/>
      <c r="E592" s="683"/>
      <c r="F592" s="683"/>
      <c r="G592" s="683"/>
      <c r="H592" s="683"/>
      <c r="I592" s="683"/>
      <c r="J592" s="683"/>
      <c r="K592" s="683"/>
      <c r="L592" s="683"/>
      <c r="M592" s="683"/>
      <c r="N592" s="683"/>
      <c r="O592" s="683"/>
      <c r="P592" s="683"/>
      <c r="Q592" s="683"/>
    </row>
    <row r="593" spans="1:17" ht="19.5">
      <c r="A593" s="683"/>
      <c r="B593" s="683"/>
      <c r="C593" s="683"/>
      <c r="D593" s="683"/>
      <c r="E593" s="683"/>
      <c r="F593" s="683"/>
      <c r="G593" s="683"/>
      <c r="H593" s="683"/>
      <c r="I593" s="683"/>
      <c r="J593" s="683"/>
      <c r="K593" s="683"/>
      <c r="L593" s="683"/>
      <c r="M593" s="683"/>
      <c r="N593" s="683"/>
      <c r="O593" s="683"/>
      <c r="P593" s="683"/>
      <c r="Q593" s="683"/>
    </row>
    <row r="594" spans="1:17" ht="19.5">
      <c r="A594" s="683"/>
      <c r="B594" s="683"/>
      <c r="C594" s="683"/>
      <c r="D594" s="683"/>
      <c r="E594" s="683"/>
      <c r="F594" s="683"/>
      <c r="G594" s="683"/>
      <c r="H594" s="683"/>
      <c r="I594" s="683"/>
      <c r="J594" s="683"/>
      <c r="K594" s="683"/>
      <c r="L594" s="683"/>
      <c r="M594" s="683"/>
      <c r="N594" s="683"/>
      <c r="O594" s="683"/>
      <c r="P594" s="683"/>
      <c r="Q594" s="683"/>
    </row>
    <row r="595" spans="1:17" ht="19.5">
      <c r="A595" s="683"/>
      <c r="B595" s="683"/>
      <c r="C595" s="683"/>
      <c r="D595" s="683"/>
      <c r="E595" s="683"/>
      <c r="F595" s="683"/>
      <c r="G595" s="683"/>
      <c r="H595" s="683"/>
      <c r="I595" s="683"/>
      <c r="J595" s="683"/>
      <c r="K595" s="683"/>
      <c r="L595" s="683"/>
      <c r="M595" s="683"/>
      <c r="N595" s="683"/>
      <c r="O595" s="683"/>
      <c r="P595" s="683"/>
      <c r="Q595" s="683"/>
    </row>
    <row r="596" spans="1:17" ht="19.5">
      <c r="A596" s="683"/>
      <c r="B596" s="683"/>
      <c r="C596" s="683"/>
      <c r="D596" s="683"/>
      <c r="E596" s="683"/>
      <c r="F596" s="683"/>
      <c r="G596" s="683"/>
      <c r="H596" s="683"/>
      <c r="I596" s="683"/>
      <c r="J596" s="683"/>
      <c r="K596" s="683"/>
      <c r="L596" s="683"/>
      <c r="M596" s="683"/>
      <c r="N596" s="683"/>
      <c r="O596" s="683"/>
      <c r="P596" s="683"/>
      <c r="Q596" s="683"/>
    </row>
    <row r="597" spans="1:17" ht="19.5">
      <c r="A597" s="683"/>
      <c r="B597" s="683"/>
      <c r="C597" s="683"/>
      <c r="D597" s="683"/>
      <c r="E597" s="683"/>
      <c r="F597" s="683"/>
      <c r="G597" s="683"/>
      <c r="H597" s="683"/>
      <c r="I597" s="683"/>
      <c r="J597" s="683"/>
      <c r="K597" s="683"/>
      <c r="L597" s="683"/>
      <c r="M597" s="683"/>
      <c r="N597" s="683"/>
      <c r="O597" s="683"/>
      <c r="P597" s="683"/>
      <c r="Q597" s="683"/>
    </row>
    <row r="598" spans="1:17" ht="19.5">
      <c r="A598" s="683"/>
      <c r="B598" s="683"/>
      <c r="C598" s="683"/>
      <c r="D598" s="683"/>
      <c r="E598" s="683"/>
      <c r="F598" s="683"/>
      <c r="G598" s="683"/>
      <c r="H598" s="683"/>
      <c r="I598" s="683"/>
      <c r="J598" s="683"/>
      <c r="K598" s="683"/>
      <c r="L598" s="683"/>
      <c r="M598" s="683"/>
      <c r="N598" s="683"/>
      <c r="O598" s="683"/>
      <c r="P598" s="683"/>
      <c r="Q598" s="683"/>
    </row>
    <row r="599" spans="1:17" ht="19.5">
      <c r="A599" s="683"/>
      <c r="B599" s="683"/>
      <c r="C599" s="683"/>
      <c r="D599" s="683"/>
      <c r="E599" s="683"/>
      <c r="F599" s="683"/>
      <c r="G599" s="683"/>
      <c r="H599" s="683"/>
      <c r="I599" s="683"/>
      <c r="J599" s="683"/>
      <c r="K599" s="683"/>
      <c r="L599" s="683"/>
      <c r="M599" s="683"/>
      <c r="N599" s="683"/>
      <c r="O599" s="683"/>
      <c r="P599" s="683"/>
      <c r="Q599" s="683"/>
    </row>
    <row r="600" spans="1:17" ht="19.5">
      <c r="A600" s="683"/>
      <c r="B600" s="683"/>
      <c r="C600" s="683"/>
      <c r="D600" s="683"/>
      <c r="E600" s="683"/>
      <c r="F600" s="683"/>
      <c r="G600" s="683"/>
      <c r="H600" s="683"/>
      <c r="I600" s="683"/>
      <c r="J600" s="683"/>
      <c r="K600" s="683"/>
      <c r="L600" s="683"/>
      <c r="M600" s="683"/>
      <c r="N600" s="683"/>
      <c r="O600" s="683"/>
      <c r="P600" s="683"/>
      <c r="Q600" s="683"/>
    </row>
    <row r="601" spans="1:17" ht="19.5">
      <c r="A601" s="683"/>
      <c r="B601" s="683"/>
      <c r="C601" s="683"/>
      <c r="D601" s="683"/>
      <c r="E601" s="683"/>
      <c r="F601" s="683"/>
      <c r="G601" s="683"/>
      <c r="H601" s="683"/>
      <c r="I601" s="683"/>
      <c r="J601" s="683"/>
      <c r="K601" s="683"/>
      <c r="L601" s="683"/>
      <c r="M601" s="683"/>
      <c r="N601" s="683"/>
      <c r="O601" s="683"/>
      <c r="P601" s="683"/>
      <c r="Q601" s="683"/>
    </row>
    <row r="602" spans="1:17" ht="19.5">
      <c r="A602" s="683"/>
      <c r="B602" s="683"/>
      <c r="C602" s="683"/>
      <c r="D602" s="683"/>
      <c r="E602" s="683"/>
      <c r="F602" s="683"/>
      <c r="G602" s="683"/>
      <c r="H602" s="683"/>
      <c r="I602" s="683"/>
      <c r="J602" s="683"/>
      <c r="K602" s="683"/>
      <c r="L602" s="683"/>
      <c r="M602" s="683"/>
      <c r="N602" s="683"/>
      <c r="O602" s="683"/>
      <c r="P602" s="683"/>
      <c r="Q602" s="683"/>
    </row>
    <row r="603" spans="1:17" ht="19.5">
      <c r="A603" s="683"/>
      <c r="B603" s="683"/>
      <c r="C603" s="683"/>
      <c r="D603" s="683"/>
      <c r="E603" s="683"/>
      <c r="F603" s="683"/>
      <c r="G603" s="683"/>
      <c r="H603" s="683"/>
      <c r="I603" s="683"/>
      <c r="J603" s="683"/>
      <c r="K603" s="683"/>
      <c r="L603" s="683"/>
      <c r="M603" s="683"/>
      <c r="N603" s="683"/>
      <c r="O603" s="683"/>
      <c r="P603" s="683"/>
      <c r="Q603" s="683"/>
    </row>
    <row r="604" spans="1:17" ht="19.5">
      <c r="A604" s="683"/>
      <c r="B604" s="683"/>
      <c r="C604" s="683"/>
      <c r="D604" s="683"/>
      <c r="E604" s="683"/>
      <c r="F604" s="683"/>
      <c r="G604" s="683"/>
      <c r="H604" s="683"/>
      <c r="I604" s="683"/>
      <c r="J604" s="683"/>
      <c r="K604" s="683"/>
      <c r="L604" s="683"/>
      <c r="M604" s="683"/>
      <c r="N604" s="683"/>
      <c r="O604" s="683"/>
      <c r="P604" s="683"/>
      <c r="Q604" s="683"/>
    </row>
    <row r="605" spans="1:17" ht="19.5">
      <c r="A605" s="683"/>
      <c r="B605" s="683"/>
      <c r="C605" s="683"/>
      <c r="D605" s="683"/>
      <c r="E605" s="683"/>
      <c r="F605" s="683"/>
      <c r="G605" s="683"/>
      <c r="H605" s="683"/>
      <c r="I605" s="683"/>
      <c r="J605" s="683"/>
      <c r="K605" s="683"/>
      <c r="L605" s="683"/>
      <c r="M605" s="683"/>
      <c r="N605" s="683"/>
      <c r="O605" s="683"/>
      <c r="P605" s="683"/>
      <c r="Q605" s="683"/>
    </row>
    <row r="606" spans="1:17" ht="19.5">
      <c r="A606" s="683"/>
      <c r="B606" s="683"/>
      <c r="C606" s="683"/>
      <c r="D606" s="683"/>
      <c r="E606" s="683"/>
      <c r="F606" s="683"/>
      <c r="G606" s="683"/>
      <c r="H606" s="683"/>
      <c r="I606" s="683"/>
      <c r="J606" s="683"/>
      <c r="K606" s="683"/>
      <c r="L606" s="683"/>
      <c r="M606" s="683"/>
      <c r="N606" s="683"/>
      <c r="O606" s="683"/>
      <c r="P606" s="683"/>
      <c r="Q606" s="683"/>
    </row>
    <row r="607" spans="1:17" ht="19.5">
      <c r="A607" s="683"/>
      <c r="B607" s="683"/>
      <c r="C607" s="683"/>
      <c r="D607" s="683"/>
      <c r="E607" s="683"/>
      <c r="F607" s="683"/>
      <c r="G607" s="683"/>
      <c r="H607" s="683"/>
      <c r="I607" s="683"/>
      <c r="J607" s="683"/>
      <c r="K607" s="683"/>
      <c r="L607" s="683"/>
      <c r="M607" s="683"/>
      <c r="N607" s="683"/>
      <c r="O607" s="683"/>
      <c r="P607" s="683"/>
      <c r="Q607" s="683"/>
    </row>
    <row r="608" spans="1:17" ht="19.5">
      <c r="A608" s="683"/>
      <c r="B608" s="683"/>
      <c r="C608" s="683"/>
      <c r="D608" s="683"/>
      <c r="E608" s="683"/>
      <c r="F608" s="683"/>
      <c r="G608" s="683"/>
      <c r="H608" s="683"/>
      <c r="I608" s="683"/>
      <c r="J608" s="683"/>
      <c r="K608" s="683"/>
      <c r="L608" s="683"/>
      <c r="M608" s="683"/>
      <c r="N608" s="683"/>
      <c r="O608" s="683"/>
      <c r="P608" s="683"/>
      <c r="Q608" s="683"/>
    </row>
    <row r="609" spans="1:17" ht="19.5">
      <c r="A609" s="683"/>
      <c r="B609" s="683"/>
      <c r="C609" s="683"/>
      <c r="D609" s="683"/>
      <c r="E609" s="683"/>
      <c r="F609" s="683"/>
      <c r="G609" s="683"/>
      <c r="H609" s="683"/>
      <c r="I609" s="683"/>
      <c r="J609" s="683"/>
      <c r="K609" s="683"/>
      <c r="L609" s="683"/>
      <c r="M609" s="683"/>
      <c r="N609" s="683"/>
      <c r="O609" s="683"/>
      <c r="P609" s="683"/>
      <c r="Q609" s="683"/>
    </row>
    <row r="610" spans="1:17" ht="19.5">
      <c r="A610" s="683"/>
      <c r="B610" s="683"/>
      <c r="C610" s="683"/>
      <c r="D610" s="683"/>
      <c r="E610" s="683"/>
      <c r="F610" s="683"/>
      <c r="G610" s="683"/>
      <c r="H610" s="683"/>
      <c r="I610" s="683"/>
      <c r="J610" s="683"/>
      <c r="K610" s="683"/>
      <c r="L610" s="683"/>
      <c r="M610" s="683"/>
      <c r="N610" s="683"/>
      <c r="O610" s="683"/>
      <c r="P610" s="683"/>
      <c r="Q610" s="683"/>
    </row>
    <row r="611" spans="1:17" ht="19.5">
      <c r="A611" s="683"/>
      <c r="B611" s="683"/>
      <c r="C611" s="683"/>
      <c r="D611" s="683"/>
      <c r="E611" s="683"/>
      <c r="F611" s="683"/>
      <c r="G611" s="683"/>
      <c r="H611" s="683"/>
      <c r="I611" s="683"/>
      <c r="J611" s="683"/>
      <c r="K611" s="683"/>
      <c r="L611" s="683"/>
      <c r="M611" s="683"/>
      <c r="N611" s="683"/>
      <c r="O611" s="683"/>
      <c r="P611" s="683"/>
      <c r="Q611" s="683"/>
    </row>
    <row r="612" spans="1:17" ht="19.5">
      <c r="A612" s="683"/>
      <c r="B612" s="683"/>
      <c r="C612" s="683"/>
      <c r="D612" s="683"/>
      <c r="E612" s="683"/>
      <c r="F612" s="683"/>
      <c r="G612" s="683"/>
      <c r="H612" s="683"/>
      <c r="I612" s="683"/>
      <c r="J612" s="683"/>
      <c r="K612" s="683"/>
      <c r="L612" s="683"/>
      <c r="M612" s="683"/>
      <c r="N612" s="683"/>
      <c r="O612" s="683"/>
      <c r="P612" s="683"/>
      <c r="Q612" s="683"/>
    </row>
    <row r="613" spans="1:17" ht="19.5">
      <c r="A613" s="683"/>
      <c r="B613" s="683"/>
      <c r="C613" s="683"/>
      <c r="D613" s="683"/>
      <c r="E613" s="683"/>
      <c r="F613" s="683"/>
      <c r="G613" s="683"/>
      <c r="H613" s="683"/>
      <c r="I613" s="683"/>
      <c r="J613" s="683"/>
      <c r="K613" s="683"/>
      <c r="L613" s="683"/>
      <c r="M613" s="683"/>
      <c r="N613" s="683"/>
      <c r="O613" s="683"/>
      <c r="P613" s="683"/>
      <c r="Q613" s="683"/>
    </row>
    <row r="614" spans="1:17" ht="19.5">
      <c r="A614" s="683"/>
      <c r="B614" s="683"/>
      <c r="C614" s="683"/>
      <c r="D614" s="683"/>
      <c r="E614" s="683"/>
      <c r="F614" s="683"/>
      <c r="G614" s="683"/>
      <c r="H614" s="683"/>
      <c r="I614" s="683"/>
      <c r="J614" s="683"/>
      <c r="K614" s="683"/>
      <c r="L614" s="683"/>
      <c r="M614" s="683"/>
      <c r="N614" s="683"/>
      <c r="O614" s="683"/>
      <c r="P614" s="683"/>
      <c r="Q614" s="683"/>
    </row>
    <row r="615" spans="1:17" ht="19.5">
      <c r="A615" s="683"/>
      <c r="B615" s="683"/>
      <c r="C615" s="683"/>
      <c r="D615" s="683"/>
      <c r="E615" s="683"/>
      <c r="F615" s="683"/>
      <c r="G615" s="683"/>
      <c r="H615" s="683"/>
      <c r="I615" s="683"/>
      <c r="J615" s="683"/>
      <c r="K615" s="683"/>
      <c r="L615" s="683"/>
      <c r="M615" s="683"/>
      <c r="N615" s="683"/>
      <c r="O615" s="683"/>
      <c r="P615" s="683"/>
      <c r="Q615" s="683"/>
    </row>
    <row r="616" spans="1:17" ht="19.5">
      <c r="A616" s="683"/>
      <c r="B616" s="683"/>
      <c r="C616" s="683"/>
      <c r="D616" s="683"/>
      <c r="E616" s="683"/>
      <c r="F616" s="683"/>
      <c r="G616" s="683"/>
      <c r="H616" s="683"/>
      <c r="I616" s="683"/>
      <c r="J616" s="683"/>
      <c r="K616" s="683"/>
      <c r="L616" s="683"/>
      <c r="M616" s="683"/>
      <c r="N616" s="683"/>
      <c r="O616" s="683"/>
      <c r="P616" s="683"/>
      <c r="Q616" s="683"/>
    </row>
    <row r="617" spans="1:17" ht="19.5">
      <c r="A617" s="683"/>
      <c r="B617" s="683"/>
      <c r="C617" s="683"/>
      <c r="D617" s="683"/>
      <c r="E617" s="683"/>
      <c r="F617" s="683"/>
      <c r="G617" s="683"/>
      <c r="H617" s="683"/>
      <c r="I617" s="683"/>
      <c r="J617" s="683"/>
      <c r="K617" s="683"/>
      <c r="L617" s="683"/>
      <c r="M617" s="683"/>
      <c r="N617" s="683"/>
      <c r="O617" s="683"/>
      <c r="P617" s="683"/>
      <c r="Q617" s="683"/>
    </row>
    <row r="618" spans="1:17" ht="19.5">
      <c r="A618" s="683"/>
      <c r="B618" s="683"/>
      <c r="C618" s="683"/>
      <c r="D618" s="683"/>
      <c r="E618" s="683"/>
      <c r="F618" s="683"/>
      <c r="G618" s="683"/>
      <c r="H618" s="683"/>
      <c r="I618" s="683"/>
      <c r="J618" s="683"/>
      <c r="K618" s="683"/>
      <c r="L618" s="683"/>
      <c r="M618" s="683"/>
      <c r="N618" s="683"/>
      <c r="O618" s="683"/>
      <c r="P618" s="683"/>
      <c r="Q618" s="683"/>
    </row>
    <row r="619" spans="1:17" ht="19.5">
      <c r="A619" s="683"/>
      <c r="B619" s="683"/>
      <c r="C619" s="683"/>
      <c r="D619" s="683"/>
      <c r="E619" s="683"/>
      <c r="F619" s="683"/>
      <c r="G619" s="683"/>
      <c r="H619" s="683"/>
      <c r="I619" s="683"/>
      <c r="J619" s="683"/>
      <c r="K619" s="683"/>
      <c r="L619" s="683"/>
      <c r="M619" s="683"/>
      <c r="N619" s="683"/>
      <c r="O619" s="683"/>
      <c r="P619" s="683"/>
      <c r="Q619" s="683"/>
    </row>
    <row r="620" spans="1:17" ht="19.5">
      <c r="A620" s="683"/>
      <c r="B620" s="683"/>
      <c r="C620" s="683"/>
      <c r="D620" s="683"/>
      <c r="E620" s="683"/>
      <c r="F620" s="683"/>
      <c r="G620" s="683"/>
      <c r="H620" s="683"/>
      <c r="I620" s="683"/>
      <c r="J620" s="683"/>
      <c r="K620" s="683"/>
      <c r="L620" s="683"/>
      <c r="M620" s="683"/>
      <c r="N620" s="683"/>
      <c r="O620" s="683"/>
      <c r="P620" s="683"/>
      <c r="Q620" s="683"/>
    </row>
    <row r="621" spans="1:17" ht="19.5">
      <c r="A621" s="683"/>
      <c r="B621" s="683"/>
      <c r="C621" s="683"/>
      <c r="D621" s="683"/>
      <c r="E621" s="683"/>
      <c r="F621" s="683"/>
      <c r="G621" s="683"/>
      <c r="H621" s="683"/>
      <c r="I621" s="683"/>
      <c r="J621" s="683"/>
      <c r="K621" s="683"/>
      <c r="L621" s="683"/>
      <c r="M621" s="683"/>
      <c r="N621" s="683"/>
      <c r="O621" s="683"/>
      <c r="P621" s="683"/>
      <c r="Q621" s="683"/>
    </row>
    <row r="622" spans="1:17" ht="19.5">
      <c r="A622" s="683"/>
      <c r="B622" s="683"/>
      <c r="C622" s="683"/>
      <c r="D622" s="683"/>
      <c r="E622" s="683"/>
      <c r="F622" s="683"/>
      <c r="G622" s="683"/>
      <c r="H622" s="683"/>
      <c r="I622" s="683"/>
      <c r="J622" s="683"/>
      <c r="K622" s="683"/>
      <c r="L622" s="683"/>
      <c r="M622" s="683"/>
      <c r="N622" s="683"/>
      <c r="O622" s="683"/>
      <c r="P622" s="683"/>
      <c r="Q622" s="683"/>
    </row>
    <row r="623" spans="1:17" ht="19.5">
      <c r="A623" s="683"/>
      <c r="B623" s="683"/>
      <c r="C623" s="683"/>
      <c r="D623" s="683"/>
      <c r="E623" s="683"/>
      <c r="F623" s="683"/>
      <c r="G623" s="683"/>
      <c r="H623" s="683"/>
      <c r="I623" s="683"/>
      <c r="J623" s="683"/>
      <c r="K623" s="683"/>
      <c r="L623" s="683"/>
      <c r="M623" s="683"/>
      <c r="N623" s="683"/>
      <c r="O623" s="683"/>
      <c r="P623" s="683"/>
      <c r="Q623" s="683"/>
    </row>
    <row r="624" spans="1:17" ht="19.5">
      <c r="A624" s="683"/>
      <c r="B624" s="683"/>
      <c r="C624" s="683"/>
      <c r="D624" s="683"/>
      <c r="E624" s="683"/>
      <c r="F624" s="683"/>
      <c r="G624" s="683"/>
      <c r="H624" s="683"/>
      <c r="I624" s="683"/>
      <c r="J624" s="683"/>
      <c r="K624" s="683"/>
      <c r="L624" s="683"/>
      <c r="M624" s="683"/>
      <c r="N624" s="683"/>
      <c r="O624" s="683"/>
      <c r="P624" s="683"/>
      <c r="Q624" s="683"/>
    </row>
    <row r="625" spans="1:17" ht="19.5">
      <c r="A625" s="683"/>
      <c r="B625" s="683"/>
      <c r="C625" s="683"/>
      <c r="D625" s="683"/>
      <c r="E625" s="683"/>
      <c r="F625" s="683"/>
      <c r="G625" s="683"/>
      <c r="H625" s="683"/>
      <c r="I625" s="683"/>
      <c r="J625" s="683"/>
      <c r="K625" s="683"/>
      <c r="L625" s="683"/>
      <c r="M625" s="683"/>
      <c r="N625" s="683"/>
      <c r="O625" s="683"/>
      <c r="P625" s="683"/>
      <c r="Q625" s="683"/>
    </row>
    <row r="626" spans="1:17" ht="19.5">
      <c r="A626" s="683"/>
      <c r="B626" s="683"/>
      <c r="C626" s="683"/>
      <c r="D626" s="683"/>
      <c r="E626" s="683"/>
      <c r="F626" s="683"/>
      <c r="G626" s="683"/>
      <c r="H626" s="683"/>
      <c r="I626" s="683"/>
      <c r="J626" s="683"/>
      <c r="K626" s="683"/>
      <c r="L626" s="683"/>
      <c r="M626" s="683"/>
      <c r="N626" s="683"/>
      <c r="O626" s="683"/>
      <c r="P626" s="683"/>
      <c r="Q626" s="683"/>
    </row>
    <row r="627" spans="1:17" ht="19.5">
      <c r="A627" s="683"/>
      <c r="B627" s="683"/>
      <c r="C627" s="683"/>
      <c r="D627" s="683"/>
      <c r="E627" s="683"/>
      <c r="F627" s="683"/>
      <c r="G627" s="683"/>
      <c r="H627" s="683"/>
      <c r="I627" s="683"/>
      <c r="J627" s="683"/>
      <c r="K627" s="683"/>
      <c r="L627" s="683"/>
      <c r="M627" s="683"/>
      <c r="N627" s="683"/>
      <c r="O627" s="683"/>
      <c r="P627" s="683"/>
      <c r="Q627" s="683"/>
    </row>
    <row r="628" spans="1:17" ht="19.5">
      <c r="A628" s="683"/>
      <c r="B628" s="683"/>
      <c r="C628" s="683"/>
      <c r="D628" s="683"/>
      <c r="E628" s="683"/>
      <c r="F628" s="683"/>
      <c r="G628" s="683"/>
      <c r="H628" s="683"/>
      <c r="I628" s="683"/>
      <c r="J628" s="683"/>
      <c r="K628" s="683"/>
      <c r="L628" s="683"/>
      <c r="M628" s="683"/>
      <c r="N628" s="683"/>
      <c r="O628" s="683"/>
      <c r="P628" s="683"/>
      <c r="Q628" s="683"/>
    </row>
    <row r="629" spans="1:17" ht="19.5">
      <c r="A629" s="683"/>
      <c r="B629" s="683"/>
      <c r="C629" s="683"/>
      <c r="D629" s="683"/>
      <c r="E629" s="683"/>
      <c r="F629" s="683"/>
      <c r="G629" s="683"/>
      <c r="H629" s="683"/>
      <c r="I629" s="683"/>
      <c r="J629" s="683"/>
      <c r="K629" s="683"/>
      <c r="L629" s="683"/>
      <c r="M629" s="683"/>
      <c r="N629" s="683"/>
      <c r="O629" s="683"/>
      <c r="P629" s="683"/>
      <c r="Q629" s="683"/>
    </row>
    <row r="630" spans="1:17" ht="19.5">
      <c r="A630" s="683"/>
      <c r="B630" s="683"/>
      <c r="C630" s="683"/>
      <c r="D630" s="683"/>
      <c r="E630" s="683"/>
      <c r="F630" s="683"/>
      <c r="G630" s="683"/>
      <c r="H630" s="683"/>
      <c r="I630" s="683"/>
      <c r="J630" s="683"/>
      <c r="K630" s="683"/>
      <c r="L630" s="683"/>
      <c r="M630" s="683"/>
      <c r="N630" s="683"/>
      <c r="O630" s="683"/>
      <c r="P630" s="683"/>
      <c r="Q630" s="683"/>
    </row>
    <row r="631" spans="1:17" ht="19.5">
      <c r="A631" s="683"/>
      <c r="B631" s="683"/>
      <c r="C631" s="683"/>
      <c r="D631" s="683"/>
      <c r="E631" s="683"/>
      <c r="F631" s="683"/>
      <c r="G631" s="683"/>
      <c r="H631" s="683"/>
      <c r="I631" s="683"/>
      <c r="J631" s="683"/>
      <c r="K631" s="683"/>
      <c r="L631" s="683"/>
      <c r="M631" s="683"/>
      <c r="N631" s="683"/>
      <c r="O631" s="683"/>
      <c r="P631" s="683"/>
      <c r="Q631" s="683"/>
    </row>
    <row r="632" spans="1:17" ht="19.5">
      <c r="A632" s="683"/>
      <c r="B632" s="683"/>
      <c r="C632" s="683"/>
      <c r="D632" s="683"/>
      <c r="E632" s="683"/>
      <c r="F632" s="683"/>
      <c r="G632" s="683"/>
      <c r="H632" s="683"/>
      <c r="I632" s="683"/>
      <c r="J632" s="683"/>
      <c r="K632" s="683"/>
      <c r="L632" s="683"/>
      <c r="M632" s="683"/>
      <c r="N632" s="683"/>
      <c r="O632" s="683"/>
      <c r="P632" s="683"/>
      <c r="Q632" s="683"/>
    </row>
    <row r="633" spans="1:17" ht="19.5">
      <c r="A633" s="683"/>
      <c r="B633" s="683"/>
      <c r="C633" s="683"/>
      <c r="D633" s="683"/>
      <c r="E633" s="683"/>
      <c r="F633" s="683"/>
      <c r="G633" s="683"/>
      <c r="H633" s="683"/>
      <c r="I633" s="683"/>
      <c r="J633" s="683"/>
      <c r="K633" s="683"/>
      <c r="L633" s="683"/>
      <c r="M633" s="683"/>
      <c r="N633" s="683"/>
      <c r="O633" s="683"/>
      <c r="P633" s="683"/>
      <c r="Q633" s="683"/>
    </row>
    <row r="634" spans="1:17" ht="19.5">
      <c r="A634" s="683"/>
      <c r="B634" s="683"/>
      <c r="C634" s="683"/>
      <c r="D634" s="683"/>
      <c r="E634" s="683"/>
      <c r="F634" s="683"/>
      <c r="G634" s="683"/>
      <c r="H634" s="683"/>
      <c r="I634" s="683"/>
      <c r="J634" s="683"/>
      <c r="K634" s="683"/>
      <c r="L634" s="683"/>
      <c r="M634" s="683"/>
      <c r="N634" s="683"/>
      <c r="O634" s="683"/>
      <c r="P634" s="683"/>
      <c r="Q634" s="683"/>
    </row>
    <row r="635" spans="1:17" ht="19.5">
      <c r="A635" s="683"/>
      <c r="B635" s="683"/>
      <c r="C635" s="683"/>
      <c r="D635" s="683"/>
      <c r="E635" s="683"/>
      <c r="F635" s="683"/>
      <c r="G635" s="683"/>
      <c r="H635" s="683"/>
      <c r="I635" s="683"/>
      <c r="J635" s="683"/>
      <c r="K635" s="683"/>
      <c r="L635" s="683"/>
      <c r="M635" s="683"/>
      <c r="N635" s="683"/>
      <c r="O635" s="683"/>
      <c r="P635" s="683"/>
      <c r="Q635" s="683"/>
    </row>
    <row r="636" spans="1:17" ht="19.5">
      <c r="A636" s="683"/>
      <c r="B636" s="683"/>
      <c r="C636" s="683"/>
      <c r="D636" s="683"/>
      <c r="E636" s="683"/>
      <c r="F636" s="683"/>
      <c r="G636" s="683"/>
      <c r="H636" s="683"/>
      <c r="I636" s="683"/>
      <c r="J636" s="683"/>
      <c r="K636" s="683"/>
      <c r="L636" s="683"/>
      <c r="M636" s="683"/>
      <c r="N636" s="683"/>
      <c r="O636" s="683"/>
      <c r="P636" s="683"/>
      <c r="Q636" s="683"/>
    </row>
    <row r="637" spans="1:17" ht="19.5">
      <c r="A637" s="683"/>
      <c r="B637" s="683"/>
      <c r="C637" s="683"/>
      <c r="D637" s="683"/>
      <c r="E637" s="683"/>
      <c r="F637" s="683"/>
      <c r="G637" s="683"/>
      <c r="H637" s="683"/>
      <c r="I637" s="683"/>
      <c r="J637" s="683"/>
      <c r="K637" s="683"/>
      <c r="L637" s="683"/>
      <c r="M637" s="683"/>
      <c r="N637" s="683"/>
      <c r="O637" s="683"/>
      <c r="P637" s="683"/>
      <c r="Q637" s="683"/>
    </row>
    <row r="638" spans="1:17" ht="19.5">
      <c r="A638" s="683"/>
      <c r="B638" s="683"/>
      <c r="C638" s="683"/>
      <c r="D638" s="683"/>
      <c r="E638" s="683"/>
      <c r="F638" s="683"/>
      <c r="G638" s="683"/>
      <c r="H638" s="683"/>
      <c r="I638" s="683"/>
      <c r="J638" s="683"/>
      <c r="K638" s="683"/>
      <c r="L638" s="683"/>
      <c r="M638" s="683"/>
      <c r="N638" s="683"/>
      <c r="O638" s="683"/>
      <c r="P638" s="683"/>
      <c r="Q638" s="683"/>
    </row>
    <row r="639" spans="1:17" ht="19.5">
      <c r="A639" s="683"/>
      <c r="B639" s="683"/>
      <c r="C639" s="683"/>
      <c r="D639" s="683"/>
      <c r="E639" s="683"/>
      <c r="F639" s="683"/>
      <c r="G639" s="683"/>
      <c r="H639" s="683"/>
      <c r="I639" s="683"/>
      <c r="J639" s="683"/>
      <c r="K639" s="683"/>
      <c r="L639" s="683"/>
      <c r="M639" s="683"/>
      <c r="N639" s="683"/>
      <c r="O639" s="683"/>
      <c r="P639" s="683"/>
      <c r="Q639" s="683"/>
    </row>
    <row r="640" spans="1:17" ht="19.5">
      <c r="A640" s="683"/>
      <c r="B640" s="683"/>
      <c r="C640" s="683"/>
      <c r="D640" s="683"/>
      <c r="E640" s="683"/>
      <c r="F640" s="683"/>
      <c r="G640" s="683"/>
      <c r="H640" s="683"/>
      <c r="I640" s="683"/>
      <c r="J640" s="683"/>
      <c r="K640" s="683"/>
      <c r="L640" s="683"/>
      <c r="M640" s="683"/>
      <c r="N640" s="683"/>
      <c r="O640" s="683"/>
      <c r="P640" s="683"/>
      <c r="Q640" s="683"/>
    </row>
    <row r="641" spans="1:17" ht="19.5">
      <c r="A641" s="683"/>
      <c r="B641" s="683"/>
      <c r="C641" s="683"/>
      <c r="D641" s="683"/>
      <c r="E641" s="683"/>
      <c r="F641" s="683"/>
      <c r="G641" s="683"/>
      <c r="H641" s="683"/>
      <c r="I641" s="683"/>
      <c r="J641" s="683"/>
      <c r="K641" s="683"/>
      <c r="L641" s="683"/>
      <c r="M641" s="683"/>
      <c r="N641" s="683"/>
      <c r="O641" s="683"/>
      <c r="P641" s="683"/>
      <c r="Q641" s="683"/>
    </row>
    <row r="642" spans="1:17" ht="19.5">
      <c r="A642" s="683"/>
      <c r="B642" s="683"/>
      <c r="C642" s="683"/>
      <c r="D642" s="683"/>
      <c r="E642" s="683"/>
      <c r="F642" s="683"/>
      <c r="G642" s="683"/>
      <c r="H642" s="683"/>
      <c r="I642" s="683"/>
      <c r="J642" s="683"/>
      <c r="K642" s="683"/>
      <c r="L642" s="683"/>
      <c r="M642" s="683"/>
      <c r="N642" s="683"/>
      <c r="O642" s="683"/>
      <c r="P642" s="683"/>
      <c r="Q642" s="683"/>
    </row>
    <row r="643" spans="1:17" ht="19.5">
      <c r="A643" s="683"/>
      <c r="B643" s="683"/>
      <c r="C643" s="683"/>
      <c r="D643" s="683"/>
      <c r="E643" s="683"/>
      <c r="F643" s="683"/>
      <c r="G643" s="683"/>
      <c r="H643" s="683"/>
      <c r="I643" s="683"/>
      <c r="J643" s="683"/>
      <c r="K643" s="683"/>
      <c r="L643" s="683"/>
      <c r="M643" s="683"/>
      <c r="N643" s="683"/>
      <c r="O643" s="683"/>
      <c r="P643" s="683"/>
      <c r="Q643" s="683"/>
    </row>
    <row r="644" spans="1:17" ht="19.5">
      <c r="A644" s="683"/>
      <c r="B644" s="683"/>
      <c r="C644" s="683"/>
      <c r="D644" s="683"/>
      <c r="E644" s="683"/>
      <c r="F644" s="683"/>
      <c r="G644" s="683"/>
      <c r="H644" s="683"/>
      <c r="I644" s="683"/>
      <c r="J644" s="683"/>
      <c r="K644" s="683"/>
      <c r="L644" s="683"/>
      <c r="M644" s="683"/>
      <c r="N644" s="683"/>
      <c r="O644" s="683"/>
      <c r="P644" s="683"/>
      <c r="Q644" s="683"/>
    </row>
    <row r="645" spans="1:17" ht="19.5">
      <c r="A645" s="683"/>
      <c r="B645" s="683"/>
      <c r="C645" s="683"/>
      <c r="D645" s="683"/>
      <c r="E645" s="683"/>
      <c r="F645" s="683"/>
      <c r="G645" s="683"/>
      <c r="H645" s="683"/>
      <c r="I645" s="683"/>
      <c r="J645" s="683"/>
      <c r="K645" s="683"/>
      <c r="L645" s="683"/>
      <c r="M645" s="683"/>
      <c r="N645" s="683"/>
      <c r="O645" s="683"/>
      <c r="P645" s="683"/>
      <c r="Q645" s="683"/>
    </row>
    <row r="646" spans="1:17" ht="19.5">
      <c r="A646" s="683"/>
      <c r="B646" s="683"/>
      <c r="C646" s="683"/>
      <c r="D646" s="683"/>
      <c r="E646" s="683"/>
      <c r="F646" s="683"/>
      <c r="G646" s="683"/>
      <c r="H646" s="683"/>
      <c r="I646" s="683"/>
      <c r="J646" s="683"/>
      <c r="K646" s="683"/>
      <c r="L646" s="683"/>
      <c r="M646" s="683"/>
      <c r="N646" s="683"/>
      <c r="O646" s="683"/>
      <c r="P646" s="683"/>
      <c r="Q646" s="683"/>
    </row>
    <row r="647" spans="1:17" ht="19.5">
      <c r="A647" s="683"/>
      <c r="B647" s="683"/>
      <c r="C647" s="683"/>
      <c r="D647" s="683"/>
      <c r="E647" s="683"/>
      <c r="F647" s="683"/>
      <c r="G647" s="683"/>
      <c r="H647" s="683"/>
      <c r="I647" s="683"/>
      <c r="J647" s="683"/>
      <c r="K647" s="683"/>
      <c r="L647" s="683"/>
      <c r="M647" s="683"/>
      <c r="N647" s="683"/>
      <c r="O647" s="683"/>
      <c r="P647" s="683"/>
      <c r="Q647" s="683"/>
    </row>
    <row r="648" spans="1:17" ht="19.5">
      <c r="A648" s="683"/>
      <c r="B648" s="683"/>
      <c r="C648" s="683"/>
      <c r="D648" s="683"/>
      <c r="E648" s="683"/>
      <c r="F648" s="683"/>
      <c r="G648" s="683"/>
      <c r="H648" s="683"/>
      <c r="I648" s="683"/>
      <c r="J648" s="683"/>
      <c r="K648" s="683"/>
      <c r="L648" s="683"/>
      <c r="M648" s="683"/>
      <c r="N648" s="683"/>
      <c r="O648" s="683"/>
      <c r="P648" s="683"/>
      <c r="Q648" s="683"/>
    </row>
    <row r="649" spans="1:17" ht="19.5">
      <c r="A649" s="683"/>
      <c r="B649" s="683"/>
      <c r="C649" s="683"/>
      <c r="D649" s="683"/>
      <c r="E649" s="683"/>
      <c r="F649" s="683"/>
      <c r="G649" s="683"/>
      <c r="H649" s="683"/>
      <c r="I649" s="683"/>
      <c r="J649" s="683"/>
      <c r="K649" s="683"/>
      <c r="L649" s="683"/>
      <c r="M649" s="683"/>
      <c r="N649" s="683"/>
      <c r="O649" s="683"/>
      <c r="P649" s="683"/>
      <c r="Q649" s="683"/>
    </row>
    <row r="650" spans="1:17" ht="19.5">
      <c r="A650" s="683"/>
      <c r="B650" s="683"/>
      <c r="C650" s="683"/>
      <c r="D650" s="683"/>
      <c r="E650" s="683"/>
      <c r="F650" s="683"/>
      <c r="G650" s="683"/>
      <c r="H650" s="683"/>
      <c r="I650" s="683"/>
      <c r="J650" s="683"/>
      <c r="K650" s="683"/>
      <c r="L650" s="683"/>
      <c r="M650" s="683"/>
      <c r="N650" s="683"/>
      <c r="O650" s="683"/>
      <c r="P650" s="683"/>
      <c r="Q650" s="683"/>
    </row>
    <row r="651" spans="1:17" ht="19.5">
      <c r="A651" s="683"/>
      <c r="B651" s="683"/>
      <c r="C651" s="683"/>
      <c r="D651" s="683"/>
      <c r="E651" s="683"/>
      <c r="F651" s="683"/>
      <c r="G651" s="683"/>
      <c r="H651" s="683"/>
      <c r="I651" s="683"/>
      <c r="J651" s="683"/>
      <c r="K651" s="683"/>
      <c r="L651" s="683"/>
      <c r="M651" s="683"/>
      <c r="N651" s="683"/>
      <c r="O651" s="683"/>
      <c r="P651" s="683"/>
      <c r="Q651" s="683"/>
    </row>
    <row r="652" spans="1:17" ht="19.5">
      <c r="A652" s="683"/>
      <c r="B652" s="683"/>
      <c r="C652" s="683"/>
      <c r="D652" s="683"/>
      <c r="E652" s="683"/>
      <c r="F652" s="683"/>
      <c r="G652" s="683"/>
      <c r="H652" s="683"/>
      <c r="I652" s="683"/>
      <c r="J652" s="683"/>
      <c r="K652" s="683"/>
      <c r="L652" s="683"/>
      <c r="M652" s="683"/>
      <c r="N652" s="683"/>
      <c r="O652" s="683"/>
      <c r="P652" s="683"/>
      <c r="Q652" s="683"/>
    </row>
    <row r="653" spans="1:17" ht="19.5">
      <c r="A653" s="683"/>
      <c r="B653" s="683"/>
      <c r="C653" s="683"/>
      <c r="D653" s="683"/>
      <c r="E653" s="683"/>
      <c r="F653" s="683"/>
      <c r="G653" s="683"/>
      <c r="H653" s="683"/>
      <c r="I653" s="683"/>
      <c r="J653" s="683"/>
      <c r="K653" s="683"/>
      <c r="L653" s="683"/>
      <c r="M653" s="683"/>
      <c r="N653" s="683"/>
      <c r="O653" s="683"/>
      <c r="P653" s="683"/>
      <c r="Q653" s="683"/>
    </row>
    <row r="654" spans="1:17" ht="19.5">
      <c r="A654" s="683"/>
      <c r="B654" s="683"/>
      <c r="C654" s="683"/>
      <c r="D654" s="683"/>
      <c r="E654" s="683"/>
      <c r="F654" s="683"/>
      <c r="G654" s="683"/>
      <c r="H654" s="683"/>
      <c r="I654" s="683"/>
      <c r="J654" s="683"/>
      <c r="K654" s="683"/>
      <c r="L654" s="683"/>
      <c r="M654" s="683"/>
      <c r="N654" s="683"/>
      <c r="O654" s="683"/>
      <c r="P654" s="683"/>
      <c r="Q654" s="683"/>
    </row>
    <row r="655" spans="1:17" ht="19.5">
      <c r="A655" s="683"/>
      <c r="B655" s="683"/>
      <c r="C655" s="683"/>
      <c r="D655" s="683"/>
      <c r="E655" s="683"/>
      <c r="F655" s="683"/>
      <c r="G655" s="683"/>
      <c r="H655" s="683"/>
      <c r="I655" s="683"/>
      <c r="J655" s="683"/>
      <c r="K655" s="683"/>
      <c r="L655" s="683"/>
      <c r="M655" s="683"/>
      <c r="N655" s="683"/>
      <c r="O655" s="683"/>
      <c r="P655" s="683"/>
      <c r="Q655" s="683"/>
    </row>
    <row r="656" spans="1:17" ht="19.5">
      <c r="A656" s="683"/>
      <c r="B656" s="683"/>
      <c r="C656" s="683"/>
      <c r="D656" s="683"/>
      <c r="E656" s="683"/>
      <c r="F656" s="683"/>
      <c r="G656" s="683"/>
      <c r="H656" s="683"/>
      <c r="I656" s="683"/>
      <c r="J656" s="683"/>
      <c r="K656" s="683"/>
      <c r="L656" s="683"/>
      <c r="M656" s="683"/>
      <c r="N656" s="683"/>
      <c r="O656" s="683"/>
      <c r="P656" s="683"/>
      <c r="Q656" s="683"/>
    </row>
    <row r="657" spans="1:17" ht="19.5">
      <c r="A657" s="683"/>
      <c r="B657" s="683"/>
      <c r="C657" s="683"/>
      <c r="D657" s="683"/>
      <c r="E657" s="683"/>
      <c r="F657" s="683"/>
      <c r="G657" s="683"/>
      <c r="H657" s="683"/>
      <c r="I657" s="683"/>
      <c r="J657" s="683"/>
      <c r="K657" s="683"/>
      <c r="L657" s="683"/>
      <c r="M657" s="683"/>
      <c r="N657" s="683"/>
      <c r="O657" s="683"/>
      <c r="P657" s="683"/>
      <c r="Q657" s="683"/>
    </row>
    <row r="658" spans="1:17" ht="19.5">
      <c r="A658" s="683"/>
      <c r="B658" s="683"/>
      <c r="C658" s="683"/>
      <c r="D658" s="683"/>
      <c r="E658" s="683"/>
      <c r="F658" s="683"/>
      <c r="G658" s="683"/>
      <c r="H658" s="683"/>
      <c r="I658" s="683"/>
      <c r="J658" s="683"/>
      <c r="K658" s="683"/>
      <c r="L658" s="683"/>
      <c r="M658" s="683"/>
      <c r="N658" s="683"/>
      <c r="O658" s="683"/>
      <c r="P658" s="683"/>
      <c r="Q658" s="683"/>
    </row>
    <row r="659" spans="1:17" ht="19.5">
      <c r="A659" s="683"/>
      <c r="B659" s="683"/>
      <c r="C659" s="683"/>
      <c r="D659" s="683"/>
      <c r="E659" s="683"/>
      <c r="F659" s="683"/>
      <c r="G659" s="683"/>
      <c r="H659" s="683"/>
      <c r="I659" s="683"/>
      <c r="J659" s="683"/>
      <c r="K659" s="683"/>
      <c r="L659" s="683"/>
      <c r="M659" s="683"/>
      <c r="N659" s="683"/>
      <c r="O659" s="683"/>
      <c r="P659" s="683"/>
      <c r="Q659" s="683"/>
    </row>
    <row r="660" spans="1:17" ht="19.5">
      <c r="A660" s="683"/>
      <c r="B660" s="683"/>
      <c r="C660" s="683"/>
      <c r="D660" s="683"/>
      <c r="E660" s="683"/>
      <c r="F660" s="683"/>
      <c r="G660" s="683"/>
      <c r="H660" s="683"/>
      <c r="I660" s="683"/>
      <c r="J660" s="683"/>
      <c r="K660" s="683"/>
      <c r="L660" s="683"/>
      <c r="M660" s="683"/>
      <c r="N660" s="683"/>
      <c r="O660" s="683"/>
      <c r="P660" s="683"/>
      <c r="Q660" s="683"/>
    </row>
    <row r="661" spans="1:17" ht="19.5">
      <c r="A661" s="683"/>
      <c r="B661" s="683"/>
      <c r="C661" s="683"/>
      <c r="D661" s="683"/>
      <c r="E661" s="683"/>
      <c r="F661" s="683"/>
      <c r="G661" s="683"/>
      <c r="H661" s="683"/>
      <c r="I661" s="683"/>
      <c r="J661" s="683"/>
      <c r="K661" s="683"/>
      <c r="L661" s="683"/>
      <c r="M661" s="683"/>
      <c r="N661" s="683"/>
      <c r="O661" s="683"/>
      <c r="P661" s="683"/>
      <c r="Q661" s="683"/>
    </row>
    <row r="662" spans="1:17" ht="19.5">
      <c r="A662" s="683"/>
      <c r="B662" s="683"/>
      <c r="C662" s="683"/>
      <c r="D662" s="683"/>
      <c r="E662" s="683"/>
      <c r="F662" s="683"/>
      <c r="G662" s="683"/>
      <c r="H662" s="683"/>
      <c r="I662" s="683"/>
      <c r="J662" s="683"/>
      <c r="K662" s="683"/>
      <c r="L662" s="683"/>
      <c r="M662" s="683"/>
      <c r="N662" s="683"/>
      <c r="O662" s="683"/>
      <c r="P662" s="683"/>
      <c r="Q662" s="683"/>
    </row>
    <row r="663" spans="1:17" ht="19.5">
      <c r="A663" s="683"/>
      <c r="B663" s="683"/>
      <c r="C663" s="683"/>
      <c r="D663" s="683"/>
      <c r="E663" s="683"/>
      <c r="F663" s="683"/>
      <c r="G663" s="683"/>
      <c r="H663" s="683"/>
      <c r="I663" s="683"/>
      <c r="J663" s="683"/>
      <c r="K663" s="683"/>
      <c r="L663" s="683"/>
      <c r="M663" s="683"/>
      <c r="N663" s="683"/>
      <c r="O663" s="683"/>
      <c r="P663" s="683"/>
      <c r="Q663" s="683"/>
    </row>
    <row r="664" spans="1:17" ht="19.5">
      <c r="A664" s="683"/>
      <c r="B664" s="683"/>
      <c r="C664" s="683"/>
      <c r="D664" s="683"/>
      <c r="E664" s="683"/>
      <c r="F664" s="683"/>
      <c r="G664" s="683"/>
      <c r="H664" s="683"/>
      <c r="I664" s="683"/>
      <c r="J664" s="683"/>
      <c r="K664" s="683"/>
      <c r="L664" s="683"/>
      <c r="M664" s="683"/>
      <c r="N664" s="683"/>
      <c r="O664" s="683"/>
      <c r="P664" s="683"/>
      <c r="Q664" s="683"/>
    </row>
    <row r="665" spans="1:17" ht="19.5">
      <c r="A665" s="683"/>
      <c r="B665" s="683"/>
      <c r="C665" s="683"/>
      <c r="D665" s="683"/>
      <c r="E665" s="683"/>
      <c r="F665" s="683"/>
      <c r="G665" s="683"/>
      <c r="H665" s="683"/>
      <c r="I665" s="683"/>
      <c r="J665" s="683"/>
      <c r="K665" s="683"/>
      <c r="L665" s="683"/>
      <c r="M665" s="683"/>
      <c r="N665" s="683"/>
      <c r="O665" s="683"/>
      <c r="P665" s="683"/>
      <c r="Q665" s="683"/>
    </row>
    <row r="666" spans="1:17" ht="19.5">
      <c r="A666" s="683"/>
      <c r="B666" s="683"/>
      <c r="C666" s="683"/>
      <c r="D666" s="683"/>
      <c r="E666" s="683"/>
      <c r="F666" s="683"/>
      <c r="G666" s="683"/>
      <c r="H666" s="683"/>
      <c r="I666" s="683"/>
      <c r="J666" s="683"/>
      <c r="K666" s="683"/>
      <c r="L666" s="683"/>
      <c r="M666" s="683"/>
      <c r="N666" s="683"/>
      <c r="O666" s="683"/>
      <c r="P666" s="683"/>
      <c r="Q666" s="683"/>
    </row>
    <row r="667" spans="1:17" ht="19.5">
      <c r="A667" s="683"/>
      <c r="B667" s="683"/>
      <c r="C667" s="683"/>
      <c r="D667" s="683"/>
      <c r="E667" s="683"/>
      <c r="F667" s="683"/>
      <c r="G667" s="683"/>
      <c r="H667" s="683"/>
      <c r="I667" s="683"/>
      <c r="J667" s="683"/>
      <c r="K667" s="683"/>
      <c r="L667" s="683"/>
      <c r="M667" s="683"/>
      <c r="N667" s="683"/>
      <c r="O667" s="683"/>
      <c r="P667" s="683"/>
      <c r="Q667" s="683"/>
    </row>
    <row r="668" spans="1:17" ht="19.5">
      <c r="A668" s="683"/>
      <c r="B668" s="683"/>
      <c r="C668" s="683"/>
      <c r="D668" s="683"/>
      <c r="E668" s="683"/>
      <c r="F668" s="683"/>
      <c r="G668" s="683"/>
      <c r="H668" s="683"/>
      <c r="I668" s="683"/>
      <c r="J668" s="683"/>
      <c r="K668" s="683"/>
      <c r="L668" s="683"/>
      <c r="M668" s="683"/>
      <c r="N668" s="683"/>
      <c r="O668" s="683"/>
      <c r="P668" s="683"/>
      <c r="Q668" s="683"/>
    </row>
    <row r="669" spans="1:17" ht="19.5">
      <c r="A669" s="683"/>
      <c r="B669" s="683"/>
      <c r="C669" s="683"/>
      <c r="D669" s="683"/>
      <c r="E669" s="683"/>
      <c r="F669" s="683"/>
      <c r="G669" s="683"/>
      <c r="H669" s="683"/>
      <c r="I669" s="683"/>
      <c r="J669" s="683"/>
      <c r="K669" s="683"/>
      <c r="L669" s="683"/>
      <c r="M669" s="683"/>
      <c r="N669" s="683"/>
      <c r="O669" s="683"/>
      <c r="P669" s="683"/>
      <c r="Q669" s="683"/>
    </row>
    <row r="670" spans="1:17" ht="19.5">
      <c r="A670" s="683"/>
      <c r="B670" s="683"/>
      <c r="C670" s="683"/>
      <c r="D670" s="683"/>
      <c r="E670" s="683"/>
      <c r="F670" s="683"/>
      <c r="G670" s="683"/>
      <c r="H670" s="683"/>
      <c r="I670" s="683"/>
      <c r="J670" s="683"/>
      <c r="K670" s="683"/>
      <c r="L670" s="683"/>
      <c r="M670" s="683"/>
      <c r="N670" s="683"/>
      <c r="O670" s="683"/>
      <c r="P670" s="683"/>
      <c r="Q670" s="683"/>
    </row>
    <row r="671" spans="1:17" ht="19.5">
      <c r="A671" s="683"/>
      <c r="B671" s="683"/>
      <c r="C671" s="683"/>
      <c r="D671" s="683"/>
      <c r="E671" s="683"/>
      <c r="F671" s="683"/>
      <c r="G671" s="683"/>
      <c r="H671" s="683"/>
      <c r="I671" s="683"/>
      <c r="J671" s="683"/>
      <c r="K671" s="683"/>
      <c r="L671" s="683"/>
      <c r="M671" s="683"/>
      <c r="N671" s="683"/>
      <c r="O671" s="683"/>
      <c r="P671" s="683"/>
      <c r="Q671" s="683"/>
    </row>
    <row r="672" spans="1:17" ht="19.5">
      <c r="A672" s="683"/>
      <c r="B672" s="683"/>
      <c r="C672" s="683"/>
      <c r="D672" s="683"/>
      <c r="E672" s="683"/>
      <c r="F672" s="683"/>
      <c r="G672" s="683"/>
      <c r="H672" s="683"/>
      <c r="I672" s="683"/>
      <c r="J672" s="683"/>
      <c r="K672" s="683"/>
      <c r="L672" s="683"/>
      <c r="M672" s="683"/>
      <c r="N672" s="683"/>
      <c r="O672" s="683"/>
      <c r="P672" s="683"/>
      <c r="Q672" s="683"/>
    </row>
    <row r="673" spans="1:17" ht="19.5">
      <c r="A673" s="683"/>
      <c r="B673" s="683"/>
      <c r="C673" s="683"/>
      <c r="D673" s="683"/>
      <c r="E673" s="683"/>
      <c r="F673" s="683"/>
      <c r="G673" s="683"/>
      <c r="H673" s="683"/>
      <c r="I673" s="683"/>
      <c r="J673" s="683"/>
      <c r="K673" s="683"/>
      <c r="L673" s="683"/>
      <c r="M673" s="683"/>
      <c r="N673" s="683"/>
      <c r="O673" s="683"/>
      <c r="P673" s="683"/>
      <c r="Q673" s="683"/>
    </row>
    <row r="674" spans="1:17" ht="19.5">
      <c r="A674" s="683"/>
      <c r="B674" s="683"/>
      <c r="C674" s="683"/>
      <c r="D674" s="683"/>
      <c r="E674" s="683"/>
      <c r="F674" s="683"/>
      <c r="G674" s="683"/>
      <c r="H674" s="683"/>
      <c r="I674" s="683"/>
      <c r="J674" s="683"/>
      <c r="K674" s="683"/>
      <c r="L674" s="683"/>
      <c r="M674" s="683"/>
      <c r="N674" s="683"/>
      <c r="O674" s="683"/>
      <c r="P674" s="683"/>
      <c r="Q674" s="683"/>
    </row>
    <row r="675" spans="1:17" ht="19.5">
      <c r="A675" s="683"/>
      <c r="B675" s="683"/>
      <c r="C675" s="683"/>
      <c r="D675" s="683"/>
      <c r="E675" s="683"/>
      <c r="F675" s="683"/>
      <c r="G675" s="683"/>
      <c r="H675" s="683"/>
      <c r="I675" s="683"/>
      <c r="J675" s="683"/>
      <c r="K675" s="683"/>
      <c r="L675" s="683"/>
      <c r="M675" s="683"/>
      <c r="N675" s="683"/>
      <c r="O675" s="683"/>
      <c r="P675" s="683"/>
      <c r="Q675" s="683"/>
    </row>
    <row r="676" spans="1:17" ht="19.5">
      <c r="A676" s="683"/>
      <c r="B676" s="683"/>
      <c r="C676" s="683"/>
      <c r="D676" s="683"/>
      <c r="E676" s="683"/>
      <c r="F676" s="683"/>
      <c r="G676" s="683"/>
      <c r="H676" s="683"/>
      <c r="I676" s="683"/>
      <c r="J676" s="683"/>
      <c r="K676" s="683"/>
      <c r="L676" s="683"/>
      <c r="M676" s="683"/>
      <c r="N676" s="683"/>
      <c r="O676" s="683"/>
      <c r="P676" s="683"/>
      <c r="Q676" s="683"/>
    </row>
    <row r="677" spans="1:17" ht="19.5">
      <c r="A677" s="683"/>
      <c r="B677" s="683"/>
      <c r="C677" s="683"/>
      <c r="D677" s="683"/>
      <c r="E677" s="683"/>
      <c r="F677" s="683"/>
      <c r="G677" s="683"/>
      <c r="H677" s="683"/>
      <c r="I677" s="683"/>
      <c r="J677" s="683"/>
      <c r="K677" s="683"/>
      <c r="L677" s="683"/>
      <c r="M677" s="683"/>
      <c r="N677" s="683"/>
      <c r="O677" s="683"/>
      <c r="P677" s="683"/>
      <c r="Q677" s="683"/>
    </row>
    <row r="678" spans="1:17" ht="19.5">
      <c r="A678" s="683"/>
      <c r="B678" s="683"/>
      <c r="C678" s="683"/>
      <c r="D678" s="683"/>
      <c r="E678" s="683"/>
      <c r="F678" s="683"/>
      <c r="G678" s="683"/>
      <c r="H678" s="683"/>
      <c r="I678" s="683"/>
      <c r="J678" s="683"/>
      <c r="K678" s="683"/>
      <c r="L678" s="683"/>
      <c r="M678" s="683"/>
      <c r="N678" s="683"/>
      <c r="O678" s="683"/>
      <c r="P678" s="683"/>
      <c r="Q678" s="683"/>
    </row>
    <row r="679" spans="1:17" ht="19.5">
      <c r="A679" s="683"/>
      <c r="B679" s="683"/>
      <c r="C679" s="683"/>
      <c r="D679" s="683"/>
      <c r="E679" s="683"/>
      <c r="F679" s="683"/>
      <c r="G679" s="683"/>
      <c r="H679" s="683"/>
      <c r="I679" s="683"/>
      <c r="J679" s="683"/>
      <c r="K679" s="683"/>
      <c r="L679" s="683"/>
      <c r="M679" s="683"/>
      <c r="N679" s="683"/>
      <c r="O679" s="683"/>
      <c r="P679" s="683"/>
      <c r="Q679" s="683"/>
    </row>
    <row r="680" spans="1:17" ht="19.5">
      <c r="A680" s="683"/>
      <c r="B680" s="683"/>
      <c r="C680" s="683"/>
      <c r="D680" s="683"/>
      <c r="E680" s="683"/>
      <c r="F680" s="683"/>
      <c r="G680" s="683"/>
      <c r="H680" s="683"/>
      <c r="I680" s="683"/>
      <c r="J680" s="683"/>
      <c r="K680" s="683"/>
      <c r="L680" s="683"/>
      <c r="M680" s="683"/>
      <c r="N680" s="683"/>
      <c r="O680" s="683"/>
      <c r="P680" s="683"/>
      <c r="Q680" s="683"/>
    </row>
    <row r="681" spans="1:17" ht="19.5">
      <c r="A681" s="683"/>
      <c r="B681" s="683"/>
      <c r="C681" s="683"/>
      <c r="D681" s="683"/>
      <c r="E681" s="683"/>
      <c r="F681" s="683"/>
      <c r="G681" s="683"/>
      <c r="H681" s="683"/>
      <c r="I681" s="683"/>
      <c r="J681" s="683"/>
      <c r="K681" s="683"/>
      <c r="L681" s="683"/>
      <c r="M681" s="683"/>
      <c r="N681" s="683"/>
      <c r="O681" s="683"/>
      <c r="P681" s="683"/>
      <c r="Q681" s="683"/>
    </row>
    <row r="682" spans="1:17" ht="19.5">
      <c r="A682" s="683"/>
      <c r="B682" s="683"/>
      <c r="C682" s="683"/>
      <c r="D682" s="683"/>
      <c r="E682" s="683"/>
      <c r="F682" s="683"/>
      <c r="G682" s="683"/>
      <c r="H682" s="683"/>
      <c r="I682" s="683"/>
      <c r="J682" s="683"/>
      <c r="K682" s="683"/>
      <c r="L682" s="683"/>
      <c r="M682" s="683"/>
      <c r="N682" s="683"/>
      <c r="O682" s="683"/>
      <c r="P682" s="683"/>
      <c r="Q682" s="683"/>
    </row>
    <row r="683" spans="1:17" ht="19.5">
      <c r="A683" s="683"/>
      <c r="B683" s="683"/>
      <c r="C683" s="683"/>
      <c r="D683" s="683"/>
      <c r="E683" s="683"/>
      <c r="F683" s="683"/>
      <c r="G683" s="683"/>
      <c r="H683" s="683"/>
      <c r="I683" s="683"/>
      <c r="J683" s="683"/>
      <c r="K683" s="683"/>
      <c r="L683" s="683"/>
      <c r="M683" s="683"/>
      <c r="N683" s="683"/>
      <c r="O683" s="683"/>
      <c r="P683" s="683"/>
      <c r="Q683" s="683"/>
    </row>
    <row r="684" spans="1:17" ht="19.5">
      <c r="A684" s="683"/>
      <c r="B684" s="683"/>
      <c r="C684" s="683"/>
      <c r="D684" s="683"/>
      <c r="E684" s="683"/>
      <c r="F684" s="683"/>
      <c r="G684" s="683"/>
      <c r="H684" s="683"/>
      <c r="I684" s="683"/>
      <c r="J684" s="683"/>
      <c r="K684" s="683"/>
      <c r="L684" s="683"/>
      <c r="M684" s="683"/>
      <c r="N684" s="683"/>
      <c r="O684" s="683"/>
      <c r="P684" s="683"/>
      <c r="Q684" s="683"/>
    </row>
    <row r="685" spans="1:17" ht="19.5">
      <c r="A685" s="683"/>
      <c r="B685" s="683"/>
      <c r="C685" s="683"/>
      <c r="D685" s="683"/>
      <c r="E685" s="683"/>
      <c r="F685" s="683"/>
      <c r="G685" s="683"/>
      <c r="H685" s="683"/>
      <c r="I685" s="683"/>
      <c r="J685" s="683"/>
      <c r="K685" s="683"/>
      <c r="L685" s="683"/>
      <c r="M685" s="683"/>
      <c r="N685" s="683"/>
      <c r="O685" s="683"/>
      <c r="P685" s="683"/>
      <c r="Q685" s="683"/>
    </row>
    <row r="686" spans="1:17" ht="19.5">
      <c r="A686" s="683"/>
      <c r="B686" s="683"/>
      <c r="C686" s="683"/>
      <c r="D686" s="683"/>
      <c r="E686" s="683"/>
      <c r="F686" s="683"/>
      <c r="G686" s="683"/>
      <c r="H686" s="683"/>
      <c r="I686" s="683"/>
      <c r="J686" s="683"/>
      <c r="K686" s="683"/>
      <c r="L686" s="683"/>
      <c r="M686" s="683"/>
      <c r="N686" s="683"/>
      <c r="O686" s="683"/>
      <c r="P686" s="683"/>
      <c r="Q686" s="683"/>
    </row>
    <row r="687" spans="1:17" ht="19.5">
      <c r="A687" s="683"/>
      <c r="B687" s="683"/>
      <c r="C687" s="683"/>
      <c r="D687" s="683"/>
      <c r="E687" s="683"/>
      <c r="F687" s="683"/>
      <c r="G687" s="683"/>
      <c r="H687" s="683"/>
      <c r="I687" s="683"/>
      <c r="J687" s="683"/>
      <c r="K687" s="683"/>
      <c r="L687" s="683"/>
      <c r="M687" s="683"/>
      <c r="N687" s="683"/>
      <c r="O687" s="683"/>
      <c r="P687" s="683"/>
      <c r="Q687" s="683"/>
    </row>
    <row r="688" spans="1:17" ht="19.5">
      <c r="A688" s="683"/>
      <c r="B688" s="683"/>
      <c r="C688" s="683"/>
      <c r="D688" s="683"/>
      <c r="E688" s="683"/>
      <c r="F688" s="683"/>
      <c r="G688" s="683"/>
      <c r="H688" s="683"/>
      <c r="I688" s="683"/>
      <c r="J688" s="683"/>
      <c r="K688" s="683"/>
      <c r="L688" s="683"/>
      <c r="M688" s="683"/>
      <c r="N688" s="683"/>
      <c r="O688" s="683"/>
      <c r="P688" s="683"/>
      <c r="Q688" s="683"/>
    </row>
    <row r="689" spans="1:17" ht="19.5">
      <c r="A689" s="683"/>
      <c r="B689" s="683"/>
      <c r="C689" s="683"/>
      <c r="D689" s="683"/>
      <c r="E689" s="683"/>
      <c r="F689" s="683"/>
      <c r="G689" s="683"/>
      <c r="H689" s="683"/>
      <c r="I689" s="683"/>
      <c r="J689" s="683"/>
      <c r="K689" s="683"/>
      <c r="L689" s="683"/>
      <c r="M689" s="683"/>
      <c r="N689" s="683"/>
      <c r="O689" s="683"/>
      <c r="P689" s="683"/>
      <c r="Q689" s="683"/>
    </row>
    <row r="690" spans="1:17" ht="19.5">
      <c r="A690" s="683"/>
      <c r="B690" s="683"/>
      <c r="C690" s="683"/>
      <c r="D690" s="683"/>
      <c r="E690" s="683"/>
      <c r="F690" s="683"/>
      <c r="G690" s="683"/>
      <c r="H690" s="683"/>
      <c r="I690" s="683"/>
      <c r="J690" s="683"/>
      <c r="K690" s="683"/>
      <c r="L690" s="683"/>
      <c r="M690" s="683"/>
      <c r="N690" s="683"/>
      <c r="O690" s="683"/>
      <c r="P690" s="683"/>
      <c r="Q690" s="683"/>
    </row>
    <row r="691" spans="1:17" ht="19.5">
      <c r="A691" s="683"/>
      <c r="B691" s="683"/>
      <c r="C691" s="683"/>
      <c r="D691" s="683"/>
      <c r="E691" s="683"/>
      <c r="F691" s="683"/>
      <c r="G691" s="683"/>
      <c r="H691" s="683"/>
      <c r="I691" s="683"/>
      <c r="J691" s="683"/>
      <c r="K691" s="683"/>
      <c r="L691" s="683"/>
      <c r="M691" s="683"/>
      <c r="N691" s="683"/>
      <c r="O691" s="683"/>
      <c r="P691" s="683"/>
      <c r="Q691" s="683"/>
    </row>
    <row r="692" spans="1:17" ht="19.5">
      <c r="A692" s="683"/>
      <c r="B692" s="683"/>
      <c r="C692" s="683"/>
      <c r="D692" s="683"/>
      <c r="E692" s="683"/>
      <c r="F692" s="683"/>
      <c r="G692" s="683"/>
      <c r="H692" s="683"/>
      <c r="I692" s="683"/>
      <c r="J692" s="683"/>
      <c r="K692" s="683"/>
      <c r="L692" s="683"/>
      <c r="M692" s="683"/>
      <c r="N692" s="683"/>
      <c r="O692" s="683"/>
      <c r="P692" s="683"/>
      <c r="Q692" s="683"/>
    </row>
    <row r="693" spans="1:17" ht="19.5">
      <c r="A693" s="683"/>
      <c r="B693" s="683"/>
      <c r="C693" s="683"/>
      <c r="D693" s="683"/>
      <c r="E693" s="683"/>
      <c r="F693" s="683"/>
      <c r="G693" s="683"/>
      <c r="H693" s="683"/>
      <c r="I693" s="683"/>
      <c r="J693" s="683"/>
      <c r="K693" s="683"/>
      <c r="L693" s="683"/>
      <c r="M693" s="683"/>
      <c r="N693" s="683"/>
      <c r="O693" s="683"/>
      <c r="P693" s="683"/>
      <c r="Q693" s="683"/>
    </row>
    <row r="694" spans="1:17" ht="19.5">
      <c r="A694" s="683"/>
      <c r="B694" s="683"/>
      <c r="C694" s="683"/>
      <c r="D694" s="683"/>
      <c r="E694" s="683"/>
      <c r="F694" s="683"/>
      <c r="G694" s="683"/>
      <c r="H694" s="683"/>
      <c r="I694" s="683"/>
      <c r="J694" s="683"/>
      <c r="K694" s="683"/>
      <c r="L694" s="683"/>
      <c r="M694" s="683"/>
      <c r="N694" s="683"/>
      <c r="O694" s="683"/>
      <c r="P694" s="683"/>
      <c r="Q694" s="683"/>
    </row>
    <row r="695" spans="1:17" ht="19.5">
      <c r="A695" s="683"/>
      <c r="B695" s="683"/>
      <c r="C695" s="683"/>
      <c r="D695" s="683"/>
      <c r="E695" s="683"/>
      <c r="F695" s="683"/>
      <c r="G695" s="683"/>
      <c r="H695" s="683"/>
      <c r="I695" s="683"/>
      <c r="J695" s="683"/>
      <c r="K695" s="683"/>
      <c r="L695" s="683"/>
      <c r="M695" s="683"/>
      <c r="N695" s="683"/>
      <c r="O695" s="683"/>
      <c r="P695" s="683"/>
      <c r="Q695" s="683"/>
    </row>
    <row r="696" spans="1:17" ht="19.5">
      <c r="A696" s="683"/>
      <c r="B696" s="683"/>
      <c r="C696" s="683"/>
      <c r="D696" s="683"/>
      <c r="E696" s="683"/>
      <c r="F696" s="683"/>
      <c r="G696" s="683"/>
      <c r="H696" s="683"/>
      <c r="I696" s="683"/>
      <c r="J696" s="683"/>
      <c r="K696" s="683"/>
      <c r="L696" s="683"/>
      <c r="M696" s="683"/>
      <c r="N696" s="683"/>
      <c r="O696" s="683"/>
      <c r="P696" s="683"/>
      <c r="Q696" s="683"/>
    </row>
    <row r="697" spans="1:17" ht="19.5">
      <c r="A697" s="683"/>
      <c r="B697" s="683"/>
      <c r="C697" s="683"/>
      <c r="D697" s="683"/>
      <c r="E697" s="683"/>
      <c r="F697" s="683"/>
      <c r="G697" s="683"/>
      <c r="H697" s="683"/>
      <c r="I697" s="683"/>
      <c r="J697" s="683"/>
      <c r="K697" s="683"/>
      <c r="L697" s="683"/>
      <c r="M697" s="683"/>
      <c r="N697" s="683"/>
      <c r="O697" s="683"/>
      <c r="P697" s="683"/>
      <c r="Q697" s="683"/>
    </row>
    <row r="698" spans="1:17" ht="19.5">
      <c r="A698" s="683"/>
      <c r="B698" s="683"/>
      <c r="C698" s="683"/>
      <c r="D698" s="683"/>
      <c r="E698" s="683"/>
      <c r="F698" s="683"/>
      <c r="G698" s="683"/>
      <c r="H698" s="683"/>
      <c r="I698" s="683"/>
      <c r="J698" s="683"/>
      <c r="K698" s="683"/>
      <c r="L698" s="683"/>
      <c r="M698" s="683"/>
      <c r="N698" s="683"/>
      <c r="O698" s="683"/>
      <c r="P698" s="683"/>
      <c r="Q698" s="683"/>
    </row>
    <row r="699" spans="1:17" ht="19.5">
      <c r="A699" s="683"/>
      <c r="B699" s="683"/>
      <c r="C699" s="683"/>
      <c r="D699" s="683"/>
      <c r="E699" s="683"/>
      <c r="F699" s="683"/>
      <c r="G699" s="683"/>
      <c r="H699" s="683"/>
      <c r="I699" s="683"/>
      <c r="J699" s="683"/>
      <c r="K699" s="683"/>
      <c r="L699" s="683"/>
      <c r="M699" s="683"/>
      <c r="N699" s="683"/>
      <c r="O699" s="683"/>
      <c r="P699" s="683"/>
      <c r="Q699" s="683"/>
    </row>
    <row r="700" spans="1:17" ht="19.5">
      <c r="A700" s="683"/>
      <c r="B700" s="683"/>
      <c r="C700" s="683"/>
      <c r="D700" s="683"/>
      <c r="E700" s="683"/>
      <c r="F700" s="683"/>
      <c r="G700" s="683"/>
      <c r="H700" s="683"/>
      <c r="I700" s="683"/>
      <c r="J700" s="683"/>
      <c r="K700" s="683"/>
      <c r="L700" s="683"/>
      <c r="M700" s="683"/>
      <c r="N700" s="683"/>
      <c r="O700" s="683"/>
      <c r="P700" s="683"/>
      <c r="Q700" s="683"/>
    </row>
    <row r="701" spans="1:17" ht="19.5">
      <c r="A701" s="683"/>
      <c r="B701" s="683"/>
      <c r="C701" s="683"/>
      <c r="D701" s="683"/>
      <c r="E701" s="683"/>
      <c r="F701" s="683"/>
      <c r="G701" s="683"/>
      <c r="H701" s="683"/>
      <c r="I701" s="683"/>
      <c r="J701" s="683"/>
      <c r="K701" s="683"/>
      <c r="L701" s="683"/>
      <c r="M701" s="683"/>
      <c r="N701" s="683"/>
      <c r="O701" s="683"/>
      <c r="P701" s="683"/>
      <c r="Q701" s="683"/>
    </row>
    <row r="702" spans="1:17" ht="19.5">
      <c r="A702" s="683"/>
      <c r="B702" s="683"/>
      <c r="C702" s="683"/>
      <c r="D702" s="683"/>
      <c r="E702" s="683"/>
      <c r="F702" s="683"/>
      <c r="G702" s="683"/>
      <c r="H702" s="683"/>
      <c r="I702" s="683"/>
      <c r="J702" s="683"/>
      <c r="K702" s="683"/>
      <c r="L702" s="683"/>
      <c r="M702" s="683"/>
      <c r="N702" s="683"/>
      <c r="O702" s="683"/>
      <c r="P702" s="683"/>
      <c r="Q702" s="683"/>
    </row>
    <row r="703" spans="1:17" ht="19.5">
      <c r="A703" s="683"/>
      <c r="B703" s="683"/>
      <c r="C703" s="683"/>
      <c r="D703" s="683"/>
      <c r="E703" s="683"/>
      <c r="F703" s="683"/>
      <c r="G703" s="683"/>
      <c r="H703" s="683"/>
      <c r="I703" s="683"/>
      <c r="J703" s="683"/>
      <c r="K703" s="683"/>
      <c r="L703" s="683"/>
      <c r="M703" s="683"/>
      <c r="N703" s="683"/>
      <c r="O703" s="683"/>
      <c r="P703" s="683"/>
      <c r="Q703" s="683"/>
    </row>
    <row r="704" spans="1:17" ht="19.5">
      <c r="A704" s="683"/>
      <c r="B704" s="683"/>
      <c r="C704" s="683"/>
      <c r="D704" s="683"/>
      <c r="E704" s="683"/>
      <c r="F704" s="683"/>
      <c r="G704" s="683"/>
      <c r="H704" s="683"/>
      <c r="I704" s="683"/>
      <c r="J704" s="683"/>
      <c r="K704" s="683"/>
      <c r="L704" s="683"/>
      <c r="M704" s="683"/>
      <c r="N704" s="683"/>
      <c r="O704" s="683"/>
      <c r="P704" s="683"/>
      <c r="Q704" s="683"/>
    </row>
    <row r="705" spans="1:17" ht="19.5">
      <c r="A705" s="683"/>
      <c r="B705" s="683"/>
      <c r="C705" s="683"/>
      <c r="D705" s="683"/>
      <c r="E705" s="683"/>
      <c r="F705" s="683"/>
      <c r="G705" s="683"/>
      <c r="H705" s="683"/>
      <c r="I705" s="683"/>
      <c r="J705" s="683"/>
      <c r="K705" s="683"/>
      <c r="L705" s="683"/>
      <c r="M705" s="683"/>
      <c r="N705" s="683"/>
      <c r="O705" s="683"/>
      <c r="P705" s="683"/>
      <c r="Q705" s="683"/>
    </row>
    <row r="706" spans="1:17" ht="19.5">
      <c r="A706" s="683"/>
      <c r="B706" s="683"/>
      <c r="C706" s="683"/>
      <c r="D706" s="683"/>
      <c r="E706" s="683"/>
      <c r="F706" s="683"/>
      <c r="G706" s="683"/>
      <c r="H706" s="683"/>
      <c r="I706" s="683"/>
      <c r="J706" s="683"/>
      <c r="K706" s="683"/>
      <c r="L706" s="683"/>
      <c r="M706" s="683"/>
      <c r="N706" s="683"/>
      <c r="O706" s="683"/>
      <c r="P706" s="683"/>
      <c r="Q706" s="683"/>
    </row>
    <row r="707" spans="1:17" ht="19.5">
      <c r="A707" s="683"/>
      <c r="B707" s="683"/>
      <c r="C707" s="683"/>
      <c r="D707" s="683"/>
      <c r="E707" s="683"/>
      <c r="F707" s="683"/>
      <c r="G707" s="683"/>
      <c r="H707" s="683"/>
      <c r="I707" s="683"/>
      <c r="J707" s="683"/>
      <c r="K707" s="683"/>
      <c r="L707" s="683"/>
      <c r="M707" s="683"/>
      <c r="N707" s="683"/>
      <c r="O707" s="683"/>
      <c r="P707" s="683"/>
      <c r="Q707" s="683"/>
    </row>
    <row r="708" spans="1:17" ht="19.5">
      <c r="A708" s="683"/>
      <c r="B708" s="683"/>
      <c r="C708" s="683"/>
      <c r="D708" s="683"/>
      <c r="E708" s="683"/>
      <c r="F708" s="683"/>
      <c r="G708" s="683"/>
      <c r="H708" s="683"/>
      <c r="I708" s="683"/>
      <c r="J708" s="683"/>
      <c r="K708" s="683"/>
      <c r="L708" s="683"/>
      <c r="M708" s="683"/>
      <c r="N708" s="683"/>
      <c r="O708" s="683"/>
      <c r="P708" s="683"/>
      <c r="Q708" s="683"/>
    </row>
    <row r="709" spans="1:17" ht="19.5">
      <c r="A709" s="683"/>
      <c r="B709" s="683"/>
      <c r="C709" s="683"/>
      <c r="D709" s="683"/>
      <c r="E709" s="683"/>
      <c r="F709" s="683"/>
      <c r="G709" s="683"/>
      <c r="H709" s="683"/>
      <c r="I709" s="683"/>
      <c r="J709" s="683"/>
      <c r="K709" s="683"/>
      <c r="L709" s="683"/>
      <c r="M709" s="683"/>
      <c r="N709" s="683"/>
      <c r="O709" s="683"/>
      <c r="P709" s="683"/>
      <c r="Q709" s="683"/>
    </row>
    <row r="710" spans="1:17" ht="19.5">
      <c r="A710" s="683"/>
      <c r="B710" s="683"/>
      <c r="C710" s="683"/>
      <c r="D710" s="683"/>
      <c r="E710" s="683"/>
      <c r="F710" s="683"/>
      <c r="G710" s="683"/>
      <c r="H710" s="683"/>
      <c r="I710" s="683"/>
      <c r="J710" s="683"/>
      <c r="K710" s="683"/>
      <c r="L710" s="683"/>
      <c r="M710" s="683"/>
      <c r="N710" s="683"/>
      <c r="O710" s="683"/>
      <c r="P710" s="683"/>
      <c r="Q710" s="683"/>
    </row>
    <row r="711" spans="1:17" ht="19.5">
      <c r="A711" s="683"/>
      <c r="B711" s="683"/>
      <c r="C711" s="683"/>
      <c r="D711" s="683"/>
      <c r="E711" s="683"/>
      <c r="F711" s="683"/>
      <c r="G711" s="683"/>
      <c r="H711" s="683"/>
      <c r="I711" s="683"/>
      <c r="J711" s="683"/>
      <c r="K711" s="683"/>
      <c r="L711" s="683"/>
      <c r="M711" s="683"/>
      <c r="N711" s="683"/>
      <c r="O711" s="683"/>
      <c r="P711" s="683"/>
      <c r="Q711" s="683"/>
    </row>
    <row r="712" spans="1:17" ht="19.5">
      <c r="A712" s="683"/>
      <c r="B712" s="683"/>
      <c r="C712" s="683"/>
      <c r="D712" s="683"/>
      <c r="E712" s="683"/>
      <c r="F712" s="683"/>
      <c r="G712" s="683"/>
      <c r="H712" s="683"/>
      <c r="I712" s="683"/>
      <c r="J712" s="683"/>
      <c r="K712" s="683"/>
      <c r="L712" s="683"/>
      <c r="M712" s="683"/>
      <c r="N712" s="683"/>
      <c r="O712" s="683"/>
      <c r="P712" s="683"/>
      <c r="Q712" s="683"/>
    </row>
    <row r="713" spans="1:17" ht="19.5">
      <c r="A713" s="683"/>
      <c r="B713" s="683"/>
      <c r="C713" s="683"/>
      <c r="D713" s="683"/>
      <c r="E713" s="683"/>
      <c r="F713" s="683"/>
      <c r="G713" s="683"/>
      <c r="H713" s="683"/>
      <c r="I713" s="683"/>
      <c r="J713" s="683"/>
      <c r="K713" s="683"/>
      <c r="L713" s="683"/>
      <c r="M713" s="683"/>
      <c r="N713" s="683"/>
      <c r="O713" s="683"/>
      <c r="P713" s="683"/>
      <c r="Q713" s="683"/>
    </row>
    <row r="714" spans="1:17" ht="19.5">
      <c r="A714" s="683"/>
      <c r="B714" s="683"/>
      <c r="C714" s="683"/>
      <c r="D714" s="683"/>
      <c r="E714" s="683"/>
      <c r="F714" s="683"/>
      <c r="G714" s="683"/>
      <c r="H714" s="683"/>
      <c r="I714" s="683"/>
      <c r="J714" s="683"/>
      <c r="K714" s="683"/>
      <c r="L714" s="683"/>
      <c r="M714" s="683"/>
      <c r="N714" s="683"/>
      <c r="O714" s="683"/>
      <c r="P714" s="683"/>
      <c r="Q714" s="683"/>
    </row>
    <row r="715" spans="1:17" ht="19.5">
      <c r="A715" s="683"/>
      <c r="B715" s="683"/>
      <c r="C715" s="683"/>
      <c r="D715" s="683"/>
      <c r="E715" s="683"/>
      <c r="F715" s="683"/>
      <c r="G715" s="683"/>
      <c r="H715" s="683"/>
      <c r="I715" s="683"/>
      <c r="J715" s="683"/>
      <c r="K715" s="683"/>
      <c r="L715" s="683"/>
      <c r="M715" s="683"/>
      <c r="N715" s="683"/>
      <c r="O715" s="683"/>
      <c r="P715" s="683"/>
      <c r="Q715" s="683"/>
    </row>
    <row r="716" spans="1:17" ht="19.5">
      <c r="A716" s="683"/>
      <c r="B716" s="683"/>
      <c r="C716" s="683"/>
      <c r="D716" s="683"/>
      <c r="E716" s="683"/>
      <c r="F716" s="683"/>
      <c r="G716" s="683"/>
      <c r="H716" s="683"/>
      <c r="I716" s="683"/>
      <c r="J716" s="683"/>
      <c r="K716" s="683"/>
      <c r="L716" s="683"/>
      <c r="M716" s="683"/>
      <c r="N716" s="683"/>
      <c r="O716" s="683"/>
      <c r="P716" s="683"/>
      <c r="Q716" s="683"/>
    </row>
    <row r="717" spans="1:17" ht="19.5">
      <c r="A717" s="683"/>
      <c r="B717" s="683"/>
      <c r="C717" s="683"/>
      <c r="D717" s="683"/>
      <c r="E717" s="683"/>
      <c r="F717" s="683"/>
      <c r="G717" s="683"/>
      <c r="H717" s="683"/>
      <c r="I717" s="683"/>
      <c r="J717" s="683"/>
      <c r="K717" s="683"/>
      <c r="L717" s="683"/>
      <c r="M717" s="683"/>
      <c r="N717" s="683"/>
      <c r="O717" s="683"/>
      <c r="P717" s="683"/>
      <c r="Q717" s="683"/>
    </row>
    <row r="718" spans="1:17" ht="19.5">
      <c r="A718" s="683"/>
      <c r="B718" s="683"/>
      <c r="C718" s="683"/>
      <c r="D718" s="683"/>
      <c r="E718" s="683"/>
      <c r="F718" s="683"/>
      <c r="G718" s="683"/>
      <c r="H718" s="683"/>
      <c r="I718" s="683"/>
      <c r="J718" s="683"/>
      <c r="K718" s="683"/>
      <c r="L718" s="683"/>
      <c r="M718" s="683"/>
      <c r="N718" s="683"/>
      <c r="O718" s="683"/>
      <c r="P718" s="683"/>
      <c r="Q718" s="683"/>
    </row>
    <row r="719" spans="1:17" ht="19.5">
      <c r="A719" s="683"/>
      <c r="B719" s="683"/>
      <c r="C719" s="683"/>
      <c r="D719" s="683"/>
      <c r="E719" s="683"/>
      <c r="F719" s="683"/>
      <c r="G719" s="683"/>
      <c r="H719" s="683"/>
      <c r="I719" s="683"/>
      <c r="J719" s="683"/>
      <c r="K719" s="683"/>
      <c r="L719" s="683"/>
      <c r="M719" s="683"/>
      <c r="N719" s="683"/>
      <c r="O719" s="683"/>
      <c r="P719" s="683"/>
      <c r="Q719" s="683"/>
    </row>
    <row r="720" spans="1:17" ht="19.5">
      <c r="A720" s="683"/>
      <c r="B720" s="683"/>
      <c r="C720" s="683"/>
      <c r="D720" s="683"/>
      <c r="E720" s="683"/>
      <c r="F720" s="683"/>
      <c r="G720" s="683"/>
      <c r="H720" s="683"/>
      <c r="I720" s="683"/>
      <c r="J720" s="683"/>
      <c r="K720" s="683"/>
      <c r="L720" s="683"/>
      <c r="M720" s="683"/>
      <c r="N720" s="683"/>
      <c r="O720" s="683"/>
      <c r="P720" s="683"/>
      <c r="Q720" s="683"/>
    </row>
    <row r="721" spans="1:17" ht="19.5">
      <c r="A721" s="683"/>
      <c r="B721" s="683"/>
      <c r="C721" s="683"/>
      <c r="D721" s="683"/>
      <c r="E721" s="683"/>
      <c r="F721" s="683"/>
      <c r="G721" s="683"/>
      <c r="H721" s="683"/>
      <c r="I721" s="683"/>
      <c r="J721" s="683"/>
      <c r="K721" s="683"/>
      <c r="L721" s="683"/>
      <c r="M721" s="683"/>
      <c r="N721" s="683"/>
      <c r="O721" s="683"/>
      <c r="P721" s="683"/>
      <c r="Q721" s="683"/>
    </row>
    <row r="722" spans="1:17" ht="19.5">
      <c r="A722" s="683"/>
      <c r="B722" s="683"/>
      <c r="C722" s="683"/>
      <c r="D722" s="683"/>
      <c r="E722" s="683"/>
      <c r="F722" s="683"/>
      <c r="G722" s="683"/>
      <c r="H722" s="683"/>
      <c r="I722" s="683"/>
      <c r="J722" s="683"/>
      <c r="K722" s="683"/>
      <c r="L722" s="683"/>
      <c r="M722" s="683"/>
      <c r="N722" s="683"/>
      <c r="O722" s="683"/>
      <c r="P722" s="683"/>
      <c r="Q722" s="683"/>
    </row>
    <row r="723" spans="1:17" ht="19.5">
      <c r="A723" s="683"/>
      <c r="B723" s="683"/>
      <c r="C723" s="683"/>
      <c r="D723" s="683"/>
      <c r="E723" s="683"/>
      <c r="F723" s="683"/>
      <c r="G723" s="683"/>
      <c r="H723" s="683"/>
      <c r="I723" s="683"/>
      <c r="J723" s="683"/>
      <c r="K723" s="683"/>
      <c r="L723" s="683"/>
      <c r="M723" s="683"/>
      <c r="N723" s="683"/>
      <c r="O723" s="683"/>
      <c r="P723" s="683"/>
      <c r="Q723" s="683"/>
    </row>
    <row r="724" spans="1:17" ht="19.5">
      <c r="A724" s="683"/>
      <c r="B724" s="683"/>
      <c r="C724" s="683"/>
      <c r="D724" s="683"/>
      <c r="E724" s="683"/>
      <c r="F724" s="683"/>
      <c r="G724" s="683"/>
      <c r="H724" s="683"/>
      <c r="I724" s="683"/>
      <c r="J724" s="683"/>
      <c r="K724" s="683"/>
      <c r="L724" s="683"/>
      <c r="M724" s="683"/>
      <c r="N724" s="683"/>
      <c r="O724" s="683"/>
      <c r="P724" s="683"/>
      <c r="Q724" s="683"/>
    </row>
    <row r="725" spans="1:17" ht="19.5">
      <c r="A725" s="683"/>
      <c r="B725" s="683"/>
      <c r="C725" s="683"/>
      <c r="D725" s="683"/>
      <c r="E725" s="683"/>
      <c r="F725" s="683"/>
      <c r="G725" s="683"/>
      <c r="H725" s="683"/>
      <c r="I725" s="683"/>
      <c r="J725" s="683"/>
      <c r="K725" s="683"/>
      <c r="L725" s="683"/>
      <c r="M725" s="683"/>
      <c r="N725" s="683"/>
      <c r="O725" s="683"/>
      <c r="P725" s="683"/>
      <c r="Q725" s="683"/>
    </row>
    <row r="726" spans="1:17" ht="19.5">
      <c r="A726" s="683"/>
      <c r="B726" s="683"/>
      <c r="C726" s="683"/>
      <c r="D726" s="683"/>
      <c r="E726" s="683"/>
      <c r="F726" s="683"/>
      <c r="G726" s="683"/>
      <c r="H726" s="683"/>
      <c r="I726" s="683"/>
      <c r="J726" s="683"/>
      <c r="K726" s="683"/>
      <c r="L726" s="683"/>
      <c r="M726" s="683"/>
      <c r="N726" s="683"/>
      <c r="O726" s="683"/>
      <c r="P726" s="683"/>
      <c r="Q726" s="683"/>
    </row>
    <row r="727" spans="1:17" ht="19.5">
      <c r="A727" s="683"/>
      <c r="B727" s="683"/>
      <c r="C727" s="683"/>
      <c r="D727" s="683"/>
      <c r="E727" s="683"/>
      <c r="F727" s="683"/>
      <c r="G727" s="683"/>
      <c r="H727" s="683"/>
      <c r="I727" s="683"/>
      <c r="J727" s="683"/>
      <c r="K727" s="683"/>
      <c r="L727" s="683"/>
      <c r="M727" s="683"/>
      <c r="N727" s="683"/>
      <c r="O727" s="683"/>
      <c r="P727" s="683"/>
      <c r="Q727" s="683"/>
    </row>
    <row r="728" spans="1:17" ht="19.5">
      <c r="A728" s="683"/>
      <c r="B728" s="683"/>
      <c r="C728" s="683"/>
      <c r="D728" s="683"/>
      <c r="E728" s="683"/>
      <c r="F728" s="683"/>
      <c r="G728" s="683"/>
      <c r="H728" s="683"/>
      <c r="I728" s="683"/>
      <c r="J728" s="683"/>
      <c r="K728" s="683"/>
      <c r="L728" s="683"/>
      <c r="M728" s="683"/>
      <c r="N728" s="683"/>
      <c r="O728" s="683"/>
      <c r="P728" s="683"/>
      <c r="Q728" s="683"/>
    </row>
    <row r="729" spans="1:17" ht="19.5">
      <c r="A729" s="683"/>
      <c r="B729" s="683"/>
      <c r="C729" s="683"/>
      <c r="D729" s="683"/>
      <c r="E729" s="683"/>
      <c r="F729" s="683"/>
      <c r="G729" s="683"/>
      <c r="H729" s="683"/>
      <c r="I729" s="683"/>
      <c r="J729" s="683"/>
      <c r="K729" s="683"/>
      <c r="L729" s="683"/>
      <c r="M729" s="683"/>
      <c r="N729" s="683"/>
      <c r="O729" s="683"/>
      <c r="P729" s="683"/>
      <c r="Q729" s="683"/>
    </row>
    <row r="730" spans="1:17" ht="19.5">
      <c r="A730" s="683"/>
      <c r="B730" s="683"/>
      <c r="C730" s="683"/>
      <c r="D730" s="683"/>
      <c r="E730" s="683"/>
      <c r="F730" s="683"/>
      <c r="G730" s="683"/>
      <c r="H730" s="683"/>
      <c r="I730" s="683"/>
      <c r="J730" s="683"/>
      <c r="K730" s="683"/>
      <c r="L730" s="683"/>
      <c r="M730" s="683"/>
      <c r="N730" s="683"/>
      <c r="O730" s="683"/>
      <c r="P730" s="683"/>
      <c r="Q730" s="683"/>
    </row>
    <row r="731" spans="1:17" ht="19.5">
      <c r="A731" s="683"/>
      <c r="B731" s="683"/>
      <c r="C731" s="683"/>
      <c r="D731" s="683"/>
      <c r="E731" s="683"/>
      <c r="F731" s="683"/>
      <c r="G731" s="683"/>
      <c r="H731" s="683"/>
      <c r="I731" s="683"/>
      <c r="J731" s="683"/>
      <c r="K731" s="683"/>
      <c r="L731" s="683"/>
      <c r="M731" s="683"/>
      <c r="N731" s="683"/>
      <c r="O731" s="683"/>
      <c r="P731" s="683"/>
      <c r="Q731" s="683"/>
    </row>
    <row r="732" spans="1:17" ht="19.5">
      <c r="A732" s="683"/>
      <c r="B732" s="683"/>
      <c r="C732" s="683"/>
      <c r="D732" s="683"/>
      <c r="E732" s="683"/>
      <c r="F732" s="683"/>
      <c r="G732" s="683"/>
      <c r="H732" s="683"/>
      <c r="I732" s="683"/>
      <c r="J732" s="683"/>
      <c r="K732" s="683"/>
      <c r="L732" s="683"/>
      <c r="M732" s="683"/>
      <c r="N732" s="683"/>
      <c r="O732" s="683"/>
      <c r="P732" s="683"/>
      <c r="Q732" s="683"/>
    </row>
    <row r="733" spans="1:17" ht="19.5">
      <c r="A733" s="683"/>
      <c r="B733" s="683"/>
      <c r="C733" s="683"/>
      <c r="D733" s="683"/>
      <c r="E733" s="683"/>
      <c r="F733" s="683"/>
      <c r="G733" s="683"/>
      <c r="H733" s="683"/>
      <c r="I733" s="683"/>
      <c r="J733" s="683"/>
      <c r="K733" s="683"/>
      <c r="L733" s="683"/>
      <c r="M733" s="683"/>
      <c r="N733" s="683"/>
      <c r="O733" s="683"/>
      <c r="P733" s="683"/>
      <c r="Q733" s="683"/>
    </row>
    <row r="734" spans="1:17" ht="19.5">
      <c r="A734" s="683"/>
      <c r="B734" s="683"/>
      <c r="C734" s="683"/>
      <c r="D734" s="683"/>
      <c r="E734" s="683"/>
      <c r="F734" s="683"/>
      <c r="G734" s="683"/>
      <c r="H734" s="683"/>
      <c r="I734" s="683"/>
      <c r="J734" s="683"/>
      <c r="K734" s="683"/>
      <c r="L734" s="683"/>
      <c r="M734" s="683"/>
      <c r="N734" s="683"/>
      <c r="O734" s="683"/>
      <c r="P734" s="683"/>
      <c r="Q734" s="683"/>
    </row>
    <row r="735" spans="1:17" ht="19.5">
      <c r="A735" s="683"/>
      <c r="B735" s="683"/>
      <c r="C735" s="683"/>
      <c r="D735" s="683"/>
      <c r="E735" s="683"/>
      <c r="F735" s="683"/>
      <c r="G735" s="683"/>
      <c r="H735" s="683"/>
      <c r="I735" s="683"/>
      <c r="J735" s="683"/>
      <c r="K735" s="683"/>
      <c r="L735" s="683"/>
      <c r="M735" s="683"/>
      <c r="N735" s="683"/>
      <c r="O735" s="683"/>
      <c r="P735" s="683"/>
      <c r="Q735" s="683"/>
    </row>
    <row r="736" spans="1:17" ht="19.5">
      <c r="A736" s="683"/>
      <c r="B736" s="683"/>
      <c r="C736" s="683"/>
      <c r="D736" s="683"/>
      <c r="E736" s="683"/>
      <c r="F736" s="683"/>
      <c r="G736" s="683"/>
      <c r="H736" s="683"/>
      <c r="I736" s="683"/>
      <c r="J736" s="683"/>
      <c r="K736" s="683"/>
      <c r="L736" s="683"/>
      <c r="M736" s="683"/>
      <c r="N736" s="683"/>
      <c r="O736" s="683"/>
      <c r="P736" s="683"/>
      <c r="Q736" s="683"/>
    </row>
    <row r="737" spans="1:17" ht="19.5">
      <c r="A737" s="683"/>
      <c r="B737" s="683"/>
      <c r="C737" s="683"/>
      <c r="D737" s="683"/>
      <c r="E737" s="683"/>
      <c r="F737" s="683"/>
      <c r="G737" s="683"/>
      <c r="H737" s="683"/>
      <c r="I737" s="683"/>
      <c r="J737" s="683"/>
      <c r="K737" s="683"/>
      <c r="L737" s="683"/>
      <c r="M737" s="683"/>
      <c r="N737" s="683"/>
      <c r="O737" s="683"/>
      <c r="P737" s="683"/>
      <c r="Q737" s="683"/>
    </row>
    <row r="738" spans="1:17" ht="19.5">
      <c r="A738" s="683"/>
      <c r="B738" s="683"/>
      <c r="C738" s="683"/>
      <c r="D738" s="683"/>
      <c r="E738" s="683"/>
      <c r="F738" s="683"/>
      <c r="G738" s="683"/>
      <c r="H738" s="683"/>
      <c r="I738" s="683"/>
      <c r="J738" s="683"/>
      <c r="K738" s="683"/>
      <c r="L738" s="683"/>
      <c r="M738" s="683"/>
      <c r="N738" s="683"/>
      <c r="O738" s="683"/>
      <c r="P738" s="683"/>
      <c r="Q738" s="683"/>
    </row>
    <row r="739" spans="1:17" ht="19.5">
      <c r="A739" s="683"/>
      <c r="B739" s="683"/>
      <c r="C739" s="683"/>
      <c r="D739" s="683"/>
      <c r="E739" s="683"/>
      <c r="F739" s="683"/>
      <c r="G739" s="683"/>
      <c r="H739" s="683"/>
      <c r="I739" s="683"/>
      <c r="J739" s="683"/>
      <c r="K739" s="683"/>
      <c r="L739" s="683"/>
      <c r="M739" s="683"/>
      <c r="N739" s="683"/>
      <c r="O739" s="683"/>
      <c r="P739" s="683"/>
      <c r="Q739" s="683"/>
    </row>
    <row r="740" spans="1:17" ht="19.5">
      <c r="A740" s="683"/>
      <c r="B740" s="683"/>
      <c r="C740" s="683"/>
      <c r="D740" s="683"/>
      <c r="E740" s="683"/>
      <c r="F740" s="683"/>
      <c r="G740" s="683"/>
      <c r="H740" s="683"/>
      <c r="I740" s="683"/>
      <c r="J740" s="683"/>
      <c r="K740" s="683"/>
      <c r="L740" s="683"/>
      <c r="M740" s="683"/>
      <c r="N740" s="683"/>
      <c r="O740" s="683"/>
      <c r="P740" s="683"/>
      <c r="Q740" s="683"/>
    </row>
    <row r="741" spans="1:17" ht="19.5">
      <c r="A741" s="683"/>
      <c r="B741" s="683"/>
      <c r="C741" s="683"/>
      <c r="D741" s="683"/>
      <c r="E741" s="683"/>
      <c r="F741" s="683"/>
      <c r="G741" s="683"/>
      <c r="H741" s="683"/>
      <c r="I741" s="683"/>
      <c r="J741" s="683"/>
      <c r="K741" s="683"/>
      <c r="L741" s="683"/>
      <c r="M741" s="683"/>
      <c r="N741" s="683"/>
      <c r="O741" s="683"/>
      <c r="P741" s="683"/>
      <c r="Q741" s="683"/>
    </row>
    <row r="742" spans="1:17" ht="19.5">
      <c r="A742" s="683"/>
      <c r="B742" s="683"/>
      <c r="C742" s="683"/>
      <c r="D742" s="683"/>
      <c r="E742" s="683"/>
      <c r="F742" s="683"/>
      <c r="G742" s="683"/>
      <c r="H742" s="683"/>
      <c r="I742" s="683"/>
      <c r="J742" s="683"/>
      <c r="K742" s="683"/>
      <c r="L742" s="683"/>
      <c r="M742" s="683"/>
      <c r="N742" s="683"/>
      <c r="O742" s="683"/>
      <c r="P742" s="683"/>
      <c r="Q742" s="683"/>
    </row>
    <row r="743" spans="1:17" ht="19.5">
      <c r="A743" s="683"/>
      <c r="B743" s="683"/>
      <c r="C743" s="683"/>
      <c r="D743" s="683"/>
      <c r="E743" s="683"/>
      <c r="F743" s="683"/>
      <c r="G743" s="683"/>
      <c r="H743" s="683"/>
      <c r="I743" s="683"/>
      <c r="J743" s="683"/>
      <c r="K743" s="683"/>
      <c r="L743" s="683"/>
      <c r="M743" s="683"/>
      <c r="N743" s="683"/>
      <c r="O743" s="683"/>
      <c r="P743" s="683"/>
      <c r="Q743" s="683"/>
    </row>
    <row r="744" spans="1:17" ht="19.5">
      <c r="A744" s="683"/>
      <c r="B744" s="683"/>
      <c r="C744" s="683"/>
      <c r="D744" s="683"/>
      <c r="E744" s="683"/>
      <c r="F744" s="683"/>
      <c r="G744" s="683"/>
      <c r="H744" s="683"/>
      <c r="I744" s="683"/>
      <c r="J744" s="683"/>
      <c r="K744" s="683"/>
      <c r="L744" s="683"/>
      <c r="M744" s="683"/>
      <c r="N744" s="683"/>
      <c r="O744" s="683"/>
      <c r="P744" s="683"/>
      <c r="Q744" s="683"/>
    </row>
    <row r="745" spans="1:17" ht="19.5">
      <c r="A745" s="683"/>
      <c r="B745" s="683"/>
      <c r="C745" s="683"/>
      <c r="D745" s="683"/>
      <c r="E745" s="683"/>
      <c r="F745" s="683"/>
      <c r="G745" s="683"/>
      <c r="H745" s="683"/>
      <c r="I745" s="683"/>
      <c r="J745" s="683"/>
      <c r="K745" s="683"/>
      <c r="L745" s="683"/>
      <c r="M745" s="683"/>
      <c r="N745" s="683"/>
      <c r="O745" s="683"/>
      <c r="P745" s="683"/>
      <c r="Q745" s="683"/>
    </row>
    <row r="746" spans="1:17" ht="19.5">
      <c r="A746" s="683"/>
      <c r="B746" s="683"/>
      <c r="C746" s="683"/>
      <c r="D746" s="683"/>
      <c r="E746" s="683"/>
      <c r="F746" s="683"/>
      <c r="G746" s="683"/>
      <c r="H746" s="683"/>
      <c r="I746" s="683"/>
      <c r="J746" s="683"/>
      <c r="K746" s="683"/>
      <c r="L746" s="683"/>
      <c r="M746" s="683"/>
      <c r="N746" s="683"/>
      <c r="O746" s="683"/>
      <c r="P746" s="683"/>
      <c r="Q746" s="683"/>
    </row>
    <row r="747" spans="1:17" ht="19.5">
      <c r="A747" s="683"/>
      <c r="B747" s="683"/>
      <c r="C747" s="683"/>
      <c r="D747" s="683"/>
      <c r="E747" s="683"/>
      <c r="F747" s="683"/>
      <c r="G747" s="683"/>
      <c r="H747" s="683"/>
      <c r="I747" s="683"/>
      <c r="J747" s="683"/>
      <c r="K747" s="683"/>
      <c r="L747" s="683"/>
      <c r="M747" s="683"/>
      <c r="N747" s="683"/>
      <c r="O747" s="683"/>
      <c r="P747" s="683"/>
      <c r="Q747" s="683"/>
    </row>
    <row r="748" spans="1:17" ht="19.5">
      <c r="A748" s="683"/>
      <c r="B748" s="683"/>
      <c r="C748" s="683"/>
      <c r="D748" s="683"/>
      <c r="E748" s="683"/>
      <c r="F748" s="683"/>
      <c r="G748" s="683"/>
      <c r="H748" s="683"/>
      <c r="I748" s="683"/>
      <c r="J748" s="683"/>
      <c r="K748" s="683"/>
      <c r="L748" s="683"/>
      <c r="M748" s="683"/>
      <c r="N748" s="683"/>
      <c r="O748" s="683"/>
      <c r="P748" s="683"/>
      <c r="Q748" s="683"/>
    </row>
    <row r="749" spans="1:17" ht="19.5">
      <c r="A749" s="683"/>
      <c r="B749" s="683"/>
      <c r="C749" s="683"/>
      <c r="D749" s="683"/>
      <c r="E749" s="683"/>
      <c r="F749" s="683"/>
      <c r="G749" s="683"/>
      <c r="H749" s="683"/>
      <c r="I749" s="683"/>
      <c r="J749" s="683"/>
      <c r="K749" s="683"/>
      <c r="L749" s="683"/>
      <c r="M749" s="683"/>
      <c r="N749" s="683"/>
      <c r="O749" s="683"/>
      <c r="P749" s="683"/>
      <c r="Q749" s="683"/>
    </row>
    <row r="750" spans="1:17" ht="19.5">
      <c r="A750" s="683"/>
      <c r="B750" s="683"/>
      <c r="C750" s="683"/>
      <c r="D750" s="683"/>
      <c r="E750" s="683"/>
      <c r="F750" s="683"/>
      <c r="G750" s="683"/>
      <c r="H750" s="683"/>
      <c r="I750" s="683"/>
      <c r="J750" s="683"/>
      <c r="K750" s="683"/>
      <c r="L750" s="683"/>
      <c r="M750" s="683"/>
      <c r="N750" s="683"/>
      <c r="O750" s="683"/>
      <c r="P750" s="683"/>
      <c r="Q750" s="683"/>
    </row>
    <row r="751" spans="1:17" ht="19.5">
      <c r="A751" s="683"/>
      <c r="B751" s="683"/>
      <c r="C751" s="683"/>
      <c r="D751" s="683"/>
      <c r="E751" s="683"/>
      <c r="F751" s="683"/>
      <c r="G751" s="683"/>
      <c r="H751" s="683"/>
      <c r="I751" s="683"/>
      <c r="J751" s="683"/>
      <c r="K751" s="683"/>
      <c r="L751" s="683"/>
      <c r="M751" s="683"/>
      <c r="N751" s="683"/>
      <c r="O751" s="683"/>
      <c r="P751" s="683"/>
      <c r="Q751" s="683"/>
    </row>
    <row r="752" spans="1:17" ht="19.5">
      <c r="A752" s="683"/>
      <c r="B752" s="683"/>
      <c r="C752" s="683"/>
      <c r="D752" s="683"/>
      <c r="E752" s="683"/>
      <c r="F752" s="683"/>
      <c r="G752" s="683"/>
      <c r="H752" s="683"/>
      <c r="I752" s="683"/>
      <c r="J752" s="683"/>
      <c r="K752" s="683"/>
      <c r="L752" s="683"/>
      <c r="M752" s="683"/>
      <c r="N752" s="683"/>
      <c r="O752" s="683"/>
      <c r="P752" s="683"/>
      <c r="Q752" s="683"/>
    </row>
    <row r="753" spans="1:17" ht="19.5">
      <c r="A753" s="683"/>
      <c r="B753" s="683"/>
      <c r="C753" s="683"/>
      <c r="D753" s="683"/>
      <c r="E753" s="683"/>
      <c r="F753" s="683"/>
      <c r="G753" s="683"/>
      <c r="H753" s="683"/>
      <c r="I753" s="683"/>
      <c r="J753" s="683"/>
      <c r="K753" s="683"/>
      <c r="L753" s="683"/>
      <c r="M753" s="683"/>
      <c r="N753" s="683"/>
      <c r="O753" s="683"/>
      <c r="P753" s="683"/>
      <c r="Q753" s="683"/>
    </row>
    <row r="754" spans="1:17" ht="19.5">
      <c r="A754" s="683"/>
      <c r="B754" s="683"/>
      <c r="C754" s="683"/>
      <c r="D754" s="683"/>
      <c r="E754" s="683"/>
      <c r="F754" s="683"/>
      <c r="G754" s="683"/>
      <c r="H754" s="683"/>
      <c r="I754" s="683"/>
      <c r="J754" s="683"/>
      <c r="K754" s="683"/>
      <c r="L754" s="683"/>
      <c r="M754" s="683"/>
      <c r="N754" s="683"/>
      <c r="O754" s="683"/>
      <c r="P754" s="683"/>
      <c r="Q754" s="683"/>
    </row>
    <row r="755" spans="1:17" ht="19.5">
      <c r="A755" s="683"/>
      <c r="B755" s="683"/>
      <c r="C755" s="683"/>
      <c r="D755" s="683"/>
      <c r="E755" s="683"/>
      <c r="F755" s="683"/>
      <c r="G755" s="683"/>
      <c r="H755" s="683"/>
      <c r="I755" s="683"/>
      <c r="J755" s="683"/>
      <c r="K755" s="683"/>
      <c r="L755" s="683"/>
      <c r="M755" s="683"/>
      <c r="N755" s="683"/>
      <c r="O755" s="683"/>
      <c r="P755" s="683"/>
      <c r="Q755" s="683"/>
    </row>
    <row r="756" spans="1:17" ht="19.5">
      <c r="A756" s="683"/>
      <c r="B756" s="683"/>
      <c r="C756" s="683"/>
      <c r="D756" s="683"/>
      <c r="E756" s="683"/>
      <c r="F756" s="683"/>
      <c r="G756" s="683"/>
      <c r="H756" s="683"/>
      <c r="I756" s="683"/>
      <c r="J756" s="683"/>
      <c r="K756" s="683"/>
      <c r="L756" s="683"/>
      <c r="M756" s="683"/>
      <c r="N756" s="683"/>
      <c r="O756" s="683"/>
      <c r="P756" s="683"/>
      <c r="Q756" s="683"/>
    </row>
    <row r="757" spans="1:17" ht="19.5">
      <c r="A757" s="683"/>
      <c r="B757" s="683"/>
      <c r="C757" s="683"/>
      <c r="D757" s="683"/>
      <c r="E757" s="683"/>
      <c r="F757" s="683"/>
      <c r="G757" s="683"/>
      <c r="H757" s="683"/>
      <c r="I757" s="683"/>
      <c r="J757" s="683"/>
      <c r="K757" s="683"/>
      <c r="L757" s="683"/>
      <c r="M757" s="683"/>
      <c r="N757" s="683"/>
      <c r="O757" s="683"/>
      <c r="P757" s="683"/>
      <c r="Q757" s="683"/>
    </row>
    <row r="758" spans="1:17" ht="19.5">
      <c r="A758" s="683"/>
      <c r="B758" s="683"/>
      <c r="C758" s="683"/>
      <c r="D758" s="683"/>
      <c r="E758" s="683"/>
      <c r="F758" s="683"/>
      <c r="G758" s="683"/>
      <c r="H758" s="683"/>
      <c r="I758" s="683"/>
      <c r="J758" s="683"/>
      <c r="K758" s="683"/>
      <c r="L758" s="683"/>
      <c r="M758" s="683"/>
      <c r="N758" s="683"/>
      <c r="O758" s="683"/>
      <c r="P758" s="683"/>
      <c r="Q758" s="683"/>
    </row>
    <row r="759" spans="1:17" ht="19.5">
      <c r="A759" s="683"/>
      <c r="B759" s="683"/>
      <c r="C759" s="683"/>
      <c r="D759" s="683"/>
      <c r="E759" s="683"/>
      <c r="F759" s="683"/>
      <c r="G759" s="683"/>
      <c r="H759" s="683"/>
      <c r="I759" s="683"/>
      <c r="J759" s="683"/>
      <c r="K759" s="683"/>
      <c r="L759" s="683"/>
      <c r="M759" s="683"/>
      <c r="N759" s="683"/>
      <c r="O759" s="683"/>
      <c r="P759" s="683"/>
      <c r="Q759" s="683"/>
    </row>
    <row r="760" spans="1:17" ht="19.5">
      <c r="A760" s="683"/>
      <c r="B760" s="683"/>
      <c r="C760" s="683"/>
      <c r="D760" s="683"/>
      <c r="E760" s="683"/>
      <c r="F760" s="683"/>
      <c r="G760" s="683"/>
      <c r="H760" s="683"/>
      <c r="I760" s="683"/>
      <c r="J760" s="683"/>
      <c r="K760" s="683"/>
      <c r="L760" s="683"/>
      <c r="M760" s="683"/>
      <c r="N760" s="683"/>
      <c r="O760" s="683"/>
      <c r="P760" s="683"/>
      <c r="Q760" s="683"/>
    </row>
    <row r="761" spans="1:17" ht="19.5">
      <c r="A761" s="683"/>
      <c r="B761" s="683"/>
      <c r="C761" s="683"/>
      <c r="D761" s="683"/>
      <c r="E761" s="683"/>
      <c r="F761" s="683"/>
      <c r="G761" s="683"/>
      <c r="H761" s="683"/>
      <c r="I761" s="683"/>
      <c r="J761" s="683"/>
      <c r="K761" s="683"/>
      <c r="L761" s="683"/>
      <c r="M761" s="683"/>
      <c r="N761" s="683"/>
      <c r="O761" s="683"/>
      <c r="P761" s="683"/>
      <c r="Q761" s="683"/>
    </row>
    <row r="762" spans="1:17" ht="19.5">
      <c r="A762" s="683"/>
      <c r="B762" s="683"/>
      <c r="C762" s="683"/>
      <c r="D762" s="683"/>
      <c r="E762" s="683"/>
      <c r="F762" s="683"/>
      <c r="G762" s="683"/>
      <c r="H762" s="683"/>
      <c r="I762" s="683"/>
      <c r="J762" s="683"/>
      <c r="K762" s="683"/>
      <c r="L762" s="683"/>
      <c r="M762" s="683"/>
      <c r="N762" s="683"/>
      <c r="O762" s="683"/>
      <c r="P762" s="683"/>
      <c r="Q762" s="683"/>
    </row>
    <row r="763" spans="1:17" ht="19.5">
      <c r="A763" s="683"/>
      <c r="B763" s="683"/>
      <c r="C763" s="683"/>
      <c r="D763" s="683"/>
      <c r="E763" s="683"/>
      <c r="F763" s="683"/>
      <c r="G763" s="683"/>
      <c r="H763" s="683"/>
      <c r="I763" s="683"/>
      <c r="J763" s="683"/>
      <c r="K763" s="683"/>
      <c r="L763" s="683"/>
      <c r="M763" s="683"/>
      <c r="N763" s="683"/>
      <c r="O763" s="683"/>
      <c r="P763" s="683"/>
      <c r="Q763" s="683"/>
    </row>
    <row r="764" spans="1:17" ht="19.5">
      <c r="A764" s="683"/>
      <c r="B764" s="683"/>
      <c r="C764" s="683"/>
      <c r="D764" s="683"/>
      <c r="E764" s="683"/>
      <c r="F764" s="683"/>
      <c r="G764" s="683"/>
      <c r="H764" s="683"/>
      <c r="I764" s="683"/>
      <c r="J764" s="683"/>
      <c r="K764" s="683"/>
      <c r="L764" s="683"/>
      <c r="M764" s="683"/>
      <c r="N764" s="683"/>
      <c r="O764" s="683"/>
      <c r="P764" s="683"/>
      <c r="Q764" s="683"/>
    </row>
    <row r="765" spans="1:17" ht="19.5">
      <c r="A765" s="683"/>
      <c r="B765" s="683"/>
      <c r="C765" s="683"/>
      <c r="D765" s="683"/>
      <c r="E765" s="683"/>
      <c r="F765" s="683"/>
      <c r="G765" s="683"/>
      <c r="H765" s="683"/>
      <c r="I765" s="683"/>
      <c r="J765" s="683"/>
      <c r="K765" s="683"/>
      <c r="L765" s="683"/>
      <c r="M765" s="683"/>
      <c r="N765" s="683"/>
      <c r="O765" s="683"/>
      <c r="P765" s="683"/>
      <c r="Q765" s="683"/>
    </row>
    <row r="766" spans="1:17" ht="19.5">
      <c r="A766" s="683"/>
      <c r="B766" s="683"/>
      <c r="C766" s="683"/>
      <c r="D766" s="683"/>
      <c r="E766" s="683"/>
      <c r="F766" s="683"/>
      <c r="G766" s="683"/>
      <c r="H766" s="683"/>
      <c r="I766" s="683"/>
      <c r="J766" s="683"/>
      <c r="K766" s="683"/>
      <c r="L766" s="683"/>
      <c r="M766" s="683"/>
      <c r="N766" s="683"/>
      <c r="O766" s="683"/>
      <c r="P766" s="683"/>
      <c r="Q766" s="683"/>
    </row>
    <row r="767" spans="1:17" ht="19.5">
      <c r="A767" s="683"/>
      <c r="B767" s="683"/>
      <c r="C767" s="683"/>
      <c r="D767" s="683"/>
      <c r="E767" s="683"/>
      <c r="F767" s="683"/>
      <c r="G767" s="683"/>
      <c r="H767" s="683"/>
      <c r="I767" s="683"/>
      <c r="J767" s="683"/>
      <c r="K767" s="683"/>
      <c r="L767" s="683"/>
      <c r="M767" s="683"/>
      <c r="N767" s="683"/>
      <c r="O767" s="683"/>
      <c r="P767" s="683"/>
      <c r="Q767" s="683"/>
    </row>
    <row r="768" spans="1:17" ht="19.5">
      <c r="A768" s="683"/>
      <c r="B768" s="683"/>
      <c r="C768" s="683"/>
      <c r="D768" s="683"/>
      <c r="E768" s="683"/>
      <c r="F768" s="683"/>
      <c r="G768" s="683"/>
      <c r="H768" s="683"/>
      <c r="I768" s="683"/>
      <c r="J768" s="683"/>
      <c r="K768" s="683"/>
      <c r="L768" s="683"/>
      <c r="M768" s="683"/>
      <c r="N768" s="683"/>
      <c r="O768" s="683"/>
      <c r="P768" s="683"/>
      <c r="Q768" s="683"/>
    </row>
    <row r="769" spans="1:17" ht="19.5">
      <c r="A769" s="683"/>
      <c r="B769" s="683"/>
      <c r="C769" s="683"/>
      <c r="D769" s="683"/>
      <c r="E769" s="683"/>
      <c r="F769" s="683"/>
      <c r="G769" s="683"/>
      <c r="H769" s="683"/>
      <c r="I769" s="683"/>
      <c r="J769" s="683"/>
      <c r="K769" s="683"/>
      <c r="L769" s="683"/>
      <c r="M769" s="683"/>
      <c r="N769" s="683"/>
      <c r="O769" s="683"/>
      <c r="P769" s="683"/>
      <c r="Q769" s="683"/>
    </row>
    <row r="770" spans="1:17" ht="19.5">
      <c r="A770" s="683"/>
      <c r="B770" s="683"/>
      <c r="C770" s="683"/>
      <c r="D770" s="683"/>
      <c r="E770" s="683"/>
      <c r="F770" s="683"/>
      <c r="G770" s="683"/>
      <c r="H770" s="683"/>
      <c r="I770" s="683"/>
      <c r="J770" s="683"/>
      <c r="K770" s="683"/>
      <c r="L770" s="683"/>
      <c r="M770" s="683"/>
      <c r="N770" s="683"/>
      <c r="O770" s="683"/>
      <c r="P770" s="683"/>
      <c r="Q770" s="683"/>
    </row>
    <row r="771" spans="1:17" ht="19.5">
      <c r="A771" s="683"/>
      <c r="B771" s="683"/>
      <c r="C771" s="683"/>
      <c r="D771" s="683"/>
      <c r="E771" s="683"/>
      <c r="F771" s="683"/>
      <c r="G771" s="683"/>
      <c r="H771" s="683"/>
      <c r="I771" s="683"/>
      <c r="J771" s="683"/>
      <c r="K771" s="683"/>
      <c r="L771" s="683"/>
      <c r="M771" s="683"/>
      <c r="N771" s="683"/>
      <c r="O771" s="683"/>
      <c r="P771" s="683"/>
      <c r="Q771" s="683"/>
    </row>
    <row r="772" spans="1:17" ht="19.5">
      <c r="A772" s="683"/>
      <c r="B772" s="683"/>
      <c r="C772" s="683"/>
      <c r="D772" s="683"/>
      <c r="E772" s="683"/>
      <c r="F772" s="683"/>
      <c r="G772" s="683"/>
      <c r="H772" s="683"/>
      <c r="I772" s="683"/>
      <c r="J772" s="683"/>
      <c r="K772" s="683"/>
      <c r="L772" s="683"/>
      <c r="M772" s="683"/>
      <c r="N772" s="683"/>
      <c r="O772" s="683"/>
      <c r="P772" s="683"/>
      <c r="Q772" s="683"/>
    </row>
    <row r="773" spans="1:17" ht="19.5">
      <c r="A773" s="683"/>
      <c r="B773" s="683"/>
      <c r="C773" s="683"/>
      <c r="D773" s="683"/>
      <c r="E773" s="683"/>
      <c r="F773" s="683"/>
      <c r="G773" s="683"/>
      <c r="H773" s="683"/>
      <c r="I773" s="683"/>
      <c r="J773" s="683"/>
      <c r="K773" s="683"/>
      <c r="L773" s="683"/>
      <c r="M773" s="683"/>
      <c r="N773" s="683"/>
      <c r="O773" s="683"/>
      <c r="P773" s="683"/>
      <c r="Q773" s="683"/>
    </row>
    <row r="774" spans="1:17" ht="19.5">
      <c r="A774" s="683"/>
      <c r="B774" s="683"/>
      <c r="C774" s="683"/>
      <c r="D774" s="683"/>
      <c r="E774" s="683"/>
      <c r="F774" s="683"/>
      <c r="G774" s="683"/>
      <c r="H774" s="683"/>
      <c r="I774" s="683"/>
      <c r="J774" s="683"/>
      <c r="K774" s="683"/>
      <c r="L774" s="683"/>
      <c r="M774" s="683"/>
      <c r="N774" s="683"/>
      <c r="O774" s="683"/>
      <c r="P774" s="683"/>
      <c r="Q774" s="683"/>
    </row>
    <row r="775" spans="1:17" ht="19.5">
      <c r="A775" s="683"/>
      <c r="B775" s="683"/>
      <c r="C775" s="683"/>
      <c r="D775" s="683"/>
      <c r="E775" s="683"/>
      <c r="F775" s="683"/>
      <c r="G775" s="683"/>
      <c r="H775" s="683"/>
      <c r="I775" s="683"/>
      <c r="J775" s="683"/>
      <c r="K775" s="683"/>
      <c r="L775" s="683"/>
      <c r="M775" s="683"/>
      <c r="N775" s="683"/>
      <c r="O775" s="683"/>
      <c r="P775" s="683"/>
      <c r="Q775" s="683"/>
    </row>
    <row r="776" spans="1:17" ht="19.5">
      <c r="A776" s="683"/>
      <c r="B776" s="683"/>
      <c r="C776" s="683"/>
      <c r="D776" s="683"/>
      <c r="E776" s="683"/>
      <c r="F776" s="683"/>
      <c r="G776" s="683"/>
      <c r="H776" s="683"/>
      <c r="I776" s="683"/>
      <c r="J776" s="683"/>
      <c r="K776" s="683"/>
      <c r="L776" s="683"/>
      <c r="M776" s="683"/>
      <c r="N776" s="683"/>
      <c r="O776" s="683"/>
      <c r="P776" s="683"/>
      <c r="Q776" s="683"/>
    </row>
    <row r="777" spans="1:17" ht="19.5">
      <c r="A777" s="683"/>
      <c r="B777" s="683"/>
      <c r="C777" s="683"/>
      <c r="D777" s="683"/>
      <c r="E777" s="683"/>
      <c r="F777" s="683"/>
      <c r="G777" s="683"/>
      <c r="H777" s="683"/>
      <c r="I777" s="683"/>
      <c r="J777" s="683"/>
      <c r="K777" s="683"/>
      <c r="L777" s="683"/>
      <c r="M777" s="683"/>
      <c r="N777" s="683"/>
      <c r="O777" s="683"/>
      <c r="P777" s="683"/>
      <c r="Q777" s="683"/>
    </row>
    <row r="778" spans="1:17" ht="19.5">
      <c r="A778" s="683"/>
      <c r="B778" s="683"/>
      <c r="C778" s="683"/>
      <c r="D778" s="683"/>
      <c r="E778" s="683"/>
      <c r="F778" s="683"/>
      <c r="G778" s="683"/>
      <c r="H778" s="683"/>
      <c r="I778" s="683"/>
      <c r="J778" s="683"/>
      <c r="K778" s="683"/>
      <c r="L778" s="683"/>
      <c r="M778" s="683"/>
      <c r="N778" s="683"/>
      <c r="O778" s="683"/>
      <c r="P778" s="683"/>
      <c r="Q778" s="683"/>
    </row>
    <row r="779" spans="1:17" ht="19.5">
      <c r="A779" s="683"/>
      <c r="B779" s="683"/>
      <c r="C779" s="683"/>
      <c r="D779" s="683"/>
      <c r="E779" s="683"/>
      <c r="F779" s="683"/>
      <c r="G779" s="683"/>
      <c r="H779" s="683"/>
      <c r="I779" s="683"/>
      <c r="J779" s="683"/>
      <c r="K779" s="683"/>
      <c r="L779" s="683"/>
      <c r="M779" s="683"/>
      <c r="N779" s="683"/>
      <c r="O779" s="683"/>
      <c r="P779" s="683"/>
      <c r="Q779" s="683"/>
    </row>
    <row r="780" spans="1:17" ht="19.5">
      <c r="A780" s="683"/>
      <c r="B780" s="683"/>
      <c r="C780" s="683"/>
      <c r="D780" s="683"/>
      <c r="E780" s="683"/>
      <c r="F780" s="683"/>
      <c r="G780" s="683"/>
      <c r="H780" s="683"/>
      <c r="I780" s="683"/>
      <c r="J780" s="683"/>
      <c r="K780" s="683"/>
      <c r="L780" s="683"/>
      <c r="M780" s="683"/>
      <c r="N780" s="683"/>
      <c r="O780" s="683"/>
      <c r="P780" s="683"/>
      <c r="Q780" s="683"/>
    </row>
    <row r="781" spans="1:17" ht="19.5">
      <c r="A781" s="683"/>
      <c r="B781" s="683"/>
      <c r="C781" s="683"/>
      <c r="D781" s="683"/>
      <c r="E781" s="683"/>
      <c r="F781" s="683"/>
      <c r="G781" s="683"/>
      <c r="H781" s="683"/>
      <c r="I781" s="683"/>
      <c r="J781" s="683"/>
      <c r="K781" s="683"/>
      <c r="L781" s="683"/>
      <c r="M781" s="683"/>
      <c r="N781" s="683"/>
      <c r="O781" s="683"/>
      <c r="P781" s="683"/>
      <c r="Q781" s="683"/>
    </row>
    <row r="782" spans="1:17" ht="19.5">
      <c r="A782" s="683"/>
      <c r="B782" s="683"/>
      <c r="C782" s="683"/>
      <c r="D782" s="683"/>
      <c r="E782" s="683"/>
      <c r="F782" s="683"/>
      <c r="G782" s="683"/>
      <c r="H782" s="683"/>
      <c r="I782" s="683"/>
      <c r="J782" s="683"/>
      <c r="K782" s="683"/>
      <c r="L782" s="683"/>
      <c r="M782" s="683"/>
      <c r="N782" s="683"/>
      <c r="O782" s="683"/>
      <c r="P782" s="683"/>
      <c r="Q782" s="683"/>
    </row>
    <row r="783" spans="1:17" ht="19.5">
      <c r="A783" s="683"/>
      <c r="B783" s="683"/>
      <c r="C783" s="683"/>
      <c r="D783" s="683"/>
      <c r="E783" s="683"/>
      <c r="F783" s="683"/>
      <c r="G783" s="683"/>
      <c r="H783" s="683"/>
      <c r="I783" s="683"/>
      <c r="J783" s="683"/>
      <c r="K783" s="683"/>
      <c r="L783" s="683"/>
      <c r="M783" s="683"/>
      <c r="N783" s="683"/>
      <c r="O783" s="683"/>
      <c r="P783" s="683"/>
      <c r="Q783" s="683"/>
    </row>
    <row r="784" spans="1:17" ht="19.5">
      <c r="A784" s="683"/>
      <c r="B784" s="683"/>
      <c r="C784" s="683"/>
      <c r="D784" s="683"/>
      <c r="E784" s="683"/>
      <c r="F784" s="683"/>
      <c r="G784" s="683"/>
      <c r="H784" s="683"/>
      <c r="I784" s="683"/>
      <c r="J784" s="683"/>
      <c r="K784" s="683"/>
      <c r="L784" s="683"/>
      <c r="M784" s="683"/>
      <c r="N784" s="683"/>
      <c r="O784" s="683"/>
      <c r="P784" s="683"/>
      <c r="Q784" s="683"/>
    </row>
    <row r="785" spans="1:17" ht="19.5">
      <c r="A785" s="683"/>
      <c r="B785" s="683"/>
      <c r="C785" s="683"/>
      <c r="D785" s="683"/>
      <c r="E785" s="683"/>
      <c r="F785" s="683"/>
      <c r="G785" s="683"/>
      <c r="H785" s="683"/>
      <c r="I785" s="683"/>
      <c r="J785" s="683"/>
      <c r="K785" s="683"/>
      <c r="L785" s="683"/>
      <c r="M785" s="683"/>
      <c r="N785" s="683"/>
      <c r="O785" s="683"/>
      <c r="P785" s="683"/>
      <c r="Q785" s="683"/>
    </row>
    <row r="786" spans="1:17" ht="19.5">
      <c r="A786" s="683"/>
      <c r="B786" s="683"/>
      <c r="C786" s="683"/>
      <c r="D786" s="683"/>
      <c r="E786" s="683"/>
      <c r="F786" s="683"/>
      <c r="G786" s="683"/>
      <c r="H786" s="683"/>
      <c r="I786" s="683"/>
      <c r="J786" s="683"/>
      <c r="K786" s="683"/>
      <c r="L786" s="683"/>
      <c r="M786" s="683"/>
      <c r="N786" s="683"/>
      <c r="O786" s="683"/>
      <c r="P786" s="683"/>
      <c r="Q786" s="683"/>
    </row>
    <row r="787" spans="1:17" ht="19.5">
      <c r="A787" s="683"/>
      <c r="B787" s="683"/>
      <c r="C787" s="683"/>
      <c r="D787" s="683"/>
      <c r="E787" s="683"/>
      <c r="F787" s="683"/>
      <c r="G787" s="683"/>
      <c r="H787" s="683"/>
      <c r="I787" s="683"/>
      <c r="J787" s="683"/>
      <c r="K787" s="683"/>
      <c r="L787" s="683"/>
      <c r="M787" s="683"/>
      <c r="N787" s="683"/>
      <c r="O787" s="683"/>
      <c r="P787" s="683"/>
      <c r="Q787" s="683"/>
    </row>
    <row r="788" spans="1:17" ht="19.5">
      <c r="A788" s="683"/>
      <c r="B788" s="683"/>
      <c r="C788" s="683"/>
      <c r="D788" s="683"/>
      <c r="E788" s="683"/>
      <c r="F788" s="683"/>
      <c r="G788" s="683"/>
      <c r="H788" s="683"/>
      <c r="I788" s="683"/>
      <c r="J788" s="683"/>
      <c r="K788" s="683"/>
      <c r="L788" s="683"/>
      <c r="M788" s="683"/>
      <c r="N788" s="683"/>
      <c r="O788" s="683"/>
      <c r="P788" s="683"/>
      <c r="Q788" s="683"/>
    </row>
    <row r="789" spans="1:17" ht="19.5">
      <c r="A789" s="683"/>
      <c r="B789" s="683"/>
      <c r="C789" s="683"/>
      <c r="D789" s="683"/>
      <c r="E789" s="683"/>
      <c r="F789" s="683"/>
      <c r="G789" s="683"/>
      <c r="H789" s="683"/>
      <c r="I789" s="683"/>
      <c r="J789" s="683"/>
      <c r="K789" s="683"/>
      <c r="L789" s="683"/>
      <c r="M789" s="683"/>
      <c r="N789" s="683"/>
      <c r="O789" s="683"/>
      <c r="P789" s="683"/>
      <c r="Q789" s="683"/>
    </row>
    <row r="790" spans="1:17" ht="19.5">
      <c r="A790" s="683"/>
      <c r="B790" s="683"/>
      <c r="C790" s="683"/>
      <c r="D790" s="683"/>
      <c r="E790" s="683"/>
      <c r="F790" s="683"/>
      <c r="G790" s="683"/>
      <c r="H790" s="683"/>
      <c r="I790" s="683"/>
      <c r="J790" s="683"/>
      <c r="K790" s="683"/>
      <c r="L790" s="683"/>
      <c r="M790" s="683"/>
      <c r="N790" s="683"/>
      <c r="O790" s="683"/>
      <c r="P790" s="683"/>
      <c r="Q790" s="683"/>
    </row>
    <row r="791" spans="1:17" ht="19.5">
      <c r="A791" s="683"/>
      <c r="B791" s="683"/>
      <c r="C791" s="683"/>
      <c r="D791" s="683"/>
      <c r="E791" s="683"/>
      <c r="F791" s="683"/>
      <c r="G791" s="683"/>
      <c r="H791" s="683"/>
      <c r="I791" s="683"/>
      <c r="J791" s="683"/>
      <c r="K791" s="683"/>
      <c r="L791" s="683"/>
      <c r="M791" s="683"/>
      <c r="N791" s="683"/>
      <c r="O791" s="683"/>
      <c r="P791" s="683"/>
      <c r="Q791" s="683"/>
    </row>
    <row r="792" spans="1:17" ht="19.5">
      <c r="A792" s="683"/>
      <c r="B792" s="683"/>
      <c r="C792" s="683"/>
      <c r="D792" s="683"/>
      <c r="E792" s="683"/>
      <c r="F792" s="683"/>
      <c r="G792" s="683"/>
      <c r="H792" s="683"/>
      <c r="I792" s="683"/>
      <c r="J792" s="683"/>
      <c r="K792" s="683"/>
      <c r="L792" s="683"/>
      <c r="M792" s="683"/>
      <c r="N792" s="683"/>
      <c r="O792" s="683"/>
      <c r="P792" s="683"/>
      <c r="Q792" s="683"/>
    </row>
    <row r="793" spans="1:17" ht="19.5">
      <c r="A793" s="683"/>
      <c r="B793" s="683"/>
      <c r="C793" s="683"/>
      <c r="D793" s="683"/>
      <c r="E793" s="683"/>
      <c r="F793" s="683"/>
      <c r="G793" s="683"/>
      <c r="H793" s="683"/>
      <c r="I793" s="683"/>
      <c r="J793" s="683"/>
      <c r="K793" s="683"/>
      <c r="L793" s="683"/>
      <c r="M793" s="683"/>
      <c r="N793" s="683"/>
      <c r="O793" s="683"/>
      <c r="P793" s="683"/>
      <c r="Q793" s="683"/>
    </row>
    <row r="794" spans="1:17" ht="19.5">
      <c r="A794" s="683"/>
      <c r="B794" s="683"/>
      <c r="C794" s="683"/>
      <c r="D794" s="683"/>
      <c r="E794" s="683"/>
      <c r="F794" s="683"/>
      <c r="G794" s="683"/>
      <c r="H794" s="683"/>
      <c r="I794" s="683"/>
      <c r="J794" s="683"/>
      <c r="K794" s="683"/>
      <c r="L794" s="683"/>
      <c r="M794" s="683"/>
      <c r="N794" s="683"/>
      <c r="O794" s="683"/>
      <c r="P794" s="683"/>
      <c r="Q794" s="683"/>
    </row>
    <row r="795" spans="1:17" ht="19.5">
      <c r="A795" s="683"/>
      <c r="B795" s="683"/>
      <c r="C795" s="683"/>
      <c r="D795" s="683"/>
      <c r="E795" s="683"/>
      <c r="F795" s="683"/>
      <c r="G795" s="683"/>
      <c r="H795" s="683"/>
      <c r="I795" s="683"/>
      <c r="J795" s="683"/>
      <c r="K795" s="683"/>
      <c r="L795" s="683"/>
      <c r="M795" s="683"/>
      <c r="N795" s="683"/>
      <c r="O795" s="683"/>
      <c r="P795" s="683"/>
      <c r="Q795" s="683"/>
    </row>
    <row r="796" spans="1:17" ht="19.5">
      <c r="A796" s="683"/>
      <c r="B796" s="683"/>
      <c r="C796" s="683"/>
      <c r="D796" s="683"/>
      <c r="E796" s="683"/>
      <c r="F796" s="683"/>
      <c r="G796" s="683"/>
      <c r="H796" s="683"/>
      <c r="I796" s="683"/>
      <c r="J796" s="683"/>
      <c r="K796" s="683"/>
      <c r="L796" s="683"/>
      <c r="M796" s="683"/>
      <c r="N796" s="683"/>
      <c r="O796" s="683"/>
      <c r="P796" s="683"/>
      <c r="Q796" s="683"/>
    </row>
    <row r="797" spans="1:17" ht="19.5">
      <c r="A797" s="683"/>
      <c r="B797" s="683"/>
      <c r="C797" s="683"/>
      <c r="D797" s="683"/>
      <c r="E797" s="683"/>
      <c r="F797" s="683"/>
      <c r="G797" s="683"/>
      <c r="H797" s="683"/>
      <c r="I797" s="683"/>
      <c r="J797" s="683"/>
      <c r="K797" s="683"/>
      <c r="L797" s="683"/>
      <c r="M797" s="683"/>
      <c r="N797" s="683"/>
      <c r="O797" s="683"/>
      <c r="P797" s="683"/>
      <c r="Q797" s="683"/>
    </row>
    <row r="798" spans="1:17" ht="19.5">
      <c r="A798" s="683"/>
      <c r="B798" s="683"/>
      <c r="C798" s="683"/>
      <c r="D798" s="683"/>
      <c r="E798" s="683"/>
      <c r="F798" s="683"/>
      <c r="G798" s="683"/>
      <c r="H798" s="683"/>
      <c r="I798" s="683"/>
      <c r="J798" s="683"/>
      <c r="K798" s="683"/>
      <c r="L798" s="683"/>
      <c r="M798" s="683"/>
      <c r="N798" s="683"/>
      <c r="O798" s="683"/>
      <c r="P798" s="683"/>
      <c r="Q798" s="683"/>
    </row>
    <row r="799" spans="1:17" ht="19.5">
      <c r="A799" s="683"/>
      <c r="B799" s="683"/>
      <c r="C799" s="683"/>
      <c r="D799" s="683"/>
      <c r="E799" s="683"/>
      <c r="F799" s="683"/>
      <c r="G799" s="683"/>
      <c r="H799" s="683"/>
      <c r="I799" s="683"/>
      <c r="J799" s="683"/>
      <c r="K799" s="683"/>
      <c r="L799" s="683"/>
      <c r="M799" s="683"/>
      <c r="N799" s="683"/>
      <c r="O799" s="683"/>
      <c r="P799" s="683"/>
      <c r="Q799" s="683"/>
    </row>
    <row r="800" spans="1:17" ht="19.5">
      <c r="A800" s="683"/>
      <c r="B800" s="683"/>
      <c r="C800" s="683"/>
      <c r="D800" s="683"/>
      <c r="E800" s="683"/>
      <c r="F800" s="683"/>
      <c r="G800" s="683"/>
      <c r="H800" s="683"/>
      <c r="I800" s="683"/>
      <c r="J800" s="683"/>
      <c r="K800" s="683"/>
      <c r="L800" s="683"/>
      <c r="M800" s="683"/>
      <c r="N800" s="683"/>
      <c r="O800" s="683"/>
      <c r="P800" s="683"/>
      <c r="Q800" s="683"/>
    </row>
    <row r="801" spans="1:17" ht="19.5">
      <c r="A801" s="683"/>
      <c r="B801" s="683"/>
      <c r="C801" s="683"/>
      <c r="D801" s="683"/>
      <c r="E801" s="683"/>
      <c r="F801" s="683"/>
      <c r="G801" s="683"/>
      <c r="H801" s="683"/>
      <c r="I801" s="683"/>
      <c r="J801" s="683"/>
      <c r="K801" s="683"/>
      <c r="L801" s="683"/>
      <c r="M801" s="683"/>
      <c r="N801" s="683"/>
      <c r="O801" s="683"/>
      <c r="P801" s="683"/>
      <c r="Q801" s="683"/>
    </row>
    <row r="802" spans="1:17" ht="19.5">
      <c r="A802" s="683"/>
      <c r="B802" s="683"/>
      <c r="C802" s="683"/>
      <c r="D802" s="683"/>
      <c r="E802" s="683"/>
      <c r="F802" s="683"/>
      <c r="G802" s="683"/>
      <c r="H802" s="683"/>
      <c r="I802" s="683"/>
      <c r="J802" s="683"/>
      <c r="K802" s="683"/>
      <c r="L802" s="683"/>
      <c r="M802" s="683"/>
      <c r="N802" s="683"/>
      <c r="O802" s="683"/>
      <c r="P802" s="683"/>
      <c r="Q802" s="683"/>
    </row>
    <row r="803" spans="1:17" ht="19.5">
      <c r="A803" s="683"/>
      <c r="B803" s="683"/>
      <c r="C803" s="683"/>
      <c r="D803" s="683"/>
      <c r="E803" s="683"/>
      <c r="F803" s="683"/>
      <c r="G803" s="683"/>
      <c r="H803" s="683"/>
      <c r="I803" s="683"/>
      <c r="J803" s="683"/>
      <c r="K803" s="683"/>
      <c r="L803" s="683"/>
      <c r="M803" s="683"/>
      <c r="N803" s="683"/>
      <c r="O803" s="683"/>
      <c r="P803" s="683"/>
      <c r="Q803" s="683"/>
    </row>
    <row r="804" spans="1:17" ht="19.5">
      <c r="A804" s="683"/>
      <c r="B804" s="683"/>
      <c r="C804" s="683"/>
      <c r="D804" s="683"/>
      <c r="E804" s="683"/>
      <c r="F804" s="683"/>
      <c r="G804" s="683"/>
      <c r="H804" s="683"/>
      <c r="I804" s="683"/>
      <c r="J804" s="683"/>
      <c r="K804" s="683"/>
      <c r="L804" s="683"/>
      <c r="M804" s="683"/>
      <c r="N804" s="683"/>
      <c r="O804" s="683"/>
      <c r="P804" s="683"/>
      <c r="Q804" s="683"/>
    </row>
    <row r="805" spans="1:17" ht="19.5">
      <c r="A805" s="683"/>
      <c r="B805" s="683"/>
      <c r="C805" s="683"/>
      <c r="D805" s="683"/>
      <c r="E805" s="683"/>
      <c r="F805" s="683"/>
      <c r="G805" s="683"/>
      <c r="H805" s="683"/>
      <c r="I805" s="683"/>
      <c r="J805" s="683"/>
      <c r="K805" s="683"/>
      <c r="L805" s="683"/>
      <c r="M805" s="683"/>
      <c r="N805" s="683"/>
      <c r="O805" s="683"/>
      <c r="P805" s="683"/>
      <c r="Q805" s="683"/>
    </row>
    <row r="806" spans="1:17" ht="19.5">
      <c r="A806" s="683"/>
      <c r="B806" s="683"/>
      <c r="C806" s="683"/>
      <c r="D806" s="683"/>
      <c r="E806" s="683"/>
      <c r="F806" s="683"/>
      <c r="G806" s="683"/>
      <c r="H806" s="683"/>
      <c r="I806" s="683"/>
      <c r="J806" s="683"/>
      <c r="K806" s="683"/>
      <c r="L806" s="683"/>
      <c r="M806" s="683"/>
      <c r="N806" s="683"/>
      <c r="O806" s="683"/>
      <c r="P806" s="683"/>
      <c r="Q806" s="683"/>
    </row>
    <row r="807" spans="1:17" ht="19.5">
      <c r="A807" s="683"/>
      <c r="B807" s="683"/>
      <c r="C807" s="683"/>
      <c r="D807" s="683"/>
      <c r="E807" s="683"/>
      <c r="F807" s="683"/>
      <c r="G807" s="683"/>
      <c r="H807" s="683"/>
      <c r="I807" s="683"/>
      <c r="J807" s="683"/>
      <c r="K807" s="683"/>
      <c r="L807" s="683"/>
      <c r="M807" s="683"/>
      <c r="N807" s="683"/>
      <c r="O807" s="683"/>
      <c r="P807" s="683"/>
      <c r="Q807" s="683"/>
    </row>
    <row r="808" spans="1:17" ht="19.5">
      <c r="A808" s="683"/>
      <c r="B808" s="683"/>
      <c r="C808" s="683"/>
      <c r="D808" s="683"/>
      <c r="E808" s="683"/>
      <c r="F808" s="683"/>
      <c r="G808" s="683"/>
      <c r="H808" s="683"/>
      <c r="I808" s="683"/>
      <c r="J808" s="683"/>
      <c r="K808" s="683"/>
      <c r="L808" s="683"/>
      <c r="M808" s="683"/>
      <c r="N808" s="683"/>
      <c r="O808" s="683"/>
      <c r="P808" s="683"/>
      <c r="Q808" s="683"/>
    </row>
    <row r="809" spans="1:17" ht="19.5">
      <c r="A809" s="683"/>
      <c r="B809" s="683"/>
      <c r="C809" s="683"/>
      <c r="D809" s="683"/>
      <c r="E809" s="683"/>
      <c r="F809" s="683"/>
      <c r="G809" s="683"/>
      <c r="H809" s="683"/>
      <c r="I809" s="683"/>
      <c r="J809" s="683"/>
      <c r="K809" s="683"/>
      <c r="L809" s="683"/>
      <c r="M809" s="683"/>
      <c r="N809" s="683"/>
      <c r="O809" s="683"/>
      <c r="P809" s="683"/>
      <c r="Q809" s="683"/>
    </row>
    <row r="810" spans="1:17" ht="19.5">
      <c r="A810" s="683"/>
      <c r="B810" s="683"/>
      <c r="C810" s="683"/>
      <c r="D810" s="683"/>
      <c r="E810" s="683"/>
      <c r="F810" s="683"/>
      <c r="G810" s="683"/>
      <c r="H810" s="683"/>
      <c r="I810" s="683"/>
      <c r="J810" s="683"/>
      <c r="K810" s="683"/>
      <c r="L810" s="683"/>
      <c r="M810" s="683"/>
      <c r="N810" s="683"/>
      <c r="O810" s="683"/>
      <c r="P810" s="683"/>
      <c r="Q810" s="683"/>
    </row>
    <row r="811" spans="1:17" ht="19.5">
      <c r="A811" s="683"/>
      <c r="B811" s="683"/>
      <c r="C811" s="683"/>
      <c r="D811" s="683"/>
      <c r="E811" s="683"/>
      <c r="F811" s="683"/>
      <c r="G811" s="683"/>
      <c r="H811" s="683"/>
      <c r="I811" s="683"/>
      <c r="J811" s="683"/>
      <c r="K811" s="683"/>
      <c r="L811" s="683"/>
      <c r="M811" s="683"/>
      <c r="N811" s="683"/>
      <c r="O811" s="683"/>
      <c r="P811" s="683"/>
      <c r="Q811" s="683"/>
    </row>
    <row r="812" spans="1:17" ht="19.5">
      <c r="A812" s="683"/>
      <c r="B812" s="683"/>
      <c r="C812" s="683"/>
      <c r="D812" s="683"/>
      <c r="E812" s="683"/>
      <c r="F812" s="683"/>
      <c r="G812" s="683"/>
      <c r="H812" s="683"/>
      <c r="I812" s="683"/>
      <c r="J812" s="683"/>
      <c r="K812" s="683"/>
      <c r="L812" s="683"/>
      <c r="M812" s="683"/>
      <c r="N812" s="683"/>
      <c r="O812" s="683"/>
      <c r="P812" s="683"/>
      <c r="Q812" s="683"/>
    </row>
    <row r="813" spans="1:17" ht="19.5">
      <c r="A813" s="683"/>
      <c r="B813" s="683"/>
      <c r="C813" s="683"/>
      <c r="D813" s="683"/>
      <c r="E813" s="683"/>
      <c r="F813" s="683"/>
      <c r="G813" s="683"/>
      <c r="H813" s="683"/>
      <c r="I813" s="683"/>
      <c r="J813" s="683"/>
      <c r="K813" s="683"/>
      <c r="L813" s="683"/>
      <c r="M813" s="683"/>
      <c r="N813" s="683"/>
      <c r="O813" s="683"/>
      <c r="P813" s="683"/>
      <c r="Q813" s="683"/>
    </row>
    <row r="814" spans="1:17" ht="19.5">
      <c r="A814" s="683"/>
      <c r="B814" s="683"/>
      <c r="C814" s="683"/>
      <c r="D814" s="683"/>
      <c r="E814" s="683"/>
      <c r="F814" s="683"/>
      <c r="G814" s="683"/>
      <c r="H814" s="683"/>
      <c r="I814" s="683"/>
      <c r="J814" s="683"/>
      <c r="K814" s="683"/>
      <c r="L814" s="683"/>
      <c r="M814" s="683"/>
      <c r="N814" s="683"/>
      <c r="O814" s="683"/>
      <c r="P814" s="683"/>
      <c r="Q814" s="683"/>
    </row>
    <row r="815" spans="1:17" ht="19.5">
      <c r="A815" s="683"/>
      <c r="B815" s="683"/>
      <c r="C815" s="683"/>
      <c r="D815" s="683"/>
      <c r="E815" s="683"/>
      <c r="F815" s="683"/>
      <c r="G815" s="683"/>
      <c r="H815" s="683"/>
      <c r="I815" s="683"/>
      <c r="J815" s="683"/>
      <c r="K815" s="683"/>
      <c r="L815" s="683"/>
      <c r="M815" s="683"/>
      <c r="N815" s="683"/>
      <c r="O815" s="683"/>
      <c r="P815" s="683"/>
      <c r="Q815" s="683"/>
    </row>
    <row r="816" spans="1:17" ht="19.5">
      <c r="A816" s="683"/>
      <c r="B816" s="683"/>
      <c r="C816" s="683"/>
      <c r="D816" s="683"/>
      <c r="E816" s="683"/>
      <c r="F816" s="683"/>
      <c r="G816" s="683"/>
      <c r="H816" s="683"/>
      <c r="I816" s="683"/>
      <c r="J816" s="683"/>
      <c r="K816" s="683"/>
      <c r="L816" s="683"/>
      <c r="M816" s="683"/>
      <c r="N816" s="683"/>
      <c r="O816" s="683"/>
      <c r="P816" s="683"/>
      <c r="Q816" s="683"/>
    </row>
    <row r="817" spans="1:17" ht="19.5">
      <c r="A817" s="683"/>
      <c r="B817" s="683"/>
      <c r="C817" s="683"/>
      <c r="D817" s="683"/>
      <c r="E817" s="683"/>
      <c r="F817" s="683"/>
      <c r="G817" s="683"/>
      <c r="H817" s="683"/>
      <c r="I817" s="683"/>
      <c r="J817" s="683"/>
      <c r="K817" s="683"/>
      <c r="L817" s="683"/>
      <c r="M817" s="683"/>
      <c r="N817" s="683"/>
      <c r="O817" s="683"/>
      <c r="P817" s="683"/>
      <c r="Q817" s="683"/>
    </row>
    <row r="818" spans="1:17" ht="19.5">
      <c r="A818" s="683"/>
      <c r="B818" s="683"/>
      <c r="C818" s="683"/>
      <c r="D818" s="683"/>
      <c r="E818" s="683"/>
      <c r="F818" s="683"/>
      <c r="G818" s="683"/>
      <c r="H818" s="683"/>
      <c r="I818" s="683"/>
      <c r="J818" s="683"/>
      <c r="K818" s="683"/>
      <c r="L818" s="683"/>
      <c r="M818" s="683"/>
      <c r="N818" s="683"/>
      <c r="O818" s="683"/>
      <c r="P818" s="683"/>
      <c r="Q818" s="683"/>
    </row>
    <row r="819" spans="1:17" ht="19.5">
      <c r="A819" s="683"/>
      <c r="B819" s="683"/>
      <c r="C819" s="683"/>
      <c r="D819" s="683"/>
      <c r="E819" s="683"/>
      <c r="F819" s="683"/>
      <c r="G819" s="683"/>
      <c r="H819" s="683"/>
      <c r="I819" s="683"/>
      <c r="J819" s="683"/>
      <c r="K819" s="683"/>
      <c r="L819" s="683"/>
      <c r="M819" s="683"/>
      <c r="N819" s="683"/>
      <c r="O819" s="683"/>
      <c r="P819" s="683"/>
      <c r="Q819" s="683"/>
    </row>
    <row r="820" spans="1:17" ht="19.5">
      <c r="A820" s="683"/>
      <c r="B820" s="683"/>
      <c r="C820" s="683"/>
      <c r="D820" s="683"/>
      <c r="E820" s="683"/>
      <c r="F820" s="683"/>
      <c r="G820" s="683"/>
      <c r="H820" s="683"/>
      <c r="I820" s="683"/>
      <c r="J820" s="683"/>
      <c r="K820" s="683"/>
      <c r="L820" s="683"/>
      <c r="M820" s="683"/>
      <c r="N820" s="683"/>
      <c r="O820" s="683"/>
      <c r="P820" s="683"/>
      <c r="Q820" s="683"/>
    </row>
    <row r="821" spans="1:17" ht="19.5">
      <c r="A821" s="683"/>
      <c r="B821" s="683"/>
      <c r="C821" s="683"/>
      <c r="D821" s="683"/>
      <c r="E821" s="683"/>
      <c r="F821" s="683"/>
      <c r="G821" s="683"/>
      <c r="H821" s="683"/>
      <c r="I821" s="683"/>
      <c r="J821" s="683"/>
      <c r="K821" s="683"/>
      <c r="L821" s="683"/>
      <c r="M821" s="683"/>
      <c r="N821" s="683"/>
      <c r="O821" s="683"/>
      <c r="P821" s="683"/>
      <c r="Q821" s="683"/>
    </row>
    <row r="822" spans="1:17" ht="19.5">
      <c r="A822" s="683"/>
      <c r="B822" s="683"/>
      <c r="C822" s="683"/>
      <c r="D822" s="683"/>
      <c r="E822" s="683"/>
      <c r="F822" s="683"/>
      <c r="G822" s="683"/>
      <c r="H822" s="683"/>
      <c r="I822" s="683"/>
      <c r="J822" s="683"/>
      <c r="K822" s="683"/>
      <c r="L822" s="683"/>
      <c r="M822" s="683"/>
      <c r="N822" s="683"/>
      <c r="O822" s="683"/>
      <c r="P822" s="683"/>
      <c r="Q822" s="683"/>
    </row>
    <row r="823" spans="1:17" ht="19.5">
      <c r="A823" s="683"/>
      <c r="B823" s="683"/>
      <c r="C823" s="683"/>
      <c r="D823" s="683"/>
      <c r="E823" s="683"/>
      <c r="F823" s="683"/>
      <c r="G823" s="683"/>
      <c r="H823" s="683"/>
      <c r="I823" s="683"/>
      <c r="J823" s="683"/>
      <c r="K823" s="683"/>
      <c r="L823" s="683"/>
      <c r="M823" s="683"/>
      <c r="N823" s="683"/>
      <c r="O823" s="683"/>
      <c r="P823" s="683"/>
      <c r="Q823" s="683"/>
    </row>
    <row r="824" spans="1:17" ht="19.5">
      <c r="A824" s="683"/>
      <c r="B824" s="683"/>
      <c r="C824" s="683"/>
      <c r="D824" s="683"/>
      <c r="E824" s="683"/>
      <c r="F824" s="683"/>
      <c r="G824" s="683"/>
      <c r="H824" s="683"/>
      <c r="I824" s="683"/>
      <c r="J824" s="683"/>
      <c r="K824" s="683"/>
      <c r="L824" s="683"/>
      <c r="M824" s="683"/>
      <c r="N824" s="683"/>
      <c r="O824" s="683"/>
      <c r="P824" s="683"/>
      <c r="Q824" s="683"/>
    </row>
    <row r="825" spans="1:17" ht="19.5">
      <c r="A825" s="683"/>
      <c r="B825" s="683"/>
      <c r="C825" s="683"/>
      <c r="D825" s="683"/>
      <c r="E825" s="683"/>
      <c r="F825" s="683"/>
      <c r="G825" s="683"/>
      <c r="H825" s="683"/>
      <c r="I825" s="683"/>
      <c r="J825" s="683"/>
      <c r="K825" s="683"/>
      <c r="L825" s="683"/>
      <c r="M825" s="683"/>
      <c r="N825" s="683"/>
      <c r="O825" s="683"/>
      <c r="P825" s="683"/>
      <c r="Q825" s="683"/>
    </row>
    <row r="826" spans="1:17" ht="19.5">
      <c r="A826" s="683"/>
      <c r="B826" s="683"/>
      <c r="C826" s="683"/>
      <c r="D826" s="683"/>
      <c r="E826" s="683"/>
      <c r="F826" s="683"/>
      <c r="G826" s="683"/>
      <c r="H826" s="683"/>
      <c r="I826" s="683"/>
      <c r="J826" s="683"/>
      <c r="K826" s="683"/>
      <c r="L826" s="683"/>
      <c r="M826" s="683"/>
      <c r="N826" s="683"/>
      <c r="O826" s="683"/>
      <c r="P826" s="683"/>
      <c r="Q826" s="683"/>
    </row>
    <row r="827" spans="1:17" ht="19.5">
      <c r="A827" s="683"/>
      <c r="B827" s="683"/>
      <c r="C827" s="683"/>
      <c r="D827" s="683"/>
      <c r="E827" s="683"/>
      <c r="F827" s="683"/>
      <c r="G827" s="683"/>
      <c r="H827" s="683"/>
      <c r="I827" s="683"/>
      <c r="J827" s="683"/>
      <c r="K827" s="683"/>
      <c r="L827" s="683"/>
      <c r="M827" s="683"/>
      <c r="N827" s="683"/>
      <c r="O827" s="683"/>
      <c r="P827" s="683"/>
      <c r="Q827" s="683"/>
    </row>
    <row r="828" spans="1:17" ht="19.5">
      <c r="A828" s="683"/>
      <c r="B828" s="683"/>
      <c r="C828" s="683"/>
      <c r="D828" s="683"/>
      <c r="E828" s="683"/>
      <c r="F828" s="683"/>
      <c r="G828" s="683"/>
      <c r="H828" s="683"/>
      <c r="I828" s="683"/>
      <c r="J828" s="683"/>
      <c r="K828" s="683"/>
      <c r="L828" s="683"/>
      <c r="M828" s="683"/>
      <c r="N828" s="683"/>
      <c r="O828" s="683"/>
      <c r="P828" s="683"/>
      <c r="Q828" s="683"/>
    </row>
    <row r="829" spans="1:17" ht="19.5">
      <c r="A829" s="683"/>
      <c r="B829" s="683"/>
      <c r="C829" s="683"/>
      <c r="D829" s="683"/>
      <c r="E829" s="683"/>
      <c r="F829" s="683"/>
      <c r="G829" s="683"/>
      <c r="H829" s="683"/>
      <c r="I829" s="683"/>
      <c r="J829" s="683"/>
      <c r="K829" s="683"/>
      <c r="L829" s="683"/>
      <c r="M829" s="683"/>
      <c r="N829" s="683"/>
      <c r="O829" s="683"/>
      <c r="P829" s="683"/>
      <c r="Q829" s="683"/>
    </row>
    <row r="830" spans="1:17" ht="19.5">
      <c r="A830" s="683"/>
      <c r="B830" s="683"/>
      <c r="C830" s="683"/>
      <c r="D830" s="683"/>
      <c r="E830" s="683"/>
      <c r="F830" s="683"/>
      <c r="G830" s="683"/>
      <c r="H830" s="683"/>
      <c r="I830" s="683"/>
      <c r="J830" s="683"/>
      <c r="K830" s="683"/>
      <c r="L830" s="683"/>
      <c r="M830" s="683"/>
      <c r="N830" s="683"/>
      <c r="O830" s="683"/>
      <c r="P830" s="683"/>
      <c r="Q830" s="683"/>
    </row>
    <row r="831" spans="1:17" ht="19.5">
      <c r="A831" s="683"/>
      <c r="B831" s="683"/>
      <c r="C831" s="683"/>
      <c r="D831" s="683"/>
      <c r="E831" s="683"/>
      <c r="F831" s="683"/>
      <c r="G831" s="683"/>
      <c r="H831" s="683"/>
      <c r="I831" s="683"/>
      <c r="J831" s="683"/>
      <c r="K831" s="683"/>
      <c r="L831" s="683"/>
      <c r="M831" s="683"/>
      <c r="N831" s="683"/>
      <c r="O831" s="683"/>
      <c r="P831" s="683"/>
      <c r="Q831" s="683"/>
    </row>
    <row r="832" spans="1:17" ht="19.5">
      <c r="A832" s="683"/>
      <c r="B832" s="683"/>
      <c r="C832" s="683"/>
      <c r="D832" s="683"/>
      <c r="E832" s="683"/>
      <c r="F832" s="683"/>
      <c r="G832" s="683"/>
      <c r="H832" s="683"/>
      <c r="I832" s="683"/>
      <c r="J832" s="683"/>
      <c r="K832" s="683"/>
      <c r="L832" s="683"/>
      <c r="M832" s="683"/>
      <c r="N832" s="683"/>
      <c r="O832" s="683"/>
      <c r="P832" s="683"/>
      <c r="Q832" s="683"/>
    </row>
    <row r="833" spans="1:17" ht="19.5">
      <c r="A833" s="683"/>
      <c r="B833" s="683"/>
      <c r="C833" s="683"/>
      <c r="D833" s="683"/>
      <c r="E833" s="683"/>
      <c r="F833" s="683"/>
      <c r="G833" s="683"/>
      <c r="H833" s="683"/>
      <c r="I833" s="683"/>
      <c r="J833" s="683"/>
      <c r="K833" s="683"/>
      <c r="L833" s="683"/>
      <c r="M833" s="683"/>
      <c r="N833" s="683"/>
      <c r="O833" s="683"/>
      <c r="P833" s="683"/>
      <c r="Q833" s="683"/>
    </row>
    <row r="834" spans="1:17" ht="19.5">
      <c r="A834" s="683"/>
      <c r="B834" s="683"/>
      <c r="C834" s="683"/>
      <c r="D834" s="683"/>
      <c r="E834" s="683"/>
      <c r="F834" s="683"/>
      <c r="G834" s="683"/>
      <c r="H834" s="683"/>
      <c r="I834" s="683"/>
      <c r="J834" s="683"/>
      <c r="K834" s="683"/>
      <c r="L834" s="683"/>
      <c r="M834" s="683"/>
      <c r="N834" s="683"/>
      <c r="O834" s="683"/>
      <c r="P834" s="683"/>
      <c r="Q834" s="683"/>
    </row>
    <row r="835" spans="1:17" ht="19.5">
      <c r="A835" s="683"/>
      <c r="B835" s="683"/>
      <c r="C835" s="683"/>
      <c r="D835" s="683"/>
      <c r="E835" s="683"/>
      <c r="F835" s="683"/>
      <c r="G835" s="683"/>
      <c r="H835" s="683"/>
      <c r="I835" s="683"/>
      <c r="J835" s="683"/>
      <c r="K835" s="683"/>
      <c r="L835" s="683"/>
      <c r="M835" s="683"/>
      <c r="N835" s="683"/>
      <c r="O835" s="683"/>
      <c r="P835" s="683"/>
      <c r="Q835" s="683"/>
    </row>
    <row r="836" spans="1:17" ht="19.5">
      <c r="A836" s="683"/>
      <c r="B836" s="683"/>
      <c r="C836" s="683"/>
      <c r="D836" s="683"/>
      <c r="E836" s="683"/>
      <c r="F836" s="683"/>
      <c r="G836" s="683"/>
      <c r="H836" s="683"/>
      <c r="I836" s="683"/>
      <c r="J836" s="683"/>
      <c r="K836" s="683"/>
      <c r="L836" s="683"/>
      <c r="M836" s="683"/>
      <c r="N836" s="683"/>
      <c r="O836" s="683"/>
      <c r="P836" s="683"/>
      <c r="Q836" s="683"/>
    </row>
    <row r="837" spans="1:17" ht="19.5">
      <c r="A837" s="683"/>
      <c r="B837" s="683"/>
      <c r="C837" s="683"/>
      <c r="D837" s="683"/>
      <c r="E837" s="683"/>
      <c r="F837" s="683"/>
      <c r="G837" s="683"/>
      <c r="H837" s="683"/>
      <c r="I837" s="683"/>
      <c r="J837" s="683"/>
      <c r="K837" s="683"/>
      <c r="L837" s="683"/>
      <c r="M837" s="683"/>
      <c r="N837" s="683"/>
      <c r="O837" s="683"/>
      <c r="P837" s="683"/>
      <c r="Q837" s="683"/>
    </row>
    <row r="838" spans="1:17" ht="19.5">
      <c r="A838" s="683"/>
      <c r="B838" s="683"/>
      <c r="C838" s="683"/>
      <c r="D838" s="683"/>
      <c r="E838" s="683"/>
      <c r="F838" s="683"/>
      <c r="G838" s="683"/>
      <c r="H838" s="683"/>
      <c r="I838" s="683"/>
      <c r="J838" s="683"/>
      <c r="K838" s="683"/>
      <c r="L838" s="683"/>
      <c r="M838" s="683"/>
      <c r="N838" s="683"/>
      <c r="O838" s="683"/>
      <c r="P838" s="683"/>
      <c r="Q838" s="683"/>
    </row>
    <row r="839" spans="1:17" ht="19.5">
      <c r="A839" s="683"/>
      <c r="B839" s="683"/>
      <c r="C839" s="683"/>
      <c r="D839" s="683"/>
      <c r="E839" s="683"/>
      <c r="F839" s="683"/>
      <c r="G839" s="683"/>
      <c r="H839" s="683"/>
      <c r="I839" s="683"/>
      <c r="J839" s="683"/>
      <c r="K839" s="683"/>
      <c r="L839" s="683"/>
      <c r="M839" s="683"/>
      <c r="N839" s="683"/>
      <c r="O839" s="683"/>
      <c r="P839" s="683"/>
      <c r="Q839" s="683"/>
    </row>
    <row r="840" spans="1:17" ht="19.5">
      <c r="A840" s="683"/>
      <c r="B840" s="683"/>
      <c r="C840" s="683"/>
      <c r="D840" s="683"/>
      <c r="E840" s="683"/>
      <c r="F840" s="683"/>
      <c r="G840" s="683"/>
      <c r="H840" s="683"/>
      <c r="I840" s="683"/>
      <c r="J840" s="683"/>
      <c r="K840" s="683"/>
      <c r="L840" s="683"/>
      <c r="M840" s="683"/>
      <c r="N840" s="683"/>
      <c r="O840" s="683"/>
      <c r="P840" s="683"/>
      <c r="Q840" s="683"/>
    </row>
    <row r="841" spans="1:17" ht="19.5">
      <c r="A841" s="683"/>
      <c r="B841" s="683"/>
      <c r="C841" s="683"/>
      <c r="D841" s="683"/>
      <c r="E841" s="683"/>
      <c r="F841" s="683"/>
      <c r="G841" s="683"/>
      <c r="H841" s="683"/>
      <c r="I841" s="683"/>
      <c r="J841" s="683"/>
      <c r="K841" s="683"/>
      <c r="L841" s="683"/>
      <c r="M841" s="683"/>
      <c r="N841" s="683"/>
      <c r="O841" s="683"/>
      <c r="P841" s="683"/>
      <c r="Q841" s="683"/>
    </row>
    <row r="842" spans="1:17" ht="19.5">
      <c r="A842" s="683"/>
      <c r="B842" s="683"/>
      <c r="C842" s="683"/>
      <c r="D842" s="683"/>
      <c r="E842" s="683"/>
      <c r="F842" s="683"/>
      <c r="G842" s="683"/>
      <c r="H842" s="683"/>
      <c r="I842" s="683"/>
      <c r="J842" s="683"/>
      <c r="K842" s="683"/>
      <c r="L842" s="683"/>
      <c r="M842" s="683"/>
      <c r="N842" s="683"/>
      <c r="O842" s="683"/>
      <c r="P842" s="683"/>
      <c r="Q842" s="683"/>
    </row>
    <row r="843" spans="1:17" ht="19.5">
      <c r="A843" s="683"/>
      <c r="B843" s="683"/>
      <c r="C843" s="683"/>
      <c r="D843" s="683"/>
      <c r="E843" s="683"/>
      <c r="F843" s="683"/>
      <c r="G843" s="683"/>
      <c r="H843" s="683"/>
      <c r="I843" s="683"/>
      <c r="J843" s="683"/>
      <c r="K843" s="683"/>
      <c r="L843" s="683"/>
      <c r="M843" s="683"/>
      <c r="N843" s="683"/>
      <c r="O843" s="683"/>
      <c r="P843" s="683"/>
      <c r="Q843" s="683"/>
    </row>
    <row r="844" spans="1:17" ht="19.5">
      <c r="A844" s="683"/>
      <c r="B844" s="683"/>
      <c r="C844" s="683"/>
      <c r="D844" s="683"/>
      <c r="E844" s="683"/>
      <c r="F844" s="683"/>
      <c r="G844" s="683"/>
      <c r="H844" s="683"/>
      <c r="I844" s="683"/>
      <c r="J844" s="683"/>
      <c r="K844" s="683"/>
      <c r="L844" s="683"/>
      <c r="M844" s="683"/>
      <c r="N844" s="683"/>
      <c r="O844" s="683"/>
      <c r="P844" s="683"/>
      <c r="Q844" s="683"/>
    </row>
    <row r="845" spans="1:17" ht="19.5">
      <c r="A845" s="683"/>
      <c r="B845" s="683"/>
      <c r="C845" s="683"/>
      <c r="D845" s="683"/>
      <c r="E845" s="683"/>
      <c r="F845" s="683"/>
      <c r="G845" s="683"/>
      <c r="H845" s="683"/>
      <c r="I845" s="683"/>
      <c r="J845" s="683"/>
      <c r="K845" s="683"/>
      <c r="L845" s="683"/>
      <c r="M845" s="683"/>
      <c r="N845" s="683"/>
      <c r="O845" s="683"/>
      <c r="P845" s="683"/>
      <c r="Q845" s="683"/>
    </row>
    <row r="846" spans="1:17" ht="19.5">
      <c r="A846" s="683"/>
      <c r="B846" s="683"/>
      <c r="C846" s="683"/>
      <c r="D846" s="683"/>
      <c r="E846" s="683"/>
      <c r="F846" s="683"/>
      <c r="G846" s="683"/>
      <c r="H846" s="683"/>
      <c r="I846" s="683"/>
      <c r="J846" s="683"/>
      <c r="K846" s="683"/>
      <c r="L846" s="683"/>
      <c r="M846" s="683"/>
      <c r="N846" s="683"/>
      <c r="O846" s="683"/>
      <c r="P846" s="683"/>
      <c r="Q846" s="683"/>
    </row>
    <row r="847" spans="1:17" ht="19.5">
      <c r="A847" s="683"/>
      <c r="B847" s="683"/>
      <c r="C847" s="683"/>
      <c r="D847" s="683"/>
      <c r="E847" s="683"/>
      <c r="F847" s="683"/>
      <c r="G847" s="683"/>
      <c r="H847" s="683"/>
      <c r="I847" s="683"/>
      <c r="J847" s="683"/>
      <c r="K847" s="683"/>
      <c r="L847" s="683"/>
      <c r="M847" s="683"/>
      <c r="N847" s="683"/>
      <c r="O847" s="683"/>
      <c r="P847" s="683"/>
      <c r="Q847" s="683"/>
    </row>
    <row r="848" spans="1:17" ht="19.5">
      <c r="A848" s="683"/>
      <c r="B848" s="683"/>
      <c r="C848" s="683"/>
      <c r="D848" s="683"/>
      <c r="E848" s="683"/>
      <c r="F848" s="683"/>
      <c r="G848" s="683"/>
      <c r="H848" s="683"/>
      <c r="I848" s="683"/>
      <c r="J848" s="683"/>
      <c r="K848" s="683"/>
      <c r="L848" s="683"/>
      <c r="M848" s="683"/>
      <c r="N848" s="683"/>
      <c r="O848" s="683"/>
      <c r="P848" s="683"/>
      <c r="Q848" s="683"/>
    </row>
    <row r="849" spans="1:17" ht="19.5">
      <c r="A849" s="683"/>
      <c r="B849" s="683"/>
      <c r="C849" s="683"/>
      <c r="D849" s="683"/>
      <c r="E849" s="683"/>
      <c r="F849" s="683"/>
      <c r="G849" s="683"/>
      <c r="H849" s="683"/>
      <c r="I849" s="683"/>
      <c r="J849" s="683"/>
      <c r="K849" s="683"/>
      <c r="L849" s="683"/>
      <c r="M849" s="683"/>
      <c r="N849" s="683"/>
      <c r="O849" s="683"/>
      <c r="P849" s="683"/>
      <c r="Q849" s="683"/>
    </row>
    <row r="850" spans="1:17" ht="19.5">
      <c r="A850" s="683"/>
      <c r="B850" s="683"/>
      <c r="C850" s="683"/>
      <c r="D850" s="683"/>
      <c r="E850" s="683"/>
      <c r="F850" s="683"/>
      <c r="G850" s="683"/>
      <c r="H850" s="683"/>
      <c r="I850" s="683"/>
      <c r="J850" s="683"/>
      <c r="K850" s="683"/>
      <c r="L850" s="683"/>
      <c r="M850" s="683"/>
      <c r="N850" s="683"/>
      <c r="O850" s="683"/>
      <c r="P850" s="683"/>
      <c r="Q850" s="683"/>
    </row>
    <row r="851" spans="1:17" ht="19.5">
      <c r="A851" s="683"/>
      <c r="B851" s="683"/>
      <c r="C851" s="683"/>
      <c r="D851" s="683"/>
      <c r="E851" s="683"/>
      <c r="F851" s="683"/>
      <c r="G851" s="683"/>
      <c r="H851" s="683"/>
      <c r="I851" s="683"/>
      <c r="J851" s="683"/>
      <c r="K851" s="683"/>
      <c r="L851" s="683"/>
      <c r="M851" s="683"/>
      <c r="N851" s="683"/>
      <c r="O851" s="683"/>
      <c r="P851" s="683"/>
      <c r="Q851" s="683"/>
    </row>
    <row r="852" spans="1:17" ht="19.5">
      <c r="A852" s="683"/>
      <c r="B852" s="683"/>
      <c r="C852" s="683"/>
      <c r="D852" s="683"/>
      <c r="E852" s="683"/>
      <c r="F852" s="683"/>
      <c r="G852" s="683"/>
      <c r="H852" s="683"/>
      <c r="I852" s="683"/>
      <c r="J852" s="683"/>
      <c r="K852" s="683"/>
      <c r="L852" s="683"/>
      <c r="M852" s="683"/>
      <c r="N852" s="683"/>
      <c r="O852" s="683"/>
      <c r="P852" s="683"/>
      <c r="Q852" s="683"/>
    </row>
    <row r="853" spans="1:17" ht="19.5">
      <c r="A853" s="683"/>
      <c r="B853" s="683"/>
      <c r="C853" s="683"/>
      <c r="D853" s="683"/>
      <c r="E853" s="683"/>
      <c r="F853" s="683"/>
      <c r="G853" s="683"/>
      <c r="H853" s="683"/>
      <c r="I853" s="683"/>
      <c r="J853" s="683"/>
      <c r="K853" s="683"/>
      <c r="L853" s="683"/>
      <c r="M853" s="683"/>
      <c r="N853" s="683"/>
      <c r="O853" s="683"/>
      <c r="P853" s="683"/>
      <c r="Q853" s="683"/>
    </row>
    <row r="854" spans="1:17" ht="19.5">
      <c r="A854" s="683"/>
      <c r="B854" s="683"/>
      <c r="C854" s="683"/>
      <c r="D854" s="683"/>
      <c r="E854" s="683"/>
      <c r="F854" s="683"/>
      <c r="G854" s="683"/>
      <c r="H854" s="683"/>
      <c r="I854" s="683"/>
      <c r="J854" s="683"/>
      <c r="K854" s="683"/>
      <c r="L854" s="683"/>
      <c r="M854" s="683"/>
      <c r="N854" s="683"/>
      <c r="O854" s="683"/>
      <c r="P854" s="683"/>
      <c r="Q854" s="683"/>
    </row>
    <row r="855" spans="1:17" ht="19.5">
      <c r="A855" s="683"/>
      <c r="B855" s="683"/>
      <c r="C855" s="683"/>
      <c r="D855" s="683"/>
      <c r="E855" s="683"/>
      <c r="F855" s="683"/>
      <c r="G855" s="683"/>
      <c r="H855" s="683"/>
      <c r="I855" s="683"/>
      <c r="J855" s="683"/>
      <c r="K855" s="683"/>
      <c r="L855" s="683"/>
      <c r="M855" s="683"/>
      <c r="N855" s="683"/>
      <c r="O855" s="683"/>
      <c r="P855" s="683"/>
      <c r="Q855" s="683"/>
    </row>
    <row r="856" spans="1:17" ht="19.5">
      <c r="A856" s="683"/>
      <c r="B856" s="683"/>
      <c r="C856" s="683"/>
      <c r="D856" s="683"/>
      <c r="E856" s="683"/>
      <c r="F856" s="683"/>
      <c r="G856" s="683"/>
      <c r="H856" s="683"/>
      <c r="I856" s="683"/>
      <c r="J856" s="683"/>
      <c r="K856" s="683"/>
      <c r="L856" s="683"/>
      <c r="M856" s="683"/>
      <c r="N856" s="683"/>
      <c r="O856" s="683"/>
      <c r="P856" s="683"/>
      <c r="Q856" s="683"/>
    </row>
    <row r="857" spans="1:17" ht="19.5">
      <c r="A857" s="683"/>
      <c r="B857" s="683"/>
      <c r="C857" s="683"/>
      <c r="D857" s="683"/>
      <c r="E857" s="683"/>
      <c r="F857" s="683"/>
      <c r="G857" s="683"/>
      <c r="H857" s="683"/>
      <c r="I857" s="683"/>
      <c r="J857" s="683"/>
      <c r="K857" s="683"/>
      <c r="L857" s="683"/>
      <c r="M857" s="683"/>
      <c r="N857" s="683"/>
      <c r="O857" s="683"/>
      <c r="P857" s="683"/>
      <c r="Q857" s="683"/>
    </row>
    <row r="858" spans="1:17" ht="19.5">
      <c r="A858" s="683"/>
      <c r="B858" s="683"/>
      <c r="C858" s="683"/>
      <c r="D858" s="683"/>
      <c r="E858" s="683"/>
      <c r="F858" s="683"/>
      <c r="G858" s="683"/>
      <c r="H858" s="683"/>
      <c r="I858" s="683"/>
      <c r="J858" s="683"/>
      <c r="K858" s="683"/>
      <c r="L858" s="683"/>
      <c r="M858" s="683"/>
      <c r="N858" s="683"/>
      <c r="O858" s="683"/>
      <c r="P858" s="683"/>
      <c r="Q858" s="683"/>
    </row>
    <row r="859" spans="1:17" ht="19.5">
      <c r="A859" s="683"/>
      <c r="B859" s="683"/>
      <c r="C859" s="683"/>
      <c r="D859" s="683"/>
      <c r="E859" s="683"/>
      <c r="F859" s="683"/>
      <c r="G859" s="683"/>
      <c r="H859" s="683"/>
      <c r="I859" s="683"/>
      <c r="J859" s="683"/>
      <c r="K859" s="683"/>
      <c r="L859" s="683"/>
      <c r="M859" s="683"/>
      <c r="N859" s="683"/>
      <c r="O859" s="683"/>
      <c r="P859" s="683"/>
      <c r="Q859" s="683"/>
    </row>
    <row r="860" spans="1:17" ht="19.5">
      <c r="A860" s="683"/>
      <c r="B860" s="683"/>
      <c r="C860" s="683"/>
      <c r="D860" s="683"/>
      <c r="E860" s="683"/>
      <c r="F860" s="683"/>
      <c r="G860" s="683"/>
      <c r="H860" s="683"/>
      <c r="I860" s="683"/>
      <c r="J860" s="683"/>
      <c r="K860" s="683"/>
      <c r="L860" s="683"/>
      <c r="M860" s="683"/>
      <c r="N860" s="683"/>
      <c r="O860" s="683"/>
      <c r="P860" s="683"/>
      <c r="Q860" s="683"/>
    </row>
    <row r="861" spans="1:17" ht="19.5">
      <c r="A861" s="683"/>
      <c r="B861" s="683"/>
      <c r="C861" s="683"/>
      <c r="D861" s="683"/>
      <c r="E861" s="683"/>
      <c r="F861" s="683"/>
      <c r="G861" s="683"/>
      <c r="H861" s="683"/>
      <c r="I861" s="683"/>
      <c r="J861" s="683"/>
      <c r="K861" s="683"/>
      <c r="L861" s="683"/>
      <c r="M861" s="683"/>
      <c r="N861" s="683"/>
      <c r="O861" s="683"/>
      <c r="P861" s="683"/>
      <c r="Q861" s="683"/>
    </row>
    <row r="862" spans="1:17" ht="19.5">
      <c r="A862" s="683"/>
      <c r="B862" s="683"/>
      <c r="C862" s="683"/>
      <c r="D862" s="683"/>
      <c r="E862" s="683"/>
      <c r="F862" s="683"/>
      <c r="G862" s="683"/>
      <c r="H862" s="683"/>
      <c r="I862" s="683"/>
      <c r="J862" s="683"/>
      <c r="K862" s="683"/>
      <c r="L862" s="683"/>
      <c r="M862" s="683"/>
      <c r="N862" s="683"/>
      <c r="O862" s="683"/>
      <c r="P862" s="683"/>
      <c r="Q862" s="683"/>
    </row>
    <row r="863" spans="1:17" ht="19.5">
      <c r="A863" s="683"/>
      <c r="B863" s="683"/>
      <c r="C863" s="683"/>
      <c r="D863" s="683"/>
      <c r="E863" s="683"/>
      <c r="F863" s="683"/>
      <c r="G863" s="683"/>
      <c r="H863" s="683"/>
      <c r="I863" s="683"/>
      <c r="J863" s="683"/>
      <c r="K863" s="683"/>
      <c r="L863" s="683"/>
      <c r="M863" s="683"/>
      <c r="N863" s="683"/>
      <c r="O863" s="683"/>
      <c r="P863" s="683"/>
      <c r="Q863" s="683"/>
    </row>
    <row r="864" spans="1:17" ht="19.5">
      <c r="A864" s="683"/>
      <c r="B864" s="683"/>
      <c r="C864" s="683"/>
      <c r="D864" s="683"/>
      <c r="E864" s="683"/>
      <c r="F864" s="683"/>
      <c r="G864" s="683"/>
      <c r="H864" s="683"/>
      <c r="I864" s="683"/>
      <c r="J864" s="683"/>
      <c r="K864" s="683"/>
      <c r="L864" s="683"/>
      <c r="M864" s="683"/>
      <c r="N864" s="683"/>
      <c r="O864" s="683"/>
      <c r="P864" s="683"/>
      <c r="Q864" s="683"/>
    </row>
    <row r="865" spans="1:17" ht="19.5">
      <c r="A865" s="683"/>
      <c r="B865" s="683"/>
      <c r="C865" s="683"/>
      <c r="D865" s="683"/>
      <c r="E865" s="683"/>
      <c r="F865" s="683"/>
      <c r="G865" s="683"/>
      <c r="H865" s="683"/>
      <c r="I865" s="683"/>
      <c r="J865" s="683"/>
      <c r="K865" s="683"/>
      <c r="L865" s="683"/>
      <c r="M865" s="683"/>
      <c r="N865" s="683"/>
      <c r="O865" s="683"/>
      <c r="P865" s="683"/>
      <c r="Q865" s="683"/>
    </row>
    <row r="866" spans="1:17" ht="19.5">
      <c r="A866" s="683"/>
      <c r="B866" s="683"/>
      <c r="C866" s="683"/>
      <c r="D866" s="683"/>
      <c r="E866" s="683"/>
      <c r="F866" s="683"/>
      <c r="G866" s="683"/>
      <c r="H866" s="683"/>
      <c r="I866" s="683"/>
      <c r="J866" s="683"/>
      <c r="K866" s="683"/>
      <c r="L866" s="683"/>
      <c r="M866" s="683"/>
      <c r="N866" s="683"/>
      <c r="O866" s="683"/>
      <c r="P866" s="683"/>
      <c r="Q866" s="683"/>
    </row>
    <row r="867" spans="1:17" ht="19.5">
      <c r="A867" s="683"/>
      <c r="B867" s="683"/>
      <c r="C867" s="683"/>
      <c r="D867" s="683"/>
      <c r="E867" s="683"/>
      <c r="F867" s="683"/>
      <c r="G867" s="683"/>
      <c r="H867" s="683"/>
      <c r="I867" s="683"/>
      <c r="J867" s="683"/>
      <c r="K867" s="683"/>
      <c r="L867" s="683"/>
      <c r="M867" s="683"/>
      <c r="N867" s="683"/>
      <c r="O867" s="683"/>
      <c r="P867" s="683"/>
      <c r="Q867" s="683"/>
    </row>
    <row r="868" spans="1:17" ht="19.5">
      <c r="A868" s="683"/>
      <c r="B868" s="683"/>
      <c r="C868" s="683"/>
      <c r="D868" s="683"/>
      <c r="E868" s="683"/>
      <c r="F868" s="683"/>
      <c r="G868" s="683"/>
      <c r="H868" s="683"/>
      <c r="I868" s="683"/>
      <c r="J868" s="683"/>
      <c r="K868" s="683"/>
      <c r="L868" s="683"/>
      <c r="M868" s="683"/>
      <c r="N868" s="683"/>
      <c r="O868" s="683"/>
      <c r="P868" s="683"/>
      <c r="Q868" s="683"/>
    </row>
    <row r="869" spans="1:17" ht="19.5">
      <c r="A869" s="683"/>
      <c r="B869" s="683"/>
      <c r="C869" s="683"/>
      <c r="D869" s="683"/>
      <c r="E869" s="683"/>
      <c r="F869" s="683"/>
      <c r="G869" s="683"/>
      <c r="H869" s="683"/>
      <c r="I869" s="683"/>
      <c r="J869" s="683"/>
      <c r="K869" s="683"/>
      <c r="L869" s="683"/>
      <c r="M869" s="683"/>
      <c r="N869" s="683"/>
      <c r="O869" s="683"/>
      <c r="P869" s="683"/>
      <c r="Q869" s="683"/>
    </row>
    <row r="870" spans="1:17" ht="19.5">
      <c r="A870" s="683"/>
      <c r="B870" s="683"/>
      <c r="C870" s="683"/>
      <c r="D870" s="683"/>
      <c r="E870" s="683"/>
      <c r="F870" s="683"/>
      <c r="G870" s="683"/>
      <c r="H870" s="683"/>
      <c r="I870" s="683"/>
      <c r="J870" s="683"/>
      <c r="K870" s="683"/>
      <c r="L870" s="683"/>
      <c r="M870" s="683"/>
      <c r="N870" s="683"/>
      <c r="O870" s="683"/>
      <c r="P870" s="683"/>
      <c r="Q870" s="683"/>
    </row>
    <row r="871" spans="1:17" ht="19.5">
      <c r="A871" s="683"/>
      <c r="B871" s="683"/>
      <c r="C871" s="683"/>
      <c r="D871" s="683"/>
      <c r="E871" s="683"/>
      <c r="F871" s="683"/>
      <c r="G871" s="683"/>
      <c r="H871" s="683"/>
      <c r="I871" s="683"/>
      <c r="J871" s="683"/>
      <c r="K871" s="683"/>
      <c r="L871" s="683"/>
      <c r="M871" s="683"/>
      <c r="N871" s="683"/>
      <c r="O871" s="683"/>
      <c r="P871" s="683"/>
      <c r="Q871" s="683"/>
    </row>
    <row r="872" spans="1:17" ht="19.5">
      <c r="A872" s="683"/>
      <c r="B872" s="683"/>
      <c r="C872" s="683"/>
      <c r="D872" s="683"/>
      <c r="E872" s="683"/>
      <c r="F872" s="683"/>
      <c r="G872" s="683"/>
      <c r="H872" s="683"/>
      <c r="I872" s="683"/>
      <c r="J872" s="683"/>
      <c r="K872" s="683"/>
      <c r="L872" s="683"/>
      <c r="M872" s="683"/>
      <c r="N872" s="683"/>
      <c r="O872" s="683"/>
      <c r="P872" s="683"/>
      <c r="Q872" s="683"/>
    </row>
    <row r="873" spans="1:17" ht="19.5">
      <c r="A873" s="683"/>
      <c r="B873" s="683"/>
      <c r="C873" s="683"/>
      <c r="D873" s="683"/>
      <c r="E873" s="683"/>
      <c r="F873" s="683"/>
      <c r="G873" s="683"/>
      <c r="H873" s="683"/>
      <c r="I873" s="683"/>
      <c r="J873" s="683"/>
      <c r="K873" s="683"/>
      <c r="L873" s="683"/>
      <c r="M873" s="683"/>
      <c r="N873" s="683"/>
      <c r="O873" s="683"/>
      <c r="P873" s="683"/>
      <c r="Q873" s="683"/>
    </row>
    <row r="874" spans="1:17" ht="19.5">
      <c r="A874" s="683"/>
      <c r="B874" s="683"/>
      <c r="C874" s="683"/>
      <c r="D874" s="683"/>
      <c r="E874" s="683"/>
      <c r="F874" s="683"/>
      <c r="G874" s="683"/>
      <c r="H874" s="683"/>
      <c r="I874" s="683"/>
      <c r="J874" s="683"/>
      <c r="K874" s="683"/>
      <c r="L874" s="683"/>
      <c r="M874" s="683"/>
      <c r="N874" s="683"/>
      <c r="O874" s="683"/>
      <c r="P874" s="683"/>
      <c r="Q874" s="683"/>
    </row>
    <row r="875" spans="1:17" ht="19.5">
      <c r="A875" s="683"/>
      <c r="B875" s="683"/>
      <c r="C875" s="683"/>
      <c r="D875" s="683"/>
      <c r="E875" s="683"/>
      <c r="F875" s="683"/>
      <c r="G875" s="683"/>
      <c r="H875" s="683"/>
      <c r="I875" s="683"/>
      <c r="J875" s="683"/>
      <c r="K875" s="683"/>
      <c r="L875" s="683"/>
      <c r="M875" s="683"/>
      <c r="N875" s="683"/>
      <c r="O875" s="683"/>
      <c r="P875" s="683"/>
      <c r="Q875" s="683"/>
    </row>
    <row r="876" spans="1:17" ht="19.5">
      <c r="A876" s="683"/>
      <c r="B876" s="683"/>
      <c r="C876" s="683"/>
      <c r="D876" s="683"/>
      <c r="E876" s="683"/>
      <c r="F876" s="683"/>
      <c r="G876" s="683"/>
      <c r="H876" s="683"/>
      <c r="I876" s="683"/>
      <c r="J876" s="683"/>
      <c r="K876" s="683"/>
      <c r="L876" s="683"/>
      <c r="M876" s="683"/>
      <c r="N876" s="683"/>
      <c r="O876" s="683"/>
      <c r="P876" s="683"/>
      <c r="Q876" s="683"/>
    </row>
    <row r="877" spans="1:17" ht="19.5">
      <c r="A877" s="683"/>
      <c r="B877" s="683"/>
      <c r="C877" s="683"/>
      <c r="D877" s="683"/>
      <c r="E877" s="683"/>
      <c r="F877" s="683"/>
      <c r="G877" s="683"/>
      <c r="H877" s="683"/>
      <c r="I877" s="683"/>
      <c r="J877" s="683"/>
      <c r="K877" s="683"/>
      <c r="L877" s="683"/>
      <c r="M877" s="683"/>
      <c r="N877" s="683"/>
      <c r="O877" s="683"/>
      <c r="P877" s="683"/>
      <c r="Q877" s="683"/>
    </row>
    <row r="878" spans="1:17" ht="19.5">
      <c r="A878" s="683"/>
      <c r="B878" s="683"/>
      <c r="C878" s="683"/>
      <c r="D878" s="683"/>
      <c r="E878" s="683"/>
      <c r="F878" s="683"/>
      <c r="G878" s="683"/>
      <c r="H878" s="683"/>
      <c r="I878" s="683"/>
      <c r="J878" s="683"/>
      <c r="K878" s="683"/>
      <c r="L878" s="683"/>
      <c r="M878" s="683"/>
      <c r="N878" s="683"/>
      <c r="O878" s="683"/>
      <c r="P878" s="683"/>
      <c r="Q878" s="683"/>
    </row>
    <row r="879" spans="1:17" ht="19.5">
      <c r="A879" s="683"/>
      <c r="B879" s="683"/>
      <c r="C879" s="683"/>
      <c r="D879" s="683"/>
      <c r="E879" s="683"/>
      <c r="F879" s="683"/>
      <c r="G879" s="683"/>
      <c r="H879" s="683"/>
      <c r="I879" s="683"/>
      <c r="J879" s="683"/>
      <c r="K879" s="683"/>
      <c r="L879" s="683"/>
      <c r="M879" s="683"/>
      <c r="N879" s="683"/>
      <c r="O879" s="683"/>
      <c r="P879" s="683"/>
      <c r="Q879" s="683"/>
    </row>
    <row r="880" spans="1:17" ht="19.5">
      <c r="A880" s="683"/>
      <c r="B880" s="683"/>
      <c r="C880" s="683"/>
      <c r="D880" s="683"/>
      <c r="E880" s="683"/>
      <c r="F880" s="683"/>
      <c r="G880" s="683"/>
      <c r="H880" s="683"/>
      <c r="I880" s="683"/>
      <c r="J880" s="683"/>
      <c r="K880" s="683"/>
      <c r="L880" s="683"/>
      <c r="M880" s="683"/>
      <c r="N880" s="683"/>
      <c r="O880" s="683"/>
      <c r="P880" s="683"/>
      <c r="Q880" s="683"/>
    </row>
    <row r="881" spans="1:17" ht="19.5">
      <c r="A881" s="683"/>
      <c r="B881" s="683"/>
      <c r="C881" s="683"/>
      <c r="D881" s="683"/>
      <c r="E881" s="683"/>
      <c r="F881" s="683"/>
      <c r="G881" s="683"/>
      <c r="H881" s="683"/>
      <c r="I881" s="683"/>
      <c r="J881" s="683"/>
      <c r="K881" s="683"/>
      <c r="L881" s="683"/>
      <c r="M881" s="683"/>
      <c r="N881" s="683"/>
      <c r="O881" s="683"/>
      <c r="P881" s="683"/>
      <c r="Q881" s="683"/>
    </row>
    <row r="882" spans="1:17" ht="19.5">
      <c r="A882" s="683"/>
      <c r="B882" s="683"/>
      <c r="C882" s="683"/>
      <c r="D882" s="683"/>
      <c r="E882" s="683"/>
      <c r="F882" s="683"/>
      <c r="G882" s="683"/>
      <c r="H882" s="683"/>
      <c r="I882" s="683"/>
      <c r="J882" s="683"/>
      <c r="K882" s="683"/>
      <c r="L882" s="683"/>
      <c r="M882" s="683"/>
      <c r="N882" s="683"/>
      <c r="O882" s="683"/>
      <c r="P882" s="683"/>
      <c r="Q882" s="683"/>
    </row>
    <row r="883" spans="1:17" ht="19.5">
      <c r="A883" s="683"/>
      <c r="B883" s="683"/>
      <c r="C883" s="683"/>
      <c r="D883" s="683"/>
      <c r="E883" s="683"/>
      <c r="F883" s="683"/>
      <c r="G883" s="683"/>
      <c r="H883" s="683"/>
      <c r="I883" s="683"/>
      <c r="J883" s="683"/>
      <c r="K883" s="683"/>
      <c r="L883" s="683"/>
      <c r="M883" s="683"/>
      <c r="N883" s="683"/>
      <c r="O883" s="683"/>
      <c r="P883" s="683"/>
      <c r="Q883" s="683"/>
    </row>
    <row r="884" spans="1:17" ht="19.5">
      <c r="A884" s="683"/>
      <c r="B884" s="683"/>
      <c r="C884" s="683"/>
      <c r="D884" s="683"/>
      <c r="E884" s="683"/>
      <c r="F884" s="683"/>
      <c r="G884" s="683"/>
      <c r="H884" s="683"/>
      <c r="I884" s="683"/>
      <c r="J884" s="683"/>
      <c r="K884" s="683"/>
      <c r="L884" s="683"/>
      <c r="M884" s="683"/>
      <c r="N884" s="683"/>
      <c r="O884" s="683"/>
      <c r="P884" s="683"/>
      <c r="Q884" s="683"/>
    </row>
    <row r="885" spans="1:17" ht="19.5">
      <c r="A885" s="683"/>
      <c r="B885" s="683"/>
      <c r="C885" s="683"/>
      <c r="D885" s="683"/>
      <c r="E885" s="683"/>
      <c r="F885" s="683"/>
      <c r="G885" s="683"/>
      <c r="H885" s="683"/>
      <c r="I885" s="683"/>
      <c r="J885" s="683"/>
      <c r="K885" s="683"/>
      <c r="L885" s="683"/>
      <c r="M885" s="683"/>
      <c r="N885" s="683"/>
      <c r="O885" s="683"/>
      <c r="P885" s="683"/>
      <c r="Q885" s="683"/>
    </row>
    <row r="886" spans="1:17" ht="19.5">
      <c r="A886" s="683"/>
      <c r="B886" s="683"/>
      <c r="C886" s="683"/>
      <c r="D886" s="683"/>
      <c r="E886" s="683"/>
      <c r="F886" s="683"/>
      <c r="G886" s="683"/>
      <c r="H886" s="683"/>
      <c r="I886" s="683"/>
      <c r="J886" s="683"/>
      <c r="K886" s="683"/>
      <c r="L886" s="683"/>
      <c r="M886" s="683"/>
      <c r="N886" s="683"/>
      <c r="O886" s="683"/>
      <c r="P886" s="683"/>
      <c r="Q886" s="683"/>
    </row>
    <row r="887" spans="1:17" ht="19.5">
      <c r="A887" s="683"/>
      <c r="B887" s="683"/>
      <c r="C887" s="683"/>
      <c r="D887" s="683"/>
      <c r="E887" s="683"/>
      <c r="F887" s="683"/>
      <c r="G887" s="683"/>
      <c r="H887" s="683"/>
      <c r="I887" s="683"/>
      <c r="J887" s="683"/>
      <c r="K887" s="683"/>
      <c r="L887" s="683"/>
      <c r="M887" s="683"/>
      <c r="N887" s="683"/>
      <c r="O887" s="683"/>
      <c r="P887" s="683"/>
      <c r="Q887" s="683"/>
    </row>
    <row r="888" spans="1:17" ht="19.5">
      <c r="A888" s="683"/>
      <c r="B888" s="683"/>
      <c r="C888" s="683"/>
      <c r="D888" s="683"/>
      <c r="E888" s="683"/>
      <c r="F888" s="683"/>
      <c r="G888" s="683"/>
      <c r="H888" s="683"/>
      <c r="I888" s="683"/>
      <c r="J888" s="683"/>
      <c r="K888" s="683"/>
      <c r="L888" s="683"/>
      <c r="M888" s="683"/>
      <c r="N888" s="683"/>
      <c r="O888" s="683"/>
      <c r="P888" s="683"/>
      <c r="Q888" s="683"/>
    </row>
    <row r="889" spans="1:17" ht="19.5">
      <c r="A889" s="683"/>
      <c r="B889" s="683"/>
      <c r="C889" s="683"/>
      <c r="D889" s="683"/>
      <c r="E889" s="683"/>
      <c r="F889" s="683"/>
      <c r="G889" s="683"/>
      <c r="H889" s="683"/>
      <c r="I889" s="683"/>
      <c r="J889" s="683"/>
      <c r="K889" s="683"/>
      <c r="L889" s="683"/>
      <c r="M889" s="683"/>
      <c r="N889" s="683"/>
      <c r="O889" s="683"/>
      <c r="P889" s="683"/>
      <c r="Q889" s="683"/>
    </row>
    <row r="890" spans="1:17" ht="19.5">
      <c r="A890" s="683"/>
      <c r="B890" s="683"/>
      <c r="C890" s="683"/>
      <c r="D890" s="683"/>
      <c r="E890" s="683"/>
      <c r="F890" s="683"/>
      <c r="G890" s="683"/>
      <c r="H890" s="683"/>
      <c r="I890" s="683"/>
      <c r="J890" s="683"/>
      <c r="K890" s="683"/>
      <c r="L890" s="683"/>
      <c r="M890" s="683"/>
      <c r="N890" s="683"/>
      <c r="O890" s="683"/>
      <c r="P890" s="683"/>
      <c r="Q890" s="683"/>
    </row>
    <row r="891" spans="1:17" ht="19.5">
      <c r="A891" s="683"/>
      <c r="B891" s="683"/>
      <c r="C891" s="683"/>
      <c r="D891" s="683"/>
      <c r="E891" s="683"/>
      <c r="F891" s="683"/>
      <c r="G891" s="683"/>
      <c r="H891" s="683"/>
      <c r="I891" s="683"/>
      <c r="J891" s="683"/>
      <c r="K891" s="683"/>
      <c r="L891" s="683"/>
      <c r="M891" s="683"/>
      <c r="N891" s="683"/>
      <c r="O891" s="683"/>
      <c r="P891" s="683"/>
      <c r="Q891" s="683"/>
    </row>
    <row r="892" spans="1:17" ht="19.5">
      <c r="A892" s="683"/>
      <c r="B892" s="683"/>
      <c r="C892" s="683"/>
      <c r="D892" s="683"/>
      <c r="E892" s="683"/>
      <c r="F892" s="683"/>
      <c r="G892" s="683"/>
      <c r="H892" s="683"/>
      <c r="I892" s="683"/>
      <c r="J892" s="683"/>
      <c r="K892" s="683"/>
      <c r="L892" s="683"/>
      <c r="M892" s="683"/>
      <c r="N892" s="683"/>
      <c r="O892" s="683"/>
      <c r="P892" s="683"/>
      <c r="Q892" s="683"/>
    </row>
    <row r="893" spans="1:17" ht="19.5">
      <c r="A893" s="683"/>
      <c r="B893" s="683"/>
      <c r="C893" s="683"/>
      <c r="D893" s="683"/>
      <c r="E893" s="683"/>
      <c r="F893" s="683"/>
      <c r="G893" s="683"/>
      <c r="H893" s="683"/>
      <c r="I893" s="683"/>
      <c r="J893" s="683"/>
      <c r="K893" s="683"/>
      <c r="L893" s="683"/>
      <c r="M893" s="683"/>
      <c r="N893" s="683"/>
      <c r="O893" s="683"/>
      <c r="P893" s="683"/>
      <c r="Q893" s="683"/>
    </row>
    <row r="894" spans="1:17" ht="19.5">
      <c r="A894" s="683"/>
      <c r="B894" s="683"/>
      <c r="C894" s="683"/>
      <c r="D894" s="683"/>
      <c r="E894" s="683"/>
      <c r="F894" s="683"/>
      <c r="G894" s="683"/>
      <c r="H894" s="683"/>
      <c r="I894" s="683"/>
      <c r="J894" s="683"/>
      <c r="K894" s="683"/>
      <c r="L894" s="683"/>
      <c r="M894" s="683"/>
      <c r="N894" s="683"/>
      <c r="O894" s="683"/>
      <c r="P894" s="683"/>
      <c r="Q894" s="683"/>
    </row>
    <row r="895" spans="1:17" ht="19.5">
      <c r="A895" s="683"/>
      <c r="B895" s="683"/>
      <c r="C895" s="683"/>
      <c r="D895" s="683"/>
      <c r="E895" s="683"/>
      <c r="F895" s="683"/>
      <c r="G895" s="683"/>
      <c r="H895" s="683"/>
      <c r="I895" s="683"/>
      <c r="J895" s="683"/>
      <c r="K895" s="683"/>
      <c r="L895" s="683"/>
      <c r="M895" s="683"/>
      <c r="N895" s="683"/>
      <c r="O895" s="683"/>
      <c r="P895" s="683"/>
      <c r="Q895" s="683"/>
    </row>
    <row r="896" spans="1:17" ht="19.5">
      <c r="A896" s="683"/>
      <c r="B896" s="683"/>
      <c r="C896" s="683"/>
      <c r="D896" s="683"/>
      <c r="E896" s="683"/>
      <c r="F896" s="683"/>
      <c r="G896" s="683"/>
      <c r="H896" s="683"/>
      <c r="I896" s="683"/>
      <c r="J896" s="683"/>
      <c r="K896" s="683"/>
      <c r="L896" s="683"/>
      <c r="M896" s="683"/>
      <c r="N896" s="683"/>
      <c r="O896" s="683"/>
      <c r="P896" s="683"/>
      <c r="Q896" s="683"/>
    </row>
    <row r="897" spans="1:17" ht="19.5">
      <c r="A897" s="683"/>
      <c r="B897" s="683"/>
      <c r="C897" s="683"/>
      <c r="D897" s="683"/>
      <c r="E897" s="683"/>
      <c r="F897" s="683"/>
      <c r="G897" s="683"/>
      <c r="H897" s="683"/>
      <c r="I897" s="683"/>
      <c r="J897" s="683"/>
      <c r="K897" s="683"/>
      <c r="L897" s="683"/>
      <c r="M897" s="683"/>
      <c r="N897" s="683"/>
      <c r="O897" s="683"/>
      <c r="P897" s="683"/>
      <c r="Q897" s="683"/>
    </row>
    <row r="898" spans="1:17" ht="19.5">
      <c r="A898" s="683"/>
      <c r="B898" s="683"/>
      <c r="C898" s="683"/>
      <c r="D898" s="683"/>
      <c r="E898" s="683"/>
      <c r="F898" s="683"/>
      <c r="G898" s="683"/>
      <c r="H898" s="683"/>
      <c r="I898" s="683"/>
      <c r="J898" s="683"/>
      <c r="K898" s="683"/>
      <c r="L898" s="683"/>
      <c r="M898" s="683"/>
      <c r="N898" s="683"/>
      <c r="O898" s="683"/>
      <c r="P898" s="683"/>
      <c r="Q898" s="683"/>
    </row>
    <row r="899" spans="1:17" ht="19.5">
      <c r="A899" s="683"/>
      <c r="B899" s="683"/>
      <c r="C899" s="683"/>
      <c r="D899" s="683"/>
      <c r="E899" s="683"/>
      <c r="F899" s="683"/>
      <c r="G899" s="683"/>
      <c r="H899" s="683"/>
      <c r="I899" s="683"/>
      <c r="J899" s="683"/>
      <c r="K899" s="683"/>
      <c r="L899" s="683"/>
      <c r="M899" s="683"/>
      <c r="N899" s="683"/>
      <c r="O899" s="683"/>
      <c r="P899" s="683"/>
      <c r="Q899" s="683"/>
    </row>
    <row r="900" spans="1:17" ht="19.5">
      <c r="A900" s="683"/>
      <c r="B900" s="683"/>
      <c r="C900" s="683"/>
      <c r="D900" s="683"/>
      <c r="E900" s="683"/>
      <c r="F900" s="683"/>
      <c r="G900" s="683"/>
      <c r="H900" s="683"/>
      <c r="I900" s="683"/>
      <c r="J900" s="683"/>
      <c r="K900" s="683"/>
      <c r="L900" s="683"/>
      <c r="M900" s="683"/>
      <c r="N900" s="683"/>
      <c r="O900" s="683"/>
      <c r="P900" s="683"/>
      <c r="Q900" s="683"/>
    </row>
    <row r="901" spans="1:17" ht="19.5">
      <c r="A901" s="683"/>
      <c r="B901" s="683"/>
      <c r="C901" s="683"/>
      <c r="D901" s="683"/>
      <c r="E901" s="683"/>
      <c r="F901" s="683"/>
      <c r="G901" s="683"/>
      <c r="H901" s="683"/>
      <c r="I901" s="683"/>
      <c r="J901" s="683"/>
      <c r="K901" s="683"/>
      <c r="L901" s="683"/>
      <c r="M901" s="683"/>
      <c r="N901" s="683"/>
      <c r="O901" s="683"/>
      <c r="P901" s="683"/>
      <c r="Q901" s="683"/>
    </row>
    <row r="902" spans="1:17" ht="19.5">
      <c r="A902" s="683"/>
      <c r="B902" s="683"/>
      <c r="C902" s="683"/>
      <c r="D902" s="683"/>
      <c r="E902" s="683"/>
      <c r="F902" s="683"/>
      <c r="G902" s="683"/>
      <c r="H902" s="683"/>
      <c r="I902" s="683"/>
      <c r="J902" s="683"/>
      <c r="K902" s="683"/>
      <c r="L902" s="683"/>
      <c r="M902" s="683"/>
      <c r="N902" s="683"/>
      <c r="O902" s="683"/>
      <c r="P902" s="683"/>
      <c r="Q902" s="683"/>
    </row>
    <row r="903" spans="1:17" ht="19.5">
      <c r="A903" s="683"/>
      <c r="B903" s="683"/>
      <c r="C903" s="683"/>
      <c r="D903" s="683"/>
      <c r="E903" s="683"/>
      <c r="F903" s="683"/>
      <c r="G903" s="683"/>
      <c r="H903" s="683"/>
      <c r="I903" s="683"/>
      <c r="J903" s="683"/>
      <c r="K903" s="683"/>
      <c r="L903" s="683"/>
      <c r="M903" s="683"/>
      <c r="N903" s="683"/>
      <c r="O903" s="683"/>
      <c r="P903" s="683"/>
      <c r="Q903" s="683"/>
    </row>
    <row r="904" spans="1:17" ht="19.5">
      <c r="A904" s="683"/>
      <c r="B904" s="683"/>
      <c r="C904" s="683"/>
      <c r="D904" s="683"/>
      <c r="E904" s="683"/>
      <c r="F904" s="683"/>
      <c r="G904" s="683"/>
      <c r="H904" s="683"/>
      <c r="I904" s="683"/>
      <c r="J904" s="683"/>
      <c r="K904" s="683"/>
      <c r="L904" s="683"/>
      <c r="M904" s="683"/>
      <c r="N904" s="683"/>
      <c r="O904" s="683"/>
      <c r="P904" s="683"/>
      <c r="Q904" s="683"/>
    </row>
    <row r="905" spans="1:17" ht="19.5">
      <c r="A905" s="683"/>
      <c r="B905" s="683"/>
      <c r="C905" s="683"/>
      <c r="D905" s="683"/>
      <c r="E905" s="683"/>
      <c r="F905" s="683"/>
      <c r="G905" s="683"/>
      <c r="H905" s="683"/>
      <c r="I905" s="683"/>
      <c r="J905" s="683"/>
      <c r="K905" s="683"/>
      <c r="L905" s="683"/>
      <c r="M905" s="683"/>
      <c r="N905" s="683"/>
      <c r="O905" s="683"/>
      <c r="P905" s="683"/>
      <c r="Q905" s="683"/>
    </row>
    <row r="906" spans="1:17" ht="19.5">
      <c r="A906" s="683"/>
      <c r="B906" s="683"/>
      <c r="C906" s="683"/>
      <c r="D906" s="683"/>
      <c r="E906" s="683"/>
      <c r="F906" s="683"/>
      <c r="G906" s="683"/>
      <c r="H906" s="683"/>
      <c r="I906" s="683"/>
      <c r="J906" s="683"/>
      <c r="K906" s="683"/>
      <c r="L906" s="683"/>
      <c r="M906" s="683"/>
      <c r="N906" s="683"/>
      <c r="O906" s="683"/>
      <c r="P906" s="683"/>
      <c r="Q906" s="683"/>
    </row>
    <row r="907" spans="1:17" ht="19.5">
      <c r="A907" s="683"/>
      <c r="B907" s="683"/>
      <c r="C907" s="683"/>
      <c r="D907" s="683"/>
      <c r="E907" s="683"/>
      <c r="F907" s="683"/>
      <c r="G907" s="683"/>
      <c r="H907" s="683"/>
      <c r="I907" s="683"/>
      <c r="J907" s="683"/>
      <c r="K907" s="683"/>
      <c r="L907" s="683"/>
      <c r="M907" s="683"/>
      <c r="N907" s="683"/>
      <c r="O907" s="683"/>
      <c r="P907" s="683"/>
      <c r="Q907" s="683"/>
    </row>
    <row r="908" spans="1:17" ht="19.5">
      <c r="A908" s="683"/>
      <c r="B908" s="683"/>
      <c r="C908" s="683"/>
      <c r="D908" s="683"/>
      <c r="E908" s="683"/>
      <c r="F908" s="683"/>
      <c r="G908" s="683"/>
      <c r="H908" s="683"/>
      <c r="I908" s="683"/>
      <c r="J908" s="683"/>
      <c r="K908" s="683"/>
      <c r="L908" s="683"/>
      <c r="M908" s="683"/>
      <c r="N908" s="683"/>
      <c r="O908" s="683"/>
      <c r="P908" s="683"/>
      <c r="Q908" s="683"/>
    </row>
    <row r="909" spans="1:17" ht="19.5">
      <c r="A909" s="683"/>
      <c r="B909" s="683"/>
      <c r="C909" s="683"/>
      <c r="D909" s="683"/>
      <c r="E909" s="683"/>
      <c r="F909" s="683"/>
      <c r="G909" s="683"/>
      <c r="H909" s="683"/>
      <c r="I909" s="683"/>
      <c r="J909" s="683"/>
      <c r="K909" s="683"/>
      <c r="L909" s="683"/>
      <c r="M909" s="683"/>
      <c r="N909" s="683"/>
      <c r="O909" s="683"/>
      <c r="P909" s="683"/>
      <c r="Q909" s="683"/>
    </row>
    <row r="910" spans="1:17" ht="19.5">
      <c r="A910" s="683"/>
      <c r="B910" s="683"/>
      <c r="C910" s="683"/>
      <c r="D910" s="683"/>
      <c r="E910" s="683"/>
      <c r="F910" s="683"/>
      <c r="G910" s="683"/>
      <c r="H910" s="683"/>
      <c r="I910" s="683"/>
      <c r="J910" s="683"/>
      <c r="K910" s="683"/>
      <c r="L910" s="683"/>
      <c r="M910" s="683"/>
      <c r="N910" s="683"/>
      <c r="O910" s="683"/>
      <c r="P910" s="683"/>
      <c r="Q910" s="683"/>
    </row>
    <row r="911" spans="1:17" ht="19.5">
      <c r="A911" s="683"/>
      <c r="B911" s="683"/>
      <c r="C911" s="683"/>
      <c r="D911" s="683"/>
      <c r="E911" s="683"/>
      <c r="F911" s="683"/>
      <c r="G911" s="683"/>
      <c r="H911" s="683"/>
      <c r="I911" s="683"/>
      <c r="J911" s="683"/>
      <c r="K911" s="683"/>
      <c r="L911" s="683"/>
      <c r="M911" s="683"/>
      <c r="N911" s="683"/>
      <c r="O911" s="683"/>
      <c r="P911" s="683"/>
      <c r="Q911" s="683"/>
    </row>
    <row r="912" spans="1:17" ht="19.5">
      <c r="A912" s="683"/>
      <c r="B912" s="683"/>
      <c r="C912" s="683"/>
      <c r="D912" s="683"/>
      <c r="E912" s="683"/>
      <c r="F912" s="683"/>
      <c r="G912" s="683"/>
      <c r="H912" s="683"/>
      <c r="I912" s="683"/>
      <c r="J912" s="683"/>
      <c r="K912" s="683"/>
      <c r="L912" s="683"/>
      <c r="M912" s="683"/>
      <c r="N912" s="683"/>
      <c r="O912" s="683"/>
      <c r="P912" s="683"/>
      <c r="Q912" s="683"/>
    </row>
    <row r="913" spans="1:17" ht="19.5">
      <c r="A913" s="683"/>
      <c r="B913" s="683"/>
      <c r="C913" s="683"/>
      <c r="D913" s="683"/>
      <c r="E913" s="683"/>
      <c r="F913" s="683"/>
      <c r="G913" s="683"/>
      <c r="H913" s="683"/>
      <c r="I913" s="683"/>
      <c r="J913" s="683"/>
      <c r="K913" s="683"/>
      <c r="L913" s="683"/>
      <c r="M913" s="683"/>
      <c r="N913" s="683"/>
      <c r="O913" s="683"/>
      <c r="P913" s="683"/>
      <c r="Q913" s="683"/>
    </row>
    <row r="914" spans="1:17" ht="19.5">
      <c r="A914" s="683"/>
      <c r="B914" s="683"/>
      <c r="C914" s="683"/>
      <c r="D914" s="683"/>
      <c r="E914" s="683"/>
      <c r="F914" s="683"/>
      <c r="G914" s="683"/>
      <c r="H914" s="683"/>
      <c r="I914" s="683"/>
      <c r="J914" s="683"/>
      <c r="K914" s="683"/>
      <c r="L914" s="683"/>
      <c r="M914" s="683"/>
      <c r="N914" s="683"/>
      <c r="O914" s="683"/>
      <c r="P914" s="683"/>
      <c r="Q914" s="683"/>
    </row>
    <row r="915" spans="1:17" ht="19.5">
      <c r="A915" s="683"/>
      <c r="B915" s="683"/>
      <c r="C915" s="683"/>
      <c r="D915" s="683"/>
      <c r="E915" s="683"/>
      <c r="F915" s="683"/>
      <c r="G915" s="683"/>
      <c r="H915" s="683"/>
      <c r="I915" s="683"/>
      <c r="J915" s="683"/>
      <c r="K915" s="683"/>
      <c r="L915" s="683"/>
      <c r="M915" s="683"/>
      <c r="N915" s="683"/>
      <c r="O915" s="683"/>
      <c r="P915" s="683"/>
      <c r="Q915" s="683"/>
    </row>
    <row r="916" spans="1:17" ht="19.5">
      <c r="A916" s="683"/>
      <c r="B916" s="683"/>
      <c r="C916" s="683"/>
      <c r="D916" s="683"/>
      <c r="E916" s="683"/>
      <c r="F916" s="683"/>
      <c r="G916" s="683"/>
      <c r="H916" s="683"/>
      <c r="I916" s="683"/>
      <c r="J916" s="683"/>
      <c r="K916" s="683"/>
      <c r="L916" s="683"/>
      <c r="M916" s="683"/>
      <c r="N916" s="683"/>
      <c r="O916" s="683"/>
      <c r="P916" s="683"/>
      <c r="Q916" s="683"/>
    </row>
    <row r="917" spans="1:17" ht="19.5">
      <c r="A917" s="683"/>
      <c r="B917" s="683"/>
      <c r="C917" s="683"/>
      <c r="D917" s="683"/>
      <c r="E917" s="683"/>
      <c r="F917" s="683"/>
      <c r="G917" s="683"/>
      <c r="H917" s="683"/>
      <c r="I917" s="683"/>
      <c r="J917" s="683"/>
      <c r="K917" s="683"/>
      <c r="L917" s="683"/>
      <c r="M917" s="683"/>
      <c r="N917" s="683"/>
      <c r="O917" s="683"/>
      <c r="P917" s="683"/>
      <c r="Q917" s="683"/>
    </row>
    <row r="918" spans="1:17" ht="19.5">
      <c r="A918" s="683"/>
      <c r="B918" s="683"/>
      <c r="C918" s="683"/>
      <c r="D918" s="683"/>
      <c r="E918" s="683"/>
      <c r="F918" s="683"/>
      <c r="G918" s="683"/>
      <c r="H918" s="683"/>
      <c r="I918" s="683"/>
      <c r="J918" s="683"/>
      <c r="K918" s="683"/>
      <c r="L918" s="683"/>
      <c r="M918" s="683"/>
      <c r="N918" s="683"/>
      <c r="O918" s="683"/>
      <c r="P918" s="683"/>
      <c r="Q918" s="683"/>
    </row>
    <row r="919" spans="1:17" ht="19.5">
      <c r="A919" s="683"/>
      <c r="B919" s="683"/>
      <c r="C919" s="683"/>
      <c r="D919" s="683"/>
      <c r="E919" s="683"/>
      <c r="F919" s="683"/>
      <c r="G919" s="683"/>
      <c r="H919" s="683"/>
      <c r="I919" s="683"/>
      <c r="J919" s="683"/>
      <c r="K919" s="683"/>
      <c r="L919" s="683"/>
      <c r="M919" s="683"/>
      <c r="N919" s="683"/>
      <c r="O919" s="683"/>
      <c r="P919" s="683"/>
      <c r="Q919" s="683"/>
    </row>
    <row r="920" spans="1:17" ht="19.5">
      <c r="A920" s="683"/>
      <c r="B920" s="683"/>
      <c r="C920" s="683"/>
      <c r="D920" s="683"/>
      <c r="E920" s="683"/>
      <c r="F920" s="683"/>
      <c r="G920" s="683"/>
      <c r="H920" s="683"/>
      <c r="I920" s="683"/>
      <c r="J920" s="683"/>
      <c r="K920" s="683"/>
      <c r="L920" s="683"/>
      <c r="M920" s="683"/>
      <c r="N920" s="683"/>
      <c r="O920" s="683"/>
      <c r="P920" s="683"/>
      <c r="Q920" s="683"/>
    </row>
    <row r="921" spans="1:17" ht="19.5">
      <c r="A921" s="683"/>
      <c r="B921" s="683"/>
      <c r="C921" s="683"/>
      <c r="D921" s="683"/>
      <c r="E921" s="683"/>
      <c r="F921" s="683"/>
      <c r="G921" s="683"/>
      <c r="H921" s="683"/>
      <c r="I921" s="683"/>
      <c r="J921" s="683"/>
      <c r="K921" s="683"/>
      <c r="L921" s="683"/>
      <c r="M921" s="683"/>
      <c r="N921" s="683"/>
      <c r="O921" s="683"/>
      <c r="P921" s="683"/>
      <c r="Q921" s="683"/>
    </row>
    <row r="922" spans="1:17" ht="19.5">
      <c r="A922" s="683"/>
      <c r="B922" s="683"/>
      <c r="C922" s="683"/>
      <c r="D922" s="683"/>
      <c r="E922" s="683"/>
      <c r="F922" s="683"/>
      <c r="G922" s="683"/>
      <c r="H922" s="683"/>
      <c r="I922" s="683"/>
      <c r="J922" s="683"/>
      <c r="K922" s="683"/>
      <c r="L922" s="683"/>
      <c r="M922" s="683"/>
      <c r="N922" s="683"/>
      <c r="O922" s="683"/>
      <c r="P922" s="683"/>
      <c r="Q922" s="683"/>
    </row>
    <row r="923" spans="1:17" ht="19.5">
      <c r="A923" s="683"/>
      <c r="B923" s="683"/>
      <c r="C923" s="683"/>
      <c r="D923" s="683"/>
      <c r="E923" s="683"/>
      <c r="F923" s="683"/>
      <c r="G923" s="683"/>
      <c r="H923" s="683"/>
      <c r="I923" s="683"/>
      <c r="J923" s="683"/>
      <c r="K923" s="683"/>
      <c r="L923" s="683"/>
      <c r="M923" s="683"/>
      <c r="N923" s="683"/>
      <c r="O923" s="683"/>
      <c r="P923" s="683"/>
      <c r="Q923" s="683"/>
    </row>
    <row r="924" spans="1:17" ht="19.5">
      <c r="A924" s="683"/>
      <c r="B924" s="683"/>
      <c r="C924" s="683"/>
      <c r="D924" s="683"/>
      <c r="E924" s="683"/>
      <c r="F924" s="683"/>
      <c r="G924" s="683"/>
      <c r="H924" s="683"/>
      <c r="I924" s="683"/>
      <c r="J924" s="683"/>
      <c r="K924" s="683"/>
      <c r="L924" s="683"/>
      <c r="M924" s="683"/>
      <c r="N924" s="683"/>
      <c r="O924" s="683"/>
      <c r="P924" s="683"/>
      <c r="Q924" s="683"/>
    </row>
    <row r="925" spans="1:17" ht="19.5">
      <c r="A925" s="683"/>
      <c r="B925" s="683"/>
      <c r="C925" s="683"/>
      <c r="D925" s="683"/>
      <c r="E925" s="683"/>
      <c r="F925" s="683"/>
      <c r="G925" s="683"/>
      <c r="H925" s="683"/>
      <c r="I925" s="683"/>
      <c r="J925" s="683"/>
      <c r="K925" s="683"/>
      <c r="L925" s="683"/>
      <c r="M925" s="683"/>
      <c r="N925" s="683"/>
      <c r="O925" s="683"/>
      <c r="P925" s="683"/>
      <c r="Q925" s="683"/>
    </row>
    <row r="926" spans="1:17" ht="19.5">
      <c r="A926" s="683"/>
      <c r="B926" s="683"/>
      <c r="C926" s="683"/>
      <c r="D926" s="683"/>
      <c r="E926" s="683"/>
      <c r="F926" s="683"/>
      <c r="G926" s="683"/>
      <c r="H926" s="683"/>
      <c r="I926" s="683"/>
      <c r="J926" s="683"/>
      <c r="K926" s="683"/>
      <c r="L926" s="683"/>
      <c r="M926" s="683"/>
      <c r="N926" s="683"/>
      <c r="O926" s="683"/>
      <c r="P926" s="683"/>
      <c r="Q926" s="683"/>
    </row>
    <row r="927" spans="1:17" ht="19.5">
      <c r="A927" s="683"/>
      <c r="B927" s="683"/>
      <c r="C927" s="683"/>
      <c r="D927" s="683"/>
      <c r="E927" s="683"/>
      <c r="F927" s="683"/>
      <c r="G927" s="683"/>
      <c r="H927" s="683"/>
      <c r="I927" s="683"/>
      <c r="J927" s="683"/>
      <c r="K927" s="683"/>
      <c r="L927" s="683"/>
      <c r="M927" s="683"/>
      <c r="N927" s="683"/>
      <c r="O927" s="683"/>
      <c r="P927" s="683"/>
      <c r="Q927" s="683"/>
    </row>
    <row r="928" spans="1:17" ht="19.5">
      <c r="A928" s="683"/>
      <c r="B928" s="683"/>
      <c r="C928" s="683"/>
      <c r="D928" s="683"/>
      <c r="E928" s="683"/>
      <c r="F928" s="683"/>
      <c r="G928" s="683"/>
      <c r="H928" s="683"/>
      <c r="I928" s="683"/>
      <c r="J928" s="683"/>
      <c r="K928" s="683"/>
      <c r="L928" s="683"/>
      <c r="M928" s="683"/>
      <c r="N928" s="683"/>
      <c r="O928" s="683"/>
      <c r="P928" s="683"/>
      <c r="Q928" s="683"/>
    </row>
    <row r="929" spans="1:17" ht="19.5">
      <c r="A929" s="683"/>
      <c r="B929" s="683"/>
      <c r="C929" s="683"/>
      <c r="D929" s="683"/>
      <c r="E929" s="683"/>
      <c r="F929" s="683"/>
      <c r="G929" s="683"/>
      <c r="H929" s="683"/>
      <c r="I929" s="683"/>
      <c r="J929" s="683"/>
      <c r="K929" s="683"/>
      <c r="L929" s="683"/>
      <c r="M929" s="683"/>
      <c r="N929" s="683"/>
      <c r="O929" s="683"/>
      <c r="P929" s="683"/>
      <c r="Q929" s="683"/>
    </row>
    <row r="930" spans="1:17" ht="19.5">
      <c r="A930" s="683"/>
      <c r="B930" s="683"/>
      <c r="C930" s="683"/>
      <c r="D930" s="683"/>
      <c r="E930" s="683"/>
      <c r="F930" s="683"/>
      <c r="G930" s="683"/>
      <c r="H930" s="683"/>
      <c r="I930" s="683"/>
      <c r="J930" s="683"/>
      <c r="K930" s="683"/>
      <c r="L930" s="683"/>
      <c r="M930" s="683"/>
      <c r="N930" s="683"/>
      <c r="O930" s="683"/>
      <c r="P930" s="683"/>
      <c r="Q930" s="683"/>
    </row>
    <row r="931" spans="1:17" ht="19.5">
      <c r="A931" s="683"/>
      <c r="B931" s="683"/>
      <c r="C931" s="683"/>
      <c r="D931" s="683"/>
      <c r="E931" s="683"/>
      <c r="F931" s="683"/>
      <c r="G931" s="683"/>
      <c r="H931" s="683"/>
      <c r="I931" s="683"/>
      <c r="J931" s="683"/>
      <c r="K931" s="683"/>
      <c r="L931" s="683"/>
      <c r="M931" s="683"/>
      <c r="N931" s="683"/>
      <c r="O931" s="683"/>
      <c r="P931" s="683"/>
      <c r="Q931" s="683"/>
    </row>
    <row r="932" spans="1:17" ht="19.5">
      <c r="A932" s="683"/>
      <c r="B932" s="683"/>
      <c r="C932" s="683"/>
      <c r="D932" s="683"/>
      <c r="E932" s="683"/>
      <c r="F932" s="683"/>
      <c r="G932" s="683"/>
      <c r="H932" s="683"/>
      <c r="I932" s="683"/>
      <c r="J932" s="683"/>
      <c r="K932" s="683"/>
      <c r="L932" s="683"/>
      <c r="M932" s="683"/>
      <c r="N932" s="683"/>
      <c r="O932" s="683"/>
      <c r="P932" s="683"/>
      <c r="Q932" s="683"/>
    </row>
    <row r="933" spans="1:17" ht="19.5">
      <c r="A933" s="683"/>
      <c r="B933" s="683"/>
      <c r="C933" s="683"/>
      <c r="D933" s="683"/>
      <c r="E933" s="683"/>
      <c r="F933" s="683"/>
      <c r="G933" s="683"/>
      <c r="H933" s="683"/>
      <c r="I933" s="683"/>
      <c r="J933" s="683"/>
      <c r="K933" s="683"/>
      <c r="L933" s="683"/>
      <c r="M933" s="683"/>
      <c r="N933" s="683"/>
      <c r="O933" s="683"/>
      <c r="P933" s="683"/>
      <c r="Q933" s="683"/>
    </row>
    <row r="934" spans="1:17" ht="19.5">
      <c r="A934" s="683"/>
      <c r="B934" s="683"/>
      <c r="C934" s="683"/>
      <c r="D934" s="683"/>
      <c r="E934" s="683"/>
      <c r="F934" s="683"/>
      <c r="G934" s="683"/>
      <c r="H934" s="683"/>
      <c r="I934" s="683"/>
      <c r="J934" s="683"/>
      <c r="K934" s="683"/>
      <c r="L934" s="683"/>
      <c r="M934" s="683"/>
      <c r="N934" s="683"/>
      <c r="O934" s="683"/>
      <c r="P934" s="683"/>
      <c r="Q934" s="683"/>
    </row>
    <row r="935" spans="1:17" ht="19.5">
      <c r="A935" s="683"/>
      <c r="B935" s="683"/>
      <c r="C935" s="683"/>
      <c r="D935" s="683"/>
      <c r="E935" s="683"/>
      <c r="F935" s="683"/>
      <c r="G935" s="683"/>
      <c r="H935" s="683"/>
      <c r="I935" s="683"/>
      <c r="J935" s="683"/>
      <c r="K935" s="683"/>
      <c r="L935" s="683"/>
      <c r="M935" s="683"/>
      <c r="N935" s="683"/>
      <c r="O935" s="683"/>
      <c r="P935" s="683"/>
      <c r="Q935" s="683"/>
    </row>
    <row r="936" spans="1:17" ht="19.5">
      <c r="A936" s="683"/>
      <c r="B936" s="683"/>
      <c r="C936" s="683"/>
      <c r="D936" s="683"/>
      <c r="E936" s="683"/>
      <c r="F936" s="683"/>
      <c r="G936" s="683"/>
      <c r="H936" s="683"/>
      <c r="I936" s="683"/>
      <c r="J936" s="683"/>
      <c r="K936" s="683"/>
      <c r="L936" s="683"/>
      <c r="M936" s="683"/>
      <c r="N936" s="683"/>
      <c r="O936" s="683"/>
      <c r="P936" s="683"/>
      <c r="Q936" s="683"/>
    </row>
    <row r="937" spans="1:17" ht="19.5">
      <c r="A937" s="683"/>
      <c r="B937" s="683"/>
      <c r="C937" s="683"/>
      <c r="D937" s="683"/>
      <c r="E937" s="683"/>
      <c r="F937" s="683"/>
      <c r="G937" s="683"/>
      <c r="H937" s="683"/>
      <c r="I937" s="683"/>
      <c r="J937" s="683"/>
      <c r="K937" s="683"/>
      <c r="L937" s="683"/>
      <c r="M937" s="683"/>
      <c r="N937" s="683"/>
      <c r="O937" s="683"/>
      <c r="P937" s="683"/>
      <c r="Q937" s="683"/>
    </row>
    <row r="938" spans="1:17" ht="19.5">
      <c r="A938" s="683"/>
      <c r="B938" s="683"/>
      <c r="C938" s="683"/>
      <c r="D938" s="683"/>
      <c r="E938" s="683"/>
      <c r="F938" s="683"/>
      <c r="G938" s="683"/>
      <c r="H938" s="683"/>
      <c r="I938" s="683"/>
      <c r="J938" s="683"/>
      <c r="K938" s="683"/>
      <c r="L938" s="683"/>
      <c r="M938" s="683"/>
      <c r="N938" s="683"/>
      <c r="O938" s="683"/>
      <c r="P938" s="683"/>
      <c r="Q938" s="683"/>
    </row>
    <row r="939" spans="1:17" ht="19.5">
      <c r="A939" s="683"/>
      <c r="B939" s="683"/>
      <c r="C939" s="683"/>
      <c r="D939" s="683"/>
      <c r="E939" s="683"/>
      <c r="F939" s="683"/>
      <c r="G939" s="683"/>
      <c r="H939" s="683"/>
      <c r="I939" s="683"/>
      <c r="J939" s="683"/>
      <c r="K939" s="683"/>
      <c r="L939" s="683"/>
      <c r="M939" s="683"/>
      <c r="N939" s="683"/>
      <c r="O939" s="683"/>
      <c r="P939" s="683"/>
      <c r="Q939" s="683"/>
    </row>
    <row r="940" spans="1:17" ht="19.5">
      <c r="A940" s="683"/>
      <c r="B940" s="683"/>
      <c r="C940" s="683"/>
      <c r="D940" s="683"/>
      <c r="E940" s="683"/>
      <c r="F940" s="683"/>
      <c r="G940" s="683"/>
      <c r="H940" s="683"/>
      <c r="I940" s="683"/>
      <c r="J940" s="683"/>
      <c r="K940" s="683"/>
      <c r="L940" s="683"/>
      <c r="M940" s="683"/>
      <c r="N940" s="683"/>
      <c r="O940" s="683"/>
      <c r="P940" s="683"/>
      <c r="Q940" s="683"/>
    </row>
    <row r="941" spans="1:17" ht="19.5">
      <c r="A941" s="683"/>
      <c r="B941" s="683"/>
      <c r="C941" s="683"/>
      <c r="D941" s="683"/>
      <c r="E941" s="683"/>
      <c r="F941" s="683"/>
      <c r="G941" s="683"/>
      <c r="H941" s="683"/>
      <c r="I941" s="683"/>
      <c r="J941" s="683"/>
      <c r="K941" s="683"/>
      <c r="L941" s="683"/>
      <c r="M941" s="683"/>
      <c r="N941" s="683"/>
      <c r="O941" s="683"/>
      <c r="P941" s="683"/>
      <c r="Q941" s="683"/>
    </row>
    <row r="942" spans="1:17" ht="19.5">
      <c r="A942" s="683"/>
      <c r="B942" s="683"/>
      <c r="C942" s="683"/>
      <c r="D942" s="683"/>
      <c r="E942" s="683"/>
      <c r="F942" s="683"/>
      <c r="G942" s="683"/>
      <c r="H942" s="683"/>
      <c r="I942" s="683"/>
      <c r="J942" s="683"/>
      <c r="K942" s="683"/>
      <c r="L942" s="683"/>
      <c r="M942" s="683"/>
      <c r="N942" s="683"/>
      <c r="O942" s="683"/>
      <c r="P942" s="683"/>
      <c r="Q942" s="683"/>
    </row>
    <row r="943" spans="1:17" ht="19.5">
      <c r="A943" s="683"/>
      <c r="B943" s="683"/>
      <c r="C943" s="683"/>
      <c r="D943" s="683"/>
      <c r="E943" s="683"/>
      <c r="F943" s="683"/>
      <c r="G943" s="683"/>
      <c r="H943" s="683"/>
      <c r="I943" s="683"/>
      <c r="J943" s="683"/>
      <c r="K943" s="683"/>
      <c r="L943" s="683"/>
      <c r="M943" s="683"/>
      <c r="N943" s="683"/>
      <c r="O943" s="683"/>
      <c r="P943" s="683"/>
      <c r="Q943" s="683"/>
    </row>
    <row r="944" spans="1:17" ht="19.5">
      <c r="A944" s="683"/>
      <c r="B944" s="683"/>
      <c r="C944" s="683"/>
      <c r="D944" s="683"/>
      <c r="E944" s="683"/>
      <c r="F944" s="683"/>
      <c r="G944" s="683"/>
      <c r="H944" s="683"/>
      <c r="I944" s="683"/>
      <c r="J944" s="683"/>
      <c r="K944" s="683"/>
      <c r="L944" s="683"/>
      <c r="M944" s="683"/>
      <c r="N944" s="683"/>
      <c r="O944" s="683"/>
      <c r="P944" s="683"/>
      <c r="Q944" s="683"/>
    </row>
    <row r="945" spans="1:17" ht="19.5">
      <c r="A945" s="683"/>
      <c r="B945" s="683"/>
      <c r="C945" s="683"/>
      <c r="D945" s="683"/>
      <c r="E945" s="683"/>
      <c r="F945" s="683"/>
      <c r="G945" s="683"/>
      <c r="H945" s="683"/>
      <c r="I945" s="683"/>
      <c r="J945" s="683"/>
      <c r="K945" s="683"/>
      <c r="L945" s="683"/>
      <c r="M945" s="683"/>
      <c r="N945" s="683"/>
      <c r="O945" s="683"/>
      <c r="P945" s="683"/>
      <c r="Q945" s="683"/>
    </row>
    <row r="946" spans="1:17" ht="19.5">
      <c r="A946" s="683"/>
      <c r="B946" s="683"/>
      <c r="C946" s="683"/>
      <c r="D946" s="683"/>
      <c r="E946" s="683"/>
      <c r="F946" s="683"/>
      <c r="G946" s="683"/>
      <c r="H946" s="683"/>
      <c r="I946" s="683"/>
      <c r="J946" s="683"/>
      <c r="K946" s="683"/>
      <c r="L946" s="683"/>
      <c r="M946" s="683"/>
      <c r="N946" s="683"/>
      <c r="O946" s="683"/>
      <c r="P946" s="683"/>
      <c r="Q946" s="683"/>
    </row>
    <row r="947" spans="1:17" ht="19.5">
      <c r="A947" s="683"/>
      <c r="B947" s="683"/>
      <c r="C947" s="683"/>
      <c r="D947" s="683"/>
      <c r="E947" s="683"/>
      <c r="F947" s="683"/>
      <c r="G947" s="683"/>
      <c r="H947" s="683"/>
      <c r="I947" s="683"/>
      <c r="J947" s="683"/>
      <c r="K947" s="683"/>
      <c r="L947" s="683"/>
      <c r="M947" s="683"/>
      <c r="N947" s="683"/>
      <c r="O947" s="683"/>
      <c r="P947" s="683"/>
      <c r="Q947" s="683"/>
    </row>
    <row r="948" spans="1:17" ht="19.5">
      <c r="A948" s="683"/>
      <c r="B948" s="683"/>
      <c r="C948" s="683"/>
      <c r="D948" s="683"/>
      <c r="E948" s="683"/>
      <c r="F948" s="683"/>
      <c r="G948" s="683"/>
      <c r="H948" s="683"/>
      <c r="I948" s="683"/>
      <c r="J948" s="683"/>
      <c r="K948" s="683"/>
      <c r="L948" s="683"/>
      <c r="M948" s="683"/>
      <c r="N948" s="683"/>
      <c r="O948" s="683"/>
      <c r="P948" s="683"/>
      <c r="Q948" s="683"/>
    </row>
    <row r="949" spans="1:17" ht="19.5">
      <c r="A949" s="683"/>
      <c r="B949" s="683"/>
      <c r="C949" s="683"/>
      <c r="D949" s="683"/>
      <c r="E949" s="683"/>
      <c r="F949" s="683"/>
      <c r="G949" s="683"/>
      <c r="H949" s="683"/>
      <c r="I949" s="683"/>
      <c r="J949" s="683"/>
      <c r="K949" s="683"/>
      <c r="L949" s="683"/>
      <c r="M949" s="683"/>
      <c r="N949" s="683"/>
      <c r="O949" s="683"/>
      <c r="P949" s="683"/>
      <c r="Q949" s="683"/>
    </row>
    <row r="950" spans="1:17" ht="19.5">
      <c r="A950" s="683"/>
      <c r="B950" s="683"/>
      <c r="C950" s="683"/>
      <c r="D950" s="683"/>
      <c r="E950" s="683"/>
      <c r="F950" s="683"/>
      <c r="G950" s="683"/>
      <c r="H950" s="683"/>
      <c r="I950" s="683"/>
      <c r="J950" s="683"/>
      <c r="K950" s="683"/>
      <c r="L950" s="683"/>
      <c r="M950" s="683"/>
      <c r="N950" s="683"/>
      <c r="O950" s="683"/>
      <c r="P950" s="683"/>
      <c r="Q950" s="683"/>
    </row>
    <row r="951" spans="1:17" ht="19.5">
      <c r="A951" s="683"/>
      <c r="B951" s="683"/>
      <c r="C951" s="683"/>
      <c r="D951" s="683"/>
      <c r="E951" s="683"/>
      <c r="F951" s="683"/>
      <c r="G951" s="683"/>
      <c r="H951" s="683"/>
      <c r="I951" s="683"/>
      <c r="J951" s="683"/>
      <c r="K951" s="683"/>
      <c r="L951" s="683"/>
      <c r="M951" s="683"/>
      <c r="N951" s="683"/>
      <c r="O951" s="683"/>
      <c r="P951" s="683"/>
      <c r="Q951" s="683"/>
    </row>
    <row r="952" spans="1:17" ht="19.5">
      <c r="A952" s="683"/>
      <c r="B952" s="683"/>
      <c r="C952" s="683"/>
      <c r="D952" s="683"/>
      <c r="E952" s="683"/>
      <c r="F952" s="683"/>
      <c r="G952" s="683"/>
      <c r="H952" s="683"/>
      <c r="I952" s="683"/>
      <c r="J952" s="683"/>
      <c r="K952" s="683"/>
      <c r="L952" s="683"/>
      <c r="M952" s="683"/>
      <c r="N952" s="683"/>
      <c r="O952" s="683"/>
      <c r="P952" s="683"/>
      <c r="Q952" s="683"/>
    </row>
    <row r="953" spans="1:17" ht="19.5">
      <c r="A953" s="683"/>
      <c r="B953" s="683"/>
      <c r="C953" s="683"/>
      <c r="D953" s="683"/>
      <c r="E953" s="683"/>
      <c r="F953" s="683"/>
      <c r="G953" s="683"/>
      <c r="H953" s="683"/>
      <c r="I953" s="683"/>
      <c r="J953" s="683"/>
      <c r="K953" s="683"/>
      <c r="L953" s="683"/>
      <c r="M953" s="683"/>
      <c r="N953" s="683"/>
      <c r="O953" s="683"/>
      <c r="P953" s="683"/>
      <c r="Q953" s="683"/>
    </row>
    <row r="954" spans="1:17" ht="19.5">
      <c r="A954" s="683"/>
      <c r="B954" s="683"/>
      <c r="C954" s="683"/>
      <c r="D954" s="683"/>
      <c r="E954" s="683"/>
      <c r="F954" s="683"/>
      <c r="G954" s="683"/>
      <c r="H954" s="683"/>
      <c r="I954" s="683"/>
      <c r="J954" s="683"/>
      <c r="K954" s="683"/>
      <c r="L954" s="683"/>
      <c r="M954" s="683"/>
      <c r="N954" s="683"/>
      <c r="O954" s="683"/>
      <c r="P954" s="683"/>
      <c r="Q954" s="683"/>
    </row>
    <row r="955" spans="1:17" ht="19.5">
      <c r="A955" s="683"/>
      <c r="B955" s="683"/>
      <c r="C955" s="683"/>
      <c r="D955" s="683"/>
      <c r="E955" s="683"/>
      <c r="F955" s="683"/>
      <c r="G955" s="683"/>
      <c r="H955" s="683"/>
      <c r="I955" s="683"/>
      <c r="J955" s="683"/>
      <c r="K955" s="683"/>
      <c r="L955" s="683"/>
      <c r="M955" s="683"/>
      <c r="N955" s="683"/>
      <c r="O955" s="683"/>
      <c r="P955" s="683"/>
      <c r="Q955" s="683"/>
    </row>
    <row r="956" spans="1:17" ht="19.5">
      <c r="A956" s="683"/>
      <c r="B956" s="683"/>
      <c r="C956" s="683"/>
      <c r="D956" s="683"/>
      <c r="E956" s="683"/>
      <c r="F956" s="683"/>
      <c r="G956" s="683"/>
      <c r="H956" s="683"/>
      <c r="I956" s="683"/>
      <c r="J956" s="683"/>
      <c r="K956" s="683"/>
      <c r="L956" s="683"/>
      <c r="M956" s="683"/>
      <c r="N956" s="683"/>
      <c r="O956" s="683"/>
      <c r="P956" s="683"/>
      <c r="Q956" s="683"/>
    </row>
    <row r="957" spans="1:17" ht="19.5">
      <c r="A957" s="683"/>
      <c r="B957" s="683"/>
      <c r="C957" s="683"/>
      <c r="D957" s="683"/>
      <c r="E957" s="683"/>
      <c r="F957" s="683"/>
      <c r="G957" s="683"/>
      <c r="H957" s="683"/>
      <c r="I957" s="683"/>
      <c r="J957" s="683"/>
      <c r="K957" s="683"/>
      <c r="L957" s="683"/>
      <c r="M957" s="683"/>
      <c r="N957" s="683"/>
      <c r="O957" s="683"/>
      <c r="P957" s="683"/>
      <c r="Q957" s="683"/>
    </row>
    <row r="958" spans="1:17" ht="19.5">
      <c r="A958" s="683"/>
      <c r="B958" s="683"/>
      <c r="C958" s="683"/>
      <c r="D958" s="683"/>
      <c r="E958" s="683"/>
      <c r="F958" s="683"/>
      <c r="G958" s="683"/>
      <c r="H958" s="683"/>
      <c r="I958" s="683"/>
      <c r="J958" s="683"/>
      <c r="K958" s="683"/>
      <c r="L958" s="683"/>
      <c r="M958" s="683"/>
      <c r="N958" s="683"/>
      <c r="O958" s="683"/>
      <c r="P958" s="683"/>
      <c r="Q958" s="683"/>
    </row>
    <row r="959" spans="1:17" ht="19.5">
      <c r="A959" s="683"/>
      <c r="B959" s="683"/>
      <c r="C959" s="683"/>
      <c r="D959" s="683"/>
      <c r="E959" s="683"/>
      <c r="F959" s="683"/>
      <c r="G959" s="683"/>
      <c r="H959" s="683"/>
      <c r="I959" s="683"/>
      <c r="J959" s="683"/>
      <c r="K959" s="683"/>
      <c r="L959" s="683"/>
      <c r="M959" s="683"/>
      <c r="N959" s="683"/>
      <c r="O959" s="683"/>
      <c r="P959" s="683"/>
      <c r="Q959" s="683"/>
    </row>
    <row r="960" spans="1:17" ht="19.5">
      <c r="A960" s="683"/>
      <c r="B960" s="683"/>
      <c r="C960" s="683"/>
      <c r="D960" s="683"/>
      <c r="E960" s="683"/>
      <c r="F960" s="683"/>
      <c r="G960" s="683"/>
      <c r="H960" s="683"/>
      <c r="I960" s="683"/>
      <c r="J960" s="683"/>
      <c r="K960" s="683"/>
      <c r="L960" s="683"/>
      <c r="M960" s="683"/>
      <c r="N960" s="683"/>
      <c r="O960" s="683"/>
      <c r="P960" s="683"/>
      <c r="Q960" s="683"/>
    </row>
    <row r="961" spans="1:17" ht="19.5">
      <c r="A961" s="683"/>
      <c r="B961" s="683"/>
      <c r="C961" s="683"/>
      <c r="D961" s="683"/>
      <c r="E961" s="683"/>
      <c r="F961" s="683"/>
      <c r="G961" s="683"/>
      <c r="H961" s="683"/>
      <c r="I961" s="683"/>
      <c r="J961" s="683"/>
      <c r="K961" s="683"/>
      <c r="L961" s="683"/>
      <c r="M961" s="683"/>
      <c r="N961" s="683"/>
      <c r="O961" s="683"/>
      <c r="P961" s="683"/>
      <c r="Q961" s="683"/>
    </row>
    <row r="962" spans="1:17" ht="19.5">
      <c r="A962" s="683"/>
      <c r="B962" s="683"/>
      <c r="C962" s="683"/>
      <c r="D962" s="683"/>
      <c r="E962" s="683"/>
      <c r="F962" s="683"/>
      <c r="G962" s="683"/>
      <c r="H962" s="683"/>
      <c r="I962" s="683"/>
      <c r="J962" s="683"/>
      <c r="K962" s="683"/>
      <c r="L962" s="683"/>
      <c r="M962" s="683"/>
      <c r="N962" s="683"/>
      <c r="O962" s="683"/>
      <c r="P962" s="683"/>
      <c r="Q962" s="683"/>
    </row>
    <row r="963" spans="1:17" ht="19.5">
      <c r="A963" s="683"/>
      <c r="B963" s="683"/>
      <c r="C963" s="683"/>
      <c r="D963" s="683"/>
      <c r="E963" s="683"/>
      <c r="F963" s="683"/>
      <c r="G963" s="683"/>
      <c r="H963" s="683"/>
      <c r="I963" s="683"/>
      <c r="J963" s="683"/>
      <c r="K963" s="683"/>
      <c r="L963" s="683"/>
      <c r="M963" s="683"/>
      <c r="N963" s="683"/>
      <c r="O963" s="683"/>
      <c r="P963" s="683"/>
      <c r="Q963" s="683"/>
    </row>
    <row r="964" spans="1:17" ht="19.5">
      <c r="A964" s="683"/>
      <c r="B964" s="683"/>
      <c r="C964" s="683"/>
      <c r="D964" s="683"/>
      <c r="E964" s="683"/>
      <c r="F964" s="683"/>
      <c r="G964" s="683"/>
      <c r="H964" s="683"/>
      <c r="I964" s="683"/>
      <c r="J964" s="683"/>
      <c r="K964" s="683"/>
      <c r="L964" s="683"/>
      <c r="M964" s="683"/>
      <c r="N964" s="683"/>
      <c r="O964" s="683"/>
      <c r="P964" s="683"/>
      <c r="Q964" s="683"/>
    </row>
    <row r="965" spans="1:17" ht="19.5">
      <c r="A965" s="683"/>
      <c r="B965" s="683"/>
      <c r="C965" s="683"/>
      <c r="D965" s="683"/>
      <c r="E965" s="683"/>
      <c r="F965" s="683"/>
      <c r="G965" s="683"/>
      <c r="H965" s="683"/>
      <c r="I965" s="683"/>
      <c r="J965" s="683"/>
      <c r="K965" s="683"/>
      <c r="L965" s="683"/>
      <c r="M965" s="683"/>
      <c r="N965" s="683"/>
      <c r="O965" s="683"/>
      <c r="P965" s="683"/>
      <c r="Q965" s="683"/>
    </row>
    <row r="966" spans="1:17" ht="19.5">
      <c r="A966" s="683"/>
      <c r="B966" s="683"/>
      <c r="C966" s="683"/>
      <c r="D966" s="683"/>
      <c r="E966" s="683"/>
      <c r="F966" s="683"/>
      <c r="G966" s="683"/>
      <c r="H966" s="683"/>
      <c r="I966" s="683"/>
      <c r="J966" s="683"/>
      <c r="K966" s="683"/>
      <c r="L966" s="683"/>
      <c r="M966" s="683"/>
      <c r="N966" s="683"/>
      <c r="O966" s="683"/>
      <c r="P966" s="683"/>
      <c r="Q966" s="683"/>
    </row>
    <row r="967" spans="1:17" ht="19.5">
      <c r="A967" s="683"/>
      <c r="B967" s="683"/>
      <c r="C967" s="683"/>
      <c r="D967" s="683"/>
      <c r="E967" s="683"/>
      <c r="F967" s="683"/>
      <c r="G967" s="683"/>
      <c r="H967" s="683"/>
      <c r="I967" s="683"/>
      <c r="J967" s="683"/>
      <c r="K967" s="683"/>
      <c r="L967" s="683"/>
      <c r="M967" s="683"/>
      <c r="N967" s="683"/>
      <c r="O967" s="683"/>
      <c r="P967" s="683"/>
      <c r="Q967" s="683"/>
    </row>
    <row r="968" spans="1:17" ht="19.5">
      <c r="A968" s="683"/>
      <c r="B968" s="683"/>
      <c r="C968" s="683"/>
      <c r="D968" s="683"/>
      <c r="E968" s="683"/>
      <c r="F968" s="683"/>
      <c r="G968" s="683"/>
      <c r="H968" s="683"/>
      <c r="I968" s="683"/>
      <c r="J968" s="683"/>
      <c r="K968" s="683"/>
      <c r="L968" s="683"/>
      <c r="M968" s="683"/>
      <c r="N968" s="683"/>
      <c r="O968" s="683"/>
      <c r="P968" s="683"/>
      <c r="Q968" s="683"/>
    </row>
    <row r="969" spans="1:17" ht="19.5">
      <c r="A969" s="683"/>
      <c r="B969" s="683"/>
      <c r="C969" s="683"/>
      <c r="D969" s="683"/>
      <c r="E969" s="683"/>
      <c r="F969" s="683"/>
      <c r="G969" s="683"/>
      <c r="H969" s="683"/>
      <c r="I969" s="683"/>
      <c r="J969" s="683"/>
      <c r="K969" s="683"/>
      <c r="L969" s="683"/>
      <c r="M969" s="683"/>
      <c r="N969" s="683"/>
      <c r="O969" s="683"/>
      <c r="P969" s="683"/>
      <c r="Q969" s="683"/>
    </row>
    <row r="970" spans="1:17" ht="19.5">
      <c r="A970" s="683"/>
      <c r="B970" s="683"/>
      <c r="C970" s="683"/>
      <c r="D970" s="683"/>
      <c r="E970" s="683"/>
      <c r="F970" s="683"/>
      <c r="G970" s="683"/>
      <c r="H970" s="683"/>
      <c r="I970" s="683"/>
      <c r="J970" s="683"/>
      <c r="K970" s="683"/>
      <c r="L970" s="683"/>
      <c r="M970" s="683"/>
      <c r="N970" s="683"/>
      <c r="O970" s="683"/>
      <c r="P970" s="683"/>
      <c r="Q970" s="683"/>
    </row>
    <row r="971" spans="1:17" ht="19.5">
      <c r="A971" s="683"/>
      <c r="B971" s="683"/>
      <c r="C971" s="683"/>
      <c r="D971" s="683"/>
      <c r="E971" s="683"/>
      <c r="F971" s="683"/>
      <c r="G971" s="683"/>
      <c r="H971" s="683"/>
      <c r="I971" s="683"/>
      <c r="J971" s="683"/>
      <c r="K971" s="683"/>
      <c r="L971" s="683"/>
      <c r="M971" s="683"/>
      <c r="N971" s="683"/>
      <c r="O971" s="683"/>
      <c r="P971" s="683"/>
      <c r="Q971" s="683"/>
    </row>
    <row r="972" spans="1:17" ht="19.5">
      <c r="A972" s="683"/>
      <c r="B972" s="683"/>
      <c r="C972" s="683"/>
      <c r="D972" s="683"/>
      <c r="E972" s="683"/>
      <c r="F972" s="683"/>
      <c r="G972" s="683"/>
      <c r="H972" s="683"/>
      <c r="I972" s="683"/>
      <c r="J972" s="683"/>
      <c r="K972" s="683"/>
      <c r="L972" s="683"/>
      <c r="M972" s="683"/>
      <c r="N972" s="683"/>
      <c r="O972" s="683"/>
      <c r="P972" s="683"/>
      <c r="Q972" s="683"/>
    </row>
    <row r="973" spans="1:17" ht="19.5">
      <c r="A973" s="683"/>
      <c r="B973" s="683"/>
      <c r="C973" s="683"/>
      <c r="D973" s="683"/>
      <c r="E973" s="683"/>
      <c r="F973" s="683"/>
      <c r="G973" s="683"/>
      <c r="H973" s="683"/>
      <c r="I973" s="683"/>
      <c r="J973" s="683"/>
      <c r="K973" s="683"/>
      <c r="L973" s="683"/>
      <c r="M973" s="683"/>
      <c r="N973" s="683"/>
      <c r="O973" s="683"/>
      <c r="P973" s="683"/>
      <c r="Q973" s="683"/>
    </row>
    <row r="974" spans="1:17" ht="19.5">
      <c r="A974" s="683"/>
      <c r="B974" s="683"/>
      <c r="C974" s="683"/>
      <c r="D974" s="683"/>
      <c r="E974" s="683"/>
      <c r="F974" s="683"/>
      <c r="G974" s="683"/>
      <c r="H974" s="683"/>
      <c r="I974" s="683"/>
      <c r="J974" s="683"/>
      <c r="K974" s="683"/>
      <c r="L974" s="683"/>
      <c r="M974" s="683"/>
      <c r="N974" s="683"/>
      <c r="O974" s="683"/>
      <c r="P974" s="683"/>
      <c r="Q974" s="683"/>
    </row>
    <row r="975" spans="1:17" ht="19.5">
      <c r="A975" s="683"/>
      <c r="B975" s="683"/>
      <c r="C975" s="683"/>
      <c r="D975" s="683"/>
      <c r="E975" s="683"/>
      <c r="F975" s="683"/>
      <c r="G975" s="683"/>
      <c r="H975" s="683"/>
      <c r="I975" s="683"/>
      <c r="J975" s="683"/>
      <c r="K975" s="683"/>
      <c r="L975" s="683"/>
      <c r="M975" s="683"/>
      <c r="N975" s="683"/>
      <c r="O975" s="683"/>
      <c r="P975" s="683"/>
      <c r="Q975" s="683"/>
    </row>
    <row r="976" spans="1:17" ht="19.5">
      <c r="A976" s="683"/>
      <c r="B976" s="683"/>
      <c r="C976" s="683"/>
      <c r="D976" s="683"/>
      <c r="E976" s="683"/>
      <c r="F976" s="683"/>
      <c r="G976" s="683"/>
      <c r="H976" s="683"/>
      <c r="I976" s="683"/>
      <c r="J976" s="683"/>
      <c r="K976" s="683"/>
      <c r="L976" s="683"/>
      <c r="M976" s="683"/>
      <c r="N976" s="683"/>
      <c r="O976" s="683"/>
      <c r="P976" s="683"/>
      <c r="Q976" s="683"/>
    </row>
    <row r="977" spans="1:17" ht="19.5">
      <c r="A977" s="683"/>
      <c r="B977" s="683"/>
      <c r="C977" s="683"/>
      <c r="D977" s="683"/>
      <c r="E977" s="683"/>
      <c r="F977" s="683"/>
      <c r="G977" s="683"/>
      <c r="H977" s="683"/>
      <c r="I977" s="683"/>
      <c r="J977" s="683"/>
      <c r="K977" s="683"/>
      <c r="L977" s="683"/>
      <c r="M977" s="683"/>
      <c r="N977" s="683"/>
      <c r="O977" s="683"/>
      <c r="P977" s="683"/>
      <c r="Q977" s="683"/>
    </row>
    <row r="978" spans="1:17" ht="19.5">
      <c r="A978" s="683"/>
      <c r="B978" s="683"/>
      <c r="C978" s="683"/>
      <c r="D978" s="683"/>
      <c r="E978" s="683"/>
      <c r="F978" s="683"/>
      <c r="G978" s="683"/>
      <c r="H978" s="683"/>
      <c r="I978" s="683"/>
      <c r="J978" s="683"/>
      <c r="K978" s="683"/>
      <c r="L978" s="683"/>
      <c r="M978" s="683"/>
      <c r="N978" s="683"/>
      <c r="O978" s="683"/>
      <c r="P978" s="683"/>
      <c r="Q978" s="683"/>
    </row>
    <row r="979" spans="1:17" ht="19.5">
      <c r="A979" s="683"/>
      <c r="B979" s="683"/>
      <c r="C979" s="683"/>
      <c r="D979" s="683"/>
      <c r="E979" s="683"/>
      <c r="F979" s="683"/>
      <c r="G979" s="683"/>
      <c r="H979" s="683"/>
      <c r="I979" s="683"/>
      <c r="J979" s="683"/>
      <c r="K979" s="683"/>
      <c r="L979" s="683"/>
      <c r="M979" s="683"/>
      <c r="N979" s="683"/>
      <c r="O979" s="683"/>
      <c r="P979" s="683"/>
      <c r="Q979" s="683"/>
    </row>
    <row r="980" spans="1:17" ht="19.5">
      <c r="A980" s="683"/>
      <c r="B980" s="683"/>
      <c r="C980" s="683"/>
      <c r="D980" s="683"/>
      <c r="E980" s="683"/>
      <c r="F980" s="683"/>
      <c r="G980" s="683"/>
      <c r="H980" s="683"/>
      <c r="I980" s="683"/>
      <c r="J980" s="683"/>
      <c r="K980" s="683"/>
      <c r="L980" s="683"/>
      <c r="M980" s="683"/>
      <c r="N980" s="683"/>
      <c r="O980" s="683"/>
      <c r="P980" s="683"/>
      <c r="Q980" s="683"/>
    </row>
    <row r="981" spans="1:17" ht="19.5">
      <c r="A981" s="683"/>
      <c r="B981" s="683"/>
      <c r="C981" s="683"/>
      <c r="D981" s="683"/>
      <c r="E981" s="683"/>
      <c r="F981" s="683"/>
      <c r="G981" s="683"/>
      <c r="H981" s="683"/>
      <c r="I981" s="683"/>
      <c r="J981" s="683"/>
      <c r="K981" s="683"/>
      <c r="L981" s="683"/>
      <c r="M981" s="683"/>
      <c r="N981" s="683"/>
      <c r="O981" s="683"/>
      <c r="P981" s="683"/>
      <c r="Q981" s="683"/>
    </row>
    <row r="982" spans="1:17" ht="19.5">
      <c r="A982" s="683"/>
      <c r="B982" s="683"/>
      <c r="C982" s="683"/>
      <c r="D982" s="683"/>
      <c r="E982" s="683"/>
      <c r="F982" s="683"/>
      <c r="G982" s="683"/>
      <c r="H982" s="683"/>
      <c r="I982" s="683"/>
      <c r="J982" s="683"/>
      <c r="K982" s="683"/>
      <c r="L982" s="683"/>
      <c r="M982" s="683"/>
      <c r="N982" s="683"/>
      <c r="O982" s="683"/>
      <c r="P982" s="683"/>
      <c r="Q982" s="683"/>
    </row>
    <row r="983" spans="1:17" ht="19.5">
      <c r="A983" s="683"/>
      <c r="B983" s="683"/>
      <c r="C983" s="683"/>
      <c r="D983" s="683"/>
      <c r="E983" s="683"/>
      <c r="F983" s="683"/>
      <c r="G983" s="683"/>
      <c r="H983" s="683"/>
      <c r="I983" s="683"/>
      <c r="J983" s="683"/>
      <c r="K983" s="683"/>
      <c r="L983" s="683"/>
      <c r="M983" s="683"/>
      <c r="N983" s="683"/>
      <c r="O983" s="683"/>
      <c r="P983" s="683"/>
      <c r="Q983" s="683"/>
    </row>
    <row r="984" spans="1:17" ht="19.5">
      <c r="A984" s="683"/>
      <c r="B984" s="683"/>
      <c r="C984" s="683"/>
      <c r="D984" s="683"/>
      <c r="E984" s="683"/>
      <c r="F984" s="683"/>
      <c r="G984" s="683"/>
      <c r="H984" s="683"/>
      <c r="I984" s="683"/>
      <c r="J984" s="683"/>
      <c r="K984" s="683"/>
      <c r="L984" s="683"/>
      <c r="M984" s="683"/>
      <c r="N984" s="683"/>
      <c r="O984" s="683"/>
      <c r="P984" s="683"/>
      <c r="Q984" s="683"/>
    </row>
    <row r="985" spans="1:17" ht="19.5">
      <c r="A985" s="683"/>
      <c r="B985" s="683"/>
      <c r="C985" s="683"/>
      <c r="D985" s="683"/>
      <c r="E985" s="683"/>
      <c r="F985" s="683"/>
      <c r="G985" s="683"/>
      <c r="H985" s="683"/>
      <c r="I985" s="683"/>
      <c r="J985" s="683"/>
      <c r="K985" s="683"/>
      <c r="L985" s="683"/>
      <c r="M985" s="683"/>
      <c r="N985" s="683"/>
      <c r="O985" s="683"/>
      <c r="P985" s="683"/>
      <c r="Q985" s="683"/>
    </row>
    <row r="986" spans="1:17" ht="19.5">
      <c r="A986" s="683"/>
      <c r="B986" s="683"/>
      <c r="C986" s="683"/>
      <c r="D986" s="683"/>
      <c r="E986" s="683"/>
      <c r="F986" s="683"/>
      <c r="G986" s="683"/>
      <c r="H986" s="683"/>
      <c r="I986" s="683"/>
      <c r="J986" s="683"/>
      <c r="K986" s="683"/>
      <c r="L986" s="683"/>
      <c r="M986" s="683"/>
      <c r="N986" s="683"/>
      <c r="O986" s="683"/>
      <c r="P986" s="683"/>
      <c r="Q986" s="683"/>
    </row>
    <row r="987" spans="1:17" ht="19.5">
      <c r="A987" s="683"/>
      <c r="B987" s="683"/>
      <c r="C987" s="683"/>
      <c r="D987" s="683"/>
      <c r="E987" s="683"/>
      <c r="F987" s="683"/>
      <c r="G987" s="683"/>
      <c r="H987" s="683"/>
      <c r="I987" s="683"/>
      <c r="J987" s="683"/>
      <c r="K987" s="683"/>
      <c r="L987" s="683"/>
      <c r="M987" s="683"/>
      <c r="N987" s="683"/>
      <c r="O987" s="683"/>
      <c r="P987" s="683"/>
      <c r="Q987" s="683"/>
    </row>
    <row r="988" spans="1:17" ht="19.5">
      <c r="A988" s="683"/>
      <c r="B988" s="683"/>
      <c r="C988" s="683"/>
      <c r="D988" s="683"/>
      <c r="E988" s="683"/>
      <c r="F988" s="683"/>
      <c r="G988" s="683"/>
      <c r="H988" s="683"/>
      <c r="I988" s="683"/>
      <c r="J988" s="683"/>
      <c r="K988" s="683"/>
      <c r="L988" s="683"/>
      <c r="M988" s="683"/>
      <c r="N988" s="683"/>
      <c r="O988" s="683"/>
      <c r="P988" s="683"/>
      <c r="Q988" s="683"/>
    </row>
    <row r="989" spans="1:17" ht="19.5">
      <c r="A989" s="683"/>
      <c r="B989" s="683"/>
      <c r="C989" s="683"/>
      <c r="D989" s="683"/>
      <c r="E989" s="683"/>
      <c r="F989" s="683"/>
      <c r="G989" s="683"/>
      <c r="H989" s="683"/>
      <c r="I989" s="683"/>
      <c r="J989" s="683"/>
      <c r="K989" s="683"/>
      <c r="L989" s="683"/>
      <c r="M989" s="683"/>
      <c r="N989" s="683"/>
      <c r="O989" s="683"/>
      <c r="P989" s="683"/>
      <c r="Q989" s="683"/>
    </row>
    <row r="990" spans="1:17" ht="19.5">
      <c r="A990" s="683"/>
      <c r="B990" s="683"/>
      <c r="C990" s="683"/>
      <c r="D990" s="683"/>
      <c r="E990" s="683"/>
      <c r="F990" s="683"/>
      <c r="G990" s="683"/>
      <c r="H990" s="683"/>
      <c r="I990" s="683"/>
      <c r="J990" s="683"/>
      <c r="K990" s="683"/>
      <c r="L990" s="683"/>
      <c r="M990" s="683"/>
      <c r="N990" s="683"/>
      <c r="O990" s="683"/>
      <c r="P990" s="683"/>
      <c r="Q990" s="683"/>
    </row>
    <row r="991" spans="1:17" ht="19.5">
      <c r="A991" s="683"/>
      <c r="B991" s="683"/>
      <c r="C991" s="683"/>
      <c r="D991" s="683"/>
      <c r="E991" s="683"/>
      <c r="F991" s="683"/>
      <c r="G991" s="683"/>
      <c r="H991" s="683"/>
      <c r="I991" s="683"/>
      <c r="J991" s="683"/>
      <c r="K991" s="683"/>
      <c r="L991" s="683"/>
      <c r="M991" s="683"/>
      <c r="N991" s="683"/>
      <c r="O991" s="683"/>
      <c r="P991" s="683"/>
      <c r="Q991" s="683"/>
    </row>
    <row r="992" spans="1:17" ht="19.5">
      <c r="A992" s="683"/>
      <c r="B992" s="683"/>
      <c r="C992" s="683"/>
      <c r="D992" s="683"/>
      <c r="E992" s="683"/>
      <c r="F992" s="683"/>
      <c r="G992" s="683"/>
      <c r="H992" s="683"/>
      <c r="I992" s="683"/>
      <c r="J992" s="683"/>
      <c r="K992" s="683"/>
      <c r="L992" s="683"/>
      <c r="M992" s="683"/>
      <c r="N992" s="683"/>
      <c r="O992" s="683"/>
      <c r="P992" s="683"/>
      <c r="Q992" s="683"/>
    </row>
    <row r="993" spans="1:17" ht="19.5">
      <c r="A993" s="683"/>
      <c r="B993" s="683"/>
      <c r="C993" s="683"/>
      <c r="D993" s="683"/>
      <c r="E993" s="683"/>
      <c r="F993" s="683"/>
      <c r="G993" s="683"/>
      <c r="H993" s="683"/>
      <c r="I993" s="683"/>
      <c r="J993" s="683"/>
      <c r="K993" s="683"/>
      <c r="L993" s="683"/>
      <c r="M993" s="683"/>
      <c r="N993" s="683"/>
      <c r="O993" s="683"/>
      <c r="P993" s="683"/>
      <c r="Q993" s="683"/>
    </row>
    <row r="994" spans="1:17" ht="19.5">
      <c r="A994" s="683"/>
      <c r="B994" s="683"/>
      <c r="C994" s="683"/>
      <c r="D994" s="683"/>
      <c r="E994" s="683"/>
      <c r="F994" s="683"/>
      <c r="G994" s="683"/>
      <c r="H994" s="683"/>
      <c r="I994" s="683"/>
      <c r="J994" s="683"/>
      <c r="K994" s="683"/>
      <c r="L994" s="683"/>
      <c r="M994" s="683"/>
      <c r="N994" s="683"/>
      <c r="O994" s="683"/>
      <c r="P994" s="683"/>
      <c r="Q994" s="683"/>
    </row>
    <row r="995" spans="1:17" ht="19.5">
      <c r="A995" s="683"/>
      <c r="B995" s="683"/>
      <c r="C995" s="683"/>
      <c r="D995" s="683"/>
      <c r="E995" s="683"/>
      <c r="F995" s="683"/>
      <c r="G995" s="683"/>
      <c r="H995" s="683"/>
      <c r="I995" s="683"/>
      <c r="J995" s="683"/>
      <c r="K995" s="683"/>
      <c r="L995" s="683"/>
      <c r="M995" s="683"/>
      <c r="N995" s="683"/>
      <c r="O995" s="683"/>
      <c r="P995" s="683"/>
      <c r="Q995" s="683"/>
    </row>
    <row r="996" spans="1:17" ht="19.5">
      <c r="A996" s="683"/>
      <c r="B996" s="683"/>
      <c r="C996" s="683"/>
      <c r="D996" s="683"/>
      <c r="E996" s="683"/>
      <c r="F996" s="683"/>
      <c r="G996" s="683"/>
      <c r="H996" s="683"/>
      <c r="I996" s="683"/>
      <c r="J996" s="683"/>
      <c r="K996" s="683"/>
      <c r="L996" s="683"/>
      <c r="M996" s="683"/>
      <c r="N996" s="683"/>
      <c r="O996" s="683"/>
      <c r="P996" s="683"/>
      <c r="Q996" s="683"/>
    </row>
    <row r="997" spans="1:17" ht="19.5">
      <c r="A997" s="683"/>
      <c r="B997" s="683"/>
      <c r="C997" s="683"/>
      <c r="D997" s="683"/>
      <c r="E997" s="683"/>
      <c r="F997" s="683"/>
      <c r="G997" s="683"/>
      <c r="H997" s="683"/>
      <c r="I997" s="683"/>
      <c r="J997" s="683"/>
      <c r="K997" s="683"/>
      <c r="L997" s="683"/>
      <c r="M997" s="683"/>
      <c r="N997" s="683"/>
      <c r="O997" s="683"/>
      <c r="P997" s="683"/>
      <c r="Q997" s="683"/>
    </row>
    <row r="998" spans="1:17" ht="19.5">
      <c r="A998" s="683"/>
      <c r="B998" s="683"/>
      <c r="C998" s="683"/>
      <c r="D998" s="683"/>
      <c r="E998" s="683"/>
      <c r="F998" s="683"/>
      <c r="G998" s="683"/>
      <c r="H998" s="683"/>
      <c r="I998" s="683"/>
      <c r="J998" s="683"/>
      <c r="K998" s="683"/>
      <c r="L998" s="683"/>
      <c r="M998" s="683"/>
      <c r="N998" s="683"/>
      <c r="O998" s="683"/>
      <c r="P998" s="683"/>
      <c r="Q998" s="683"/>
    </row>
    <row r="999" spans="1:17" ht="19.5">
      <c r="A999" s="683"/>
      <c r="B999" s="683"/>
      <c r="C999" s="683"/>
      <c r="D999" s="683"/>
      <c r="E999" s="683"/>
      <c r="F999" s="683"/>
      <c r="G999" s="683"/>
      <c r="H999" s="683"/>
      <c r="I999" s="683"/>
      <c r="J999" s="683"/>
      <c r="K999" s="683"/>
      <c r="L999" s="683"/>
      <c r="M999" s="683"/>
      <c r="N999" s="683"/>
      <c r="O999" s="683"/>
      <c r="P999" s="683"/>
      <c r="Q999" s="683"/>
    </row>
    <row r="1000" spans="1:17" ht="19.5">
      <c r="A1000" s="683"/>
      <c r="B1000" s="683"/>
      <c r="C1000" s="683"/>
      <c r="D1000" s="683"/>
      <c r="E1000" s="683"/>
      <c r="F1000" s="683"/>
      <c r="G1000" s="683"/>
      <c r="H1000" s="683"/>
      <c r="I1000" s="683"/>
      <c r="J1000" s="683"/>
      <c r="K1000" s="683"/>
      <c r="L1000" s="683"/>
      <c r="M1000" s="683"/>
      <c r="N1000" s="683"/>
      <c r="O1000" s="683"/>
      <c r="P1000" s="683"/>
      <c r="Q1000" s="683"/>
    </row>
  </sheetData>
  <mergeCells count="198">
    <mergeCell ref="I56:J56"/>
    <mergeCell ref="K56:L56"/>
    <mergeCell ref="M56:N56"/>
    <mergeCell ref="O56:P56"/>
    <mergeCell ref="K59:L59"/>
    <mergeCell ref="M59:N59"/>
    <mergeCell ref="I57:J57"/>
    <mergeCell ref="K57:L57"/>
    <mergeCell ref="M57:N57"/>
    <mergeCell ref="I58:J58"/>
    <mergeCell ref="K58:L58"/>
    <mergeCell ref="M58:N58"/>
    <mergeCell ref="I59:J59"/>
    <mergeCell ref="I48:J48"/>
    <mergeCell ref="K48:L48"/>
    <mergeCell ref="M48:N48"/>
    <mergeCell ref="I49:J49"/>
    <mergeCell ref="K49:L49"/>
    <mergeCell ref="M49:N49"/>
    <mergeCell ref="I53:K53"/>
    <mergeCell ref="I55:J55"/>
    <mergeCell ref="K55:L55"/>
    <mergeCell ref="M55:N55"/>
    <mergeCell ref="M43:N43"/>
    <mergeCell ref="I44:J44"/>
    <mergeCell ref="K44:L44"/>
    <mergeCell ref="M44:N44"/>
    <mergeCell ref="K47:L47"/>
    <mergeCell ref="M47:N47"/>
    <mergeCell ref="O47:P47"/>
    <mergeCell ref="I45:J45"/>
    <mergeCell ref="K45:L45"/>
    <mergeCell ref="M45:N45"/>
    <mergeCell ref="I46:J46"/>
    <mergeCell ref="K46:L46"/>
    <mergeCell ref="M46:N46"/>
    <mergeCell ref="I47:J47"/>
    <mergeCell ref="K62:L62"/>
    <mergeCell ref="M62:N62"/>
    <mergeCell ref="I63:J63"/>
    <mergeCell ref="K63:L63"/>
    <mergeCell ref="M63:N63"/>
    <mergeCell ref="I60:J60"/>
    <mergeCell ref="K60:L60"/>
    <mergeCell ref="M60:N60"/>
    <mergeCell ref="I61:J61"/>
    <mergeCell ref="K61:L61"/>
    <mergeCell ref="M61:N61"/>
    <mergeCell ref="I62:J62"/>
    <mergeCell ref="E31:G31"/>
    <mergeCell ref="A43:C43"/>
    <mergeCell ref="A44:C44"/>
    <mergeCell ref="A45:C45"/>
    <mergeCell ref="A46:C46"/>
    <mergeCell ref="A47:C47"/>
    <mergeCell ref="A48:C48"/>
    <mergeCell ref="A49:C49"/>
    <mergeCell ref="A31:C31"/>
    <mergeCell ref="A32:C32"/>
    <mergeCell ref="A33:C33"/>
    <mergeCell ref="A34:C34"/>
    <mergeCell ref="A35:C35"/>
    <mergeCell ref="A36:C36"/>
    <mergeCell ref="A37:C37"/>
    <mergeCell ref="E32:G32"/>
    <mergeCell ref="E33:G33"/>
    <mergeCell ref="E34:G34"/>
    <mergeCell ref="E35:G35"/>
    <mergeCell ref="E36:G36"/>
    <mergeCell ref="B39:G40"/>
    <mergeCell ref="C41:D41"/>
    <mergeCell ref="E43:G43"/>
    <mergeCell ref="E44:G44"/>
    <mergeCell ref="A27:C27"/>
    <mergeCell ref="A28:C28"/>
    <mergeCell ref="A29:C29"/>
    <mergeCell ref="A30:C30"/>
    <mergeCell ref="E25:G25"/>
    <mergeCell ref="E26:G26"/>
    <mergeCell ref="E27:G27"/>
    <mergeCell ref="E28:G28"/>
    <mergeCell ref="E29:G29"/>
    <mergeCell ref="E30:G30"/>
    <mergeCell ref="A14:B14"/>
    <mergeCell ref="A19:G20"/>
    <mergeCell ref="B21:E21"/>
    <mergeCell ref="A23:C23"/>
    <mergeCell ref="E23:G23"/>
    <mergeCell ref="E24:G24"/>
    <mergeCell ref="A24:C24"/>
    <mergeCell ref="A25:C25"/>
    <mergeCell ref="A26:C26"/>
    <mergeCell ref="A59:C59"/>
    <mergeCell ref="A60:C60"/>
    <mergeCell ref="A61:C61"/>
    <mergeCell ref="A62:C62"/>
    <mergeCell ref="A63:C63"/>
    <mergeCell ref="E58:G58"/>
    <mergeCell ref="E59:G59"/>
    <mergeCell ref="E60:G60"/>
    <mergeCell ref="E61:G61"/>
    <mergeCell ref="E62:G62"/>
    <mergeCell ref="E63:G63"/>
    <mergeCell ref="I35:J35"/>
    <mergeCell ref="K35:L35"/>
    <mergeCell ref="M35:N35"/>
    <mergeCell ref="I36:J36"/>
    <mergeCell ref="K36:L36"/>
    <mergeCell ref="M36:N36"/>
    <mergeCell ref="E37:J37"/>
    <mergeCell ref="A57:C57"/>
    <mergeCell ref="A58:C58"/>
    <mergeCell ref="B51:G52"/>
    <mergeCell ref="C53:D53"/>
    <mergeCell ref="A55:C55"/>
    <mergeCell ref="E55:G55"/>
    <mergeCell ref="A56:C56"/>
    <mergeCell ref="E56:G56"/>
    <mergeCell ref="E57:G57"/>
    <mergeCell ref="E45:G45"/>
    <mergeCell ref="E46:G46"/>
    <mergeCell ref="E47:G47"/>
    <mergeCell ref="E48:G48"/>
    <mergeCell ref="E49:G49"/>
    <mergeCell ref="I41:K41"/>
    <mergeCell ref="I43:J43"/>
    <mergeCell ref="K43:L43"/>
    <mergeCell ref="K34:L34"/>
    <mergeCell ref="M34:N34"/>
    <mergeCell ref="I32:J32"/>
    <mergeCell ref="K32:L32"/>
    <mergeCell ref="M32:N32"/>
    <mergeCell ref="I33:J33"/>
    <mergeCell ref="K33:L33"/>
    <mergeCell ref="M33:N33"/>
    <mergeCell ref="I34:J34"/>
    <mergeCell ref="K31:L31"/>
    <mergeCell ref="M31:N31"/>
    <mergeCell ref="I29:J29"/>
    <mergeCell ref="K29:L29"/>
    <mergeCell ref="M29:N29"/>
    <mergeCell ref="I30:J30"/>
    <mergeCell ref="K30:L30"/>
    <mergeCell ref="M30:N30"/>
    <mergeCell ref="I31:J31"/>
    <mergeCell ref="K28:L28"/>
    <mergeCell ref="M28:N28"/>
    <mergeCell ref="I26:J26"/>
    <mergeCell ref="K26:L26"/>
    <mergeCell ref="M26:N26"/>
    <mergeCell ref="I27:J27"/>
    <mergeCell ref="K27:L27"/>
    <mergeCell ref="M27:N27"/>
    <mergeCell ref="I28:J28"/>
    <mergeCell ref="I21:K21"/>
    <mergeCell ref="K23:L23"/>
    <mergeCell ref="M23:N23"/>
    <mergeCell ref="I23:J23"/>
    <mergeCell ref="I24:J24"/>
    <mergeCell ref="K24:L24"/>
    <mergeCell ref="M24:N24"/>
    <mergeCell ref="I25:J25"/>
    <mergeCell ref="K25:L25"/>
    <mergeCell ref="M25:N25"/>
    <mergeCell ref="E14:G14"/>
    <mergeCell ref="E15:G15"/>
    <mergeCell ref="L15:Q15"/>
    <mergeCell ref="E7:G7"/>
    <mergeCell ref="E8:G8"/>
    <mergeCell ref="E9:G9"/>
    <mergeCell ref="E10:G10"/>
    <mergeCell ref="E11:G11"/>
    <mergeCell ref="E12:G12"/>
    <mergeCell ref="E13:G13"/>
    <mergeCell ref="J12:K12"/>
    <mergeCell ref="J13:K13"/>
    <mergeCell ref="J14:K14"/>
    <mergeCell ref="J15:K15"/>
    <mergeCell ref="H13:I13"/>
    <mergeCell ref="H14:I14"/>
    <mergeCell ref="H15:I15"/>
    <mergeCell ref="H8:I8"/>
    <mergeCell ref="J8:K8"/>
    <mergeCell ref="H9:I9"/>
    <mergeCell ref="J9:K9"/>
    <mergeCell ref="H10:I10"/>
    <mergeCell ref="J10:K10"/>
    <mergeCell ref="J11:K11"/>
    <mergeCell ref="A3:G4"/>
    <mergeCell ref="B5:E5"/>
    <mergeCell ref="H5:J5"/>
    <mergeCell ref="A7:C7"/>
    <mergeCell ref="H7:I7"/>
    <mergeCell ref="J7:K7"/>
    <mergeCell ref="A8:B8"/>
    <mergeCell ref="H11:I11"/>
    <mergeCell ref="H12:I12"/>
    <mergeCell ref="A12:B12"/>
  </mergeCells>
  <phoneticPr fontId="135"/>
  <printOptions horizontalCentered="1" gridLines="1"/>
  <pageMargins left="0.25" right="0.25"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BB828"/>
  <sheetViews>
    <sheetView zoomScale="86" workbookViewId="0">
      <pane xSplit="8" ySplit="1" topLeftCell="I2" activePane="bottomRight" state="frozen"/>
      <selection pane="topRight" activeCell="I1" sqref="I1"/>
      <selection pane="bottomLeft" activeCell="A2" sqref="A2"/>
      <selection pane="bottomRight" activeCell="I11" sqref="I11"/>
    </sheetView>
  </sheetViews>
  <sheetFormatPr defaultColWidth="12.6328125" defaultRowHeight="15" customHeight="1"/>
  <cols>
    <col min="1" max="1" width="10" hidden="1" customWidth="1"/>
    <col min="2" max="2" width="4" customWidth="1"/>
    <col min="3" max="3" width="6.7265625" customWidth="1"/>
    <col min="4" max="4" width="13" customWidth="1"/>
    <col min="5" max="5" width="12.26953125" customWidth="1"/>
    <col min="6" max="6" width="14.26953125" hidden="1" customWidth="1"/>
    <col min="7" max="7" width="28.26953125" customWidth="1"/>
    <col min="8" max="8" width="26.453125" customWidth="1"/>
    <col min="9" max="9" width="8.7265625" customWidth="1"/>
    <col min="10" max="10" width="5.36328125" customWidth="1"/>
    <col min="11" max="11" width="11" customWidth="1"/>
    <col min="12" max="12" width="3.7265625" customWidth="1"/>
    <col min="13" max="13" width="8.7265625" customWidth="1"/>
    <col min="14" max="14" width="12.26953125" customWidth="1"/>
    <col min="15" max="15" width="12.7265625" customWidth="1"/>
    <col min="16" max="16" width="8.453125" customWidth="1"/>
    <col min="17" max="17" width="11.7265625" customWidth="1"/>
    <col min="18" max="18" width="40.36328125" customWidth="1"/>
    <col min="19" max="19" width="11" hidden="1" customWidth="1"/>
    <col min="20" max="20" width="13.6328125" hidden="1" customWidth="1"/>
    <col min="21" max="21" width="18.36328125" hidden="1" customWidth="1"/>
    <col min="22" max="22" width="13.6328125" hidden="1" customWidth="1"/>
    <col min="23" max="23" width="13.90625" hidden="1" customWidth="1"/>
    <col min="24" max="24" width="14.7265625" hidden="1" customWidth="1"/>
    <col min="25" max="25" width="10.36328125" hidden="1" customWidth="1"/>
    <col min="26" max="26" width="26.6328125" hidden="1" customWidth="1"/>
    <col min="27" max="29" width="12.453125" hidden="1" customWidth="1"/>
    <col min="30" max="30" width="12.453125" customWidth="1"/>
    <col min="31" max="31" width="12.90625" customWidth="1"/>
    <col min="32" max="33" width="11" customWidth="1"/>
    <col min="34" max="34" width="14.7265625" customWidth="1"/>
    <col min="35" max="35" width="13.08984375" customWidth="1"/>
    <col min="36" max="36" width="17.453125" customWidth="1"/>
    <col min="37" max="37" width="41.453125" customWidth="1"/>
    <col min="38" max="39" width="32.26953125" hidden="1" customWidth="1"/>
    <col min="40" max="54" width="32.26953125" customWidth="1"/>
  </cols>
  <sheetData>
    <row r="1" spans="1:54" ht="35.25" customHeight="1">
      <c r="A1" s="613" t="s">
        <v>3484</v>
      </c>
      <c r="B1" s="613" t="s">
        <v>1</v>
      </c>
      <c r="C1" s="2" t="s">
        <v>2</v>
      </c>
      <c r="D1" s="2" t="s">
        <v>3</v>
      </c>
      <c r="E1" s="3" t="s">
        <v>4</v>
      </c>
      <c r="F1" s="19" t="s">
        <v>5</v>
      </c>
      <c r="G1" s="7" t="s">
        <v>6</v>
      </c>
      <c r="H1" s="7" t="s">
        <v>7</v>
      </c>
      <c r="I1" s="7" t="s">
        <v>8</v>
      </c>
      <c r="J1" s="614" t="s">
        <v>9</v>
      </c>
      <c r="K1" s="7" t="s">
        <v>10</v>
      </c>
      <c r="L1" s="614" t="s">
        <v>11</v>
      </c>
      <c r="M1" s="614" t="s">
        <v>12</v>
      </c>
      <c r="N1" s="2" t="s">
        <v>13</v>
      </c>
      <c r="O1" s="7" t="s">
        <v>14</v>
      </c>
      <c r="P1" s="713" t="s">
        <v>15</v>
      </c>
      <c r="Q1" s="13" t="s">
        <v>16</v>
      </c>
      <c r="R1" s="10" t="s">
        <v>17</v>
      </c>
      <c r="S1" s="3" t="s">
        <v>18</v>
      </c>
      <c r="T1" s="7" t="s">
        <v>19</v>
      </c>
      <c r="U1" s="13" t="s">
        <v>20</v>
      </c>
      <c r="V1" s="7" t="s">
        <v>21</v>
      </c>
      <c r="W1" s="13" t="s">
        <v>22</v>
      </c>
      <c r="X1" s="13" t="s">
        <v>23</v>
      </c>
      <c r="Y1" s="14" t="s">
        <v>24</v>
      </c>
      <c r="Z1" s="13" t="s">
        <v>25</v>
      </c>
      <c r="AA1" s="14" t="s">
        <v>26</v>
      </c>
      <c r="AB1" s="14" t="s">
        <v>27</v>
      </c>
      <c r="AC1" s="14" t="s">
        <v>28</v>
      </c>
      <c r="AD1" s="13" t="s">
        <v>29</v>
      </c>
      <c r="AE1" s="13" t="s">
        <v>30</v>
      </c>
      <c r="AF1" s="13" t="s">
        <v>31</v>
      </c>
      <c r="AG1" s="13" t="s">
        <v>32</v>
      </c>
      <c r="AH1" s="13" t="s">
        <v>33</v>
      </c>
      <c r="AI1" s="13" t="s">
        <v>34</v>
      </c>
      <c r="AJ1" s="141" t="s">
        <v>35</v>
      </c>
      <c r="AK1" s="141" t="s">
        <v>41</v>
      </c>
      <c r="AL1" s="20"/>
      <c r="AM1" s="20"/>
      <c r="AN1" s="20"/>
      <c r="AO1" s="20"/>
      <c r="AP1" s="20"/>
      <c r="AQ1" s="20"/>
      <c r="AR1" s="20"/>
      <c r="AS1" s="20"/>
      <c r="AT1" s="20"/>
      <c r="AU1" s="20"/>
      <c r="AV1" s="20"/>
      <c r="AW1" s="20"/>
      <c r="AX1" s="20"/>
      <c r="AY1" s="20"/>
      <c r="AZ1" s="20"/>
      <c r="BA1" s="20"/>
      <c r="BB1" s="20"/>
    </row>
    <row r="2" spans="1:54" ht="52.5" customHeight="1">
      <c r="A2" s="352" t="s">
        <v>3485</v>
      </c>
      <c r="B2" s="22">
        <v>129</v>
      </c>
      <c r="C2" s="714" t="s">
        <v>54</v>
      </c>
      <c r="D2" s="24" t="s">
        <v>55</v>
      </c>
      <c r="E2" s="158" t="s">
        <v>1167</v>
      </c>
      <c r="F2" s="239"/>
      <c r="G2" s="239" t="s">
        <v>3486</v>
      </c>
      <c r="H2" s="137" t="s">
        <v>1170</v>
      </c>
      <c r="I2" s="29" t="s">
        <v>1171</v>
      </c>
      <c r="J2" s="22" t="s">
        <v>60</v>
      </c>
      <c r="K2" s="30">
        <v>35903</v>
      </c>
      <c r="L2" s="22">
        <f t="shared" ref="L2:L7" ca="1" si="0">DATEDIF(K2,TODAY(),"Y")</f>
        <v>28</v>
      </c>
      <c r="M2" s="22" t="s">
        <v>79</v>
      </c>
      <c r="N2" s="22" t="s">
        <v>61</v>
      </c>
      <c r="O2" s="30">
        <v>44978</v>
      </c>
      <c r="P2" s="25" t="s">
        <v>389</v>
      </c>
      <c r="Q2" s="155" t="s">
        <v>81</v>
      </c>
      <c r="R2" s="337" t="s">
        <v>3487</v>
      </c>
      <c r="S2" s="338" t="s">
        <v>3488</v>
      </c>
      <c r="T2" s="289" t="s">
        <v>265</v>
      </c>
      <c r="U2" s="715"/>
      <c r="V2" s="66">
        <v>45729</v>
      </c>
      <c r="W2" s="9" t="s">
        <v>3489</v>
      </c>
      <c r="X2" s="9" t="s">
        <v>1175</v>
      </c>
      <c r="Y2" s="253"/>
      <c r="Z2" s="221" t="s">
        <v>3490</v>
      </c>
      <c r="AA2" s="72"/>
      <c r="AB2" s="72"/>
      <c r="AC2" s="72"/>
      <c r="AD2" s="42">
        <v>45300</v>
      </c>
      <c r="AE2" s="36" t="s">
        <v>3491</v>
      </c>
      <c r="AF2" s="36" t="s">
        <v>3492</v>
      </c>
      <c r="AG2" s="91">
        <v>45362</v>
      </c>
      <c r="AH2" s="22" t="s">
        <v>67</v>
      </c>
      <c r="AI2" s="716" t="s">
        <v>3493</v>
      </c>
      <c r="AJ2" s="333"/>
      <c r="AK2" s="333" t="s">
        <v>3494</v>
      </c>
      <c r="AL2" s="469"/>
      <c r="AM2" s="469"/>
      <c r="AN2" s="469"/>
      <c r="AO2" s="469"/>
      <c r="AP2" s="469"/>
      <c r="AQ2" s="469"/>
      <c r="AR2" s="469"/>
      <c r="AS2" s="469"/>
      <c r="AT2" s="469"/>
      <c r="AU2" s="469"/>
      <c r="AV2" s="469"/>
      <c r="AW2" s="469"/>
      <c r="AX2" s="469"/>
      <c r="AY2" s="469"/>
      <c r="AZ2" s="469"/>
      <c r="BA2" s="469"/>
      <c r="BB2" s="469"/>
    </row>
    <row r="3" spans="1:54" ht="50.25" customHeight="1">
      <c r="A3" s="22"/>
      <c r="B3" s="22">
        <v>19</v>
      </c>
      <c r="C3" s="44" t="s">
        <v>54</v>
      </c>
      <c r="D3" s="45" t="s">
        <v>55</v>
      </c>
      <c r="E3" s="25" t="s">
        <v>236</v>
      </c>
      <c r="F3" s="567" t="s">
        <v>237</v>
      </c>
      <c r="G3" s="402" t="s">
        <v>238</v>
      </c>
      <c r="H3" s="28" t="s">
        <v>239</v>
      </c>
      <c r="I3" s="33" t="s">
        <v>3495</v>
      </c>
      <c r="J3" s="22" t="s">
        <v>60</v>
      </c>
      <c r="K3" s="30">
        <v>33243</v>
      </c>
      <c r="L3" s="22">
        <f t="shared" ca="1" si="0"/>
        <v>35</v>
      </c>
      <c r="M3" s="22" t="s">
        <v>149</v>
      </c>
      <c r="N3" s="22" t="s">
        <v>61</v>
      </c>
      <c r="O3" s="31">
        <v>43729</v>
      </c>
      <c r="P3" s="25" t="s">
        <v>240</v>
      </c>
      <c r="Q3" s="85" t="s">
        <v>81</v>
      </c>
      <c r="R3" s="35" t="s">
        <v>241</v>
      </c>
      <c r="S3" s="25" t="s">
        <v>149</v>
      </c>
      <c r="T3" s="209">
        <v>15000</v>
      </c>
      <c r="U3" s="140">
        <v>45545</v>
      </c>
      <c r="V3" s="30">
        <v>45995</v>
      </c>
      <c r="W3" s="9" t="s">
        <v>3496</v>
      </c>
      <c r="X3" s="9" t="s">
        <v>243</v>
      </c>
      <c r="Y3" s="14"/>
      <c r="Z3" s="15" t="s">
        <v>244</v>
      </c>
      <c r="AA3" s="717" t="s">
        <v>245</v>
      </c>
      <c r="AB3" s="53"/>
      <c r="AC3" s="53"/>
      <c r="AD3" s="36"/>
      <c r="AE3" s="42">
        <v>45707</v>
      </c>
      <c r="AF3" s="42">
        <v>45707</v>
      </c>
      <c r="AG3" s="22"/>
      <c r="AH3" s="103" t="s">
        <v>154</v>
      </c>
      <c r="AI3" s="716" t="s">
        <v>3497</v>
      </c>
      <c r="AJ3" s="168" t="s">
        <v>247</v>
      </c>
      <c r="AK3" s="17"/>
      <c r="AL3" s="622"/>
      <c r="AM3" s="622"/>
      <c r="AN3" s="622"/>
      <c r="AO3" s="576"/>
      <c r="AP3" s="576" t="s">
        <v>3498</v>
      </c>
      <c r="AQ3" s="133"/>
      <c r="AR3" s="133"/>
      <c r="AS3" s="133"/>
      <c r="AT3" s="133"/>
      <c r="AU3" s="133"/>
      <c r="AV3" s="133"/>
      <c r="AW3" s="133"/>
      <c r="AX3" s="133"/>
      <c r="AY3" s="133"/>
      <c r="AZ3" s="133"/>
      <c r="BA3" s="133"/>
      <c r="BB3" s="133"/>
    </row>
    <row r="4" spans="1:54" ht="50.25" customHeight="1">
      <c r="A4" s="22"/>
      <c r="B4" s="22">
        <v>9</v>
      </c>
      <c r="C4" s="84" t="s">
        <v>100</v>
      </c>
      <c r="D4" s="45" t="s">
        <v>55</v>
      </c>
      <c r="E4" s="25" t="s">
        <v>144</v>
      </c>
      <c r="F4" s="46" t="s">
        <v>145</v>
      </c>
      <c r="G4" s="33" t="s">
        <v>146</v>
      </c>
      <c r="H4" s="28" t="s">
        <v>147</v>
      </c>
      <c r="I4" s="33" t="s">
        <v>148</v>
      </c>
      <c r="J4" s="22" t="s">
        <v>60</v>
      </c>
      <c r="K4" s="30">
        <v>36245</v>
      </c>
      <c r="L4" s="22">
        <f t="shared" ca="1" si="0"/>
        <v>27</v>
      </c>
      <c r="M4" s="22" t="s">
        <v>149</v>
      </c>
      <c r="N4" s="22" t="s">
        <v>61</v>
      </c>
      <c r="O4" s="31">
        <v>43435</v>
      </c>
      <c r="P4" s="25" t="s">
        <v>135</v>
      </c>
      <c r="Q4" s="85" t="s">
        <v>81</v>
      </c>
      <c r="R4" s="33" t="s">
        <v>150</v>
      </c>
      <c r="S4" s="25" t="s">
        <v>149</v>
      </c>
      <c r="T4" s="64">
        <v>20000</v>
      </c>
      <c r="U4" s="86">
        <v>45383</v>
      </c>
      <c r="V4" s="98">
        <v>46294</v>
      </c>
      <c r="W4" s="99" t="s">
        <v>151</v>
      </c>
      <c r="X4" s="9" t="s">
        <v>152</v>
      </c>
      <c r="Y4" s="14"/>
      <c r="Z4" s="15" t="s">
        <v>153</v>
      </c>
      <c r="AA4" s="101"/>
      <c r="AB4" s="53" t="s">
        <v>141</v>
      </c>
      <c r="AC4" s="101"/>
      <c r="AD4" s="102"/>
      <c r="AE4" s="559" t="s">
        <v>3499</v>
      </c>
      <c r="AF4" s="339">
        <v>45311</v>
      </c>
      <c r="AG4" s="22"/>
      <c r="AH4" s="22" t="s">
        <v>680</v>
      </c>
      <c r="AI4" s="37"/>
      <c r="AJ4" s="93"/>
      <c r="AK4" s="17"/>
      <c r="AL4" s="67" t="s">
        <v>89</v>
      </c>
      <c r="AM4" s="96" t="s">
        <v>155</v>
      </c>
      <c r="AN4" s="15" t="s">
        <v>156</v>
      </c>
      <c r="AO4" s="67" t="s">
        <v>157</v>
      </c>
      <c r="AP4" s="43" t="s">
        <v>3500</v>
      </c>
      <c r="AQ4" s="718"/>
      <c r="AR4" s="718"/>
      <c r="AS4" s="718"/>
      <c r="AT4" s="718"/>
      <c r="AU4" s="718"/>
      <c r="AV4" s="117"/>
      <c r="AW4" s="117"/>
      <c r="AX4" s="117"/>
      <c r="AY4" s="117"/>
      <c r="AZ4" s="117"/>
      <c r="BA4" s="117"/>
      <c r="BB4" s="117"/>
    </row>
    <row r="5" spans="1:54" ht="50.25" customHeight="1">
      <c r="A5" s="307" t="s">
        <v>643</v>
      </c>
      <c r="B5" s="22">
        <v>96</v>
      </c>
      <c r="C5" s="44" t="s">
        <v>54</v>
      </c>
      <c r="D5" s="45" t="s">
        <v>611</v>
      </c>
      <c r="E5" s="158" t="s">
        <v>865</v>
      </c>
      <c r="F5" s="308" t="s">
        <v>866</v>
      </c>
      <c r="G5" s="28" t="s">
        <v>867</v>
      </c>
      <c r="H5" s="28" t="s">
        <v>868</v>
      </c>
      <c r="I5" s="33"/>
      <c r="J5" s="22" t="s">
        <v>60</v>
      </c>
      <c r="K5" s="30">
        <v>35621</v>
      </c>
      <c r="L5" s="22">
        <f t="shared" ca="1" si="0"/>
        <v>28</v>
      </c>
      <c r="M5" s="22" t="s">
        <v>79</v>
      </c>
      <c r="N5" s="22" t="s">
        <v>617</v>
      </c>
      <c r="O5" s="30">
        <v>45075</v>
      </c>
      <c r="P5" s="25" t="s">
        <v>580</v>
      </c>
      <c r="Q5" s="49" t="s">
        <v>81</v>
      </c>
      <c r="R5" s="33" t="s">
        <v>869</v>
      </c>
      <c r="S5" s="290" t="s">
        <v>149</v>
      </c>
      <c r="T5" s="289">
        <v>20000</v>
      </c>
      <c r="U5" s="140">
        <v>45762</v>
      </c>
      <c r="V5" s="30">
        <v>46184</v>
      </c>
      <c r="W5" s="67" t="s">
        <v>870</v>
      </c>
      <c r="X5" s="9"/>
      <c r="Y5" s="35"/>
      <c r="Z5" s="82" t="s">
        <v>871</v>
      </c>
      <c r="AA5" s="42">
        <v>45555</v>
      </c>
      <c r="AB5" s="36" t="s">
        <v>574</v>
      </c>
      <c r="AC5" s="36"/>
      <c r="AD5" s="102"/>
      <c r="AE5" s="42">
        <v>45783</v>
      </c>
      <c r="AF5" s="42">
        <v>45817</v>
      </c>
      <c r="AG5" s="309"/>
      <c r="AH5" s="103" t="s">
        <v>154</v>
      </c>
      <c r="AI5" s="37"/>
      <c r="AJ5" s="119"/>
      <c r="AK5" s="307" t="s">
        <v>650</v>
      </c>
      <c r="AL5" s="310" t="s">
        <v>89</v>
      </c>
      <c r="AM5" s="241">
        <v>45071</v>
      </c>
      <c r="AN5" s="82" t="s">
        <v>872</v>
      </c>
      <c r="AO5" s="311"/>
      <c r="AP5" s="312" t="s">
        <v>3501</v>
      </c>
      <c r="AQ5" s="719"/>
      <c r="AR5" s="719"/>
      <c r="AS5" s="719"/>
      <c r="AT5" s="719"/>
      <c r="AU5" s="719"/>
      <c r="AV5" s="133"/>
      <c r="AW5" s="133"/>
      <c r="AX5" s="133"/>
      <c r="AY5" s="133"/>
      <c r="AZ5" s="133"/>
      <c r="BA5" s="133"/>
      <c r="BB5" s="133"/>
    </row>
    <row r="6" spans="1:54" ht="44.25" customHeight="1">
      <c r="A6" s="22"/>
      <c r="B6" s="22">
        <v>50</v>
      </c>
      <c r="C6" s="44" t="s">
        <v>54</v>
      </c>
      <c r="D6" s="45" t="s">
        <v>55</v>
      </c>
      <c r="E6" s="206" t="s">
        <v>486</v>
      </c>
      <c r="F6" s="106" t="s">
        <v>487</v>
      </c>
      <c r="G6" s="47" t="s">
        <v>488</v>
      </c>
      <c r="H6" s="28" t="s">
        <v>489</v>
      </c>
      <c r="I6" s="33" t="s">
        <v>211</v>
      </c>
      <c r="J6" s="9" t="s">
        <v>60</v>
      </c>
      <c r="K6" s="197">
        <v>35807</v>
      </c>
      <c r="L6" s="22">
        <f t="shared" ca="1" si="0"/>
        <v>28</v>
      </c>
      <c r="M6" s="22" t="s">
        <v>149</v>
      </c>
      <c r="N6" s="207" t="s">
        <v>471</v>
      </c>
      <c r="O6" s="198">
        <v>44566</v>
      </c>
      <c r="P6" s="25" t="s">
        <v>479</v>
      </c>
      <c r="Q6" s="208" t="s">
        <v>490</v>
      </c>
      <c r="R6" s="35" t="s">
        <v>491</v>
      </c>
      <c r="S6" s="158" t="s">
        <v>82</v>
      </c>
      <c r="T6" s="209">
        <v>20000</v>
      </c>
      <c r="U6" s="204">
        <v>45962</v>
      </c>
      <c r="V6" s="210">
        <v>47102</v>
      </c>
      <c r="W6" s="9" t="s">
        <v>492</v>
      </c>
      <c r="X6" s="9" t="s">
        <v>493</v>
      </c>
      <c r="Y6" s="14"/>
      <c r="Z6" s="15"/>
      <c r="AA6" s="207"/>
      <c r="AB6" s="211"/>
      <c r="AC6" s="53"/>
      <c r="AD6" s="42">
        <v>45756</v>
      </c>
      <c r="AE6" s="42">
        <v>45756</v>
      </c>
      <c r="AF6" s="102">
        <v>45794</v>
      </c>
      <c r="AG6" s="212">
        <v>45796</v>
      </c>
      <c r="AH6" s="103" t="s">
        <v>154</v>
      </c>
      <c r="AI6" s="213"/>
      <c r="AJ6" s="168"/>
      <c r="AK6" s="17"/>
      <c r="AL6" s="67" t="s">
        <v>265</v>
      </c>
      <c r="AM6" s="123"/>
      <c r="AN6" s="123"/>
      <c r="AO6" s="58" t="s">
        <v>91</v>
      </c>
      <c r="AP6" s="43" t="s">
        <v>3502</v>
      </c>
      <c r="AQ6" s="187" t="s">
        <v>495</v>
      </c>
      <c r="AR6" s="187" t="s">
        <v>496</v>
      </c>
      <c r="AS6" s="187"/>
      <c r="AT6" s="187"/>
      <c r="AU6" s="187"/>
      <c r="AV6" s="170"/>
      <c r="AW6" s="170"/>
      <c r="AX6" s="170"/>
      <c r="AY6" s="478"/>
      <c r="AZ6" s="478"/>
      <c r="BA6" s="478"/>
      <c r="BB6" s="478"/>
    </row>
    <row r="7" spans="1:54" ht="50.25" customHeight="1">
      <c r="A7" s="720" t="s">
        <v>664</v>
      </c>
      <c r="B7" s="359">
        <v>112</v>
      </c>
      <c r="C7" s="721" t="s">
        <v>54</v>
      </c>
      <c r="D7" s="361" t="s">
        <v>611</v>
      </c>
      <c r="E7" s="722" t="s">
        <v>1008</v>
      </c>
      <c r="F7" s="363" t="s">
        <v>1009</v>
      </c>
      <c r="G7" s="365" t="s">
        <v>1010</v>
      </c>
      <c r="H7" s="365" t="s">
        <v>1011</v>
      </c>
      <c r="I7" s="364"/>
      <c r="J7" s="359" t="s">
        <v>60</v>
      </c>
      <c r="K7" s="366">
        <v>38049</v>
      </c>
      <c r="L7" s="359">
        <f t="shared" ca="1" si="0"/>
        <v>22</v>
      </c>
      <c r="M7" s="359" t="s">
        <v>79</v>
      </c>
      <c r="N7" s="359" t="s">
        <v>617</v>
      </c>
      <c r="O7" s="366">
        <v>45210</v>
      </c>
      <c r="P7" s="362" t="s">
        <v>588</v>
      </c>
      <c r="Q7" s="723" t="s">
        <v>81</v>
      </c>
      <c r="R7" s="364" t="s">
        <v>1012</v>
      </c>
      <c r="S7" s="362" t="s">
        <v>149</v>
      </c>
      <c r="T7" s="724">
        <v>0</v>
      </c>
      <c r="U7" s="725">
        <v>45908</v>
      </c>
      <c r="V7" s="366">
        <v>46359</v>
      </c>
      <c r="W7" s="369" t="s">
        <v>1013</v>
      </c>
      <c r="X7" s="369"/>
      <c r="Y7" s="370"/>
      <c r="Z7" s="370" t="s">
        <v>1014</v>
      </c>
      <c r="AA7" s="724"/>
      <c r="AB7" s="724"/>
      <c r="AC7" s="724"/>
      <c r="AD7" s="724"/>
      <c r="AE7" s="726">
        <v>45878</v>
      </c>
      <c r="AF7" s="726">
        <v>45912</v>
      </c>
      <c r="AG7" s="359"/>
      <c r="AH7" s="727" t="s">
        <v>154</v>
      </c>
      <c r="AI7" s="725">
        <v>46101</v>
      </c>
      <c r="AJ7" s="728" t="s">
        <v>3503</v>
      </c>
      <c r="AK7" s="720" t="s">
        <v>671</v>
      </c>
      <c r="AL7" s="369" t="s">
        <v>89</v>
      </c>
      <c r="AM7" s="729">
        <v>45207</v>
      </c>
      <c r="AN7" s="370" t="s">
        <v>994</v>
      </c>
      <c r="AO7" s="370"/>
      <c r="AP7" s="370" t="s">
        <v>3504</v>
      </c>
      <c r="AQ7" s="370" t="s">
        <v>1017</v>
      </c>
      <c r="AR7" s="370"/>
      <c r="AS7" s="370"/>
      <c r="AT7" s="370"/>
      <c r="AU7" s="370"/>
      <c r="AV7" s="730"/>
      <c r="AW7" s="730"/>
      <c r="AX7" s="730"/>
      <c r="AY7" s="730"/>
      <c r="AZ7" s="730"/>
      <c r="BA7" s="730"/>
      <c r="BB7" s="730"/>
    </row>
    <row r="10" spans="1:54" ht="50.25" customHeight="1">
      <c r="A10" s="22"/>
      <c r="B10" s="22">
        <v>28</v>
      </c>
      <c r="C10" s="84" t="s">
        <v>100</v>
      </c>
      <c r="D10" s="45" t="s">
        <v>55</v>
      </c>
      <c r="E10" s="25" t="s">
        <v>320</v>
      </c>
      <c r="F10" s="731" t="s">
        <v>321</v>
      </c>
      <c r="G10" s="33" t="s">
        <v>322</v>
      </c>
      <c r="H10" s="28" t="s">
        <v>323</v>
      </c>
      <c r="I10" s="33" t="s">
        <v>324</v>
      </c>
      <c r="J10" s="22" t="s">
        <v>261</v>
      </c>
      <c r="K10" s="30">
        <v>34747</v>
      </c>
      <c r="L10" s="22">
        <f t="shared" ref="L10:L18" ca="1" si="1">DATEDIF(K10,TODAY(),"Y")</f>
        <v>31</v>
      </c>
      <c r="M10" s="22"/>
      <c r="N10" s="22" t="s">
        <v>61</v>
      </c>
      <c r="O10" s="31">
        <v>44119</v>
      </c>
      <c r="P10" s="25" t="s">
        <v>325</v>
      </c>
      <c r="Q10" s="49" t="s">
        <v>81</v>
      </c>
      <c r="R10" s="28" t="s">
        <v>119</v>
      </c>
      <c r="S10" s="25" t="s">
        <v>82</v>
      </c>
      <c r="T10" s="64">
        <v>20000</v>
      </c>
      <c r="U10" s="86">
        <v>45484</v>
      </c>
      <c r="V10" s="732">
        <v>45912</v>
      </c>
      <c r="W10" s="332" t="s">
        <v>326</v>
      </c>
      <c r="X10" s="9" t="s">
        <v>327</v>
      </c>
      <c r="Y10" s="172"/>
      <c r="Z10" s="137" t="s">
        <v>328</v>
      </c>
      <c r="AA10" s="90"/>
      <c r="AB10" s="90"/>
      <c r="AC10" s="90"/>
      <c r="AD10" s="42">
        <v>45306</v>
      </c>
      <c r="AE10" s="42">
        <v>45306</v>
      </c>
      <c r="AF10" s="90">
        <v>45341</v>
      </c>
      <c r="AG10" s="30">
        <v>45343</v>
      </c>
      <c r="AH10" s="22" t="s">
        <v>67</v>
      </c>
      <c r="AI10" s="92">
        <v>45904</v>
      </c>
      <c r="AJ10" s="119"/>
      <c r="AK10" s="88" t="s">
        <v>3505</v>
      </c>
      <c r="AL10" s="622"/>
      <c r="AM10" s="622"/>
      <c r="AN10" s="622"/>
      <c r="AO10" s="576" t="s">
        <v>3506</v>
      </c>
      <c r="AP10" s="170"/>
      <c r="AQ10" s="170"/>
      <c r="AR10" s="170"/>
      <c r="AS10" s="170"/>
      <c r="AT10" s="170"/>
      <c r="AU10" s="170"/>
      <c r="AV10" s="170"/>
      <c r="AW10" s="170"/>
      <c r="AX10" s="170"/>
      <c r="AY10" s="170"/>
      <c r="AZ10" s="170"/>
      <c r="BA10" s="170"/>
      <c r="BB10" s="170"/>
    </row>
    <row r="11" spans="1:54" ht="50.25" customHeight="1">
      <c r="A11" s="22" t="e">
        <f ca="1">_xludf.IMAGE("F96",1)</f>
        <v>#NAME?</v>
      </c>
      <c r="B11" s="22">
        <v>3</v>
      </c>
      <c r="C11" s="44" t="s">
        <v>54</v>
      </c>
      <c r="D11" s="45" t="s">
        <v>55</v>
      </c>
      <c r="E11" s="25" t="s">
        <v>74</v>
      </c>
      <c r="F11" s="46" t="s">
        <v>75</v>
      </c>
      <c r="G11" s="47" t="s">
        <v>76</v>
      </c>
      <c r="H11" s="28" t="s">
        <v>77</v>
      </c>
      <c r="I11" s="33" t="s">
        <v>78</v>
      </c>
      <c r="J11" s="22" t="s">
        <v>60</v>
      </c>
      <c r="K11" s="30">
        <v>31664</v>
      </c>
      <c r="L11" s="22">
        <f t="shared" ca="1" si="1"/>
        <v>39</v>
      </c>
      <c r="M11" s="22" t="s">
        <v>79</v>
      </c>
      <c r="N11" s="22" t="s">
        <v>61</v>
      </c>
      <c r="O11" s="48">
        <v>43040</v>
      </c>
      <c r="P11" s="25" t="s">
        <v>80</v>
      </c>
      <c r="Q11" s="49" t="s">
        <v>81</v>
      </c>
      <c r="R11" s="33" t="s">
        <v>64</v>
      </c>
      <c r="S11" s="22" t="s">
        <v>82</v>
      </c>
      <c r="T11" s="50">
        <v>20000</v>
      </c>
      <c r="U11" s="51">
        <v>45569</v>
      </c>
      <c r="V11" s="30">
        <v>46327</v>
      </c>
      <c r="W11" s="9" t="s">
        <v>83</v>
      </c>
      <c r="X11" s="9" t="s">
        <v>84</v>
      </c>
      <c r="Y11" s="9"/>
      <c r="Z11" s="15" t="s">
        <v>3507</v>
      </c>
      <c r="AA11" s="53"/>
      <c r="AB11" s="53"/>
      <c r="AC11" s="53"/>
      <c r="AD11" s="36"/>
      <c r="AE11" s="42">
        <v>45711</v>
      </c>
      <c r="AF11" s="42">
        <v>45732</v>
      </c>
      <c r="AG11" s="22"/>
      <c r="AH11" s="22" t="s">
        <v>67</v>
      </c>
      <c r="AI11" s="204">
        <v>46066</v>
      </c>
      <c r="AJ11" s="168" t="s">
        <v>3508</v>
      </c>
      <c r="AK11" s="17"/>
      <c r="AL11" s="9" t="s">
        <v>89</v>
      </c>
      <c r="AM11" s="57">
        <v>44866</v>
      </c>
      <c r="AN11" s="15" t="s">
        <v>3509</v>
      </c>
      <c r="AO11" s="58" t="s">
        <v>91</v>
      </c>
      <c r="AP11" s="59" t="s">
        <v>3510</v>
      </c>
      <c r="AQ11" s="733"/>
      <c r="AR11" s="733"/>
      <c r="AS11" s="733"/>
      <c r="AT11" s="733"/>
      <c r="AU11" s="733"/>
      <c r="AV11" s="62"/>
      <c r="AW11" s="62"/>
      <c r="AX11" s="62"/>
      <c r="AY11" s="62"/>
      <c r="AZ11" s="62"/>
      <c r="BA11" s="62"/>
      <c r="BB11" s="62"/>
    </row>
    <row r="12" spans="1:54" ht="50.25" customHeight="1">
      <c r="A12" s="720" t="s">
        <v>664</v>
      </c>
      <c r="B12" s="359">
        <v>112</v>
      </c>
      <c r="C12" s="721" t="s">
        <v>54</v>
      </c>
      <c r="D12" s="361" t="s">
        <v>611</v>
      </c>
      <c r="E12" s="722" t="s">
        <v>1008</v>
      </c>
      <c r="F12" s="363" t="s">
        <v>1009</v>
      </c>
      <c r="G12" s="365" t="s">
        <v>1010</v>
      </c>
      <c r="H12" s="365" t="s">
        <v>1011</v>
      </c>
      <c r="I12" s="364"/>
      <c r="J12" s="359" t="s">
        <v>60</v>
      </c>
      <c r="K12" s="366">
        <v>38049</v>
      </c>
      <c r="L12" s="359">
        <f t="shared" ca="1" si="1"/>
        <v>22</v>
      </c>
      <c r="M12" s="359" t="s">
        <v>79</v>
      </c>
      <c r="N12" s="359" t="s">
        <v>617</v>
      </c>
      <c r="O12" s="366">
        <v>45210</v>
      </c>
      <c r="P12" s="362" t="s">
        <v>588</v>
      </c>
      <c r="Q12" s="723" t="s">
        <v>81</v>
      </c>
      <c r="R12" s="364" t="s">
        <v>1012</v>
      </c>
      <c r="S12" s="362" t="s">
        <v>149</v>
      </c>
      <c r="T12" s="724">
        <v>0</v>
      </c>
      <c r="U12" s="725">
        <v>45908</v>
      </c>
      <c r="V12" s="366">
        <v>46359</v>
      </c>
      <c r="W12" s="369" t="s">
        <v>1013</v>
      </c>
      <c r="X12" s="369"/>
      <c r="Y12" s="370"/>
      <c r="Z12" s="370" t="s">
        <v>1014</v>
      </c>
      <c r="AA12" s="724"/>
      <c r="AB12" s="724"/>
      <c r="AC12" s="724"/>
      <c r="AD12" s="724"/>
      <c r="AE12" s="726">
        <v>45878</v>
      </c>
      <c r="AF12" s="726">
        <v>45912</v>
      </c>
      <c r="AG12" s="359"/>
      <c r="AH12" s="359" t="s">
        <v>1068</v>
      </c>
      <c r="AI12" s="725">
        <v>46101</v>
      </c>
      <c r="AJ12" s="371" t="s">
        <v>3511</v>
      </c>
      <c r="AK12" s="720" t="s">
        <v>671</v>
      </c>
      <c r="AL12" s="369" t="s">
        <v>89</v>
      </c>
      <c r="AM12" s="729">
        <v>45207</v>
      </c>
      <c r="AN12" s="370" t="s">
        <v>994</v>
      </c>
      <c r="AO12" s="370"/>
      <c r="AP12" s="370" t="s">
        <v>3512</v>
      </c>
      <c r="AQ12" s="370" t="s">
        <v>1017</v>
      </c>
      <c r="AR12" s="370"/>
      <c r="AS12" s="370"/>
      <c r="AT12" s="370"/>
      <c r="AU12" s="370"/>
      <c r="AV12" s="730"/>
      <c r="AW12" s="730"/>
      <c r="AX12" s="730"/>
      <c r="AY12" s="730"/>
      <c r="AZ12" s="730"/>
      <c r="BA12" s="730"/>
      <c r="BB12" s="730"/>
    </row>
    <row r="13" spans="1:54" ht="50.25" customHeight="1">
      <c r="A13" s="157"/>
      <c r="B13" s="22">
        <v>146</v>
      </c>
      <c r="C13" s="84" t="s">
        <v>100</v>
      </c>
      <c r="D13" s="136" t="s">
        <v>55</v>
      </c>
      <c r="E13" s="260" t="s">
        <v>1346</v>
      </c>
      <c r="F13" s="106" t="s">
        <v>1347</v>
      </c>
      <c r="G13" s="137" t="s">
        <v>1348</v>
      </c>
      <c r="H13" s="137" t="s">
        <v>1349</v>
      </c>
      <c r="I13" s="137" t="s">
        <v>382</v>
      </c>
      <c r="J13" s="45" t="s">
        <v>60</v>
      </c>
      <c r="K13" s="383">
        <v>38293</v>
      </c>
      <c r="L13" s="22">
        <f t="shared" ca="1" si="1"/>
        <v>21</v>
      </c>
      <c r="M13" s="22" t="s">
        <v>134</v>
      </c>
      <c r="N13" s="45" t="s">
        <v>1350</v>
      </c>
      <c r="O13" s="259">
        <v>45086</v>
      </c>
      <c r="P13" s="260" t="s">
        <v>1351</v>
      </c>
      <c r="Q13" s="384" t="s">
        <v>199</v>
      </c>
      <c r="R13" s="28" t="s">
        <v>1352</v>
      </c>
      <c r="S13" s="260" t="s">
        <v>137</v>
      </c>
      <c r="T13" s="64">
        <v>10000</v>
      </c>
      <c r="U13" s="162">
        <v>44876</v>
      </c>
      <c r="V13" s="734">
        <v>46172</v>
      </c>
      <c r="W13" s="392" t="s">
        <v>1353</v>
      </c>
      <c r="X13" s="387"/>
      <c r="Y13" s="388"/>
      <c r="Z13" s="137" t="s">
        <v>1354</v>
      </c>
      <c r="AA13" s="17"/>
      <c r="AB13" s="53"/>
      <c r="AC13" s="53"/>
      <c r="AD13" s="36"/>
      <c r="AE13" s="36"/>
      <c r="AF13" s="36"/>
      <c r="AG13" s="22"/>
      <c r="AH13" s="22" t="s">
        <v>1068</v>
      </c>
      <c r="AI13" s="331">
        <v>46150</v>
      </c>
      <c r="AJ13" s="93" t="s">
        <v>1355</v>
      </c>
      <c r="AK13" s="17"/>
      <c r="AL13" s="67"/>
      <c r="AM13" s="67" t="s">
        <v>265</v>
      </c>
      <c r="AN13" s="67" t="s">
        <v>265</v>
      </c>
      <c r="AO13" s="82"/>
      <c r="AP13" s="82" t="s">
        <v>3513</v>
      </c>
      <c r="AQ13" s="123"/>
      <c r="AR13" s="123"/>
      <c r="AS13" s="123"/>
      <c r="AT13" s="123"/>
      <c r="AU13" s="123"/>
      <c r="AV13" s="62"/>
      <c r="AW13" s="62"/>
      <c r="AX13" s="62"/>
      <c r="AY13" s="62"/>
      <c r="AZ13" s="62"/>
      <c r="BA13" s="62"/>
      <c r="BB13" s="62"/>
    </row>
    <row r="14" spans="1:54" ht="50.25" customHeight="1">
      <c r="A14" s="390"/>
      <c r="B14" s="22">
        <v>152</v>
      </c>
      <c r="C14" s="109" t="s">
        <v>175</v>
      </c>
      <c r="D14" s="45" t="s">
        <v>55</v>
      </c>
      <c r="E14" s="111" t="s">
        <v>1408</v>
      </c>
      <c r="F14" s="171" t="s">
        <v>1409</v>
      </c>
      <c r="G14" s="137" t="s">
        <v>1410</v>
      </c>
      <c r="H14" s="28" t="s">
        <v>1411</v>
      </c>
      <c r="I14" s="88" t="s">
        <v>1412</v>
      </c>
      <c r="J14" s="136" t="s">
        <v>60</v>
      </c>
      <c r="K14" s="89">
        <v>37596</v>
      </c>
      <c r="L14" s="22">
        <f t="shared" ca="1" si="1"/>
        <v>23</v>
      </c>
      <c r="M14" s="22"/>
      <c r="N14" s="22" t="s">
        <v>61</v>
      </c>
      <c r="O14" s="259">
        <v>45159</v>
      </c>
      <c r="P14" s="260" t="s">
        <v>1413</v>
      </c>
      <c r="Q14" s="384" t="s">
        <v>199</v>
      </c>
      <c r="R14" s="33" t="s">
        <v>136</v>
      </c>
      <c r="S14" s="111" t="s">
        <v>400</v>
      </c>
      <c r="T14" s="64">
        <v>10000</v>
      </c>
      <c r="U14" s="391">
        <v>44986</v>
      </c>
      <c r="V14" s="66">
        <v>46225</v>
      </c>
      <c r="W14" s="392" t="s">
        <v>1414</v>
      </c>
      <c r="X14" s="16"/>
      <c r="Y14" s="393"/>
      <c r="Z14" s="282" t="s">
        <v>1415</v>
      </c>
      <c r="AA14" s="17"/>
      <c r="AB14" s="53"/>
      <c r="AC14" s="17" t="s">
        <v>1416</v>
      </c>
      <c r="AD14" s="36"/>
      <c r="AE14" s="36"/>
      <c r="AF14" s="36"/>
      <c r="AG14" s="22"/>
      <c r="AH14" s="22" t="s">
        <v>1068</v>
      </c>
      <c r="AI14" s="245">
        <v>46192</v>
      </c>
      <c r="AJ14" s="93" t="s">
        <v>3514</v>
      </c>
      <c r="AK14" s="16" t="s">
        <v>3515</v>
      </c>
      <c r="AL14" s="67"/>
      <c r="AM14" s="67" t="s">
        <v>265</v>
      </c>
      <c r="AN14" s="67" t="s">
        <v>265</v>
      </c>
      <c r="AO14" s="82"/>
      <c r="AP14" s="82" t="s">
        <v>1426</v>
      </c>
      <c r="AQ14" s="131"/>
      <c r="AR14" s="131"/>
      <c r="AS14" s="131"/>
      <c r="AT14" s="131"/>
      <c r="AU14" s="131"/>
      <c r="AV14" s="186"/>
      <c r="AW14" s="186"/>
      <c r="AX14" s="186"/>
      <c r="AY14" s="186"/>
      <c r="AZ14" s="186"/>
      <c r="BA14" s="186"/>
      <c r="BB14" s="186"/>
    </row>
    <row r="15" spans="1:54" ht="51.75" customHeight="1">
      <c r="A15" s="735"/>
      <c r="B15" s="359">
        <v>198</v>
      </c>
      <c r="C15" s="736" t="s">
        <v>54</v>
      </c>
      <c r="D15" s="361" t="s">
        <v>55</v>
      </c>
      <c r="E15" s="362" t="s">
        <v>1830</v>
      </c>
      <c r="F15" s="737" t="s">
        <v>1831</v>
      </c>
      <c r="G15" s="364" t="s">
        <v>1832</v>
      </c>
      <c r="H15" s="738" t="s">
        <v>1833</v>
      </c>
      <c r="I15" s="739"/>
      <c r="J15" s="359" t="s">
        <v>60</v>
      </c>
      <c r="K15" s="366">
        <v>32413</v>
      </c>
      <c r="L15" s="740">
        <f t="shared" ca="1" si="1"/>
        <v>37</v>
      </c>
      <c r="M15" s="359" t="s">
        <v>134</v>
      </c>
      <c r="N15" s="359" t="s">
        <v>471</v>
      </c>
      <c r="O15" s="741">
        <v>45733</v>
      </c>
      <c r="P15" s="742">
        <v>47543</v>
      </c>
      <c r="Q15" s="743" t="s">
        <v>81</v>
      </c>
      <c r="R15" s="370" t="s">
        <v>445</v>
      </c>
      <c r="S15" s="362" t="s">
        <v>82</v>
      </c>
      <c r="T15" s="744">
        <v>15000</v>
      </c>
      <c r="U15" s="745">
        <v>45646</v>
      </c>
      <c r="V15" s="366">
        <v>46094</v>
      </c>
      <c r="W15" s="369" t="s">
        <v>1834</v>
      </c>
      <c r="X15" s="369"/>
      <c r="Y15" s="366">
        <v>45726</v>
      </c>
      <c r="Z15" s="364" t="s">
        <v>1835</v>
      </c>
      <c r="AA15" s="366"/>
      <c r="AB15" s="366"/>
      <c r="AC15" s="726"/>
      <c r="AD15" s="726"/>
      <c r="AE15" s="726"/>
      <c r="AF15" s="726"/>
      <c r="AG15" s="366"/>
      <c r="AH15" s="359" t="s">
        <v>1068</v>
      </c>
      <c r="AI15" s="746">
        <v>46105</v>
      </c>
      <c r="AJ15" s="747" t="s">
        <v>600</v>
      </c>
      <c r="AK15" s="735"/>
      <c r="AL15" s="748"/>
      <c r="AM15" s="749"/>
      <c r="AN15" s="749"/>
      <c r="AO15" s="750"/>
      <c r="AP15" s="750" t="s">
        <v>1836</v>
      </c>
      <c r="AQ15" s="751"/>
      <c r="AR15" s="751"/>
      <c r="AS15" s="751"/>
      <c r="AT15" s="751"/>
      <c r="AU15" s="751"/>
      <c r="AV15" s="752"/>
      <c r="AW15" s="752"/>
      <c r="AX15" s="752"/>
      <c r="AY15" s="753"/>
      <c r="AZ15" s="753"/>
      <c r="BA15" s="753"/>
      <c r="BB15" s="753"/>
    </row>
    <row r="16" spans="1:54" ht="51.75" customHeight="1">
      <c r="A16" s="264" t="s">
        <v>673</v>
      </c>
      <c r="B16" s="22">
        <v>113</v>
      </c>
      <c r="C16" s="44" t="s">
        <v>54</v>
      </c>
      <c r="D16" s="45" t="s">
        <v>611</v>
      </c>
      <c r="E16" s="158" t="s">
        <v>1018</v>
      </c>
      <c r="F16" s="106" t="s">
        <v>1019</v>
      </c>
      <c r="G16" s="137" t="s">
        <v>1020</v>
      </c>
      <c r="H16" s="137" t="s">
        <v>1021</v>
      </c>
      <c r="I16" s="33" t="s">
        <v>1022</v>
      </c>
      <c r="J16" s="22" t="s">
        <v>60</v>
      </c>
      <c r="K16" s="30">
        <v>36058</v>
      </c>
      <c r="L16" s="22">
        <f t="shared" ca="1" si="1"/>
        <v>27</v>
      </c>
      <c r="M16" s="22"/>
      <c r="N16" s="22" t="s">
        <v>617</v>
      </c>
      <c r="O16" s="30">
        <v>45210</v>
      </c>
      <c r="P16" s="25" t="s">
        <v>588</v>
      </c>
      <c r="Q16" s="49" t="s">
        <v>81</v>
      </c>
      <c r="R16" s="33" t="s">
        <v>920</v>
      </c>
      <c r="S16" s="25" t="s">
        <v>1023</v>
      </c>
      <c r="T16" s="36">
        <v>10000</v>
      </c>
      <c r="U16" s="51">
        <v>45908</v>
      </c>
      <c r="V16" s="89">
        <v>46359</v>
      </c>
      <c r="W16" s="141" t="s">
        <v>1024</v>
      </c>
      <c r="X16" s="9"/>
      <c r="Y16" s="59"/>
      <c r="Z16" s="115" t="s">
        <v>1025</v>
      </c>
      <c r="AA16" s="17"/>
      <c r="AB16" s="53"/>
      <c r="AC16" s="53"/>
      <c r="AD16" s="36"/>
      <c r="AE16" s="102">
        <v>46005</v>
      </c>
      <c r="AF16" s="42">
        <v>46032</v>
      </c>
      <c r="AG16" s="22"/>
      <c r="AH16" s="22" t="s">
        <v>1068</v>
      </c>
      <c r="AI16" s="331">
        <v>46132</v>
      </c>
      <c r="AJ16" s="93" t="s">
        <v>600</v>
      </c>
      <c r="AK16" s="264" t="s">
        <v>681</v>
      </c>
      <c r="AL16" s="9" t="s">
        <v>89</v>
      </c>
      <c r="AM16" s="197">
        <v>45207</v>
      </c>
      <c r="AN16" s="35" t="s">
        <v>994</v>
      </c>
      <c r="AO16" s="35"/>
      <c r="AP16" s="35" t="s">
        <v>1026</v>
      </c>
      <c r="AQ16" s="298" t="s">
        <v>1027</v>
      </c>
      <c r="AR16" s="298"/>
      <c r="AS16" s="298"/>
      <c r="AT16" s="298"/>
      <c r="AU16" s="298"/>
      <c r="AV16" s="244"/>
      <c r="AW16" s="244"/>
      <c r="AX16" s="719"/>
      <c r="AY16" s="62"/>
      <c r="AZ16" s="62"/>
      <c r="BA16" s="62"/>
      <c r="BB16" s="62"/>
    </row>
    <row r="17" spans="1:54" ht="48.75" customHeight="1">
      <c r="B17" s="22">
        <v>121</v>
      </c>
      <c r="C17" s="44" t="s">
        <v>54</v>
      </c>
      <c r="D17" s="45" t="s">
        <v>611</v>
      </c>
      <c r="E17" s="158" t="s">
        <v>1089</v>
      </c>
      <c r="F17" s="106" t="s">
        <v>1090</v>
      </c>
      <c r="G17" s="137" t="s">
        <v>1091</v>
      </c>
      <c r="H17" s="137" t="s">
        <v>1092</v>
      </c>
      <c r="I17" s="33"/>
      <c r="J17" s="22" t="s">
        <v>60</v>
      </c>
      <c r="K17" s="30">
        <v>35433</v>
      </c>
      <c r="L17" s="22">
        <f t="shared" ca="1" si="1"/>
        <v>29</v>
      </c>
      <c r="M17" s="22" t="s">
        <v>79</v>
      </c>
      <c r="N17" s="22" t="s">
        <v>617</v>
      </c>
      <c r="O17" s="30">
        <v>45216</v>
      </c>
      <c r="P17" s="25" t="s">
        <v>588</v>
      </c>
      <c r="Q17" s="49" t="s">
        <v>81</v>
      </c>
      <c r="R17" s="33" t="s">
        <v>630</v>
      </c>
      <c r="S17" s="25" t="s">
        <v>1093</v>
      </c>
      <c r="T17" s="289">
        <v>15000</v>
      </c>
      <c r="U17" s="51">
        <v>45908</v>
      </c>
      <c r="V17" s="89">
        <v>46359</v>
      </c>
      <c r="W17" s="141" t="s">
        <v>1094</v>
      </c>
      <c r="X17" s="9"/>
      <c r="Y17" s="59"/>
      <c r="Z17" s="15" t="s">
        <v>1095</v>
      </c>
      <c r="AA17" s="100">
        <v>45931</v>
      </c>
      <c r="AB17" s="53"/>
      <c r="AC17" s="53"/>
      <c r="AD17" s="36"/>
      <c r="AE17" s="177">
        <v>46005</v>
      </c>
      <c r="AF17" s="178">
        <v>46032</v>
      </c>
      <c r="AG17" s="22"/>
      <c r="AH17" s="22" t="s">
        <v>1068</v>
      </c>
      <c r="AI17" s="331">
        <v>46132</v>
      </c>
      <c r="AJ17" s="93" t="s">
        <v>600</v>
      </c>
      <c r="AK17" s="264" t="s">
        <v>671</v>
      </c>
      <c r="AL17" s="9" t="s">
        <v>89</v>
      </c>
      <c r="AM17" s="332"/>
      <c r="AN17" s="316" t="s">
        <v>994</v>
      </c>
      <c r="AO17" s="35"/>
      <c r="AP17" s="35" t="s">
        <v>1096</v>
      </c>
      <c r="AQ17" s="35" t="s">
        <v>1097</v>
      </c>
      <c r="AR17" s="35"/>
      <c r="AS17" s="35"/>
      <c r="AT17" s="35"/>
      <c r="AU17" s="35"/>
      <c r="AV17" s="217"/>
      <c r="AW17" s="217"/>
      <c r="AX17" s="719"/>
      <c r="AY17" s="719"/>
      <c r="AZ17" s="719"/>
      <c r="BA17" s="719"/>
      <c r="BB17" s="719"/>
    </row>
    <row r="18" spans="1:54" ht="48.75" customHeight="1">
      <c r="B18" s="17">
        <v>172</v>
      </c>
      <c r="C18" s="44" t="s">
        <v>54</v>
      </c>
      <c r="D18" s="45" t="s">
        <v>611</v>
      </c>
      <c r="E18" s="111" t="s">
        <v>1605</v>
      </c>
      <c r="G18" s="33" t="s">
        <v>1607</v>
      </c>
      <c r="H18" s="28" t="s">
        <v>1608</v>
      </c>
      <c r="I18" s="33" t="s">
        <v>1609</v>
      </c>
      <c r="J18" s="22" t="s">
        <v>261</v>
      </c>
      <c r="K18" s="30">
        <v>35739</v>
      </c>
      <c r="L18" s="22">
        <f t="shared" ca="1" si="1"/>
        <v>28</v>
      </c>
      <c r="M18" s="22" t="s">
        <v>134</v>
      </c>
      <c r="N18" s="22" t="s">
        <v>617</v>
      </c>
      <c r="O18" s="30">
        <v>45594</v>
      </c>
      <c r="P18" s="446">
        <v>47362</v>
      </c>
      <c r="Q18" s="85" t="s">
        <v>81</v>
      </c>
      <c r="R18" s="124" t="s">
        <v>553</v>
      </c>
      <c r="S18" s="158" t="s">
        <v>82</v>
      </c>
      <c r="T18" s="209">
        <v>15000</v>
      </c>
      <c r="U18" s="425">
        <v>45870</v>
      </c>
      <c r="V18" s="30">
        <v>46322</v>
      </c>
      <c r="W18" s="9" t="s">
        <v>1610</v>
      </c>
      <c r="X18" s="9"/>
      <c r="Y18" s="22"/>
      <c r="Z18" s="88" t="s">
        <v>1611</v>
      </c>
      <c r="AA18" s="30"/>
      <c r="AB18" s="30"/>
      <c r="AC18" s="42"/>
      <c r="AD18" s="42"/>
      <c r="AE18" s="42"/>
      <c r="AF18" s="42"/>
      <c r="AG18" s="30"/>
      <c r="AH18" s="22" t="s">
        <v>1068</v>
      </c>
      <c r="AI18" s="331">
        <v>46132</v>
      </c>
      <c r="AJ18" s="93" t="s">
        <v>600</v>
      </c>
      <c r="AK18" s="264" t="s">
        <v>650</v>
      </c>
      <c r="AL18" s="67" t="s">
        <v>265</v>
      </c>
      <c r="AM18" s="258"/>
      <c r="AN18" s="67" t="s">
        <v>265</v>
      </c>
      <c r="AO18" s="123"/>
      <c r="AP18" s="123"/>
      <c r="AQ18" s="43" t="s">
        <v>1612</v>
      </c>
      <c r="AR18" s="43"/>
      <c r="AS18" s="43"/>
      <c r="AT18" s="43"/>
      <c r="AU18" s="43"/>
      <c r="AV18" s="719"/>
      <c r="AW18" s="719"/>
      <c r="AX18" s="217"/>
    </row>
    <row r="20" spans="1:54" ht="50.25" customHeight="1">
      <c r="A20" s="22"/>
      <c r="B20" s="22">
        <v>130</v>
      </c>
      <c r="C20" s="44" t="s">
        <v>54</v>
      </c>
      <c r="D20" s="45" t="s">
        <v>55</v>
      </c>
      <c r="E20" s="283" t="s">
        <v>1181</v>
      </c>
      <c r="F20" s="754" t="s">
        <v>1182</v>
      </c>
      <c r="G20" s="33" t="s">
        <v>1183</v>
      </c>
      <c r="H20" s="28" t="s">
        <v>1184</v>
      </c>
      <c r="I20" s="33" t="s">
        <v>1185</v>
      </c>
      <c r="J20" s="22" t="s">
        <v>261</v>
      </c>
      <c r="K20" s="30">
        <v>34053</v>
      </c>
      <c r="L20" s="22">
        <f ca="1">DATEDIF(K20,TODAY(),"Y")</f>
        <v>33</v>
      </c>
      <c r="M20" s="22" t="s">
        <v>149</v>
      </c>
      <c r="N20" s="22" t="s">
        <v>61</v>
      </c>
      <c r="O20" s="31">
        <v>45301</v>
      </c>
      <c r="P20" s="25" t="s">
        <v>605</v>
      </c>
      <c r="Q20" s="49" t="s">
        <v>81</v>
      </c>
      <c r="R20" s="341" t="s">
        <v>241</v>
      </c>
      <c r="S20" s="158" t="s">
        <v>149</v>
      </c>
      <c r="T20" s="209">
        <v>0</v>
      </c>
      <c r="U20" s="162">
        <v>45611</v>
      </c>
      <c r="V20" s="91">
        <v>46036</v>
      </c>
      <c r="W20" s="14" t="s">
        <v>3516</v>
      </c>
      <c r="X20" s="9" t="s">
        <v>1188</v>
      </c>
      <c r="Y20" s="59"/>
      <c r="Z20" s="15" t="s">
        <v>1189</v>
      </c>
      <c r="AA20" s="88" t="s">
        <v>1190</v>
      </c>
      <c r="AB20" s="53"/>
      <c r="AC20" s="53"/>
      <c r="AD20" s="36"/>
      <c r="AE20" s="42">
        <v>45727</v>
      </c>
      <c r="AF20" s="42">
        <v>45746</v>
      </c>
      <c r="AG20" s="22"/>
      <c r="AH20" s="22"/>
      <c r="AI20" s="755" t="s">
        <v>3517</v>
      </c>
      <c r="AJ20" s="93"/>
      <c r="AK20" s="17"/>
      <c r="AL20" s="258" t="s">
        <v>248</v>
      </c>
      <c r="AM20" s="82"/>
      <c r="AN20" s="258" t="s">
        <v>248</v>
      </c>
      <c r="AO20" s="180"/>
      <c r="AP20" s="82" t="s">
        <v>3518</v>
      </c>
      <c r="AQ20" s="733"/>
      <c r="AR20" s="733"/>
      <c r="AS20" s="733"/>
      <c r="AT20" s="733"/>
      <c r="AU20" s="733"/>
      <c r="AV20" s="186"/>
      <c r="AW20" s="186"/>
      <c r="AX20" s="186"/>
      <c r="AY20" s="186"/>
      <c r="AZ20" s="186"/>
      <c r="BA20" s="186"/>
      <c r="BB20" s="186"/>
    </row>
    <row r="21" spans="1:54" ht="50.25" customHeight="1">
      <c r="A21" s="756"/>
      <c r="B21" s="395"/>
      <c r="C21" s="553"/>
      <c r="D21" s="554"/>
      <c r="E21" s="300"/>
      <c r="F21" s="555"/>
      <c r="G21" s="174"/>
      <c r="H21" s="174"/>
      <c r="I21" s="47"/>
      <c r="J21" s="395"/>
      <c r="K21" s="98"/>
      <c r="L21" s="395"/>
      <c r="M21" s="395"/>
      <c r="N21" s="395"/>
      <c r="O21" s="98"/>
      <c r="P21" s="372"/>
      <c r="Q21" s="284"/>
      <c r="R21" s="47"/>
      <c r="S21" s="372"/>
      <c r="T21" s="164"/>
      <c r="U21" s="757"/>
      <c r="V21" s="98"/>
      <c r="W21" s="176"/>
      <c r="X21" s="176"/>
      <c r="Y21" s="273"/>
      <c r="Z21" s="273"/>
      <c r="AA21" s="559"/>
      <c r="AB21" s="559"/>
      <c r="AC21" s="559"/>
      <c r="AD21" s="559"/>
      <c r="AE21" s="177"/>
      <c r="AF21" s="178"/>
      <c r="AG21" s="395"/>
      <c r="AH21" s="395"/>
      <c r="AI21" s="757"/>
      <c r="AJ21" s="758"/>
      <c r="AK21" s="756"/>
      <c r="AL21" s="176"/>
      <c r="AM21" s="176"/>
      <c r="AN21" s="759"/>
      <c r="AO21" s="759"/>
      <c r="AP21" s="759"/>
      <c r="AQ21" s="760"/>
      <c r="AR21" s="760"/>
      <c r="AS21" s="760"/>
      <c r="AT21" s="760"/>
      <c r="AU21" s="760"/>
      <c r="AV21" s="760"/>
      <c r="AW21" s="760"/>
      <c r="AX21" s="760"/>
      <c r="AY21" s="760"/>
      <c r="AZ21" s="760"/>
      <c r="BA21" s="760"/>
      <c r="BB21" s="760"/>
    </row>
    <row r="22" spans="1:54" ht="44.25" customHeight="1">
      <c r="A22" s="429"/>
      <c r="B22" s="395"/>
      <c r="C22" s="553"/>
      <c r="D22" s="554"/>
      <c r="E22" s="300"/>
      <c r="F22" s="761"/>
      <c r="G22" s="174"/>
      <c r="H22" s="174"/>
      <c r="I22" s="47"/>
      <c r="J22" s="395"/>
      <c r="K22" s="98"/>
      <c r="L22" s="395"/>
      <c r="M22" s="395"/>
      <c r="N22" s="395"/>
      <c r="O22" s="98"/>
      <c r="P22" s="372"/>
      <c r="Q22" s="284"/>
      <c r="R22" s="47"/>
      <c r="S22" s="372"/>
      <c r="T22" s="559"/>
      <c r="U22" s="757"/>
      <c r="V22" s="98"/>
      <c r="W22" s="176"/>
      <c r="X22" s="176"/>
      <c r="Y22" s="273"/>
      <c r="Z22" s="564"/>
      <c r="AA22" s="559"/>
      <c r="AB22" s="559"/>
      <c r="AC22" s="559"/>
      <c r="AD22" s="559"/>
      <c r="AE22" s="177"/>
      <c r="AF22" s="178"/>
      <c r="AG22" s="395"/>
      <c r="AH22" s="395"/>
      <c r="AI22" s="757"/>
      <c r="AJ22" s="758"/>
      <c r="AK22" s="429"/>
      <c r="AL22" s="176"/>
      <c r="AM22" s="210"/>
      <c r="AN22" s="273"/>
      <c r="AO22" s="273"/>
      <c r="AP22" s="273"/>
      <c r="AQ22" s="762"/>
      <c r="AR22" s="762"/>
      <c r="AS22" s="762"/>
      <c r="AT22" s="762"/>
      <c r="AU22" s="762"/>
      <c r="AV22" s="630"/>
      <c r="AW22" s="630"/>
      <c r="AX22" s="630"/>
      <c r="AY22" s="630"/>
      <c r="AZ22" s="630"/>
      <c r="BA22" s="630"/>
      <c r="BB22" s="630"/>
    </row>
    <row r="23" spans="1:54" ht="44.25" customHeight="1">
      <c r="A23" s="395"/>
      <c r="B23" s="395"/>
      <c r="C23" s="631"/>
      <c r="D23" s="554"/>
      <c r="E23" s="763"/>
      <c r="F23" s="171"/>
      <c r="G23" s="47"/>
      <c r="H23" s="174"/>
      <c r="I23" s="47"/>
      <c r="J23" s="395"/>
      <c r="K23" s="98"/>
      <c r="L23" s="395"/>
      <c r="M23" s="395"/>
      <c r="N23" s="395"/>
      <c r="O23" s="764"/>
      <c r="P23" s="372"/>
      <c r="Q23" s="284"/>
      <c r="R23" s="47"/>
      <c r="S23" s="372"/>
      <c r="T23" s="549"/>
      <c r="U23" s="765"/>
      <c r="V23" s="98"/>
      <c r="W23" s="176"/>
      <c r="X23" s="176"/>
      <c r="Y23" s="554"/>
      <c r="Z23" s="174"/>
      <c r="AA23" s="375"/>
      <c r="AB23" s="559"/>
      <c r="AC23" s="559"/>
      <c r="AD23" s="177"/>
      <c r="AE23" s="177"/>
      <c r="AF23" s="178"/>
      <c r="AG23" s="98"/>
      <c r="AH23" s="395"/>
      <c r="AI23" s="757"/>
      <c r="AJ23" s="766"/>
      <c r="AK23" s="395"/>
      <c r="AL23" s="99"/>
      <c r="AM23" s="767"/>
      <c r="AN23" s="99"/>
      <c r="AO23" s="768"/>
      <c r="AP23" s="767"/>
      <c r="AQ23" s="769"/>
      <c r="AR23" s="769"/>
      <c r="AS23" s="769"/>
      <c r="AT23" s="769"/>
      <c r="AU23" s="769"/>
      <c r="AV23" s="769"/>
      <c r="AW23" s="769"/>
      <c r="AX23" s="769"/>
      <c r="AY23" s="769"/>
      <c r="AZ23" s="769"/>
      <c r="BA23" s="769"/>
      <c r="BB23" s="769"/>
    </row>
    <row r="24" spans="1:54" ht="50.25" customHeight="1">
      <c r="A24" s="17"/>
      <c r="B24" s="22">
        <v>140</v>
      </c>
      <c r="C24" s="44" t="s">
        <v>54</v>
      </c>
      <c r="D24" s="45" t="s">
        <v>55</v>
      </c>
      <c r="E24" s="404" t="s">
        <v>3519</v>
      </c>
      <c r="F24" s="770"/>
      <c r="G24" s="33" t="s">
        <v>3520</v>
      </c>
      <c r="H24" s="28" t="s">
        <v>3521</v>
      </c>
      <c r="I24" s="88" t="s">
        <v>1290</v>
      </c>
      <c r="J24" s="22" t="s">
        <v>60</v>
      </c>
      <c r="K24" s="89">
        <v>33874</v>
      </c>
      <c r="L24" s="22">
        <f t="shared" ref="L24:L44" ca="1" si="2">DATEDIF(K24,TODAY(),"Y")</f>
        <v>33</v>
      </c>
      <c r="M24" s="22"/>
      <c r="N24" s="22" t="s">
        <v>61</v>
      </c>
      <c r="O24" s="89">
        <v>44699</v>
      </c>
      <c r="P24" s="111" t="s">
        <v>1237</v>
      </c>
      <c r="Q24" s="49" t="s">
        <v>81</v>
      </c>
      <c r="R24" s="33" t="s">
        <v>285</v>
      </c>
      <c r="S24" s="380"/>
      <c r="T24" s="50">
        <v>10000</v>
      </c>
      <c r="U24" s="162">
        <v>44193</v>
      </c>
      <c r="V24" s="335">
        <v>45764</v>
      </c>
      <c r="W24" s="9" t="s">
        <v>3522</v>
      </c>
      <c r="X24" s="17"/>
      <c r="Y24" s="70"/>
      <c r="Z24" s="651" t="s">
        <v>1293</v>
      </c>
      <c r="AA24" s="402" t="s">
        <v>3523</v>
      </c>
      <c r="AB24" s="53"/>
      <c r="AC24" s="53" t="s">
        <v>1203</v>
      </c>
      <c r="AD24" s="36"/>
      <c r="AE24" s="178">
        <v>46049</v>
      </c>
      <c r="AF24" s="376">
        <v>46087</v>
      </c>
      <c r="AG24" s="22"/>
      <c r="AH24" s="22" t="s">
        <v>1294</v>
      </c>
      <c r="AI24" s="771" t="s">
        <v>3524</v>
      </c>
      <c r="AJ24" s="95" t="s">
        <v>1295</v>
      </c>
      <c r="AK24" s="152" t="s">
        <v>3525</v>
      </c>
      <c r="AL24" s="772"/>
      <c r="AM24" s="772"/>
      <c r="AN24" s="772"/>
      <c r="AO24" s="772"/>
      <c r="AP24" s="772"/>
      <c r="AQ24" s="772"/>
      <c r="AR24" s="772"/>
      <c r="AS24" s="772"/>
      <c r="AT24" s="772"/>
      <c r="AU24" s="772"/>
      <c r="AV24" s="772"/>
      <c r="AW24" s="772"/>
      <c r="AX24" s="772"/>
      <c r="AY24" s="772"/>
      <c r="AZ24" s="772"/>
      <c r="BA24" s="772"/>
      <c r="BB24" s="772"/>
    </row>
    <row r="25" spans="1:54" ht="44.25" customHeight="1">
      <c r="A25" s="17"/>
      <c r="B25" s="17">
        <v>207</v>
      </c>
      <c r="C25" s="84" t="s">
        <v>100</v>
      </c>
      <c r="D25" s="45" t="s">
        <v>55</v>
      </c>
      <c r="E25" s="25" t="s">
        <v>1902</v>
      </c>
      <c r="F25" s="25" t="s">
        <v>1903</v>
      </c>
      <c r="G25" s="47" t="s">
        <v>1904</v>
      </c>
      <c r="H25" s="28" t="s">
        <v>1905</v>
      </c>
      <c r="I25" s="33" t="s">
        <v>1906</v>
      </c>
      <c r="J25" s="22" t="s">
        <v>60</v>
      </c>
      <c r="K25" s="30">
        <v>35882</v>
      </c>
      <c r="L25" s="22">
        <f t="shared" ca="1" si="2"/>
        <v>28</v>
      </c>
      <c r="M25" s="22" t="s">
        <v>79</v>
      </c>
      <c r="N25" s="22" t="s">
        <v>61</v>
      </c>
      <c r="O25" s="520">
        <v>45890</v>
      </c>
      <c r="P25" s="446">
        <v>47665</v>
      </c>
      <c r="Q25" s="521" t="s">
        <v>81</v>
      </c>
      <c r="R25" s="35" t="s">
        <v>200</v>
      </c>
      <c r="S25" s="25" t="s">
        <v>1907</v>
      </c>
      <c r="T25" s="64">
        <v>20000</v>
      </c>
      <c r="U25" s="516">
        <v>45772</v>
      </c>
      <c r="V25" s="30">
        <v>46254</v>
      </c>
      <c r="W25" s="9" t="s">
        <v>1908</v>
      </c>
      <c r="X25" s="16"/>
      <c r="Y25" s="522">
        <v>45889</v>
      </c>
      <c r="Z25" s="314" t="s">
        <v>1909</v>
      </c>
      <c r="AA25" s="42"/>
      <c r="AB25" s="30"/>
      <c r="AC25" s="42"/>
      <c r="AD25" s="42"/>
      <c r="AE25" s="178">
        <v>46058</v>
      </c>
      <c r="AF25" s="72">
        <v>46088</v>
      </c>
      <c r="AG25" s="30"/>
      <c r="AH25" s="22" t="s">
        <v>1294</v>
      </c>
      <c r="AI25" s="771" t="s">
        <v>3524</v>
      </c>
      <c r="AJ25" s="168"/>
      <c r="AK25" s="168"/>
      <c r="AL25" s="67" t="s">
        <v>89</v>
      </c>
      <c r="AM25" s="504">
        <v>45889</v>
      </c>
      <c r="AN25" s="82" t="s">
        <v>1912</v>
      </c>
      <c r="AO25" s="58" t="s">
        <v>1913</v>
      </c>
      <c r="AP25" s="242" t="s">
        <v>3526</v>
      </c>
      <c r="AQ25" s="523" t="s">
        <v>1915</v>
      </c>
      <c r="AR25" s="377"/>
      <c r="AS25" s="377"/>
      <c r="AT25" s="377" t="s">
        <v>1916</v>
      </c>
      <c r="AU25" s="377" t="s">
        <v>1917</v>
      </c>
      <c r="AV25" s="478"/>
      <c r="AW25" s="478"/>
      <c r="AX25" s="478"/>
      <c r="AY25" s="478"/>
      <c r="AZ25" s="478"/>
      <c r="BA25" s="478"/>
      <c r="BB25" s="478"/>
    </row>
    <row r="26" spans="1:54" ht="50.25" customHeight="1">
      <c r="A26" s="157"/>
      <c r="B26" s="22">
        <v>26</v>
      </c>
      <c r="C26" s="44" t="s">
        <v>54</v>
      </c>
      <c r="D26" s="45" t="s">
        <v>55</v>
      </c>
      <c r="E26" s="158" t="s">
        <v>301</v>
      </c>
      <c r="F26" s="159" t="s">
        <v>302</v>
      </c>
      <c r="G26" s="47" t="s">
        <v>303</v>
      </c>
      <c r="H26" s="28" t="s">
        <v>296</v>
      </c>
      <c r="I26" s="33" t="s">
        <v>297</v>
      </c>
      <c r="J26" s="22" t="s">
        <v>60</v>
      </c>
      <c r="K26" s="30">
        <v>32353</v>
      </c>
      <c r="L26" s="22">
        <f t="shared" ca="1" si="2"/>
        <v>37</v>
      </c>
      <c r="M26" s="22" t="s">
        <v>79</v>
      </c>
      <c r="N26" s="22" t="s">
        <v>61</v>
      </c>
      <c r="O26" s="31">
        <v>45111</v>
      </c>
      <c r="P26" s="25" t="s">
        <v>304</v>
      </c>
      <c r="Q26" s="49" t="s">
        <v>81</v>
      </c>
      <c r="R26" s="33" t="s">
        <v>64</v>
      </c>
      <c r="S26" s="25" t="s">
        <v>82</v>
      </c>
      <c r="T26" s="161">
        <v>20000</v>
      </c>
      <c r="U26" s="86">
        <v>45407</v>
      </c>
      <c r="V26" s="66">
        <v>46206</v>
      </c>
      <c r="W26" s="67" t="s">
        <v>305</v>
      </c>
      <c r="X26" s="9"/>
      <c r="Y26" s="59"/>
      <c r="Z26" s="15" t="s">
        <v>3527</v>
      </c>
      <c r="AA26" s="53"/>
      <c r="AB26" s="53"/>
      <c r="AC26" s="163" t="s">
        <v>307</v>
      </c>
      <c r="AD26" s="36"/>
      <c r="AE26" s="164" t="s">
        <v>3528</v>
      </c>
      <c r="AF26" s="165" t="s">
        <v>3529</v>
      </c>
      <c r="AG26" s="22"/>
      <c r="AH26" s="22" t="s">
        <v>1294</v>
      </c>
      <c r="AI26" s="37"/>
      <c r="AJ26" s="166"/>
      <c r="AK26" s="17"/>
      <c r="AL26" s="145" t="s">
        <v>89</v>
      </c>
      <c r="AM26" s="114">
        <v>45110</v>
      </c>
      <c r="AN26" s="115" t="s">
        <v>311</v>
      </c>
      <c r="AO26" s="123"/>
      <c r="AP26" s="43" t="s">
        <v>3530</v>
      </c>
      <c r="AQ26" s="719"/>
      <c r="AR26" s="719"/>
      <c r="AS26" s="719"/>
      <c r="AT26" s="719"/>
      <c r="AU26" s="719"/>
      <c r="AV26" s="117"/>
      <c r="AW26" s="117"/>
      <c r="AX26" s="117"/>
      <c r="AY26" s="117"/>
      <c r="AZ26" s="117"/>
      <c r="BA26" s="117"/>
      <c r="BB26" s="117"/>
    </row>
    <row r="27" spans="1:54" ht="50.25" customHeight="1">
      <c r="A27" s="17"/>
      <c r="B27" s="22">
        <v>145</v>
      </c>
      <c r="C27" s="84" t="s">
        <v>100</v>
      </c>
      <c r="D27" s="45" t="s">
        <v>55</v>
      </c>
      <c r="E27" s="111" t="s">
        <v>1334</v>
      </c>
      <c r="F27" s="106" t="s">
        <v>1335</v>
      </c>
      <c r="G27" s="47" t="s">
        <v>1336</v>
      </c>
      <c r="H27" s="174" t="s">
        <v>1337</v>
      </c>
      <c r="I27" s="88" t="s">
        <v>1338</v>
      </c>
      <c r="J27" s="22" t="s">
        <v>60</v>
      </c>
      <c r="K27" s="89">
        <v>33172</v>
      </c>
      <c r="L27" s="22">
        <f t="shared" ca="1" si="2"/>
        <v>35</v>
      </c>
      <c r="M27" s="22"/>
      <c r="N27" s="22" t="s">
        <v>61</v>
      </c>
      <c r="O27" s="138">
        <v>44706</v>
      </c>
      <c r="P27" s="111" t="s">
        <v>1199</v>
      </c>
      <c r="Q27" s="85" t="s">
        <v>81</v>
      </c>
      <c r="R27" s="33" t="s">
        <v>106</v>
      </c>
      <c r="S27" s="380" t="s">
        <v>1339</v>
      </c>
      <c r="T27" s="64">
        <v>10000</v>
      </c>
      <c r="U27" s="270">
        <v>45684</v>
      </c>
      <c r="V27" s="267">
        <v>46133</v>
      </c>
      <c r="W27" s="14" t="s">
        <v>3531</v>
      </c>
      <c r="X27" s="17"/>
      <c r="Y27" s="59"/>
      <c r="Z27" s="15" t="s">
        <v>1341</v>
      </c>
      <c r="AA27" s="17"/>
      <c r="AB27" s="53"/>
      <c r="AC27" s="53" t="s">
        <v>1203</v>
      </c>
      <c r="AD27" s="36"/>
      <c r="AE27" s="313" t="s">
        <v>3532</v>
      </c>
      <c r="AF27" s="36" t="s">
        <v>3533</v>
      </c>
      <c r="AG27" s="22"/>
      <c r="AH27" s="22" t="s">
        <v>680</v>
      </c>
      <c r="AI27" s="51"/>
      <c r="AJ27" s="93"/>
      <c r="AK27" s="17"/>
      <c r="AL27" s="179" t="s">
        <v>89</v>
      </c>
      <c r="AM27" s="773"/>
      <c r="AN27" s="382" t="s">
        <v>1344</v>
      </c>
      <c r="AO27" s="58" t="s">
        <v>91</v>
      </c>
      <c r="AP27" s="131" t="s">
        <v>1345</v>
      </c>
      <c r="AQ27" s="123"/>
      <c r="AR27" s="123"/>
      <c r="AS27" s="123"/>
      <c r="AT27" s="123"/>
      <c r="AU27" s="123"/>
      <c r="AV27" s="62"/>
      <c r="AW27" s="62"/>
      <c r="AX27" s="62"/>
      <c r="AY27" s="62"/>
      <c r="AZ27" s="62"/>
      <c r="BA27" s="62"/>
      <c r="BB27" s="62"/>
    </row>
    <row r="28" spans="1:54" ht="50.25" customHeight="1">
      <c r="A28" s="157"/>
      <c r="B28" s="22">
        <v>156</v>
      </c>
      <c r="C28" s="44" t="s">
        <v>54</v>
      </c>
      <c r="D28" s="136" t="s">
        <v>55</v>
      </c>
      <c r="E28" s="25" t="s">
        <v>1450</v>
      </c>
      <c r="F28" s="106" t="s">
        <v>1451</v>
      </c>
      <c r="G28" s="47" t="s">
        <v>1452</v>
      </c>
      <c r="H28" s="137" t="s">
        <v>1453</v>
      </c>
      <c r="I28" s="88" t="s">
        <v>1454</v>
      </c>
      <c r="J28" s="17" t="s">
        <v>60</v>
      </c>
      <c r="K28" s="89">
        <v>30821</v>
      </c>
      <c r="L28" s="22">
        <f t="shared" ca="1" si="2"/>
        <v>41</v>
      </c>
      <c r="M28" s="17" t="s">
        <v>134</v>
      </c>
      <c r="N28" s="17" t="s">
        <v>61</v>
      </c>
      <c r="O28" s="31">
        <v>45364</v>
      </c>
      <c r="P28" s="111" t="s">
        <v>1446</v>
      </c>
      <c r="Q28" s="49" t="s">
        <v>81</v>
      </c>
      <c r="R28" s="341" t="s">
        <v>241</v>
      </c>
      <c r="S28" s="404" t="s">
        <v>1455</v>
      </c>
      <c r="T28" s="257">
        <v>0</v>
      </c>
      <c r="U28" s="315">
        <v>45681</v>
      </c>
      <c r="V28" s="774">
        <v>46093</v>
      </c>
      <c r="W28" s="14" t="s">
        <v>3534</v>
      </c>
      <c r="X28" s="141"/>
      <c r="Y28" s="393"/>
      <c r="Z28" s="282" t="s">
        <v>1457</v>
      </c>
      <c r="AA28" s="89"/>
      <c r="AB28" s="90"/>
      <c r="AC28" s="90"/>
      <c r="AD28" s="90"/>
      <c r="AE28" s="559" t="s">
        <v>3535</v>
      </c>
      <c r="AF28" s="107" t="s">
        <v>3536</v>
      </c>
      <c r="AG28" s="17"/>
      <c r="AH28" s="17" t="s">
        <v>680</v>
      </c>
      <c r="AI28" s="140"/>
      <c r="AJ28" s="185"/>
      <c r="AK28" s="17"/>
      <c r="AL28" s="67" t="s">
        <v>89</v>
      </c>
      <c r="AM28" s="775"/>
      <c r="AN28" s="115" t="s">
        <v>1458</v>
      </c>
      <c r="AO28" s="82"/>
      <c r="AP28" s="180" t="s">
        <v>1459</v>
      </c>
      <c r="AQ28" s="82" t="s">
        <v>3537</v>
      </c>
      <c r="AR28" s="82" t="s">
        <v>1461</v>
      </c>
      <c r="AS28" s="82"/>
      <c r="AT28" s="82"/>
      <c r="AU28" s="82"/>
      <c r="AV28" s="235"/>
      <c r="AW28" s="235"/>
      <c r="AX28" s="235"/>
      <c r="AY28" s="235"/>
      <c r="AZ28" s="235"/>
      <c r="BA28" s="235"/>
      <c r="BB28" s="235"/>
    </row>
    <row r="29" spans="1:54" ht="50.25" customHeight="1">
      <c r="A29" s="264" t="s">
        <v>664</v>
      </c>
      <c r="B29" s="22">
        <v>71</v>
      </c>
      <c r="C29" s="44" t="s">
        <v>54</v>
      </c>
      <c r="D29" s="45" t="s">
        <v>611</v>
      </c>
      <c r="E29" s="158" t="s">
        <v>665</v>
      </c>
      <c r="F29" s="106" t="s">
        <v>666</v>
      </c>
      <c r="G29" s="137" t="s">
        <v>667</v>
      </c>
      <c r="H29" s="137" t="s">
        <v>668</v>
      </c>
      <c r="I29" s="33"/>
      <c r="J29" s="22" t="s">
        <v>261</v>
      </c>
      <c r="K29" s="30">
        <v>37928</v>
      </c>
      <c r="L29" s="22">
        <f t="shared" ca="1" si="2"/>
        <v>22</v>
      </c>
      <c r="M29" s="22" t="s">
        <v>134</v>
      </c>
      <c r="N29" s="22" t="s">
        <v>617</v>
      </c>
      <c r="O29" s="265">
        <v>45027</v>
      </c>
      <c r="P29" s="266" t="s">
        <v>618</v>
      </c>
      <c r="Q29" s="49" t="s">
        <v>81</v>
      </c>
      <c r="R29" s="33" t="s">
        <v>553</v>
      </c>
      <c r="S29" s="158" t="s">
        <v>82</v>
      </c>
      <c r="T29" s="209">
        <v>15000</v>
      </c>
      <c r="U29" s="86">
        <v>46082</v>
      </c>
      <c r="V29" s="267">
        <v>46172</v>
      </c>
      <c r="W29" s="167" t="s">
        <v>669</v>
      </c>
      <c r="X29" s="9"/>
      <c r="Y29" s="59"/>
      <c r="Z29" s="15" t="s">
        <v>670</v>
      </c>
      <c r="AA29" s="275">
        <v>45715</v>
      </c>
      <c r="AB29" s="53"/>
      <c r="AC29" s="53"/>
      <c r="AD29" s="36"/>
      <c r="AE29" s="245">
        <v>46091</v>
      </c>
      <c r="AF29" s="245">
        <v>46164</v>
      </c>
      <c r="AG29" s="22"/>
      <c r="AH29" s="22"/>
      <c r="AI29" s="37"/>
      <c r="AJ29" s="93"/>
      <c r="AK29" s="264" t="s">
        <v>671</v>
      </c>
      <c r="AL29" s="67" t="s">
        <v>265</v>
      </c>
      <c r="AM29" s="241">
        <v>45024</v>
      </c>
      <c r="AN29" s="67" t="s">
        <v>265</v>
      </c>
      <c r="AO29" s="123"/>
      <c r="AP29" s="43" t="s">
        <v>672</v>
      </c>
      <c r="AQ29" s="122"/>
      <c r="AR29" s="122"/>
      <c r="AS29" s="122"/>
      <c r="AT29" s="122"/>
      <c r="AU29" s="122"/>
      <c r="AV29" s="169"/>
      <c r="AW29" s="169"/>
      <c r="AX29" s="288"/>
      <c r="AY29" s="243"/>
      <c r="AZ29" s="243"/>
      <c r="BA29" s="243"/>
      <c r="BB29" s="243"/>
    </row>
    <row r="30" spans="1:54" ht="50.25" customHeight="1">
      <c r="A30" s="264" t="s">
        <v>664</v>
      </c>
      <c r="B30" s="22">
        <v>98</v>
      </c>
      <c r="C30" s="44" t="s">
        <v>54</v>
      </c>
      <c r="D30" s="45" t="s">
        <v>611</v>
      </c>
      <c r="E30" s="158" t="s">
        <v>881</v>
      </c>
      <c r="F30" s="282" t="s">
        <v>882</v>
      </c>
      <c r="G30" s="137" t="s">
        <v>883</v>
      </c>
      <c r="H30" s="137" t="s">
        <v>884</v>
      </c>
      <c r="I30" s="33"/>
      <c r="J30" s="22" t="s">
        <v>60</v>
      </c>
      <c r="K30" s="30">
        <v>38073</v>
      </c>
      <c r="L30" s="22">
        <f t="shared" ca="1" si="2"/>
        <v>22</v>
      </c>
      <c r="M30" s="22" t="s">
        <v>134</v>
      </c>
      <c r="N30" s="22" t="s">
        <v>617</v>
      </c>
      <c r="O30" s="30">
        <v>45075</v>
      </c>
      <c r="P30" s="25" t="s">
        <v>580</v>
      </c>
      <c r="Q30" s="49" t="s">
        <v>81</v>
      </c>
      <c r="R30" s="33" t="s">
        <v>635</v>
      </c>
      <c r="S30" s="158" t="s">
        <v>82</v>
      </c>
      <c r="T30" s="209">
        <v>15000</v>
      </c>
      <c r="U30" s="140">
        <v>45762</v>
      </c>
      <c r="V30" s="91">
        <v>46184</v>
      </c>
      <c r="W30" s="67" t="s">
        <v>885</v>
      </c>
      <c r="X30" s="9" t="s">
        <v>886</v>
      </c>
      <c r="Y30" s="59"/>
      <c r="Z30" s="15" t="s">
        <v>719</v>
      </c>
      <c r="AA30" s="17"/>
      <c r="AB30" s="53"/>
      <c r="AC30" s="53"/>
      <c r="AD30" s="36"/>
      <c r="AE30" s="72">
        <v>46093</v>
      </c>
      <c r="AF30" s="245">
        <v>46122</v>
      </c>
      <c r="AG30" s="22"/>
      <c r="AH30" s="22" t="s">
        <v>680</v>
      </c>
      <c r="AI30" s="313"/>
      <c r="AJ30" s="119"/>
      <c r="AK30" s="264" t="s">
        <v>671</v>
      </c>
      <c r="AL30" s="9" t="s">
        <v>89</v>
      </c>
      <c r="AM30" s="197">
        <v>45071</v>
      </c>
      <c r="AN30" s="314" t="s">
        <v>887</v>
      </c>
      <c r="AO30" s="35"/>
      <c r="AP30" s="35" t="s">
        <v>888</v>
      </c>
      <c r="AQ30" s="180"/>
      <c r="AR30" s="180"/>
      <c r="AS30" s="180"/>
      <c r="AT30" s="180"/>
      <c r="AU30" s="180"/>
      <c r="AV30" s="776"/>
      <c r="AW30" s="776"/>
      <c r="AX30" s="777"/>
      <c r="AY30" s="62"/>
      <c r="AZ30" s="62"/>
      <c r="BA30" s="62"/>
      <c r="BB30" s="62"/>
    </row>
    <row r="31" spans="1:54" ht="50.25" customHeight="1">
      <c r="A31" s="264" t="s">
        <v>643</v>
      </c>
      <c r="B31" s="22">
        <v>99</v>
      </c>
      <c r="C31" s="44" t="s">
        <v>54</v>
      </c>
      <c r="D31" s="45" t="s">
        <v>611</v>
      </c>
      <c r="E31" s="158" t="s">
        <v>891</v>
      </c>
      <c r="F31" s="282" t="s">
        <v>892</v>
      </c>
      <c r="G31" s="137" t="s">
        <v>893</v>
      </c>
      <c r="H31" s="137" t="s">
        <v>894</v>
      </c>
      <c r="I31" s="33" t="s">
        <v>895</v>
      </c>
      <c r="J31" s="22" t="s">
        <v>60</v>
      </c>
      <c r="K31" s="30">
        <v>37451</v>
      </c>
      <c r="L31" s="22">
        <f t="shared" ca="1" si="2"/>
        <v>23</v>
      </c>
      <c r="M31" s="22"/>
      <c r="N31" s="22" t="s">
        <v>617</v>
      </c>
      <c r="O31" s="30">
        <v>45075</v>
      </c>
      <c r="P31" s="25" t="s">
        <v>580</v>
      </c>
      <c r="Q31" s="49" t="s">
        <v>81</v>
      </c>
      <c r="R31" s="33" t="s">
        <v>734</v>
      </c>
      <c r="S31" s="290" t="s">
        <v>82</v>
      </c>
      <c r="T31" s="209">
        <v>15000</v>
      </c>
      <c r="U31" s="140">
        <v>45762</v>
      </c>
      <c r="V31" s="91">
        <v>46184</v>
      </c>
      <c r="W31" s="67" t="s">
        <v>896</v>
      </c>
      <c r="X31" s="9"/>
      <c r="Y31" s="59"/>
      <c r="Z31" s="15" t="s">
        <v>897</v>
      </c>
      <c r="AA31" s="275">
        <v>45993</v>
      </c>
      <c r="AB31" s="53"/>
      <c r="AC31" s="53"/>
      <c r="AD31" s="36"/>
      <c r="AE31" s="72">
        <v>46093</v>
      </c>
      <c r="AF31" s="279">
        <v>46154</v>
      </c>
      <c r="AG31" s="22"/>
      <c r="AH31" s="22" t="s">
        <v>680</v>
      </c>
      <c r="AI31" s="37"/>
      <c r="AJ31" s="119"/>
      <c r="AK31" s="264" t="s">
        <v>650</v>
      </c>
      <c r="AL31" s="9" t="s">
        <v>89</v>
      </c>
      <c r="AM31" s="197">
        <v>45071</v>
      </c>
      <c r="AN31" s="9" t="s">
        <v>880</v>
      </c>
      <c r="AO31" s="35"/>
      <c r="AP31" s="59" t="s">
        <v>3538</v>
      </c>
      <c r="AQ31" s="123"/>
      <c r="AR31" s="123"/>
      <c r="AS31" s="123"/>
      <c r="AT31" s="123"/>
      <c r="AU31" s="123"/>
      <c r="AV31" s="288"/>
      <c r="AW31" s="288"/>
      <c r="AX31" s="288"/>
      <c r="AY31" s="117"/>
      <c r="AZ31" s="117"/>
      <c r="BA31" s="117"/>
      <c r="BB31" s="117"/>
    </row>
    <row r="32" spans="1:54" ht="50.25" customHeight="1">
      <c r="A32" s="264" t="s">
        <v>664</v>
      </c>
      <c r="B32" s="22">
        <v>128</v>
      </c>
      <c r="C32" s="44" t="s">
        <v>54</v>
      </c>
      <c r="D32" s="45" t="s">
        <v>611</v>
      </c>
      <c r="E32" s="158" t="s">
        <v>1155</v>
      </c>
      <c r="F32" s="106" t="s">
        <v>1156</v>
      </c>
      <c r="G32" s="137" t="s">
        <v>1157</v>
      </c>
      <c r="H32" s="137" t="s">
        <v>1158</v>
      </c>
      <c r="I32" s="33" t="s">
        <v>1159</v>
      </c>
      <c r="J32" s="22" t="s">
        <v>261</v>
      </c>
      <c r="K32" s="30">
        <v>36345</v>
      </c>
      <c r="L32" s="22">
        <f t="shared" ca="1" si="2"/>
        <v>26</v>
      </c>
      <c r="M32" s="22"/>
      <c r="N32" s="22" t="s">
        <v>617</v>
      </c>
      <c r="O32" s="30">
        <v>44937</v>
      </c>
      <c r="P32" s="25" t="s">
        <v>548</v>
      </c>
      <c r="Q32" s="160" t="s">
        <v>81</v>
      </c>
      <c r="R32" s="33" t="s">
        <v>1129</v>
      </c>
      <c r="S32" s="158" t="s">
        <v>82</v>
      </c>
      <c r="T32" s="209">
        <v>15000</v>
      </c>
      <c r="U32" s="51">
        <v>46082</v>
      </c>
      <c r="V32" s="335">
        <v>46432</v>
      </c>
      <c r="W32" s="141" t="s">
        <v>1160</v>
      </c>
      <c r="X32" s="9"/>
      <c r="Y32" s="59"/>
      <c r="Z32" s="115" t="s">
        <v>1161</v>
      </c>
      <c r="AA32" s="17"/>
      <c r="AB32" s="53"/>
      <c r="AC32" s="53"/>
      <c r="AD32" s="36"/>
      <c r="AE32" s="165" t="s">
        <v>1162</v>
      </c>
      <c r="AF32" s="165" t="s">
        <v>1163</v>
      </c>
      <c r="AG32" s="22"/>
      <c r="AH32" s="103" t="s">
        <v>154</v>
      </c>
      <c r="AI32" s="37"/>
      <c r="AJ32" s="108"/>
      <c r="AK32" s="264" t="s">
        <v>671</v>
      </c>
      <c r="AL32" s="167" t="s">
        <v>89</v>
      </c>
      <c r="AM32" s="304">
        <v>44922</v>
      </c>
      <c r="AN32" s="82" t="s">
        <v>1143</v>
      </c>
      <c r="AO32" s="123"/>
      <c r="AP32" s="43" t="s">
        <v>3539</v>
      </c>
      <c r="AQ32" s="325" t="s">
        <v>1165</v>
      </c>
      <c r="AR32" s="325"/>
      <c r="AS32" s="325"/>
      <c r="AT32" s="325"/>
      <c r="AU32" s="325"/>
      <c r="AV32" s="778"/>
      <c r="AW32" s="778" t="s">
        <v>1166</v>
      </c>
      <c r="AX32" s="217"/>
      <c r="AY32" s="117"/>
      <c r="AZ32" s="117"/>
      <c r="BA32" s="117"/>
      <c r="BB32" s="117"/>
    </row>
    <row r="33" spans="1:54" ht="50.25" customHeight="1">
      <c r="A33" s="390"/>
      <c r="B33" s="22">
        <v>154</v>
      </c>
      <c r="C33" s="84" t="s">
        <v>100</v>
      </c>
      <c r="D33" s="45" t="s">
        <v>55</v>
      </c>
      <c r="E33" s="372" t="s">
        <v>1428</v>
      </c>
      <c r="F33" s="171" t="s">
        <v>1429</v>
      </c>
      <c r="G33" s="47" t="s">
        <v>1430</v>
      </c>
      <c r="H33" s="28" t="s">
        <v>1431</v>
      </c>
      <c r="I33" s="137" t="s">
        <v>1432</v>
      </c>
      <c r="J33" s="136" t="s">
        <v>261</v>
      </c>
      <c r="K33" s="89">
        <v>35191</v>
      </c>
      <c r="L33" s="22">
        <f t="shared" ca="1" si="2"/>
        <v>29</v>
      </c>
      <c r="M33" s="22" t="s">
        <v>149</v>
      </c>
      <c r="N33" s="22" t="s">
        <v>61</v>
      </c>
      <c r="O33" s="259">
        <v>45159</v>
      </c>
      <c r="P33" s="260" t="s">
        <v>1433</v>
      </c>
      <c r="Q33" s="191" t="s">
        <v>490</v>
      </c>
      <c r="R33" s="33" t="s">
        <v>150</v>
      </c>
      <c r="S33" s="111" t="s">
        <v>149</v>
      </c>
      <c r="T33" s="257">
        <v>20000</v>
      </c>
      <c r="U33" s="97">
        <v>45962</v>
      </c>
      <c r="V33" s="285">
        <v>47102</v>
      </c>
      <c r="W33" s="395" t="s">
        <v>1434</v>
      </c>
      <c r="X33" s="16"/>
      <c r="Y33" s="393"/>
      <c r="Z33" s="282" t="s">
        <v>1435</v>
      </c>
      <c r="AA33" s="100"/>
      <c r="AB33" s="53" t="s">
        <v>574</v>
      </c>
      <c r="AC33" s="53" t="s">
        <v>1436</v>
      </c>
      <c r="AD33" s="102">
        <v>45271</v>
      </c>
      <c r="AE33" s="107" t="s">
        <v>3540</v>
      </c>
      <c r="AF33" s="107" t="s">
        <v>3541</v>
      </c>
      <c r="AG33" s="98">
        <v>45313</v>
      </c>
      <c r="AH33" s="22" t="s">
        <v>680</v>
      </c>
      <c r="AI33" s="396"/>
      <c r="AJ33" s="397"/>
      <c r="AK33" s="16"/>
      <c r="AL33" s="145" t="s">
        <v>265</v>
      </c>
      <c r="AM33" s="398">
        <v>43117</v>
      </c>
      <c r="AN33" s="115" t="s">
        <v>1439</v>
      </c>
      <c r="AO33" s="67" t="s">
        <v>157</v>
      </c>
      <c r="AP33" s="180" t="s">
        <v>3542</v>
      </c>
      <c r="AQ33" s="131" t="s">
        <v>1441</v>
      </c>
      <c r="AR33" s="131" t="s">
        <v>1442</v>
      </c>
      <c r="AS33" s="131"/>
      <c r="AT33" s="131"/>
      <c r="AU33" s="131"/>
      <c r="AV33" s="134"/>
      <c r="AW33" s="134"/>
      <c r="AX33" s="134"/>
      <c r="AY33" s="552"/>
      <c r="AZ33" s="552"/>
      <c r="BA33" s="552"/>
      <c r="BB33" s="552"/>
    </row>
    <row r="34" spans="1:54" ht="50.25" customHeight="1">
      <c r="A34" s="264" t="s">
        <v>643</v>
      </c>
      <c r="B34" s="22">
        <v>85</v>
      </c>
      <c r="C34" s="44" t="s">
        <v>54</v>
      </c>
      <c r="D34" s="45" t="s">
        <v>611</v>
      </c>
      <c r="E34" s="158" t="s">
        <v>782</v>
      </c>
      <c r="F34" s="282" t="s">
        <v>783</v>
      </c>
      <c r="G34" s="33" t="s">
        <v>784</v>
      </c>
      <c r="H34" s="28" t="s">
        <v>785</v>
      </c>
      <c r="I34" s="33" t="s">
        <v>786</v>
      </c>
      <c r="J34" s="22" t="s">
        <v>60</v>
      </c>
      <c r="K34" s="30">
        <v>36874</v>
      </c>
      <c r="L34" s="22">
        <f t="shared" ca="1" si="2"/>
        <v>25</v>
      </c>
      <c r="M34" s="22"/>
      <c r="N34" s="22" t="s">
        <v>617</v>
      </c>
      <c r="O34" s="30">
        <v>44669</v>
      </c>
      <c r="P34" s="25" t="s">
        <v>629</v>
      </c>
      <c r="Q34" s="49" t="s">
        <v>81</v>
      </c>
      <c r="R34" s="33" t="s">
        <v>635</v>
      </c>
      <c r="S34" s="158" t="s">
        <v>82</v>
      </c>
      <c r="T34" s="209">
        <v>15000</v>
      </c>
      <c r="U34" s="162">
        <v>45762</v>
      </c>
      <c r="V34" s="30">
        <v>46184</v>
      </c>
      <c r="W34" s="67" t="s">
        <v>3543</v>
      </c>
      <c r="X34" s="9"/>
      <c r="Y34" s="14"/>
      <c r="Z34" s="15" t="s">
        <v>719</v>
      </c>
      <c r="AA34" s="53"/>
      <c r="AB34" s="53"/>
      <c r="AC34" s="53"/>
      <c r="AD34" s="36"/>
      <c r="AE34" s="107" t="s">
        <v>3544</v>
      </c>
      <c r="AF34" s="107" t="s">
        <v>3545</v>
      </c>
      <c r="AG34" s="22"/>
      <c r="AH34" s="22" t="s">
        <v>680</v>
      </c>
      <c r="AI34" s="779" t="s">
        <v>3546</v>
      </c>
      <c r="AJ34" s="119"/>
      <c r="AK34" s="264" t="s">
        <v>650</v>
      </c>
      <c r="AL34" s="297"/>
      <c r="AM34" s="197">
        <v>44661</v>
      </c>
      <c r="AN34" s="14" t="s">
        <v>790</v>
      </c>
      <c r="AO34" s="298"/>
      <c r="AP34" s="298" t="s">
        <v>3547</v>
      </c>
      <c r="AQ34" s="116"/>
      <c r="AR34" s="116"/>
      <c r="AS34" s="116"/>
      <c r="AT34" s="116"/>
      <c r="AU34" s="116"/>
      <c r="AV34" s="148"/>
      <c r="AW34" s="148"/>
      <c r="AX34" s="148"/>
      <c r="AY34" s="148"/>
      <c r="AZ34" s="148"/>
      <c r="BA34" s="148"/>
      <c r="BB34" s="148"/>
    </row>
    <row r="35" spans="1:54" ht="50.25" customHeight="1">
      <c r="A35" s="408" t="s">
        <v>664</v>
      </c>
      <c r="B35" s="22">
        <v>162</v>
      </c>
      <c r="C35" s="44" t="s">
        <v>54</v>
      </c>
      <c r="D35" s="45" t="s">
        <v>611</v>
      </c>
      <c r="E35" s="25" t="s">
        <v>1515</v>
      </c>
      <c r="F35" s="106" t="s">
        <v>1516</v>
      </c>
      <c r="G35" s="88" t="s">
        <v>1517</v>
      </c>
      <c r="H35" s="88" t="s">
        <v>1518</v>
      </c>
      <c r="I35" s="417"/>
      <c r="J35" s="22" t="s">
        <v>261</v>
      </c>
      <c r="K35" s="89">
        <v>37734</v>
      </c>
      <c r="L35" s="22">
        <f t="shared" ca="1" si="2"/>
        <v>22</v>
      </c>
      <c r="M35" s="17"/>
      <c r="N35" s="22" t="s">
        <v>617</v>
      </c>
      <c r="O35" s="30">
        <v>45376</v>
      </c>
      <c r="P35" s="372" t="s">
        <v>1446</v>
      </c>
      <c r="Q35" s="49" t="s">
        <v>81</v>
      </c>
      <c r="R35" s="116" t="s">
        <v>619</v>
      </c>
      <c r="S35" s="158" t="s">
        <v>82</v>
      </c>
      <c r="T35" s="209">
        <v>15000</v>
      </c>
      <c r="U35" s="162">
        <v>46047</v>
      </c>
      <c r="V35" s="91">
        <v>46135</v>
      </c>
      <c r="W35" s="14" t="s">
        <v>3548</v>
      </c>
      <c r="X35" s="409"/>
      <c r="Y35" s="98">
        <v>45376</v>
      </c>
      <c r="Z35" s="282" t="s">
        <v>1520</v>
      </c>
      <c r="AA35" s="410"/>
      <c r="AB35" s="53" t="s">
        <v>737</v>
      </c>
      <c r="AC35" s="411"/>
      <c r="AD35" s="411"/>
      <c r="AE35" s="420">
        <v>46144</v>
      </c>
      <c r="AF35" s="420">
        <v>46175</v>
      </c>
      <c r="AG35" s="411"/>
      <c r="AH35" s="409" t="s">
        <v>680</v>
      </c>
      <c r="AI35" s="412"/>
      <c r="AJ35" s="87"/>
      <c r="AK35" s="408" t="s">
        <v>671</v>
      </c>
      <c r="AL35" s="415" t="s">
        <v>89</v>
      </c>
      <c r="AM35" s="197">
        <v>45373</v>
      </c>
      <c r="AN35" s="35" t="s">
        <v>1478</v>
      </c>
      <c r="AO35" s="35"/>
      <c r="AP35" s="35" t="s">
        <v>1521</v>
      </c>
      <c r="AQ35" s="277"/>
      <c r="AR35" s="277"/>
      <c r="AS35" s="277"/>
      <c r="AT35" s="277"/>
      <c r="AU35" s="277"/>
      <c r="AV35" s="780"/>
      <c r="AW35" s="780"/>
      <c r="AX35" s="780"/>
      <c r="AY35" s="156"/>
      <c r="AZ35" s="156"/>
      <c r="BA35" s="156"/>
      <c r="BB35" s="156"/>
    </row>
    <row r="36" spans="1:54" ht="42" customHeight="1">
      <c r="A36" s="264" t="s">
        <v>643</v>
      </c>
      <c r="B36" s="17">
        <v>173</v>
      </c>
      <c r="C36" s="44" t="s">
        <v>54</v>
      </c>
      <c r="D36" s="45" t="s">
        <v>611</v>
      </c>
      <c r="E36" s="111" t="s">
        <v>1613</v>
      </c>
      <c r="F36" s="282" t="s">
        <v>1614</v>
      </c>
      <c r="G36" s="33" t="s">
        <v>1615</v>
      </c>
      <c r="H36" s="28" t="s">
        <v>1616</v>
      </c>
      <c r="I36" s="33" t="s">
        <v>1617</v>
      </c>
      <c r="J36" s="22" t="s">
        <v>261</v>
      </c>
      <c r="K36" s="30">
        <v>36905</v>
      </c>
      <c r="L36" s="22">
        <f t="shared" ca="1" si="2"/>
        <v>25</v>
      </c>
      <c r="M36" s="22" t="s">
        <v>134</v>
      </c>
      <c r="N36" s="22" t="s">
        <v>617</v>
      </c>
      <c r="O36" s="30">
        <v>45594</v>
      </c>
      <c r="P36" s="446">
        <v>47362</v>
      </c>
      <c r="Q36" s="85" t="s">
        <v>81</v>
      </c>
      <c r="R36" s="124" t="s">
        <v>272</v>
      </c>
      <c r="S36" s="158" t="s">
        <v>82</v>
      </c>
      <c r="T36" s="209">
        <v>15000</v>
      </c>
      <c r="U36" s="425">
        <v>45870</v>
      </c>
      <c r="V36" s="30">
        <v>46322</v>
      </c>
      <c r="W36" s="9" t="s">
        <v>1618</v>
      </c>
      <c r="X36" s="9"/>
      <c r="Y36" s="22"/>
      <c r="Z36" s="88" t="s">
        <v>1619</v>
      </c>
      <c r="AA36" s="30"/>
      <c r="AB36" s="166"/>
      <c r="AC36" s="42"/>
      <c r="AD36" s="42"/>
      <c r="AE36" s="42">
        <v>46148</v>
      </c>
      <c r="AF36" s="42">
        <v>46179</v>
      </c>
      <c r="AG36" s="30"/>
      <c r="AH36" s="22" t="s">
        <v>680</v>
      </c>
      <c r="AI36" s="92"/>
      <c r="AJ36" s="168"/>
      <c r="AK36" s="264" t="s">
        <v>650</v>
      </c>
      <c r="AL36" s="67" t="s">
        <v>89</v>
      </c>
      <c r="AM36" s="258"/>
      <c r="AN36" s="82" t="s">
        <v>1595</v>
      </c>
      <c r="AO36" s="123"/>
      <c r="AP36" s="43" t="s">
        <v>1620</v>
      </c>
      <c r="AQ36" s="123"/>
      <c r="AR36" s="123"/>
      <c r="AS36" s="123"/>
      <c r="AT36" s="123"/>
      <c r="AU36" s="123"/>
      <c r="AV36" s="186"/>
      <c r="AW36" s="186"/>
      <c r="AX36" s="186"/>
      <c r="AY36" s="186"/>
      <c r="AZ36" s="186"/>
      <c r="BA36" s="186"/>
      <c r="BB36" s="186"/>
    </row>
    <row r="37" spans="1:54" ht="47.25" customHeight="1">
      <c r="A37" s="22"/>
      <c r="B37" s="22">
        <v>131</v>
      </c>
      <c r="C37" s="84" t="s">
        <v>100</v>
      </c>
      <c r="D37" s="45" t="s">
        <v>55</v>
      </c>
      <c r="E37" s="25" t="s">
        <v>1194</v>
      </c>
      <c r="F37" s="46" t="s">
        <v>1195</v>
      </c>
      <c r="G37" s="47" t="s">
        <v>1196</v>
      </c>
      <c r="H37" s="28" t="s">
        <v>1197</v>
      </c>
      <c r="I37" s="88" t="s">
        <v>1198</v>
      </c>
      <c r="J37" s="22" t="s">
        <v>261</v>
      </c>
      <c r="K37" s="89">
        <v>36864</v>
      </c>
      <c r="L37" s="22">
        <f t="shared" ca="1" si="2"/>
        <v>25</v>
      </c>
      <c r="M37" s="22" t="s">
        <v>134</v>
      </c>
      <c r="N37" s="22" t="s">
        <v>61</v>
      </c>
      <c r="O37" s="138">
        <v>44699</v>
      </c>
      <c r="P37" s="111" t="s">
        <v>1199</v>
      </c>
      <c r="Q37" s="85" t="s">
        <v>81</v>
      </c>
      <c r="R37" s="33" t="s">
        <v>1200</v>
      </c>
      <c r="S37" s="206" t="s">
        <v>165</v>
      </c>
      <c r="T37" s="64">
        <v>20000</v>
      </c>
      <c r="U37" s="204">
        <v>46082</v>
      </c>
      <c r="V37" s="267">
        <v>46171</v>
      </c>
      <c r="W37" s="14" t="s">
        <v>1201</v>
      </c>
      <c r="X37" s="17"/>
      <c r="Y37" s="343">
        <v>45978</v>
      </c>
      <c r="Z37" s="15" t="s">
        <v>3549</v>
      </c>
      <c r="AA37" s="17"/>
      <c r="AB37" s="53"/>
      <c r="AC37" s="53" t="s">
        <v>1203</v>
      </c>
      <c r="AD37" s="36"/>
      <c r="AE37" s="107" t="s">
        <v>3550</v>
      </c>
      <c r="AF37" s="107" t="s">
        <v>3551</v>
      </c>
      <c r="AG37" s="22"/>
      <c r="AH37" s="103" t="s">
        <v>154</v>
      </c>
      <c r="AI37" s="51"/>
      <c r="AJ37" s="93" t="s">
        <v>1206</v>
      </c>
      <c r="AK37" s="17"/>
      <c r="AL37" s="67" t="s">
        <v>265</v>
      </c>
      <c r="AM37" s="123"/>
      <c r="AN37" s="67" t="s">
        <v>265</v>
      </c>
      <c r="AO37" s="43"/>
      <c r="AP37" s="123" t="s">
        <v>1207</v>
      </c>
      <c r="AQ37" s="35"/>
      <c r="AR37" s="35"/>
      <c r="AS37" s="35"/>
      <c r="AT37" s="35"/>
      <c r="AU37" s="35"/>
      <c r="AV37" s="217"/>
      <c r="AW37" s="217"/>
      <c r="AX37" s="719"/>
      <c r="AY37" s="62"/>
      <c r="AZ37" s="62"/>
      <c r="BA37" s="62"/>
      <c r="BB37" s="62"/>
    </row>
    <row r="38" spans="1:54" ht="50.25" customHeight="1">
      <c r="A38" s="22"/>
      <c r="B38" s="22">
        <v>10</v>
      </c>
      <c r="C38" s="84" t="s">
        <v>100</v>
      </c>
      <c r="D38" s="45" t="s">
        <v>55</v>
      </c>
      <c r="E38" s="25" t="s">
        <v>159</v>
      </c>
      <c r="F38" s="106" t="s">
        <v>160</v>
      </c>
      <c r="G38" s="47" t="s">
        <v>161</v>
      </c>
      <c r="H38" s="28" t="s">
        <v>162</v>
      </c>
      <c r="I38" s="33" t="s">
        <v>163</v>
      </c>
      <c r="J38" s="22" t="s">
        <v>60</v>
      </c>
      <c r="K38" s="30">
        <v>31701</v>
      </c>
      <c r="L38" s="22">
        <f t="shared" ca="1" si="2"/>
        <v>39</v>
      </c>
      <c r="M38" s="22" t="s">
        <v>79</v>
      </c>
      <c r="N38" s="22" t="s">
        <v>61</v>
      </c>
      <c r="O38" s="31">
        <v>43435</v>
      </c>
      <c r="P38" s="25" t="s">
        <v>135</v>
      </c>
      <c r="Q38" s="85" t="s">
        <v>81</v>
      </c>
      <c r="R38" s="33" t="s">
        <v>164</v>
      </c>
      <c r="S38" s="25" t="s">
        <v>165</v>
      </c>
      <c r="T38" s="64">
        <v>20000</v>
      </c>
      <c r="U38" s="97">
        <v>45870</v>
      </c>
      <c r="V38" s="98">
        <v>46294</v>
      </c>
      <c r="W38" s="99" t="s">
        <v>166</v>
      </c>
      <c r="X38" s="9" t="s">
        <v>167</v>
      </c>
      <c r="Y38" s="14"/>
      <c r="Z38" s="15" t="s">
        <v>168</v>
      </c>
      <c r="AA38" s="89"/>
      <c r="AB38" s="90"/>
      <c r="AC38" s="90"/>
      <c r="AD38" s="42">
        <v>45317</v>
      </c>
      <c r="AE38" s="107" t="s">
        <v>169</v>
      </c>
      <c r="AF38" s="107" t="s">
        <v>170</v>
      </c>
      <c r="AG38" s="91">
        <v>45350</v>
      </c>
      <c r="AH38" s="103" t="s">
        <v>154</v>
      </c>
      <c r="AI38" s="37"/>
      <c r="AJ38" s="108"/>
      <c r="AK38" s="17"/>
      <c r="AL38" s="9" t="s">
        <v>89</v>
      </c>
      <c r="AM38" s="57">
        <v>43403</v>
      </c>
      <c r="AN38" s="15" t="s">
        <v>171</v>
      </c>
      <c r="AO38" s="35" t="s">
        <v>172</v>
      </c>
      <c r="AP38" s="59" t="s">
        <v>3552</v>
      </c>
      <c r="AQ38" s="35"/>
      <c r="AR38" s="35"/>
      <c r="AS38" s="35"/>
      <c r="AT38" s="35" t="s">
        <v>174</v>
      </c>
      <c r="AU38" s="35"/>
      <c r="AV38" s="217"/>
      <c r="AW38" s="217"/>
      <c r="AX38" s="781"/>
      <c r="AY38" s="105"/>
      <c r="AZ38" s="105"/>
      <c r="BA38" s="105"/>
      <c r="BB38" s="105"/>
    </row>
    <row r="39" spans="1:54" ht="44.25" customHeight="1">
      <c r="A39" s="17"/>
      <c r="B39" s="17">
        <v>207</v>
      </c>
      <c r="C39" s="84" t="s">
        <v>100</v>
      </c>
      <c r="D39" s="45" t="s">
        <v>55</v>
      </c>
      <c r="E39" s="25" t="s">
        <v>1902</v>
      </c>
      <c r="F39" s="25" t="s">
        <v>1903</v>
      </c>
      <c r="G39" s="47" t="s">
        <v>1904</v>
      </c>
      <c r="H39" s="28" t="s">
        <v>1905</v>
      </c>
      <c r="I39" s="33" t="s">
        <v>1906</v>
      </c>
      <c r="J39" s="22" t="s">
        <v>60</v>
      </c>
      <c r="K39" s="30">
        <v>35882</v>
      </c>
      <c r="L39" s="22">
        <f t="shared" ca="1" si="2"/>
        <v>28</v>
      </c>
      <c r="M39" s="22" t="s">
        <v>79</v>
      </c>
      <c r="N39" s="22" t="s">
        <v>61</v>
      </c>
      <c r="O39" s="520">
        <v>45890</v>
      </c>
      <c r="P39" s="446">
        <v>47665</v>
      </c>
      <c r="Q39" s="521" t="s">
        <v>81</v>
      </c>
      <c r="R39" s="35" t="s">
        <v>200</v>
      </c>
      <c r="S39" s="25" t="s">
        <v>1907</v>
      </c>
      <c r="T39" s="64">
        <v>20000</v>
      </c>
      <c r="U39" s="516">
        <v>45772</v>
      </c>
      <c r="V39" s="30">
        <v>46254</v>
      </c>
      <c r="W39" s="9" t="s">
        <v>1908</v>
      </c>
      <c r="X39" s="16"/>
      <c r="Y39" s="522">
        <v>45889</v>
      </c>
      <c r="Z39" s="314" t="s">
        <v>1909</v>
      </c>
      <c r="AA39" s="42"/>
      <c r="AB39" s="30"/>
      <c r="AC39" s="42"/>
      <c r="AD39" s="42"/>
      <c r="AE39" s="559" t="s">
        <v>3553</v>
      </c>
      <c r="AF39" s="559" t="s">
        <v>1911</v>
      </c>
      <c r="AG39" s="30"/>
      <c r="AH39" s="22" t="s">
        <v>680</v>
      </c>
      <c r="AI39" s="771" t="s">
        <v>3524</v>
      </c>
      <c r="AJ39" s="168"/>
      <c r="AK39" s="168"/>
      <c r="AL39" s="67" t="s">
        <v>89</v>
      </c>
      <c r="AM39" s="504">
        <v>45889</v>
      </c>
      <c r="AN39" s="82" t="s">
        <v>1912</v>
      </c>
      <c r="AO39" s="58" t="s">
        <v>1913</v>
      </c>
      <c r="AP39" s="242" t="s">
        <v>3554</v>
      </c>
      <c r="AQ39" s="523" t="s">
        <v>1915</v>
      </c>
      <c r="AR39" s="377"/>
      <c r="AS39" s="377"/>
      <c r="AT39" s="377" t="s">
        <v>1916</v>
      </c>
      <c r="AU39" s="377" t="s">
        <v>1917</v>
      </c>
      <c r="AV39" s="478"/>
      <c r="AW39" s="478"/>
      <c r="AX39" s="478"/>
      <c r="AY39" s="478"/>
      <c r="AZ39" s="478"/>
      <c r="BA39" s="478"/>
      <c r="BB39" s="478"/>
    </row>
    <row r="40" spans="1:54" ht="50.25" customHeight="1">
      <c r="A40" s="264" t="s">
        <v>673</v>
      </c>
      <c r="B40" s="22">
        <v>72</v>
      </c>
      <c r="C40" s="44" t="s">
        <v>54</v>
      </c>
      <c r="D40" s="45" t="s">
        <v>611</v>
      </c>
      <c r="E40" s="158" t="s">
        <v>674</v>
      </c>
      <c r="F40" s="106" t="s">
        <v>675</v>
      </c>
      <c r="G40" s="137" t="s">
        <v>676</v>
      </c>
      <c r="H40" s="137" t="s">
        <v>677</v>
      </c>
      <c r="I40" s="33"/>
      <c r="J40" s="22" t="s">
        <v>261</v>
      </c>
      <c r="K40" s="30">
        <v>37994</v>
      </c>
      <c r="L40" s="22">
        <f t="shared" ca="1" si="2"/>
        <v>22</v>
      </c>
      <c r="M40" s="22"/>
      <c r="N40" s="22" t="s">
        <v>617</v>
      </c>
      <c r="O40" s="265">
        <v>45027</v>
      </c>
      <c r="P40" s="266" t="s">
        <v>618</v>
      </c>
      <c r="Q40" s="49" t="s">
        <v>81</v>
      </c>
      <c r="R40" s="402" t="s">
        <v>658</v>
      </c>
      <c r="S40" s="158" t="s">
        <v>82</v>
      </c>
      <c r="T40" s="209">
        <v>15000</v>
      </c>
      <c r="U40" s="86">
        <v>44940</v>
      </c>
      <c r="V40" s="66">
        <v>46172</v>
      </c>
      <c r="W40" s="67" t="s">
        <v>678</v>
      </c>
      <c r="X40" s="9"/>
      <c r="Y40" s="59"/>
      <c r="Z40" s="15" t="s">
        <v>3555</v>
      </c>
      <c r="AA40" s="53"/>
      <c r="AB40" s="53"/>
      <c r="AC40" s="53"/>
      <c r="AD40" s="36"/>
      <c r="AE40" s="42">
        <v>46221</v>
      </c>
      <c r="AF40" s="42">
        <v>46269</v>
      </c>
      <c r="AG40" s="22"/>
      <c r="AH40" s="22" t="s">
        <v>680</v>
      </c>
      <c r="AI40" s="37"/>
      <c r="AJ40" s="119"/>
      <c r="AK40" s="264" t="s">
        <v>681</v>
      </c>
      <c r="AL40" s="9" t="s">
        <v>89</v>
      </c>
      <c r="AM40" s="197">
        <v>45024</v>
      </c>
      <c r="AN40" s="82" t="s">
        <v>623</v>
      </c>
      <c r="AO40" s="35"/>
      <c r="AP40" s="35" t="s">
        <v>682</v>
      </c>
      <c r="AQ40" s="169"/>
      <c r="AR40" s="169"/>
      <c r="AS40" s="169"/>
      <c r="AT40" s="169"/>
      <c r="AU40" s="169"/>
      <c r="AV40" s="276"/>
      <c r="AW40" s="276"/>
      <c r="AX40" s="276"/>
      <c r="AY40" s="276"/>
      <c r="AZ40" s="276"/>
      <c r="BA40" s="276"/>
      <c r="BB40" s="276"/>
    </row>
    <row r="41" spans="1:54" ht="50.25" customHeight="1">
      <c r="A41" s="264" t="s">
        <v>643</v>
      </c>
      <c r="B41" s="22">
        <v>104</v>
      </c>
      <c r="C41" s="44" t="s">
        <v>54</v>
      </c>
      <c r="D41" s="45" t="s">
        <v>611</v>
      </c>
      <c r="E41" s="158" t="s">
        <v>935</v>
      </c>
      <c r="F41" s="106" t="s">
        <v>936</v>
      </c>
      <c r="G41" s="28" t="s">
        <v>937</v>
      </c>
      <c r="H41" s="137" t="s">
        <v>938</v>
      </c>
      <c r="I41" s="33"/>
      <c r="J41" s="22" t="s">
        <v>60</v>
      </c>
      <c r="K41" s="30">
        <v>36801</v>
      </c>
      <c r="L41" s="22">
        <f t="shared" ca="1" si="2"/>
        <v>25</v>
      </c>
      <c r="M41" s="22"/>
      <c r="N41" s="22" t="s">
        <v>617</v>
      </c>
      <c r="O41" s="30">
        <v>45098</v>
      </c>
      <c r="P41" s="25" t="s">
        <v>903</v>
      </c>
      <c r="Q41" s="49" t="s">
        <v>81</v>
      </c>
      <c r="R41" s="782" t="s">
        <v>930</v>
      </c>
      <c r="S41" s="25" t="s">
        <v>82</v>
      </c>
      <c r="T41" s="289">
        <v>15000</v>
      </c>
      <c r="U41" s="162">
        <v>45793</v>
      </c>
      <c r="V41" s="285">
        <v>46214</v>
      </c>
      <c r="W41" s="99" t="s">
        <v>939</v>
      </c>
      <c r="X41" s="9"/>
      <c r="Y41" s="59"/>
      <c r="Z41" s="15" t="s">
        <v>3556</v>
      </c>
      <c r="AA41" s="53"/>
      <c r="AB41" s="53"/>
      <c r="AC41" s="53"/>
      <c r="AD41" s="36"/>
      <c r="AE41" s="42">
        <v>46221</v>
      </c>
      <c r="AF41" s="42">
        <v>46269</v>
      </c>
      <c r="AG41" s="22"/>
      <c r="AH41" s="22" t="s">
        <v>680</v>
      </c>
      <c r="AI41" s="37"/>
      <c r="AJ41" s="119"/>
      <c r="AK41" s="264" t="s">
        <v>650</v>
      </c>
      <c r="AL41" s="9" t="s">
        <v>89</v>
      </c>
      <c r="AM41" s="197">
        <v>45092</v>
      </c>
      <c r="AN41" s="316" t="s">
        <v>907</v>
      </c>
      <c r="AO41" s="35"/>
      <c r="AP41" s="35" t="s">
        <v>941</v>
      </c>
      <c r="AQ41" s="217"/>
      <c r="AR41" s="217"/>
      <c r="AS41" s="217"/>
      <c r="AT41" s="217"/>
      <c r="AU41" s="217"/>
      <c r="AV41" s="117"/>
      <c r="AW41" s="117"/>
      <c r="AX41" s="117"/>
      <c r="AY41" s="117"/>
      <c r="AZ41" s="117"/>
      <c r="BA41" s="117"/>
      <c r="BB41" s="117"/>
    </row>
    <row r="42" spans="1:54" ht="50.25" customHeight="1">
      <c r="A42" s="264" t="s">
        <v>664</v>
      </c>
      <c r="B42" s="22">
        <v>125</v>
      </c>
      <c r="C42" s="44" t="s">
        <v>54</v>
      </c>
      <c r="D42" s="45" t="s">
        <v>611</v>
      </c>
      <c r="E42" s="158" t="s">
        <v>1124</v>
      </c>
      <c r="F42" s="106" t="s">
        <v>1125</v>
      </c>
      <c r="G42" s="137" t="s">
        <v>1126</v>
      </c>
      <c r="H42" s="137" t="s">
        <v>1127</v>
      </c>
      <c r="I42" s="33" t="s">
        <v>1128</v>
      </c>
      <c r="J42" s="22" t="s">
        <v>261</v>
      </c>
      <c r="K42" s="30">
        <v>35992</v>
      </c>
      <c r="L42" s="22">
        <f t="shared" ca="1" si="2"/>
        <v>27</v>
      </c>
      <c r="M42" s="22"/>
      <c r="N42" s="22" t="s">
        <v>617</v>
      </c>
      <c r="O42" s="30">
        <v>44937</v>
      </c>
      <c r="P42" s="25" t="s">
        <v>548</v>
      </c>
      <c r="Q42" s="49" t="s">
        <v>81</v>
      </c>
      <c r="R42" s="33" t="s">
        <v>1129</v>
      </c>
      <c r="S42" s="158" t="s">
        <v>82</v>
      </c>
      <c r="T42" s="209">
        <v>15000</v>
      </c>
      <c r="U42" s="51">
        <v>45976</v>
      </c>
      <c r="V42" s="267">
        <v>46067</v>
      </c>
      <c r="W42" s="14" t="s">
        <v>3557</v>
      </c>
      <c r="X42" s="45" t="s">
        <v>1131</v>
      </c>
      <c r="Y42" s="59"/>
      <c r="Z42" s="15" t="s">
        <v>1132</v>
      </c>
      <c r="AA42" s="53"/>
      <c r="AB42" s="53"/>
      <c r="AC42" s="53"/>
      <c r="AD42" s="36"/>
      <c r="AE42" s="42">
        <v>46224</v>
      </c>
      <c r="AF42" s="42">
        <v>46285</v>
      </c>
      <c r="AG42" s="22"/>
      <c r="AH42" s="22" t="s">
        <v>680</v>
      </c>
      <c r="AI42" s="37"/>
      <c r="AJ42" s="119"/>
      <c r="AK42" s="264" t="s">
        <v>671</v>
      </c>
      <c r="AL42" s="9" t="s">
        <v>265</v>
      </c>
      <c r="AM42" s="9"/>
      <c r="AN42" s="9" t="s">
        <v>265</v>
      </c>
      <c r="AO42" s="35"/>
      <c r="AP42" s="59" t="s">
        <v>1133</v>
      </c>
      <c r="AQ42" s="35"/>
      <c r="AR42" s="35"/>
      <c r="AS42" s="35"/>
      <c r="AT42" s="35"/>
      <c r="AU42" s="35"/>
      <c r="AV42" s="117"/>
      <c r="AW42" s="117"/>
      <c r="AX42" s="117"/>
      <c r="AY42" s="117"/>
      <c r="AZ42" s="117"/>
      <c r="BA42" s="117"/>
      <c r="BB42" s="117"/>
    </row>
    <row r="43" spans="1:54" ht="44.25" customHeight="1">
      <c r="A43" s="264" t="s">
        <v>643</v>
      </c>
      <c r="B43" s="17">
        <v>186</v>
      </c>
      <c r="C43" s="44" t="s">
        <v>54</v>
      </c>
      <c r="D43" s="136" t="s">
        <v>611</v>
      </c>
      <c r="E43" s="111" t="s">
        <v>1728</v>
      </c>
      <c r="F43" s="282" t="s">
        <v>1729</v>
      </c>
      <c r="G43" s="88" t="s">
        <v>1730</v>
      </c>
      <c r="H43" s="137" t="s">
        <v>1731</v>
      </c>
      <c r="I43" s="88" t="s">
        <v>1732</v>
      </c>
      <c r="J43" s="17" t="s">
        <v>60</v>
      </c>
      <c r="K43" s="89">
        <v>37822</v>
      </c>
      <c r="L43" s="22">
        <f t="shared" ca="1" si="2"/>
        <v>22</v>
      </c>
      <c r="M43" s="17" t="s">
        <v>134</v>
      </c>
      <c r="N43" s="17" t="s">
        <v>617</v>
      </c>
      <c r="O43" s="89">
        <v>45587</v>
      </c>
      <c r="P43" s="446">
        <v>47362</v>
      </c>
      <c r="Q43" s="113" t="s">
        <v>81</v>
      </c>
      <c r="R43" s="35" t="s">
        <v>1705</v>
      </c>
      <c r="S43" s="457" t="s">
        <v>82</v>
      </c>
      <c r="T43" s="64">
        <v>20000</v>
      </c>
      <c r="U43" s="425">
        <v>45870</v>
      </c>
      <c r="V43" s="89">
        <v>46315</v>
      </c>
      <c r="W43" s="141" t="s">
        <v>3558</v>
      </c>
      <c r="X43" s="166"/>
      <c r="Y43" s="166"/>
      <c r="Z43" s="46" t="s">
        <v>1734</v>
      </c>
      <c r="AA43" s="90"/>
      <c r="AB43" s="89"/>
      <c r="AC43" s="90"/>
      <c r="AD43" s="90"/>
      <c r="AE43" s="42">
        <v>46224</v>
      </c>
      <c r="AF43" s="42">
        <v>46285</v>
      </c>
      <c r="AG43" s="89"/>
      <c r="AH43" s="22" t="s">
        <v>680</v>
      </c>
      <c r="AI43" s="771" t="s">
        <v>3524</v>
      </c>
      <c r="AJ43" s="142"/>
      <c r="AK43" s="264" t="s">
        <v>650</v>
      </c>
      <c r="AL43" s="67" t="s">
        <v>89</v>
      </c>
      <c r="AM43" s="304">
        <v>45585</v>
      </c>
      <c r="AN43" s="82" t="s">
        <v>1595</v>
      </c>
      <c r="AO43" s="144"/>
      <c r="AP43" s="43" t="s">
        <v>3559</v>
      </c>
      <c r="AQ43" s="144"/>
      <c r="AR43" s="144"/>
      <c r="AS43" s="144"/>
      <c r="AT43" s="144"/>
      <c r="AU43" s="144"/>
      <c r="AV43" s="458"/>
      <c r="AW43" s="458"/>
      <c r="AX43" s="458"/>
      <c r="AY43" s="458"/>
      <c r="AZ43" s="458"/>
      <c r="BA43" s="458"/>
      <c r="BB43" s="458"/>
    </row>
    <row r="44" spans="1:54" ht="50.25" customHeight="1">
      <c r="A44" s="429"/>
      <c r="B44" s="22">
        <v>163</v>
      </c>
      <c r="C44" s="44" t="s">
        <v>54</v>
      </c>
      <c r="D44" s="45" t="s">
        <v>55</v>
      </c>
      <c r="E44" s="25" t="s">
        <v>1523</v>
      </c>
      <c r="F44" s="106" t="s">
        <v>1524</v>
      </c>
      <c r="G44" s="421" t="s">
        <v>1525</v>
      </c>
      <c r="H44" s="88" t="s">
        <v>290</v>
      </c>
      <c r="I44" s="88" t="s">
        <v>291</v>
      </c>
      <c r="J44" s="422" t="s">
        <v>60</v>
      </c>
      <c r="K44" s="335">
        <v>32890</v>
      </c>
      <c r="L44" s="22">
        <f t="shared" ca="1" si="2"/>
        <v>36</v>
      </c>
      <c r="M44" s="17" t="s">
        <v>79</v>
      </c>
      <c r="N44" s="422" t="s">
        <v>61</v>
      </c>
      <c r="O44" s="31">
        <v>45388</v>
      </c>
      <c r="P44" s="25" t="s">
        <v>1526</v>
      </c>
      <c r="Q44" s="160" t="s">
        <v>81</v>
      </c>
      <c r="R44" s="33" t="s">
        <v>64</v>
      </c>
      <c r="S44" s="348" t="s">
        <v>82</v>
      </c>
      <c r="T44" s="161">
        <v>20000</v>
      </c>
      <c r="U44" s="162">
        <v>46047</v>
      </c>
      <c r="V44" s="267">
        <v>47217</v>
      </c>
      <c r="W44" s="14" t="s">
        <v>1527</v>
      </c>
      <c r="X44" s="17"/>
      <c r="Y44" s="197">
        <v>45386</v>
      </c>
      <c r="Z44" s="423" t="s">
        <v>1528</v>
      </c>
      <c r="AA44" s="17"/>
      <c r="AB44" s="17"/>
      <c r="AC44" s="53"/>
      <c r="AD44" s="36"/>
      <c r="AE44" s="36"/>
      <c r="AF44" s="36"/>
      <c r="AG44" s="22"/>
      <c r="AH44" s="22"/>
      <c r="AI44" s="51"/>
      <c r="AJ44" s="216"/>
      <c r="AK44" s="17"/>
      <c r="AL44" s="167" t="s">
        <v>89</v>
      </c>
      <c r="AM44" s="114">
        <v>45386</v>
      </c>
      <c r="AN44" s="115" t="s">
        <v>1529</v>
      </c>
      <c r="AO44" s="82"/>
      <c r="AP44" s="82" t="s">
        <v>3560</v>
      </c>
      <c r="AQ44" s="180" t="s">
        <v>1531</v>
      </c>
      <c r="AR44" s="180" t="s">
        <v>1532</v>
      </c>
      <c r="AS44" s="180"/>
      <c r="AT44" s="180"/>
      <c r="AU44" s="180"/>
      <c r="AV44" s="776"/>
      <c r="AW44" s="776"/>
      <c r="AX44" s="781"/>
      <c r="AY44" s="783"/>
      <c r="AZ44" s="783"/>
      <c r="BA44" s="783"/>
      <c r="BB44" s="783"/>
    </row>
    <row r="45" spans="1:54" ht="50.25" customHeight="1">
      <c r="A45" s="429"/>
      <c r="B45" s="395"/>
      <c r="C45" s="553"/>
      <c r="D45" s="554"/>
      <c r="E45" s="300"/>
      <c r="F45" s="784"/>
      <c r="G45" s="174"/>
      <c r="H45" s="174"/>
      <c r="I45" s="47"/>
      <c r="J45" s="395"/>
      <c r="K45" s="98"/>
      <c r="L45" s="395"/>
      <c r="M45" s="395"/>
      <c r="N45" s="395"/>
      <c r="O45" s="98"/>
      <c r="P45" s="372"/>
      <c r="Q45" s="284"/>
      <c r="R45" s="47"/>
      <c r="S45" s="348"/>
      <c r="T45" s="557"/>
      <c r="U45" s="562"/>
      <c r="V45" s="98"/>
      <c r="W45" s="99"/>
      <c r="X45" s="176"/>
      <c r="Y45" s="273"/>
      <c r="Z45" s="273"/>
      <c r="AA45" s="559"/>
      <c r="AB45" s="559"/>
      <c r="AC45" s="559"/>
      <c r="AD45" s="559"/>
      <c r="AE45" s="178"/>
      <c r="AF45" s="559"/>
      <c r="AG45" s="395"/>
      <c r="AH45" s="395"/>
      <c r="AI45" s="771"/>
      <c r="AJ45" s="758"/>
      <c r="AK45" s="429"/>
      <c r="AL45" s="176"/>
      <c r="AM45" s="210"/>
      <c r="AN45" s="176"/>
      <c r="AO45" s="273"/>
      <c r="AP45" s="273"/>
      <c r="AQ45" s="783"/>
      <c r="AR45" s="783"/>
      <c r="AS45" s="783"/>
      <c r="AT45" s="783"/>
      <c r="AU45" s="783"/>
      <c r="AV45" s="785"/>
      <c r="AW45" s="785"/>
      <c r="AX45" s="785"/>
      <c r="AY45" s="785"/>
      <c r="AZ45" s="785"/>
      <c r="BA45" s="785"/>
      <c r="BB45" s="785"/>
    </row>
    <row r="46" spans="1:54" ht="50.25" customHeight="1">
      <c r="A46" s="429"/>
      <c r="B46" s="395"/>
      <c r="C46" s="553"/>
      <c r="D46" s="554"/>
      <c r="E46" s="300"/>
      <c r="F46" s="784"/>
      <c r="G46" s="174"/>
      <c r="H46" s="174"/>
      <c r="I46" s="47"/>
      <c r="J46" s="395"/>
      <c r="K46" s="98"/>
      <c r="L46" s="395"/>
      <c r="M46" s="395"/>
      <c r="N46" s="395"/>
      <c r="O46" s="98"/>
      <c r="P46" s="372"/>
      <c r="Q46" s="284"/>
      <c r="R46" s="47"/>
      <c r="S46" s="348"/>
      <c r="T46" s="557"/>
      <c r="U46" s="562"/>
      <c r="V46" s="98"/>
      <c r="W46" s="99"/>
      <c r="X46" s="176"/>
      <c r="Y46" s="273"/>
      <c r="Z46" s="273"/>
      <c r="AA46" s="559"/>
      <c r="AB46" s="559"/>
      <c r="AC46" s="559"/>
      <c r="AD46" s="559"/>
      <c r="AE46" s="178"/>
      <c r="AF46" s="559"/>
      <c r="AG46" s="395"/>
      <c r="AH46" s="395"/>
      <c r="AI46" s="757"/>
      <c r="AJ46" s="786"/>
      <c r="AK46" s="429"/>
      <c r="AL46" s="176"/>
      <c r="AM46" s="210"/>
      <c r="AN46" s="176"/>
      <c r="AO46" s="273"/>
      <c r="AP46" s="273"/>
      <c r="AQ46" s="783"/>
      <c r="AR46" s="783"/>
      <c r="AS46" s="783"/>
      <c r="AT46" s="783"/>
      <c r="AU46" s="783"/>
      <c r="AV46" s="785"/>
      <c r="AW46" s="785"/>
      <c r="AX46" s="785"/>
      <c r="AY46" s="785"/>
      <c r="AZ46" s="785"/>
      <c r="BA46" s="785"/>
      <c r="BB46" s="785"/>
    </row>
    <row r="47" spans="1:54" ht="14.5">
      <c r="U47" s="656"/>
      <c r="Y47" s="787"/>
      <c r="Z47" s="787"/>
      <c r="AB47" s="787"/>
    </row>
    <row r="48" spans="1:54" ht="50.25" customHeight="1">
      <c r="A48" s="70"/>
      <c r="B48" s="22"/>
      <c r="C48" s="84"/>
      <c r="D48" s="45"/>
      <c r="E48" s="25"/>
      <c r="F48" s="788"/>
      <c r="G48" s="33"/>
      <c r="H48" s="33"/>
      <c r="I48" s="33"/>
      <c r="J48" s="22"/>
      <c r="K48" s="30"/>
      <c r="L48" s="22"/>
      <c r="M48" s="22"/>
      <c r="N48" s="22"/>
      <c r="O48" s="449"/>
      <c r="P48" s="424"/>
      <c r="Q48" s="49"/>
      <c r="R48" s="182"/>
      <c r="S48" s="25"/>
      <c r="T48" s="330"/>
      <c r="U48" s="37"/>
      <c r="V48" s="30"/>
      <c r="W48" s="9"/>
      <c r="X48" s="9"/>
      <c r="Y48" s="241"/>
      <c r="Z48" s="82"/>
      <c r="AA48" s="67"/>
      <c r="AB48" s="22"/>
      <c r="AC48" s="42"/>
      <c r="AD48" s="42"/>
      <c r="AE48" s="42"/>
      <c r="AF48" s="42"/>
      <c r="AG48" s="22"/>
      <c r="AH48" s="22"/>
      <c r="AI48" s="184"/>
      <c r="AJ48" s="426"/>
      <c r="AK48" s="17"/>
      <c r="AL48" s="789" t="s">
        <v>1549</v>
      </c>
      <c r="AM48" s="790"/>
      <c r="AN48" s="790"/>
      <c r="AO48" s="790"/>
      <c r="AP48" s="790"/>
      <c r="AQ48" s="790"/>
      <c r="AR48" s="790"/>
      <c r="AS48" s="790"/>
      <c r="AT48" s="790"/>
      <c r="AU48" s="790"/>
      <c r="AV48" s="790"/>
      <c r="AW48" s="790"/>
      <c r="AX48" s="790"/>
      <c r="AY48" s="790"/>
      <c r="AZ48" s="790"/>
      <c r="BA48" s="790"/>
      <c r="BB48" s="790"/>
    </row>
    <row r="49" spans="1:54" ht="50.25" customHeight="1">
      <c r="A49" s="22"/>
      <c r="B49" s="22"/>
      <c r="C49" s="84"/>
      <c r="D49" s="45"/>
      <c r="E49" s="25"/>
      <c r="F49" s="791"/>
      <c r="G49" s="33"/>
      <c r="H49" s="28"/>
      <c r="I49" s="33"/>
      <c r="J49" s="22"/>
      <c r="K49" s="30"/>
      <c r="L49" s="22"/>
      <c r="M49" s="22"/>
      <c r="N49" s="22"/>
      <c r="O49" s="31"/>
      <c r="P49" s="25"/>
      <c r="Q49" s="49"/>
      <c r="R49" s="182"/>
      <c r="S49" s="25"/>
      <c r="T49" s="161"/>
      <c r="U49" s="204"/>
      <c r="V49" s="30"/>
      <c r="W49" s="9"/>
      <c r="X49" s="9"/>
      <c r="Y49" s="45"/>
      <c r="Z49" s="28"/>
      <c r="AA49" s="42"/>
      <c r="AB49" s="36"/>
      <c r="AC49" s="42"/>
      <c r="AD49" s="42"/>
      <c r="AE49" s="36"/>
      <c r="AF49" s="36"/>
      <c r="AG49" s="30"/>
      <c r="AH49" s="22"/>
      <c r="AI49" s="37"/>
      <c r="AJ49" s="168"/>
      <c r="AK49" s="22"/>
      <c r="AL49" s="571" t="s">
        <v>3561</v>
      </c>
      <c r="AM49" s="552"/>
      <c r="AN49" s="552"/>
      <c r="AO49" s="552"/>
      <c r="AP49" s="552"/>
      <c r="AQ49" s="552"/>
      <c r="AR49" s="552"/>
      <c r="AS49" s="552"/>
      <c r="AT49" s="552"/>
      <c r="AU49" s="552"/>
      <c r="AV49" s="552"/>
      <c r="AW49" s="552"/>
      <c r="AX49" s="552"/>
      <c r="AY49" s="552"/>
      <c r="AZ49" s="552"/>
      <c r="BA49" s="552"/>
      <c r="BB49" s="552"/>
    </row>
    <row r="50" spans="1:54" ht="14.5">
      <c r="U50" s="656"/>
      <c r="Y50" s="787"/>
      <c r="Z50" s="787"/>
      <c r="AB50" s="787"/>
    </row>
    <row r="51" spans="1:54" ht="14.5">
      <c r="U51" s="656"/>
      <c r="Y51" s="787"/>
      <c r="Z51" s="787"/>
      <c r="AB51" s="787"/>
    </row>
    <row r="52" spans="1:54" ht="14.5">
      <c r="U52" s="656"/>
      <c r="Y52" s="787"/>
      <c r="Z52" s="787"/>
      <c r="AB52" s="787"/>
    </row>
    <row r="53" spans="1:54" ht="14.5">
      <c r="U53" s="656"/>
      <c r="Y53" s="787"/>
      <c r="Z53" s="787"/>
      <c r="AB53" s="787"/>
    </row>
    <row r="54" spans="1:54" ht="14.5">
      <c r="U54" s="656"/>
      <c r="Y54" s="787"/>
      <c r="Z54" s="787"/>
      <c r="AB54" s="787"/>
    </row>
    <row r="55" spans="1:54" ht="14.5">
      <c r="U55" s="656"/>
      <c r="Y55" s="787"/>
      <c r="Z55" s="787"/>
      <c r="AB55" s="787"/>
    </row>
    <row r="56" spans="1:54" ht="14.5">
      <c r="U56" s="656"/>
      <c r="Y56" s="787"/>
      <c r="Z56" s="787"/>
      <c r="AB56" s="787"/>
    </row>
    <row r="57" spans="1:54" ht="14.5">
      <c r="U57" s="656"/>
      <c r="Y57" s="787"/>
      <c r="Z57" s="787"/>
      <c r="AB57" s="787"/>
    </row>
    <row r="58" spans="1:54" ht="14.5">
      <c r="U58" s="656"/>
      <c r="Y58" s="787"/>
      <c r="Z58" s="787"/>
      <c r="AB58" s="787"/>
    </row>
    <row r="59" spans="1:54" ht="14.5">
      <c r="U59" s="656"/>
      <c r="Y59" s="787"/>
      <c r="Z59" s="787"/>
      <c r="AB59" s="787"/>
    </row>
    <row r="60" spans="1:54" ht="14.5">
      <c r="U60" s="656"/>
      <c r="Y60" s="787"/>
      <c r="Z60" s="787"/>
      <c r="AB60" s="787"/>
    </row>
    <row r="61" spans="1:54" ht="14.5">
      <c r="U61" s="656"/>
      <c r="Y61" s="787"/>
      <c r="Z61" s="787"/>
      <c r="AB61" s="787"/>
    </row>
    <row r="62" spans="1:54" ht="14.5">
      <c r="U62" s="656"/>
      <c r="Y62" s="787"/>
      <c r="Z62" s="787"/>
      <c r="AB62" s="787"/>
    </row>
    <row r="63" spans="1:54" ht="14.5">
      <c r="U63" s="656"/>
      <c r="Y63" s="787"/>
      <c r="Z63" s="787"/>
      <c r="AB63" s="787"/>
    </row>
    <row r="64" spans="1:54" ht="14.5">
      <c r="U64" s="656"/>
      <c r="Y64" s="787"/>
      <c r="Z64" s="787"/>
      <c r="AB64" s="787"/>
    </row>
    <row r="65" spans="21:28" ht="14.5">
      <c r="U65" s="656"/>
      <c r="Y65" s="787"/>
      <c r="Z65" s="787"/>
      <c r="AB65" s="787"/>
    </row>
    <row r="66" spans="21:28" ht="14.5">
      <c r="U66" s="656"/>
      <c r="Y66" s="787"/>
      <c r="Z66" s="787"/>
      <c r="AB66" s="787"/>
    </row>
    <row r="67" spans="21:28" ht="14.5">
      <c r="U67" s="656"/>
      <c r="Y67" s="787"/>
      <c r="Z67" s="787"/>
      <c r="AB67" s="787"/>
    </row>
    <row r="68" spans="21:28" ht="14.5">
      <c r="U68" s="656"/>
      <c r="Y68" s="787"/>
      <c r="Z68" s="787"/>
      <c r="AB68" s="787"/>
    </row>
    <row r="69" spans="21:28" ht="14.5">
      <c r="U69" s="656"/>
      <c r="Y69" s="787"/>
      <c r="Z69" s="787"/>
      <c r="AB69" s="787"/>
    </row>
    <row r="70" spans="21:28" ht="14.5">
      <c r="U70" s="656"/>
      <c r="Y70" s="787"/>
      <c r="Z70" s="787"/>
      <c r="AB70" s="787"/>
    </row>
    <row r="71" spans="21:28" ht="14.5">
      <c r="U71" s="656"/>
      <c r="Y71" s="787"/>
      <c r="Z71" s="787"/>
      <c r="AB71" s="787"/>
    </row>
    <row r="72" spans="21:28" ht="14.5">
      <c r="U72" s="656"/>
      <c r="Y72" s="787"/>
      <c r="Z72" s="787"/>
      <c r="AB72" s="787"/>
    </row>
    <row r="73" spans="21:28" ht="14.5">
      <c r="U73" s="656"/>
      <c r="Y73" s="787"/>
      <c r="Z73" s="787"/>
      <c r="AB73" s="787"/>
    </row>
    <row r="74" spans="21:28" ht="14.5">
      <c r="U74" s="656"/>
      <c r="Y74" s="787"/>
      <c r="Z74" s="787"/>
      <c r="AB74" s="787"/>
    </row>
    <row r="75" spans="21:28" ht="14.5">
      <c r="U75" s="656"/>
      <c r="Y75" s="787"/>
      <c r="Z75" s="787"/>
      <c r="AB75" s="787"/>
    </row>
    <row r="76" spans="21:28" ht="14.5">
      <c r="U76" s="656"/>
      <c r="Y76" s="787"/>
      <c r="Z76" s="787"/>
      <c r="AB76" s="787"/>
    </row>
    <row r="77" spans="21:28" ht="14.5">
      <c r="U77" s="656"/>
      <c r="Y77" s="787"/>
      <c r="Z77" s="787"/>
      <c r="AB77" s="787"/>
    </row>
    <row r="78" spans="21:28" ht="14.5">
      <c r="U78" s="656"/>
      <c r="Y78" s="787"/>
      <c r="Z78" s="787"/>
      <c r="AB78" s="787"/>
    </row>
    <row r="79" spans="21:28" ht="14.5">
      <c r="U79" s="656"/>
      <c r="Y79" s="787"/>
      <c r="Z79" s="787"/>
      <c r="AB79" s="787"/>
    </row>
    <row r="80" spans="21:28" ht="14.5">
      <c r="U80" s="656"/>
      <c r="Y80" s="787"/>
      <c r="Z80" s="787"/>
      <c r="AB80" s="787"/>
    </row>
    <row r="81" spans="21:28" ht="14.5">
      <c r="U81" s="656"/>
      <c r="Y81" s="787"/>
      <c r="Z81" s="787"/>
      <c r="AB81" s="787"/>
    </row>
    <row r="82" spans="21:28" ht="14.5">
      <c r="U82" s="656"/>
      <c r="Y82" s="787"/>
      <c r="Z82" s="787"/>
      <c r="AB82" s="787"/>
    </row>
    <row r="83" spans="21:28" ht="14.5">
      <c r="U83" s="656"/>
      <c r="Y83" s="787"/>
      <c r="Z83" s="787"/>
      <c r="AB83" s="787"/>
    </row>
    <row r="84" spans="21:28" ht="14.5">
      <c r="U84" s="656"/>
      <c r="Y84" s="787"/>
      <c r="Z84" s="787"/>
      <c r="AB84" s="787"/>
    </row>
    <row r="85" spans="21:28" ht="14.5">
      <c r="U85" s="656"/>
      <c r="Y85" s="787"/>
      <c r="Z85" s="787"/>
      <c r="AB85" s="787"/>
    </row>
    <row r="86" spans="21:28" ht="14.5">
      <c r="U86" s="656"/>
      <c r="Y86" s="787"/>
      <c r="Z86" s="787"/>
      <c r="AB86" s="787"/>
    </row>
    <row r="87" spans="21:28" ht="14.5">
      <c r="U87" s="656"/>
      <c r="Y87" s="787"/>
      <c r="Z87" s="787"/>
      <c r="AB87" s="787"/>
    </row>
    <row r="88" spans="21:28" ht="14.5">
      <c r="U88" s="656"/>
      <c r="Y88" s="787"/>
      <c r="Z88" s="787"/>
      <c r="AB88" s="787"/>
    </row>
    <row r="89" spans="21:28" ht="14.5">
      <c r="U89" s="656"/>
      <c r="Y89" s="787"/>
      <c r="Z89" s="787"/>
      <c r="AB89" s="787"/>
    </row>
    <row r="90" spans="21:28" ht="14.5">
      <c r="U90" s="656"/>
      <c r="Y90" s="787"/>
      <c r="Z90" s="787"/>
      <c r="AB90" s="787"/>
    </row>
    <row r="91" spans="21:28" ht="14.5">
      <c r="U91" s="656"/>
      <c r="Y91" s="787"/>
      <c r="Z91" s="787"/>
      <c r="AB91" s="787"/>
    </row>
    <row r="92" spans="21:28" ht="14.5">
      <c r="U92" s="656"/>
      <c r="Y92" s="787"/>
      <c r="Z92" s="787"/>
      <c r="AB92" s="787"/>
    </row>
    <row r="93" spans="21:28" ht="14.5">
      <c r="U93" s="656"/>
      <c r="Y93" s="787"/>
      <c r="Z93" s="787"/>
      <c r="AB93" s="787"/>
    </row>
    <row r="94" spans="21:28" ht="14.5">
      <c r="U94" s="656"/>
      <c r="Y94" s="787"/>
      <c r="Z94" s="787"/>
      <c r="AB94" s="787"/>
    </row>
    <row r="95" spans="21:28" ht="14.5">
      <c r="U95" s="656"/>
      <c r="Y95" s="787"/>
      <c r="Z95" s="787"/>
      <c r="AB95" s="787"/>
    </row>
    <row r="96" spans="21:28" ht="14.5">
      <c r="U96" s="656"/>
      <c r="Y96" s="787"/>
      <c r="Z96" s="787"/>
      <c r="AB96" s="787"/>
    </row>
    <row r="97" spans="21:28" ht="14.5">
      <c r="U97" s="656"/>
      <c r="Y97" s="787"/>
      <c r="Z97" s="787"/>
      <c r="AB97" s="787"/>
    </row>
    <row r="98" spans="21:28" ht="14.5">
      <c r="U98" s="656"/>
      <c r="Y98" s="787"/>
      <c r="Z98" s="787"/>
      <c r="AB98" s="787"/>
    </row>
    <row r="99" spans="21:28" ht="14.5">
      <c r="U99" s="656"/>
      <c r="Y99" s="787"/>
      <c r="Z99" s="787"/>
      <c r="AB99" s="787"/>
    </row>
    <row r="100" spans="21:28" ht="14.5">
      <c r="U100" s="656"/>
      <c r="Y100" s="787"/>
      <c r="Z100" s="787"/>
      <c r="AB100" s="787"/>
    </row>
    <row r="101" spans="21:28" ht="14.5">
      <c r="U101" s="656"/>
      <c r="Y101" s="787"/>
      <c r="Z101" s="787"/>
      <c r="AB101" s="787"/>
    </row>
    <row r="102" spans="21:28" ht="14.5">
      <c r="U102" s="656"/>
      <c r="Y102" s="787"/>
      <c r="Z102" s="787"/>
      <c r="AB102" s="787"/>
    </row>
    <row r="103" spans="21:28" ht="14.5">
      <c r="U103" s="656"/>
      <c r="Y103" s="787"/>
      <c r="Z103" s="787"/>
      <c r="AB103" s="787"/>
    </row>
    <row r="104" spans="21:28" ht="14.5">
      <c r="U104" s="656"/>
      <c r="Y104" s="787"/>
      <c r="Z104" s="787"/>
      <c r="AB104" s="787"/>
    </row>
    <row r="105" spans="21:28" ht="14.5">
      <c r="U105" s="656"/>
      <c r="Y105" s="787"/>
      <c r="Z105" s="787"/>
      <c r="AB105" s="787"/>
    </row>
    <row r="106" spans="21:28" ht="14.5">
      <c r="U106" s="656"/>
      <c r="Y106" s="787"/>
      <c r="Z106" s="787"/>
      <c r="AB106" s="787"/>
    </row>
    <row r="107" spans="21:28" ht="14.5">
      <c r="U107" s="656"/>
      <c r="Y107" s="787"/>
      <c r="Z107" s="787"/>
      <c r="AB107" s="787"/>
    </row>
    <row r="108" spans="21:28" ht="14.5">
      <c r="U108" s="656"/>
      <c r="Y108" s="787"/>
      <c r="Z108" s="787"/>
      <c r="AB108" s="787"/>
    </row>
    <row r="109" spans="21:28" ht="14.5">
      <c r="U109" s="656"/>
      <c r="Y109" s="787"/>
      <c r="Z109" s="787"/>
      <c r="AB109" s="787"/>
    </row>
    <row r="110" spans="21:28" ht="14.5">
      <c r="U110" s="656"/>
      <c r="Y110" s="787"/>
      <c r="Z110" s="787"/>
      <c r="AB110" s="787"/>
    </row>
    <row r="111" spans="21:28" ht="14.5">
      <c r="U111" s="656"/>
      <c r="Y111" s="787"/>
      <c r="Z111" s="787"/>
      <c r="AB111" s="787"/>
    </row>
    <row r="112" spans="21:28" ht="14.5">
      <c r="U112" s="656"/>
      <c r="Y112" s="787"/>
      <c r="Z112" s="787"/>
      <c r="AB112" s="787"/>
    </row>
    <row r="113" spans="21:28" ht="14.5">
      <c r="U113" s="656"/>
      <c r="Y113" s="787"/>
      <c r="Z113" s="787"/>
      <c r="AB113" s="787"/>
    </row>
    <row r="114" spans="21:28" ht="14.5">
      <c r="U114" s="656"/>
      <c r="Y114" s="787"/>
      <c r="Z114" s="787"/>
      <c r="AB114" s="787"/>
    </row>
    <row r="115" spans="21:28" ht="14.5">
      <c r="U115" s="656"/>
      <c r="Y115" s="787"/>
      <c r="Z115" s="787"/>
      <c r="AB115" s="787"/>
    </row>
    <row r="116" spans="21:28" ht="14.5">
      <c r="U116" s="656"/>
      <c r="Y116" s="787"/>
      <c r="Z116" s="787"/>
      <c r="AB116" s="787"/>
    </row>
    <row r="117" spans="21:28" ht="14.5">
      <c r="U117" s="656"/>
      <c r="Y117" s="787"/>
      <c r="Z117" s="787"/>
      <c r="AB117" s="787"/>
    </row>
    <row r="118" spans="21:28" ht="14.5">
      <c r="U118" s="656"/>
      <c r="Y118" s="787"/>
      <c r="Z118" s="787"/>
      <c r="AB118" s="787"/>
    </row>
    <row r="119" spans="21:28" ht="14.5">
      <c r="U119" s="656"/>
      <c r="Y119" s="787"/>
      <c r="Z119" s="787"/>
      <c r="AB119" s="787"/>
    </row>
    <row r="120" spans="21:28" ht="14.5">
      <c r="U120" s="656"/>
      <c r="Y120" s="787"/>
      <c r="Z120" s="787"/>
      <c r="AB120" s="787"/>
    </row>
    <row r="121" spans="21:28" ht="14.5">
      <c r="U121" s="656"/>
      <c r="Y121" s="787"/>
      <c r="Z121" s="787"/>
      <c r="AB121" s="787"/>
    </row>
    <row r="122" spans="21:28" ht="14.5">
      <c r="U122" s="656"/>
      <c r="Y122" s="787"/>
      <c r="Z122" s="787"/>
      <c r="AB122" s="787"/>
    </row>
    <row r="123" spans="21:28" ht="14.5">
      <c r="U123" s="656"/>
      <c r="Y123" s="787"/>
      <c r="Z123" s="787"/>
      <c r="AB123" s="787"/>
    </row>
    <row r="124" spans="21:28" ht="14.5">
      <c r="U124" s="656"/>
      <c r="Y124" s="787"/>
      <c r="Z124" s="787"/>
      <c r="AB124" s="787"/>
    </row>
    <row r="125" spans="21:28" ht="14.5">
      <c r="U125" s="656"/>
      <c r="Y125" s="787"/>
      <c r="Z125" s="787"/>
      <c r="AB125" s="787"/>
    </row>
    <row r="126" spans="21:28" ht="14.5">
      <c r="U126" s="656"/>
      <c r="Y126" s="787"/>
      <c r="Z126" s="787"/>
      <c r="AB126" s="787"/>
    </row>
    <row r="127" spans="21:28" ht="14.5">
      <c r="U127" s="656"/>
      <c r="Y127" s="787"/>
      <c r="Z127" s="787"/>
      <c r="AB127" s="787"/>
    </row>
    <row r="128" spans="21:28" ht="14.5">
      <c r="U128" s="656"/>
      <c r="Y128" s="787"/>
      <c r="Z128" s="787"/>
      <c r="AB128" s="787"/>
    </row>
    <row r="129" spans="21:28" ht="14.5">
      <c r="U129" s="656"/>
      <c r="Y129" s="787"/>
      <c r="Z129" s="787"/>
      <c r="AB129" s="787"/>
    </row>
    <row r="130" spans="21:28" ht="14.5">
      <c r="U130" s="656"/>
      <c r="Y130" s="787"/>
      <c r="Z130" s="787"/>
      <c r="AB130" s="787"/>
    </row>
    <row r="131" spans="21:28" ht="14.5">
      <c r="U131" s="656"/>
      <c r="Y131" s="787"/>
      <c r="Z131" s="787"/>
      <c r="AB131" s="787"/>
    </row>
    <row r="132" spans="21:28" ht="14.5">
      <c r="U132" s="656"/>
      <c r="Y132" s="787"/>
      <c r="Z132" s="787"/>
      <c r="AB132" s="787"/>
    </row>
    <row r="133" spans="21:28" ht="14.5">
      <c r="U133" s="656"/>
      <c r="Y133" s="787"/>
      <c r="Z133" s="787"/>
      <c r="AB133" s="787"/>
    </row>
    <row r="134" spans="21:28" ht="14.5">
      <c r="U134" s="656"/>
      <c r="Y134" s="787"/>
      <c r="Z134" s="787"/>
      <c r="AB134" s="787"/>
    </row>
    <row r="135" spans="21:28" ht="14.5">
      <c r="U135" s="656"/>
      <c r="Y135" s="787"/>
      <c r="Z135" s="787"/>
      <c r="AB135" s="787"/>
    </row>
    <row r="136" spans="21:28" ht="14.5">
      <c r="U136" s="656"/>
      <c r="Y136" s="787"/>
      <c r="Z136" s="787"/>
      <c r="AB136" s="787"/>
    </row>
    <row r="137" spans="21:28" ht="14.5">
      <c r="U137" s="656"/>
      <c r="Y137" s="787"/>
      <c r="Z137" s="787"/>
      <c r="AB137" s="787"/>
    </row>
    <row r="138" spans="21:28" ht="14.5">
      <c r="U138" s="656"/>
      <c r="Y138" s="787"/>
      <c r="Z138" s="787"/>
      <c r="AB138" s="787"/>
    </row>
    <row r="139" spans="21:28" ht="14.5">
      <c r="U139" s="656"/>
      <c r="Y139" s="787"/>
      <c r="Z139" s="787"/>
      <c r="AB139" s="787"/>
    </row>
    <row r="140" spans="21:28" ht="14.5">
      <c r="U140" s="656"/>
      <c r="Y140" s="787"/>
      <c r="Z140" s="787"/>
      <c r="AB140" s="787"/>
    </row>
    <row r="141" spans="21:28" ht="14.5">
      <c r="U141" s="656"/>
      <c r="Y141" s="787"/>
      <c r="Z141" s="787"/>
      <c r="AB141" s="787"/>
    </row>
    <row r="142" spans="21:28" ht="14.5">
      <c r="U142" s="656"/>
      <c r="Y142" s="787"/>
      <c r="Z142" s="787"/>
      <c r="AB142" s="787"/>
    </row>
    <row r="143" spans="21:28" ht="14.5">
      <c r="U143" s="656"/>
      <c r="Y143" s="787"/>
      <c r="Z143" s="787"/>
      <c r="AB143" s="787"/>
    </row>
    <row r="144" spans="21:28" ht="14.5">
      <c r="U144" s="656"/>
      <c r="Y144" s="787"/>
      <c r="Z144" s="787"/>
      <c r="AB144" s="787"/>
    </row>
    <row r="145" spans="21:28" ht="14.5">
      <c r="U145" s="656"/>
      <c r="Y145" s="787"/>
      <c r="Z145" s="787"/>
      <c r="AB145" s="787"/>
    </row>
    <row r="146" spans="21:28" ht="14.5">
      <c r="U146" s="656"/>
      <c r="Y146" s="787"/>
      <c r="Z146" s="787"/>
      <c r="AB146" s="787"/>
    </row>
    <row r="147" spans="21:28" ht="14.5">
      <c r="U147" s="656"/>
      <c r="Y147" s="787"/>
      <c r="Z147" s="787"/>
      <c r="AB147" s="787"/>
    </row>
    <row r="148" spans="21:28" ht="14.5">
      <c r="U148" s="656"/>
      <c r="Y148" s="787"/>
      <c r="Z148" s="787"/>
      <c r="AB148" s="787"/>
    </row>
    <row r="149" spans="21:28" ht="14.5">
      <c r="U149" s="656"/>
      <c r="Y149" s="787"/>
      <c r="Z149" s="787"/>
      <c r="AB149" s="787"/>
    </row>
    <row r="150" spans="21:28" ht="14.5">
      <c r="U150" s="656"/>
      <c r="Y150" s="787"/>
      <c r="Z150" s="787"/>
      <c r="AB150" s="787"/>
    </row>
    <row r="151" spans="21:28" ht="14.5">
      <c r="U151" s="656"/>
      <c r="Y151" s="787"/>
      <c r="Z151" s="787"/>
      <c r="AB151" s="787"/>
    </row>
    <row r="152" spans="21:28" ht="14.5">
      <c r="U152" s="656"/>
      <c r="Y152" s="787"/>
      <c r="Z152" s="787"/>
      <c r="AB152" s="787"/>
    </row>
    <row r="153" spans="21:28" ht="14.5">
      <c r="U153" s="656"/>
      <c r="Y153" s="787"/>
      <c r="Z153" s="787"/>
      <c r="AB153" s="787"/>
    </row>
    <row r="154" spans="21:28" ht="14.5">
      <c r="U154" s="656"/>
      <c r="Y154" s="787"/>
      <c r="Z154" s="787"/>
      <c r="AB154" s="787"/>
    </row>
    <row r="155" spans="21:28" ht="14.5">
      <c r="U155" s="656"/>
      <c r="Y155" s="787"/>
      <c r="Z155" s="787"/>
      <c r="AB155" s="787"/>
    </row>
    <row r="156" spans="21:28" ht="14.5">
      <c r="U156" s="656"/>
      <c r="Y156" s="787"/>
      <c r="Z156" s="787"/>
      <c r="AB156" s="787"/>
    </row>
    <row r="157" spans="21:28" ht="14.5">
      <c r="U157" s="656"/>
      <c r="Y157" s="787"/>
      <c r="Z157" s="787"/>
      <c r="AB157" s="787"/>
    </row>
    <row r="158" spans="21:28" ht="14.5">
      <c r="U158" s="656"/>
      <c r="Y158" s="787"/>
      <c r="Z158" s="787"/>
      <c r="AB158" s="787"/>
    </row>
    <row r="159" spans="21:28" ht="14.5">
      <c r="U159" s="656"/>
      <c r="Y159" s="787"/>
      <c r="Z159" s="787"/>
      <c r="AB159" s="787"/>
    </row>
    <row r="160" spans="21:28" ht="14.5">
      <c r="U160" s="656"/>
      <c r="Y160" s="787"/>
      <c r="Z160" s="787"/>
      <c r="AB160" s="787"/>
    </row>
    <row r="161" spans="21:28" ht="14.5">
      <c r="U161" s="656"/>
      <c r="Y161" s="787"/>
      <c r="Z161" s="787"/>
      <c r="AB161" s="787"/>
    </row>
    <row r="162" spans="21:28" ht="14.5">
      <c r="U162" s="656"/>
      <c r="Y162" s="787"/>
      <c r="Z162" s="787"/>
      <c r="AB162" s="787"/>
    </row>
    <row r="163" spans="21:28" ht="14.5">
      <c r="U163" s="656"/>
      <c r="Y163" s="787"/>
      <c r="Z163" s="787"/>
      <c r="AB163" s="787"/>
    </row>
    <row r="164" spans="21:28" ht="14.5">
      <c r="U164" s="656"/>
      <c r="Y164" s="787"/>
      <c r="Z164" s="787"/>
      <c r="AB164" s="787"/>
    </row>
    <row r="165" spans="21:28" ht="14.5">
      <c r="U165" s="656"/>
      <c r="Y165" s="787"/>
      <c r="Z165" s="787"/>
      <c r="AB165" s="787"/>
    </row>
    <row r="166" spans="21:28" ht="14.5">
      <c r="U166" s="656"/>
      <c r="Y166" s="787"/>
      <c r="Z166" s="787"/>
      <c r="AB166" s="787"/>
    </row>
    <row r="167" spans="21:28" ht="14.5">
      <c r="U167" s="656"/>
      <c r="Y167" s="787"/>
      <c r="Z167" s="787"/>
      <c r="AB167" s="787"/>
    </row>
    <row r="168" spans="21:28" ht="14.5">
      <c r="U168" s="656"/>
      <c r="Y168" s="787"/>
      <c r="Z168" s="787"/>
      <c r="AB168" s="787"/>
    </row>
    <row r="169" spans="21:28" ht="14.5">
      <c r="U169" s="656"/>
      <c r="Y169" s="787"/>
      <c r="Z169" s="787"/>
      <c r="AB169" s="787"/>
    </row>
    <row r="170" spans="21:28" ht="14.5">
      <c r="U170" s="656"/>
      <c r="Y170" s="787"/>
      <c r="Z170" s="787"/>
      <c r="AB170" s="787"/>
    </row>
    <row r="171" spans="21:28" ht="14.5">
      <c r="U171" s="656"/>
      <c r="Y171" s="787"/>
      <c r="Z171" s="787"/>
      <c r="AB171" s="787"/>
    </row>
    <row r="172" spans="21:28" ht="14.5">
      <c r="U172" s="656"/>
      <c r="Y172" s="787"/>
      <c r="Z172" s="787"/>
      <c r="AB172" s="787"/>
    </row>
    <row r="173" spans="21:28" ht="14.5">
      <c r="U173" s="656"/>
      <c r="Y173" s="787"/>
      <c r="Z173" s="787"/>
      <c r="AB173" s="787"/>
    </row>
    <row r="174" spans="21:28" ht="14.5">
      <c r="U174" s="656"/>
      <c r="Y174" s="787"/>
      <c r="Z174" s="787"/>
      <c r="AB174" s="787"/>
    </row>
    <row r="175" spans="21:28" ht="14.5">
      <c r="U175" s="656"/>
      <c r="Y175" s="787"/>
      <c r="Z175" s="787"/>
      <c r="AB175" s="787"/>
    </row>
    <row r="176" spans="21:28" ht="14.5">
      <c r="U176" s="656"/>
      <c r="Y176" s="787"/>
      <c r="Z176" s="787"/>
      <c r="AB176" s="787"/>
    </row>
    <row r="177" spans="21:28" ht="14.5">
      <c r="U177" s="656"/>
      <c r="Y177" s="787"/>
      <c r="Z177" s="787"/>
      <c r="AB177" s="787"/>
    </row>
    <row r="178" spans="21:28" ht="14.5">
      <c r="U178" s="656"/>
      <c r="Y178" s="787"/>
      <c r="Z178" s="787"/>
      <c r="AB178" s="787"/>
    </row>
    <row r="179" spans="21:28" ht="14.5">
      <c r="U179" s="656"/>
      <c r="Y179" s="787"/>
      <c r="Z179" s="787"/>
      <c r="AB179" s="787"/>
    </row>
    <row r="180" spans="21:28" ht="14.5">
      <c r="U180" s="656"/>
      <c r="Y180" s="787"/>
      <c r="Z180" s="787"/>
      <c r="AB180" s="787"/>
    </row>
    <row r="181" spans="21:28" ht="14.5">
      <c r="U181" s="656"/>
      <c r="Y181" s="787"/>
      <c r="Z181" s="787"/>
      <c r="AB181" s="787"/>
    </row>
    <row r="182" spans="21:28" ht="14.5">
      <c r="U182" s="656"/>
      <c r="Y182" s="787"/>
      <c r="Z182" s="787"/>
      <c r="AB182" s="787"/>
    </row>
    <row r="183" spans="21:28" ht="14.5">
      <c r="U183" s="656"/>
      <c r="Y183" s="787"/>
      <c r="Z183" s="787"/>
      <c r="AB183" s="787"/>
    </row>
    <row r="184" spans="21:28" ht="14.5">
      <c r="U184" s="656"/>
      <c r="Y184" s="787"/>
      <c r="Z184" s="787"/>
      <c r="AB184" s="787"/>
    </row>
    <row r="185" spans="21:28" ht="14.5">
      <c r="U185" s="656"/>
      <c r="Y185" s="787"/>
      <c r="Z185" s="787"/>
      <c r="AB185" s="787"/>
    </row>
    <row r="186" spans="21:28" ht="14.5">
      <c r="U186" s="656"/>
      <c r="Y186" s="787"/>
      <c r="Z186" s="787"/>
      <c r="AB186" s="787"/>
    </row>
    <row r="187" spans="21:28" ht="14.5">
      <c r="U187" s="656"/>
      <c r="Y187" s="787"/>
      <c r="Z187" s="787"/>
      <c r="AB187" s="787"/>
    </row>
    <row r="188" spans="21:28" ht="14.5">
      <c r="U188" s="656"/>
      <c r="Y188" s="787"/>
      <c r="Z188" s="787"/>
      <c r="AB188" s="787"/>
    </row>
    <row r="189" spans="21:28" ht="14.5">
      <c r="U189" s="656"/>
      <c r="Y189" s="787"/>
      <c r="Z189" s="787"/>
      <c r="AB189" s="787"/>
    </row>
    <row r="190" spans="21:28" ht="14.5">
      <c r="U190" s="656"/>
      <c r="Y190" s="787"/>
      <c r="Z190" s="787"/>
      <c r="AB190" s="787"/>
    </row>
    <row r="191" spans="21:28" ht="14.5">
      <c r="U191" s="656"/>
      <c r="Y191" s="787"/>
      <c r="Z191" s="787"/>
      <c r="AB191" s="787"/>
    </row>
    <row r="192" spans="21:28" ht="14.5">
      <c r="U192" s="656"/>
      <c r="Y192" s="787"/>
      <c r="Z192" s="787"/>
      <c r="AB192" s="787"/>
    </row>
    <row r="193" spans="21:28" ht="14.5">
      <c r="U193" s="656"/>
      <c r="Y193" s="787"/>
      <c r="Z193" s="787"/>
      <c r="AB193" s="787"/>
    </row>
    <row r="194" spans="21:28" ht="14.5">
      <c r="U194" s="656"/>
      <c r="Y194" s="787"/>
      <c r="Z194" s="787"/>
      <c r="AB194" s="787"/>
    </row>
    <row r="195" spans="21:28" ht="14.5">
      <c r="U195" s="656"/>
      <c r="Y195" s="787"/>
      <c r="Z195" s="787"/>
      <c r="AB195" s="787"/>
    </row>
    <row r="196" spans="21:28" ht="14.5">
      <c r="U196" s="656"/>
      <c r="Y196" s="787"/>
      <c r="Z196" s="787"/>
      <c r="AB196" s="787"/>
    </row>
    <row r="197" spans="21:28" ht="14.5">
      <c r="U197" s="656"/>
      <c r="Y197" s="787"/>
      <c r="Z197" s="787"/>
      <c r="AB197" s="787"/>
    </row>
    <row r="198" spans="21:28" ht="14.5">
      <c r="U198" s="656"/>
      <c r="Y198" s="787"/>
      <c r="Z198" s="787"/>
      <c r="AB198" s="787"/>
    </row>
    <row r="199" spans="21:28" ht="14.5">
      <c r="U199" s="656"/>
      <c r="Y199" s="787"/>
      <c r="Z199" s="787"/>
      <c r="AB199" s="787"/>
    </row>
    <row r="200" spans="21:28" ht="14.5">
      <c r="U200" s="656"/>
      <c r="Y200" s="787"/>
      <c r="Z200" s="787"/>
      <c r="AB200" s="787"/>
    </row>
    <row r="201" spans="21:28" ht="14.5">
      <c r="U201" s="656"/>
      <c r="Y201" s="787"/>
      <c r="Z201" s="787"/>
      <c r="AB201" s="787"/>
    </row>
    <row r="202" spans="21:28" ht="14.5">
      <c r="U202" s="656"/>
      <c r="Y202" s="787"/>
      <c r="Z202" s="787"/>
      <c r="AB202" s="787"/>
    </row>
    <row r="203" spans="21:28" ht="14.5">
      <c r="U203" s="656"/>
      <c r="Y203" s="787"/>
      <c r="Z203" s="787"/>
      <c r="AB203" s="787"/>
    </row>
    <row r="204" spans="21:28" ht="14.5">
      <c r="U204" s="656"/>
      <c r="Y204" s="787"/>
      <c r="Z204" s="787"/>
      <c r="AB204" s="787"/>
    </row>
    <row r="205" spans="21:28" ht="14.5">
      <c r="U205" s="656"/>
      <c r="Y205" s="787"/>
      <c r="Z205" s="787"/>
      <c r="AB205" s="787"/>
    </row>
    <row r="206" spans="21:28" ht="14.5">
      <c r="U206" s="656"/>
      <c r="Y206" s="787"/>
      <c r="Z206" s="787"/>
      <c r="AB206" s="787"/>
    </row>
    <row r="207" spans="21:28" ht="14.5">
      <c r="U207" s="656"/>
      <c r="Y207" s="787"/>
      <c r="Z207" s="787"/>
      <c r="AB207" s="787"/>
    </row>
    <row r="208" spans="21:28" ht="14.5">
      <c r="U208" s="656"/>
      <c r="Y208" s="787"/>
      <c r="Z208" s="787"/>
      <c r="AB208" s="787"/>
    </row>
    <row r="209" spans="21:28" ht="14.5">
      <c r="U209" s="656"/>
      <c r="Y209" s="787"/>
      <c r="Z209" s="787"/>
      <c r="AB209" s="787"/>
    </row>
    <row r="210" spans="21:28" ht="14.5">
      <c r="U210" s="656"/>
      <c r="Y210" s="787"/>
      <c r="Z210" s="787"/>
      <c r="AB210" s="787"/>
    </row>
    <row r="211" spans="21:28" ht="14.5">
      <c r="U211" s="656"/>
      <c r="Y211" s="787"/>
      <c r="Z211" s="787"/>
      <c r="AB211" s="787"/>
    </row>
    <row r="212" spans="21:28" ht="14.5">
      <c r="U212" s="656"/>
      <c r="Y212" s="787"/>
      <c r="Z212" s="787"/>
      <c r="AB212" s="787"/>
    </row>
    <row r="213" spans="21:28" ht="14.5">
      <c r="U213" s="656"/>
      <c r="Y213" s="787"/>
      <c r="Z213" s="787"/>
      <c r="AB213" s="787"/>
    </row>
    <row r="214" spans="21:28" ht="14.5">
      <c r="U214" s="656"/>
      <c r="Y214" s="787"/>
      <c r="Z214" s="787"/>
      <c r="AB214" s="787"/>
    </row>
    <row r="215" spans="21:28" ht="14.5">
      <c r="U215" s="656"/>
      <c r="Y215" s="787"/>
      <c r="Z215" s="787"/>
      <c r="AB215" s="787"/>
    </row>
    <row r="216" spans="21:28" ht="14.5">
      <c r="U216" s="656"/>
      <c r="Y216" s="787"/>
      <c r="Z216" s="787"/>
      <c r="AB216" s="787"/>
    </row>
    <row r="217" spans="21:28" ht="14.5">
      <c r="U217" s="656"/>
      <c r="Y217" s="787"/>
      <c r="Z217" s="787"/>
      <c r="AB217" s="787"/>
    </row>
    <row r="218" spans="21:28" ht="14.5">
      <c r="U218" s="656"/>
      <c r="Y218" s="787"/>
      <c r="Z218" s="787"/>
      <c r="AB218" s="787"/>
    </row>
    <row r="219" spans="21:28" ht="14.5">
      <c r="U219" s="656"/>
      <c r="Y219" s="787"/>
      <c r="Z219" s="787"/>
      <c r="AB219" s="787"/>
    </row>
    <row r="220" spans="21:28" ht="14.5">
      <c r="U220" s="656"/>
      <c r="Y220" s="787"/>
      <c r="Z220" s="787"/>
      <c r="AB220" s="787"/>
    </row>
    <row r="221" spans="21:28" ht="14.5">
      <c r="U221" s="656"/>
      <c r="Y221" s="787"/>
      <c r="Z221" s="787"/>
      <c r="AB221" s="787"/>
    </row>
    <row r="222" spans="21:28" ht="14.5">
      <c r="U222" s="656"/>
      <c r="Y222" s="787"/>
      <c r="Z222" s="787"/>
      <c r="AB222" s="787"/>
    </row>
    <row r="223" spans="21:28" ht="14.5">
      <c r="U223" s="656"/>
      <c r="Y223" s="787"/>
      <c r="Z223" s="787"/>
      <c r="AB223" s="787"/>
    </row>
    <row r="224" spans="21:28" ht="14.5">
      <c r="U224" s="656"/>
      <c r="Y224" s="787"/>
      <c r="Z224" s="787"/>
      <c r="AB224" s="787"/>
    </row>
    <row r="225" spans="21:28" ht="14.5">
      <c r="U225" s="656"/>
      <c r="Y225" s="787"/>
      <c r="Z225" s="787"/>
      <c r="AB225" s="787"/>
    </row>
    <row r="226" spans="21:28" ht="14.5">
      <c r="U226" s="656"/>
      <c r="Y226" s="787"/>
      <c r="Z226" s="787"/>
      <c r="AB226" s="787"/>
    </row>
    <row r="227" spans="21:28" ht="14.5">
      <c r="U227" s="656"/>
      <c r="Y227" s="787"/>
      <c r="Z227" s="787"/>
      <c r="AB227" s="787"/>
    </row>
    <row r="228" spans="21:28" ht="14.5">
      <c r="U228" s="656"/>
      <c r="Y228" s="787"/>
      <c r="Z228" s="787"/>
      <c r="AB228" s="787"/>
    </row>
    <row r="229" spans="21:28" ht="14.5">
      <c r="U229" s="656"/>
      <c r="Y229" s="787"/>
      <c r="Z229" s="787"/>
      <c r="AB229" s="787"/>
    </row>
    <row r="230" spans="21:28" ht="14.5">
      <c r="U230" s="656"/>
      <c r="Y230" s="787"/>
      <c r="Z230" s="787"/>
      <c r="AB230" s="787"/>
    </row>
    <row r="231" spans="21:28" ht="14.5">
      <c r="U231" s="656"/>
      <c r="Y231" s="787"/>
      <c r="Z231" s="787"/>
      <c r="AB231" s="787"/>
    </row>
    <row r="232" spans="21:28" ht="14.5">
      <c r="U232" s="656"/>
      <c r="Y232" s="787"/>
      <c r="Z232" s="787"/>
      <c r="AB232" s="787"/>
    </row>
    <row r="233" spans="21:28" ht="14.5">
      <c r="U233" s="656"/>
      <c r="Y233" s="787"/>
      <c r="Z233" s="787"/>
      <c r="AB233" s="787"/>
    </row>
    <row r="234" spans="21:28" ht="14.5">
      <c r="U234" s="656"/>
      <c r="Y234" s="787"/>
      <c r="Z234" s="787"/>
      <c r="AB234" s="787"/>
    </row>
    <row r="235" spans="21:28" ht="14.5">
      <c r="U235" s="656"/>
      <c r="Y235" s="787"/>
      <c r="Z235" s="787"/>
      <c r="AB235" s="787"/>
    </row>
    <row r="236" spans="21:28" ht="14.5">
      <c r="U236" s="656"/>
      <c r="Y236" s="787"/>
      <c r="Z236" s="787"/>
      <c r="AB236" s="787"/>
    </row>
    <row r="237" spans="21:28" ht="14.5">
      <c r="U237" s="656"/>
      <c r="Y237" s="787"/>
      <c r="Z237" s="787"/>
      <c r="AB237" s="787"/>
    </row>
    <row r="238" spans="21:28" ht="14.5">
      <c r="U238" s="656"/>
      <c r="Y238" s="787"/>
      <c r="Z238" s="787"/>
      <c r="AB238" s="787"/>
    </row>
    <row r="239" spans="21:28" ht="14.5">
      <c r="U239" s="656"/>
      <c r="Y239" s="787"/>
      <c r="Z239" s="787"/>
      <c r="AB239" s="787"/>
    </row>
    <row r="240" spans="21:28" ht="14.5">
      <c r="U240" s="656"/>
      <c r="Y240" s="787"/>
      <c r="Z240" s="787"/>
      <c r="AB240" s="787"/>
    </row>
    <row r="241" spans="21:28" ht="14.5">
      <c r="U241" s="656"/>
      <c r="Y241" s="787"/>
      <c r="Z241" s="787"/>
      <c r="AB241" s="787"/>
    </row>
    <row r="242" spans="21:28" ht="14.5">
      <c r="U242" s="656"/>
      <c r="Y242" s="787"/>
      <c r="Z242" s="787"/>
      <c r="AB242" s="787"/>
    </row>
    <row r="243" spans="21:28" ht="14.5">
      <c r="U243" s="656"/>
      <c r="Y243" s="787"/>
      <c r="Z243" s="787"/>
      <c r="AB243" s="787"/>
    </row>
    <row r="244" spans="21:28" ht="14.5">
      <c r="U244" s="656"/>
      <c r="Y244" s="787"/>
      <c r="Z244" s="787"/>
      <c r="AB244" s="787"/>
    </row>
    <row r="245" spans="21:28" ht="14.5">
      <c r="U245" s="656"/>
      <c r="Y245" s="787"/>
      <c r="Z245" s="787"/>
      <c r="AB245" s="787"/>
    </row>
    <row r="246" spans="21:28" ht="14.5">
      <c r="U246" s="656"/>
      <c r="Y246" s="787"/>
      <c r="Z246" s="787"/>
      <c r="AB246" s="787"/>
    </row>
    <row r="247" spans="21:28" ht="14.5">
      <c r="U247" s="656"/>
      <c r="Y247" s="787"/>
      <c r="Z247" s="787"/>
      <c r="AB247" s="787"/>
    </row>
    <row r="248" spans="21:28" ht="14.5">
      <c r="U248" s="656"/>
      <c r="Y248" s="787"/>
      <c r="Z248" s="787"/>
      <c r="AB248" s="787"/>
    </row>
    <row r="249" spans="21:28" ht="14.5">
      <c r="U249" s="656"/>
      <c r="Y249" s="787"/>
      <c r="Z249" s="787"/>
      <c r="AB249" s="787"/>
    </row>
    <row r="250" spans="21:28" ht="14.5">
      <c r="U250" s="656"/>
      <c r="Y250" s="787"/>
      <c r="Z250" s="787"/>
      <c r="AB250" s="787"/>
    </row>
    <row r="251" spans="21:28" ht="14.5">
      <c r="U251" s="656"/>
      <c r="Y251" s="787"/>
      <c r="Z251" s="787"/>
      <c r="AB251" s="787"/>
    </row>
    <row r="252" spans="21:28" ht="14.5">
      <c r="U252" s="656"/>
      <c r="Y252" s="787"/>
      <c r="Z252" s="787"/>
      <c r="AB252" s="787"/>
    </row>
    <row r="253" spans="21:28" ht="14.5">
      <c r="U253" s="656"/>
      <c r="Y253" s="787"/>
      <c r="Z253" s="787"/>
      <c r="AB253" s="787"/>
    </row>
    <row r="254" spans="21:28" ht="14.5">
      <c r="U254" s="656"/>
      <c r="Y254" s="787"/>
      <c r="Z254" s="787"/>
      <c r="AB254" s="787"/>
    </row>
    <row r="255" spans="21:28" ht="14.5">
      <c r="U255" s="656"/>
      <c r="Y255" s="787"/>
      <c r="Z255" s="787"/>
      <c r="AB255" s="787"/>
    </row>
    <row r="256" spans="21:28" ht="14.5">
      <c r="U256" s="656"/>
      <c r="Y256" s="787"/>
      <c r="Z256" s="787"/>
      <c r="AB256" s="787"/>
    </row>
    <row r="257" spans="21:28" ht="14.5">
      <c r="U257" s="656"/>
      <c r="Y257" s="787"/>
      <c r="Z257" s="787"/>
      <c r="AB257" s="787"/>
    </row>
    <row r="258" spans="21:28" ht="14.5">
      <c r="U258" s="656"/>
      <c r="Y258" s="787"/>
      <c r="Z258" s="787"/>
      <c r="AB258" s="787"/>
    </row>
    <row r="259" spans="21:28" ht="14.5">
      <c r="U259" s="656"/>
      <c r="Y259" s="787"/>
      <c r="Z259" s="787"/>
      <c r="AB259" s="787"/>
    </row>
    <row r="260" spans="21:28" ht="14.5">
      <c r="U260" s="656"/>
      <c r="Y260" s="787"/>
      <c r="Z260" s="787"/>
      <c r="AB260" s="787"/>
    </row>
    <row r="261" spans="21:28" ht="14.5">
      <c r="U261" s="656"/>
      <c r="Y261" s="787"/>
      <c r="Z261" s="787"/>
      <c r="AB261" s="787"/>
    </row>
    <row r="262" spans="21:28" ht="14.5">
      <c r="U262" s="656"/>
      <c r="Y262" s="787"/>
      <c r="Z262" s="787"/>
      <c r="AB262" s="787"/>
    </row>
    <row r="263" spans="21:28" ht="14.5">
      <c r="U263" s="656"/>
      <c r="Y263" s="787"/>
      <c r="Z263" s="787"/>
      <c r="AB263" s="787"/>
    </row>
    <row r="264" spans="21:28" ht="14.5">
      <c r="U264" s="656"/>
      <c r="Y264" s="787"/>
      <c r="Z264" s="787"/>
      <c r="AB264" s="787"/>
    </row>
    <row r="265" spans="21:28" ht="14.5">
      <c r="U265" s="656"/>
      <c r="Y265" s="787"/>
      <c r="Z265" s="787"/>
      <c r="AB265" s="787"/>
    </row>
    <row r="266" spans="21:28" ht="14.5">
      <c r="U266" s="656"/>
      <c r="Y266" s="787"/>
      <c r="Z266" s="787"/>
      <c r="AB266" s="787"/>
    </row>
    <row r="267" spans="21:28" ht="14.5">
      <c r="U267" s="656"/>
      <c r="Y267" s="787"/>
      <c r="Z267" s="787"/>
      <c r="AB267" s="787"/>
    </row>
    <row r="268" spans="21:28" ht="14.5">
      <c r="U268" s="656"/>
      <c r="Y268" s="787"/>
      <c r="Z268" s="787"/>
      <c r="AB268" s="787"/>
    </row>
    <row r="269" spans="21:28" ht="14.5">
      <c r="U269" s="656"/>
      <c r="Y269" s="787"/>
      <c r="Z269" s="787"/>
      <c r="AB269" s="787"/>
    </row>
    <row r="270" spans="21:28" ht="14.5">
      <c r="U270" s="656"/>
      <c r="Y270" s="787"/>
      <c r="Z270" s="787"/>
      <c r="AB270" s="787"/>
    </row>
    <row r="271" spans="21:28" ht="14.5">
      <c r="U271" s="656"/>
      <c r="Y271" s="787"/>
      <c r="Z271" s="787"/>
      <c r="AB271" s="787"/>
    </row>
    <row r="272" spans="21:28" ht="14.5">
      <c r="U272" s="656"/>
      <c r="Y272" s="787"/>
      <c r="Z272" s="787"/>
      <c r="AB272" s="787"/>
    </row>
    <row r="273" spans="21:28" ht="14.5">
      <c r="U273" s="656"/>
      <c r="Y273" s="787"/>
      <c r="Z273" s="787"/>
      <c r="AB273" s="787"/>
    </row>
    <row r="274" spans="21:28" ht="14.5">
      <c r="U274" s="656"/>
      <c r="Y274" s="787"/>
      <c r="Z274" s="787"/>
      <c r="AB274" s="787"/>
    </row>
    <row r="275" spans="21:28" ht="14.5">
      <c r="U275" s="656"/>
      <c r="Y275" s="787"/>
      <c r="Z275" s="787"/>
      <c r="AB275" s="787"/>
    </row>
    <row r="276" spans="21:28" ht="14.5">
      <c r="U276" s="656"/>
      <c r="Y276" s="787"/>
      <c r="Z276" s="787"/>
      <c r="AB276" s="787"/>
    </row>
    <row r="277" spans="21:28" ht="14.5">
      <c r="U277" s="656"/>
      <c r="Y277" s="787"/>
      <c r="Z277" s="787"/>
      <c r="AB277" s="787"/>
    </row>
    <row r="278" spans="21:28" ht="14.5">
      <c r="U278" s="656"/>
      <c r="Y278" s="787"/>
      <c r="Z278" s="787"/>
      <c r="AB278" s="787"/>
    </row>
    <row r="279" spans="21:28" ht="14.5">
      <c r="U279" s="656"/>
      <c r="Y279" s="787"/>
      <c r="Z279" s="787"/>
      <c r="AB279" s="787"/>
    </row>
    <row r="280" spans="21:28" ht="14.5">
      <c r="U280" s="656"/>
      <c r="Y280" s="787"/>
      <c r="Z280" s="787"/>
      <c r="AB280" s="787"/>
    </row>
    <row r="281" spans="21:28" ht="14.5">
      <c r="U281" s="656"/>
      <c r="Y281" s="787"/>
      <c r="Z281" s="787"/>
      <c r="AB281" s="787"/>
    </row>
    <row r="282" spans="21:28" ht="14.5">
      <c r="U282" s="656"/>
      <c r="Y282" s="787"/>
      <c r="Z282" s="787"/>
      <c r="AB282" s="787"/>
    </row>
    <row r="283" spans="21:28" ht="14.5">
      <c r="U283" s="656"/>
      <c r="Y283" s="787"/>
      <c r="Z283" s="787"/>
      <c r="AB283" s="787"/>
    </row>
    <row r="284" spans="21:28" ht="14.5">
      <c r="U284" s="656"/>
      <c r="Y284" s="787"/>
      <c r="Z284" s="787"/>
      <c r="AB284" s="787"/>
    </row>
    <row r="285" spans="21:28" ht="14.5">
      <c r="U285" s="656"/>
      <c r="Y285" s="787"/>
      <c r="Z285" s="787"/>
      <c r="AB285" s="787"/>
    </row>
    <row r="286" spans="21:28" ht="14.5">
      <c r="U286" s="656"/>
      <c r="Y286" s="787"/>
      <c r="Z286" s="787"/>
      <c r="AB286" s="787"/>
    </row>
    <row r="287" spans="21:28" ht="14.5">
      <c r="U287" s="656"/>
      <c r="Y287" s="787"/>
      <c r="Z287" s="787"/>
      <c r="AB287" s="787"/>
    </row>
    <row r="288" spans="21:28" ht="14.5">
      <c r="U288" s="656"/>
      <c r="Y288" s="787"/>
      <c r="Z288" s="787"/>
      <c r="AB288" s="787"/>
    </row>
    <row r="289" spans="21:28" ht="14.5">
      <c r="U289" s="656"/>
      <c r="Y289" s="787"/>
      <c r="Z289" s="787"/>
      <c r="AB289" s="787"/>
    </row>
    <row r="290" spans="21:28" ht="14.5">
      <c r="U290" s="656"/>
      <c r="Y290" s="787"/>
      <c r="Z290" s="787"/>
      <c r="AB290" s="787"/>
    </row>
    <row r="291" spans="21:28" ht="14.5">
      <c r="U291" s="656"/>
      <c r="Y291" s="787"/>
      <c r="Z291" s="787"/>
      <c r="AB291" s="787"/>
    </row>
    <row r="292" spans="21:28" ht="14.5">
      <c r="U292" s="656"/>
      <c r="Y292" s="787"/>
      <c r="Z292" s="787"/>
      <c r="AB292" s="787"/>
    </row>
    <row r="293" spans="21:28" ht="14.5">
      <c r="U293" s="656"/>
      <c r="Y293" s="787"/>
      <c r="Z293" s="787"/>
      <c r="AB293" s="787"/>
    </row>
    <row r="294" spans="21:28" ht="14.5">
      <c r="U294" s="656"/>
      <c r="Y294" s="787"/>
      <c r="Z294" s="787"/>
      <c r="AB294" s="787"/>
    </row>
    <row r="295" spans="21:28" ht="14.5">
      <c r="U295" s="656"/>
      <c r="Y295" s="787"/>
      <c r="Z295" s="787"/>
      <c r="AB295" s="787"/>
    </row>
    <row r="296" spans="21:28" ht="14.5">
      <c r="U296" s="656"/>
      <c r="Y296" s="787"/>
      <c r="Z296" s="787"/>
      <c r="AB296" s="787"/>
    </row>
    <row r="297" spans="21:28" ht="14.5">
      <c r="U297" s="656"/>
      <c r="Y297" s="787"/>
      <c r="Z297" s="787"/>
      <c r="AB297" s="787"/>
    </row>
    <row r="298" spans="21:28" ht="14.5">
      <c r="U298" s="656"/>
      <c r="Y298" s="787"/>
      <c r="Z298" s="787"/>
      <c r="AB298" s="787"/>
    </row>
    <row r="299" spans="21:28" ht="14.5">
      <c r="U299" s="656"/>
      <c r="Y299" s="787"/>
      <c r="Z299" s="787"/>
      <c r="AB299" s="787"/>
    </row>
    <row r="300" spans="21:28" ht="14.5">
      <c r="U300" s="656"/>
      <c r="Y300" s="787"/>
      <c r="Z300" s="787"/>
      <c r="AB300" s="787"/>
    </row>
    <row r="301" spans="21:28" ht="14.5">
      <c r="U301" s="656"/>
      <c r="Y301" s="787"/>
      <c r="Z301" s="787"/>
      <c r="AB301" s="787"/>
    </row>
    <row r="302" spans="21:28" ht="14.5">
      <c r="U302" s="656"/>
      <c r="Y302" s="787"/>
      <c r="Z302" s="787"/>
      <c r="AB302" s="787"/>
    </row>
    <row r="303" spans="21:28" ht="14.5">
      <c r="U303" s="656"/>
      <c r="Y303" s="787"/>
      <c r="Z303" s="787"/>
      <c r="AB303" s="787"/>
    </row>
    <row r="304" spans="21:28" ht="14.5">
      <c r="U304" s="656"/>
      <c r="Y304" s="787"/>
      <c r="Z304" s="787"/>
      <c r="AB304" s="787"/>
    </row>
    <row r="305" spans="21:28" ht="14.5">
      <c r="U305" s="656"/>
      <c r="Y305" s="787"/>
      <c r="Z305" s="787"/>
      <c r="AB305" s="787"/>
    </row>
    <row r="306" spans="21:28" ht="14.5">
      <c r="U306" s="656"/>
      <c r="Y306" s="787"/>
      <c r="Z306" s="787"/>
      <c r="AB306" s="787"/>
    </row>
    <row r="307" spans="21:28" ht="14.5">
      <c r="U307" s="656"/>
      <c r="Y307" s="787"/>
      <c r="Z307" s="787"/>
      <c r="AB307" s="787"/>
    </row>
    <row r="308" spans="21:28" ht="14.5">
      <c r="U308" s="656"/>
      <c r="Y308" s="787"/>
      <c r="Z308" s="787"/>
      <c r="AB308" s="787"/>
    </row>
    <row r="309" spans="21:28" ht="14.5">
      <c r="U309" s="656"/>
      <c r="Y309" s="787"/>
      <c r="Z309" s="787"/>
      <c r="AB309" s="787"/>
    </row>
    <row r="310" spans="21:28" ht="14.5">
      <c r="U310" s="656"/>
      <c r="Y310" s="787"/>
      <c r="Z310" s="787"/>
      <c r="AB310" s="787"/>
    </row>
    <row r="311" spans="21:28" ht="14.5">
      <c r="U311" s="656"/>
      <c r="Y311" s="787"/>
      <c r="Z311" s="787"/>
      <c r="AB311" s="787"/>
    </row>
    <row r="312" spans="21:28" ht="14.5">
      <c r="U312" s="656"/>
      <c r="Y312" s="787"/>
      <c r="Z312" s="787"/>
      <c r="AB312" s="787"/>
    </row>
    <row r="313" spans="21:28" ht="14.5">
      <c r="U313" s="656"/>
      <c r="Y313" s="787"/>
      <c r="Z313" s="787"/>
      <c r="AB313" s="787"/>
    </row>
    <row r="314" spans="21:28" ht="14.5">
      <c r="U314" s="656"/>
      <c r="Y314" s="787"/>
      <c r="Z314" s="787"/>
      <c r="AB314" s="787"/>
    </row>
    <row r="315" spans="21:28" ht="14.5">
      <c r="U315" s="656"/>
      <c r="Y315" s="787"/>
      <c r="Z315" s="787"/>
      <c r="AB315" s="787"/>
    </row>
    <row r="316" spans="21:28" ht="14.5">
      <c r="U316" s="656"/>
      <c r="Y316" s="787"/>
      <c r="Z316" s="787"/>
      <c r="AB316" s="787"/>
    </row>
    <row r="317" spans="21:28" ht="14.5">
      <c r="U317" s="656"/>
      <c r="Y317" s="787"/>
      <c r="Z317" s="787"/>
      <c r="AB317" s="787"/>
    </row>
    <row r="318" spans="21:28" ht="14.5">
      <c r="U318" s="656"/>
      <c r="Y318" s="787"/>
      <c r="Z318" s="787"/>
      <c r="AB318" s="787"/>
    </row>
    <row r="319" spans="21:28" ht="14.5">
      <c r="U319" s="656"/>
      <c r="Y319" s="787"/>
      <c r="Z319" s="787"/>
      <c r="AB319" s="787"/>
    </row>
    <row r="320" spans="21:28" ht="14.5">
      <c r="U320" s="656"/>
      <c r="Y320" s="787"/>
      <c r="Z320" s="787"/>
      <c r="AB320" s="787"/>
    </row>
    <row r="321" spans="21:28" ht="14.5">
      <c r="U321" s="656"/>
      <c r="Y321" s="787"/>
      <c r="Z321" s="787"/>
      <c r="AB321" s="787"/>
    </row>
    <row r="322" spans="21:28" ht="14.5">
      <c r="U322" s="656"/>
      <c r="Y322" s="787"/>
      <c r="Z322" s="787"/>
      <c r="AB322" s="787"/>
    </row>
    <row r="323" spans="21:28" ht="14.5">
      <c r="U323" s="656"/>
      <c r="Y323" s="787"/>
      <c r="Z323" s="787"/>
      <c r="AB323" s="787"/>
    </row>
    <row r="324" spans="21:28" ht="14.5">
      <c r="U324" s="656"/>
      <c r="Y324" s="787"/>
      <c r="Z324" s="787"/>
      <c r="AB324" s="787"/>
    </row>
    <row r="325" spans="21:28" ht="14.5">
      <c r="U325" s="656"/>
      <c r="Y325" s="787"/>
      <c r="Z325" s="787"/>
      <c r="AB325" s="787"/>
    </row>
    <row r="326" spans="21:28" ht="14.5">
      <c r="U326" s="656"/>
      <c r="Y326" s="787"/>
      <c r="Z326" s="787"/>
      <c r="AB326" s="787"/>
    </row>
    <row r="327" spans="21:28" ht="14.5">
      <c r="U327" s="656"/>
      <c r="Y327" s="787"/>
      <c r="Z327" s="787"/>
      <c r="AB327" s="787"/>
    </row>
    <row r="328" spans="21:28" ht="14.5">
      <c r="U328" s="656"/>
      <c r="Y328" s="787"/>
      <c r="Z328" s="787"/>
      <c r="AB328" s="787"/>
    </row>
    <row r="329" spans="21:28" ht="14.5">
      <c r="U329" s="656"/>
      <c r="Y329" s="787"/>
      <c r="Z329" s="787"/>
      <c r="AB329" s="787"/>
    </row>
    <row r="330" spans="21:28" ht="14.5">
      <c r="U330" s="656"/>
      <c r="Y330" s="787"/>
      <c r="Z330" s="787"/>
      <c r="AB330" s="787"/>
    </row>
    <row r="331" spans="21:28" ht="14.5">
      <c r="U331" s="656"/>
      <c r="Y331" s="787"/>
      <c r="Z331" s="787"/>
      <c r="AB331" s="787"/>
    </row>
    <row r="332" spans="21:28" ht="14.5">
      <c r="U332" s="656"/>
      <c r="Y332" s="787"/>
      <c r="Z332" s="787"/>
      <c r="AB332" s="787"/>
    </row>
    <row r="333" spans="21:28" ht="14.5">
      <c r="U333" s="656"/>
      <c r="Y333" s="787"/>
      <c r="Z333" s="787"/>
      <c r="AB333" s="787"/>
    </row>
    <row r="334" spans="21:28" ht="14.5">
      <c r="U334" s="656"/>
      <c r="Y334" s="787"/>
      <c r="Z334" s="787"/>
      <c r="AB334" s="787"/>
    </row>
    <row r="335" spans="21:28" ht="14.5">
      <c r="U335" s="656"/>
      <c r="Y335" s="787"/>
      <c r="Z335" s="787"/>
      <c r="AB335" s="787"/>
    </row>
    <row r="336" spans="21:28" ht="14.5">
      <c r="U336" s="656"/>
      <c r="Y336" s="787"/>
      <c r="Z336" s="787"/>
      <c r="AB336" s="787"/>
    </row>
    <row r="337" spans="21:28" ht="14.5">
      <c r="U337" s="656"/>
      <c r="Y337" s="787"/>
      <c r="Z337" s="787"/>
      <c r="AB337" s="787"/>
    </row>
    <row r="338" spans="21:28" ht="14.5">
      <c r="U338" s="656"/>
      <c r="Y338" s="787"/>
      <c r="Z338" s="787"/>
      <c r="AB338" s="787"/>
    </row>
    <row r="339" spans="21:28" ht="14.5">
      <c r="U339" s="656"/>
      <c r="Y339" s="787"/>
      <c r="Z339" s="787"/>
      <c r="AB339" s="787"/>
    </row>
    <row r="340" spans="21:28" ht="14.5">
      <c r="U340" s="656"/>
      <c r="Y340" s="787"/>
      <c r="Z340" s="787"/>
      <c r="AB340" s="787"/>
    </row>
    <row r="341" spans="21:28" ht="14.5">
      <c r="U341" s="656"/>
      <c r="Y341" s="787"/>
      <c r="Z341" s="787"/>
      <c r="AB341" s="787"/>
    </row>
    <row r="342" spans="21:28" ht="14.5">
      <c r="U342" s="656"/>
      <c r="Y342" s="787"/>
      <c r="Z342" s="787"/>
      <c r="AB342" s="787"/>
    </row>
    <row r="343" spans="21:28" ht="14.5">
      <c r="U343" s="656"/>
      <c r="Y343" s="787"/>
      <c r="Z343" s="787"/>
      <c r="AB343" s="787"/>
    </row>
    <row r="344" spans="21:28" ht="14.5">
      <c r="U344" s="656"/>
      <c r="Y344" s="787"/>
      <c r="Z344" s="787"/>
      <c r="AB344" s="787"/>
    </row>
    <row r="345" spans="21:28" ht="14.5">
      <c r="U345" s="656"/>
      <c r="Y345" s="787"/>
      <c r="Z345" s="787"/>
      <c r="AB345" s="787"/>
    </row>
    <row r="346" spans="21:28" ht="14.5">
      <c r="U346" s="656"/>
      <c r="Y346" s="787"/>
      <c r="Z346" s="787"/>
      <c r="AB346" s="787"/>
    </row>
    <row r="347" spans="21:28" ht="14.5">
      <c r="U347" s="656"/>
      <c r="Y347" s="787"/>
      <c r="Z347" s="787"/>
      <c r="AB347" s="787"/>
    </row>
    <row r="348" spans="21:28" ht="14.5">
      <c r="U348" s="656"/>
      <c r="Y348" s="787"/>
      <c r="Z348" s="787"/>
      <c r="AB348" s="787"/>
    </row>
    <row r="349" spans="21:28" ht="14.5">
      <c r="U349" s="656"/>
      <c r="Y349" s="787"/>
      <c r="Z349" s="787"/>
      <c r="AB349" s="787"/>
    </row>
    <row r="350" spans="21:28" ht="14.5">
      <c r="U350" s="656"/>
      <c r="Y350" s="787"/>
      <c r="Z350" s="787"/>
      <c r="AB350" s="787"/>
    </row>
    <row r="351" spans="21:28" ht="14.5">
      <c r="U351" s="656"/>
      <c r="Y351" s="787"/>
      <c r="Z351" s="787"/>
      <c r="AB351" s="787"/>
    </row>
    <row r="352" spans="21:28" ht="14.5">
      <c r="U352" s="656"/>
      <c r="Y352" s="787"/>
      <c r="Z352" s="787"/>
      <c r="AB352" s="787"/>
    </row>
    <row r="353" spans="21:28" ht="14.5">
      <c r="U353" s="656"/>
      <c r="Y353" s="787"/>
      <c r="Z353" s="787"/>
      <c r="AB353" s="787"/>
    </row>
    <row r="354" spans="21:28" ht="14.5">
      <c r="U354" s="656"/>
      <c r="Y354" s="787"/>
      <c r="Z354" s="787"/>
      <c r="AB354" s="787"/>
    </row>
    <row r="355" spans="21:28" ht="14.5">
      <c r="U355" s="656"/>
      <c r="Y355" s="787"/>
      <c r="Z355" s="787"/>
      <c r="AB355" s="787"/>
    </row>
    <row r="356" spans="21:28" ht="14.5">
      <c r="U356" s="656"/>
      <c r="Y356" s="787"/>
      <c r="Z356" s="787"/>
      <c r="AB356" s="787"/>
    </row>
    <row r="357" spans="21:28" ht="14.5">
      <c r="U357" s="656"/>
      <c r="Y357" s="787"/>
      <c r="Z357" s="787"/>
      <c r="AB357" s="787"/>
    </row>
    <row r="358" spans="21:28" ht="14.5">
      <c r="U358" s="656"/>
      <c r="Y358" s="787"/>
      <c r="Z358" s="787"/>
      <c r="AB358" s="787"/>
    </row>
    <row r="359" spans="21:28" ht="14.5">
      <c r="U359" s="656"/>
      <c r="Y359" s="787"/>
      <c r="Z359" s="787"/>
      <c r="AB359" s="787"/>
    </row>
    <row r="360" spans="21:28" ht="14.5">
      <c r="U360" s="656"/>
      <c r="Y360" s="787"/>
      <c r="Z360" s="787"/>
      <c r="AB360" s="787"/>
    </row>
    <row r="361" spans="21:28" ht="14.5">
      <c r="U361" s="656"/>
      <c r="Y361" s="787"/>
      <c r="Z361" s="787"/>
      <c r="AB361" s="787"/>
    </row>
    <row r="362" spans="21:28" ht="14.5">
      <c r="U362" s="656"/>
      <c r="Y362" s="787"/>
      <c r="Z362" s="787"/>
      <c r="AB362" s="787"/>
    </row>
    <row r="363" spans="21:28" ht="14.5">
      <c r="U363" s="656"/>
      <c r="Y363" s="787"/>
      <c r="Z363" s="787"/>
      <c r="AB363" s="787"/>
    </row>
    <row r="364" spans="21:28" ht="14.5">
      <c r="U364" s="656"/>
      <c r="Y364" s="787"/>
      <c r="Z364" s="787"/>
      <c r="AB364" s="787"/>
    </row>
    <row r="365" spans="21:28" ht="14.5">
      <c r="U365" s="656"/>
      <c r="Y365" s="787"/>
      <c r="Z365" s="787"/>
      <c r="AB365" s="787"/>
    </row>
    <row r="366" spans="21:28" ht="14.5">
      <c r="U366" s="656"/>
      <c r="Y366" s="787"/>
      <c r="Z366" s="787"/>
      <c r="AB366" s="787"/>
    </row>
    <row r="367" spans="21:28" ht="14.5">
      <c r="U367" s="656"/>
      <c r="Y367" s="787"/>
      <c r="Z367" s="787"/>
      <c r="AB367" s="787"/>
    </row>
    <row r="368" spans="21:28" ht="14.5">
      <c r="U368" s="656"/>
      <c r="Y368" s="787"/>
      <c r="Z368" s="787"/>
      <c r="AB368" s="787"/>
    </row>
    <row r="369" spans="21:28" ht="14.5">
      <c r="U369" s="656"/>
      <c r="Y369" s="787"/>
      <c r="Z369" s="787"/>
      <c r="AB369" s="787"/>
    </row>
    <row r="370" spans="21:28" ht="14.5">
      <c r="U370" s="656"/>
      <c r="Y370" s="787"/>
      <c r="Z370" s="787"/>
      <c r="AB370" s="787"/>
    </row>
    <row r="371" spans="21:28" ht="14.5">
      <c r="U371" s="656"/>
      <c r="Y371" s="787"/>
      <c r="Z371" s="787"/>
      <c r="AB371" s="787"/>
    </row>
    <row r="372" spans="21:28" ht="14.5">
      <c r="U372" s="656"/>
      <c r="Y372" s="787"/>
      <c r="Z372" s="787"/>
      <c r="AB372" s="787"/>
    </row>
    <row r="373" spans="21:28" ht="14.5">
      <c r="U373" s="656"/>
      <c r="Y373" s="787"/>
      <c r="Z373" s="787"/>
      <c r="AB373" s="787"/>
    </row>
    <row r="374" spans="21:28" ht="14.5">
      <c r="U374" s="656"/>
      <c r="Y374" s="787"/>
      <c r="Z374" s="787"/>
      <c r="AB374" s="787"/>
    </row>
    <row r="375" spans="21:28" ht="14.5">
      <c r="U375" s="656"/>
      <c r="Y375" s="787"/>
      <c r="Z375" s="787"/>
      <c r="AB375" s="787"/>
    </row>
    <row r="376" spans="21:28" ht="14.5">
      <c r="U376" s="656"/>
      <c r="Y376" s="787"/>
      <c r="Z376" s="787"/>
      <c r="AB376" s="787"/>
    </row>
    <row r="377" spans="21:28" ht="14.5">
      <c r="U377" s="656"/>
      <c r="Y377" s="787"/>
      <c r="Z377" s="787"/>
      <c r="AB377" s="787"/>
    </row>
    <row r="378" spans="21:28" ht="14.5">
      <c r="U378" s="656"/>
      <c r="Y378" s="787"/>
      <c r="Z378" s="787"/>
      <c r="AB378" s="787"/>
    </row>
    <row r="379" spans="21:28" ht="14.5">
      <c r="U379" s="656"/>
      <c r="Y379" s="787"/>
      <c r="Z379" s="787"/>
      <c r="AB379" s="787"/>
    </row>
    <row r="380" spans="21:28" ht="14.5">
      <c r="U380" s="656"/>
      <c r="Y380" s="787"/>
      <c r="Z380" s="787"/>
      <c r="AB380" s="787"/>
    </row>
    <row r="381" spans="21:28" ht="14.5">
      <c r="U381" s="656"/>
      <c r="Y381" s="787"/>
      <c r="Z381" s="787"/>
      <c r="AB381" s="787"/>
    </row>
    <row r="382" spans="21:28" ht="14.5">
      <c r="U382" s="656"/>
      <c r="Y382" s="787"/>
      <c r="Z382" s="787"/>
      <c r="AB382" s="787"/>
    </row>
    <row r="383" spans="21:28" ht="14.5">
      <c r="U383" s="656"/>
      <c r="Y383" s="787"/>
      <c r="Z383" s="787"/>
      <c r="AB383" s="787"/>
    </row>
    <row r="384" spans="21:28" ht="14.5">
      <c r="U384" s="656"/>
      <c r="Y384" s="787"/>
      <c r="Z384" s="787"/>
      <c r="AB384" s="787"/>
    </row>
    <row r="385" spans="21:28" ht="14.5">
      <c r="U385" s="656"/>
      <c r="Y385" s="787"/>
      <c r="Z385" s="787"/>
      <c r="AB385" s="787"/>
    </row>
    <row r="386" spans="21:28" ht="14.5">
      <c r="U386" s="656"/>
      <c r="Y386" s="787"/>
      <c r="Z386" s="787"/>
      <c r="AB386" s="787"/>
    </row>
    <row r="387" spans="21:28" ht="14.5">
      <c r="U387" s="656"/>
      <c r="Y387" s="787"/>
      <c r="Z387" s="787"/>
      <c r="AB387" s="787"/>
    </row>
    <row r="388" spans="21:28" ht="14.5">
      <c r="U388" s="656"/>
      <c r="Y388" s="787"/>
      <c r="Z388" s="787"/>
      <c r="AB388" s="787"/>
    </row>
    <row r="389" spans="21:28" ht="14.5">
      <c r="U389" s="656"/>
      <c r="Y389" s="787"/>
      <c r="Z389" s="787"/>
      <c r="AB389" s="787"/>
    </row>
    <row r="390" spans="21:28" ht="14.5">
      <c r="U390" s="656"/>
      <c r="Y390" s="787"/>
      <c r="Z390" s="787"/>
      <c r="AB390" s="787"/>
    </row>
    <row r="391" spans="21:28" ht="14.5">
      <c r="U391" s="656"/>
      <c r="Y391" s="787"/>
      <c r="Z391" s="787"/>
      <c r="AB391" s="787"/>
    </row>
    <row r="392" spans="21:28" ht="14.5">
      <c r="U392" s="656"/>
      <c r="Y392" s="787"/>
      <c r="Z392" s="787"/>
      <c r="AB392" s="787"/>
    </row>
    <row r="393" spans="21:28" ht="14.5">
      <c r="U393" s="656"/>
      <c r="Y393" s="787"/>
      <c r="Z393" s="787"/>
      <c r="AB393" s="787"/>
    </row>
    <row r="394" spans="21:28" ht="14.5">
      <c r="U394" s="656"/>
      <c r="Y394" s="787"/>
      <c r="Z394" s="787"/>
      <c r="AB394" s="787"/>
    </row>
    <row r="395" spans="21:28" ht="14.5">
      <c r="U395" s="656"/>
      <c r="Y395" s="787"/>
      <c r="Z395" s="787"/>
      <c r="AB395" s="787"/>
    </row>
    <row r="396" spans="21:28" ht="14.5">
      <c r="U396" s="656"/>
      <c r="Y396" s="787"/>
      <c r="Z396" s="787"/>
      <c r="AB396" s="787"/>
    </row>
    <row r="397" spans="21:28" ht="14.5">
      <c r="U397" s="656"/>
      <c r="Y397" s="787"/>
      <c r="Z397" s="787"/>
      <c r="AB397" s="787"/>
    </row>
    <row r="398" spans="21:28" ht="14.5">
      <c r="U398" s="656"/>
      <c r="Y398" s="787"/>
      <c r="Z398" s="787"/>
      <c r="AB398" s="787"/>
    </row>
    <row r="399" spans="21:28" ht="14.5">
      <c r="U399" s="656"/>
      <c r="Y399" s="787"/>
      <c r="Z399" s="787"/>
      <c r="AB399" s="787"/>
    </row>
    <row r="400" spans="21:28" ht="14.5">
      <c r="U400" s="656"/>
      <c r="Y400" s="787"/>
      <c r="Z400" s="787"/>
      <c r="AB400" s="787"/>
    </row>
    <row r="401" spans="21:28" ht="14.5">
      <c r="U401" s="656"/>
      <c r="Y401" s="787"/>
      <c r="Z401" s="787"/>
      <c r="AB401" s="787"/>
    </row>
    <row r="402" spans="21:28" ht="14.5">
      <c r="U402" s="656"/>
      <c r="Y402" s="787"/>
      <c r="Z402" s="787"/>
      <c r="AB402" s="787"/>
    </row>
    <row r="403" spans="21:28" ht="14.5">
      <c r="U403" s="656"/>
      <c r="Y403" s="787"/>
      <c r="Z403" s="787"/>
      <c r="AB403" s="787"/>
    </row>
    <row r="404" spans="21:28" ht="14.5">
      <c r="U404" s="656"/>
      <c r="Y404" s="787"/>
      <c r="Z404" s="787"/>
      <c r="AB404" s="787"/>
    </row>
    <row r="405" spans="21:28" ht="14.5">
      <c r="U405" s="656"/>
      <c r="Y405" s="787"/>
      <c r="Z405" s="787"/>
      <c r="AB405" s="787"/>
    </row>
    <row r="406" spans="21:28" ht="14.5">
      <c r="U406" s="656"/>
      <c r="Y406" s="787"/>
      <c r="Z406" s="787"/>
      <c r="AB406" s="787"/>
    </row>
    <row r="407" spans="21:28" ht="14.5">
      <c r="U407" s="656"/>
      <c r="Y407" s="787"/>
      <c r="Z407" s="787"/>
      <c r="AB407" s="787"/>
    </row>
    <row r="408" spans="21:28" ht="14.5">
      <c r="U408" s="656"/>
      <c r="Y408" s="787"/>
      <c r="Z408" s="787"/>
      <c r="AB408" s="787"/>
    </row>
    <row r="409" spans="21:28" ht="14.5">
      <c r="U409" s="656"/>
      <c r="Y409" s="787"/>
      <c r="Z409" s="787"/>
      <c r="AB409" s="787"/>
    </row>
    <row r="410" spans="21:28" ht="14.5">
      <c r="U410" s="656"/>
      <c r="Y410" s="787"/>
      <c r="Z410" s="787"/>
      <c r="AB410" s="787"/>
    </row>
    <row r="411" spans="21:28" ht="14.5">
      <c r="U411" s="656"/>
      <c r="Y411" s="787"/>
      <c r="Z411" s="787"/>
      <c r="AB411" s="787"/>
    </row>
    <row r="412" spans="21:28" ht="14.5">
      <c r="U412" s="656"/>
      <c r="Y412" s="787"/>
      <c r="Z412" s="787"/>
      <c r="AB412" s="787"/>
    </row>
    <row r="413" spans="21:28" ht="14.5">
      <c r="U413" s="656"/>
      <c r="Y413" s="787"/>
      <c r="Z413" s="787"/>
      <c r="AB413" s="787"/>
    </row>
    <row r="414" spans="21:28" ht="14.5">
      <c r="U414" s="656"/>
      <c r="Y414" s="787"/>
      <c r="Z414" s="787"/>
      <c r="AB414" s="787"/>
    </row>
    <row r="415" spans="21:28" ht="14.5">
      <c r="U415" s="656"/>
      <c r="Y415" s="787"/>
      <c r="Z415" s="787"/>
      <c r="AB415" s="787"/>
    </row>
    <row r="416" spans="21:28" ht="14.5">
      <c r="U416" s="656"/>
      <c r="Y416" s="787"/>
      <c r="Z416" s="787"/>
      <c r="AB416" s="787"/>
    </row>
    <row r="417" spans="21:28" ht="14.5">
      <c r="U417" s="656"/>
      <c r="Y417" s="787"/>
      <c r="Z417" s="787"/>
      <c r="AB417" s="787"/>
    </row>
    <row r="418" spans="21:28" ht="14.5">
      <c r="U418" s="656"/>
      <c r="Y418" s="787"/>
      <c r="Z418" s="787"/>
      <c r="AB418" s="787"/>
    </row>
    <row r="419" spans="21:28" ht="14.5">
      <c r="U419" s="656"/>
      <c r="Y419" s="787"/>
      <c r="Z419" s="787"/>
      <c r="AB419" s="787"/>
    </row>
    <row r="420" spans="21:28" ht="14.5">
      <c r="U420" s="656"/>
      <c r="Y420" s="787"/>
      <c r="Z420" s="787"/>
      <c r="AB420" s="787"/>
    </row>
    <row r="421" spans="21:28" ht="14.5">
      <c r="U421" s="656"/>
      <c r="Y421" s="787"/>
      <c r="Z421" s="787"/>
      <c r="AB421" s="787"/>
    </row>
    <row r="422" spans="21:28" ht="14.5">
      <c r="U422" s="656"/>
      <c r="Y422" s="787"/>
      <c r="Z422" s="787"/>
      <c r="AB422" s="787"/>
    </row>
    <row r="423" spans="21:28" ht="14.5">
      <c r="U423" s="656"/>
      <c r="Y423" s="787"/>
      <c r="Z423" s="787"/>
      <c r="AB423" s="787"/>
    </row>
    <row r="424" spans="21:28" ht="14.5">
      <c r="U424" s="656"/>
      <c r="Y424" s="787"/>
      <c r="Z424" s="787"/>
      <c r="AB424" s="787"/>
    </row>
    <row r="425" spans="21:28" ht="14.5">
      <c r="U425" s="656"/>
      <c r="Y425" s="787"/>
      <c r="Z425" s="787"/>
      <c r="AB425" s="787"/>
    </row>
    <row r="426" spans="21:28" ht="14.5">
      <c r="U426" s="656"/>
      <c r="Y426" s="787"/>
      <c r="Z426" s="787"/>
      <c r="AB426" s="787"/>
    </row>
    <row r="427" spans="21:28" ht="14.5">
      <c r="U427" s="656"/>
      <c r="Y427" s="787"/>
      <c r="Z427" s="787"/>
      <c r="AB427" s="787"/>
    </row>
    <row r="428" spans="21:28" ht="14.5">
      <c r="U428" s="656"/>
      <c r="Y428" s="787"/>
      <c r="Z428" s="787"/>
      <c r="AB428" s="787"/>
    </row>
    <row r="429" spans="21:28" ht="14.5">
      <c r="U429" s="656"/>
      <c r="Y429" s="787"/>
      <c r="Z429" s="787"/>
      <c r="AB429" s="787"/>
    </row>
    <row r="430" spans="21:28" ht="14.5">
      <c r="U430" s="656"/>
      <c r="Y430" s="787"/>
      <c r="Z430" s="787"/>
      <c r="AB430" s="787"/>
    </row>
    <row r="431" spans="21:28" ht="14.5">
      <c r="U431" s="656"/>
      <c r="Y431" s="787"/>
      <c r="Z431" s="787"/>
      <c r="AB431" s="787"/>
    </row>
    <row r="432" spans="21:28" ht="14.5">
      <c r="U432" s="656"/>
      <c r="Y432" s="787"/>
      <c r="Z432" s="787"/>
      <c r="AB432" s="787"/>
    </row>
    <row r="433" spans="21:28" ht="14.5">
      <c r="U433" s="656"/>
      <c r="Y433" s="787"/>
      <c r="Z433" s="787"/>
      <c r="AB433" s="787"/>
    </row>
    <row r="434" spans="21:28" ht="14.5">
      <c r="U434" s="656"/>
      <c r="Y434" s="787"/>
      <c r="Z434" s="787"/>
      <c r="AB434" s="787"/>
    </row>
    <row r="435" spans="21:28" ht="14.5">
      <c r="U435" s="656"/>
      <c r="Y435" s="787"/>
      <c r="Z435" s="787"/>
      <c r="AB435" s="787"/>
    </row>
    <row r="436" spans="21:28" ht="14.5">
      <c r="U436" s="656"/>
      <c r="Y436" s="787"/>
      <c r="Z436" s="787"/>
      <c r="AB436" s="787"/>
    </row>
    <row r="437" spans="21:28" ht="14.5">
      <c r="U437" s="656"/>
      <c r="Y437" s="787"/>
      <c r="Z437" s="787"/>
      <c r="AB437" s="787"/>
    </row>
    <row r="438" spans="21:28" ht="14.5">
      <c r="U438" s="656"/>
      <c r="Y438" s="787"/>
      <c r="Z438" s="787"/>
      <c r="AB438" s="787"/>
    </row>
    <row r="439" spans="21:28" ht="14.5">
      <c r="U439" s="656"/>
      <c r="Y439" s="787"/>
      <c r="Z439" s="787"/>
      <c r="AB439" s="787"/>
    </row>
    <row r="440" spans="21:28" ht="14.5">
      <c r="U440" s="656"/>
      <c r="Y440" s="787"/>
      <c r="Z440" s="787"/>
      <c r="AB440" s="787"/>
    </row>
    <row r="441" spans="21:28" ht="14.5">
      <c r="U441" s="656"/>
      <c r="Y441" s="787"/>
      <c r="Z441" s="787"/>
      <c r="AB441" s="787"/>
    </row>
    <row r="442" spans="21:28" ht="14.5">
      <c r="U442" s="656"/>
      <c r="Y442" s="787"/>
      <c r="Z442" s="787"/>
      <c r="AB442" s="787"/>
    </row>
    <row r="443" spans="21:28" ht="14.5">
      <c r="U443" s="656"/>
      <c r="Y443" s="787"/>
      <c r="Z443" s="787"/>
      <c r="AB443" s="787"/>
    </row>
    <row r="444" spans="21:28" ht="14.5">
      <c r="U444" s="656"/>
      <c r="Y444" s="787"/>
      <c r="Z444" s="787"/>
      <c r="AB444" s="787"/>
    </row>
    <row r="445" spans="21:28" ht="14.5">
      <c r="U445" s="656"/>
      <c r="Y445" s="787"/>
      <c r="Z445" s="787"/>
      <c r="AB445" s="787"/>
    </row>
    <row r="446" spans="21:28" ht="14.5">
      <c r="U446" s="656"/>
      <c r="Y446" s="787"/>
      <c r="Z446" s="787"/>
      <c r="AB446" s="787"/>
    </row>
    <row r="447" spans="21:28" ht="14.5">
      <c r="U447" s="656"/>
      <c r="Y447" s="787"/>
      <c r="Z447" s="787"/>
      <c r="AB447" s="787"/>
    </row>
    <row r="448" spans="21:28" ht="14.5">
      <c r="U448" s="656"/>
      <c r="Y448" s="787"/>
      <c r="Z448" s="787"/>
      <c r="AB448" s="787"/>
    </row>
    <row r="449" spans="21:28" ht="14.5">
      <c r="U449" s="656"/>
      <c r="Y449" s="787"/>
      <c r="Z449" s="787"/>
      <c r="AB449" s="787"/>
    </row>
    <row r="450" spans="21:28" ht="14.5">
      <c r="U450" s="656"/>
      <c r="Y450" s="787"/>
      <c r="Z450" s="787"/>
      <c r="AB450" s="787"/>
    </row>
    <row r="451" spans="21:28" ht="14.5">
      <c r="U451" s="656"/>
      <c r="Y451" s="787"/>
      <c r="Z451" s="787"/>
      <c r="AB451" s="787"/>
    </row>
    <row r="452" spans="21:28" ht="14.5">
      <c r="U452" s="656"/>
      <c r="Y452" s="787"/>
      <c r="Z452" s="787"/>
      <c r="AB452" s="787"/>
    </row>
    <row r="453" spans="21:28" ht="14.5">
      <c r="U453" s="656"/>
      <c r="Y453" s="787"/>
      <c r="Z453" s="787"/>
      <c r="AB453" s="787"/>
    </row>
    <row r="454" spans="21:28" ht="14.5">
      <c r="U454" s="656"/>
      <c r="Y454" s="787"/>
      <c r="Z454" s="787"/>
      <c r="AB454" s="787"/>
    </row>
    <row r="455" spans="21:28" ht="14.5">
      <c r="U455" s="656"/>
      <c r="Y455" s="787"/>
      <c r="Z455" s="787"/>
      <c r="AB455" s="787"/>
    </row>
    <row r="456" spans="21:28" ht="14.5">
      <c r="U456" s="656"/>
      <c r="Y456" s="787"/>
      <c r="Z456" s="787"/>
      <c r="AB456" s="787"/>
    </row>
    <row r="457" spans="21:28" ht="14.5">
      <c r="U457" s="656"/>
      <c r="Y457" s="787"/>
      <c r="Z457" s="787"/>
      <c r="AB457" s="787"/>
    </row>
    <row r="458" spans="21:28" ht="14.5">
      <c r="U458" s="656"/>
      <c r="Y458" s="787"/>
      <c r="Z458" s="787"/>
      <c r="AB458" s="787"/>
    </row>
    <row r="459" spans="21:28" ht="14.5">
      <c r="U459" s="656"/>
      <c r="Y459" s="787"/>
      <c r="Z459" s="787"/>
      <c r="AB459" s="787"/>
    </row>
    <row r="460" spans="21:28" ht="14.5">
      <c r="U460" s="656"/>
      <c r="Y460" s="787"/>
      <c r="Z460" s="787"/>
      <c r="AB460" s="787"/>
    </row>
    <row r="461" spans="21:28" ht="14.5">
      <c r="U461" s="656"/>
      <c r="Y461" s="787"/>
      <c r="Z461" s="787"/>
      <c r="AB461" s="787"/>
    </row>
    <row r="462" spans="21:28" ht="14.5">
      <c r="U462" s="656"/>
      <c r="Y462" s="787"/>
      <c r="Z462" s="787"/>
      <c r="AB462" s="787"/>
    </row>
    <row r="463" spans="21:28" ht="14.5">
      <c r="U463" s="656"/>
      <c r="Y463" s="787"/>
      <c r="Z463" s="787"/>
      <c r="AB463" s="787"/>
    </row>
    <row r="464" spans="21:28" ht="14.5">
      <c r="U464" s="656"/>
      <c r="Y464" s="787"/>
      <c r="Z464" s="787"/>
      <c r="AB464" s="787"/>
    </row>
    <row r="465" spans="21:28" ht="14.5">
      <c r="U465" s="656"/>
      <c r="Y465" s="787"/>
      <c r="Z465" s="787"/>
      <c r="AB465" s="787"/>
    </row>
    <row r="466" spans="21:28" ht="14.5">
      <c r="U466" s="656"/>
      <c r="Y466" s="787"/>
      <c r="Z466" s="787"/>
      <c r="AB466" s="787"/>
    </row>
    <row r="467" spans="21:28" ht="14.5">
      <c r="U467" s="656"/>
      <c r="Y467" s="787"/>
      <c r="Z467" s="787"/>
      <c r="AB467" s="787"/>
    </row>
    <row r="468" spans="21:28" ht="14.5">
      <c r="U468" s="656"/>
      <c r="Y468" s="787"/>
      <c r="Z468" s="787"/>
      <c r="AB468" s="787"/>
    </row>
    <row r="469" spans="21:28" ht="14.5">
      <c r="U469" s="656"/>
      <c r="Y469" s="787"/>
      <c r="Z469" s="787"/>
      <c r="AB469" s="787"/>
    </row>
    <row r="470" spans="21:28" ht="14.5">
      <c r="U470" s="656"/>
      <c r="Y470" s="787"/>
      <c r="Z470" s="787"/>
      <c r="AB470" s="787"/>
    </row>
    <row r="471" spans="21:28" ht="14.5">
      <c r="U471" s="656"/>
      <c r="Y471" s="787"/>
      <c r="Z471" s="787"/>
      <c r="AB471" s="787"/>
    </row>
    <row r="472" spans="21:28" ht="14.5">
      <c r="U472" s="656"/>
      <c r="Y472" s="787"/>
      <c r="Z472" s="787"/>
      <c r="AB472" s="787"/>
    </row>
    <row r="473" spans="21:28" ht="14.5">
      <c r="U473" s="656"/>
      <c r="Y473" s="787"/>
      <c r="Z473" s="787"/>
      <c r="AB473" s="787"/>
    </row>
    <row r="474" spans="21:28" ht="14.5">
      <c r="U474" s="656"/>
      <c r="Y474" s="787"/>
      <c r="Z474" s="787"/>
      <c r="AB474" s="787"/>
    </row>
    <row r="475" spans="21:28" ht="14.5">
      <c r="U475" s="656"/>
      <c r="Y475" s="787"/>
      <c r="Z475" s="787"/>
      <c r="AB475" s="787"/>
    </row>
    <row r="476" spans="21:28" ht="14.5">
      <c r="U476" s="656"/>
      <c r="Y476" s="787"/>
      <c r="Z476" s="787"/>
      <c r="AB476" s="787"/>
    </row>
    <row r="477" spans="21:28" ht="14.5">
      <c r="U477" s="656"/>
      <c r="Y477" s="787"/>
      <c r="Z477" s="787"/>
      <c r="AB477" s="787"/>
    </row>
    <row r="478" spans="21:28" ht="14.5">
      <c r="U478" s="656"/>
      <c r="Y478" s="787"/>
      <c r="Z478" s="787"/>
      <c r="AB478" s="787"/>
    </row>
    <row r="479" spans="21:28" ht="14.5">
      <c r="U479" s="656"/>
      <c r="Y479" s="787"/>
      <c r="Z479" s="787"/>
      <c r="AB479" s="787"/>
    </row>
    <row r="480" spans="21:28" ht="14.5">
      <c r="U480" s="656"/>
      <c r="Y480" s="787"/>
      <c r="Z480" s="787"/>
      <c r="AB480" s="787"/>
    </row>
    <row r="481" spans="21:28" ht="14.5">
      <c r="U481" s="656"/>
      <c r="Y481" s="787"/>
      <c r="Z481" s="787"/>
      <c r="AB481" s="787"/>
    </row>
    <row r="482" spans="21:28" ht="14.5">
      <c r="U482" s="656"/>
      <c r="Y482" s="787"/>
      <c r="Z482" s="787"/>
      <c r="AB482" s="787"/>
    </row>
    <row r="483" spans="21:28" ht="14.5">
      <c r="U483" s="656"/>
      <c r="Y483" s="787"/>
      <c r="Z483" s="787"/>
      <c r="AB483" s="787"/>
    </row>
    <row r="484" spans="21:28" ht="14.5">
      <c r="U484" s="656"/>
      <c r="Y484" s="787"/>
      <c r="Z484" s="787"/>
      <c r="AB484" s="787"/>
    </row>
    <row r="485" spans="21:28" ht="14.5">
      <c r="U485" s="656"/>
      <c r="Y485" s="787"/>
      <c r="Z485" s="787"/>
      <c r="AB485" s="787"/>
    </row>
    <row r="486" spans="21:28" ht="14.5">
      <c r="U486" s="656"/>
      <c r="Y486" s="787"/>
      <c r="Z486" s="787"/>
      <c r="AB486" s="787"/>
    </row>
    <row r="487" spans="21:28" ht="14.5">
      <c r="U487" s="656"/>
      <c r="Y487" s="787"/>
      <c r="Z487" s="787"/>
      <c r="AB487" s="787"/>
    </row>
    <row r="488" spans="21:28" ht="14.5">
      <c r="U488" s="656"/>
      <c r="Y488" s="787"/>
      <c r="Z488" s="787"/>
      <c r="AB488" s="787"/>
    </row>
    <row r="489" spans="21:28" ht="14.5">
      <c r="U489" s="656"/>
      <c r="Y489" s="787"/>
      <c r="Z489" s="787"/>
      <c r="AB489" s="787"/>
    </row>
    <row r="490" spans="21:28" ht="14.5">
      <c r="U490" s="656"/>
      <c r="Y490" s="787"/>
      <c r="Z490" s="787"/>
      <c r="AB490" s="787"/>
    </row>
    <row r="491" spans="21:28" ht="14.5">
      <c r="U491" s="656"/>
      <c r="Y491" s="787"/>
      <c r="Z491" s="787"/>
      <c r="AB491" s="787"/>
    </row>
    <row r="492" spans="21:28" ht="14.5">
      <c r="U492" s="656"/>
      <c r="Y492" s="787"/>
      <c r="Z492" s="787"/>
      <c r="AB492" s="787"/>
    </row>
    <row r="493" spans="21:28" ht="14.5">
      <c r="U493" s="656"/>
      <c r="Y493" s="787"/>
      <c r="Z493" s="787"/>
      <c r="AB493" s="787"/>
    </row>
    <row r="494" spans="21:28" ht="14.5">
      <c r="U494" s="656"/>
      <c r="Y494" s="787"/>
      <c r="Z494" s="787"/>
      <c r="AB494" s="787"/>
    </row>
    <row r="495" spans="21:28" ht="14.5">
      <c r="U495" s="656"/>
      <c r="Y495" s="787"/>
      <c r="Z495" s="787"/>
      <c r="AB495" s="787"/>
    </row>
    <row r="496" spans="21:28" ht="14.5">
      <c r="U496" s="656"/>
      <c r="Y496" s="787"/>
      <c r="Z496" s="787"/>
      <c r="AB496" s="787"/>
    </row>
    <row r="497" spans="21:28" ht="14.5">
      <c r="U497" s="656"/>
      <c r="Y497" s="787"/>
      <c r="Z497" s="787"/>
      <c r="AB497" s="787"/>
    </row>
    <row r="498" spans="21:28" ht="14.5">
      <c r="U498" s="656"/>
      <c r="Y498" s="787"/>
      <c r="Z498" s="787"/>
      <c r="AB498" s="787"/>
    </row>
    <row r="499" spans="21:28" ht="14.5">
      <c r="U499" s="656"/>
      <c r="Y499" s="787"/>
      <c r="Z499" s="787"/>
      <c r="AB499" s="787"/>
    </row>
    <row r="500" spans="21:28" ht="14.5">
      <c r="U500" s="656"/>
      <c r="Y500" s="787"/>
      <c r="Z500" s="787"/>
      <c r="AB500" s="787"/>
    </row>
    <row r="501" spans="21:28" ht="14.5">
      <c r="U501" s="656"/>
      <c r="Y501" s="787"/>
      <c r="Z501" s="787"/>
      <c r="AB501" s="787"/>
    </row>
    <row r="502" spans="21:28" ht="14.5">
      <c r="U502" s="656"/>
      <c r="Y502" s="787"/>
      <c r="Z502" s="787"/>
      <c r="AB502" s="787"/>
    </row>
    <row r="503" spans="21:28" ht="14.5">
      <c r="U503" s="656"/>
      <c r="Y503" s="787"/>
      <c r="Z503" s="787"/>
      <c r="AB503" s="787"/>
    </row>
    <row r="504" spans="21:28" ht="14.5">
      <c r="U504" s="656"/>
      <c r="Y504" s="787"/>
      <c r="Z504" s="787"/>
      <c r="AB504" s="787"/>
    </row>
    <row r="505" spans="21:28" ht="14.5">
      <c r="U505" s="656"/>
      <c r="Y505" s="787"/>
      <c r="Z505" s="787"/>
      <c r="AB505" s="787"/>
    </row>
    <row r="506" spans="21:28" ht="14.5">
      <c r="U506" s="656"/>
      <c r="Y506" s="787"/>
      <c r="Z506" s="787"/>
      <c r="AB506" s="787"/>
    </row>
    <row r="507" spans="21:28" ht="14.5">
      <c r="U507" s="656"/>
      <c r="Y507" s="787"/>
      <c r="Z507" s="787"/>
      <c r="AB507" s="787"/>
    </row>
    <row r="508" spans="21:28" ht="14.5">
      <c r="U508" s="656"/>
      <c r="Y508" s="787"/>
      <c r="Z508" s="787"/>
      <c r="AB508" s="787"/>
    </row>
    <row r="509" spans="21:28" ht="14.5">
      <c r="U509" s="656"/>
      <c r="Y509" s="787"/>
      <c r="Z509" s="787"/>
      <c r="AB509" s="787"/>
    </row>
    <row r="510" spans="21:28" ht="14.5">
      <c r="U510" s="656"/>
      <c r="Y510" s="787"/>
      <c r="Z510" s="787"/>
      <c r="AB510" s="787"/>
    </row>
    <row r="511" spans="21:28" ht="14.5">
      <c r="U511" s="656"/>
      <c r="Y511" s="787"/>
      <c r="Z511" s="787"/>
      <c r="AB511" s="787"/>
    </row>
    <row r="512" spans="21:28" ht="14.5">
      <c r="U512" s="656"/>
      <c r="Y512" s="787"/>
      <c r="Z512" s="787"/>
      <c r="AB512" s="787"/>
    </row>
    <row r="513" spans="21:28" ht="14.5">
      <c r="U513" s="656"/>
      <c r="Y513" s="787"/>
      <c r="Z513" s="787"/>
      <c r="AB513" s="787"/>
    </row>
    <row r="514" spans="21:28" ht="14.5">
      <c r="U514" s="656"/>
      <c r="Y514" s="787"/>
      <c r="Z514" s="787"/>
      <c r="AB514" s="787"/>
    </row>
    <row r="515" spans="21:28" ht="14.5">
      <c r="U515" s="656"/>
      <c r="Y515" s="787"/>
      <c r="Z515" s="787"/>
      <c r="AB515" s="787"/>
    </row>
    <row r="516" spans="21:28" ht="14.5">
      <c r="U516" s="656"/>
      <c r="Y516" s="787"/>
      <c r="Z516" s="787"/>
      <c r="AB516" s="787"/>
    </row>
    <row r="517" spans="21:28" ht="14.5">
      <c r="U517" s="656"/>
      <c r="Y517" s="787"/>
      <c r="Z517" s="787"/>
      <c r="AB517" s="787"/>
    </row>
    <row r="518" spans="21:28" ht="14.5">
      <c r="U518" s="656"/>
      <c r="Y518" s="787"/>
      <c r="Z518" s="787"/>
      <c r="AB518" s="787"/>
    </row>
    <row r="519" spans="21:28" ht="14.5">
      <c r="U519" s="656"/>
      <c r="Y519" s="787"/>
      <c r="Z519" s="787"/>
      <c r="AB519" s="787"/>
    </row>
    <row r="520" spans="21:28" ht="14.5">
      <c r="U520" s="656"/>
      <c r="Y520" s="787"/>
      <c r="Z520" s="787"/>
      <c r="AB520" s="787"/>
    </row>
    <row r="521" spans="21:28" ht="14.5">
      <c r="U521" s="656"/>
      <c r="Y521" s="787"/>
      <c r="Z521" s="787"/>
      <c r="AB521" s="787"/>
    </row>
    <row r="522" spans="21:28" ht="14.5">
      <c r="U522" s="656"/>
      <c r="Y522" s="787"/>
      <c r="Z522" s="787"/>
      <c r="AB522" s="787"/>
    </row>
    <row r="523" spans="21:28" ht="14.5">
      <c r="U523" s="656"/>
      <c r="Y523" s="787"/>
      <c r="Z523" s="787"/>
      <c r="AB523" s="787"/>
    </row>
    <row r="524" spans="21:28" ht="14.5">
      <c r="U524" s="656"/>
      <c r="Y524" s="787"/>
      <c r="Z524" s="787"/>
      <c r="AB524" s="787"/>
    </row>
    <row r="525" spans="21:28" ht="14.5">
      <c r="U525" s="656"/>
      <c r="Y525" s="787"/>
      <c r="Z525" s="787"/>
      <c r="AB525" s="787"/>
    </row>
    <row r="526" spans="21:28" ht="14.5">
      <c r="U526" s="656"/>
      <c r="Y526" s="787"/>
      <c r="Z526" s="787"/>
      <c r="AB526" s="787"/>
    </row>
    <row r="527" spans="21:28" ht="14.5">
      <c r="U527" s="656"/>
      <c r="Y527" s="787"/>
      <c r="Z527" s="787"/>
      <c r="AB527" s="787"/>
    </row>
    <row r="528" spans="21:28" ht="14.5">
      <c r="U528" s="656"/>
      <c r="Y528" s="787"/>
      <c r="Z528" s="787"/>
      <c r="AB528" s="787"/>
    </row>
    <row r="529" spans="21:28" ht="14.5">
      <c r="U529" s="656"/>
      <c r="Y529" s="787"/>
      <c r="Z529" s="787"/>
      <c r="AB529" s="787"/>
    </row>
    <row r="530" spans="21:28" ht="14.5">
      <c r="U530" s="656"/>
      <c r="Y530" s="787"/>
      <c r="Z530" s="787"/>
      <c r="AB530" s="787"/>
    </row>
    <row r="531" spans="21:28" ht="14.5">
      <c r="U531" s="656"/>
      <c r="Y531" s="787"/>
      <c r="Z531" s="787"/>
      <c r="AB531" s="787"/>
    </row>
    <row r="532" spans="21:28" ht="14.5">
      <c r="U532" s="656"/>
      <c r="Y532" s="787"/>
      <c r="Z532" s="787"/>
      <c r="AB532" s="787"/>
    </row>
    <row r="533" spans="21:28" ht="14.5">
      <c r="U533" s="656"/>
      <c r="Y533" s="787"/>
      <c r="Z533" s="787"/>
      <c r="AB533" s="787"/>
    </row>
    <row r="534" spans="21:28" ht="14.5">
      <c r="U534" s="656"/>
      <c r="Y534" s="787"/>
      <c r="Z534" s="787"/>
      <c r="AB534" s="787"/>
    </row>
    <row r="535" spans="21:28" ht="14.5">
      <c r="U535" s="656"/>
      <c r="Y535" s="787"/>
      <c r="Z535" s="787"/>
      <c r="AB535" s="787"/>
    </row>
    <row r="536" spans="21:28" ht="14.5">
      <c r="U536" s="656"/>
      <c r="Y536" s="787"/>
      <c r="Z536" s="787"/>
      <c r="AB536" s="787"/>
    </row>
    <row r="537" spans="21:28" ht="14.5">
      <c r="U537" s="656"/>
      <c r="Y537" s="787"/>
      <c r="Z537" s="787"/>
      <c r="AB537" s="787"/>
    </row>
    <row r="538" spans="21:28" ht="14.5">
      <c r="U538" s="656"/>
      <c r="Y538" s="787"/>
      <c r="Z538" s="787"/>
      <c r="AB538" s="787"/>
    </row>
    <row r="539" spans="21:28" ht="14.5">
      <c r="U539" s="656"/>
      <c r="Y539" s="787"/>
      <c r="Z539" s="787"/>
      <c r="AB539" s="787"/>
    </row>
    <row r="540" spans="21:28" ht="14.5">
      <c r="U540" s="656"/>
      <c r="Y540" s="787"/>
      <c r="Z540" s="787"/>
      <c r="AB540" s="787"/>
    </row>
    <row r="541" spans="21:28" ht="14.5">
      <c r="U541" s="656"/>
      <c r="Y541" s="787"/>
      <c r="Z541" s="787"/>
      <c r="AB541" s="787"/>
    </row>
    <row r="542" spans="21:28" ht="14.5">
      <c r="U542" s="656"/>
      <c r="Y542" s="787"/>
      <c r="Z542" s="787"/>
      <c r="AB542" s="787"/>
    </row>
    <row r="543" spans="21:28" ht="14.5">
      <c r="U543" s="656"/>
      <c r="Y543" s="787"/>
      <c r="Z543" s="787"/>
      <c r="AB543" s="787"/>
    </row>
    <row r="544" spans="21:28" ht="14.5">
      <c r="U544" s="656"/>
      <c r="Y544" s="787"/>
      <c r="Z544" s="787"/>
      <c r="AB544" s="787"/>
    </row>
    <row r="545" spans="21:28" ht="14.5">
      <c r="U545" s="656"/>
      <c r="Y545" s="787"/>
      <c r="Z545" s="787"/>
      <c r="AB545" s="787"/>
    </row>
    <row r="546" spans="21:28" ht="14.5">
      <c r="U546" s="656"/>
      <c r="Y546" s="787"/>
      <c r="Z546" s="787"/>
      <c r="AB546" s="787"/>
    </row>
    <row r="547" spans="21:28" ht="14.5">
      <c r="U547" s="656"/>
      <c r="Y547" s="787"/>
      <c r="Z547" s="787"/>
      <c r="AB547" s="787"/>
    </row>
    <row r="548" spans="21:28" ht="14.5">
      <c r="U548" s="656"/>
      <c r="Y548" s="787"/>
      <c r="Z548" s="787"/>
      <c r="AB548" s="787"/>
    </row>
    <row r="549" spans="21:28" ht="14.5">
      <c r="U549" s="656"/>
      <c r="Y549" s="787"/>
      <c r="Z549" s="787"/>
      <c r="AB549" s="787"/>
    </row>
    <row r="550" spans="21:28" ht="14.5">
      <c r="U550" s="656"/>
      <c r="Y550" s="787"/>
      <c r="Z550" s="787"/>
      <c r="AB550" s="787"/>
    </row>
    <row r="551" spans="21:28" ht="14.5">
      <c r="U551" s="656"/>
      <c r="Y551" s="787"/>
      <c r="Z551" s="787"/>
      <c r="AB551" s="787"/>
    </row>
    <row r="552" spans="21:28" ht="14.5">
      <c r="U552" s="656"/>
      <c r="Y552" s="787"/>
      <c r="Z552" s="787"/>
      <c r="AB552" s="787"/>
    </row>
    <row r="553" spans="21:28" ht="14.5">
      <c r="U553" s="656"/>
      <c r="Y553" s="787"/>
      <c r="Z553" s="787"/>
      <c r="AB553" s="787"/>
    </row>
    <row r="554" spans="21:28" ht="14.5">
      <c r="U554" s="656"/>
      <c r="Y554" s="787"/>
      <c r="Z554" s="787"/>
      <c r="AB554" s="787"/>
    </row>
    <row r="555" spans="21:28" ht="14.5">
      <c r="U555" s="656"/>
      <c r="Y555" s="787"/>
      <c r="Z555" s="787"/>
      <c r="AB555" s="787"/>
    </row>
    <row r="556" spans="21:28" ht="14.5">
      <c r="U556" s="656"/>
      <c r="Y556" s="787"/>
      <c r="Z556" s="787"/>
      <c r="AB556" s="787"/>
    </row>
    <row r="557" spans="21:28" ht="14.5">
      <c r="U557" s="656"/>
      <c r="Y557" s="787"/>
      <c r="Z557" s="787"/>
      <c r="AB557" s="787"/>
    </row>
    <row r="558" spans="21:28" ht="14.5">
      <c r="U558" s="656"/>
      <c r="Y558" s="787"/>
      <c r="Z558" s="787"/>
      <c r="AB558" s="787"/>
    </row>
    <row r="559" spans="21:28" ht="14.5">
      <c r="U559" s="656"/>
      <c r="Y559" s="787"/>
      <c r="Z559" s="787"/>
      <c r="AB559" s="787"/>
    </row>
    <row r="560" spans="21:28" ht="14.5">
      <c r="U560" s="656"/>
      <c r="Y560" s="787"/>
      <c r="Z560" s="787"/>
      <c r="AB560" s="787"/>
    </row>
    <row r="561" spans="21:28" ht="14.5">
      <c r="U561" s="656"/>
      <c r="Y561" s="787"/>
      <c r="Z561" s="787"/>
      <c r="AB561" s="787"/>
    </row>
    <row r="562" spans="21:28" ht="14.5">
      <c r="U562" s="656"/>
      <c r="Y562" s="787"/>
      <c r="Z562" s="787"/>
      <c r="AB562" s="787"/>
    </row>
    <row r="563" spans="21:28" ht="14.5">
      <c r="U563" s="656"/>
      <c r="Y563" s="787"/>
      <c r="Z563" s="787"/>
      <c r="AB563" s="787"/>
    </row>
    <row r="564" spans="21:28" ht="14.5">
      <c r="U564" s="656"/>
      <c r="Y564" s="787"/>
      <c r="Z564" s="787"/>
      <c r="AB564" s="787"/>
    </row>
    <row r="565" spans="21:28" ht="14.5">
      <c r="U565" s="656"/>
      <c r="Y565" s="787"/>
      <c r="Z565" s="787"/>
      <c r="AB565" s="787"/>
    </row>
    <row r="566" spans="21:28" ht="14.5">
      <c r="U566" s="656"/>
      <c r="Y566" s="787"/>
      <c r="Z566" s="787"/>
      <c r="AB566" s="787"/>
    </row>
    <row r="567" spans="21:28" ht="14.5">
      <c r="U567" s="656"/>
      <c r="Y567" s="787"/>
      <c r="Z567" s="787"/>
      <c r="AB567" s="787"/>
    </row>
    <row r="568" spans="21:28" ht="14.5">
      <c r="U568" s="656"/>
      <c r="Y568" s="787"/>
      <c r="Z568" s="787"/>
      <c r="AB568" s="787"/>
    </row>
    <row r="569" spans="21:28" ht="14.5">
      <c r="U569" s="656"/>
      <c r="Y569" s="787"/>
      <c r="Z569" s="787"/>
      <c r="AB569" s="787"/>
    </row>
    <row r="570" spans="21:28" ht="14.5">
      <c r="U570" s="656"/>
      <c r="Y570" s="787"/>
      <c r="Z570" s="787"/>
      <c r="AB570" s="787"/>
    </row>
    <row r="571" spans="21:28" ht="14.5">
      <c r="U571" s="656"/>
      <c r="Y571" s="787"/>
      <c r="Z571" s="787"/>
      <c r="AB571" s="787"/>
    </row>
    <row r="572" spans="21:28" ht="14.5">
      <c r="U572" s="656"/>
      <c r="Y572" s="787"/>
      <c r="Z572" s="787"/>
      <c r="AB572" s="787"/>
    </row>
    <row r="573" spans="21:28" ht="14.5">
      <c r="U573" s="656"/>
      <c r="Y573" s="787"/>
      <c r="Z573" s="787"/>
      <c r="AB573" s="787"/>
    </row>
    <row r="574" spans="21:28" ht="14.5">
      <c r="U574" s="656"/>
      <c r="Y574" s="787"/>
      <c r="Z574" s="787"/>
      <c r="AB574" s="787"/>
    </row>
    <row r="575" spans="21:28" ht="14.5">
      <c r="U575" s="656"/>
      <c r="Y575" s="787"/>
      <c r="Z575" s="787"/>
      <c r="AB575" s="787"/>
    </row>
    <row r="576" spans="21:28" ht="14.5">
      <c r="U576" s="656"/>
      <c r="Y576" s="787"/>
      <c r="Z576" s="787"/>
      <c r="AB576" s="787"/>
    </row>
    <row r="577" spans="21:28" ht="14.5">
      <c r="U577" s="656"/>
      <c r="Y577" s="787"/>
      <c r="Z577" s="787"/>
      <c r="AB577" s="787"/>
    </row>
    <row r="578" spans="21:28" ht="14.5">
      <c r="U578" s="656"/>
      <c r="Y578" s="787"/>
      <c r="Z578" s="787"/>
      <c r="AB578" s="787"/>
    </row>
    <row r="579" spans="21:28" ht="14.5">
      <c r="U579" s="656"/>
      <c r="Y579" s="787"/>
      <c r="Z579" s="787"/>
      <c r="AB579" s="787"/>
    </row>
    <row r="580" spans="21:28" ht="14.5">
      <c r="U580" s="656"/>
      <c r="Y580" s="787"/>
      <c r="Z580" s="787"/>
      <c r="AB580" s="787"/>
    </row>
    <row r="581" spans="21:28" ht="14.5">
      <c r="U581" s="656"/>
      <c r="Y581" s="787"/>
      <c r="Z581" s="787"/>
      <c r="AB581" s="787"/>
    </row>
    <row r="582" spans="21:28" ht="14.5">
      <c r="U582" s="656"/>
      <c r="Y582" s="787"/>
      <c r="Z582" s="787"/>
      <c r="AB582" s="787"/>
    </row>
    <row r="583" spans="21:28" ht="14.5">
      <c r="U583" s="656"/>
      <c r="Y583" s="787"/>
      <c r="Z583" s="787"/>
      <c r="AB583" s="787"/>
    </row>
    <row r="584" spans="21:28" ht="14.5">
      <c r="U584" s="656"/>
      <c r="Y584" s="787"/>
      <c r="Z584" s="787"/>
      <c r="AB584" s="787"/>
    </row>
    <row r="585" spans="21:28" ht="14.5">
      <c r="U585" s="656"/>
      <c r="Y585" s="787"/>
      <c r="Z585" s="787"/>
      <c r="AB585" s="787"/>
    </row>
    <row r="586" spans="21:28" ht="14.5">
      <c r="U586" s="656"/>
      <c r="Y586" s="787"/>
      <c r="Z586" s="787"/>
      <c r="AB586" s="787"/>
    </row>
    <row r="587" spans="21:28" ht="14.5">
      <c r="U587" s="656"/>
      <c r="Y587" s="787"/>
      <c r="Z587" s="787"/>
      <c r="AB587" s="787"/>
    </row>
    <row r="588" spans="21:28" ht="14.5">
      <c r="U588" s="656"/>
      <c r="Y588" s="787"/>
      <c r="Z588" s="787"/>
      <c r="AB588" s="787"/>
    </row>
    <row r="589" spans="21:28" ht="14.5">
      <c r="U589" s="656"/>
      <c r="Y589" s="787"/>
      <c r="Z589" s="787"/>
      <c r="AB589" s="787"/>
    </row>
    <row r="590" spans="21:28" ht="14.5">
      <c r="U590" s="656"/>
      <c r="Y590" s="787"/>
      <c r="Z590" s="787"/>
      <c r="AB590" s="787"/>
    </row>
    <row r="591" spans="21:28" ht="14.5">
      <c r="U591" s="656"/>
      <c r="Y591" s="787"/>
      <c r="Z591" s="787"/>
      <c r="AB591" s="787"/>
    </row>
    <row r="592" spans="21:28" ht="14.5">
      <c r="U592" s="656"/>
      <c r="Y592" s="787"/>
      <c r="Z592" s="787"/>
      <c r="AB592" s="787"/>
    </row>
    <row r="593" spans="21:28" ht="14.5">
      <c r="U593" s="656"/>
      <c r="Y593" s="787"/>
      <c r="Z593" s="787"/>
      <c r="AB593" s="787"/>
    </row>
    <row r="594" spans="21:28" ht="14.5">
      <c r="U594" s="656"/>
      <c r="Y594" s="787"/>
      <c r="Z594" s="787"/>
      <c r="AB594" s="787"/>
    </row>
    <row r="595" spans="21:28" ht="14.5">
      <c r="U595" s="656"/>
      <c r="Y595" s="787"/>
      <c r="Z595" s="787"/>
      <c r="AB595" s="787"/>
    </row>
    <row r="596" spans="21:28" ht="14.5">
      <c r="U596" s="656"/>
      <c r="Y596" s="787"/>
      <c r="Z596" s="787"/>
      <c r="AB596" s="787"/>
    </row>
    <row r="597" spans="21:28" ht="14.5">
      <c r="U597" s="656"/>
      <c r="Y597" s="787"/>
      <c r="Z597" s="787"/>
      <c r="AB597" s="787"/>
    </row>
    <row r="598" spans="21:28" ht="14.5">
      <c r="U598" s="656"/>
      <c r="Y598" s="787"/>
      <c r="Z598" s="787"/>
      <c r="AB598" s="787"/>
    </row>
    <row r="599" spans="21:28" ht="14.5">
      <c r="U599" s="656"/>
      <c r="Y599" s="787"/>
      <c r="Z599" s="787"/>
      <c r="AB599" s="787"/>
    </row>
    <row r="600" spans="21:28" ht="14.5">
      <c r="U600" s="656"/>
      <c r="Y600" s="787"/>
      <c r="Z600" s="787"/>
      <c r="AB600" s="787"/>
    </row>
    <row r="601" spans="21:28" ht="14.5">
      <c r="U601" s="656"/>
      <c r="Y601" s="787"/>
      <c r="Z601" s="787"/>
      <c r="AB601" s="787"/>
    </row>
    <row r="602" spans="21:28" ht="14.5">
      <c r="U602" s="656"/>
      <c r="Y602" s="787"/>
      <c r="Z602" s="787"/>
      <c r="AB602" s="787"/>
    </row>
    <row r="603" spans="21:28" ht="14.5">
      <c r="U603" s="656"/>
      <c r="Y603" s="787"/>
      <c r="Z603" s="787"/>
      <c r="AB603" s="787"/>
    </row>
    <row r="604" spans="21:28" ht="14.5">
      <c r="U604" s="656"/>
      <c r="Y604" s="787"/>
      <c r="Z604" s="787"/>
      <c r="AB604" s="787"/>
    </row>
    <row r="605" spans="21:28" ht="14.5">
      <c r="U605" s="656"/>
      <c r="Y605" s="787"/>
      <c r="Z605" s="787"/>
      <c r="AB605" s="787"/>
    </row>
    <row r="606" spans="21:28" ht="14.5">
      <c r="U606" s="656"/>
      <c r="Y606" s="787"/>
      <c r="Z606" s="787"/>
      <c r="AB606" s="787"/>
    </row>
    <row r="607" spans="21:28" ht="14.5">
      <c r="U607" s="656"/>
      <c r="Y607" s="787"/>
      <c r="Z607" s="787"/>
      <c r="AB607" s="787"/>
    </row>
    <row r="608" spans="21:28" ht="14.5">
      <c r="U608" s="656"/>
      <c r="Y608" s="787"/>
      <c r="Z608" s="787"/>
      <c r="AB608" s="787"/>
    </row>
    <row r="609" spans="21:28" ht="14.5">
      <c r="U609" s="656"/>
      <c r="Y609" s="787"/>
      <c r="Z609" s="787"/>
      <c r="AB609" s="787"/>
    </row>
    <row r="610" spans="21:28" ht="14.5">
      <c r="U610" s="656"/>
      <c r="Y610" s="787"/>
      <c r="Z610" s="787"/>
      <c r="AB610" s="787"/>
    </row>
    <row r="611" spans="21:28" ht="14.5">
      <c r="U611" s="656"/>
      <c r="Y611" s="787"/>
      <c r="Z611" s="787"/>
      <c r="AB611" s="787"/>
    </row>
    <row r="612" spans="21:28" ht="14.5">
      <c r="U612" s="656"/>
      <c r="Y612" s="787"/>
      <c r="Z612" s="787"/>
      <c r="AB612" s="787"/>
    </row>
    <row r="613" spans="21:28" ht="14.5">
      <c r="U613" s="656"/>
      <c r="Y613" s="787"/>
      <c r="Z613" s="787"/>
      <c r="AB613" s="787"/>
    </row>
    <row r="614" spans="21:28" ht="14.5">
      <c r="U614" s="656"/>
      <c r="Y614" s="787"/>
      <c r="Z614" s="787"/>
      <c r="AB614" s="787"/>
    </row>
    <row r="615" spans="21:28" ht="14.5">
      <c r="U615" s="656"/>
      <c r="Y615" s="787"/>
      <c r="Z615" s="787"/>
      <c r="AB615" s="787"/>
    </row>
    <row r="616" spans="21:28" ht="14.5">
      <c r="U616" s="656"/>
      <c r="Y616" s="787"/>
      <c r="Z616" s="787"/>
      <c r="AB616" s="787"/>
    </row>
    <row r="617" spans="21:28" ht="14.5">
      <c r="U617" s="656"/>
      <c r="Y617" s="787"/>
      <c r="Z617" s="787"/>
      <c r="AB617" s="787"/>
    </row>
    <row r="618" spans="21:28" ht="14.5">
      <c r="U618" s="656"/>
      <c r="Y618" s="787"/>
      <c r="Z618" s="787"/>
      <c r="AB618" s="787"/>
    </row>
    <row r="619" spans="21:28" ht="14.5">
      <c r="U619" s="656"/>
      <c r="Y619" s="787"/>
      <c r="Z619" s="787"/>
      <c r="AB619" s="787"/>
    </row>
    <row r="620" spans="21:28" ht="14.5">
      <c r="U620" s="656"/>
      <c r="Y620" s="787"/>
      <c r="Z620" s="787"/>
      <c r="AB620" s="787"/>
    </row>
    <row r="621" spans="21:28" ht="14.5">
      <c r="U621" s="656"/>
      <c r="Y621" s="787"/>
      <c r="Z621" s="787"/>
      <c r="AB621" s="787"/>
    </row>
    <row r="622" spans="21:28" ht="14.5">
      <c r="U622" s="656"/>
      <c r="Y622" s="787"/>
      <c r="Z622" s="787"/>
      <c r="AB622" s="787"/>
    </row>
    <row r="623" spans="21:28" ht="14.5">
      <c r="U623" s="656"/>
      <c r="Y623" s="787"/>
      <c r="Z623" s="787"/>
      <c r="AB623" s="787"/>
    </row>
    <row r="624" spans="21:28" ht="14.5">
      <c r="U624" s="656"/>
      <c r="Y624" s="787"/>
      <c r="Z624" s="787"/>
      <c r="AB624" s="787"/>
    </row>
    <row r="625" spans="21:28" ht="14.5">
      <c r="U625" s="656"/>
      <c r="Y625" s="787"/>
      <c r="Z625" s="787"/>
      <c r="AB625" s="787"/>
    </row>
    <row r="626" spans="21:28" ht="14.5">
      <c r="U626" s="656"/>
      <c r="Y626" s="787"/>
      <c r="Z626" s="787"/>
      <c r="AB626" s="787"/>
    </row>
    <row r="627" spans="21:28" ht="14.5">
      <c r="U627" s="656"/>
      <c r="Y627" s="787"/>
      <c r="Z627" s="787"/>
      <c r="AB627" s="787"/>
    </row>
    <row r="628" spans="21:28" ht="14.5">
      <c r="U628" s="656"/>
      <c r="Y628" s="787"/>
      <c r="Z628" s="787"/>
      <c r="AB628" s="787"/>
    </row>
    <row r="629" spans="21:28" ht="14.5">
      <c r="U629" s="656"/>
      <c r="Y629" s="787"/>
      <c r="Z629" s="787"/>
      <c r="AB629" s="787"/>
    </row>
    <row r="630" spans="21:28" ht="14.5">
      <c r="U630" s="656"/>
      <c r="Y630" s="787"/>
      <c r="Z630" s="787"/>
      <c r="AB630" s="787"/>
    </row>
    <row r="631" spans="21:28" ht="14.5">
      <c r="U631" s="656"/>
      <c r="Y631" s="787"/>
      <c r="Z631" s="787"/>
      <c r="AB631" s="787"/>
    </row>
    <row r="632" spans="21:28" ht="14.5">
      <c r="U632" s="656"/>
      <c r="Y632" s="787"/>
      <c r="Z632" s="787"/>
      <c r="AB632" s="787"/>
    </row>
    <row r="633" spans="21:28" ht="14.5">
      <c r="U633" s="656"/>
      <c r="Y633" s="787"/>
      <c r="Z633" s="787"/>
      <c r="AB633" s="787"/>
    </row>
    <row r="634" spans="21:28" ht="14.5">
      <c r="U634" s="656"/>
      <c r="Y634" s="787"/>
      <c r="Z634" s="787"/>
      <c r="AB634" s="787"/>
    </row>
    <row r="635" spans="21:28" ht="14.5">
      <c r="U635" s="656"/>
      <c r="Y635" s="787"/>
      <c r="Z635" s="787"/>
      <c r="AB635" s="787"/>
    </row>
    <row r="636" spans="21:28" ht="14.5">
      <c r="U636" s="656"/>
      <c r="Y636" s="787"/>
      <c r="Z636" s="787"/>
      <c r="AB636" s="787"/>
    </row>
    <row r="637" spans="21:28" ht="14.5">
      <c r="U637" s="656"/>
      <c r="Y637" s="787"/>
      <c r="Z637" s="787"/>
      <c r="AB637" s="787"/>
    </row>
    <row r="638" spans="21:28" ht="14.5">
      <c r="U638" s="656"/>
      <c r="Y638" s="787"/>
      <c r="Z638" s="787"/>
      <c r="AB638" s="787"/>
    </row>
    <row r="639" spans="21:28" ht="14.5">
      <c r="U639" s="656"/>
      <c r="Y639" s="787"/>
      <c r="Z639" s="787"/>
      <c r="AB639" s="787"/>
    </row>
    <row r="640" spans="21:28" ht="14.5">
      <c r="U640" s="656"/>
      <c r="Y640" s="787"/>
      <c r="Z640" s="787"/>
      <c r="AB640" s="787"/>
    </row>
    <row r="641" spans="21:28" ht="14.5">
      <c r="U641" s="656"/>
      <c r="Y641" s="787"/>
      <c r="Z641" s="787"/>
      <c r="AB641" s="787"/>
    </row>
    <row r="642" spans="21:28" ht="14.5">
      <c r="U642" s="656"/>
      <c r="Y642" s="787"/>
      <c r="Z642" s="787"/>
      <c r="AB642" s="787"/>
    </row>
    <row r="643" spans="21:28" ht="14.5">
      <c r="U643" s="656"/>
      <c r="Y643" s="787"/>
      <c r="Z643" s="787"/>
      <c r="AB643" s="787"/>
    </row>
    <row r="644" spans="21:28" ht="14.5">
      <c r="U644" s="656"/>
      <c r="Y644" s="787"/>
      <c r="Z644" s="787"/>
      <c r="AB644" s="787"/>
    </row>
    <row r="645" spans="21:28" ht="14.5">
      <c r="U645" s="656"/>
      <c r="Y645" s="787"/>
      <c r="Z645" s="787"/>
      <c r="AB645" s="787"/>
    </row>
    <row r="646" spans="21:28" ht="14.5">
      <c r="U646" s="656"/>
      <c r="Y646" s="787"/>
      <c r="Z646" s="787"/>
      <c r="AB646" s="787"/>
    </row>
    <row r="647" spans="21:28" ht="14.5">
      <c r="U647" s="656"/>
      <c r="Y647" s="787"/>
      <c r="Z647" s="787"/>
      <c r="AB647" s="787"/>
    </row>
    <row r="648" spans="21:28" ht="14.5">
      <c r="U648" s="656"/>
      <c r="Y648" s="787"/>
      <c r="Z648" s="787"/>
      <c r="AB648" s="787"/>
    </row>
    <row r="649" spans="21:28" ht="14.5">
      <c r="U649" s="656"/>
      <c r="Y649" s="787"/>
      <c r="Z649" s="787"/>
      <c r="AB649" s="787"/>
    </row>
    <row r="650" spans="21:28" ht="14.5">
      <c r="U650" s="656"/>
      <c r="Y650" s="787"/>
      <c r="Z650" s="787"/>
      <c r="AB650" s="787"/>
    </row>
    <row r="651" spans="21:28" ht="14.5">
      <c r="U651" s="656"/>
      <c r="Y651" s="787"/>
      <c r="Z651" s="787"/>
      <c r="AB651" s="787"/>
    </row>
    <row r="652" spans="21:28" ht="14.5">
      <c r="U652" s="656"/>
      <c r="Y652" s="787"/>
      <c r="Z652" s="787"/>
      <c r="AB652" s="787"/>
    </row>
    <row r="653" spans="21:28" ht="14.5">
      <c r="U653" s="656"/>
      <c r="Y653" s="787"/>
      <c r="Z653" s="787"/>
      <c r="AB653" s="787"/>
    </row>
    <row r="654" spans="21:28" ht="14.5">
      <c r="U654" s="656"/>
      <c r="Y654" s="787"/>
      <c r="Z654" s="787"/>
      <c r="AB654" s="787"/>
    </row>
    <row r="655" spans="21:28" ht="14.5">
      <c r="U655" s="656"/>
      <c r="Y655" s="787"/>
      <c r="Z655" s="787"/>
      <c r="AB655" s="787"/>
    </row>
    <row r="656" spans="21:28" ht="14.5">
      <c r="U656" s="656"/>
      <c r="Y656" s="787"/>
      <c r="Z656" s="787"/>
      <c r="AB656" s="787"/>
    </row>
    <row r="657" spans="21:28" ht="14.5">
      <c r="U657" s="656"/>
      <c r="Y657" s="787"/>
      <c r="Z657" s="787"/>
      <c r="AB657" s="787"/>
    </row>
    <row r="658" spans="21:28" ht="14.5">
      <c r="U658" s="656"/>
      <c r="Y658" s="787"/>
      <c r="Z658" s="787"/>
      <c r="AB658" s="787"/>
    </row>
    <row r="659" spans="21:28" ht="14.5">
      <c r="U659" s="656"/>
      <c r="Y659" s="787"/>
      <c r="Z659" s="787"/>
      <c r="AB659" s="787"/>
    </row>
    <row r="660" spans="21:28" ht="14.5">
      <c r="U660" s="656"/>
      <c r="Y660" s="787"/>
      <c r="Z660" s="787"/>
      <c r="AB660" s="787"/>
    </row>
    <row r="661" spans="21:28" ht="14.5">
      <c r="U661" s="656"/>
      <c r="Y661" s="787"/>
      <c r="Z661" s="787"/>
      <c r="AB661" s="787"/>
    </row>
    <row r="662" spans="21:28" ht="14.5">
      <c r="U662" s="656"/>
      <c r="Y662" s="787"/>
      <c r="Z662" s="787"/>
      <c r="AB662" s="787"/>
    </row>
    <row r="663" spans="21:28" ht="14.5">
      <c r="U663" s="656"/>
      <c r="Y663" s="787"/>
      <c r="Z663" s="787"/>
      <c r="AB663" s="787"/>
    </row>
    <row r="664" spans="21:28" ht="14.5">
      <c r="U664" s="656"/>
      <c r="Y664" s="787"/>
      <c r="Z664" s="787"/>
      <c r="AB664" s="787"/>
    </row>
    <row r="665" spans="21:28" ht="14.5">
      <c r="U665" s="656"/>
      <c r="Y665" s="787"/>
      <c r="Z665" s="787"/>
      <c r="AB665" s="787"/>
    </row>
    <row r="666" spans="21:28" ht="14.5">
      <c r="U666" s="656"/>
      <c r="Y666" s="787"/>
      <c r="Z666" s="787"/>
      <c r="AB666" s="787"/>
    </row>
    <row r="667" spans="21:28" ht="14.5">
      <c r="U667" s="656"/>
      <c r="Y667" s="787"/>
      <c r="Z667" s="787"/>
      <c r="AB667" s="787"/>
    </row>
    <row r="668" spans="21:28" ht="14.5">
      <c r="U668" s="656"/>
      <c r="Y668" s="787"/>
      <c r="Z668" s="787"/>
      <c r="AB668" s="787"/>
    </row>
    <row r="669" spans="21:28" ht="14.5">
      <c r="U669" s="656"/>
      <c r="Y669" s="787"/>
      <c r="Z669" s="787"/>
      <c r="AB669" s="787"/>
    </row>
    <row r="670" spans="21:28" ht="14.5">
      <c r="U670" s="656"/>
      <c r="Y670" s="787"/>
      <c r="Z670" s="787"/>
      <c r="AB670" s="787"/>
    </row>
    <row r="671" spans="21:28" ht="14.5">
      <c r="U671" s="656"/>
      <c r="Y671" s="787"/>
      <c r="Z671" s="787"/>
      <c r="AB671" s="787"/>
    </row>
    <row r="672" spans="21:28" ht="14.5">
      <c r="U672" s="656"/>
      <c r="Y672" s="787"/>
      <c r="Z672" s="787"/>
      <c r="AB672" s="787"/>
    </row>
    <row r="673" spans="21:28" ht="14.5">
      <c r="U673" s="656"/>
      <c r="Y673" s="787"/>
      <c r="Z673" s="787"/>
      <c r="AB673" s="787"/>
    </row>
    <row r="674" spans="21:28" ht="14.5">
      <c r="U674" s="656"/>
      <c r="Y674" s="787"/>
      <c r="Z674" s="787"/>
      <c r="AB674" s="787"/>
    </row>
    <row r="675" spans="21:28" ht="14.5">
      <c r="U675" s="656"/>
      <c r="Y675" s="787"/>
      <c r="Z675" s="787"/>
      <c r="AB675" s="787"/>
    </row>
    <row r="676" spans="21:28" ht="14.5">
      <c r="U676" s="656"/>
      <c r="Y676" s="787"/>
      <c r="Z676" s="787"/>
      <c r="AB676" s="787"/>
    </row>
    <row r="677" spans="21:28" ht="14.5">
      <c r="U677" s="656"/>
      <c r="Y677" s="787"/>
      <c r="Z677" s="787"/>
      <c r="AB677" s="787"/>
    </row>
    <row r="678" spans="21:28" ht="14.5">
      <c r="U678" s="656"/>
      <c r="Y678" s="787"/>
      <c r="Z678" s="787"/>
      <c r="AB678" s="787"/>
    </row>
    <row r="679" spans="21:28" ht="14.5">
      <c r="U679" s="656"/>
      <c r="Y679" s="787"/>
      <c r="Z679" s="787"/>
      <c r="AB679" s="787"/>
    </row>
    <row r="680" spans="21:28" ht="14.5">
      <c r="U680" s="656"/>
      <c r="Y680" s="787"/>
      <c r="Z680" s="787"/>
      <c r="AB680" s="787"/>
    </row>
    <row r="681" spans="21:28" ht="14.5">
      <c r="U681" s="656"/>
      <c r="Y681" s="787"/>
      <c r="Z681" s="787"/>
      <c r="AB681" s="787"/>
    </row>
    <row r="682" spans="21:28" ht="14.5">
      <c r="U682" s="656"/>
      <c r="Y682" s="787"/>
      <c r="Z682" s="787"/>
      <c r="AB682" s="787"/>
    </row>
    <row r="683" spans="21:28" ht="14.5">
      <c r="U683" s="656"/>
      <c r="Y683" s="787"/>
      <c r="Z683" s="787"/>
      <c r="AB683" s="787"/>
    </row>
    <row r="684" spans="21:28" ht="14.5">
      <c r="U684" s="656"/>
      <c r="Y684" s="787"/>
      <c r="Z684" s="787"/>
      <c r="AB684" s="787"/>
    </row>
    <row r="685" spans="21:28" ht="14.5">
      <c r="U685" s="656"/>
      <c r="Y685" s="787"/>
      <c r="Z685" s="787"/>
      <c r="AB685" s="787"/>
    </row>
    <row r="686" spans="21:28" ht="14.5">
      <c r="U686" s="656"/>
      <c r="Y686" s="787"/>
      <c r="Z686" s="787"/>
      <c r="AB686" s="787"/>
    </row>
    <row r="687" spans="21:28" ht="14.5">
      <c r="U687" s="656"/>
      <c r="Y687" s="787"/>
      <c r="Z687" s="787"/>
      <c r="AB687" s="787"/>
    </row>
    <row r="688" spans="21:28" ht="14.5">
      <c r="U688" s="656"/>
      <c r="Y688" s="787"/>
      <c r="Z688" s="787"/>
      <c r="AB688" s="787"/>
    </row>
    <row r="689" spans="21:28" ht="14.5">
      <c r="U689" s="656"/>
      <c r="Y689" s="787"/>
      <c r="Z689" s="787"/>
      <c r="AB689" s="787"/>
    </row>
    <row r="690" spans="21:28" ht="14.5">
      <c r="U690" s="656"/>
      <c r="Y690" s="787"/>
      <c r="Z690" s="787"/>
      <c r="AB690" s="787"/>
    </row>
    <row r="691" spans="21:28" ht="14.5">
      <c r="U691" s="656"/>
      <c r="Y691" s="787"/>
      <c r="Z691" s="787"/>
      <c r="AB691" s="787"/>
    </row>
    <row r="692" spans="21:28" ht="14.5">
      <c r="U692" s="656"/>
      <c r="Y692" s="787"/>
      <c r="Z692" s="787"/>
      <c r="AB692" s="787"/>
    </row>
    <row r="693" spans="21:28" ht="14.5">
      <c r="U693" s="656"/>
      <c r="Y693" s="787"/>
      <c r="Z693" s="787"/>
      <c r="AB693" s="787"/>
    </row>
    <row r="694" spans="21:28" ht="14.5">
      <c r="U694" s="656"/>
      <c r="Y694" s="787"/>
      <c r="Z694" s="787"/>
      <c r="AB694" s="787"/>
    </row>
    <row r="695" spans="21:28" ht="14.5">
      <c r="U695" s="656"/>
      <c r="Y695" s="787"/>
      <c r="Z695" s="787"/>
      <c r="AB695" s="787"/>
    </row>
    <row r="696" spans="21:28" ht="14.5">
      <c r="U696" s="656"/>
      <c r="Y696" s="787"/>
      <c r="Z696" s="787"/>
      <c r="AB696" s="787"/>
    </row>
    <row r="697" spans="21:28" ht="14.5">
      <c r="U697" s="656"/>
      <c r="Y697" s="787"/>
      <c r="Z697" s="787"/>
      <c r="AB697" s="787"/>
    </row>
    <row r="698" spans="21:28" ht="14.5">
      <c r="U698" s="656"/>
      <c r="Y698" s="787"/>
      <c r="Z698" s="787"/>
      <c r="AB698" s="787"/>
    </row>
    <row r="699" spans="21:28" ht="14.5">
      <c r="U699" s="656"/>
      <c r="Y699" s="787"/>
      <c r="Z699" s="787"/>
      <c r="AB699" s="787"/>
    </row>
    <row r="700" spans="21:28" ht="14.5">
      <c r="U700" s="656"/>
      <c r="Y700" s="787"/>
      <c r="Z700" s="787"/>
      <c r="AB700" s="787"/>
    </row>
    <row r="701" spans="21:28" ht="14.5">
      <c r="U701" s="656"/>
      <c r="Y701" s="787"/>
      <c r="Z701" s="787"/>
      <c r="AB701" s="787"/>
    </row>
    <row r="702" spans="21:28" ht="14.5">
      <c r="U702" s="656"/>
      <c r="Y702" s="787"/>
      <c r="Z702" s="787"/>
      <c r="AB702" s="787"/>
    </row>
    <row r="703" spans="21:28" ht="14.5">
      <c r="U703" s="656"/>
      <c r="Y703" s="787"/>
      <c r="Z703" s="787"/>
      <c r="AB703" s="787"/>
    </row>
    <row r="704" spans="21:28" ht="14.5">
      <c r="U704" s="656"/>
      <c r="Y704" s="787"/>
      <c r="Z704" s="787"/>
      <c r="AB704" s="787"/>
    </row>
    <row r="705" spans="21:28" ht="14.5">
      <c r="U705" s="656"/>
      <c r="Y705" s="787"/>
      <c r="Z705" s="787"/>
      <c r="AB705" s="787"/>
    </row>
    <row r="706" spans="21:28" ht="14.5">
      <c r="U706" s="656"/>
      <c r="Y706" s="787"/>
      <c r="Z706" s="787"/>
      <c r="AB706" s="787"/>
    </row>
    <row r="707" spans="21:28" ht="14.5">
      <c r="U707" s="656"/>
      <c r="Y707" s="787"/>
      <c r="Z707" s="787"/>
      <c r="AB707" s="787"/>
    </row>
    <row r="708" spans="21:28" ht="14.5">
      <c r="U708" s="656"/>
      <c r="Y708" s="787"/>
      <c r="Z708" s="787"/>
      <c r="AB708" s="787"/>
    </row>
    <row r="709" spans="21:28" ht="14.5">
      <c r="U709" s="656"/>
      <c r="Y709" s="787"/>
      <c r="Z709" s="787"/>
      <c r="AB709" s="787"/>
    </row>
    <row r="710" spans="21:28" ht="14.5">
      <c r="U710" s="656"/>
      <c r="Y710" s="787"/>
      <c r="Z710" s="787"/>
      <c r="AB710" s="787"/>
    </row>
    <row r="711" spans="21:28" ht="14.5">
      <c r="U711" s="656"/>
      <c r="Y711" s="787"/>
      <c r="Z711" s="787"/>
      <c r="AB711" s="787"/>
    </row>
    <row r="712" spans="21:28" ht="14.5">
      <c r="U712" s="656"/>
      <c r="Y712" s="787"/>
      <c r="Z712" s="787"/>
      <c r="AB712" s="787"/>
    </row>
    <row r="713" spans="21:28" ht="14.5">
      <c r="U713" s="656"/>
      <c r="Y713" s="787"/>
      <c r="Z713" s="787"/>
      <c r="AB713" s="787"/>
    </row>
    <row r="714" spans="21:28" ht="14.5">
      <c r="U714" s="656"/>
      <c r="Y714" s="787"/>
      <c r="Z714" s="787"/>
      <c r="AB714" s="787"/>
    </row>
    <row r="715" spans="21:28" ht="14.5">
      <c r="U715" s="656"/>
      <c r="Y715" s="787"/>
      <c r="Z715" s="787"/>
      <c r="AB715" s="787"/>
    </row>
    <row r="716" spans="21:28" ht="14.5">
      <c r="U716" s="656"/>
      <c r="Y716" s="787"/>
      <c r="Z716" s="787"/>
      <c r="AB716" s="787"/>
    </row>
    <row r="717" spans="21:28" ht="14.5">
      <c r="U717" s="656"/>
      <c r="Y717" s="787"/>
      <c r="Z717" s="787"/>
      <c r="AB717" s="787"/>
    </row>
    <row r="718" spans="21:28" ht="14.5">
      <c r="U718" s="656"/>
      <c r="Y718" s="787"/>
      <c r="Z718" s="787"/>
      <c r="AB718" s="787"/>
    </row>
    <row r="719" spans="21:28" ht="14.5">
      <c r="U719" s="656"/>
      <c r="Y719" s="787"/>
      <c r="Z719" s="787"/>
      <c r="AB719" s="787"/>
    </row>
    <row r="720" spans="21:28" ht="14.5">
      <c r="U720" s="656"/>
      <c r="Y720" s="787"/>
      <c r="Z720" s="787"/>
      <c r="AB720" s="787"/>
    </row>
    <row r="721" spans="21:28" ht="14.5">
      <c r="U721" s="656"/>
      <c r="Y721" s="787"/>
      <c r="Z721" s="787"/>
      <c r="AB721" s="787"/>
    </row>
    <row r="722" spans="21:28" ht="14.5">
      <c r="U722" s="656"/>
      <c r="Y722" s="787"/>
      <c r="Z722" s="787"/>
      <c r="AB722" s="787"/>
    </row>
    <row r="723" spans="21:28" ht="14.5">
      <c r="U723" s="656"/>
      <c r="Y723" s="787"/>
      <c r="Z723" s="787"/>
      <c r="AB723" s="787"/>
    </row>
    <row r="724" spans="21:28" ht="14.5">
      <c r="U724" s="656"/>
      <c r="Y724" s="787"/>
      <c r="Z724" s="787"/>
      <c r="AB724" s="787"/>
    </row>
    <row r="725" spans="21:28" ht="14.5">
      <c r="U725" s="656"/>
      <c r="Y725" s="787"/>
      <c r="Z725" s="787"/>
      <c r="AB725" s="787"/>
    </row>
    <row r="726" spans="21:28" ht="14.5">
      <c r="U726" s="656"/>
      <c r="Y726" s="787"/>
      <c r="Z726" s="787"/>
      <c r="AB726" s="787"/>
    </row>
    <row r="727" spans="21:28" ht="14.5">
      <c r="U727" s="656"/>
      <c r="Y727" s="787"/>
      <c r="Z727" s="787"/>
      <c r="AB727" s="787"/>
    </row>
    <row r="728" spans="21:28" ht="14.5">
      <c r="U728" s="656"/>
      <c r="Y728" s="787"/>
      <c r="Z728" s="787"/>
      <c r="AB728" s="787"/>
    </row>
    <row r="729" spans="21:28" ht="14.5">
      <c r="U729" s="656"/>
      <c r="Y729" s="787"/>
      <c r="Z729" s="787"/>
      <c r="AB729" s="787"/>
    </row>
    <row r="730" spans="21:28" ht="14.5">
      <c r="U730" s="656"/>
      <c r="Y730" s="787"/>
      <c r="Z730" s="787"/>
      <c r="AB730" s="787"/>
    </row>
    <row r="731" spans="21:28" ht="14.5">
      <c r="U731" s="656"/>
      <c r="Y731" s="787"/>
      <c r="Z731" s="787"/>
      <c r="AB731" s="787"/>
    </row>
    <row r="732" spans="21:28" ht="14.5">
      <c r="U732" s="656"/>
      <c r="Y732" s="787"/>
      <c r="Z732" s="787"/>
      <c r="AB732" s="787"/>
    </row>
    <row r="733" spans="21:28" ht="14.5">
      <c r="U733" s="656"/>
      <c r="Y733" s="787"/>
      <c r="Z733" s="787"/>
      <c r="AB733" s="787"/>
    </row>
    <row r="734" spans="21:28" ht="14.5">
      <c r="U734" s="656"/>
      <c r="Y734" s="787"/>
      <c r="Z734" s="787"/>
      <c r="AB734" s="787"/>
    </row>
    <row r="735" spans="21:28" ht="14.5">
      <c r="U735" s="656"/>
      <c r="Y735" s="787"/>
      <c r="Z735" s="787"/>
      <c r="AB735" s="787"/>
    </row>
    <row r="736" spans="21:28" ht="14.5">
      <c r="U736" s="656"/>
      <c r="Y736" s="787"/>
      <c r="Z736" s="787"/>
      <c r="AB736" s="787"/>
    </row>
    <row r="737" spans="21:28" ht="14.5">
      <c r="U737" s="656"/>
      <c r="Y737" s="787"/>
      <c r="Z737" s="787"/>
      <c r="AB737" s="787"/>
    </row>
    <row r="738" spans="21:28" ht="14.5">
      <c r="U738" s="656"/>
      <c r="Y738" s="787"/>
      <c r="Z738" s="787"/>
      <c r="AB738" s="787"/>
    </row>
    <row r="739" spans="21:28" ht="14.5">
      <c r="U739" s="656"/>
      <c r="Y739" s="787"/>
      <c r="Z739" s="787"/>
      <c r="AB739" s="787"/>
    </row>
    <row r="740" spans="21:28" ht="14.5">
      <c r="U740" s="656"/>
      <c r="Y740" s="787"/>
      <c r="Z740" s="787"/>
      <c r="AB740" s="787"/>
    </row>
    <row r="741" spans="21:28" ht="14.5">
      <c r="U741" s="656"/>
      <c r="Y741" s="787"/>
      <c r="Z741" s="787"/>
      <c r="AB741" s="787"/>
    </row>
    <row r="742" spans="21:28" ht="14.5">
      <c r="U742" s="656"/>
      <c r="Y742" s="787"/>
      <c r="Z742" s="787"/>
      <c r="AB742" s="787"/>
    </row>
    <row r="743" spans="21:28" ht="14.5">
      <c r="U743" s="656"/>
      <c r="Y743" s="787"/>
      <c r="Z743" s="787"/>
      <c r="AB743" s="787"/>
    </row>
    <row r="744" spans="21:28" ht="14.5">
      <c r="U744" s="656"/>
      <c r="Y744" s="787"/>
      <c r="Z744" s="787"/>
      <c r="AB744" s="787"/>
    </row>
    <row r="745" spans="21:28" ht="14.5">
      <c r="U745" s="656"/>
      <c r="Y745" s="787"/>
      <c r="Z745" s="787"/>
      <c r="AB745" s="787"/>
    </row>
    <row r="746" spans="21:28" ht="14.5">
      <c r="U746" s="656"/>
      <c r="Y746" s="787"/>
      <c r="Z746" s="787"/>
      <c r="AB746" s="787"/>
    </row>
    <row r="747" spans="21:28" ht="14.5">
      <c r="U747" s="656"/>
      <c r="Y747" s="787"/>
      <c r="Z747" s="787"/>
      <c r="AB747" s="787"/>
    </row>
    <row r="748" spans="21:28" ht="14.5">
      <c r="U748" s="656"/>
      <c r="Y748" s="787"/>
      <c r="Z748" s="787"/>
      <c r="AB748" s="787"/>
    </row>
    <row r="749" spans="21:28" ht="14.5">
      <c r="U749" s="656"/>
      <c r="Y749" s="787"/>
      <c r="Z749" s="787"/>
      <c r="AB749" s="787"/>
    </row>
    <row r="750" spans="21:28" ht="14.5">
      <c r="U750" s="656"/>
      <c r="Y750" s="787"/>
      <c r="Z750" s="787"/>
      <c r="AB750" s="787"/>
    </row>
    <row r="751" spans="21:28" ht="14.5">
      <c r="U751" s="656"/>
      <c r="Y751" s="787"/>
      <c r="Z751" s="787"/>
      <c r="AB751" s="787"/>
    </row>
    <row r="752" spans="21:28" ht="14.5">
      <c r="U752" s="656"/>
      <c r="Y752" s="787"/>
      <c r="Z752" s="787"/>
      <c r="AB752" s="787"/>
    </row>
    <row r="753" spans="21:28" ht="14.5">
      <c r="U753" s="656"/>
      <c r="Y753" s="787"/>
      <c r="Z753" s="787"/>
      <c r="AB753" s="787"/>
    </row>
    <row r="754" spans="21:28" ht="14.5">
      <c r="U754" s="656"/>
      <c r="Y754" s="787"/>
      <c r="Z754" s="787"/>
      <c r="AB754" s="787"/>
    </row>
    <row r="755" spans="21:28" ht="14.5">
      <c r="U755" s="656"/>
      <c r="Y755" s="787"/>
      <c r="Z755" s="787"/>
      <c r="AB755" s="787"/>
    </row>
    <row r="756" spans="21:28" ht="14.5">
      <c r="U756" s="656"/>
      <c r="Y756" s="787"/>
      <c r="Z756" s="787"/>
      <c r="AB756" s="787"/>
    </row>
    <row r="757" spans="21:28" ht="14.5">
      <c r="U757" s="656"/>
      <c r="Y757" s="787"/>
      <c r="Z757" s="787"/>
      <c r="AB757" s="787"/>
    </row>
    <row r="758" spans="21:28" ht="14.5">
      <c r="U758" s="656"/>
      <c r="Y758" s="787"/>
      <c r="Z758" s="787"/>
      <c r="AB758" s="787"/>
    </row>
    <row r="759" spans="21:28" ht="14.5">
      <c r="U759" s="656"/>
      <c r="Y759" s="787"/>
      <c r="Z759" s="787"/>
      <c r="AB759" s="787"/>
    </row>
    <row r="760" spans="21:28" ht="14.5">
      <c r="U760" s="656"/>
      <c r="Y760" s="787"/>
      <c r="Z760" s="787"/>
      <c r="AB760" s="787"/>
    </row>
    <row r="761" spans="21:28" ht="14.5">
      <c r="U761" s="656"/>
      <c r="Y761" s="787"/>
      <c r="Z761" s="787"/>
      <c r="AB761" s="787"/>
    </row>
    <row r="762" spans="21:28" ht="14.5">
      <c r="U762" s="656"/>
      <c r="Y762" s="787"/>
      <c r="Z762" s="787"/>
      <c r="AB762" s="787"/>
    </row>
    <row r="763" spans="21:28" ht="14.5">
      <c r="U763" s="656"/>
      <c r="Y763" s="787"/>
      <c r="Z763" s="787"/>
      <c r="AB763" s="787"/>
    </row>
    <row r="764" spans="21:28" ht="14.5">
      <c r="U764" s="656"/>
      <c r="Y764" s="787"/>
      <c r="Z764" s="787"/>
      <c r="AB764" s="787"/>
    </row>
    <row r="765" spans="21:28" ht="14.5">
      <c r="U765" s="656"/>
      <c r="Y765" s="787"/>
      <c r="Z765" s="787"/>
      <c r="AB765" s="787"/>
    </row>
    <row r="766" spans="21:28" ht="14.5">
      <c r="U766" s="656"/>
      <c r="Y766" s="787"/>
      <c r="Z766" s="787"/>
      <c r="AB766" s="787"/>
    </row>
    <row r="767" spans="21:28" ht="14.5">
      <c r="U767" s="656"/>
      <c r="Y767" s="787"/>
      <c r="Z767" s="787"/>
      <c r="AB767" s="787"/>
    </row>
    <row r="768" spans="21:28" ht="14.5">
      <c r="U768" s="656"/>
      <c r="Y768" s="787"/>
      <c r="Z768" s="787"/>
      <c r="AB768" s="787"/>
    </row>
    <row r="769" spans="21:28" ht="14.5">
      <c r="U769" s="656"/>
      <c r="Y769" s="787"/>
      <c r="Z769" s="787"/>
      <c r="AB769" s="787"/>
    </row>
    <row r="770" spans="21:28" ht="14.5">
      <c r="U770" s="656"/>
      <c r="Y770" s="787"/>
      <c r="Z770" s="787"/>
      <c r="AB770" s="787"/>
    </row>
    <row r="771" spans="21:28" ht="14.5">
      <c r="U771" s="656"/>
      <c r="Y771" s="787"/>
      <c r="Z771" s="787"/>
      <c r="AB771" s="787"/>
    </row>
    <row r="772" spans="21:28" ht="14.5">
      <c r="U772" s="656"/>
      <c r="Y772" s="787"/>
      <c r="Z772" s="787"/>
      <c r="AB772" s="787"/>
    </row>
    <row r="773" spans="21:28" ht="14.5">
      <c r="U773" s="656"/>
      <c r="Y773" s="787"/>
      <c r="Z773" s="787"/>
      <c r="AB773" s="787"/>
    </row>
    <row r="774" spans="21:28" ht="14.5">
      <c r="U774" s="656"/>
      <c r="Y774" s="787"/>
      <c r="Z774" s="787"/>
      <c r="AB774" s="787"/>
    </row>
    <row r="775" spans="21:28" ht="14.5">
      <c r="U775" s="656"/>
      <c r="Y775" s="787"/>
      <c r="Z775" s="787"/>
      <c r="AB775" s="787"/>
    </row>
    <row r="776" spans="21:28" ht="14.5">
      <c r="U776" s="656"/>
      <c r="Y776" s="787"/>
      <c r="Z776" s="787"/>
      <c r="AB776" s="787"/>
    </row>
    <row r="777" spans="21:28" ht="14.5">
      <c r="U777" s="656"/>
      <c r="Y777" s="787"/>
      <c r="Z777" s="787"/>
      <c r="AB777" s="787"/>
    </row>
    <row r="778" spans="21:28" ht="14.5">
      <c r="U778" s="656"/>
      <c r="Y778" s="787"/>
      <c r="Z778" s="787"/>
      <c r="AB778" s="787"/>
    </row>
    <row r="779" spans="21:28" ht="14.5">
      <c r="U779" s="656"/>
      <c r="Y779" s="787"/>
      <c r="Z779" s="787"/>
      <c r="AB779" s="787"/>
    </row>
    <row r="780" spans="21:28" ht="14.5">
      <c r="U780" s="656"/>
      <c r="Y780" s="787"/>
      <c r="Z780" s="787"/>
      <c r="AB780" s="787"/>
    </row>
    <row r="781" spans="21:28" ht="14.5">
      <c r="U781" s="656"/>
      <c r="Y781" s="787"/>
      <c r="Z781" s="787"/>
      <c r="AB781" s="787"/>
    </row>
    <row r="782" spans="21:28" ht="14.5">
      <c r="U782" s="656"/>
      <c r="Y782" s="787"/>
      <c r="Z782" s="787"/>
      <c r="AB782" s="787"/>
    </row>
    <row r="783" spans="21:28" ht="14.5">
      <c r="U783" s="656"/>
      <c r="Y783" s="787"/>
      <c r="Z783" s="787"/>
      <c r="AB783" s="787"/>
    </row>
    <row r="784" spans="21:28" ht="14.5">
      <c r="U784" s="656"/>
      <c r="Y784" s="787"/>
      <c r="Z784" s="787"/>
      <c r="AB784" s="787"/>
    </row>
    <row r="785" spans="21:28" ht="14.5">
      <c r="U785" s="656"/>
      <c r="Y785" s="787"/>
      <c r="Z785" s="787"/>
      <c r="AB785" s="787"/>
    </row>
    <row r="786" spans="21:28" ht="14.5">
      <c r="U786" s="656"/>
      <c r="Y786" s="787"/>
      <c r="Z786" s="787"/>
      <c r="AB786" s="787"/>
    </row>
    <row r="787" spans="21:28" ht="14.5">
      <c r="U787" s="656"/>
      <c r="Y787" s="787"/>
      <c r="Z787" s="787"/>
      <c r="AB787" s="787"/>
    </row>
    <row r="788" spans="21:28" ht="14.5">
      <c r="U788" s="656"/>
      <c r="Y788" s="787"/>
      <c r="Z788" s="787"/>
      <c r="AB788" s="787"/>
    </row>
    <row r="789" spans="21:28" ht="14.5">
      <c r="U789" s="656"/>
      <c r="Y789" s="787"/>
      <c r="Z789" s="787"/>
      <c r="AB789" s="787"/>
    </row>
    <row r="790" spans="21:28" ht="14.5">
      <c r="U790" s="656"/>
      <c r="Y790" s="787"/>
      <c r="Z790" s="787"/>
      <c r="AB790" s="787"/>
    </row>
    <row r="791" spans="21:28" ht="14.5">
      <c r="U791" s="656"/>
      <c r="Y791" s="787"/>
      <c r="Z791" s="787"/>
      <c r="AB791" s="787"/>
    </row>
    <row r="792" spans="21:28" ht="14.5">
      <c r="U792" s="656"/>
      <c r="Y792" s="787"/>
      <c r="Z792" s="787"/>
      <c r="AB792" s="787"/>
    </row>
    <row r="793" spans="21:28" ht="14.5">
      <c r="U793" s="656"/>
      <c r="Y793" s="787"/>
      <c r="Z793" s="787"/>
      <c r="AB793" s="787"/>
    </row>
    <row r="794" spans="21:28" ht="14.5">
      <c r="U794" s="656"/>
      <c r="Y794" s="787"/>
      <c r="Z794" s="787"/>
      <c r="AB794" s="787"/>
    </row>
    <row r="795" spans="21:28" ht="14.5">
      <c r="U795" s="656"/>
      <c r="Y795" s="787"/>
      <c r="Z795" s="787"/>
      <c r="AB795" s="787"/>
    </row>
    <row r="796" spans="21:28" ht="14.5">
      <c r="U796" s="656"/>
      <c r="Y796" s="787"/>
      <c r="Z796" s="787"/>
      <c r="AB796" s="787"/>
    </row>
    <row r="797" spans="21:28" ht="14.5">
      <c r="U797" s="656"/>
      <c r="Y797" s="787"/>
      <c r="Z797" s="787"/>
      <c r="AB797" s="787"/>
    </row>
    <row r="798" spans="21:28" ht="14.5">
      <c r="U798" s="656"/>
      <c r="Y798" s="787"/>
      <c r="Z798" s="787"/>
      <c r="AB798" s="787"/>
    </row>
    <row r="799" spans="21:28" ht="14.5">
      <c r="U799" s="656"/>
      <c r="Y799" s="787"/>
      <c r="Z799" s="787"/>
      <c r="AB799" s="787"/>
    </row>
    <row r="800" spans="21:28" ht="14.5">
      <c r="U800" s="656"/>
      <c r="Y800" s="787"/>
      <c r="Z800" s="787"/>
      <c r="AB800" s="787"/>
    </row>
    <row r="801" spans="21:28" ht="14.5">
      <c r="U801" s="656"/>
      <c r="Y801" s="787"/>
      <c r="Z801" s="787"/>
      <c r="AB801" s="787"/>
    </row>
    <row r="802" spans="21:28" ht="14.5">
      <c r="U802" s="656"/>
      <c r="Y802" s="787"/>
      <c r="Z802" s="787"/>
      <c r="AB802" s="787"/>
    </row>
    <row r="803" spans="21:28" ht="14.5">
      <c r="U803" s="656"/>
      <c r="Y803" s="787"/>
      <c r="Z803" s="787"/>
      <c r="AB803" s="787"/>
    </row>
    <row r="804" spans="21:28" ht="14.5">
      <c r="U804" s="656"/>
      <c r="Y804" s="787"/>
      <c r="Z804" s="787"/>
      <c r="AB804" s="787"/>
    </row>
    <row r="805" spans="21:28" ht="14.5">
      <c r="U805" s="656"/>
      <c r="Y805" s="787"/>
      <c r="Z805" s="787"/>
      <c r="AB805" s="787"/>
    </row>
    <row r="806" spans="21:28" ht="14.5">
      <c r="U806" s="656"/>
      <c r="Y806" s="787"/>
      <c r="Z806" s="787"/>
      <c r="AB806" s="787"/>
    </row>
    <row r="807" spans="21:28" ht="14.5">
      <c r="U807" s="656"/>
      <c r="Y807" s="787"/>
      <c r="Z807" s="787"/>
      <c r="AB807" s="787"/>
    </row>
    <row r="808" spans="21:28" ht="14.5">
      <c r="U808" s="656"/>
      <c r="Y808" s="787"/>
      <c r="Z808" s="787"/>
      <c r="AB808" s="787"/>
    </row>
    <row r="809" spans="21:28" ht="14.5">
      <c r="U809" s="656"/>
      <c r="Y809" s="787"/>
      <c r="Z809" s="787"/>
      <c r="AB809" s="787"/>
    </row>
    <row r="810" spans="21:28" ht="14.5">
      <c r="U810" s="656"/>
      <c r="Y810" s="787"/>
      <c r="Z810" s="787"/>
      <c r="AB810" s="787"/>
    </row>
    <row r="811" spans="21:28" ht="14.5">
      <c r="U811" s="656"/>
      <c r="Y811" s="787"/>
      <c r="Z811" s="787"/>
      <c r="AB811" s="787"/>
    </row>
    <row r="812" spans="21:28" ht="14.5">
      <c r="U812" s="656"/>
      <c r="Y812" s="787"/>
      <c r="Z812" s="787"/>
      <c r="AB812" s="787"/>
    </row>
    <row r="813" spans="21:28" ht="14.5">
      <c r="U813" s="656"/>
      <c r="Y813" s="787"/>
      <c r="Z813" s="787"/>
      <c r="AB813" s="787"/>
    </row>
    <row r="814" spans="21:28" ht="14.5">
      <c r="U814" s="656"/>
      <c r="Y814" s="787"/>
      <c r="Z814" s="787"/>
      <c r="AB814" s="787"/>
    </row>
    <row r="815" spans="21:28" ht="14.5">
      <c r="U815" s="656"/>
      <c r="Y815" s="787"/>
      <c r="Z815" s="787"/>
      <c r="AB815" s="787"/>
    </row>
    <row r="816" spans="21:28" ht="14.5">
      <c r="Y816" s="787"/>
      <c r="Z816" s="787"/>
      <c r="AB816" s="787"/>
    </row>
    <row r="817" spans="25:28" ht="14.5">
      <c r="Y817" s="787"/>
      <c r="Z817" s="787"/>
      <c r="AB817" s="787"/>
    </row>
    <row r="818" spans="25:28" ht="14.5">
      <c r="Y818" s="787"/>
      <c r="Z818" s="787"/>
      <c r="AB818" s="787"/>
    </row>
    <row r="819" spans="25:28" ht="14.5">
      <c r="Y819" s="787"/>
      <c r="Z819" s="787"/>
      <c r="AB819" s="787"/>
    </row>
    <row r="820" spans="25:28" ht="14.5">
      <c r="Y820" s="787"/>
      <c r="Z820" s="787"/>
      <c r="AB820" s="787"/>
    </row>
    <row r="821" spans="25:28" ht="14.5">
      <c r="Y821" s="787"/>
      <c r="Z821" s="787"/>
      <c r="AB821" s="787"/>
    </row>
    <row r="822" spans="25:28" ht="14.5">
      <c r="Y822" s="787"/>
      <c r="Z822" s="787"/>
      <c r="AB822" s="787"/>
    </row>
    <row r="823" spans="25:28" ht="14.5">
      <c r="Y823" s="787"/>
      <c r="Z823" s="787"/>
      <c r="AB823" s="787"/>
    </row>
    <row r="824" spans="25:28" ht="14.5">
      <c r="Y824" s="787"/>
      <c r="Z824" s="787"/>
      <c r="AB824" s="787"/>
    </row>
    <row r="825" spans="25:28" ht="14.5">
      <c r="Y825" s="787"/>
      <c r="Z825" s="787"/>
      <c r="AB825" s="787"/>
    </row>
    <row r="826" spans="25:28" ht="14.5">
      <c r="Y826" s="787"/>
      <c r="Z826" s="787"/>
      <c r="AB826" s="787"/>
    </row>
    <row r="827" spans="25:28" ht="14.5">
      <c r="Y827" s="787"/>
      <c r="Z827" s="787"/>
      <c r="AB827" s="787"/>
    </row>
    <row r="828" spans="25:28" ht="14.5">
      <c r="Y828" s="787"/>
      <c r="Z828" s="787"/>
      <c r="AB828" s="787"/>
    </row>
  </sheetData>
  <autoFilter ref="B1:AQ7" xr:uid="{00000000-0009-0000-0000-000005000000}"/>
  <phoneticPr fontId="135"/>
  <conditionalFormatting sqref="A2:BB211">
    <cfRule type="expression" dxfId="50" priority="3">
      <formula>$AH2="退職"</formula>
    </cfRule>
  </conditionalFormatting>
  <conditionalFormatting sqref="N22:N23 T22:T23 Y22:Z23">
    <cfRule type="expression" dxfId="49" priority="1">
      <formula>$AF22="退職"</formula>
    </cfRule>
  </conditionalFormatting>
  <conditionalFormatting sqref="V5:V7 U6 A6:E7 G6:T7 W6:AI7 AK6:AK7 C10 AI11:AI12 A12:E12 G12:T12 V12:AH12 AK12 C18 E18 G18:AI18 AK18 AE21:AF24 U22 A22:E24 G22:M24 P22:T24 V22:AD24 AG22:AH24 N22:O25 AI22:AI25 U25 AI27:AI39 A29:M36 P29:T36 V29:AH36 AK29:AK36 N29:O39 U29:U39 N42:O42 U42:U43 AI43:AI45 B44:E44 G44:T44 V44:AH44 AK44">
    <cfRule type="expression" dxfId="48" priority="2">
      <formula>$AG5="退職"</formula>
    </cfRule>
  </conditionalFormatting>
  <dataValidations count="12">
    <dataValidation type="list" allowBlank="1" showErrorMessage="1" sqref="N2:N3 N10 N21 N24 N48:N49" xr:uid="{00000000-0002-0000-0500-000000000000}">
      <formula1>"中四国,ポエム,キュービック,デルタ四国,ｅ-人財,H&amp;C,関東食肉"</formula1>
    </dataValidation>
    <dataValidation type="list" allowBlank="1" showErrorMessage="1" sqref="Q6 Q13:Q18 Q25 Q27:Q39 Q42:Q44" xr:uid="{00000000-0002-0000-0500-000001000000}">
      <formula1>"',技能実習1号,技能実習2号,技能実習3号,特定技能１号,特定技能２号,特定活動"</formula1>
    </dataValidation>
    <dataValidation type="list" allowBlank="1" sqref="AH15 AH18" xr:uid="{00000000-0002-0000-0500-000002000000}">
      <formula1>"',退職,退職予定,一時退職,一時帰国"</formula1>
    </dataValidation>
    <dataValidation type="list" allowBlank="1" showErrorMessage="1" sqref="Q2:Q5 Q7 Q10:Q12 Q20:Q24 Q26 Q40:Q41 Q45:Q46 Q48:Q49" xr:uid="{00000000-0002-0000-0500-000003000000}">
      <formula1>"',技能実習1号,技能実習2号,技能実習3号,特定技能１号,特定活動"</formula1>
    </dataValidation>
    <dataValidation type="list" allowBlank="1" sqref="AH2:AH7 AH10:AH14 AH16:AH17 AH20:AH46 AH48:AH49" xr:uid="{00000000-0002-0000-0500-000004000000}">
      <formula1>"',退職,退職予定,一時退職,一時帰国,一時帰国予定"</formula1>
    </dataValidation>
    <dataValidation type="list" allowBlank="1" showErrorMessage="1" sqref="M2 M15 M18 M36 M43" xr:uid="{00000000-0002-0000-0500-000005000000}">
      <formula1>"有,無"</formula1>
    </dataValidation>
    <dataValidation type="list" allowBlank="1" showErrorMessage="1" sqref="M3:M7 M10:M14 M16:M17 M20:M35 M37:M42 M44:M46 M48:M49" xr:uid="{00000000-0002-0000-0500-000006000000}">
      <formula1>"有,無,夫婦"</formula1>
    </dataValidation>
    <dataValidation type="list" allowBlank="1" showErrorMessage="1" sqref="N16:N18 N29:N32 N37:N38 N44" xr:uid="{00000000-0002-0000-0500-000007000000}">
      <formula1>"中四国,ポエム,キュービック,デルタ四国,ｅ-人財,H&amp;C,関東食肉,INA,中温"</formula1>
    </dataValidation>
    <dataValidation type="list" allowBlank="1" showErrorMessage="1" sqref="D2:D7 D10:D18 D20:D46 D48:D49" xr:uid="{00000000-0002-0000-0500-000008000000}">
      <formula1>"’,ベトナム,インドネシア"</formula1>
    </dataValidation>
    <dataValidation type="list" allowBlank="1" showErrorMessage="1" sqref="N4:N7 N11:N15 N20 N22:N23 N25:N28 N33:N36 N39:N43 N45:N46" xr:uid="{00000000-0002-0000-0500-000009000000}">
      <formula1>"中四国,ポエム,キュービック,デルタ四国,ｅ-人財,H&amp;C,関東食肉,INA"</formula1>
    </dataValidation>
    <dataValidation type="list" allowBlank="1" showErrorMessage="1" sqref="J2:J7 J10:J18 J20:J46 J48:J49" xr:uid="{00000000-0002-0000-0500-00000A000000}">
      <formula1>"女,男"</formula1>
    </dataValidation>
    <dataValidation type="list" allowBlank="1" showErrorMessage="1" sqref="C2:C7 C10:C18 C20:C46 C48:C49" xr:uid="{00000000-0002-0000-0500-00000B000000}">
      <formula1>"’,津吉,本社,協同本社"</formula1>
    </dataValidation>
  </dataValidations>
  <hyperlinks>
    <hyperlink ref="AQ25" r:id="rId1" xr:uid="{00000000-0004-0000-0500-000000000000}"/>
    <hyperlink ref="AQ39" r:id="rId2" xr:uid="{00000000-0004-0000-0500-000001000000}"/>
  </hyperlinks>
  <printOptions horizontalCentered="1" gridLines="1"/>
  <pageMargins left="0.25" right="0.25"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V1418"/>
  <sheetViews>
    <sheetView workbookViewId="0"/>
  </sheetViews>
  <sheetFormatPr defaultColWidth="12.6328125" defaultRowHeight="15" customHeight="1"/>
  <cols>
    <col min="1" max="1" width="14.36328125" customWidth="1"/>
    <col min="2" max="2" width="9.08984375" customWidth="1"/>
    <col min="3" max="3" width="8.36328125" customWidth="1"/>
    <col min="4" max="4" width="33.453125" customWidth="1"/>
    <col min="5" max="5" width="42.08984375" customWidth="1"/>
    <col min="6" max="6" width="62.90625" customWidth="1"/>
    <col min="7" max="7" width="11.08984375" customWidth="1"/>
    <col min="8" max="8" width="9.36328125" customWidth="1"/>
  </cols>
  <sheetData>
    <row r="1" spans="1:22" ht="14.5">
      <c r="A1" s="792" t="s">
        <v>3562</v>
      </c>
      <c r="B1" s="793"/>
      <c r="C1" s="792"/>
      <c r="D1" s="792"/>
      <c r="E1" s="792"/>
      <c r="F1" s="792"/>
      <c r="G1" s="794"/>
      <c r="H1" s="794"/>
      <c r="I1" s="794"/>
      <c r="J1" s="794"/>
      <c r="K1" s="794"/>
      <c r="L1" s="794"/>
      <c r="M1" s="794"/>
      <c r="N1" s="794"/>
      <c r="O1" s="794"/>
      <c r="P1" s="794"/>
      <c r="Q1" s="794"/>
      <c r="R1" s="794"/>
      <c r="S1" s="794"/>
      <c r="T1" s="794"/>
      <c r="U1" s="794"/>
      <c r="V1" s="794"/>
    </row>
    <row r="2" spans="1:22" ht="14.5">
      <c r="A2" s="794" t="s">
        <v>3563</v>
      </c>
      <c r="B2" s="795" t="s">
        <v>1167</v>
      </c>
      <c r="C2" s="796" t="s">
        <v>54</v>
      </c>
      <c r="D2" s="797" t="s">
        <v>3486</v>
      </c>
      <c r="E2" s="798" t="s">
        <v>3487</v>
      </c>
      <c r="F2" s="794" t="s">
        <v>3564</v>
      </c>
      <c r="G2" s="794"/>
      <c r="H2" s="794"/>
      <c r="I2" s="794"/>
      <c r="J2" s="794"/>
      <c r="K2" s="794"/>
      <c r="L2" s="794"/>
      <c r="M2" s="794"/>
      <c r="N2" s="794"/>
      <c r="O2" s="794"/>
      <c r="P2" s="794"/>
      <c r="Q2" s="794"/>
      <c r="R2" s="794"/>
      <c r="S2" s="794"/>
      <c r="T2" s="794"/>
      <c r="U2" s="794"/>
      <c r="V2" s="794"/>
    </row>
    <row r="3" spans="1:22" ht="14.5" hidden="1">
      <c r="A3" s="794"/>
      <c r="B3" s="799"/>
      <c r="C3" s="794"/>
      <c r="D3" s="794"/>
      <c r="E3" s="794"/>
      <c r="F3" s="794"/>
      <c r="G3" s="794"/>
      <c r="H3" s="794"/>
      <c r="I3" s="794"/>
      <c r="J3" s="794"/>
      <c r="K3" s="794"/>
      <c r="L3" s="794"/>
      <c r="M3" s="794"/>
      <c r="N3" s="794"/>
      <c r="O3" s="794"/>
      <c r="P3" s="794"/>
      <c r="Q3" s="794"/>
      <c r="R3" s="794"/>
      <c r="S3" s="794"/>
      <c r="T3" s="794"/>
      <c r="U3" s="794"/>
      <c r="V3" s="794"/>
    </row>
    <row r="4" spans="1:22" ht="14.5" hidden="1">
      <c r="A4" s="794" t="s">
        <v>1294</v>
      </c>
      <c r="B4" s="800" t="s">
        <v>713</v>
      </c>
      <c r="C4" s="796" t="s">
        <v>54</v>
      </c>
      <c r="D4" s="797" t="s">
        <v>3565</v>
      </c>
      <c r="E4" s="801" t="s">
        <v>3566</v>
      </c>
      <c r="F4" s="794" t="s">
        <v>3567</v>
      </c>
      <c r="G4" s="794"/>
      <c r="H4" s="794"/>
      <c r="I4" s="794"/>
      <c r="J4" s="794"/>
      <c r="K4" s="794"/>
      <c r="L4" s="794"/>
      <c r="M4" s="794"/>
      <c r="N4" s="794"/>
      <c r="O4" s="794"/>
      <c r="P4" s="794"/>
      <c r="Q4" s="794"/>
      <c r="R4" s="794"/>
      <c r="S4" s="794"/>
      <c r="T4" s="794"/>
      <c r="U4" s="794"/>
      <c r="V4" s="794"/>
    </row>
    <row r="5" spans="1:22" ht="14.5" hidden="1">
      <c r="A5" s="794"/>
      <c r="B5" s="799"/>
      <c r="C5" s="794"/>
      <c r="D5" s="794"/>
      <c r="E5" s="794"/>
      <c r="F5" s="794"/>
      <c r="G5" s="794"/>
      <c r="H5" s="794"/>
      <c r="I5" s="794"/>
      <c r="J5" s="794"/>
      <c r="K5" s="794"/>
      <c r="L5" s="794"/>
      <c r="M5" s="794"/>
      <c r="N5" s="794"/>
      <c r="O5" s="794"/>
      <c r="P5" s="794"/>
      <c r="Q5" s="794"/>
      <c r="R5" s="794"/>
      <c r="S5" s="794"/>
      <c r="T5" s="794"/>
      <c r="U5" s="794"/>
      <c r="V5" s="794"/>
    </row>
    <row r="6" spans="1:22" ht="14.5" hidden="1">
      <c r="A6" s="794" t="s">
        <v>67</v>
      </c>
      <c r="B6" s="802" t="s">
        <v>577</v>
      </c>
      <c r="C6" s="796" t="s">
        <v>54</v>
      </c>
      <c r="D6" s="794" t="s">
        <v>3568</v>
      </c>
      <c r="E6" s="794" t="s">
        <v>3569</v>
      </c>
      <c r="F6" s="794" t="s">
        <v>3570</v>
      </c>
      <c r="G6" s="794"/>
      <c r="H6" s="794"/>
      <c r="I6" s="794"/>
      <c r="J6" s="794"/>
      <c r="K6" s="794"/>
      <c r="L6" s="794"/>
      <c r="M6" s="794"/>
      <c r="N6" s="794"/>
      <c r="O6" s="794"/>
      <c r="P6" s="794"/>
      <c r="Q6" s="794"/>
      <c r="R6" s="794"/>
      <c r="S6" s="794"/>
      <c r="T6" s="794"/>
      <c r="U6" s="794"/>
      <c r="V6" s="794"/>
    </row>
    <row r="7" spans="1:22" ht="14.5" hidden="1">
      <c r="A7" s="794"/>
      <c r="B7" s="799" t="s">
        <v>1044</v>
      </c>
      <c r="C7" s="796" t="s">
        <v>54</v>
      </c>
      <c r="D7" s="794" t="s">
        <v>3571</v>
      </c>
      <c r="E7" s="794" t="s">
        <v>920</v>
      </c>
      <c r="F7" s="794" t="s">
        <v>3572</v>
      </c>
      <c r="G7" s="794"/>
      <c r="H7" s="794"/>
      <c r="I7" s="794"/>
      <c r="J7" s="794"/>
      <c r="K7" s="794"/>
      <c r="L7" s="794"/>
      <c r="M7" s="794"/>
      <c r="N7" s="794"/>
      <c r="O7" s="794"/>
      <c r="P7" s="794"/>
      <c r="Q7" s="794"/>
      <c r="R7" s="794"/>
      <c r="S7" s="794"/>
      <c r="T7" s="794"/>
      <c r="U7" s="794"/>
      <c r="V7" s="794"/>
    </row>
    <row r="8" spans="1:22" ht="14.5" hidden="1">
      <c r="A8" s="794"/>
      <c r="B8" s="799"/>
      <c r="C8" s="797"/>
      <c r="D8" s="794"/>
      <c r="E8" s="794"/>
      <c r="F8" s="794"/>
      <c r="G8" s="794"/>
      <c r="H8" s="794"/>
      <c r="I8" s="794"/>
      <c r="J8" s="794"/>
      <c r="K8" s="794"/>
      <c r="L8" s="794"/>
      <c r="M8" s="794"/>
      <c r="N8" s="794"/>
      <c r="O8" s="794"/>
      <c r="P8" s="794"/>
      <c r="Q8" s="794"/>
      <c r="R8" s="794"/>
      <c r="S8" s="794"/>
      <c r="T8" s="794"/>
      <c r="U8" s="794"/>
      <c r="V8" s="794"/>
    </row>
    <row r="9" spans="1:22" ht="14.5" hidden="1">
      <c r="A9" s="794" t="s">
        <v>3573</v>
      </c>
      <c r="B9" s="802" t="s">
        <v>577</v>
      </c>
      <c r="C9" s="796" t="s">
        <v>54</v>
      </c>
      <c r="D9" s="794" t="s">
        <v>3568</v>
      </c>
      <c r="E9" s="794" t="s">
        <v>3569</v>
      </c>
      <c r="F9" s="794" t="s">
        <v>3574</v>
      </c>
      <c r="G9" s="794"/>
      <c r="H9" s="794"/>
      <c r="I9" s="794"/>
      <c r="J9" s="794"/>
      <c r="K9" s="794"/>
      <c r="L9" s="794"/>
      <c r="M9" s="794"/>
      <c r="N9" s="794"/>
      <c r="O9" s="794"/>
      <c r="P9" s="794"/>
      <c r="Q9" s="794"/>
      <c r="R9" s="794"/>
      <c r="S9" s="794"/>
      <c r="T9" s="794"/>
      <c r="U9" s="794"/>
      <c r="V9" s="794"/>
    </row>
    <row r="10" spans="1:22" ht="14.5" hidden="1">
      <c r="A10" s="794"/>
      <c r="B10" s="799"/>
      <c r="C10" s="794"/>
      <c r="D10" s="794"/>
      <c r="E10" s="794"/>
      <c r="F10" s="794"/>
      <c r="G10" s="794"/>
      <c r="H10" s="794"/>
      <c r="I10" s="794"/>
      <c r="J10" s="794"/>
      <c r="K10" s="794"/>
      <c r="L10" s="794"/>
      <c r="M10" s="794"/>
      <c r="N10" s="794"/>
      <c r="O10" s="794"/>
      <c r="P10" s="794"/>
      <c r="Q10" s="794"/>
      <c r="R10" s="794"/>
      <c r="S10" s="794"/>
      <c r="T10" s="794"/>
      <c r="U10" s="794"/>
      <c r="V10" s="794"/>
    </row>
    <row r="11" spans="1:22" ht="14.5" hidden="1">
      <c r="A11" s="794" t="s">
        <v>3575</v>
      </c>
      <c r="B11" s="799" t="s">
        <v>3576</v>
      </c>
      <c r="C11" s="803" t="s">
        <v>3577</v>
      </c>
      <c r="D11" s="794" t="s">
        <v>1430</v>
      </c>
      <c r="E11" s="794" t="s">
        <v>150</v>
      </c>
      <c r="F11" s="794" t="s">
        <v>3578</v>
      </c>
      <c r="G11" s="794"/>
      <c r="H11" s="794"/>
      <c r="I11" s="794"/>
      <c r="J11" s="794"/>
      <c r="K11" s="794"/>
      <c r="L11" s="794"/>
      <c r="M11" s="794"/>
      <c r="N11" s="794"/>
      <c r="O11" s="794"/>
      <c r="P11" s="794"/>
      <c r="Q11" s="794"/>
      <c r="R11" s="794"/>
      <c r="S11" s="794"/>
      <c r="T11" s="794"/>
      <c r="U11" s="794"/>
      <c r="V11" s="794"/>
    </row>
    <row r="12" spans="1:22" ht="14.5" hidden="1">
      <c r="A12" s="794"/>
      <c r="B12" s="799" t="s">
        <v>3579</v>
      </c>
      <c r="C12" s="803" t="s">
        <v>3577</v>
      </c>
      <c r="D12" s="794" t="s">
        <v>3580</v>
      </c>
      <c r="E12" s="794" t="s">
        <v>3581</v>
      </c>
      <c r="F12" s="794" t="s">
        <v>3582</v>
      </c>
      <c r="G12" s="794"/>
      <c r="H12" s="794"/>
      <c r="I12" s="794"/>
      <c r="J12" s="794"/>
      <c r="K12" s="794"/>
      <c r="L12" s="794"/>
      <c r="M12" s="794"/>
      <c r="N12" s="794"/>
      <c r="O12" s="794"/>
      <c r="P12" s="794"/>
      <c r="Q12" s="794"/>
      <c r="R12" s="794"/>
      <c r="S12" s="794"/>
      <c r="T12" s="794"/>
      <c r="U12" s="794"/>
      <c r="V12" s="794"/>
    </row>
    <row r="13" spans="1:22" ht="14.5" hidden="1">
      <c r="A13" s="794"/>
      <c r="B13" s="802" t="s">
        <v>129</v>
      </c>
      <c r="C13" s="803" t="s">
        <v>3577</v>
      </c>
      <c r="D13" s="801" t="s">
        <v>3583</v>
      </c>
      <c r="E13" s="794" t="s">
        <v>136</v>
      </c>
      <c r="F13" s="794" t="s">
        <v>3584</v>
      </c>
      <c r="G13" s="794"/>
      <c r="H13" s="794"/>
      <c r="I13" s="794"/>
      <c r="J13" s="794"/>
      <c r="K13" s="794"/>
      <c r="L13" s="794"/>
      <c r="M13" s="794"/>
      <c r="N13" s="794"/>
      <c r="O13" s="794"/>
      <c r="P13" s="794"/>
      <c r="Q13" s="794"/>
      <c r="R13" s="794"/>
      <c r="S13" s="794"/>
      <c r="T13" s="794"/>
      <c r="U13" s="794"/>
      <c r="V13" s="794"/>
    </row>
    <row r="14" spans="1:22" ht="14.5" hidden="1">
      <c r="A14" s="794"/>
      <c r="B14" s="802" t="s">
        <v>144</v>
      </c>
      <c r="C14" s="803" t="s">
        <v>3577</v>
      </c>
      <c r="D14" s="801" t="s">
        <v>3585</v>
      </c>
      <c r="E14" s="801" t="s">
        <v>150</v>
      </c>
      <c r="F14" s="794" t="s">
        <v>3584</v>
      </c>
      <c r="G14" s="794"/>
      <c r="H14" s="794"/>
      <c r="I14" s="794"/>
      <c r="J14" s="794"/>
      <c r="K14" s="794"/>
      <c r="L14" s="794"/>
      <c r="M14" s="794"/>
      <c r="N14" s="794"/>
      <c r="O14" s="794"/>
      <c r="P14" s="794"/>
      <c r="Q14" s="794"/>
      <c r="R14" s="794"/>
      <c r="S14" s="794"/>
      <c r="T14" s="794"/>
      <c r="U14" s="794"/>
      <c r="V14" s="794"/>
    </row>
    <row r="15" spans="1:22" ht="14.5" hidden="1">
      <c r="A15" s="797"/>
      <c r="B15" s="800" t="s">
        <v>577</v>
      </c>
      <c r="C15" s="796" t="s">
        <v>54</v>
      </c>
      <c r="D15" s="794" t="s">
        <v>3568</v>
      </c>
      <c r="E15" s="794" t="s">
        <v>3569</v>
      </c>
      <c r="F15" s="794" t="s">
        <v>3586</v>
      </c>
      <c r="G15" s="794"/>
      <c r="H15" s="794"/>
      <c r="I15" s="794"/>
      <c r="J15" s="794"/>
      <c r="K15" s="794"/>
      <c r="L15" s="794"/>
      <c r="M15" s="794"/>
      <c r="N15" s="794"/>
      <c r="O15" s="794"/>
      <c r="P15" s="794"/>
      <c r="Q15" s="794"/>
      <c r="R15" s="794"/>
      <c r="S15" s="794"/>
      <c r="T15" s="794"/>
      <c r="U15" s="794"/>
      <c r="V15" s="794"/>
    </row>
    <row r="16" spans="1:22" ht="14.5" hidden="1">
      <c r="A16" s="794"/>
      <c r="B16" s="802" t="s">
        <v>568</v>
      </c>
      <c r="C16" s="796" t="s">
        <v>54</v>
      </c>
      <c r="D16" s="794" t="s">
        <v>3587</v>
      </c>
      <c r="E16" s="794" t="s">
        <v>3588</v>
      </c>
      <c r="F16" s="794" t="s">
        <v>3578</v>
      </c>
      <c r="G16" s="794"/>
      <c r="H16" s="794"/>
      <c r="I16" s="794"/>
      <c r="J16" s="794"/>
      <c r="K16" s="794"/>
      <c r="L16" s="794"/>
      <c r="M16" s="794"/>
      <c r="N16" s="794"/>
      <c r="O16" s="794"/>
      <c r="P16" s="794"/>
      <c r="Q16" s="794"/>
      <c r="R16" s="794"/>
      <c r="S16" s="794"/>
      <c r="T16" s="794"/>
      <c r="U16" s="794"/>
      <c r="V16" s="794"/>
    </row>
    <row r="17" spans="1:22" ht="14.5" hidden="1">
      <c r="A17" s="794"/>
      <c r="B17" s="799"/>
      <c r="C17" s="794"/>
      <c r="D17" s="794"/>
      <c r="E17" s="794"/>
      <c r="F17" s="794"/>
      <c r="G17" s="794"/>
      <c r="H17" s="794"/>
      <c r="I17" s="794"/>
      <c r="J17" s="794"/>
      <c r="K17" s="794"/>
      <c r="L17" s="794"/>
      <c r="M17" s="794"/>
      <c r="N17" s="794"/>
      <c r="O17" s="794"/>
      <c r="P17" s="794"/>
      <c r="Q17" s="794"/>
      <c r="R17" s="794"/>
      <c r="S17" s="794"/>
      <c r="T17" s="794"/>
      <c r="U17" s="794"/>
      <c r="V17" s="794"/>
    </row>
    <row r="18" spans="1:22" ht="14.5" hidden="1">
      <c r="A18" s="794" t="s">
        <v>3589</v>
      </c>
      <c r="B18" s="802" t="s">
        <v>585</v>
      </c>
      <c r="C18" s="796" t="s">
        <v>54</v>
      </c>
      <c r="D18" s="797" t="s">
        <v>3590</v>
      </c>
      <c r="E18" s="794" t="s">
        <v>3591</v>
      </c>
      <c r="F18" s="794" t="s">
        <v>3592</v>
      </c>
      <c r="G18" s="794"/>
      <c r="H18" s="794"/>
      <c r="I18" s="794"/>
      <c r="J18" s="794"/>
      <c r="K18" s="794"/>
      <c r="L18" s="794"/>
      <c r="M18" s="794"/>
      <c r="N18" s="794"/>
      <c r="O18" s="794"/>
      <c r="P18" s="794"/>
      <c r="Q18" s="794"/>
      <c r="R18" s="794"/>
      <c r="S18" s="794"/>
      <c r="T18" s="794"/>
      <c r="U18" s="794"/>
      <c r="V18" s="794"/>
    </row>
    <row r="19" spans="1:22" ht="14.5" hidden="1">
      <c r="A19" s="794"/>
      <c r="B19" s="802" t="s">
        <v>534</v>
      </c>
      <c r="C19" s="796" t="s">
        <v>54</v>
      </c>
      <c r="D19" s="794" t="s">
        <v>535</v>
      </c>
      <c r="E19" s="794" t="s">
        <v>3591</v>
      </c>
      <c r="F19" s="794" t="s">
        <v>3593</v>
      </c>
      <c r="G19" s="794"/>
      <c r="H19" s="794"/>
      <c r="I19" s="794"/>
      <c r="J19" s="794"/>
      <c r="K19" s="794"/>
      <c r="L19" s="794"/>
      <c r="M19" s="794"/>
      <c r="N19" s="794"/>
      <c r="O19" s="794"/>
      <c r="P19" s="794"/>
      <c r="Q19" s="794"/>
      <c r="R19" s="794"/>
      <c r="S19" s="794"/>
      <c r="T19" s="794"/>
      <c r="U19" s="794"/>
      <c r="V19" s="794"/>
    </row>
    <row r="20" spans="1:22" ht="14.5" hidden="1">
      <c r="A20" s="794"/>
      <c r="B20" s="799"/>
      <c r="C20" s="794"/>
      <c r="D20" s="794"/>
      <c r="E20" s="794"/>
      <c r="F20" s="794"/>
      <c r="G20" s="794"/>
      <c r="H20" s="794"/>
      <c r="I20" s="794"/>
      <c r="J20" s="794"/>
      <c r="K20" s="794"/>
      <c r="L20" s="794"/>
      <c r="M20" s="794"/>
      <c r="N20" s="794"/>
      <c r="O20" s="794"/>
      <c r="P20" s="794"/>
      <c r="Q20" s="794"/>
      <c r="R20" s="794"/>
      <c r="S20" s="794"/>
      <c r="T20" s="794"/>
      <c r="U20" s="794"/>
      <c r="V20" s="794"/>
    </row>
    <row r="21" spans="1:22" ht="14.5" hidden="1">
      <c r="A21" s="794"/>
      <c r="B21" s="802" t="s">
        <v>3594</v>
      </c>
      <c r="C21" s="796" t="s">
        <v>54</v>
      </c>
      <c r="D21" s="794" t="s">
        <v>3595</v>
      </c>
      <c r="E21" s="794" t="s">
        <v>3596</v>
      </c>
      <c r="F21" s="794" t="s">
        <v>3597</v>
      </c>
      <c r="G21" s="794"/>
      <c r="H21" s="794"/>
      <c r="I21" s="794"/>
      <c r="J21" s="794"/>
      <c r="K21" s="794"/>
      <c r="L21" s="794"/>
      <c r="M21" s="794"/>
      <c r="N21" s="794"/>
      <c r="O21" s="794"/>
      <c r="P21" s="794"/>
      <c r="Q21" s="794"/>
      <c r="R21" s="794"/>
      <c r="S21" s="794"/>
      <c r="T21" s="794"/>
      <c r="U21" s="794"/>
      <c r="V21" s="794"/>
    </row>
    <row r="22" spans="1:22" ht="14.5" hidden="1">
      <c r="A22" s="794"/>
      <c r="B22" s="802" t="s">
        <v>1450</v>
      </c>
      <c r="C22" s="796" t="s">
        <v>54</v>
      </c>
      <c r="D22" s="794" t="s">
        <v>3598</v>
      </c>
      <c r="E22" s="801" t="s">
        <v>3599</v>
      </c>
      <c r="F22" s="794" t="s">
        <v>3597</v>
      </c>
      <c r="G22" s="794"/>
      <c r="H22" s="794"/>
      <c r="I22" s="794"/>
      <c r="J22" s="794"/>
      <c r="K22" s="794"/>
      <c r="L22" s="794"/>
      <c r="M22" s="794"/>
      <c r="N22" s="794"/>
      <c r="O22" s="794"/>
      <c r="P22" s="794"/>
      <c r="Q22" s="794"/>
      <c r="R22" s="794"/>
      <c r="S22" s="794"/>
      <c r="T22" s="794"/>
      <c r="U22" s="794"/>
      <c r="V22" s="794"/>
    </row>
    <row r="23" spans="1:22" ht="14.5" hidden="1">
      <c r="A23" s="794"/>
      <c r="B23" s="802" t="s">
        <v>216</v>
      </c>
      <c r="C23" s="796" t="s">
        <v>54</v>
      </c>
      <c r="D23" s="801" t="s">
        <v>217</v>
      </c>
      <c r="E23" s="801" t="s">
        <v>3599</v>
      </c>
      <c r="F23" s="794" t="s">
        <v>3600</v>
      </c>
      <c r="G23" s="794"/>
      <c r="H23" s="794"/>
      <c r="I23" s="794"/>
      <c r="J23" s="794"/>
      <c r="K23" s="794"/>
      <c r="L23" s="794"/>
      <c r="M23" s="794"/>
      <c r="N23" s="794"/>
      <c r="O23" s="794"/>
      <c r="P23" s="794"/>
      <c r="Q23" s="794"/>
      <c r="R23" s="794"/>
      <c r="S23" s="794"/>
      <c r="T23" s="794"/>
      <c r="U23" s="794"/>
      <c r="V23" s="794"/>
    </row>
    <row r="24" spans="1:22" ht="14.5" hidden="1">
      <c r="A24" s="794"/>
      <c r="B24" s="799"/>
      <c r="C24" s="794"/>
      <c r="D24" s="794"/>
      <c r="E24" s="794"/>
      <c r="F24" s="794"/>
      <c r="G24" s="794"/>
      <c r="H24" s="794"/>
      <c r="I24" s="794"/>
      <c r="J24" s="794"/>
      <c r="K24" s="794"/>
      <c r="L24" s="794"/>
      <c r="M24" s="794"/>
      <c r="N24" s="794"/>
      <c r="O24" s="794"/>
      <c r="P24" s="794"/>
      <c r="Q24" s="794"/>
      <c r="R24" s="794"/>
      <c r="S24" s="794"/>
      <c r="T24" s="794"/>
      <c r="U24" s="794"/>
      <c r="V24" s="794"/>
    </row>
    <row r="25" spans="1:22" ht="14.5" hidden="1">
      <c r="A25" s="794" t="s">
        <v>3601</v>
      </c>
      <c r="B25" s="804" t="s">
        <v>1181</v>
      </c>
      <c r="C25" s="796" t="s">
        <v>54</v>
      </c>
      <c r="D25" s="794" t="s">
        <v>3602</v>
      </c>
      <c r="E25" s="794" t="s">
        <v>3569</v>
      </c>
      <c r="F25" s="794" t="s">
        <v>3603</v>
      </c>
      <c r="G25" s="794"/>
      <c r="H25" s="794"/>
      <c r="I25" s="794"/>
      <c r="J25" s="794"/>
      <c r="K25" s="794"/>
      <c r="L25" s="794"/>
      <c r="M25" s="794"/>
      <c r="N25" s="794"/>
      <c r="O25" s="794"/>
      <c r="P25" s="794"/>
      <c r="Q25" s="794"/>
      <c r="R25" s="794"/>
      <c r="S25" s="794"/>
      <c r="T25" s="794"/>
      <c r="U25" s="794"/>
      <c r="V25" s="794"/>
    </row>
    <row r="26" spans="1:22" ht="14.5" hidden="1">
      <c r="A26" s="794"/>
      <c r="B26" s="799"/>
      <c r="C26" s="794"/>
      <c r="D26" s="794"/>
      <c r="E26" s="794"/>
      <c r="F26" s="794"/>
      <c r="G26" s="794"/>
      <c r="H26" s="794"/>
      <c r="I26" s="794"/>
      <c r="J26" s="794"/>
      <c r="K26" s="794"/>
      <c r="L26" s="794"/>
      <c r="M26" s="794"/>
      <c r="N26" s="794"/>
      <c r="O26" s="794"/>
      <c r="P26" s="794"/>
      <c r="Q26" s="794"/>
      <c r="R26" s="794"/>
      <c r="S26" s="794"/>
      <c r="T26" s="794"/>
      <c r="U26" s="794"/>
      <c r="V26" s="794"/>
    </row>
    <row r="27" spans="1:22" ht="14.5" hidden="1">
      <c r="A27" s="792" t="s">
        <v>3604</v>
      </c>
      <c r="B27" s="793"/>
      <c r="C27" s="792"/>
      <c r="D27" s="792"/>
      <c r="E27" s="792"/>
      <c r="F27" s="792"/>
      <c r="G27" s="794"/>
      <c r="H27" s="794"/>
      <c r="I27" s="794"/>
      <c r="J27" s="794"/>
      <c r="K27" s="794"/>
      <c r="L27" s="794"/>
      <c r="M27" s="794"/>
      <c r="N27" s="794"/>
      <c r="O27" s="794"/>
      <c r="P27" s="794"/>
      <c r="Q27" s="794"/>
      <c r="R27" s="794"/>
      <c r="S27" s="794"/>
      <c r="T27" s="794"/>
      <c r="U27" s="794"/>
      <c r="V27" s="794"/>
    </row>
    <row r="28" spans="1:22" ht="14.5" hidden="1">
      <c r="A28" s="794" t="s">
        <v>67</v>
      </c>
      <c r="B28" s="802" t="s">
        <v>216</v>
      </c>
      <c r="C28" s="796" t="s">
        <v>54</v>
      </c>
      <c r="D28" s="794" t="s">
        <v>217</v>
      </c>
      <c r="E28" s="794" t="s">
        <v>3599</v>
      </c>
      <c r="F28" s="794" t="s">
        <v>3605</v>
      </c>
      <c r="G28" s="794"/>
      <c r="H28" s="794"/>
      <c r="I28" s="794"/>
      <c r="J28" s="794"/>
      <c r="K28" s="794"/>
      <c r="L28" s="794"/>
      <c r="M28" s="794"/>
      <c r="N28" s="794"/>
      <c r="O28" s="794"/>
      <c r="P28" s="794"/>
      <c r="Q28" s="794"/>
      <c r="R28" s="794"/>
      <c r="S28" s="794"/>
      <c r="T28" s="794"/>
      <c r="U28" s="794"/>
      <c r="V28" s="794"/>
    </row>
    <row r="29" spans="1:22" ht="14.5" hidden="1">
      <c r="A29" s="797"/>
      <c r="B29" s="802" t="s">
        <v>585</v>
      </c>
      <c r="C29" s="796" t="s">
        <v>54</v>
      </c>
      <c r="D29" s="797" t="s">
        <v>3590</v>
      </c>
      <c r="E29" s="794" t="s">
        <v>3591</v>
      </c>
      <c r="F29" s="794" t="s">
        <v>3606</v>
      </c>
      <c r="G29" s="794"/>
      <c r="H29" s="794"/>
      <c r="I29" s="794"/>
      <c r="J29" s="794"/>
      <c r="K29" s="794"/>
      <c r="L29" s="794"/>
      <c r="M29" s="794"/>
      <c r="N29" s="794"/>
      <c r="O29" s="794"/>
      <c r="P29" s="794"/>
      <c r="Q29" s="794"/>
      <c r="R29" s="794"/>
      <c r="S29" s="794"/>
      <c r="T29" s="794"/>
      <c r="U29" s="794"/>
      <c r="V29" s="794"/>
    </row>
    <row r="30" spans="1:22" ht="14.5" hidden="1">
      <c r="A30" s="794"/>
      <c r="B30" s="799" t="s">
        <v>1241</v>
      </c>
      <c r="C30" s="803" t="s">
        <v>3577</v>
      </c>
      <c r="D30" s="794" t="s">
        <v>3607</v>
      </c>
      <c r="E30" s="794" t="s">
        <v>3608</v>
      </c>
      <c r="F30" s="794" t="s">
        <v>3609</v>
      </c>
      <c r="G30" s="794"/>
      <c r="H30" s="794"/>
      <c r="I30" s="794"/>
      <c r="J30" s="794"/>
      <c r="K30" s="794"/>
      <c r="L30" s="794"/>
      <c r="M30" s="794"/>
      <c r="N30" s="794"/>
      <c r="O30" s="794"/>
      <c r="P30" s="794"/>
      <c r="Q30" s="794"/>
      <c r="R30" s="794"/>
      <c r="S30" s="794"/>
      <c r="T30" s="794"/>
      <c r="U30" s="794"/>
      <c r="V30" s="794"/>
    </row>
    <row r="31" spans="1:22" ht="14.5" hidden="1">
      <c r="A31" s="794"/>
      <c r="B31" s="795" t="s">
        <v>858</v>
      </c>
      <c r="C31" s="796" t="s">
        <v>54</v>
      </c>
      <c r="D31" s="801" t="s">
        <v>3610</v>
      </c>
      <c r="E31" s="801" t="s">
        <v>3611</v>
      </c>
      <c r="F31" s="794" t="s">
        <v>3612</v>
      </c>
      <c r="G31" s="794"/>
      <c r="H31" s="794"/>
      <c r="I31" s="794"/>
      <c r="J31" s="794"/>
      <c r="K31" s="794"/>
      <c r="L31" s="794"/>
      <c r="M31" s="794"/>
      <c r="N31" s="794"/>
      <c r="O31" s="794"/>
      <c r="P31" s="794"/>
      <c r="Q31" s="794"/>
      <c r="R31" s="794"/>
      <c r="S31" s="794"/>
      <c r="T31" s="794"/>
      <c r="U31" s="794"/>
      <c r="V31" s="794"/>
    </row>
    <row r="32" spans="1:22" ht="14.5" hidden="1">
      <c r="A32" s="794"/>
      <c r="B32" s="799"/>
      <c r="C32" s="794"/>
      <c r="D32" s="794"/>
      <c r="E32" s="794"/>
      <c r="F32" s="794"/>
      <c r="G32" s="794"/>
      <c r="H32" s="794"/>
      <c r="I32" s="794"/>
      <c r="J32" s="794"/>
      <c r="K32" s="794"/>
      <c r="L32" s="794"/>
      <c r="M32" s="794"/>
      <c r="N32" s="794"/>
      <c r="O32" s="794"/>
      <c r="P32" s="794"/>
      <c r="Q32" s="794"/>
      <c r="R32" s="794"/>
      <c r="S32" s="794"/>
      <c r="T32" s="794"/>
      <c r="U32" s="794"/>
      <c r="V32" s="794"/>
    </row>
    <row r="33" spans="1:22" ht="14.5" hidden="1">
      <c r="A33" s="794" t="s">
        <v>3613</v>
      </c>
      <c r="B33" s="799" t="s">
        <v>1044</v>
      </c>
      <c r="C33" s="796" t="s">
        <v>54</v>
      </c>
      <c r="D33" s="794" t="s">
        <v>3571</v>
      </c>
      <c r="E33" s="794" t="s">
        <v>920</v>
      </c>
      <c r="F33" s="794" t="s">
        <v>3614</v>
      </c>
      <c r="G33" s="794"/>
      <c r="H33" s="794"/>
      <c r="I33" s="794"/>
      <c r="J33" s="794"/>
      <c r="K33" s="794"/>
      <c r="L33" s="794"/>
      <c r="M33" s="794"/>
      <c r="N33" s="794"/>
      <c r="O33" s="794"/>
      <c r="P33" s="794"/>
      <c r="Q33" s="794"/>
      <c r="R33" s="794"/>
      <c r="S33" s="794"/>
      <c r="T33" s="794"/>
      <c r="U33" s="794"/>
      <c r="V33" s="794"/>
    </row>
    <row r="34" spans="1:22" ht="14.5" hidden="1">
      <c r="A34" s="794"/>
      <c r="B34" s="799"/>
      <c r="C34" s="794"/>
      <c r="D34" s="794"/>
      <c r="E34" s="794"/>
      <c r="F34" s="794"/>
      <c r="G34" s="794"/>
      <c r="H34" s="794"/>
      <c r="I34" s="794"/>
      <c r="J34" s="794"/>
      <c r="K34" s="794"/>
      <c r="L34" s="794"/>
      <c r="M34" s="794"/>
      <c r="N34" s="794"/>
      <c r="O34" s="794"/>
      <c r="P34" s="794"/>
      <c r="Q34" s="794"/>
      <c r="R34" s="794"/>
      <c r="S34" s="794"/>
      <c r="T34" s="794"/>
      <c r="U34" s="794"/>
      <c r="V34" s="794"/>
    </row>
    <row r="35" spans="1:22" ht="25" hidden="1">
      <c r="A35" s="805" t="s">
        <v>3615</v>
      </c>
      <c r="B35" s="802" t="s">
        <v>3594</v>
      </c>
      <c r="C35" s="796" t="s">
        <v>54</v>
      </c>
      <c r="D35" s="794" t="s">
        <v>3616</v>
      </c>
      <c r="E35" s="794" t="s">
        <v>3617</v>
      </c>
      <c r="F35" s="794" t="s">
        <v>3618</v>
      </c>
      <c r="G35" s="794"/>
      <c r="H35" s="794"/>
      <c r="I35" s="794"/>
      <c r="J35" s="794"/>
      <c r="K35" s="794"/>
      <c r="L35" s="794"/>
      <c r="M35" s="794"/>
      <c r="N35" s="794"/>
      <c r="O35" s="794"/>
      <c r="P35" s="794"/>
      <c r="Q35" s="794"/>
      <c r="R35" s="794"/>
      <c r="S35" s="794"/>
      <c r="T35" s="794"/>
      <c r="U35" s="794"/>
      <c r="V35" s="794"/>
    </row>
    <row r="36" spans="1:22" ht="14.5" hidden="1">
      <c r="A36" s="794"/>
      <c r="B36" s="799"/>
      <c r="C36" s="794"/>
      <c r="D36" s="794"/>
      <c r="E36" s="794"/>
      <c r="F36" s="794"/>
      <c r="G36" s="794"/>
      <c r="H36" s="794"/>
      <c r="I36" s="794"/>
      <c r="J36" s="794"/>
      <c r="K36" s="794"/>
      <c r="L36" s="794"/>
      <c r="M36" s="794"/>
      <c r="N36" s="794"/>
      <c r="O36" s="794"/>
      <c r="P36" s="794"/>
      <c r="Q36" s="794"/>
      <c r="R36" s="794"/>
      <c r="S36" s="794"/>
      <c r="T36" s="794"/>
      <c r="U36" s="794"/>
      <c r="V36" s="794"/>
    </row>
    <row r="37" spans="1:22" ht="14.5" hidden="1">
      <c r="A37" s="794" t="s">
        <v>3573</v>
      </c>
      <c r="B37" s="802" t="s">
        <v>585</v>
      </c>
      <c r="C37" s="796" t="s">
        <v>54</v>
      </c>
      <c r="D37" s="797" t="s">
        <v>3590</v>
      </c>
      <c r="E37" s="794" t="s">
        <v>3591</v>
      </c>
      <c r="F37" s="794" t="s">
        <v>3619</v>
      </c>
      <c r="G37" s="794"/>
      <c r="H37" s="794"/>
      <c r="I37" s="794"/>
      <c r="J37" s="794"/>
      <c r="K37" s="794"/>
      <c r="L37" s="794"/>
      <c r="M37" s="794"/>
      <c r="N37" s="794"/>
      <c r="O37" s="794"/>
      <c r="P37" s="794"/>
      <c r="Q37" s="794"/>
      <c r="R37" s="794"/>
      <c r="S37" s="794"/>
      <c r="T37" s="794"/>
      <c r="U37" s="794"/>
      <c r="V37" s="794"/>
    </row>
    <row r="38" spans="1:22" ht="14.5" hidden="1">
      <c r="A38" s="797"/>
      <c r="B38" s="802" t="s">
        <v>216</v>
      </c>
      <c r="C38" s="796" t="s">
        <v>54</v>
      </c>
      <c r="D38" s="794" t="s">
        <v>3620</v>
      </c>
      <c r="E38" s="794" t="s">
        <v>3599</v>
      </c>
      <c r="F38" s="794" t="s">
        <v>3621</v>
      </c>
      <c r="G38" s="794"/>
      <c r="H38" s="794"/>
      <c r="I38" s="794"/>
      <c r="J38" s="794"/>
      <c r="K38" s="794"/>
      <c r="L38" s="794"/>
      <c r="M38" s="794"/>
      <c r="N38" s="794"/>
      <c r="O38" s="794"/>
      <c r="P38" s="794"/>
      <c r="Q38" s="794"/>
      <c r="R38" s="794"/>
      <c r="S38" s="794"/>
      <c r="T38" s="794"/>
      <c r="U38" s="794"/>
      <c r="V38" s="794"/>
    </row>
    <row r="39" spans="1:22" ht="14.5" hidden="1">
      <c r="A39" s="794"/>
      <c r="B39" s="799" t="s">
        <v>1241</v>
      </c>
      <c r="C39" s="803" t="s">
        <v>3577</v>
      </c>
      <c r="D39" s="794" t="s">
        <v>3607</v>
      </c>
      <c r="E39" s="794" t="s">
        <v>3622</v>
      </c>
      <c r="F39" s="794" t="s">
        <v>3623</v>
      </c>
      <c r="G39" s="794"/>
      <c r="H39" s="794"/>
      <c r="I39" s="794"/>
      <c r="J39" s="794"/>
      <c r="K39" s="794"/>
      <c r="L39" s="794"/>
      <c r="M39" s="794"/>
      <c r="N39" s="794"/>
      <c r="O39" s="794"/>
      <c r="P39" s="794"/>
      <c r="Q39" s="794"/>
      <c r="R39" s="794"/>
      <c r="S39" s="794"/>
      <c r="T39" s="794"/>
      <c r="U39" s="794"/>
      <c r="V39" s="794"/>
    </row>
    <row r="40" spans="1:22" ht="14.5" hidden="1">
      <c r="A40" s="794"/>
      <c r="B40" s="799" t="s">
        <v>1044</v>
      </c>
      <c r="C40" s="796" t="s">
        <v>54</v>
      </c>
      <c r="D40" s="794" t="s">
        <v>3571</v>
      </c>
      <c r="E40" s="794" t="s">
        <v>920</v>
      </c>
      <c r="F40" s="794" t="s">
        <v>3572</v>
      </c>
      <c r="G40" s="794"/>
      <c r="H40" s="794"/>
      <c r="I40" s="794"/>
      <c r="J40" s="794"/>
      <c r="K40" s="794"/>
      <c r="L40" s="794"/>
      <c r="M40" s="794"/>
      <c r="N40" s="794"/>
      <c r="O40" s="794"/>
      <c r="P40" s="794"/>
      <c r="Q40" s="794"/>
      <c r="R40" s="794"/>
      <c r="S40" s="794"/>
      <c r="T40" s="794"/>
      <c r="U40" s="794"/>
      <c r="V40" s="794"/>
    </row>
    <row r="41" spans="1:22" ht="14.5" hidden="1">
      <c r="A41" s="794"/>
      <c r="B41" s="795" t="s">
        <v>858</v>
      </c>
      <c r="C41" s="796" t="s">
        <v>54</v>
      </c>
      <c r="D41" s="801" t="s">
        <v>3610</v>
      </c>
      <c r="E41" s="801" t="s">
        <v>3611</v>
      </c>
      <c r="F41" s="794" t="s">
        <v>3624</v>
      </c>
      <c r="G41" s="794"/>
      <c r="H41" s="794"/>
      <c r="I41" s="794"/>
      <c r="J41" s="794"/>
      <c r="K41" s="794"/>
      <c r="L41" s="794"/>
      <c r="M41" s="794"/>
      <c r="N41" s="794"/>
      <c r="O41" s="794"/>
      <c r="P41" s="794"/>
      <c r="Q41" s="794"/>
      <c r="R41" s="794"/>
      <c r="S41" s="794"/>
      <c r="T41" s="794"/>
      <c r="U41" s="794"/>
      <c r="V41" s="794"/>
    </row>
    <row r="42" spans="1:22" ht="14.5" hidden="1">
      <c r="A42" s="794"/>
      <c r="B42" s="799"/>
      <c r="C42" s="794"/>
      <c r="D42" s="794"/>
      <c r="E42" s="794"/>
      <c r="F42" s="794"/>
      <c r="G42" s="794"/>
      <c r="H42" s="794"/>
      <c r="I42" s="794"/>
      <c r="J42" s="794"/>
      <c r="K42" s="794"/>
      <c r="L42" s="794"/>
      <c r="M42" s="794"/>
      <c r="N42" s="794"/>
      <c r="O42" s="794"/>
      <c r="P42" s="794"/>
      <c r="Q42" s="794"/>
      <c r="R42" s="794"/>
      <c r="S42" s="794"/>
      <c r="T42" s="794"/>
      <c r="U42" s="794"/>
      <c r="V42" s="794"/>
    </row>
    <row r="43" spans="1:22" ht="14.5" hidden="1">
      <c r="A43" s="794" t="s">
        <v>3575</v>
      </c>
      <c r="B43" s="802" t="s">
        <v>585</v>
      </c>
      <c r="C43" s="796" t="s">
        <v>54</v>
      </c>
      <c r="D43" s="797" t="s">
        <v>3590</v>
      </c>
      <c r="E43" s="794" t="s">
        <v>3591</v>
      </c>
      <c r="F43" s="794" t="s">
        <v>3625</v>
      </c>
      <c r="G43" s="794"/>
      <c r="H43" s="794"/>
      <c r="I43" s="794"/>
      <c r="J43" s="794"/>
      <c r="K43" s="794"/>
      <c r="L43" s="794"/>
      <c r="M43" s="794"/>
      <c r="N43" s="794"/>
      <c r="O43" s="794"/>
      <c r="P43" s="794"/>
      <c r="Q43" s="794"/>
      <c r="R43" s="794"/>
      <c r="S43" s="794"/>
      <c r="T43" s="794"/>
      <c r="U43" s="794"/>
      <c r="V43" s="794"/>
    </row>
    <row r="44" spans="1:22" ht="14.5" hidden="1">
      <c r="A44" s="797"/>
      <c r="B44" s="802" t="s">
        <v>216</v>
      </c>
      <c r="C44" s="796" t="s">
        <v>54</v>
      </c>
      <c r="D44" s="794" t="s">
        <v>3626</v>
      </c>
      <c r="E44" s="794" t="s">
        <v>3599</v>
      </c>
      <c r="F44" s="794" t="s">
        <v>3627</v>
      </c>
      <c r="G44" s="794"/>
      <c r="H44" s="794"/>
      <c r="I44" s="794"/>
      <c r="J44" s="794"/>
      <c r="K44" s="794"/>
      <c r="L44" s="794"/>
      <c r="M44" s="794"/>
      <c r="N44" s="794"/>
      <c r="O44" s="794"/>
      <c r="P44" s="794"/>
      <c r="Q44" s="794"/>
      <c r="R44" s="794"/>
      <c r="S44" s="794"/>
      <c r="T44" s="794"/>
      <c r="U44" s="794"/>
      <c r="V44" s="794"/>
    </row>
    <row r="45" spans="1:22" ht="14.5" hidden="1">
      <c r="A45" s="794"/>
      <c r="B45" s="799" t="s">
        <v>1241</v>
      </c>
      <c r="C45" s="803" t="s">
        <v>3577</v>
      </c>
      <c r="D45" s="794" t="s">
        <v>3607</v>
      </c>
      <c r="E45" s="794" t="s">
        <v>3628</v>
      </c>
      <c r="F45" s="794" t="s">
        <v>3629</v>
      </c>
      <c r="G45" s="794"/>
      <c r="H45" s="794"/>
      <c r="I45" s="794"/>
      <c r="J45" s="794"/>
      <c r="K45" s="794"/>
      <c r="L45" s="794"/>
      <c r="M45" s="794"/>
      <c r="N45" s="794"/>
      <c r="O45" s="794"/>
      <c r="P45" s="794"/>
      <c r="Q45" s="794"/>
      <c r="R45" s="794"/>
      <c r="S45" s="794"/>
      <c r="T45" s="794"/>
      <c r="U45" s="794"/>
      <c r="V45" s="794"/>
    </row>
    <row r="46" spans="1:22" ht="14.5" hidden="1">
      <c r="A46" s="794"/>
      <c r="B46" s="799" t="s">
        <v>1044</v>
      </c>
      <c r="C46" s="796" t="s">
        <v>54</v>
      </c>
      <c r="D46" s="794" t="s">
        <v>3571</v>
      </c>
      <c r="E46" s="794" t="s">
        <v>920</v>
      </c>
      <c r="F46" s="794" t="s">
        <v>3630</v>
      </c>
      <c r="G46" s="794"/>
      <c r="H46" s="794"/>
      <c r="I46" s="794"/>
      <c r="J46" s="794"/>
      <c r="K46" s="794"/>
      <c r="L46" s="794"/>
      <c r="M46" s="794"/>
      <c r="N46" s="794"/>
      <c r="O46" s="794"/>
      <c r="P46" s="794"/>
      <c r="Q46" s="794"/>
      <c r="R46" s="794"/>
      <c r="S46" s="794"/>
      <c r="T46" s="794"/>
      <c r="U46" s="794"/>
      <c r="V46" s="794"/>
    </row>
    <row r="47" spans="1:22" ht="14.5" hidden="1">
      <c r="A47" s="794"/>
      <c r="B47" s="795" t="s">
        <v>865</v>
      </c>
      <c r="C47" s="796" t="s">
        <v>54</v>
      </c>
      <c r="D47" s="797" t="s">
        <v>3631</v>
      </c>
      <c r="E47" s="801" t="s">
        <v>630</v>
      </c>
      <c r="F47" s="794" t="s">
        <v>3632</v>
      </c>
      <c r="G47" s="794"/>
      <c r="H47" s="794"/>
      <c r="I47" s="794"/>
      <c r="J47" s="794"/>
      <c r="K47" s="794"/>
      <c r="L47" s="794"/>
      <c r="M47" s="794"/>
      <c r="N47" s="794"/>
      <c r="O47" s="794"/>
      <c r="P47" s="794"/>
      <c r="Q47" s="794"/>
      <c r="R47" s="794"/>
      <c r="S47" s="794"/>
      <c r="T47" s="794"/>
      <c r="U47" s="794"/>
      <c r="V47" s="794"/>
    </row>
    <row r="48" spans="1:22" ht="14.5" hidden="1">
      <c r="A48" s="794"/>
      <c r="B48" s="795" t="s">
        <v>858</v>
      </c>
      <c r="C48" s="796" t="s">
        <v>54</v>
      </c>
      <c r="D48" s="801" t="s">
        <v>3610</v>
      </c>
      <c r="E48" s="801" t="s">
        <v>3611</v>
      </c>
      <c r="F48" s="794" t="s">
        <v>3633</v>
      </c>
      <c r="G48" s="794"/>
      <c r="H48" s="794"/>
      <c r="I48" s="794"/>
      <c r="J48" s="794"/>
      <c r="K48" s="794"/>
      <c r="L48" s="794"/>
      <c r="M48" s="794"/>
      <c r="N48" s="794"/>
      <c r="O48" s="794"/>
      <c r="P48" s="794"/>
      <c r="Q48" s="794"/>
      <c r="R48" s="794"/>
      <c r="S48" s="794"/>
      <c r="T48" s="794"/>
      <c r="U48" s="794"/>
      <c r="V48" s="794"/>
    </row>
    <row r="49" spans="1:22" ht="14.5" hidden="1">
      <c r="A49" s="794"/>
      <c r="B49" s="799"/>
      <c r="C49" s="797"/>
      <c r="D49" s="794"/>
      <c r="E49" s="794"/>
      <c r="F49" s="794"/>
      <c r="G49" s="794"/>
      <c r="H49" s="794"/>
      <c r="I49" s="794"/>
      <c r="J49" s="794"/>
      <c r="K49" s="794"/>
      <c r="L49" s="794"/>
      <c r="M49" s="794"/>
      <c r="N49" s="794"/>
      <c r="O49" s="794"/>
      <c r="P49" s="794"/>
      <c r="Q49" s="794"/>
      <c r="R49" s="794"/>
      <c r="S49" s="794"/>
      <c r="T49" s="794"/>
      <c r="U49" s="794"/>
      <c r="V49" s="794"/>
    </row>
    <row r="50" spans="1:22" ht="14.5" hidden="1">
      <c r="A50" s="794" t="s">
        <v>3634</v>
      </c>
      <c r="B50" s="799" t="s">
        <v>1581</v>
      </c>
      <c r="C50" s="796" t="s">
        <v>54</v>
      </c>
      <c r="D50" s="794" t="s">
        <v>3635</v>
      </c>
      <c r="E50" s="794" t="s">
        <v>3636</v>
      </c>
      <c r="F50" s="794" t="s">
        <v>3637</v>
      </c>
      <c r="G50" s="794"/>
      <c r="H50" s="794"/>
      <c r="I50" s="794"/>
      <c r="J50" s="794"/>
      <c r="K50" s="794"/>
      <c r="L50" s="794"/>
      <c r="M50" s="794"/>
      <c r="N50" s="794"/>
      <c r="O50" s="794"/>
      <c r="P50" s="794"/>
      <c r="Q50" s="794"/>
      <c r="R50" s="794"/>
      <c r="S50" s="794"/>
      <c r="T50" s="794"/>
      <c r="U50" s="794"/>
      <c r="V50" s="794"/>
    </row>
    <row r="51" spans="1:22" ht="14.5" hidden="1">
      <c r="A51" s="794"/>
      <c r="B51" s="804" t="s">
        <v>1181</v>
      </c>
      <c r="C51" s="796" t="s">
        <v>54</v>
      </c>
      <c r="D51" s="794" t="s">
        <v>3602</v>
      </c>
      <c r="E51" s="794" t="s">
        <v>3569</v>
      </c>
      <c r="F51" s="794" t="s">
        <v>3638</v>
      </c>
      <c r="G51" s="794"/>
      <c r="H51" s="794"/>
      <c r="I51" s="794"/>
      <c r="J51" s="794"/>
      <c r="K51" s="794"/>
      <c r="L51" s="794"/>
      <c r="M51" s="794"/>
      <c r="N51" s="794"/>
      <c r="O51" s="794"/>
      <c r="P51" s="794"/>
      <c r="Q51" s="794"/>
      <c r="R51" s="794"/>
      <c r="S51" s="794"/>
      <c r="T51" s="794"/>
      <c r="U51" s="794"/>
      <c r="V51" s="794"/>
    </row>
    <row r="52" spans="1:22" ht="14.5" hidden="1">
      <c r="A52" s="794"/>
      <c r="B52" s="802"/>
      <c r="C52" s="797"/>
      <c r="D52" s="794"/>
      <c r="E52" s="794"/>
      <c r="F52" s="794"/>
      <c r="G52" s="794"/>
      <c r="H52" s="794"/>
      <c r="I52" s="794"/>
      <c r="J52" s="794"/>
      <c r="K52" s="794"/>
      <c r="L52" s="794"/>
      <c r="M52" s="794"/>
      <c r="N52" s="794"/>
      <c r="O52" s="794"/>
      <c r="P52" s="794"/>
      <c r="Q52" s="794"/>
      <c r="R52" s="794"/>
      <c r="S52" s="794"/>
      <c r="T52" s="794"/>
      <c r="U52" s="794"/>
      <c r="V52" s="794"/>
    </row>
    <row r="53" spans="1:22" ht="14.5" hidden="1">
      <c r="A53" s="794" t="s">
        <v>3601</v>
      </c>
      <c r="B53" s="802" t="s">
        <v>534</v>
      </c>
      <c r="C53" s="796" t="s">
        <v>54</v>
      </c>
      <c r="D53" s="794" t="s">
        <v>535</v>
      </c>
      <c r="E53" s="794" t="s">
        <v>3591</v>
      </c>
      <c r="F53" s="794" t="s">
        <v>3593</v>
      </c>
      <c r="G53" s="794"/>
      <c r="H53" s="794"/>
      <c r="I53" s="794"/>
      <c r="J53" s="794"/>
      <c r="K53" s="794"/>
      <c r="L53" s="794"/>
      <c r="M53" s="794"/>
      <c r="N53" s="794"/>
      <c r="O53" s="794"/>
      <c r="P53" s="794"/>
      <c r="Q53" s="794"/>
      <c r="R53" s="794"/>
      <c r="S53" s="794"/>
      <c r="T53" s="794"/>
      <c r="U53" s="794"/>
      <c r="V53" s="794"/>
    </row>
    <row r="54" spans="1:22" ht="14.5" hidden="1">
      <c r="A54" s="794"/>
      <c r="B54" s="800"/>
      <c r="C54" s="797"/>
      <c r="D54" s="794" t="s">
        <v>3639</v>
      </c>
      <c r="E54" s="801"/>
      <c r="F54" s="794"/>
      <c r="G54" s="794"/>
      <c r="H54" s="794"/>
      <c r="I54" s="794"/>
      <c r="J54" s="794"/>
      <c r="K54" s="794"/>
      <c r="L54" s="794"/>
      <c r="M54" s="794"/>
      <c r="N54" s="794"/>
      <c r="O54" s="794"/>
      <c r="P54" s="794"/>
      <c r="Q54" s="794"/>
      <c r="R54" s="794"/>
      <c r="S54" s="794"/>
      <c r="T54" s="794"/>
      <c r="U54" s="794"/>
      <c r="V54" s="794"/>
    </row>
    <row r="55" spans="1:22" ht="14.5" hidden="1">
      <c r="A55" s="794"/>
      <c r="B55" s="804" t="s">
        <v>1181</v>
      </c>
      <c r="C55" s="796" t="s">
        <v>54</v>
      </c>
      <c r="D55" s="794" t="s">
        <v>3602</v>
      </c>
      <c r="E55" s="794" t="s">
        <v>3569</v>
      </c>
      <c r="F55" s="794" t="s">
        <v>3640</v>
      </c>
      <c r="G55" s="794"/>
      <c r="H55" s="794"/>
      <c r="I55" s="794"/>
      <c r="J55" s="794"/>
      <c r="K55" s="794"/>
      <c r="L55" s="794"/>
      <c r="M55" s="794"/>
      <c r="N55" s="794"/>
      <c r="O55" s="794"/>
      <c r="P55" s="794"/>
      <c r="Q55" s="794"/>
      <c r="R55" s="794"/>
      <c r="S55" s="794"/>
      <c r="T55" s="794"/>
      <c r="U55" s="794"/>
      <c r="V55" s="794"/>
    </row>
    <row r="56" spans="1:22" ht="14.5" hidden="1">
      <c r="A56" s="794"/>
      <c r="B56" s="800"/>
      <c r="C56" s="797"/>
      <c r="D56" s="794" t="s">
        <v>3641</v>
      </c>
      <c r="E56" s="794"/>
      <c r="F56" s="794"/>
      <c r="G56" s="794"/>
      <c r="H56" s="794"/>
      <c r="I56" s="794"/>
      <c r="J56" s="794"/>
      <c r="K56" s="794"/>
      <c r="L56" s="794"/>
      <c r="M56" s="794"/>
      <c r="N56" s="794"/>
      <c r="O56" s="794"/>
      <c r="P56" s="794"/>
      <c r="Q56" s="794"/>
      <c r="R56" s="794"/>
      <c r="S56" s="794"/>
      <c r="T56" s="794"/>
      <c r="U56" s="794"/>
      <c r="V56" s="794"/>
    </row>
    <row r="57" spans="1:22" ht="14.5" hidden="1">
      <c r="A57" s="794"/>
      <c r="B57" s="800"/>
      <c r="C57" s="797"/>
      <c r="D57" s="794"/>
      <c r="E57" s="794"/>
      <c r="F57" s="794"/>
      <c r="G57" s="794"/>
      <c r="H57" s="794"/>
      <c r="I57" s="794"/>
      <c r="J57" s="794"/>
      <c r="K57" s="794"/>
      <c r="L57" s="794"/>
      <c r="M57" s="794"/>
      <c r="N57" s="794"/>
      <c r="O57" s="794"/>
      <c r="P57" s="794"/>
      <c r="Q57" s="794"/>
      <c r="R57" s="794"/>
      <c r="S57" s="794"/>
      <c r="T57" s="794"/>
      <c r="U57" s="794"/>
      <c r="V57" s="794"/>
    </row>
    <row r="58" spans="1:22" ht="14.5" hidden="1">
      <c r="A58" s="794" t="s">
        <v>3642</v>
      </c>
      <c r="B58" s="802" t="s">
        <v>3594</v>
      </c>
      <c r="C58" s="796" t="s">
        <v>54</v>
      </c>
      <c r="D58" s="794" t="s">
        <v>3643</v>
      </c>
      <c r="E58" s="794" t="s">
        <v>3644</v>
      </c>
      <c r="F58" s="794" t="s">
        <v>3597</v>
      </c>
      <c r="G58" s="794"/>
      <c r="H58" s="794"/>
      <c r="I58" s="794"/>
      <c r="J58" s="794"/>
      <c r="K58" s="794"/>
      <c r="L58" s="794"/>
      <c r="M58" s="794"/>
      <c r="N58" s="794"/>
      <c r="O58" s="794"/>
      <c r="P58" s="794"/>
      <c r="Q58" s="794"/>
      <c r="R58" s="794"/>
      <c r="S58" s="794"/>
      <c r="T58" s="794"/>
      <c r="U58" s="794"/>
      <c r="V58" s="794"/>
    </row>
    <row r="59" spans="1:22" ht="14.5" hidden="1">
      <c r="A59" s="794"/>
      <c r="B59" s="802" t="s">
        <v>1450</v>
      </c>
      <c r="C59" s="796" t="s">
        <v>54</v>
      </c>
      <c r="D59" s="794" t="s">
        <v>3598</v>
      </c>
      <c r="E59" s="801" t="s">
        <v>3599</v>
      </c>
      <c r="F59" s="794" t="s">
        <v>3597</v>
      </c>
      <c r="G59" s="794"/>
      <c r="H59" s="794"/>
      <c r="I59" s="794"/>
      <c r="J59" s="794"/>
      <c r="K59" s="794"/>
      <c r="L59" s="794"/>
      <c r="M59" s="794"/>
      <c r="N59" s="794"/>
      <c r="O59" s="794"/>
      <c r="P59" s="794"/>
      <c r="Q59" s="794"/>
      <c r="R59" s="794"/>
      <c r="S59" s="794"/>
      <c r="T59" s="794"/>
      <c r="U59" s="794"/>
      <c r="V59" s="794"/>
    </row>
    <row r="60" spans="1:22" ht="14.5" hidden="1">
      <c r="A60" s="794"/>
      <c r="B60" s="799"/>
      <c r="C60" s="794"/>
      <c r="D60" s="794" t="s">
        <v>3645</v>
      </c>
      <c r="E60" s="794"/>
      <c r="F60" s="794"/>
      <c r="G60" s="794"/>
      <c r="H60" s="794"/>
      <c r="I60" s="794"/>
      <c r="J60" s="794"/>
      <c r="K60" s="794"/>
      <c r="L60" s="794"/>
      <c r="M60" s="794"/>
      <c r="N60" s="794"/>
      <c r="O60" s="794"/>
      <c r="P60" s="794"/>
      <c r="Q60" s="794"/>
      <c r="R60" s="794"/>
      <c r="S60" s="794"/>
      <c r="T60" s="794"/>
      <c r="U60" s="794"/>
      <c r="V60" s="794"/>
    </row>
    <row r="61" spans="1:22" ht="14.5" hidden="1">
      <c r="A61" s="794"/>
      <c r="B61" s="799"/>
      <c r="C61" s="794"/>
      <c r="D61" s="794"/>
      <c r="E61" s="794"/>
      <c r="F61" s="794"/>
      <c r="G61" s="794"/>
      <c r="H61" s="794"/>
      <c r="I61" s="794"/>
      <c r="J61" s="794"/>
      <c r="K61" s="794"/>
      <c r="L61" s="794"/>
      <c r="M61" s="794"/>
      <c r="N61" s="794"/>
      <c r="O61" s="794"/>
      <c r="P61" s="794"/>
      <c r="Q61" s="794"/>
      <c r="R61" s="794"/>
      <c r="S61" s="794"/>
      <c r="T61" s="794"/>
      <c r="U61" s="794"/>
      <c r="V61" s="794"/>
    </row>
    <row r="62" spans="1:22" ht="14.5" hidden="1">
      <c r="A62" s="794" t="s">
        <v>3646</v>
      </c>
      <c r="B62" s="800"/>
      <c r="C62" s="796" t="s">
        <v>54</v>
      </c>
      <c r="D62" s="803" t="s">
        <v>3647</v>
      </c>
      <c r="E62" s="803" t="s">
        <v>3648</v>
      </c>
      <c r="F62" s="794" t="s">
        <v>3649</v>
      </c>
      <c r="G62" s="794"/>
      <c r="H62" s="794"/>
      <c r="I62" s="794"/>
      <c r="J62" s="794"/>
      <c r="K62" s="794"/>
      <c r="L62" s="794"/>
      <c r="M62" s="794"/>
      <c r="N62" s="794"/>
      <c r="O62" s="794"/>
      <c r="P62" s="794"/>
      <c r="Q62" s="794"/>
      <c r="R62" s="794"/>
      <c r="S62" s="794"/>
      <c r="T62" s="794"/>
      <c r="U62" s="794"/>
      <c r="V62" s="794"/>
    </row>
    <row r="63" spans="1:22" ht="14.5" hidden="1">
      <c r="A63" s="794"/>
      <c r="B63" s="800"/>
      <c r="C63" s="796" t="s">
        <v>54</v>
      </c>
      <c r="D63" s="803" t="s">
        <v>3650</v>
      </c>
      <c r="E63" s="803" t="s">
        <v>3651</v>
      </c>
      <c r="F63" s="806" t="s">
        <v>3652</v>
      </c>
      <c r="G63" s="794"/>
      <c r="H63" s="794"/>
      <c r="I63" s="794"/>
      <c r="J63" s="794"/>
      <c r="K63" s="794"/>
      <c r="L63" s="794"/>
      <c r="M63" s="794"/>
      <c r="N63" s="794"/>
      <c r="O63" s="794"/>
      <c r="P63" s="794"/>
      <c r="Q63" s="794"/>
      <c r="R63" s="794"/>
      <c r="S63" s="794"/>
      <c r="T63" s="794"/>
      <c r="U63" s="794"/>
      <c r="V63" s="794"/>
    </row>
    <row r="64" spans="1:22" ht="14.5" hidden="1">
      <c r="A64" s="794"/>
      <c r="B64" s="800"/>
      <c r="C64" s="796" t="s">
        <v>54</v>
      </c>
      <c r="D64" s="803" t="s">
        <v>3653</v>
      </c>
      <c r="E64" s="803" t="s">
        <v>3654</v>
      </c>
      <c r="F64" s="803" t="s">
        <v>3655</v>
      </c>
      <c r="G64" s="794"/>
      <c r="H64" s="794"/>
      <c r="I64" s="794"/>
      <c r="J64" s="794"/>
      <c r="K64" s="794"/>
      <c r="L64" s="794"/>
      <c r="M64" s="794"/>
      <c r="N64" s="794"/>
      <c r="O64" s="794"/>
      <c r="P64" s="794"/>
      <c r="Q64" s="794"/>
      <c r="R64" s="794"/>
      <c r="S64" s="794"/>
      <c r="T64" s="794"/>
      <c r="U64" s="794"/>
      <c r="V64" s="794"/>
    </row>
    <row r="65" spans="1:22" ht="14.5" hidden="1">
      <c r="A65" s="794"/>
      <c r="B65" s="800"/>
      <c r="C65" s="796" t="s">
        <v>54</v>
      </c>
      <c r="D65" s="803" t="s">
        <v>3656</v>
      </c>
      <c r="E65" s="803" t="s">
        <v>3657</v>
      </c>
      <c r="F65" s="794"/>
      <c r="G65" s="794"/>
      <c r="H65" s="794"/>
      <c r="I65" s="794"/>
      <c r="J65" s="794"/>
      <c r="K65" s="794"/>
      <c r="L65" s="794"/>
      <c r="M65" s="794"/>
      <c r="N65" s="794"/>
      <c r="O65" s="794"/>
      <c r="P65" s="794"/>
      <c r="Q65" s="794"/>
      <c r="R65" s="794"/>
      <c r="S65" s="794"/>
      <c r="T65" s="794"/>
      <c r="U65" s="794"/>
      <c r="V65" s="794"/>
    </row>
    <row r="66" spans="1:22" ht="14.5" hidden="1">
      <c r="A66" s="794"/>
      <c r="B66" s="800"/>
      <c r="C66" s="796" t="s">
        <v>54</v>
      </c>
      <c r="D66" s="806" t="s">
        <v>3658</v>
      </c>
      <c r="E66" s="806" t="s">
        <v>3659</v>
      </c>
      <c r="F66" s="794"/>
      <c r="G66" s="794"/>
      <c r="H66" s="794"/>
      <c r="I66" s="794"/>
      <c r="J66" s="794"/>
      <c r="K66" s="794"/>
      <c r="L66" s="794"/>
      <c r="M66" s="794"/>
      <c r="N66" s="794"/>
      <c r="O66" s="794"/>
      <c r="P66" s="794"/>
      <c r="Q66" s="794"/>
      <c r="R66" s="794"/>
      <c r="S66" s="794"/>
      <c r="T66" s="794"/>
      <c r="U66" s="794"/>
      <c r="V66" s="794"/>
    </row>
    <row r="67" spans="1:22" ht="14.5" hidden="1">
      <c r="A67" s="794"/>
      <c r="B67" s="800"/>
      <c r="C67" s="796" t="s">
        <v>54</v>
      </c>
      <c r="D67" s="803" t="s">
        <v>3660</v>
      </c>
      <c r="E67" s="806" t="s">
        <v>3661</v>
      </c>
      <c r="F67" s="794"/>
      <c r="G67" s="794"/>
      <c r="H67" s="794"/>
      <c r="I67" s="794"/>
      <c r="J67" s="794"/>
      <c r="K67" s="794"/>
      <c r="L67" s="794"/>
      <c r="M67" s="794"/>
      <c r="N67" s="794"/>
      <c r="O67" s="794"/>
      <c r="P67" s="794"/>
      <c r="Q67" s="794"/>
      <c r="R67" s="794"/>
      <c r="S67" s="794"/>
      <c r="T67" s="794"/>
      <c r="U67" s="794"/>
      <c r="V67" s="794"/>
    </row>
    <row r="68" spans="1:22" ht="14.5" hidden="1">
      <c r="A68" s="794"/>
      <c r="B68" s="800"/>
      <c r="C68" s="796" t="s">
        <v>54</v>
      </c>
      <c r="D68" s="803" t="s">
        <v>3662</v>
      </c>
      <c r="E68" s="806" t="s">
        <v>3663</v>
      </c>
      <c r="F68" s="794"/>
      <c r="G68" s="794"/>
      <c r="H68" s="794"/>
      <c r="I68" s="794"/>
      <c r="J68" s="794"/>
      <c r="K68" s="794"/>
      <c r="L68" s="794"/>
      <c r="M68" s="794"/>
      <c r="N68" s="794"/>
      <c r="O68" s="794"/>
      <c r="P68" s="794"/>
      <c r="Q68" s="794"/>
      <c r="R68" s="794"/>
      <c r="S68" s="794"/>
      <c r="T68" s="794"/>
      <c r="U68" s="794"/>
      <c r="V68" s="794"/>
    </row>
    <row r="69" spans="1:22" ht="14.5" hidden="1">
      <c r="A69" s="794"/>
      <c r="B69" s="800"/>
      <c r="C69" s="796" t="s">
        <v>54</v>
      </c>
      <c r="D69" s="803" t="s">
        <v>3664</v>
      </c>
      <c r="E69" s="803" t="s">
        <v>3665</v>
      </c>
      <c r="F69" s="794"/>
      <c r="G69" s="794"/>
      <c r="H69" s="794"/>
      <c r="I69" s="794"/>
      <c r="J69" s="794"/>
      <c r="K69" s="794"/>
      <c r="L69" s="794"/>
      <c r="M69" s="794"/>
      <c r="N69" s="794"/>
      <c r="O69" s="794"/>
      <c r="P69" s="794"/>
      <c r="Q69" s="794"/>
      <c r="R69" s="794"/>
      <c r="S69" s="794"/>
      <c r="T69" s="794"/>
      <c r="U69" s="794"/>
      <c r="V69" s="794"/>
    </row>
    <row r="70" spans="1:22" ht="14.5" hidden="1">
      <c r="A70" s="794"/>
      <c r="B70" s="800"/>
      <c r="C70" s="796" t="s">
        <v>54</v>
      </c>
      <c r="D70" s="806" t="s">
        <v>3666</v>
      </c>
      <c r="E70" s="803" t="s">
        <v>3667</v>
      </c>
      <c r="F70" s="794"/>
      <c r="G70" s="794"/>
      <c r="H70" s="794"/>
      <c r="I70" s="794"/>
      <c r="J70" s="794"/>
      <c r="K70" s="794"/>
      <c r="L70" s="794"/>
      <c r="M70" s="794"/>
      <c r="N70" s="794"/>
      <c r="O70" s="794"/>
      <c r="P70" s="794"/>
      <c r="Q70" s="794"/>
      <c r="R70" s="794"/>
      <c r="S70" s="794"/>
      <c r="T70" s="794"/>
      <c r="U70" s="794"/>
      <c r="V70" s="794"/>
    </row>
    <row r="71" spans="1:22" ht="14.5" hidden="1">
      <c r="A71" s="794"/>
      <c r="B71" s="800"/>
      <c r="C71" s="796" t="s">
        <v>54</v>
      </c>
      <c r="D71" s="803" t="s">
        <v>1666</v>
      </c>
      <c r="E71" s="803" t="s">
        <v>1753</v>
      </c>
      <c r="F71" s="794"/>
      <c r="G71" s="794"/>
      <c r="H71" s="794"/>
      <c r="I71" s="794"/>
      <c r="J71" s="794"/>
      <c r="K71" s="794"/>
      <c r="L71" s="794"/>
      <c r="M71" s="794"/>
      <c r="N71" s="794"/>
      <c r="O71" s="794"/>
      <c r="P71" s="794"/>
      <c r="Q71" s="794"/>
      <c r="R71" s="794"/>
      <c r="S71" s="794"/>
      <c r="T71" s="794"/>
      <c r="U71" s="794"/>
      <c r="V71" s="794"/>
    </row>
    <row r="72" spans="1:22" ht="14.5" hidden="1">
      <c r="A72" s="794"/>
      <c r="B72" s="799"/>
      <c r="C72" s="794"/>
      <c r="D72" s="794"/>
      <c r="E72" s="794"/>
      <c r="F72" s="794"/>
      <c r="G72" s="794"/>
      <c r="H72" s="794"/>
      <c r="I72" s="794"/>
      <c r="J72" s="794"/>
      <c r="K72" s="794"/>
      <c r="L72" s="794"/>
      <c r="M72" s="794"/>
      <c r="N72" s="794"/>
      <c r="O72" s="794"/>
      <c r="P72" s="794"/>
      <c r="Q72" s="794"/>
      <c r="R72" s="794"/>
      <c r="S72" s="794"/>
      <c r="T72" s="794"/>
      <c r="U72" s="794"/>
      <c r="V72" s="794"/>
    </row>
    <row r="73" spans="1:22" ht="14.5" hidden="1">
      <c r="A73" s="794" t="s">
        <v>3646</v>
      </c>
      <c r="B73" s="799"/>
      <c r="C73" s="803" t="s">
        <v>3577</v>
      </c>
      <c r="D73" s="807" t="s">
        <v>3668</v>
      </c>
      <c r="E73" s="794" t="s">
        <v>1762</v>
      </c>
      <c r="F73" s="794" t="s">
        <v>3669</v>
      </c>
      <c r="G73" s="794"/>
      <c r="H73" s="794"/>
      <c r="I73" s="794"/>
      <c r="J73" s="794"/>
      <c r="K73" s="794"/>
      <c r="L73" s="794"/>
      <c r="M73" s="794"/>
      <c r="N73" s="794"/>
      <c r="O73" s="794"/>
      <c r="P73" s="794"/>
      <c r="Q73" s="794"/>
      <c r="R73" s="794"/>
      <c r="S73" s="794"/>
      <c r="T73" s="794"/>
      <c r="U73" s="794"/>
      <c r="V73" s="794"/>
    </row>
    <row r="74" spans="1:22" ht="14.5" hidden="1">
      <c r="A74" s="794"/>
      <c r="B74" s="799"/>
      <c r="C74" s="803" t="s">
        <v>3577</v>
      </c>
      <c r="D74" s="807" t="s">
        <v>3670</v>
      </c>
      <c r="E74" s="794" t="s">
        <v>1762</v>
      </c>
      <c r="F74" s="794" t="s">
        <v>3669</v>
      </c>
      <c r="G74" s="794"/>
      <c r="H74" s="794"/>
      <c r="I74" s="794"/>
      <c r="J74" s="794"/>
      <c r="K74" s="794"/>
      <c r="L74" s="794"/>
      <c r="M74" s="794"/>
      <c r="N74" s="794"/>
      <c r="O74" s="794"/>
      <c r="P74" s="794"/>
      <c r="Q74" s="794"/>
      <c r="R74" s="794"/>
      <c r="S74" s="794"/>
      <c r="T74" s="794"/>
      <c r="U74" s="794"/>
      <c r="V74" s="794"/>
    </row>
    <row r="75" spans="1:22" ht="14.5" hidden="1">
      <c r="A75" s="794"/>
      <c r="B75" s="799"/>
      <c r="C75" s="803" t="s">
        <v>3577</v>
      </c>
      <c r="D75" s="808" t="s">
        <v>3671</v>
      </c>
      <c r="E75" s="794" t="s">
        <v>106</v>
      </c>
      <c r="F75" s="794" t="s">
        <v>3669</v>
      </c>
      <c r="G75" s="794"/>
      <c r="H75" s="794"/>
      <c r="I75" s="794"/>
      <c r="J75" s="794"/>
      <c r="K75" s="794"/>
      <c r="L75" s="794"/>
      <c r="M75" s="794"/>
      <c r="N75" s="794"/>
      <c r="O75" s="794"/>
      <c r="P75" s="794"/>
      <c r="Q75" s="794"/>
      <c r="R75" s="794"/>
      <c r="S75" s="794"/>
      <c r="T75" s="794"/>
      <c r="U75" s="794"/>
      <c r="V75" s="794"/>
    </row>
    <row r="76" spans="1:22" ht="14.5" hidden="1">
      <c r="A76" s="794"/>
      <c r="B76" s="799"/>
      <c r="C76" s="803" t="s">
        <v>3577</v>
      </c>
      <c r="D76" s="808" t="s">
        <v>3672</v>
      </c>
      <c r="E76" s="794" t="s">
        <v>106</v>
      </c>
      <c r="F76" s="794" t="s">
        <v>3669</v>
      </c>
      <c r="G76" s="794"/>
      <c r="H76" s="794"/>
      <c r="I76" s="794"/>
      <c r="J76" s="794"/>
      <c r="K76" s="794"/>
      <c r="L76" s="794"/>
      <c r="M76" s="794"/>
      <c r="N76" s="794"/>
      <c r="O76" s="794"/>
      <c r="P76" s="794"/>
      <c r="Q76" s="794"/>
      <c r="R76" s="794"/>
      <c r="S76" s="794"/>
      <c r="T76" s="794"/>
      <c r="U76" s="794"/>
      <c r="V76" s="794"/>
    </row>
    <row r="77" spans="1:22" ht="14.5" hidden="1">
      <c r="A77" s="794"/>
      <c r="B77" s="799"/>
      <c r="C77" s="803" t="s">
        <v>3577</v>
      </c>
      <c r="D77" s="808" t="s">
        <v>3673</v>
      </c>
      <c r="E77" s="794" t="s">
        <v>106</v>
      </c>
      <c r="F77" s="794" t="s">
        <v>3669</v>
      </c>
      <c r="G77" s="794"/>
      <c r="H77" s="794"/>
      <c r="I77" s="794"/>
      <c r="J77" s="794"/>
      <c r="K77" s="794"/>
      <c r="L77" s="794"/>
      <c r="M77" s="794"/>
      <c r="N77" s="794"/>
      <c r="O77" s="794"/>
      <c r="P77" s="794"/>
      <c r="Q77" s="794"/>
      <c r="R77" s="794"/>
      <c r="S77" s="794"/>
      <c r="T77" s="794"/>
      <c r="U77" s="794"/>
      <c r="V77" s="794"/>
    </row>
    <row r="78" spans="1:22" ht="14.5" hidden="1">
      <c r="A78" s="794"/>
      <c r="B78" s="799"/>
      <c r="C78" s="794"/>
      <c r="D78" s="794"/>
      <c r="E78" s="794"/>
      <c r="F78" s="794"/>
      <c r="G78" s="794"/>
      <c r="H78" s="794"/>
      <c r="I78" s="794"/>
      <c r="J78" s="794"/>
      <c r="K78" s="794"/>
      <c r="L78" s="794"/>
      <c r="M78" s="794"/>
      <c r="N78" s="794"/>
      <c r="O78" s="794"/>
      <c r="P78" s="794"/>
      <c r="Q78" s="794"/>
      <c r="R78" s="794"/>
      <c r="S78" s="794"/>
      <c r="T78" s="794"/>
      <c r="U78" s="794"/>
      <c r="V78" s="794"/>
    </row>
    <row r="79" spans="1:22" ht="14.5" hidden="1">
      <c r="A79" s="794" t="s">
        <v>3674</v>
      </c>
      <c r="B79" s="799" t="s">
        <v>891</v>
      </c>
      <c r="C79" s="796" t="s">
        <v>54</v>
      </c>
      <c r="D79" s="794" t="s">
        <v>894</v>
      </c>
      <c r="E79" s="794" t="s">
        <v>3675</v>
      </c>
      <c r="F79" s="794" t="s">
        <v>3676</v>
      </c>
      <c r="G79" s="794"/>
      <c r="H79" s="794"/>
      <c r="I79" s="794"/>
      <c r="J79" s="794"/>
      <c r="K79" s="794"/>
      <c r="L79" s="794"/>
      <c r="M79" s="794"/>
      <c r="N79" s="794"/>
      <c r="O79" s="794"/>
      <c r="P79" s="794"/>
      <c r="Q79" s="794"/>
      <c r="R79" s="794"/>
      <c r="S79" s="794"/>
      <c r="T79" s="794"/>
      <c r="U79" s="794"/>
      <c r="V79" s="794"/>
    </row>
    <row r="80" spans="1:22" ht="14.5" hidden="1">
      <c r="A80" s="794"/>
      <c r="B80" s="799"/>
      <c r="C80" s="794"/>
      <c r="D80" s="794"/>
      <c r="E80" s="794"/>
      <c r="F80" s="794"/>
      <c r="G80" s="794"/>
      <c r="H80" s="794"/>
      <c r="I80" s="794"/>
      <c r="J80" s="794"/>
      <c r="K80" s="794"/>
      <c r="L80" s="794"/>
      <c r="M80" s="794"/>
      <c r="N80" s="794"/>
      <c r="O80" s="794"/>
      <c r="P80" s="794"/>
      <c r="Q80" s="794"/>
      <c r="R80" s="794"/>
      <c r="S80" s="794"/>
      <c r="T80" s="794"/>
      <c r="U80" s="794"/>
      <c r="V80" s="794"/>
    </row>
    <row r="81" spans="1:22" ht="14.5" hidden="1">
      <c r="A81" s="792" t="s">
        <v>3677</v>
      </c>
      <c r="B81" s="793"/>
      <c r="C81" s="792"/>
      <c r="D81" s="792"/>
      <c r="E81" s="792"/>
      <c r="F81" s="792"/>
      <c r="G81" s="794"/>
      <c r="H81" s="794"/>
      <c r="I81" s="794"/>
      <c r="J81" s="794"/>
      <c r="K81" s="794"/>
      <c r="L81" s="794"/>
      <c r="M81" s="794"/>
      <c r="N81" s="794"/>
      <c r="O81" s="794"/>
      <c r="P81" s="794"/>
      <c r="Q81" s="794"/>
      <c r="R81" s="794"/>
      <c r="S81" s="794"/>
      <c r="T81" s="794"/>
      <c r="U81" s="794"/>
      <c r="V81" s="794"/>
    </row>
    <row r="82" spans="1:22" ht="14.5" hidden="1">
      <c r="A82" s="794" t="s">
        <v>67</v>
      </c>
      <c r="B82" s="802" t="s">
        <v>568</v>
      </c>
      <c r="C82" s="796" t="s">
        <v>54</v>
      </c>
      <c r="D82" s="797" t="s">
        <v>3587</v>
      </c>
      <c r="E82" s="809" t="s">
        <v>3588</v>
      </c>
      <c r="F82" s="794" t="s">
        <v>3678</v>
      </c>
      <c r="G82" s="794"/>
      <c r="H82" s="794"/>
      <c r="I82" s="794"/>
      <c r="J82" s="794"/>
      <c r="K82" s="794"/>
      <c r="L82" s="794"/>
      <c r="M82" s="794"/>
      <c r="N82" s="794"/>
      <c r="O82" s="794"/>
      <c r="P82" s="794"/>
      <c r="Q82" s="794"/>
      <c r="R82" s="794"/>
      <c r="S82" s="794"/>
      <c r="T82" s="794"/>
      <c r="U82" s="794"/>
      <c r="V82" s="794"/>
    </row>
    <row r="83" spans="1:22" ht="14.5" hidden="1">
      <c r="A83" s="797"/>
      <c r="B83" s="795"/>
      <c r="C83" s="797"/>
      <c r="D83" s="801"/>
      <c r="E83" s="801"/>
      <c r="F83" s="794"/>
      <c r="G83" s="794"/>
      <c r="H83" s="794"/>
      <c r="I83" s="794"/>
      <c r="J83" s="794"/>
      <c r="K83" s="794"/>
      <c r="L83" s="794"/>
      <c r="M83" s="794"/>
      <c r="N83" s="794"/>
      <c r="O83" s="794"/>
      <c r="P83" s="794"/>
      <c r="Q83" s="794"/>
      <c r="R83" s="794"/>
      <c r="S83" s="794"/>
      <c r="T83" s="794"/>
      <c r="U83" s="794"/>
      <c r="V83" s="794"/>
    </row>
    <row r="84" spans="1:22" ht="14.5" hidden="1">
      <c r="A84" s="794" t="s">
        <v>3573</v>
      </c>
      <c r="B84" s="802" t="s">
        <v>568</v>
      </c>
      <c r="C84" s="796" t="s">
        <v>54</v>
      </c>
      <c r="D84" s="797" t="s">
        <v>3587</v>
      </c>
      <c r="E84" s="809" t="s">
        <v>3588</v>
      </c>
      <c r="F84" s="794" t="s">
        <v>3679</v>
      </c>
      <c r="G84" s="794"/>
      <c r="H84" s="794"/>
      <c r="I84" s="794"/>
      <c r="J84" s="794"/>
      <c r="K84" s="794"/>
      <c r="L84" s="794"/>
      <c r="M84" s="794"/>
      <c r="N84" s="794"/>
      <c r="O84" s="794"/>
      <c r="P84" s="794"/>
      <c r="Q84" s="794"/>
      <c r="R84" s="794"/>
      <c r="S84" s="794"/>
      <c r="T84" s="794"/>
      <c r="U84" s="794"/>
      <c r="V84" s="794"/>
    </row>
    <row r="85" spans="1:22" ht="14.5" hidden="1">
      <c r="A85" s="797"/>
      <c r="B85" s="795"/>
      <c r="C85" s="797"/>
      <c r="D85" s="801"/>
      <c r="E85" s="801"/>
      <c r="F85" s="794"/>
      <c r="G85" s="794"/>
      <c r="H85" s="794"/>
      <c r="I85" s="794"/>
      <c r="J85" s="794"/>
      <c r="K85" s="794"/>
      <c r="L85" s="794"/>
      <c r="M85" s="794"/>
      <c r="N85" s="794"/>
      <c r="O85" s="794"/>
      <c r="P85" s="794"/>
      <c r="Q85" s="794"/>
      <c r="R85" s="794"/>
      <c r="S85" s="794"/>
      <c r="T85" s="794"/>
      <c r="U85" s="794"/>
      <c r="V85" s="794"/>
    </row>
    <row r="86" spans="1:22" ht="14.5" hidden="1">
      <c r="A86" s="794" t="s">
        <v>1294</v>
      </c>
      <c r="B86" s="795" t="s">
        <v>3456</v>
      </c>
      <c r="C86" s="796" t="s">
        <v>54</v>
      </c>
      <c r="D86" s="801" t="s">
        <v>3680</v>
      </c>
      <c r="E86" s="801" t="s">
        <v>3681</v>
      </c>
      <c r="F86" s="794" t="s">
        <v>3682</v>
      </c>
      <c r="G86" s="794"/>
      <c r="H86" s="794"/>
      <c r="I86" s="794"/>
      <c r="J86" s="794"/>
      <c r="K86" s="794"/>
      <c r="L86" s="794"/>
      <c r="M86" s="794"/>
      <c r="N86" s="794"/>
      <c r="O86" s="794"/>
      <c r="P86" s="794"/>
      <c r="Q86" s="794"/>
      <c r="R86" s="794"/>
      <c r="S86" s="794"/>
      <c r="T86" s="794"/>
      <c r="U86" s="794"/>
      <c r="V86" s="794"/>
    </row>
    <row r="87" spans="1:22" ht="14.5" hidden="1">
      <c r="A87" s="794"/>
      <c r="B87" s="799"/>
      <c r="C87" s="794"/>
      <c r="D87" s="794"/>
      <c r="E87" s="794"/>
      <c r="F87" s="794"/>
      <c r="G87" s="794"/>
      <c r="H87" s="794"/>
      <c r="I87" s="794"/>
      <c r="J87" s="794"/>
      <c r="K87" s="794"/>
      <c r="L87" s="794"/>
      <c r="M87" s="794"/>
      <c r="N87" s="794"/>
      <c r="O87" s="794"/>
      <c r="P87" s="794"/>
      <c r="Q87" s="794"/>
      <c r="R87" s="794"/>
      <c r="S87" s="794"/>
      <c r="T87" s="794"/>
      <c r="U87" s="794"/>
      <c r="V87" s="794"/>
    </row>
    <row r="88" spans="1:22" ht="14.5" hidden="1">
      <c r="A88" s="794" t="s">
        <v>3683</v>
      </c>
      <c r="B88" s="795" t="s">
        <v>3456</v>
      </c>
      <c r="C88" s="796" t="s">
        <v>54</v>
      </c>
      <c r="D88" s="801" t="s">
        <v>3680</v>
      </c>
      <c r="E88" s="801" t="s">
        <v>3681</v>
      </c>
      <c r="F88" s="794" t="s">
        <v>3684</v>
      </c>
      <c r="G88" s="794"/>
      <c r="H88" s="794"/>
      <c r="I88" s="794"/>
      <c r="J88" s="794"/>
      <c r="K88" s="794"/>
      <c r="L88" s="794"/>
      <c r="M88" s="794"/>
      <c r="N88" s="794"/>
      <c r="O88" s="794"/>
      <c r="P88" s="794"/>
      <c r="Q88" s="794"/>
      <c r="R88" s="794"/>
      <c r="S88" s="794"/>
      <c r="T88" s="794"/>
      <c r="U88" s="794"/>
      <c r="V88" s="794"/>
    </row>
    <row r="89" spans="1:22" ht="14.5" hidden="1">
      <c r="A89" s="794"/>
      <c r="B89" s="795" t="s">
        <v>775</v>
      </c>
      <c r="C89" s="796" t="s">
        <v>54</v>
      </c>
      <c r="D89" s="801" t="s">
        <v>3685</v>
      </c>
      <c r="E89" s="794" t="s">
        <v>3686</v>
      </c>
      <c r="F89" s="794" t="s">
        <v>3687</v>
      </c>
      <c r="G89" s="794"/>
      <c r="H89" s="794"/>
      <c r="I89" s="794"/>
      <c r="J89" s="794"/>
      <c r="K89" s="794"/>
      <c r="L89" s="794"/>
      <c r="M89" s="794"/>
      <c r="N89" s="794"/>
      <c r="O89" s="794"/>
      <c r="P89" s="794"/>
      <c r="Q89" s="794"/>
      <c r="R89" s="794"/>
      <c r="S89" s="794"/>
      <c r="T89" s="794"/>
      <c r="U89" s="794"/>
      <c r="V89" s="794"/>
    </row>
    <row r="90" spans="1:22" ht="14.5" hidden="1">
      <c r="A90" s="794"/>
      <c r="B90" s="799"/>
      <c r="C90" s="794"/>
      <c r="D90" s="794"/>
      <c r="E90" s="794"/>
      <c r="F90" s="794"/>
      <c r="G90" s="794"/>
      <c r="H90" s="794"/>
      <c r="I90" s="794"/>
      <c r="J90" s="794"/>
      <c r="K90" s="794"/>
      <c r="L90" s="794"/>
      <c r="M90" s="794"/>
      <c r="N90" s="794"/>
      <c r="O90" s="794"/>
      <c r="P90" s="794"/>
      <c r="Q90" s="794"/>
      <c r="R90" s="794"/>
      <c r="S90" s="794"/>
      <c r="T90" s="794"/>
      <c r="U90" s="794"/>
      <c r="V90" s="794"/>
    </row>
    <row r="91" spans="1:22" ht="14.5" hidden="1">
      <c r="A91" s="794" t="s">
        <v>3688</v>
      </c>
      <c r="B91" s="795" t="s">
        <v>674</v>
      </c>
      <c r="C91" s="796" t="s">
        <v>54</v>
      </c>
      <c r="D91" s="797" t="s">
        <v>3689</v>
      </c>
      <c r="E91" s="801" t="s">
        <v>3690</v>
      </c>
      <c r="F91" s="794" t="s">
        <v>3691</v>
      </c>
      <c r="G91" s="794"/>
      <c r="H91" s="794"/>
      <c r="I91" s="794"/>
      <c r="J91" s="794"/>
      <c r="K91" s="794"/>
      <c r="L91" s="794"/>
      <c r="M91" s="794"/>
      <c r="N91" s="794"/>
      <c r="O91" s="794"/>
      <c r="P91" s="794"/>
      <c r="Q91" s="794"/>
      <c r="R91" s="794"/>
      <c r="S91" s="794"/>
      <c r="T91" s="794"/>
      <c r="U91" s="794"/>
      <c r="V91" s="794"/>
    </row>
    <row r="92" spans="1:22" ht="14.5" hidden="1">
      <c r="A92" s="794"/>
      <c r="B92" s="799"/>
      <c r="C92" s="797"/>
      <c r="D92" s="794"/>
      <c r="E92" s="794"/>
      <c r="F92" s="794"/>
      <c r="G92" s="794"/>
      <c r="H92" s="794"/>
      <c r="I92" s="794"/>
      <c r="J92" s="794"/>
      <c r="K92" s="794"/>
      <c r="L92" s="794"/>
      <c r="M92" s="794"/>
      <c r="N92" s="794"/>
      <c r="O92" s="794"/>
      <c r="P92" s="794"/>
      <c r="Q92" s="794"/>
      <c r="R92" s="794"/>
      <c r="S92" s="794"/>
      <c r="T92" s="794"/>
      <c r="U92" s="794"/>
      <c r="V92" s="794"/>
    </row>
    <row r="93" spans="1:22" ht="14.5" hidden="1">
      <c r="A93" s="794" t="s">
        <v>3575</v>
      </c>
      <c r="B93" s="802" t="s">
        <v>568</v>
      </c>
      <c r="C93" s="796" t="s">
        <v>54</v>
      </c>
      <c r="D93" s="797" t="s">
        <v>3587</v>
      </c>
      <c r="E93" s="809" t="s">
        <v>3588</v>
      </c>
      <c r="F93" s="794" t="s">
        <v>3692</v>
      </c>
      <c r="G93" s="794"/>
      <c r="H93" s="794"/>
      <c r="I93" s="794"/>
      <c r="J93" s="794"/>
      <c r="K93" s="794"/>
      <c r="L93" s="794"/>
      <c r="M93" s="794"/>
      <c r="N93" s="794"/>
      <c r="O93" s="794"/>
      <c r="P93" s="794"/>
      <c r="Q93" s="794"/>
      <c r="R93" s="794"/>
      <c r="S93" s="794"/>
      <c r="T93" s="794"/>
      <c r="U93" s="794"/>
      <c r="V93" s="794"/>
    </row>
    <row r="94" spans="1:22" ht="14.5" hidden="1">
      <c r="A94" s="794"/>
      <c r="B94" s="799"/>
      <c r="C94" s="794"/>
      <c r="D94" s="794"/>
      <c r="E94" s="794"/>
      <c r="F94" s="794"/>
      <c r="G94" s="794"/>
      <c r="H94" s="794"/>
      <c r="I94" s="794"/>
      <c r="J94" s="794"/>
      <c r="K94" s="794"/>
      <c r="L94" s="794"/>
      <c r="M94" s="794"/>
      <c r="N94" s="794"/>
      <c r="O94" s="794"/>
      <c r="P94" s="794"/>
      <c r="Q94" s="794"/>
      <c r="R94" s="794"/>
      <c r="S94" s="794"/>
      <c r="T94" s="794"/>
      <c r="U94" s="794"/>
      <c r="V94" s="794"/>
    </row>
    <row r="95" spans="1:22" ht="14.5" hidden="1">
      <c r="A95" s="794"/>
      <c r="B95" s="800"/>
      <c r="C95" s="797"/>
      <c r="D95" s="794"/>
      <c r="E95" s="794"/>
      <c r="F95" s="794"/>
      <c r="G95" s="794"/>
      <c r="H95" s="794"/>
      <c r="I95" s="794"/>
      <c r="J95" s="794"/>
      <c r="K95" s="794"/>
      <c r="L95" s="794"/>
      <c r="M95" s="794"/>
      <c r="N95" s="794"/>
      <c r="O95" s="794"/>
      <c r="P95" s="794"/>
      <c r="Q95" s="794"/>
      <c r="R95" s="794"/>
      <c r="S95" s="794"/>
      <c r="T95" s="794"/>
      <c r="U95" s="794"/>
      <c r="V95" s="794"/>
    </row>
    <row r="96" spans="1:22" ht="14.5" hidden="1">
      <c r="A96" s="792" t="s">
        <v>3693</v>
      </c>
      <c r="B96" s="810"/>
      <c r="C96" s="811"/>
      <c r="D96" s="792"/>
      <c r="E96" s="792"/>
      <c r="F96" s="792"/>
      <c r="G96" s="794"/>
      <c r="H96" s="794"/>
      <c r="I96" s="794"/>
      <c r="J96" s="794"/>
      <c r="K96" s="794"/>
      <c r="L96" s="794"/>
      <c r="M96" s="794"/>
      <c r="N96" s="794"/>
      <c r="O96" s="794"/>
      <c r="P96" s="794"/>
      <c r="Q96" s="794"/>
      <c r="R96" s="794"/>
      <c r="S96" s="794"/>
      <c r="T96" s="794"/>
      <c r="U96" s="794"/>
      <c r="V96" s="794"/>
    </row>
    <row r="97" spans="1:22" ht="14.5" hidden="1">
      <c r="A97" s="797" t="s">
        <v>310</v>
      </c>
      <c r="B97" s="799" t="s">
        <v>534</v>
      </c>
      <c r="C97" s="796" t="s">
        <v>54</v>
      </c>
      <c r="D97" s="794" t="s">
        <v>3694</v>
      </c>
      <c r="E97" s="794" t="s">
        <v>3695</v>
      </c>
      <c r="F97" s="794" t="s">
        <v>3696</v>
      </c>
      <c r="G97" s="794"/>
      <c r="H97" s="794"/>
      <c r="I97" s="794"/>
      <c r="J97" s="794"/>
      <c r="K97" s="794"/>
      <c r="L97" s="794"/>
      <c r="M97" s="794"/>
      <c r="N97" s="794"/>
      <c r="O97" s="794"/>
      <c r="P97" s="794"/>
      <c r="Q97" s="794"/>
      <c r="R97" s="794"/>
      <c r="S97" s="794"/>
      <c r="T97" s="794"/>
      <c r="U97" s="794"/>
      <c r="V97" s="794"/>
    </row>
    <row r="98" spans="1:22" ht="37.5" hidden="1">
      <c r="A98" s="797"/>
      <c r="B98" s="799" t="s">
        <v>3697</v>
      </c>
      <c r="C98" s="796" t="s">
        <v>54</v>
      </c>
      <c r="D98" s="794" t="s">
        <v>707</v>
      </c>
      <c r="E98" s="794" t="s">
        <v>3698</v>
      </c>
      <c r="F98" s="812" t="s">
        <v>3699</v>
      </c>
      <c r="G98" s="794"/>
      <c r="H98" s="794"/>
      <c r="I98" s="794"/>
      <c r="J98" s="794"/>
      <c r="K98" s="794"/>
      <c r="L98" s="794"/>
      <c r="M98" s="794"/>
      <c r="N98" s="794"/>
      <c r="O98" s="794"/>
      <c r="P98" s="794"/>
      <c r="Q98" s="794"/>
      <c r="R98" s="794"/>
      <c r="S98" s="794"/>
      <c r="T98" s="794"/>
      <c r="U98" s="794"/>
      <c r="V98" s="794"/>
    </row>
    <row r="99" spans="1:22" ht="14.5" hidden="1">
      <c r="A99" s="797"/>
      <c r="B99" s="799"/>
      <c r="C99" s="794"/>
      <c r="D99" s="794"/>
      <c r="E99" s="794"/>
      <c r="F99" s="794"/>
      <c r="G99" s="794"/>
      <c r="H99" s="794"/>
      <c r="I99" s="794"/>
      <c r="J99" s="794"/>
      <c r="K99" s="794"/>
      <c r="L99" s="794"/>
      <c r="M99" s="794"/>
      <c r="N99" s="794"/>
      <c r="O99" s="794"/>
      <c r="P99" s="794"/>
      <c r="Q99" s="794"/>
      <c r="R99" s="794"/>
      <c r="S99" s="794"/>
      <c r="T99" s="794"/>
      <c r="U99" s="794"/>
      <c r="V99" s="794"/>
    </row>
    <row r="100" spans="1:22" ht="14.5" hidden="1">
      <c r="A100" s="797" t="s">
        <v>67</v>
      </c>
      <c r="B100" s="799" t="s">
        <v>129</v>
      </c>
      <c r="C100" s="803" t="s">
        <v>3577</v>
      </c>
      <c r="D100" s="794" t="s">
        <v>3583</v>
      </c>
      <c r="E100" s="794" t="s">
        <v>136</v>
      </c>
      <c r="F100" s="794" t="s">
        <v>3700</v>
      </c>
      <c r="G100" s="794"/>
      <c r="H100" s="794"/>
      <c r="I100" s="794"/>
      <c r="J100" s="794"/>
      <c r="K100" s="794"/>
      <c r="L100" s="794"/>
      <c r="M100" s="794"/>
      <c r="N100" s="794"/>
      <c r="O100" s="794"/>
      <c r="P100" s="794"/>
      <c r="Q100" s="794"/>
      <c r="R100" s="794"/>
      <c r="S100" s="794"/>
      <c r="T100" s="794"/>
      <c r="U100" s="794"/>
      <c r="V100" s="794"/>
    </row>
    <row r="101" spans="1:22" ht="14.5" hidden="1">
      <c r="A101" s="813"/>
      <c r="B101" s="814"/>
      <c r="C101" s="813"/>
      <c r="D101" s="813"/>
      <c r="E101" s="813"/>
      <c r="F101" s="813"/>
      <c r="G101" s="813"/>
      <c r="H101" s="813"/>
      <c r="I101" s="813"/>
      <c r="J101" s="813"/>
      <c r="K101" s="813"/>
      <c r="L101" s="813"/>
      <c r="M101" s="813"/>
      <c r="N101" s="813"/>
      <c r="O101" s="813"/>
      <c r="P101" s="813"/>
      <c r="Q101" s="813"/>
      <c r="R101" s="813"/>
      <c r="S101" s="813"/>
      <c r="T101" s="813"/>
      <c r="U101" s="813"/>
      <c r="V101" s="813"/>
    </row>
    <row r="102" spans="1:22" ht="14.5" hidden="1">
      <c r="A102" s="797" t="s">
        <v>3573</v>
      </c>
      <c r="B102" s="799" t="s">
        <v>129</v>
      </c>
      <c r="C102" s="803" t="s">
        <v>3577</v>
      </c>
      <c r="D102" s="794" t="s">
        <v>3583</v>
      </c>
      <c r="E102" s="794" t="s">
        <v>136</v>
      </c>
      <c r="F102" s="794" t="s">
        <v>3701</v>
      </c>
      <c r="G102" s="794"/>
      <c r="H102" s="794"/>
      <c r="I102" s="794"/>
      <c r="J102" s="794"/>
      <c r="K102" s="794"/>
      <c r="L102" s="794"/>
      <c r="M102" s="794"/>
      <c r="N102" s="794"/>
      <c r="O102" s="794"/>
      <c r="P102" s="794"/>
      <c r="Q102" s="794"/>
      <c r="R102" s="794"/>
      <c r="S102" s="794"/>
      <c r="T102" s="794"/>
      <c r="U102" s="794"/>
      <c r="V102" s="794"/>
    </row>
    <row r="103" spans="1:22" ht="14.5" hidden="1">
      <c r="A103" s="797"/>
      <c r="B103" s="799"/>
      <c r="C103" s="797"/>
      <c r="D103" s="794"/>
      <c r="E103" s="794"/>
      <c r="F103" s="794"/>
      <c r="G103" s="794"/>
      <c r="H103" s="794"/>
      <c r="I103" s="794"/>
      <c r="J103" s="794"/>
      <c r="K103" s="794"/>
      <c r="L103" s="794"/>
      <c r="M103" s="794"/>
      <c r="N103" s="794"/>
      <c r="O103" s="794"/>
      <c r="P103" s="794"/>
      <c r="Q103" s="794"/>
      <c r="R103" s="794"/>
      <c r="S103" s="794"/>
      <c r="T103" s="794"/>
      <c r="U103" s="794"/>
      <c r="V103" s="794"/>
    </row>
    <row r="104" spans="1:22" ht="25" hidden="1">
      <c r="A104" s="797" t="s">
        <v>3575</v>
      </c>
      <c r="B104" s="799" t="s">
        <v>534</v>
      </c>
      <c r="C104" s="796" t="s">
        <v>54</v>
      </c>
      <c r="D104" s="794" t="s">
        <v>3702</v>
      </c>
      <c r="E104" s="794" t="s">
        <v>3591</v>
      </c>
      <c r="F104" s="805" t="s">
        <v>3703</v>
      </c>
      <c r="G104" s="794"/>
      <c r="H104" s="794"/>
      <c r="I104" s="794"/>
      <c r="J104" s="794"/>
      <c r="K104" s="794"/>
      <c r="L104" s="794"/>
      <c r="M104" s="794"/>
      <c r="N104" s="794"/>
      <c r="O104" s="794"/>
      <c r="P104" s="794"/>
      <c r="Q104" s="794"/>
      <c r="R104" s="794"/>
      <c r="S104" s="794"/>
      <c r="T104" s="794"/>
      <c r="U104" s="794"/>
      <c r="V104" s="794"/>
    </row>
    <row r="105" spans="1:22" ht="14.5" hidden="1">
      <c r="A105" s="797"/>
      <c r="B105" s="799" t="s">
        <v>129</v>
      </c>
      <c r="C105" s="803" t="s">
        <v>3577</v>
      </c>
      <c r="D105" s="794" t="s">
        <v>3583</v>
      </c>
      <c r="E105" s="794" t="s">
        <v>136</v>
      </c>
      <c r="F105" s="794" t="s">
        <v>3704</v>
      </c>
      <c r="G105" s="794"/>
      <c r="H105" s="794"/>
      <c r="I105" s="794"/>
      <c r="J105" s="794"/>
      <c r="K105" s="794"/>
      <c r="L105" s="794"/>
      <c r="M105" s="794"/>
      <c r="N105" s="794"/>
      <c r="O105" s="794"/>
      <c r="P105" s="794"/>
      <c r="Q105" s="794"/>
      <c r="R105" s="794"/>
      <c r="S105" s="794"/>
      <c r="T105" s="794"/>
      <c r="U105" s="794"/>
      <c r="V105" s="794"/>
    </row>
    <row r="106" spans="1:22" ht="14.5" hidden="1">
      <c r="A106" s="797"/>
      <c r="B106" s="799"/>
      <c r="C106" s="797"/>
      <c r="D106" s="794"/>
      <c r="E106" s="794"/>
      <c r="F106" s="794"/>
      <c r="G106" s="794"/>
      <c r="H106" s="794"/>
      <c r="I106" s="794"/>
      <c r="J106" s="794"/>
      <c r="K106" s="794"/>
      <c r="L106" s="794"/>
      <c r="M106" s="794"/>
      <c r="N106" s="794"/>
      <c r="O106" s="794"/>
      <c r="P106" s="794"/>
      <c r="Q106" s="794"/>
      <c r="R106" s="794"/>
      <c r="S106" s="794"/>
      <c r="T106" s="794"/>
      <c r="U106" s="794"/>
      <c r="V106" s="794"/>
    </row>
    <row r="107" spans="1:22" ht="14.5" hidden="1">
      <c r="A107" s="797" t="s">
        <v>3705</v>
      </c>
      <c r="B107" s="799" t="s">
        <v>534</v>
      </c>
      <c r="C107" s="796" t="s">
        <v>54</v>
      </c>
      <c r="D107" s="794" t="s">
        <v>3706</v>
      </c>
      <c r="E107" s="794" t="s">
        <v>3591</v>
      </c>
      <c r="F107" s="794" t="s">
        <v>3707</v>
      </c>
      <c r="G107" s="794"/>
      <c r="H107" s="794"/>
      <c r="I107" s="794"/>
      <c r="J107" s="794"/>
      <c r="K107" s="794"/>
      <c r="L107" s="794"/>
      <c r="M107" s="794"/>
      <c r="N107" s="794"/>
      <c r="O107" s="794"/>
      <c r="P107" s="794"/>
      <c r="Q107" s="794"/>
      <c r="R107" s="794"/>
      <c r="S107" s="794"/>
      <c r="T107" s="794"/>
      <c r="U107" s="794"/>
      <c r="V107" s="794"/>
    </row>
    <row r="108" spans="1:22" ht="14.5" hidden="1">
      <c r="A108" s="792" t="s">
        <v>3708</v>
      </c>
      <c r="B108" s="810"/>
      <c r="C108" s="811"/>
      <c r="D108" s="792"/>
      <c r="E108" s="792"/>
      <c r="F108" s="792"/>
      <c r="G108" s="794"/>
      <c r="H108" s="794"/>
      <c r="I108" s="794"/>
      <c r="J108" s="794"/>
      <c r="K108" s="794"/>
      <c r="L108" s="794"/>
      <c r="M108" s="794"/>
      <c r="N108" s="794"/>
      <c r="O108" s="794"/>
      <c r="P108" s="794"/>
      <c r="Q108" s="794"/>
      <c r="R108" s="794"/>
      <c r="S108" s="794"/>
      <c r="T108" s="794"/>
      <c r="U108" s="794"/>
      <c r="V108" s="794"/>
    </row>
    <row r="109" spans="1:22" ht="14.5" hidden="1">
      <c r="A109" s="794" t="s">
        <v>3709</v>
      </c>
      <c r="B109" s="799"/>
      <c r="C109" s="803" t="s">
        <v>3577</v>
      </c>
      <c r="D109" s="815" t="s">
        <v>3710</v>
      </c>
      <c r="E109" s="794" t="s">
        <v>1762</v>
      </c>
      <c r="F109" s="794" t="s">
        <v>3711</v>
      </c>
      <c r="G109" s="794"/>
      <c r="H109" s="794"/>
      <c r="I109" s="794"/>
      <c r="J109" s="794"/>
      <c r="K109" s="794"/>
      <c r="L109" s="794"/>
      <c r="M109" s="794"/>
      <c r="N109" s="794"/>
      <c r="O109" s="794"/>
      <c r="P109" s="794"/>
      <c r="Q109" s="794"/>
      <c r="R109" s="794"/>
      <c r="S109" s="794"/>
      <c r="T109" s="794"/>
      <c r="U109" s="794"/>
      <c r="V109" s="794"/>
    </row>
    <row r="110" spans="1:22" ht="14.5" hidden="1">
      <c r="A110" s="794"/>
      <c r="B110" s="799"/>
      <c r="C110" s="803" t="s">
        <v>3577</v>
      </c>
      <c r="D110" s="815" t="s">
        <v>3712</v>
      </c>
      <c r="E110" s="794" t="s">
        <v>1762</v>
      </c>
      <c r="F110" s="794" t="s">
        <v>3711</v>
      </c>
      <c r="G110" s="794"/>
      <c r="H110" s="794"/>
      <c r="I110" s="794"/>
      <c r="J110" s="794"/>
      <c r="K110" s="794"/>
      <c r="L110" s="794"/>
      <c r="M110" s="794"/>
      <c r="N110" s="794"/>
      <c r="O110" s="794"/>
      <c r="P110" s="794"/>
      <c r="Q110" s="794"/>
      <c r="R110" s="794"/>
      <c r="S110" s="794"/>
      <c r="T110" s="794"/>
      <c r="U110" s="794"/>
      <c r="V110" s="794"/>
    </row>
    <row r="111" spans="1:22" ht="14.5" hidden="1">
      <c r="A111" s="794"/>
      <c r="B111" s="799"/>
      <c r="C111" s="794"/>
      <c r="D111" s="794"/>
      <c r="E111" s="794"/>
      <c r="F111" s="794"/>
      <c r="G111" s="794"/>
      <c r="H111" s="794"/>
      <c r="I111" s="794"/>
      <c r="J111" s="794"/>
      <c r="K111" s="794"/>
      <c r="L111" s="794"/>
      <c r="M111" s="794"/>
      <c r="N111" s="794"/>
      <c r="O111" s="794"/>
      <c r="P111" s="794"/>
      <c r="Q111" s="794"/>
      <c r="R111" s="794"/>
      <c r="S111" s="794"/>
      <c r="T111" s="794"/>
      <c r="U111" s="794"/>
      <c r="V111" s="794"/>
    </row>
    <row r="112" spans="1:22" ht="14.5" hidden="1">
      <c r="A112" s="794" t="s">
        <v>3713</v>
      </c>
      <c r="B112" s="799"/>
      <c r="C112" s="803" t="s">
        <v>3577</v>
      </c>
      <c r="D112" s="815" t="s">
        <v>3710</v>
      </c>
      <c r="E112" s="794" t="s">
        <v>1762</v>
      </c>
      <c r="F112" s="794" t="s">
        <v>3714</v>
      </c>
      <c r="G112" s="794"/>
      <c r="H112" s="794"/>
      <c r="I112" s="794"/>
      <c r="J112" s="794"/>
      <c r="K112" s="794"/>
      <c r="L112" s="794"/>
      <c r="M112" s="794"/>
      <c r="N112" s="794"/>
      <c r="O112" s="794"/>
      <c r="P112" s="794"/>
      <c r="Q112" s="794"/>
      <c r="R112" s="794"/>
      <c r="S112" s="794"/>
      <c r="T112" s="794"/>
      <c r="U112" s="794"/>
      <c r="V112" s="794"/>
    </row>
    <row r="113" spans="1:22" ht="14.5" hidden="1">
      <c r="A113" s="794"/>
      <c r="B113" s="799"/>
      <c r="C113" s="803" t="s">
        <v>3577</v>
      </c>
      <c r="D113" s="815" t="s">
        <v>3712</v>
      </c>
      <c r="E113" s="794" t="s">
        <v>1762</v>
      </c>
      <c r="F113" s="794" t="s">
        <v>3714</v>
      </c>
      <c r="G113" s="794"/>
      <c r="H113" s="794"/>
      <c r="I113" s="794"/>
      <c r="J113" s="794"/>
      <c r="K113" s="794"/>
      <c r="L113" s="794"/>
      <c r="M113" s="794"/>
      <c r="N113" s="794"/>
      <c r="O113" s="794"/>
      <c r="P113" s="794"/>
      <c r="Q113" s="794"/>
      <c r="R113" s="794"/>
      <c r="S113" s="794"/>
      <c r="T113" s="794"/>
      <c r="U113" s="794"/>
      <c r="V113" s="794"/>
    </row>
    <row r="114" spans="1:22" ht="14.5" hidden="1">
      <c r="A114" s="794" t="s">
        <v>1294</v>
      </c>
      <c r="B114" s="816" t="s">
        <v>782</v>
      </c>
      <c r="C114" s="796" t="s">
        <v>54</v>
      </c>
      <c r="D114" s="794" t="s">
        <v>784</v>
      </c>
      <c r="E114" s="794" t="s">
        <v>3715</v>
      </c>
      <c r="F114" s="794" t="s">
        <v>3716</v>
      </c>
      <c r="G114" s="794"/>
      <c r="H114" s="794"/>
      <c r="I114" s="794"/>
      <c r="J114" s="794"/>
      <c r="K114" s="794"/>
      <c r="L114" s="794"/>
      <c r="M114" s="794"/>
      <c r="N114" s="794"/>
      <c r="O114" s="794"/>
      <c r="P114" s="794"/>
      <c r="Q114" s="794"/>
      <c r="R114" s="794"/>
      <c r="S114" s="794"/>
      <c r="T114" s="794"/>
      <c r="U114" s="794"/>
      <c r="V114" s="794"/>
    </row>
    <row r="115" spans="1:22" ht="14.5" hidden="1">
      <c r="A115" s="813"/>
      <c r="B115" s="799"/>
      <c r="C115" s="794"/>
      <c r="D115" s="794"/>
      <c r="E115" s="794"/>
      <c r="F115" s="817"/>
      <c r="G115" s="794"/>
      <c r="H115" s="794"/>
      <c r="I115" s="794"/>
      <c r="J115" s="794"/>
      <c r="K115" s="794"/>
      <c r="L115" s="794"/>
      <c r="M115" s="794"/>
      <c r="N115" s="794"/>
      <c r="O115" s="794"/>
      <c r="P115" s="794"/>
      <c r="Q115" s="794"/>
      <c r="R115" s="794"/>
      <c r="S115" s="794"/>
      <c r="T115" s="794"/>
      <c r="U115" s="794"/>
      <c r="V115" s="794"/>
    </row>
    <row r="116" spans="1:22" ht="14.5" hidden="1">
      <c r="A116" s="794" t="s">
        <v>310</v>
      </c>
      <c r="B116" s="816" t="s">
        <v>3415</v>
      </c>
      <c r="C116" s="803" t="s">
        <v>3577</v>
      </c>
      <c r="D116" s="818" t="s">
        <v>396</v>
      </c>
      <c r="E116" s="801" t="s">
        <v>336</v>
      </c>
      <c r="F116" s="794" t="s">
        <v>3717</v>
      </c>
      <c r="G116" s="794"/>
      <c r="H116" s="794"/>
      <c r="I116" s="794"/>
      <c r="J116" s="794"/>
      <c r="K116" s="794"/>
      <c r="L116" s="794"/>
      <c r="M116" s="794"/>
      <c r="N116" s="794"/>
      <c r="O116" s="794"/>
      <c r="P116" s="794"/>
      <c r="Q116" s="794"/>
      <c r="R116" s="794"/>
      <c r="S116" s="794"/>
      <c r="T116" s="794"/>
      <c r="U116" s="794"/>
      <c r="V116" s="794"/>
    </row>
    <row r="117" spans="1:22" ht="14.5" hidden="1">
      <c r="A117" s="794"/>
      <c r="B117" s="799"/>
      <c r="C117" s="794"/>
      <c r="D117" s="794"/>
      <c r="E117" s="794"/>
      <c r="F117" s="817"/>
      <c r="G117" s="794"/>
      <c r="H117" s="794"/>
      <c r="I117" s="794"/>
      <c r="J117" s="794"/>
      <c r="K117" s="794"/>
      <c r="L117" s="794"/>
      <c r="M117" s="794"/>
      <c r="N117" s="794"/>
      <c r="O117" s="794"/>
      <c r="P117" s="794"/>
      <c r="Q117" s="794"/>
      <c r="R117" s="794"/>
      <c r="S117" s="794"/>
      <c r="T117" s="794"/>
      <c r="U117" s="794"/>
      <c r="V117" s="794"/>
    </row>
    <row r="118" spans="1:22" ht="14.5" hidden="1">
      <c r="A118" s="797" t="s">
        <v>67</v>
      </c>
      <c r="B118" s="819" t="s">
        <v>753</v>
      </c>
      <c r="C118" s="796" t="s">
        <v>54</v>
      </c>
      <c r="D118" s="818" t="s">
        <v>3718</v>
      </c>
      <c r="E118" s="818" t="s">
        <v>630</v>
      </c>
      <c r="F118" s="794" t="s">
        <v>3719</v>
      </c>
      <c r="G118" s="820"/>
      <c r="H118" s="794"/>
      <c r="I118" s="794"/>
      <c r="J118" s="794"/>
      <c r="K118" s="794"/>
      <c r="L118" s="794"/>
      <c r="M118" s="794"/>
      <c r="N118" s="794"/>
      <c r="O118" s="794"/>
      <c r="P118" s="794"/>
      <c r="Q118" s="794"/>
      <c r="R118" s="794"/>
      <c r="S118" s="794"/>
      <c r="T118" s="794"/>
      <c r="U118" s="794"/>
      <c r="V118" s="794"/>
    </row>
    <row r="119" spans="1:22" ht="14.5" hidden="1">
      <c r="A119" s="794"/>
      <c r="B119" s="819" t="s">
        <v>768</v>
      </c>
      <c r="C119" s="796" t="s">
        <v>54</v>
      </c>
      <c r="D119" s="818" t="s">
        <v>3720</v>
      </c>
      <c r="E119" s="818" t="s">
        <v>630</v>
      </c>
      <c r="F119" s="794" t="s">
        <v>3721</v>
      </c>
      <c r="G119" s="794"/>
      <c r="H119" s="794"/>
      <c r="I119" s="794"/>
      <c r="J119" s="794"/>
      <c r="K119" s="794"/>
      <c r="L119" s="794"/>
      <c r="M119" s="794"/>
      <c r="N119" s="794"/>
      <c r="O119" s="794"/>
      <c r="P119" s="794"/>
      <c r="Q119" s="794"/>
      <c r="R119" s="794"/>
      <c r="S119" s="794"/>
      <c r="T119" s="794"/>
      <c r="U119" s="794"/>
      <c r="V119" s="794"/>
    </row>
    <row r="120" spans="1:22" ht="14.5" hidden="1">
      <c r="A120" s="794"/>
      <c r="B120" s="819" t="s">
        <v>832</v>
      </c>
      <c r="C120" s="796" t="s">
        <v>54</v>
      </c>
      <c r="D120" s="818" t="s">
        <v>833</v>
      </c>
      <c r="E120" s="818" t="s">
        <v>3715</v>
      </c>
      <c r="F120" s="794" t="s">
        <v>3722</v>
      </c>
      <c r="G120" s="794"/>
      <c r="H120" s="794"/>
      <c r="I120" s="794"/>
      <c r="J120" s="794"/>
      <c r="K120" s="794"/>
      <c r="L120" s="794"/>
      <c r="M120" s="794"/>
      <c r="N120" s="794"/>
      <c r="O120" s="794"/>
      <c r="P120" s="794"/>
      <c r="Q120" s="794"/>
      <c r="R120" s="794"/>
      <c r="S120" s="794"/>
      <c r="T120" s="794"/>
      <c r="U120" s="794"/>
      <c r="V120" s="794"/>
    </row>
    <row r="121" spans="1:22" ht="14.5" hidden="1">
      <c r="A121" s="794"/>
      <c r="B121" s="819" t="s">
        <v>811</v>
      </c>
      <c r="C121" s="796" t="s">
        <v>54</v>
      </c>
      <c r="D121" s="818" t="s">
        <v>3723</v>
      </c>
      <c r="E121" s="818" t="s">
        <v>3681</v>
      </c>
      <c r="F121" s="794" t="s">
        <v>3724</v>
      </c>
      <c r="G121" s="820"/>
      <c r="H121" s="794"/>
      <c r="I121" s="794"/>
      <c r="J121" s="794"/>
      <c r="K121" s="794"/>
      <c r="L121" s="794"/>
      <c r="M121" s="794"/>
      <c r="N121" s="794"/>
      <c r="O121" s="794"/>
      <c r="P121" s="794"/>
      <c r="Q121" s="794"/>
      <c r="R121" s="794"/>
      <c r="S121" s="794"/>
      <c r="T121" s="794"/>
      <c r="U121" s="794"/>
      <c r="V121" s="794"/>
    </row>
    <row r="122" spans="1:22" ht="14.5" hidden="1">
      <c r="A122" s="794"/>
      <c r="B122" s="799" t="s">
        <v>817</v>
      </c>
      <c r="C122" s="796" t="s">
        <v>54</v>
      </c>
      <c r="D122" s="794" t="s">
        <v>3725</v>
      </c>
      <c r="E122" s="821" t="s">
        <v>630</v>
      </c>
      <c r="F122" s="794" t="s">
        <v>3726</v>
      </c>
      <c r="G122" s="820"/>
      <c r="H122" s="794"/>
      <c r="I122" s="794"/>
      <c r="J122" s="794"/>
      <c r="K122" s="794"/>
      <c r="L122" s="794"/>
      <c r="M122" s="794"/>
      <c r="N122" s="794"/>
      <c r="O122" s="794"/>
      <c r="P122" s="794"/>
      <c r="Q122" s="794"/>
      <c r="R122" s="794"/>
      <c r="S122" s="794"/>
      <c r="T122" s="794"/>
      <c r="U122" s="794"/>
      <c r="V122" s="794"/>
    </row>
    <row r="123" spans="1:22" ht="14.5" hidden="1">
      <c r="A123" s="794"/>
      <c r="B123" s="795" t="s">
        <v>775</v>
      </c>
      <c r="C123" s="796" t="s">
        <v>54</v>
      </c>
      <c r="D123" s="801" t="s">
        <v>3685</v>
      </c>
      <c r="E123" s="794" t="s">
        <v>3686</v>
      </c>
      <c r="F123" s="794" t="s">
        <v>3727</v>
      </c>
      <c r="G123" s="794"/>
      <c r="H123" s="794"/>
      <c r="I123" s="794"/>
      <c r="J123" s="794"/>
      <c r="K123" s="794"/>
      <c r="L123" s="794"/>
      <c r="M123" s="794"/>
      <c r="N123" s="794"/>
      <c r="O123" s="794"/>
      <c r="P123" s="794"/>
      <c r="Q123" s="794"/>
      <c r="R123" s="794"/>
      <c r="S123" s="794"/>
      <c r="T123" s="794"/>
      <c r="U123" s="794"/>
      <c r="V123" s="794"/>
    </row>
    <row r="124" spans="1:22" ht="14.5" hidden="1">
      <c r="A124" s="794"/>
      <c r="B124" s="822" t="s">
        <v>1533</v>
      </c>
      <c r="C124" s="796" t="s">
        <v>54</v>
      </c>
      <c r="D124" s="823" t="s">
        <v>1534</v>
      </c>
      <c r="E124" s="824" t="s">
        <v>3728</v>
      </c>
      <c r="F124" s="825" t="s">
        <v>3729</v>
      </c>
      <c r="G124" s="794"/>
      <c r="H124" s="794"/>
      <c r="I124" s="794"/>
      <c r="J124" s="794"/>
      <c r="K124" s="794"/>
      <c r="L124" s="794"/>
      <c r="M124" s="794"/>
      <c r="N124" s="794"/>
      <c r="O124" s="794"/>
      <c r="P124" s="794"/>
      <c r="Q124" s="794"/>
      <c r="R124" s="794"/>
      <c r="S124" s="794"/>
      <c r="T124" s="794"/>
      <c r="U124" s="794"/>
      <c r="V124" s="794"/>
    </row>
    <row r="125" spans="1:22" ht="14.5" hidden="1">
      <c r="A125" s="794"/>
      <c r="B125" s="800"/>
      <c r="C125" s="797"/>
      <c r="D125" s="794"/>
      <c r="E125" s="794"/>
      <c r="F125" s="794"/>
      <c r="G125" s="794"/>
      <c r="H125" s="794"/>
      <c r="I125" s="794"/>
      <c r="J125" s="794"/>
      <c r="K125" s="794"/>
      <c r="L125" s="794"/>
      <c r="M125" s="794"/>
      <c r="N125" s="794"/>
      <c r="O125" s="794"/>
      <c r="P125" s="794"/>
      <c r="Q125" s="794"/>
      <c r="R125" s="794"/>
      <c r="S125" s="794"/>
      <c r="T125" s="794"/>
      <c r="U125" s="794"/>
      <c r="V125" s="794"/>
    </row>
    <row r="126" spans="1:22" ht="14.5" hidden="1">
      <c r="A126" s="794" t="s">
        <v>3683</v>
      </c>
      <c r="B126" s="816" t="s">
        <v>3415</v>
      </c>
      <c r="C126" s="803" t="s">
        <v>3577</v>
      </c>
      <c r="D126" s="818" t="s">
        <v>396</v>
      </c>
      <c r="E126" s="801" t="s">
        <v>336</v>
      </c>
      <c r="F126" s="794" t="s">
        <v>3730</v>
      </c>
      <c r="G126" s="794"/>
      <c r="H126" s="794"/>
      <c r="I126" s="794"/>
      <c r="J126" s="794"/>
      <c r="K126" s="794"/>
      <c r="L126" s="794"/>
      <c r="M126" s="794"/>
      <c r="N126" s="794"/>
      <c r="O126" s="794"/>
      <c r="P126" s="794"/>
      <c r="Q126" s="794"/>
      <c r="R126" s="794"/>
      <c r="S126" s="794"/>
      <c r="T126" s="794"/>
      <c r="U126" s="794"/>
      <c r="V126" s="794"/>
    </row>
    <row r="127" spans="1:22" ht="14.5" hidden="1">
      <c r="A127" s="794"/>
      <c r="B127" s="814"/>
      <c r="C127" s="813"/>
      <c r="D127" s="813"/>
      <c r="E127" s="813"/>
      <c r="F127" s="794"/>
      <c r="G127" s="794"/>
      <c r="H127" s="794"/>
      <c r="I127" s="794"/>
      <c r="J127" s="794"/>
      <c r="K127" s="794"/>
      <c r="L127" s="794"/>
      <c r="M127" s="794"/>
      <c r="N127" s="794"/>
      <c r="O127" s="794"/>
      <c r="P127" s="794"/>
      <c r="Q127" s="794"/>
      <c r="R127" s="794"/>
      <c r="S127" s="794"/>
      <c r="T127" s="794"/>
      <c r="U127" s="794"/>
      <c r="V127" s="794"/>
    </row>
    <row r="128" spans="1:22" ht="14.5" hidden="1">
      <c r="A128" s="792" t="s">
        <v>3731</v>
      </c>
      <c r="B128" s="810"/>
      <c r="C128" s="811"/>
      <c r="D128" s="792"/>
      <c r="E128" s="792"/>
      <c r="F128" s="792"/>
      <c r="G128" s="794"/>
      <c r="H128" s="794"/>
      <c r="I128" s="794"/>
      <c r="J128" s="794"/>
      <c r="K128" s="794"/>
      <c r="L128" s="794"/>
      <c r="M128" s="794"/>
      <c r="N128" s="794"/>
      <c r="O128" s="794"/>
      <c r="P128" s="794"/>
      <c r="Q128" s="794"/>
      <c r="R128" s="794"/>
      <c r="S128" s="794"/>
      <c r="T128" s="794"/>
      <c r="U128" s="794"/>
      <c r="V128" s="794"/>
    </row>
    <row r="129" spans="1:22" ht="14.5" hidden="1">
      <c r="A129" s="794" t="s">
        <v>3688</v>
      </c>
      <c r="B129" s="799" t="s">
        <v>1568</v>
      </c>
      <c r="C129" s="796" t="s">
        <v>54</v>
      </c>
      <c r="D129" s="794" t="s">
        <v>1570</v>
      </c>
      <c r="E129" s="794" t="s">
        <v>3686</v>
      </c>
      <c r="F129" s="794" t="s">
        <v>3732</v>
      </c>
      <c r="G129" s="794"/>
      <c r="H129" s="794"/>
      <c r="I129" s="794"/>
      <c r="J129" s="794"/>
      <c r="K129" s="794"/>
      <c r="L129" s="794"/>
      <c r="M129" s="794"/>
      <c r="N129" s="794"/>
      <c r="O129" s="794"/>
      <c r="P129" s="794"/>
      <c r="Q129" s="794"/>
      <c r="R129" s="794"/>
      <c r="S129" s="794"/>
      <c r="T129" s="794"/>
      <c r="U129" s="794"/>
      <c r="V129" s="794"/>
    </row>
    <row r="130" spans="1:22" ht="14.5" hidden="1">
      <c r="A130" s="797"/>
      <c r="B130" s="799"/>
      <c r="C130" s="797"/>
      <c r="D130" s="794"/>
      <c r="E130" s="794"/>
      <c r="F130" s="794"/>
      <c r="G130" s="794"/>
      <c r="H130" s="794"/>
      <c r="I130" s="794"/>
      <c r="J130" s="794"/>
      <c r="K130" s="794"/>
      <c r="L130" s="794"/>
      <c r="M130" s="794"/>
      <c r="N130" s="794"/>
      <c r="O130" s="794"/>
      <c r="P130" s="794"/>
      <c r="Q130" s="794"/>
      <c r="R130" s="794"/>
      <c r="S130" s="794"/>
      <c r="T130" s="794"/>
      <c r="U130" s="794"/>
      <c r="V130" s="794"/>
    </row>
    <row r="131" spans="1:22" ht="14.5" hidden="1">
      <c r="A131" s="797" t="s">
        <v>3646</v>
      </c>
      <c r="B131" s="822" t="s">
        <v>1820</v>
      </c>
      <c r="C131" s="803" t="s">
        <v>3577</v>
      </c>
      <c r="D131" s="826" t="s">
        <v>1822</v>
      </c>
      <c r="E131" s="827" t="s">
        <v>1823</v>
      </c>
      <c r="F131" s="794" t="s">
        <v>3733</v>
      </c>
      <c r="G131" s="794"/>
      <c r="H131" s="794"/>
      <c r="I131" s="794"/>
      <c r="J131" s="794"/>
      <c r="K131" s="794"/>
      <c r="L131" s="794"/>
      <c r="M131" s="794"/>
      <c r="N131" s="794"/>
      <c r="O131" s="794"/>
      <c r="P131" s="794"/>
      <c r="Q131" s="794"/>
      <c r="R131" s="794"/>
      <c r="S131" s="794"/>
      <c r="T131" s="794"/>
      <c r="U131" s="794"/>
      <c r="V131" s="794"/>
    </row>
    <row r="132" spans="1:22" ht="14.5" hidden="1">
      <c r="A132" s="797"/>
      <c r="B132" s="828"/>
      <c r="C132" s="797"/>
      <c r="D132" s="823"/>
      <c r="E132" s="823"/>
      <c r="F132" s="794"/>
      <c r="G132" s="794"/>
      <c r="H132" s="794"/>
      <c r="I132" s="794"/>
      <c r="J132" s="794"/>
      <c r="K132" s="794"/>
      <c r="L132" s="794"/>
      <c r="M132" s="794"/>
      <c r="N132" s="794"/>
      <c r="O132" s="794"/>
      <c r="P132" s="794"/>
      <c r="Q132" s="794"/>
      <c r="R132" s="794"/>
      <c r="S132" s="794"/>
      <c r="T132" s="794"/>
      <c r="U132" s="794"/>
      <c r="V132" s="794"/>
    </row>
    <row r="133" spans="1:22" ht="14.5" hidden="1">
      <c r="A133" s="797" t="s">
        <v>1294</v>
      </c>
      <c r="B133" s="822" t="s">
        <v>74</v>
      </c>
      <c r="C133" s="796" t="s">
        <v>54</v>
      </c>
      <c r="D133" s="821" t="s">
        <v>76</v>
      </c>
      <c r="E133" s="821" t="s">
        <v>3734</v>
      </c>
      <c r="F133" s="794" t="s">
        <v>3735</v>
      </c>
      <c r="G133" s="794"/>
      <c r="H133" s="794"/>
      <c r="I133" s="794"/>
      <c r="J133" s="794"/>
      <c r="K133" s="794"/>
      <c r="L133" s="794"/>
      <c r="M133" s="794"/>
      <c r="N133" s="794"/>
      <c r="O133" s="794"/>
      <c r="P133" s="794"/>
      <c r="Q133" s="794"/>
      <c r="R133" s="794"/>
      <c r="S133" s="794"/>
      <c r="T133" s="794"/>
      <c r="U133" s="794"/>
      <c r="V133" s="794"/>
    </row>
    <row r="134" spans="1:22" ht="14.5" hidden="1">
      <c r="A134" s="797"/>
      <c r="B134" s="799" t="s">
        <v>1581</v>
      </c>
      <c r="C134" s="796" t="s">
        <v>54</v>
      </c>
      <c r="D134" s="794" t="s">
        <v>1583</v>
      </c>
      <c r="E134" s="794" t="s">
        <v>3695</v>
      </c>
      <c r="F134" s="794" t="s">
        <v>3736</v>
      </c>
      <c r="G134" s="794"/>
      <c r="H134" s="794"/>
      <c r="I134" s="794"/>
      <c r="J134" s="794"/>
      <c r="K134" s="794"/>
      <c r="L134" s="794"/>
      <c r="M134" s="794"/>
      <c r="N134" s="794"/>
      <c r="O134" s="794"/>
      <c r="P134" s="794"/>
      <c r="Q134" s="794"/>
      <c r="R134" s="794"/>
      <c r="S134" s="794"/>
      <c r="T134" s="794"/>
      <c r="U134" s="794"/>
      <c r="V134" s="794"/>
    </row>
    <row r="135" spans="1:22" ht="14.5" hidden="1">
      <c r="A135" s="797"/>
      <c r="B135" s="799"/>
      <c r="C135" s="797"/>
      <c r="D135" s="794"/>
      <c r="E135" s="794"/>
      <c r="F135" s="794"/>
      <c r="G135" s="794"/>
      <c r="H135" s="794"/>
      <c r="I135" s="794"/>
      <c r="J135" s="794"/>
      <c r="K135" s="794"/>
      <c r="L135" s="794"/>
      <c r="M135" s="794"/>
      <c r="N135" s="794"/>
      <c r="O135" s="794"/>
      <c r="P135" s="794"/>
      <c r="Q135" s="794"/>
      <c r="R135" s="794"/>
      <c r="S135" s="794"/>
      <c r="T135" s="794"/>
      <c r="U135" s="794"/>
      <c r="V135" s="794"/>
    </row>
    <row r="136" spans="1:22" ht="14.5" hidden="1">
      <c r="A136" s="797" t="s">
        <v>3737</v>
      </c>
      <c r="B136" s="799" t="s">
        <v>534</v>
      </c>
      <c r="C136" s="796" t="s">
        <v>54</v>
      </c>
      <c r="D136" s="794" t="s">
        <v>3738</v>
      </c>
      <c r="E136" s="794" t="s">
        <v>3591</v>
      </c>
      <c r="F136" s="794" t="s">
        <v>3739</v>
      </c>
      <c r="G136" s="794"/>
      <c r="H136" s="794"/>
      <c r="I136" s="794"/>
      <c r="J136" s="794"/>
      <c r="K136" s="794"/>
      <c r="L136" s="794"/>
      <c r="M136" s="794"/>
      <c r="N136" s="794"/>
      <c r="O136" s="794"/>
      <c r="P136" s="794"/>
      <c r="Q136" s="794"/>
      <c r="R136" s="794"/>
      <c r="S136" s="794"/>
      <c r="T136" s="794"/>
      <c r="U136" s="794"/>
      <c r="V136" s="794"/>
    </row>
    <row r="137" spans="1:22" ht="14.5" hidden="1">
      <c r="A137" s="794"/>
      <c r="B137" s="800"/>
      <c r="C137" s="813"/>
      <c r="D137" s="794"/>
      <c r="E137" s="794"/>
      <c r="F137" s="794"/>
      <c r="G137" s="794"/>
      <c r="H137" s="794"/>
      <c r="I137" s="794"/>
      <c r="J137" s="794"/>
      <c r="K137" s="794"/>
      <c r="L137" s="794"/>
      <c r="M137" s="794"/>
      <c r="N137" s="794"/>
      <c r="O137" s="794"/>
      <c r="P137" s="794"/>
      <c r="Q137" s="794"/>
      <c r="R137" s="794"/>
      <c r="S137" s="794"/>
      <c r="T137" s="794"/>
      <c r="U137" s="794"/>
      <c r="V137" s="794"/>
    </row>
    <row r="138" spans="1:22" ht="14.5" hidden="1">
      <c r="A138" s="794" t="s">
        <v>3740</v>
      </c>
      <c r="B138" s="800" t="s">
        <v>346</v>
      </c>
      <c r="C138" s="803" t="s">
        <v>3577</v>
      </c>
      <c r="D138" s="794" t="s">
        <v>348</v>
      </c>
      <c r="E138" s="794" t="s">
        <v>351</v>
      </c>
      <c r="F138" s="794" t="s">
        <v>3741</v>
      </c>
      <c r="G138" s="794"/>
      <c r="H138" s="794"/>
      <c r="I138" s="794"/>
      <c r="J138" s="794"/>
      <c r="K138" s="794"/>
      <c r="L138" s="794"/>
      <c r="M138" s="794"/>
      <c r="N138" s="794"/>
      <c r="O138" s="794"/>
      <c r="P138" s="794"/>
      <c r="Q138" s="794"/>
      <c r="R138" s="794"/>
      <c r="S138" s="794"/>
      <c r="T138" s="794"/>
      <c r="U138" s="794"/>
      <c r="V138" s="794"/>
    </row>
    <row r="139" spans="1:22" ht="14.5" hidden="1">
      <c r="A139" s="797"/>
      <c r="B139" s="828" t="s">
        <v>3742</v>
      </c>
      <c r="C139" s="803" t="s">
        <v>3577</v>
      </c>
      <c r="D139" s="829" t="s">
        <v>1271</v>
      </c>
      <c r="E139" s="821" t="s">
        <v>200</v>
      </c>
      <c r="F139" s="794" t="s">
        <v>3743</v>
      </c>
      <c r="G139" s="794"/>
      <c r="H139" s="794"/>
      <c r="I139" s="794"/>
      <c r="J139" s="794"/>
      <c r="K139" s="794"/>
      <c r="L139" s="794"/>
      <c r="M139" s="794"/>
      <c r="N139" s="794"/>
      <c r="O139" s="794"/>
      <c r="P139" s="794"/>
      <c r="Q139" s="794"/>
      <c r="R139" s="794"/>
      <c r="S139" s="794"/>
      <c r="T139" s="794"/>
      <c r="U139" s="794"/>
      <c r="V139" s="794"/>
    </row>
    <row r="140" spans="1:22" ht="14.5" hidden="1">
      <c r="A140" s="797"/>
      <c r="B140" s="830" t="s">
        <v>236</v>
      </c>
      <c r="C140" s="796" t="s">
        <v>54</v>
      </c>
      <c r="D140" s="829" t="s">
        <v>238</v>
      </c>
      <c r="E140" s="824" t="s">
        <v>3569</v>
      </c>
      <c r="F140" s="794" t="s">
        <v>3744</v>
      </c>
      <c r="G140" s="794"/>
      <c r="H140" s="794"/>
      <c r="I140" s="794"/>
      <c r="J140" s="794"/>
      <c r="K140" s="794"/>
      <c r="L140" s="794"/>
      <c r="M140" s="794"/>
      <c r="N140" s="794"/>
      <c r="O140" s="794"/>
      <c r="P140" s="794"/>
      <c r="Q140" s="794"/>
      <c r="R140" s="794"/>
      <c r="S140" s="794"/>
      <c r="T140" s="794"/>
      <c r="U140" s="794"/>
      <c r="V140" s="794"/>
    </row>
    <row r="141" spans="1:22" ht="14.5" hidden="1">
      <c r="A141" s="794"/>
      <c r="B141" s="800"/>
      <c r="C141" s="797"/>
      <c r="D141" s="794"/>
      <c r="E141" s="794"/>
      <c r="F141" s="794"/>
      <c r="G141" s="794"/>
      <c r="H141" s="794"/>
      <c r="I141" s="794"/>
      <c r="J141" s="794"/>
      <c r="K141" s="794"/>
      <c r="L141" s="794"/>
      <c r="M141" s="794"/>
      <c r="N141" s="794"/>
      <c r="O141" s="794"/>
      <c r="P141" s="794"/>
      <c r="Q141" s="794"/>
      <c r="R141" s="794"/>
      <c r="S141" s="794"/>
      <c r="T141" s="794"/>
      <c r="U141" s="794"/>
      <c r="V141" s="794"/>
    </row>
    <row r="142" spans="1:22" ht="14.5" hidden="1">
      <c r="A142" s="792" t="s">
        <v>3745</v>
      </c>
      <c r="B142" s="810"/>
      <c r="C142" s="811"/>
      <c r="D142" s="792"/>
      <c r="E142" s="792"/>
      <c r="F142" s="792"/>
      <c r="G142" s="794"/>
      <c r="H142" s="794"/>
      <c r="I142" s="794"/>
      <c r="J142" s="794"/>
      <c r="K142" s="794"/>
      <c r="L142" s="794"/>
      <c r="M142" s="794"/>
      <c r="N142" s="794"/>
      <c r="O142" s="794"/>
      <c r="P142" s="794"/>
      <c r="Q142" s="794"/>
      <c r="R142" s="794"/>
      <c r="S142" s="794"/>
      <c r="T142" s="794"/>
      <c r="U142" s="794"/>
      <c r="V142" s="794"/>
    </row>
    <row r="143" spans="1:22" ht="14.5" hidden="1">
      <c r="A143" s="794" t="s">
        <v>32</v>
      </c>
      <c r="B143" s="816" t="s">
        <v>3415</v>
      </c>
      <c r="C143" s="803" t="s">
        <v>3577</v>
      </c>
      <c r="D143" s="818" t="s">
        <v>396</v>
      </c>
      <c r="E143" s="801" t="s">
        <v>336</v>
      </c>
      <c r="F143" s="794" t="s">
        <v>3717</v>
      </c>
      <c r="G143" s="794"/>
      <c r="H143" s="794"/>
      <c r="I143" s="794"/>
      <c r="J143" s="794"/>
      <c r="K143" s="794"/>
      <c r="L143" s="794"/>
      <c r="M143" s="794"/>
      <c r="N143" s="794"/>
      <c r="O143" s="794"/>
      <c r="P143" s="794"/>
      <c r="Q143" s="794"/>
      <c r="R143" s="794"/>
      <c r="S143" s="794"/>
      <c r="T143" s="794"/>
      <c r="U143" s="794"/>
      <c r="V143" s="794"/>
    </row>
    <row r="144" spans="1:22" ht="14.5" hidden="1">
      <c r="A144" s="794"/>
      <c r="B144" s="799"/>
      <c r="C144" s="794"/>
      <c r="D144" s="794"/>
      <c r="E144" s="794"/>
      <c r="F144" s="794"/>
      <c r="G144" s="794"/>
      <c r="H144" s="794"/>
      <c r="I144" s="794"/>
      <c r="J144" s="794"/>
      <c r="K144" s="794"/>
      <c r="L144" s="794"/>
      <c r="M144" s="794"/>
      <c r="N144" s="794"/>
      <c r="O144" s="794"/>
      <c r="P144" s="794"/>
      <c r="Q144" s="794"/>
      <c r="R144" s="794"/>
      <c r="S144" s="794"/>
      <c r="T144" s="794"/>
      <c r="U144" s="794"/>
      <c r="V144" s="794"/>
    </row>
    <row r="145" spans="1:22" ht="14.5" hidden="1">
      <c r="A145" s="813" t="s">
        <v>3713</v>
      </c>
      <c r="B145" s="822"/>
      <c r="C145" s="796" t="s">
        <v>54</v>
      </c>
      <c r="D145" s="829" t="s">
        <v>3746</v>
      </c>
      <c r="E145" s="831" t="s">
        <v>3588</v>
      </c>
      <c r="F145" s="794" t="s">
        <v>3747</v>
      </c>
      <c r="G145" s="794"/>
      <c r="H145" s="794"/>
      <c r="I145" s="794"/>
      <c r="J145" s="794"/>
      <c r="K145" s="794"/>
      <c r="L145" s="794"/>
      <c r="M145" s="794"/>
      <c r="N145" s="794"/>
      <c r="O145" s="794"/>
      <c r="P145" s="794"/>
      <c r="Q145" s="794"/>
      <c r="R145" s="794"/>
      <c r="S145" s="794"/>
      <c r="T145" s="794"/>
      <c r="U145" s="794"/>
      <c r="V145" s="794"/>
    </row>
    <row r="146" spans="1:22" ht="14.5" hidden="1">
      <c r="A146" s="797"/>
      <c r="B146" s="822"/>
      <c r="C146" s="796" t="s">
        <v>54</v>
      </c>
      <c r="D146" s="829" t="s">
        <v>3748</v>
      </c>
      <c r="E146" s="831" t="s">
        <v>3588</v>
      </c>
      <c r="F146" s="794" t="s">
        <v>3747</v>
      </c>
      <c r="G146" s="794"/>
      <c r="H146" s="794"/>
      <c r="I146" s="794"/>
      <c r="J146" s="794"/>
      <c r="K146" s="794"/>
      <c r="L146" s="794"/>
      <c r="M146" s="794"/>
      <c r="N146" s="794"/>
      <c r="O146" s="794"/>
      <c r="P146" s="794"/>
      <c r="Q146" s="794"/>
      <c r="R146" s="794"/>
      <c r="S146" s="794"/>
      <c r="T146" s="794"/>
      <c r="U146" s="794"/>
      <c r="V146" s="794"/>
    </row>
    <row r="147" spans="1:22" ht="14.5" hidden="1">
      <c r="A147" s="797"/>
      <c r="B147" s="830"/>
      <c r="C147" s="797"/>
      <c r="D147" s="829"/>
      <c r="E147" s="824"/>
      <c r="F147" s="794"/>
      <c r="G147" s="794"/>
      <c r="H147" s="794"/>
      <c r="I147" s="794"/>
      <c r="J147" s="794"/>
      <c r="K147" s="794"/>
      <c r="L147" s="794"/>
      <c r="M147" s="794"/>
      <c r="N147" s="794"/>
      <c r="O147" s="794"/>
      <c r="P147" s="794"/>
      <c r="Q147" s="794"/>
      <c r="R147" s="794"/>
      <c r="S147" s="794"/>
      <c r="T147" s="794"/>
      <c r="U147" s="794"/>
      <c r="V147" s="794"/>
    </row>
    <row r="148" spans="1:22" ht="14.5" hidden="1">
      <c r="A148" s="797" t="s">
        <v>1294</v>
      </c>
      <c r="B148" s="830" t="s">
        <v>236</v>
      </c>
      <c r="C148" s="796" t="s">
        <v>54</v>
      </c>
      <c r="D148" s="829" t="s">
        <v>238</v>
      </c>
      <c r="E148" s="824" t="s">
        <v>3569</v>
      </c>
      <c r="F148" s="794" t="s">
        <v>3749</v>
      </c>
      <c r="G148" s="794"/>
      <c r="H148" s="794"/>
      <c r="I148" s="794"/>
      <c r="J148" s="794"/>
      <c r="K148" s="794"/>
      <c r="L148" s="794"/>
      <c r="M148" s="794"/>
      <c r="N148" s="794"/>
      <c r="O148" s="794"/>
      <c r="P148" s="794"/>
      <c r="Q148" s="794"/>
      <c r="R148" s="794"/>
      <c r="S148" s="794"/>
      <c r="T148" s="794"/>
      <c r="U148" s="794"/>
      <c r="V148" s="794"/>
    </row>
    <row r="149" spans="1:22" ht="14.5" hidden="1">
      <c r="A149" s="794"/>
      <c r="B149" s="832" t="s">
        <v>1181</v>
      </c>
      <c r="C149" s="796" t="s">
        <v>54</v>
      </c>
      <c r="D149" s="829" t="s">
        <v>1183</v>
      </c>
      <c r="E149" s="824" t="s">
        <v>3569</v>
      </c>
      <c r="F149" s="794" t="s">
        <v>3749</v>
      </c>
      <c r="G149" s="794"/>
      <c r="H149" s="794"/>
      <c r="I149" s="794"/>
      <c r="J149" s="794"/>
      <c r="K149" s="794"/>
      <c r="L149" s="794"/>
      <c r="M149" s="794"/>
      <c r="N149" s="794"/>
      <c r="O149" s="794"/>
      <c r="P149" s="794"/>
      <c r="Q149" s="794"/>
      <c r="R149" s="794"/>
      <c r="S149" s="794"/>
      <c r="T149" s="794"/>
      <c r="U149" s="794"/>
      <c r="V149" s="794"/>
    </row>
    <row r="150" spans="1:22" ht="14.5" hidden="1">
      <c r="A150" s="794"/>
      <c r="B150" s="799" t="s">
        <v>1450</v>
      </c>
      <c r="C150" s="796" t="s">
        <v>54</v>
      </c>
      <c r="D150" s="794" t="s">
        <v>1452</v>
      </c>
      <c r="E150" s="821" t="s">
        <v>3569</v>
      </c>
      <c r="F150" s="794" t="s">
        <v>3750</v>
      </c>
      <c r="G150" s="794"/>
      <c r="H150" s="794"/>
      <c r="I150" s="794"/>
      <c r="J150" s="794"/>
      <c r="K150" s="794"/>
      <c r="L150" s="794"/>
      <c r="M150" s="794"/>
      <c r="N150" s="794"/>
      <c r="O150" s="794"/>
      <c r="P150" s="794"/>
      <c r="Q150" s="794"/>
      <c r="R150" s="794"/>
      <c r="S150" s="794"/>
      <c r="T150" s="794"/>
      <c r="U150" s="794"/>
      <c r="V150" s="794"/>
    </row>
    <row r="151" spans="1:22" ht="14.5" hidden="1">
      <c r="A151" s="797" t="s">
        <v>1294</v>
      </c>
      <c r="B151" s="799" t="s">
        <v>1135</v>
      </c>
      <c r="C151" s="796" t="s">
        <v>54</v>
      </c>
      <c r="D151" s="794" t="s">
        <v>1137</v>
      </c>
      <c r="E151" s="821" t="s">
        <v>3751</v>
      </c>
      <c r="F151" s="794" t="s">
        <v>3752</v>
      </c>
      <c r="G151" s="794"/>
      <c r="H151" s="794"/>
      <c r="I151" s="794"/>
      <c r="J151" s="794"/>
      <c r="K151" s="794"/>
      <c r="L151" s="794"/>
      <c r="M151" s="794"/>
      <c r="N151" s="794"/>
      <c r="O151" s="794"/>
      <c r="P151" s="794"/>
      <c r="Q151" s="794"/>
      <c r="R151" s="794"/>
      <c r="S151" s="794"/>
      <c r="T151" s="794"/>
      <c r="U151" s="794"/>
      <c r="V151" s="794"/>
    </row>
    <row r="152" spans="1:22" ht="14.5" hidden="1">
      <c r="A152" s="794"/>
      <c r="B152" s="799"/>
      <c r="C152" s="794"/>
      <c r="D152" s="794"/>
      <c r="E152" s="794"/>
      <c r="F152" s="794"/>
      <c r="G152" s="794"/>
      <c r="H152" s="794"/>
      <c r="I152" s="794"/>
      <c r="J152" s="794"/>
      <c r="K152" s="794"/>
      <c r="L152" s="794"/>
      <c r="M152" s="794"/>
      <c r="N152" s="794"/>
      <c r="O152" s="794"/>
      <c r="P152" s="794"/>
      <c r="Q152" s="794"/>
      <c r="R152" s="794"/>
      <c r="S152" s="794"/>
      <c r="T152" s="794"/>
      <c r="U152" s="794"/>
      <c r="V152" s="794"/>
    </row>
    <row r="153" spans="1:22" ht="14.5" hidden="1">
      <c r="A153" s="794" t="s">
        <v>3589</v>
      </c>
      <c r="B153" s="800" t="s">
        <v>665</v>
      </c>
      <c r="C153" s="796" t="s">
        <v>54</v>
      </c>
      <c r="D153" s="833" t="s">
        <v>667</v>
      </c>
      <c r="E153" s="806" t="s">
        <v>3690</v>
      </c>
      <c r="F153" s="825" t="s">
        <v>3753</v>
      </c>
      <c r="G153" s="794"/>
      <c r="H153" s="794"/>
      <c r="I153" s="794"/>
      <c r="J153" s="794"/>
      <c r="K153" s="794"/>
      <c r="L153" s="794"/>
      <c r="M153" s="794"/>
      <c r="N153" s="794"/>
      <c r="O153" s="794"/>
      <c r="P153" s="794"/>
      <c r="Q153" s="794"/>
      <c r="R153" s="794"/>
      <c r="S153" s="794"/>
      <c r="T153" s="794"/>
      <c r="U153" s="794"/>
      <c r="V153" s="794"/>
    </row>
    <row r="154" spans="1:22" ht="14.5" hidden="1">
      <c r="A154" s="794"/>
      <c r="B154" s="800" t="s">
        <v>683</v>
      </c>
      <c r="C154" s="796" t="s">
        <v>54</v>
      </c>
      <c r="D154" s="833" t="s">
        <v>685</v>
      </c>
      <c r="E154" s="806" t="s">
        <v>3690</v>
      </c>
      <c r="F154" s="834" t="s">
        <v>3754</v>
      </c>
      <c r="G154" s="806" t="s">
        <v>3755</v>
      </c>
      <c r="H154" s="794"/>
      <c r="I154" s="794"/>
      <c r="J154" s="794"/>
      <c r="K154" s="794"/>
      <c r="L154" s="794"/>
      <c r="M154" s="794"/>
      <c r="N154" s="794"/>
      <c r="O154" s="794"/>
      <c r="P154" s="794"/>
      <c r="Q154" s="794"/>
      <c r="R154" s="794"/>
      <c r="S154" s="794"/>
      <c r="T154" s="794"/>
      <c r="U154" s="794"/>
      <c r="V154" s="794"/>
    </row>
    <row r="155" spans="1:22" ht="14.5" hidden="1">
      <c r="A155" s="794"/>
      <c r="B155" s="800" t="s">
        <v>1028</v>
      </c>
      <c r="C155" s="796" t="s">
        <v>54</v>
      </c>
      <c r="D155" s="833" t="s">
        <v>1030</v>
      </c>
      <c r="E155" s="801" t="s">
        <v>920</v>
      </c>
      <c r="F155" s="834" t="s">
        <v>3756</v>
      </c>
      <c r="G155" s="794"/>
      <c r="H155" s="794"/>
      <c r="I155" s="794"/>
      <c r="J155" s="794"/>
      <c r="K155" s="794"/>
      <c r="L155" s="794"/>
      <c r="M155" s="794"/>
      <c r="N155" s="794"/>
      <c r="O155" s="794"/>
      <c r="P155" s="794"/>
      <c r="Q155" s="794"/>
      <c r="R155" s="794"/>
      <c r="S155" s="794"/>
      <c r="T155" s="794"/>
      <c r="U155" s="794"/>
      <c r="V155" s="794"/>
    </row>
    <row r="156" spans="1:22" ht="14.5" hidden="1">
      <c r="A156" s="794"/>
      <c r="B156" s="800" t="s">
        <v>1079</v>
      </c>
      <c r="C156" s="796" t="s">
        <v>54</v>
      </c>
      <c r="D156" s="833" t="s">
        <v>1081</v>
      </c>
      <c r="E156" s="821" t="s">
        <v>630</v>
      </c>
      <c r="F156" s="834" t="s">
        <v>3757</v>
      </c>
      <c r="G156" s="794"/>
      <c r="H156" s="794"/>
      <c r="I156" s="794"/>
      <c r="J156" s="794"/>
      <c r="K156" s="794"/>
      <c r="L156" s="794"/>
      <c r="M156" s="794"/>
      <c r="N156" s="794"/>
      <c r="O156" s="794"/>
      <c r="P156" s="794"/>
      <c r="Q156" s="794"/>
      <c r="R156" s="794"/>
      <c r="S156" s="794"/>
      <c r="T156" s="794"/>
      <c r="U156" s="794"/>
      <c r="V156" s="794"/>
    </row>
    <row r="157" spans="1:22" ht="14.5" hidden="1">
      <c r="A157" s="794"/>
      <c r="B157" s="800"/>
      <c r="C157" s="794"/>
      <c r="D157" s="833"/>
      <c r="E157" s="801"/>
      <c r="F157" s="825"/>
      <c r="G157" s="794"/>
      <c r="H157" s="794"/>
      <c r="I157" s="794"/>
      <c r="J157" s="794"/>
      <c r="K157" s="794"/>
      <c r="L157" s="794"/>
      <c r="M157" s="794"/>
      <c r="N157" s="794"/>
      <c r="O157" s="794"/>
      <c r="P157" s="794"/>
      <c r="Q157" s="794"/>
      <c r="R157" s="794"/>
      <c r="S157" s="794"/>
      <c r="T157" s="794"/>
      <c r="U157" s="794"/>
      <c r="V157" s="794"/>
    </row>
    <row r="158" spans="1:22" ht="14.5" hidden="1">
      <c r="A158" s="794"/>
      <c r="B158" s="800" t="s">
        <v>743</v>
      </c>
      <c r="C158" s="796" t="s">
        <v>54</v>
      </c>
      <c r="D158" s="797" t="s">
        <v>745</v>
      </c>
      <c r="E158" s="821" t="s">
        <v>630</v>
      </c>
      <c r="F158" s="834" t="s">
        <v>3758</v>
      </c>
      <c r="G158" s="794"/>
      <c r="H158" s="794"/>
      <c r="I158" s="794"/>
      <c r="J158" s="794"/>
      <c r="K158" s="794"/>
      <c r="L158" s="794"/>
      <c r="M158" s="794"/>
      <c r="N158" s="794"/>
      <c r="O158" s="794"/>
      <c r="P158" s="794"/>
      <c r="Q158" s="794"/>
      <c r="R158" s="794"/>
      <c r="S158" s="794"/>
      <c r="T158" s="794"/>
      <c r="U158" s="794"/>
      <c r="V158" s="794"/>
    </row>
    <row r="159" spans="1:22" ht="14.5" hidden="1">
      <c r="A159" s="794"/>
      <c r="B159" s="819" t="s">
        <v>909</v>
      </c>
      <c r="C159" s="796" t="s">
        <v>54</v>
      </c>
      <c r="D159" s="794" t="s">
        <v>911</v>
      </c>
      <c r="E159" s="801" t="s">
        <v>920</v>
      </c>
      <c r="F159" s="834" t="s">
        <v>3758</v>
      </c>
      <c r="G159" s="794"/>
      <c r="H159" s="794"/>
      <c r="I159" s="794"/>
      <c r="J159" s="794"/>
      <c r="K159" s="794"/>
      <c r="L159" s="794"/>
      <c r="M159" s="794"/>
      <c r="N159" s="794"/>
      <c r="O159" s="794"/>
      <c r="P159" s="794"/>
      <c r="Q159" s="794"/>
      <c r="R159" s="794"/>
      <c r="S159" s="794"/>
      <c r="T159" s="794"/>
      <c r="U159" s="794"/>
      <c r="V159" s="794"/>
    </row>
    <row r="160" spans="1:22" ht="14.5" hidden="1">
      <c r="A160" s="794"/>
      <c r="B160" s="819" t="s">
        <v>899</v>
      </c>
      <c r="C160" s="796" t="s">
        <v>54</v>
      </c>
      <c r="D160" s="794" t="s">
        <v>901</v>
      </c>
      <c r="E160" s="801" t="s">
        <v>920</v>
      </c>
      <c r="F160" s="834" t="s">
        <v>3758</v>
      </c>
      <c r="G160" s="794"/>
      <c r="H160" s="794"/>
      <c r="I160" s="794"/>
      <c r="J160" s="794"/>
      <c r="K160" s="794"/>
      <c r="L160" s="794"/>
      <c r="M160" s="794"/>
      <c r="N160" s="794"/>
      <c r="O160" s="794"/>
      <c r="P160" s="794"/>
      <c r="Q160" s="794"/>
      <c r="R160" s="794"/>
      <c r="S160" s="794"/>
      <c r="T160" s="794"/>
      <c r="U160" s="794"/>
      <c r="V160" s="794"/>
    </row>
    <row r="161" spans="1:22" ht="14.5" hidden="1">
      <c r="A161" s="794"/>
      <c r="B161" s="800"/>
      <c r="C161" s="794"/>
      <c r="D161" s="797"/>
      <c r="E161" s="801"/>
      <c r="F161" s="825"/>
      <c r="G161" s="794"/>
      <c r="H161" s="794"/>
      <c r="I161" s="794"/>
      <c r="J161" s="794"/>
      <c r="K161" s="794"/>
      <c r="L161" s="794"/>
      <c r="M161" s="794"/>
      <c r="N161" s="794"/>
      <c r="O161" s="794"/>
      <c r="P161" s="794"/>
      <c r="Q161" s="794"/>
      <c r="R161" s="794"/>
      <c r="S161" s="794"/>
      <c r="T161" s="794"/>
      <c r="U161" s="794"/>
      <c r="V161" s="794"/>
    </row>
    <row r="162" spans="1:22" ht="14.5" hidden="1">
      <c r="A162" s="794" t="s">
        <v>3759</v>
      </c>
      <c r="B162" s="814" t="s">
        <v>1568</v>
      </c>
      <c r="C162" s="796" t="s">
        <v>54</v>
      </c>
      <c r="D162" s="813" t="s">
        <v>1570</v>
      </c>
      <c r="E162" s="812" t="s">
        <v>3686</v>
      </c>
      <c r="F162" s="825" t="s">
        <v>3760</v>
      </c>
      <c r="G162" s="794"/>
      <c r="H162" s="794"/>
      <c r="I162" s="794"/>
      <c r="J162" s="794"/>
      <c r="K162" s="794"/>
      <c r="L162" s="794"/>
      <c r="M162" s="794"/>
      <c r="N162" s="794"/>
      <c r="O162" s="794"/>
      <c r="P162" s="794"/>
      <c r="Q162" s="794"/>
      <c r="R162" s="794"/>
      <c r="S162" s="794"/>
      <c r="T162" s="794"/>
      <c r="U162" s="794"/>
      <c r="V162" s="794"/>
    </row>
    <row r="163" spans="1:22" ht="14.5" hidden="1">
      <c r="A163" s="794"/>
      <c r="B163" s="835" t="s">
        <v>301</v>
      </c>
      <c r="C163" s="796" t="s">
        <v>54</v>
      </c>
      <c r="D163" s="829" t="s">
        <v>303</v>
      </c>
      <c r="E163" s="821" t="s">
        <v>3734</v>
      </c>
      <c r="F163" s="825" t="s">
        <v>3761</v>
      </c>
      <c r="G163" s="794"/>
      <c r="H163" s="794"/>
      <c r="I163" s="794"/>
      <c r="J163" s="794"/>
      <c r="K163" s="794"/>
      <c r="L163" s="794"/>
      <c r="M163" s="794"/>
      <c r="N163" s="794"/>
      <c r="O163" s="794"/>
      <c r="P163" s="794"/>
      <c r="Q163" s="794"/>
      <c r="R163" s="794"/>
      <c r="S163" s="794"/>
      <c r="T163" s="794"/>
      <c r="U163" s="794"/>
      <c r="V163" s="794"/>
    </row>
    <row r="164" spans="1:22" ht="14.5" hidden="1">
      <c r="A164" s="794"/>
      <c r="B164" s="830" t="s">
        <v>1523</v>
      </c>
      <c r="C164" s="796" t="s">
        <v>54</v>
      </c>
      <c r="D164" s="813" t="s">
        <v>1525</v>
      </c>
      <c r="E164" s="821" t="s">
        <v>3734</v>
      </c>
      <c r="F164" s="825" t="s">
        <v>3761</v>
      </c>
      <c r="G164" s="794"/>
      <c r="H164" s="794"/>
      <c r="I164" s="794"/>
      <c r="J164" s="794"/>
      <c r="K164" s="794"/>
      <c r="L164" s="794"/>
      <c r="M164" s="794"/>
      <c r="N164" s="794"/>
      <c r="O164" s="794"/>
      <c r="P164" s="794"/>
      <c r="Q164" s="794"/>
      <c r="R164" s="794"/>
      <c r="S164" s="794"/>
      <c r="T164" s="794"/>
      <c r="U164" s="794"/>
      <c r="V164" s="794"/>
    </row>
    <row r="165" spans="1:22" ht="14.5" hidden="1">
      <c r="A165" s="794"/>
      <c r="B165" s="828"/>
      <c r="C165" s="794"/>
      <c r="D165" s="833"/>
      <c r="E165" s="801"/>
      <c r="F165" s="825"/>
      <c r="G165" s="794"/>
      <c r="H165" s="794"/>
      <c r="I165" s="794"/>
      <c r="J165" s="794"/>
      <c r="K165" s="794"/>
      <c r="L165" s="794"/>
      <c r="M165" s="794"/>
      <c r="N165" s="794"/>
      <c r="O165" s="794"/>
      <c r="P165" s="794"/>
      <c r="Q165" s="794"/>
      <c r="R165" s="794"/>
      <c r="S165" s="794"/>
      <c r="T165" s="794"/>
      <c r="U165" s="794"/>
      <c r="V165" s="794"/>
    </row>
    <row r="166" spans="1:22" ht="14.5" hidden="1">
      <c r="A166" s="794" t="s">
        <v>3762</v>
      </c>
      <c r="B166" s="828" t="s">
        <v>3432</v>
      </c>
      <c r="C166" s="803" t="s">
        <v>3577</v>
      </c>
      <c r="D166" s="833" t="s">
        <v>1822</v>
      </c>
      <c r="E166" s="801" t="s">
        <v>1823</v>
      </c>
      <c r="F166" s="825" t="s">
        <v>3763</v>
      </c>
      <c r="G166" s="794"/>
      <c r="H166" s="794"/>
      <c r="I166" s="794"/>
      <c r="J166" s="794"/>
      <c r="K166" s="794"/>
      <c r="L166" s="794"/>
      <c r="M166" s="794"/>
      <c r="N166" s="794"/>
      <c r="O166" s="794"/>
      <c r="P166" s="794"/>
      <c r="Q166" s="794"/>
      <c r="R166" s="794"/>
      <c r="S166" s="794"/>
      <c r="T166" s="794"/>
      <c r="U166" s="794"/>
      <c r="V166" s="794"/>
    </row>
    <row r="167" spans="1:22" ht="14.5" hidden="1">
      <c r="A167" s="813"/>
      <c r="B167" s="814"/>
      <c r="C167" s="813"/>
      <c r="D167" s="813"/>
      <c r="E167" s="813"/>
      <c r="F167" s="813"/>
      <c r="G167" s="813"/>
      <c r="H167" s="813"/>
      <c r="I167" s="813"/>
      <c r="J167" s="813"/>
      <c r="K167" s="813"/>
      <c r="L167" s="813"/>
      <c r="M167" s="813"/>
      <c r="N167" s="813"/>
      <c r="O167" s="813"/>
      <c r="P167" s="813"/>
      <c r="Q167" s="813"/>
      <c r="R167" s="813"/>
      <c r="S167" s="813"/>
      <c r="T167" s="813"/>
      <c r="U167" s="813"/>
      <c r="V167" s="813"/>
    </row>
    <row r="168" spans="1:22" ht="14.5" hidden="1">
      <c r="A168" s="794" t="s">
        <v>3764</v>
      </c>
      <c r="B168" s="800" t="s">
        <v>1098</v>
      </c>
      <c r="C168" s="796" t="s">
        <v>54</v>
      </c>
      <c r="D168" s="833" t="s">
        <v>1099</v>
      </c>
      <c r="E168" s="794" t="s">
        <v>630</v>
      </c>
      <c r="F168" s="813" t="s">
        <v>3765</v>
      </c>
      <c r="G168" s="813"/>
      <c r="H168" s="813"/>
      <c r="I168" s="813"/>
      <c r="J168" s="813"/>
      <c r="K168" s="813"/>
      <c r="L168" s="813"/>
      <c r="M168" s="813"/>
      <c r="N168" s="813"/>
      <c r="O168" s="813"/>
      <c r="P168" s="813"/>
      <c r="Q168" s="813"/>
      <c r="R168" s="813"/>
      <c r="S168" s="813"/>
      <c r="T168" s="813"/>
      <c r="U168" s="813"/>
      <c r="V168" s="813"/>
    </row>
    <row r="169" spans="1:22" ht="14.5" hidden="1">
      <c r="A169" s="813"/>
      <c r="B169" s="800" t="s">
        <v>824</v>
      </c>
      <c r="C169" s="796" t="s">
        <v>54</v>
      </c>
      <c r="D169" s="794" t="s">
        <v>825</v>
      </c>
      <c r="E169" s="794" t="s">
        <v>630</v>
      </c>
      <c r="F169" s="813" t="s">
        <v>3766</v>
      </c>
      <c r="G169" s="813"/>
      <c r="H169" s="813"/>
      <c r="I169" s="813"/>
      <c r="J169" s="813"/>
      <c r="K169" s="813"/>
      <c r="L169" s="813"/>
      <c r="M169" s="813"/>
      <c r="N169" s="813"/>
      <c r="O169" s="813"/>
      <c r="P169" s="813"/>
      <c r="Q169" s="813"/>
      <c r="R169" s="813"/>
      <c r="S169" s="813"/>
      <c r="T169" s="813"/>
      <c r="U169" s="813"/>
      <c r="V169" s="813"/>
    </row>
    <row r="170" spans="1:22" ht="14.5" hidden="1">
      <c r="A170" s="813"/>
      <c r="B170" s="799" t="s">
        <v>1116</v>
      </c>
      <c r="C170" s="796" t="s">
        <v>54</v>
      </c>
      <c r="D170" s="794" t="s">
        <v>1117</v>
      </c>
      <c r="E170" s="821" t="s">
        <v>3715</v>
      </c>
      <c r="F170" s="813" t="s">
        <v>3767</v>
      </c>
      <c r="G170" s="813"/>
      <c r="H170" s="813"/>
      <c r="I170" s="813"/>
      <c r="J170" s="813"/>
      <c r="K170" s="813"/>
      <c r="L170" s="813"/>
      <c r="M170" s="813"/>
      <c r="N170" s="813"/>
      <c r="O170" s="813"/>
      <c r="P170" s="813"/>
      <c r="Q170" s="813"/>
      <c r="R170" s="813"/>
      <c r="S170" s="813"/>
      <c r="T170" s="813"/>
      <c r="U170" s="813"/>
      <c r="V170" s="813"/>
    </row>
    <row r="171" spans="1:22" ht="14.5" hidden="1">
      <c r="A171" s="813"/>
      <c r="B171" s="799" t="s">
        <v>839</v>
      </c>
      <c r="C171" s="796" t="s">
        <v>54</v>
      </c>
      <c r="D171" s="794" t="s">
        <v>840</v>
      </c>
      <c r="E171" s="794" t="s">
        <v>630</v>
      </c>
      <c r="F171" s="813" t="s">
        <v>3768</v>
      </c>
      <c r="G171" s="813"/>
      <c r="H171" s="813"/>
      <c r="I171" s="813"/>
      <c r="J171" s="813"/>
      <c r="K171" s="813"/>
      <c r="L171" s="813"/>
      <c r="M171" s="813"/>
      <c r="N171" s="813"/>
      <c r="O171" s="813"/>
      <c r="P171" s="813"/>
      <c r="Q171" s="813"/>
      <c r="R171" s="813"/>
      <c r="S171" s="813"/>
      <c r="T171" s="813"/>
      <c r="U171" s="813"/>
      <c r="V171" s="813"/>
    </row>
    <row r="172" spans="1:22" ht="14.5" hidden="1">
      <c r="A172" s="813"/>
      <c r="B172" s="836" t="s">
        <v>761</v>
      </c>
      <c r="C172" s="796" t="s">
        <v>54</v>
      </c>
      <c r="D172" s="794" t="s">
        <v>762</v>
      </c>
      <c r="E172" s="794" t="s">
        <v>630</v>
      </c>
      <c r="F172" s="813" t="s">
        <v>3769</v>
      </c>
      <c r="G172" s="813"/>
      <c r="H172" s="813"/>
      <c r="I172" s="813"/>
      <c r="J172" s="813"/>
      <c r="K172" s="813"/>
      <c r="L172" s="813"/>
      <c r="M172" s="813"/>
      <c r="N172" s="813"/>
      <c r="O172" s="813"/>
      <c r="P172" s="813"/>
      <c r="Q172" s="813"/>
      <c r="R172" s="813"/>
      <c r="S172" s="813"/>
      <c r="T172" s="813"/>
      <c r="U172" s="813"/>
      <c r="V172" s="813"/>
    </row>
    <row r="173" spans="1:22" ht="14.5" hidden="1">
      <c r="A173" s="813"/>
      <c r="B173" s="814"/>
      <c r="C173" s="813"/>
      <c r="D173" s="813"/>
      <c r="E173" s="813"/>
      <c r="F173" s="813"/>
      <c r="G173" s="813"/>
      <c r="H173" s="813"/>
      <c r="I173" s="813"/>
      <c r="J173" s="813"/>
      <c r="K173" s="813"/>
      <c r="L173" s="813"/>
      <c r="M173" s="813"/>
      <c r="N173" s="813"/>
      <c r="O173" s="813"/>
      <c r="P173" s="813"/>
      <c r="Q173" s="813"/>
      <c r="R173" s="813"/>
      <c r="S173" s="813"/>
      <c r="T173" s="813"/>
      <c r="U173" s="813"/>
      <c r="V173" s="813"/>
    </row>
    <row r="174" spans="1:22" ht="14.5" hidden="1">
      <c r="A174" s="794" t="s">
        <v>67</v>
      </c>
      <c r="B174" s="800" t="s">
        <v>1098</v>
      </c>
      <c r="C174" s="796" t="s">
        <v>54</v>
      </c>
      <c r="D174" s="833" t="s">
        <v>1099</v>
      </c>
      <c r="E174" s="794" t="s">
        <v>630</v>
      </c>
      <c r="F174" s="825" t="s">
        <v>3770</v>
      </c>
      <c r="G174" s="794" t="s">
        <v>3771</v>
      </c>
      <c r="H174" s="794"/>
      <c r="I174" s="794"/>
      <c r="J174" s="794"/>
      <c r="K174" s="794"/>
      <c r="L174" s="794"/>
      <c r="M174" s="794"/>
      <c r="N174" s="794"/>
      <c r="O174" s="794"/>
      <c r="P174" s="794"/>
      <c r="Q174" s="794"/>
      <c r="R174" s="794"/>
      <c r="S174" s="794"/>
      <c r="T174" s="794"/>
      <c r="U174" s="794"/>
      <c r="V174" s="794"/>
    </row>
    <row r="175" spans="1:22" ht="14.5" hidden="1">
      <c r="A175" s="794"/>
      <c r="B175" s="800" t="s">
        <v>824</v>
      </c>
      <c r="C175" s="796" t="s">
        <v>54</v>
      </c>
      <c r="D175" s="794" t="s">
        <v>825</v>
      </c>
      <c r="E175" s="794" t="s">
        <v>630</v>
      </c>
      <c r="F175" s="825" t="s">
        <v>3772</v>
      </c>
      <c r="G175" s="794" t="s">
        <v>3771</v>
      </c>
      <c r="H175" s="794"/>
      <c r="I175" s="794"/>
      <c r="J175" s="794"/>
      <c r="K175" s="794"/>
      <c r="L175" s="794"/>
      <c r="M175" s="794"/>
      <c r="N175" s="794"/>
      <c r="O175" s="794"/>
      <c r="P175" s="794"/>
      <c r="Q175" s="794"/>
      <c r="R175" s="794"/>
      <c r="S175" s="794"/>
      <c r="T175" s="794"/>
      <c r="U175" s="794"/>
      <c r="V175" s="794"/>
    </row>
    <row r="176" spans="1:22" ht="14.5" hidden="1">
      <c r="A176" s="797"/>
      <c r="B176" s="799" t="s">
        <v>1116</v>
      </c>
      <c r="C176" s="796" t="s">
        <v>54</v>
      </c>
      <c r="D176" s="794" t="s">
        <v>1117</v>
      </c>
      <c r="E176" s="821" t="s">
        <v>3715</v>
      </c>
      <c r="F176" s="825" t="s">
        <v>3773</v>
      </c>
      <c r="G176" s="794" t="s">
        <v>3771</v>
      </c>
      <c r="H176" s="794"/>
      <c r="I176" s="794"/>
      <c r="J176" s="794"/>
      <c r="K176" s="794"/>
      <c r="L176" s="794"/>
      <c r="M176" s="794"/>
      <c r="N176" s="794"/>
      <c r="O176" s="794"/>
      <c r="P176" s="794"/>
      <c r="Q176" s="794"/>
      <c r="R176" s="794"/>
      <c r="S176" s="794"/>
      <c r="T176" s="794"/>
      <c r="U176" s="794"/>
      <c r="V176" s="794"/>
    </row>
    <row r="177" spans="1:22" ht="14.5" hidden="1">
      <c r="A177" s="794"/>
      <c r="B177" s="799" t="s">
        <v>839</v>
      </c>
      <c r="C177" s="796" t="s">
        <v>54</v>
      </c>
      <c r="D177" s="794" t="s">
        <v>840</v>
      </c>
      <c r="E177" s="794" t="s">
        <v>630</v>
      </c>
      <c r="F177" s="794" t="s">
        <v>3774</v>
      </c>
      <c r="G177" s="794" t="s">
        <v>3771</v>
      </c>
      <c r="H177" s="794"/>
      <c r="I177" s="794"/>
      <c r="J177" s="794"/>
      <c r="K177" s="794"/>
      <c r="L177" s="794"/>
      <c r="M177" s="794"/>
      <c r="N177" s="794"/>
      <c r="O177" s="794"/>
      <c r="P177" s="794"/>
      <c r="Q177" s="794"/>
      <c r="R177" s="794"/>
      <c r="S177" s="794"/>
      <c r="T177" s="794"/>
      <c r="U177" s="794"/>
      <c r="V177" s="794"/>
    </row>
    <row r="178" spans="1:22" ht="14.5" hidden="1">
      <c r="A178" s="794"/>
      <c r="B178" s="836" t="s">
        <v>761</v>
      </c>
      <c r="C178" s="796" t="s">
        <v>54</v>
      </c>
      <c r="D178" s="794" t="s">
        <v>762</v>
      </c>
      <c r="E178" s="794" t="s">
        <v>630</v>
      </c>
      <c r="F178" s="794" t="s">
        <v>3775</v>
      </c>
      <c r="G178" s="794" t="s">
        <v>3771</v>
      </c>
      <c r="H178" s="794"/>
      <c r="I178" s="794"/>
      <c r="J178" s="794"/>
      <c r="K178" s="794"/>
      <c r="L178" s="794"/>
      <c r="M178" s="794"/>
      <c r="N178" s="794"/>
      <c r="O178" s="794"/>
      <c r="P178" s="794"/>
      <c r="Q178" s="794"/>
      <c r="R178" s="794"/>
      <c r="S178" s="794"/>
      <c r="T178" s="794"/>
      <c r="U178" s="794"/>
      <c r="V178" s="794"/>
    </row>
    <row r="179" spans="1:22" ht="14.5" hidden="1">
      <c r="A179" s="813"/>
      <c r="B179" s="814"/>
      <c r="C179" s="813"/>
      <c r="D179" s="813"/>
      <c r="E179" s="813"/>
      <c r="F179" s="813"/>
      <c r="G179" s="813"/>
      <c r="H179" s="813"/>
      <c r="I179" s="813"/>
      <c r="J179" s="813"/>
      <c r="K179" s="813"/>
      <c r="L179" s="813"/>
      <c r="M179" s="813"/>
      <c r="N179" s="813"/>
      <c r="O179" s="813"/>
      <c r="P179" s="813"/>
      <c r="Q179" s="813"/>
      <c r="R179" s="813"/>
      <c r="S179" s="813"/>
      <c r="T179" s="813"/>
      <c r="U179" s="813"/>
      <c r="V179" s="813"/>
    </row>
    <row r="180" spans="1:22" ht="14.5" hidden="1">
      <c r="A180" s="792" t="s">
        <v>3776</v>
      </c>
      <c r="B180" s="810"/>
      <c r="C180" s="811"/>
      <c r="D180" s="792"/>
      <c r="E180" s="792"/>
      <c r="F180" s="792"/>
      <c r="G180" s="794"/>
      <c r="H180" s="794"/>
      <c r="I180" s="794"/>
      <c r="J180" s="794"/>
      <c r="K180" s="794"/>
      <c r="L180" s="794"/>
      <c r="M180" s="794"/>
      <c r="N180" s="794"/>
      <c r="O180" s="794"/>
      <c r="P180" s="794"/>
      <c r="Q180" s="794"/>
      <c r="R180" s="794"/>
      <c r="S180" s="794"/>
      <c r="T180" s="794"/>
      <c r="U180" s="794"/>
      <c r="V180" s="794"/>
    </row>
    <row r="181" spans="1:22" ht="14.5" hidden="1">
      <c r="A181" s="797" t="s">
        <v>1294</v>
      </c>
      <c r="B181" s="799" t="s">
        <v>3777</v>
      </c>
      <c r="C181" s="803" t="s">
        <v>3577</v>
      </c>
      <c r="D181" s="794" t="s">
        <v>3778</v>
      </c>
      <c r="E181" s="818" t="s">
        <v>1200</v>
      </c>
      <c r="F181" s="837" t="s">
        <v>3779</v>
      </c>
      <c r="G181" s="794"/>
      <c r="H181" s="794"/>
      <c r="I181" s="794"/>
      <c r="J181" s="794"/>
      <c r="K181" s="794"/>
      <c r="L181" s="794"/>
      <c r="M181" s="794"/>
      <c r="N181" s="794"/>
      <c r="O181" s="794"/>
      <c r="P181" s="794"/>
      <c r="Q181" s="794"/>
      <c r="R181" s="794"/>
      <c r="S181" s="794"/>
      <c r="T181" s="794"/>
      <c r="U181" s="794"/>
      <c r="V181" s="794"/>
    </row>
    <row r="182" spans="1:22" ht="14.5" hidden="1">
      <c r="A182" s="794"/>
      <c r="B182" s="799" t="s">
        <v>3780</v>
      </c>
      <c r="C182" s="803" t="s">
        <v>3577</v>
      </c>
      <c r="D182" s="794" t="s">
        <v>3781</v>
      </c>
      <c r="E182" s="818" t="s">
        <v>106</v>
      </c>
      <c r="F182" s="837" t="s">
        <v>3782</v>
      </c>
      <c r="G182" s="794"/>
      <c r="H182" s="794"/>
      <c r="I182" s="794"/>
      <c r="J182" s="794"/>
      <c r="K182" s="794"/>
      <c r="L182" s="794"/>
      <c r="M182" s="794"/>
      <c r="N182" s="794"/>
      <c r="O182" s="794"/>
      <c r="P182" s="794"/>
      <c r="Q182" s="794"/>
      <c r="R182" s="794"/>
      <c r="S182" s="794"/>
      <c r="T182" s="794"/>
      <c r="U182" s="794"/>
      <c r="V182" s="794"/>
    </row>
    <row r="183" spans="1:22" ht="14.5" hidden="1">
      <c r="A183" s="794"/>
      <c r="B183" s="799" t="s">
        <v>3783</v>
      </c>
      <c r="C183" s="803" t="s">
        <v>3577</v>
      </c>
      <c r="D183" s="794" t="s">
        <v>3784</v>
      </c>
      <c r="E183" s="818" t="s">
        <v>1200</v>
      </c>
      <c r="F183" s="818" t="s">
        <v>3785</v>
      </c>
      <c r="G183" s="794"/>
      <c r="H183" s="794"/>
      <c r="I183" s="794"/>
      <c r="J183" s="794"/>
      <c r="K183" s="794"/>
      <c r="L183" s="794"/>
      <c r="M183" s="794"/>
      <c r="N183" s="794"/>
      <c r="O183" s="794"/>
      <c r="P183" s="794"/>
      <c r="Q183" s="794"/>
      <c r="R183" s="794"/>
      <c r="S183" s="794"/>
      <c r="T183" s="794"/>
      <c r="U183" s="794"/>
      <c r="V183" s="794"/>
    </row>
    <row r="184" spans="1:22" ht="14.5" hidden="1">
      <c r="A184" s="794"/>
      <c r="B184" s="830"/>
      <c r="C184" s="797"/>
      <c r="D184" s="829"/>
      <c r="E184" s="831"/>
      <c r="F184" s="794"/>
      <c r="G184" s="794"/>
      <c r="H184" s="794"/>
      <c r="I184" s="794"/>
      <c r="J184" s="794"/>
      <c r="K184" s="794"/>
      <c r="L184" s="794"/>
      <c r="M184" s="794"/>
      <c r="N184" s="794"/>
      <c r="O184" s="794"/>
      <c r="P184" s="794"/>
      <c r="Q184" s="794"/>
      <c r="R184" s="794"/>
      <c r="S184" s="794"/>
      <c r="T184" s="794"/>
      <c r="U184" s="794"/>
      <c r="V184" s="794"/>
    </row>
    <row r="185" spans="1:22" ht="14.5" hidden="1">
      <c r="A185" s="794" t="s">
        <v>310</v>
      </c>
      <c r="B185" s="838" t="s">
        <v>3449</v>
      </c>
      <c r="C185" s="796" t="s">
        <v>54</v>
      </c>
      <c r="D185" s="829" t="s">
        <v>3786</v>
      </c>
      <c r="E185" s="831" t="s">
        <v>3787</v>
      </c>
      <c r="F185" s="794" t="s">
        <v>3788</v>
      </c>
      <c r="G185" s="794" t="s">
        <v>3789</v>
      </c>
      <c r="H185" s="794"/>
      <c r="I185" s="794"/>
      <c r="J185" s="794"/>
      <c r="K185" s="794"/>
      <c r="L185" s="794"/>
      <c r="M185" s="794"/>
      <c r="N185" s="794"/>
      <c r="O185" s="794"/>
      <c r="P185" s="794"/>
      <c r="Q185" s="794"/>
      <c r="R185" s="794"/>
      <c r="S185" s="794"/>
      <c r="T185" s="794"/>
      <c r="U185" s="794"/>
      <c r="V185" s="794"/>
    </row>
    <row r="186" spans="1:22" ht="14.5" hidden="1">
      <c r="A186" s="839" t="s">
        <v>3790</v>
      </c>
      <c r="B186" s="838" t="s">
        <v>3440</v>
      </c>
      <c r="C186" s="796" t="s">
        <v>54</v>
      </c>
      <c r="D186" s="829" t="s">
        <v>488</v>
      </c>
      <c r="E186" s="831" t="s">
        <v>3787</v>
      </c>
      <c r="F186" s="794" t="s">
        <v>3788</v>
      </c>
      <c r="G186" s="794" t="s">
        <v>3789</v>
      </c>
      <c r="H186" s="794"/>
      <c r="I186" s="794"/>
      <c r="J186" s="794"/>
      <c r="K186" s="794"/>
      <c r="L186" s="794"/>
      <c r="M186" s="794"/>
      <c r="N186" s="794"/>
      <c r="O186" s="794"/>
      <c r="P186" s="794"/>
      <c r="Q186" s="794"/>
      <c r="R186" s="794"/>
      <c r="S186" s="794"/>
      <c r="T186" s="794"/>
      <c r="U186" s="794"/>
      <c r="V186" s="794"/>
    </row>
    <row r="187" spans="1:22" ht="14.5" hidden="1">
      <c r="A187" s="794"/>
      <c r="B187" s="799"/>
      <c r="C187" s="797"/>
      <c r="D187" s="794"/>
      <c r="E187" s="794"/>
      <c r="F187" s="794"/>
      <c r="G187" s="794"/>
      <c r="H187" s="794"/>
      <c r="I187" s="794"/>
      <c r="J187" s="794"/>
      <c r="K187" s="794"/>
      <c r="L187" s="794"/>
      <c r="M187" s="794"/>
      <c r="N187" s="794"/>
      <c r="O187" s="794"/>
      <c r="P187" s="794"/>
      <c r="Q187" s="794"/>
      <c r="R187" s="794"/>
      <c r="S187" s="794"/>
      <c r="T187" s="794"/>
      <c r="U187" s="794"/>
      <c r="V187" s="794"/>
    </row>
    <row r="188" spans="1:22" ht="14.5" hidden="1">
      <c r="A188" s="794" t="s">
        <v>3589</v>
      </c>
      <c r="B188" s="819" t="s">
        <v>881</v>
      </c>
      <c r="C188" s="796" t="s">
        <v>54</v>
      </c>
      <c r="D188" s="794" t="s">
        <v>883</v>
      </c>
      <c r="E188" s="801" t="s">
        <v>630</v>
      </c>
      <c r="F188" s="825" t="s">
        <v>3791</v>
      </c>
      <c r="G188" s="794"/>
      <c r="H188" s="794"/>
      <c r="I188" s="794"/>
      <c r="J188" s="794"/>
      <c r="K188" s="794"/>
      <c r="L188" s="794"/>
      <c r="M188" s="794"/>
      <c r="N188" s="794"/>
      <c r="O188" s="794"/>
      <c r="P188" s="794"/>
      <c r="Q188" s="794"/>
      <c r="R188" s="794"/>
      <c r="S188" s="794"/>
      <c r="T188" s="794"/>
      <c r="U188" s="794"/>
      <c r="V188" s="794"/>
    </row>
    <row r="189" spans="1:22" ht="14.5" hidden="1">
      <c r="A189" s="794"/>
      <c r="B189" s="816" t="s">
        <v>1470</v>
      </c>
      <c r="C189" s="796" t="s">
        <v>54</v>
      </c>
      <c r="D189" s="794" t="s">
        <v>3792</v>
      </c>
      <c r="E189" s="840" t="s">
        <v>630</v>
      </c>
      <c r="F189" s="825" t="s">
        <v>3793</v>
      </c>
      <c r="G189" s="794"/>
      <c r="H189" s="794"/>
      <c r="I189" s="794"/>
      <c r="J189" s="794"/>
      <c r="K189" s="794"/>
      <c r="L189" s="794"/>
      <c r="M189" s="794"/>
      <c r="N189" s="794"/>
      <c r="O189" s="794"/>
      <c r="P189" s="794"/>
      <c r="Q189" s="794"/>
      <c r="R189" s="794"/>
      <c r="S189" s="794"/>
      <c r="T189" s="794"/>
      <c r="U189" s="794"/>
      <c r="V189" s="794"/>
    </row>
    <row r="190" spans="1:22" ht="14.5" hidden="1">
      <c r="A190" s="794"/>
      <c r="B190" s="816" t="s">
        <v>1483</v>
      </c>
      <c r="C190" s="796" t="s">
        <v>54</v>
      </c>
      <c r="D190" s="818" t="s">
        <v>1485</v>
      </c>
      <c r="E190" s="840" t="s">
        <v>630</v>
      </c>
      <c r="F190" s="825" t="s">
        <v>3793</v>
      </c>
      <c r="G190" s="794"/>
      <c r="H190" s="794"/>
      <c r="I190" s="794"/>
      <c r="J190" s="794"/>
      <c r="K190" s="794"/>
      <c r="L190" s="794"/>
      <c r="M190" s="794"/>
      <c r="N190" s="794"/>
      <c r="O190" s="794"/>
      <c r="P190" s="794"/>
      <c r="Q190" s="794"/>
      <c r="R190" s="794"/>
      <c r="S190" s="794"/>
      <c r="T190" s="794"/>
      <c r="U190" s="794"/>
      <c r="V190" s="794"/>
    </row>
    <row r="191" spans="1:22" ht="14.5" hidden="1">
      <c r="A191" s="794"/>
      <c r="B191" s="816" t="s">
        <v>1494</v>
      </c>
      <c r="C191" s="796" t="s">
        <v>54</v>
      </c>
      <c r="D191" s="818" t="s">
        <v>1496</v>
      </c>
      <c r="E191" s="840" t="s">
        <v>630</v>
      </c>
      <c r="F191" s="825" t="s">
        <v>3794</v>
      </c>
      <c r="G191" s="794"/>
      <c r="H191" s="794"/>
      <c r="I191" s="794"/>
      <c r="J191" s="794"/>
      <c r="K191" s="794"/>
      <c r="L191" s="794"/>
      <c r="M191" s="794"/>
      <c r="N191" s="794"/>
      <c r="O191" s="794"/>
      <c r="P191" s="794"/>
      <c r="Q191" s="794"/>
      <c r="R191" s="794"/>
      <c r="S191" s="794"/>
      <c r="T191" s="794"/>
      <c r="U191" s="794"/>
      <c r="V191" s="794"/>
    </row>
    <row r="192" spans="1:22" ht="14.5" hidden="1">
      <c r="A192" s="794"/>
      <c r="B192" s="799"/>
      <c r="C192" s="797"/>
      <c r="D192" s="794"/>
      <c r="E192" s="794"/>
      <c r="F192" s="794"/>
      <c r="G192" s="794"/>
      <c r="H192" s="794"/>
      <c r="I192" s="794"/>
      <c r="J192" s="794"/>
      <c r="K192" s="794"/>
      <c r="L192" s="794"/>
      <c r="M192" s="794"/>
      <c r="N192" s="794"/>
      <c r="O192" s="794"/>
      <c r="P192" s="794"/>
      <c r="Q192" s="794"/>
      <c r="R192" s="794"/>
      <c r="S192" s="794"/>
      <c r="T192" s="794"/>
      <c r="U192" s="794"/>
      <c r="V192" s="794"/>
    </row>
    <row r="193" spans="1:22" ht="14.5" hidden="1">
      <c r="A193" s="794" t="s">
        <v>67</v>
      </c>
      <c r="B193" s="799" t="s">
        <v>1300</v>
      </c>
      <c r="C193" s="796" t="s">
        <v>54</v>
      </c>
      <c r="D193" s="794" t="s">
        <v>3795</v>
      </c>
      <c r="E193" s="818" t="s">
        <v>285</v>
      </c>
      <c r="F193" s="794" t="s">
        <v>3796</v>
      </c>
      <c r="G193" s="794" t="s">
        <v>3771</v>
      </c>
      <c r="H193" s="794"/>
      <c r="I193" s="794"/>
      <c r="J193" s="794"/>
      <c r="K193" s="794"/>
      <c r="L193" s="794"/>
      <c r="M193" s="794"/>
      <c r="N193" s="794"/>
      <c r="O193" s="794"/>
      <c r="P193" s="794"/>
      <c r="Q193" s="794"/>
      <c r="R193" s="794"/>
      <c r="S193" s="794"/>
      <c r="T193" s="794"/>
      <c r="U193" s="794"/>
      <c r="V193" s="794"/>
    </row>
    <row r="194" spans="1:22" ht="14.5" hidden="1">
      <c r="A194" s="794"/>
      <c r="B194" s="799" t="s">
        <v>1307</v>
      </c>
      <c r="C194" s="796" t="s">
        <v>54</v>
      </c>
      <c r="D194" s="794" t="s">
        <v>3797</v>
      </c>
      <c r="E194" s="818" t="s">
        <v>285</v>
      </c>
      <c r="F194" s="794" t="s">
        <v>3796</v>
      </c>
      <c r="G194" s="794" t="s">
        <v>3771</v>
      </c>
      <c r="H194" s="794"/>
      <c r="I194" s="794"/>
      <c r="J194" s="794"/>
      <c r="K194" s="794"/>
      <c r="L194" s="794"/>
      <c r="M194" s="794"/>
      <c r="N194" s="794"/>
      <c r="O194" s="794"/>
      <c r="P194" s="794"/>
      <c r="Q194" s="794"/>
      <c r="R194" s="794"/>
      <c r="S194" s="794"/>
      <c r="T194" s="794"/>
      <c r="U194" s="794"/>
      <c r="V194" s="794"/>
    </row>
    <row r="195" spans="1:22" ht="14.5" hidden="1">
      <c r="A195" s="794"/>
      <c r="B195" s="799" t="s">
        <v>1232</v>
      </c>
      <c r="C195" s="803" t="s">
        <v>3577</v>
      </c>
      <c r="D195" s="794" t="s">
        <v>3798</v>
      </c>
      <c r="E195" s="818" t="s">
        <v>200</v>
      </c>
      <c r="F195" s="794" t="s">
        <v>3799</v>
      </c>
      <c r="G195" s="794" t="s">
        <v>3771</v>
      </c>
      <c r="H195" s="794"/>
      <c r="I195" s="794"/>
      <c r="J195" s="794"/>
      <c r="K195" s="794"/>
      <c r="L195" s="794"/>
      <c r="M195" s="794"/>
      <c r="N195" s="794"/>
      <c r="O195" s="794"/>
      <c r="P195" s="794"/>
      <c r="Q195" s="794"/>
      <c r="R195" s="794"/>
      <c r="S195" s="794"/>
      <c r="T195" s="794"/>
      <c r="U195" s="794"/>
      <c r="V195" s="794"/>
    </row>
    <row r="196" spans="1:22" ht="14.5" hidden="1">
      <c r="A196" s="794"/>
      <c r="B196" s="800" t="s">
        <v>593</v>
      </c>
      <c r="C196" s="796" t="s">
        <v>54</v>
      </c>
      <c r="D196" s="794" t="s">
        <v>594</v>
      </c>
      <c r="E196" s="794" t="s">
        <v>3695</v>
      </c>
      <c r="F196" s="794" t="s">
        <v>3800</v>
      </c>
      <c r="G196" s="794" t="s">
        <v>3771</v>
      </c>
      <c r="H196" s="794" t="s">
        <v>600</v>
      </c>
      <c r="I196" s="794"/>
      <c r="J196" s="794"/>
      <c r="K196" s="794"/>
      <c r="L196" s="794"/>
      <c r="M196" s="794"/>
      <c r="N196" s="794"/>
      <c r="O196" s="794"/>
      <c r="P196" s="794"/>
      <c r="Q196" s="794"/>
      <c r="R196" s="794"/>
      <c r="S196" s="794"/>
      <c r="T196" s="794"/>
      <c r="U196" s="794"/>
      <c r="V196" s="794"/>
    </row>
    <row r="197" spans="1:22" ht="14.5" hidden="1">
      <c r="A197" s="794"/>
      <c r="B197" s="836" t="s">
        <v>979</v>
      </c>
      <c r="C197" s="796" t="s">
        <v>54</v>
      </c>
      <c r="D197" s="833" t="s">
        <v>980</v>
      </c>
      <c r="E197" s="841" t="s">
        <v>3801</v>
      </c>
      <c r="F197" s="794" t="s">
        <v>3802</v>
      </c>
      <c r="G197" s="794" t="s">
        <v>3771</v>
      </c>
      <c r="H197" s="794" t="s">
        <v>329</v>
      </c>
      <c r="I197" s="794"/>
      <c r="J197" s="794"/>
      <c r="K197" s="794"/>
      <c r="L197" s="794"/>
      <c r="M197" s="794"/>
      <c r="N197" s="794"/>
      <c r="O197" s="794"/>
      <c r="P197" s="794"/>
      <c r="Q197" s="794"/>
      <c r="R197" s="794"/>
      <c r="S197" s="794"/>
      <c r="T197" s="794"/>
      <c r="U197" s="794"/>
      <c r="V197" s="794"/>
    </row>
    <row r="198" spans="1:22" ht="14.5" hidden="1">
      <c r="A198" s="794"/>
      <c r="B198" s="799" t="s">
        <v>1681</v>
      </c>
      <c r="C198" s="796" t="s">
        <v>54</v>
      </c>
      <c r="D198" s="794" t="s">
        <v>1683</v>
      </c>
      <c r="E198" s="824" t="s">
        <v>1686</v>
      </c>
      <c r="F198" s="842" t="s">
        <v>3803</v>
      </c>
      <c r="G198" s="794" t="s">
        <v>3771</v>
      </c>
      <c r="H198" s="794"/>
      <c r="I198" s="794"/>
      <c r="J198" s="794"/>
      <c r="K198" s="794"/>
      <c r="L198" s="794"/>
      <c r="M198" s="794"/>
      <c r="N198" s="794"/>
      <c r="O198" s="794"/>
      <c r="P198" s="794"/>
      <c r="Q198" s="794"/>
      <c r="R198" s="794"/>
      <c r="S198" s="794"/>
      <c r="T198" s="794"/>
      <c r="U198" s="794"/>
      <c r="V198" s="794"/>
    </row>
    <row r="199" spans="1:22" ht="14.5" hidden="1">
      <c r="A199" s="794"/>
      <c r="B199" s="799"/>
      <c r="C199" s="794"/>
      <c r="D199" s="794"/>
      <c r="E199" s="794"/>
      <c r="F199" s="794"/>
      <c r="G199" s="794"/>
      <c r="H199" s="794"/>
      <c r="I199" s="794"/>
      <c r="J199" s="794"/>
      <c r="K199" s="794"/>
      <c r="L199" s="794"/>
      <c r="M199" s="794"/>
      <c r="N199" s="794"/>
      <c r="O199" s="794"/>
      <c r="P199" s="794"/>
      <c r="Q199" s="794"/>
      <c r="R199" s="794"/>
      <c r="S199" s="794"/>
      <c r="T199" s="794"/>
      <c r="U199" s="794"/>
      <c r="V199" s="794"/>
    </row>
    <row r="200" spans="1:22" ht="14.5" hidden="1">
      <c r="A200" s="794" t="s">
        <v>3804</v>
      </c>
      <c r="B200" s="830" t="s">
        <v>3449</v>
      </c>
      <c r="C200" s="796" t="s">
        <v>54</v>
      </c>
      <c r="D200" s="829" t="s">
        <v>3786</v>
      </c>
      <c r="E200" s="831" t="s">
        <v>3787</v>
      </c>
      <c r="F200" s="794" t="s">
        <v>3805</v>
      </c>
      <c r="G200" s="825"/>
      <c r="H200" s="794"/>
      <c r="I200" s="794"/>
      <c r="J200" s="794"/>
      <c r="K200" s="794"/>
      <c r="L200" s="794"/>
      <c r="M200" s="794"/>
      <c r="N200" s="794"/>
      <c r="O200" s="794"/>
      <c r="P200" s="794"/>
      <c r="Q200" s="794"/>
      <c r="R200" s="794"/>
      <c r="S200" s="794"/>
      <c r="T200" s="794"/>
      <c r="U200" s="794"/>
      <c r="V200" s="794"/>
    </row>
    <row r="201" spans="1:22" ht="14.5" hidden="1">
      <c r="A201" s="794"/>
      <c r="B201" s="830" t="s">
        <v>3440</v>
      </c>
      <c r="C201" s="796" t="s">
        <v>54</v>
      </c>
      <c r="D201" s="829" t="s">
        <v>488</v>
      </c>
      <c r="E201" s="831" t="s">
        <v>3787</v>
      </c>
      <c r="F201" s="794" t="s">
        <v>3805</v>
      </c>
      <c r="G201" s="825"/>
      <c r="H201" s="794"/>
      <c r="I201" s="794"/>
      <c r="J201" s="794"/>
      <c r="K201" s="794"/>
      <c r="L201" s="794"/>
      <c r="M201" s="794"/>
      <c r="N201" s="794"/>
      <c r="O201" s="794"/>
      <c r="P201" s="794"/>
      <c r="Q201" s="794"/>
      <c r="R201" s="794"/>
      <c r="S201" s="794"/>
      <c r="T201" s="794"/>
      <c r="U201" s="794"/>
      <c r="V201" s="794"/>
    </row>
    <row r="202" spans="1:22" ht="14.5" hidden="1">
      <c r="A202" s="794"/>
      <c r="B202" s="799" t="s">
        <v>3783</v>
      </c>
      <c r="C202" s="803" t="s">
        <v>3577</v>
      </c>
      <c r="D202" s="794" t="s">
        <v>3784</v>
      </c>
      <c r="E202" s="818" t="s">
        <v>1200</v>
      </c>
      <c r="F202" s="818" t="s">
        <v>3806</v>
      </c>
      <c r="G202" s="825"/>
      <c r="H202" s="794"/>
      <c r="I202" s="794"/>
      <c r="J202" s="794"/>
      <c r="K202" s="794"/>
      <c r="L202" s="794"/>
      <c r="M202" s="794"/>
      <c r="N202" s="794"/>
      <c r="O202" s="794"/>
      <c r="P202" s="794"/>
      <c r="Q202" s="794"/>
      <c r="R202" s="794"/>
      <c r="S202" s="794"/>
      <c r="T202" s="794"/>
      <c r="U202" s="794"/>
      <c r="V202" s="794"/>
    </row>
    <row r="203" spans="1:22" ht="14.5" hidden="1">
      <c r="A203" s="794"/>
      <c r="B203" s="799" t="s">
        <v>3777</v>
      </c>
      <c r="C203" s="843" t="s">
        <v>3577</v>
      </c>
      <c r="D203" s="844" t="s">
        <v>3778</v>
      </c>
      <c r="E203" s="845" t="s">
        <v>1200</v>
      </c>
      <c r="F203" s="846" t="s">
        <v>3807</v>
      </c>
      <c r="G203" s="825"/>
      <c r="H203" s="794"/>
      <c r="I203" s="794"/>
      <c r="J203" s="794"/>
      <c r="K203" s="794"/>
      <c r="L203" s="794"/>
      <c r="M203" s="794"/>
      <c r="N203" s="794"/>
      <c r="O203" s="794"/>
      <c r="P203" s="794"/>
      <c r="Q203" s="794"/>
      <c r="R203" s="794"/>
      <c r="S203" s="794"/>
      <c r="T203" s="794"/>
      <c r="U203" s="794"/>
      <c r="V203" s="794"/>
    </row>
    <row r="204" spans="1:22" ht="14.5" hidden="1">
      <c r="A204" s="794"/>
      <c r="B204" s="799" t="s">
        <v>3780</v>
      </c>
      <c r="C204" s="843" t="s">
        <v>3577</v>
      </c>
      <c r="D204" s="844" t="s">
        <v>3781</v>
      </c>
      <c r="E204" s="845" t="s">
        <v>106</v>
      </c>
      <c r="F204" s="846" t="s">
        <v>3808</v>
      </c>
      <c r="G204" s="825"/>
      <c r="H204" s="794"/>
      <c r="I204" s="794"/>
      <c r="J204" s="794"/>
      <c r="K204" s="794"/>
      <c r="L204" s="794"/>
      <c r="M204" s="794"/>
      <c r="N204" s="794"/>
      <c r="O204" s="794"/>
      <c r="P204" s="794"/>
      <c r="Q204" s="794"/>
      <c r="R204" s="794"/>
      <c r="S204" s="794"/>
      <c r="T204" s="794"/>
      <c r="U204" s="794"/>
      <c r="V204" s="794"/>
    </row>
    <row r="205" spans="1:22" ht="14.5" hidden="1">
      <c r="A205" s="794"/>
      <c r="B205" s="814" t="s">
        <v>3809</v>
      </c>
      <c r="C205" s="803" t="s">
        <v>3577</v>
      </c>
      <c r="D205" s="813" t="s">
        <v>1251</v>
      </c>
      <c r="E205" s="829" t="s">
        <v>200</v>
      </c>
      <c r="F205" s="825" t="s">
        <v>3810</v>
      </c>
      <c r="G205" s="794"/>
      <c r="H205" s="794"/>
      <c r="I205" s="794"/>
      <c r="J205" s="794"/>
      <c r="K205" s="794"/>
      <c r="L205" s="794"/>
      <c r="M205" s="794"/>
      <c r="N205" s="794"/>
      <c r="O205" s="794"/>
      <c r="P205" s="794"/>
      <c r="Q205" s="794"/>
      <c r="R205" s="794"/>
      <c r="S205" s="794"/>
      <c r="T205" s="794"/>
      <c r="U205" s="794"/>
      <c r="V205" s="794"/>
    </row>
    <row r="206" spans="1:22" ht="14.5" hidden="1">
      <c r="A206" s="794"/>
      <c r="B206" s="799"/>
      <c r="C206" s="794"/>
      <c r="D206" s="794"/>
      <c r="E206" s="818"/>
      <c r="F206" s="794"/>
      <c r="G206" s="825"/>
      <c r="H206" s="794"/>
      <c r="I206" s="794"/>
      <c r="J206" s="794"/>
      <c r="K206" s="794"/>
      <c r="L206" s="794"/>
      <c r="M206" s="794"/>
      <c r="N206" s="794"/>
      <c r="O206" s="794"/>
      <c r="P206" s="794"/>
      <c r="Q206" s="794"/>
      <c r="R206" s="794"/>
      <c r="S206" s="794"/>
      <c r="T206" s="794"/>
      <c r="U206" s="794"/>
      <c r="V206" s="794"/>
    </row>
    <row r="207" spans="1:22" ht="14.5" hidden="1">
      <c r="A207" s="794"/>
      <c r="B207" s="799"/>
      <c r="C207" s="794"/>
      <c r="D207" s="794"/>
      <c r="E207" s="818"/>
      <c r="F207" s="794"/>
      <c r="G207" s="825"/>
      <c r="H207" s="794"/>
      <c r="I207" s="794"/>
      <c r="J207" s="794"/>
      <c r="K207" s="794"/>
      <c r="L207" s="794"/>
      <c r="M207" s="794"/>
      <c r="N207" s="794"/>
      <c r="O207" s="794"/>
      <c r="P207" s="794"/>
      <c r="Q207" s="794"/>
      <c r="R207" s="794"/>
      <c r="S207" s="794"/>
      <c r="T207" s="794"/>
      <c r="U207" s="794"/>
      <c r="V207" s="794"/>
    </row>
    <row r="208" spans="1:22" ht="14.5" hidden="1">
      <c r="A208" s="794" t="s">
        <v>3811</v>
      </c>
      <c r="B208" s="799" t="s">
        <v>3783</v>
      </c>
      <c r="C208" s="803" t="s">
        <v>3577</v>
      </c>
      <c r="D208" s="794" t="s">
        <v>3784</v>
      </c>
      <c r="E208" s="818" t="s">
        <v>1200</v>
      </c>
      <c r="F208" s="794" t="s">
        <v>3812</v>
      </c>
      <c r="G208" s="825"/>
      <c r="H208" s="794"/>
      <c r="I208" s="794"/>
      <c r="J208" s="794"/>
      <c r="K208" s="794"/>
      <c r="L208" s="794"/>
      <c r="M208" s="794"/>
      <c r="N208" s="794"/>
      <c r="O208" s="794"/>
      <c r="P208" s="794"/>
      <c r="Q208" s="794"/>
      <c r="R208" s="794"/>
      <c r="S208" s="794"/>
      <c r="T208" s="794"/>
      <c r="U208" s="794"/>
      <c r="V208" s="794"/>
    </row>
    <row r="209" spans="1:22" ht="14.5" hidden="1">
      <c r="A209" s="794"/>
      <c r="B209" s="799"/>
      <c r="C209" s="797"/>
      <c r="D209" s="794"/>
      <c r="E209" s="818"/>
      <c r="F209" s="794"/>
      <c r="G209" s="794"/>
      <c r="H209" s="794"/>
      <c r="I209" s="794"/>
      <c r="J209" s="794"/>
      <c r="K209" s="794"/>
      <c r="L209" s="794"/>
      <c r="M209" s="794"/>
      <c r="N209" s="794"/>
      <c r="O209" s="794"/>
      <c r="P209" s="794"/>
      <c r="Q209" s="794"/>
      <c r="R209" s="794"/>
      <c r="S209" s="794"/>
      <c r="T209" s="794"/>
      <c r="U209" s="794"/>
      <c r="V209" s="794"/>
    </row>
    <row r="210" spans="1:22" ht="14.5" hidden="1">
      <c r="A210" s="794" t="s">
        <v>3813</v>
      </c>
      <c r="B210" s="799" t="s">
        <v>1300</v>
      </c>
      <c r="C210" s="796" t="s">
        <v>54</v>
      </c>
      <c r="D210" s="794" t="s">
        <v>3795</v>
      </c>
      <c r="E210" s="818" t="s">
        <v>285</v>
      </c>
      <c r="F210" s="794" t="s">
        <v>3814</v>
      </c>
      <c r="G210" s="794" t="s">
        <v>575</v>
      </c>
      <c r="H210" s="794"/>
      <c r="I210" s="794"/>
      <c r="J210" s="794"/>
      <c r="K210" s="794"/>
      <c r="L210" s="794"/>
      <c r="M210" s="794"/>
      <c r="N210" s="794"/>
      <c r="O210" s="794"/>
      <c r="P210" s="794"/>
      <c r="Q210" s="794"/>
      <c r="R210" s="794"/>
      <c r="S210" s="794"/>
      <c r="T210" s="794"/>
      <c r="U210" s="794"/>
      <c r="V210" s="794"/>
    </row>
    <row r="211" spans="1:22" ht="14.5" hidden="1">
      <c r="A211" s="794"/>
      <c r="B211" s="799" t="s">
        <v>1307</v>
      </c>
      <c r="C211" s="796" t="s">
        <v>54</v>
      </c>
      <c r="D211" s="794" t="s">
        <v>3797</v>
      </c>
      <c r="E211" s="818" t="s">
        <v>285</v>
      </c>
      <c r="F211" s="794" t="s">
        <v>3814</v>
      </c>
      <c r="G211" s="794" t="s">
        <v>575</v>
      </c>
      <c r="H211" s="794"/>
      <c r="I211" s="794"/>
      <c r="J211" s="794"/>
      <c r="K211" s="794"/>
      <c r="L211" s="794"/>
      <c r="M211" s="794"/>
      <c r="N211" s="794"/>
      <c r="O211" s="794"/>
      <c r="P211" s="794"/>
      <c r="Q211" s="794"/>
      <c r="R211" s="794"/>
      <c r="S211" s="794"/>
      <c r="T211" s="794"/>
      <c r="U211" s="794"/>
      <c r="V211" s="794"/>
    </row>
    <row r="212" spans="1:22" ht="14.5" hidden="1">
      <c r="A212" s="794"/>
      <c r="B212" s="799" t="s">
        <v>1232</v>
      </c>
      <c r="C212" s="803" t="s">
        <v>3577</v>
      </c>
      <c r="D212" s="794" t="s">
        <v>3798</v>
      </c>
      <c r="E212" s="818" t="s">
        <v>200</v>
      </c>
      <c r="F212" s="794" t="s">
        <v>3814</v>
      </c>
      <c r="G212" s="794" t="s">
        <v>575</v>
      </c>
      <c r="H212" s="794"/>
      <c r="I212" s="794"/>
      <c r="J212" s="794"/>
      <c r="K212" s="794"/>
      <c r="L212" s="794"/>
      <c r="M212" s="794"/>
      <c r="N212" s="794"/>
      <c r="O212" s="794"/>
      <c r="P212" s="794"/>
      <c r="Q212" s="794"/>
      <c r="R212" s="794"/>
      <c r="S212" s="794"/>
      <c r="T212" s="794"/>
      <c r="U212" s="794"/>
      <c r="V212" s="794"/>
    </row>
    <row r="213" spans="1:22" ht="14.5" hidden="1">
      <c r="A213" s="794"/>
      <c r="B213" s="800" t="s">
        <v>593</v>
      </c>
      <c r="C213" s="796" t="s">
        <v>54</v>
      </c>
      <c r="D213" s="794" t="s">
        <v>594</v>
      </c>
      <c r="E213" s="794" t="s">
        <v>3695</v>
      </c>
      <c r="F213" s="825" t="s">
        <v>3815</v>
      </c>
      <c r="G213" s="794" t="s">
        <v>600</v>
      </c>
      <c r="H213" s="794"/>
      <c r="I213" s="794"/>
      <c r="J213" s="794"/>
      <c r="K213" s="794"/>
      <c r="L213" s="794"/>
      <c r="M213" s="794"/>
      <c r="N213" s="794"/>
      <c r="O213" s="794"/>
      <c r="P213" s="794"/>
      <c r="Q213" s="794"/>
      <c r="R213" s="794"/>
      <c r="S213" s="794"/>
      <c r="T213" s="794"/>
      <c r="U213" s="794"/>
      <c r="V213" s="794"/>
    </row>
    <row r="214" spans="1:22" ht="14.5" hidden="1">
      <c r="A214" s="794"/>
      <c r="B214" s="836" t="s">
        <v>979</v>
      </c>
      <c r="C214" s="796" t="s">
        <v>54</v>
      </c>
      <c r="D214" s="833" t="s">
        <v>980</v>
      </c>
      <c r="E214" s="841" t="s">
        <v>3801</v>
      </c>
      <c r="F214" s="847" t="s">
        <v>3816</v>
      </c>
      <c r="G214" s="794" t="s">
        <v>575</v>
      </c>
      <c r="H214" s="794"/>
      <c r="I214" s="794"/>
      <c r="J214" s="794"/>
      <c r="K214" s="794"/>
      <c r="L214" s="794"/>
      <c r="M214" s="794"/>
      <c r="N214" s="794"/>
      <c r="O214" s="794"/>
      <c r="P214" s="794"/>
      <c r="Q214" s="794"/>
      <c r="R214" s="794"/>
      <c r="S214" s="794"/>
      <c r="T214" s="794"/>
      <c r="U214" s="794"/>
      <c r="V214" s="794"/>
    </row>
    <row r="215" spans="1:22" ht="14.5" hidden="1">
      <c r="A215" s="794"/>
      <c r="B215" s="799" t="s">
        <v>1681</v>
      </c>
      <c r="C215" s="796" t="s">
        <v>54</v>
      </c>
      <c r="D215" s="794" t="s">
        <v>1683</v>
      </c>
      <c r="E215" s="824" t="s">
        <v>1686</v>
      </c>
      <c r="F215" s="825" t="s">
        <v>3817</v>
      </c>
      <c r="G215" s="794" t="s">
        <v>575</v>
      </c>
      <c r="H215" s="794"/>
      <c r="I215" s="794"/>
      <c r="J215" s="794"/>
      <c r="K215" s="794"/>
      <c r="L215" s="794"/>
      <c r="M215" s="794"/>
      <c r="N215" s="794"/>
      <c r="O215" s="794"/>
      <c r="P215" s="794"/>
      <c r="Q215" s="794"/>
      <c r="R215" s="794"/>
      <c r="S215" s="794"/>
      <c r="T215" s="794"/>
      <c r="U215" s="794"/>
      <c r="V215" s="794"/>
    </row>
    <row r="216" spans="1:22" ht="14.5" hidden="1">
      <c r="A216" s="794"/>
      <c r="B216" s="799"/>
      <c r="C216" s="794"/>
      <c r="D216" s="794"/>
      <c r="E216" s="794"/>
      <c r="F216" s="794"/>
      <c r="G216" s="794"/>
      <c r="H216" s="794"/>
      <c r="I216" s="794"/>
      <c r="J216" s="794"/>
      <c r="K216" s="794"/>
      <c r="L216" s="794"/>
      <c r="M216" s="794"/>
      <c r="N216" s="794"/>
      <c r="O216" s="794"/>
      <c r="P216" s="794"/>
      <c r="Q216" s="794"/>
      <c r="R216" s="794"/>
      <c r="S216" s="794"/>
      <c r="T216" s="794"/>
      <c r="U216" s="794"/>
      <c r="V216" s="794"/>
    </row>
    <row r="217" spans="1:22" ht="14.5" hidden="1">
      <c r="A217" s="794" t="s">
        <v>3818</v>
      </c>
      <c r="B217" s="814" t="s">
        <v>3783</v>
      </c>
      <c r="C217" s="803" t="s">
        <v>3577</v>
      </c>
      <c r="D217" s="813" t="s">
        <v>1196</v>
      </c>
      <c r="E217" s="829" t="s">
        <v>1200</v>
      </c>
      <c r="F217" s="794" t="s">
        <v>3819</v>
      </c>
      <c r="G217" s="794"/>
      <c r="H217" s="794"/>
      <c r="I217" s="794"/>
      <c r="J217" s="794"/>
      <c r="K217" s="794"/>
      <c r="L217" s="794"/>
      <c r="M217" s="794"/>
      <c r="N217" s="794"/>
      <c r="O217" s="794"/>
      <c r="P217" s="794"/>
      <c r="Q217" s="794"/>
      <c r="R217" s="794"/>
      <c r="S217" s="794"/>
      <c r="T217" s="794"/>
      <c r="U217" s="794"/>
      <c r="V217" s="794"/>
    </row>
    <row r="218" spans="1:22" ht="14.5" hidden="1">
      <c r="A218" s="794"/>
      <c r="B218" s="814" t="s">
        <v>3777</v>
      </c>
      <c r="C218" s="803" t="s">
        <v>3577</v>
      </c>
      <c r="D218" s="813" t="s">
        <v>1210</v>
      </c>
      <c r="E218" s="829" t="s">
        <v>1200</v>
      </c>
      <c r="F218" s="794" t="s">
        <v>3820</v>
      </c>
      <c r="G218" s="794"/>
      <c r="H218" s="794"/>
      <c r="I218" s="794"/>
      <c r="J218" s="794"/>
      <c r="K218" s="794"/>
      <c r="L218" s="794"/>
      <c r="M218" s="794"/>
      <c r="N218" s="794"/>
      <c r="O218" s="794"/>
      <c r="P218" s="794"/>
      <c r="Q218" s="794"/>
      <c r="R218" s="794"/>
      <c r="S218" s="794"/>
      <c r="T218" s="794"/>
      <c r="U218" s="794"/>
      <c r="V218" s="794"/>
    </row>
    <row r="219" spans="1:22" ht="14.5" hidden="1">
      <c r="A219" s="794"/>
      <c r="B219" s="814" t="s">
        <v>3821</v>
      </c>
      <c r="C219" s="803" t="s">
        <v>3577</v>
      </c>
      <c r="D219" s="813" t="s">
        <v>1222</v>
      </c>
      <c r="E219" s="829" t="s">
        <v>1200</v>
      </c>
      <c r="F219" s="794" t="s">
        <v>3822</v>
      </c>
      <c r="G219" s="794"/>
      <c r="H219" s="794"/>
      <c r="I219" s="794"/>
      <c r="J219" s="794"/>
      <c r="K219" s="794"/>
      <c r="L219" s="794"/>
      <c r="M219" s="794"/>
      <c r="N219" s="794"/>
      <c r="O219" s="794"/>
      <c r="P219" s="794"/>
      <c r="Q219" s="794"/>
      <c r="R219" s="794"/>
      <c r="S219" s="794"/>
      <c r="T219" s="794"/>
      <c r="U219" s="794"/>
      <c r="V219" s="794"/>
    </row>
    <row r="220" spans="1:22" ht="14.5" hidden="1">
      <c r="A220" s="794"/>
      <c r="B220" s="814" t="s">
        <v>3809</v>
      </c>
      <c r="C220" s="803" t="s">
        <v>3577</v>
      </c>
      <c r="D220" s="813" t="s">
        <v>1251</v>
      </c>
      <c r="E220" s="829" t="s">
        <v>200</v>
      </c>
      <c r="F220" s="794" t="s">
        <v>3823</v>
      </c>
      <c r="G220" s="794"/>
      <c r="H220" s="794"/>
      <c r="I220" s="794"/>
      <c r="J220" s="794"/>
      <c r="K220" s="794"/>
      <c r="L220" s="794"/>
      <c r="M220" s="794"/>
      <c r="N220" s="794"/>
      <c r="O220" s="794"/>
      <c r="P220" s="794"/>
      <c r="Q220" s="794"/>
      <c r="R220" s="794"/>
      <c r="S220" s="794"/>
      <c r="T220" s="794"/>
      <c r="U220" s="794"/>
      <c r="V220" s="794"/>
    </row>
    <row r="221" spans="1:22" ht="14.5" hidden="1">
      <c r="A221" s="794"/>
      <c r="B221" s="814" t="s">
        <v>3824</v>
      </c>
      <c r="C221" s="803" t="s">
        <v>3577</v>
      </c>
      <c r="D221" s="813" t="s">
        <v>1262</v>
      </c>
      <c r="E221" s="829" t="s">
        <v>200</v>
      </c>
      <c r="F221" s="794" t="s">
        <v>3823</v>
      </c>
      <c r="G221" s="794"/>
      <c r="H221" s="794"/>
      <c r="I221" s="794"/>
      <c r="J221" s="794"/>
      <c r="K221" s="794"/>
      <c r="L221" s="794"/>
      <c r="M221" s="794"/>
      <c r="N221" s="794"/>
      <c r="O221" s="794"/>
      <c r="P221" s="794"/>
      <c r="Q221" s="794"/>
      <c r="R221" s="794"/>
      <c r="S221" s="794"/>
      <c r="T221" s="794"/>
      <c r="U221" s="794"/>
      <c r="V221" s="794"/>
    </row>
    <row r="222" spans="1:22" ht="14.5" hidden="1">
      <c r="A222" s="794"/>
      <c r="B222" s="814" t="s">
        <v>3742</v>
      </c>
      <c r="C222" s="803" t="s">
        <v>3577</v>
      </c>
      <c r="D222" s="813" t="s">
        <v>1271</v>
      </c>
      <c r="E222" s="829" t="s">
        <v>200</v>
      </c>
      <c r="F222" s="794" t="s">
        <v>3825</v>
      </c>
      <c r="G222" s="794"/>
      <c r="H222" s="794"/>
      <c r="I222" s="794"/>
      <c r="J222" s="794"/>
      <c r="K222" s="794"/>
      <c r="L222" s="794"/>
      <c r="M222" s="794"/>
      <c r="N222" s="794"/>
      <c r="O222" s="794"/>
      <c r="P222" s="794"/>
      <c r="Q222" s="794"/>
      <c r="R222" s="794"/>
      <c r="S222" s="794"/>
      <c r="T222" s="794"/>
      <c r="U222" s="794"/>
      <c r="V222" s="794"/>
    </row>
    <row r="223" spans="1:22" ht="14.5" hidden="1">
      <c r="A223" s="794"/>
      <c r="B223" s="814" t="s">
        <v>3826</v>
      </c>
      <c r="C223" s="803" t="s">
        <v>3577</v>
      </c>
      <c r="D223" s="813" t="s">
        <v>1279</v>
      </c>
      <c r="E223" s="829" t="s">
        <v>200</v>
      </c>
      <c r="F223" s="794" t="s">
        <v>3823</v>
      </c>
      <c r="G223" s="794"/>
      <c r="H223" s="794"/>
      <c r="I223" s="794"/>
      <c r="J223" s="794"/>
      <c r="K223" s="794"/>
      <c r="L223" s="794"/>
      <c r="M223" s="794"/>
      <c r="N223" s="794"/>
      <c r="O223" s="794"/>
      <c r="P223" s="794"/>
      <c r="Q223" s="794"/>
      <c r="R223" s="794"/>
      <c r="S223" s="794"/>
      <c r="T223" s="794"/>
      <c r="U223" s="794"/>
      <c r="V223" s="794"/>
    </row>
    <row r="224" spans="1:22" ht="14.5" hidden="1">
      <c r="A224" s="794"/>
      <c r="B224" s="799" t="s">
        <v>3519</v>
      </c>
      <c r="C224" s="796" t="s">
        <v>54</v>
      </c>
      <c r="D224" s="823" t="s">
        <v>1288</v>
      </c>
      <c r="E224" s="821" t="s">
        <v>285</v>
      </c>
      <c r="F224" s="794" t="s">
        <v>3827</v>
      </c>
      <c r="G224" s="794"/>
      <c r="H224" s="794"/>
      <c r="I224" s="794"/>
      <c r="J224" s="794"/>
      <c r="K224" s="794"/>
      <c r="L224" s="794"/>
      <c r="M224" s="794"/>
      <c r="N224" s="794"/>
      <c r="O224" s="794"/>
      <c r="P224" s="794"/>
      <c r="Q224" s="794"/>
      <c r="R224" s="794"/>
      <c r="S224" s="794"/>
      <c r="T224" s="794"/>
      <c r="U224" s="794"/>
      <c r="V224" s="794"/>
    </row>
    <row r="225" spans="1:22" ht="14.5" hidden="1">
      <c r="A225" s="794"/>
      <c r="B225" s="799"/>
      <c r="C225" s="794"/>
      <c r="D225" s="794"/>
      <c r="E225" s="794"/>
      <c r="F225" s="794"/>
      <c r="G225" s="794"/>
      <c r="H225" s="794"/>
      <c r="I225" s="794"/>
      <c r="J225" s="794"/>
      <c r="K225" s="794"/>
      <c r="L225" s="794"/>
      <c r="M225" s="794"/>
      <c r="N225" s="794"/>
      <c r="O225" s="794"/>
      <c r="P225" s="794"/>
      <c r="Q225" s="794"/>
      <c r="R225" s="794"/>
      <c r="S225" s="794"/>
      <c r="T225" s="794"/>
      <c r="U225" s="794"/>
      <c r="V225" s="794"/>
    </row>
    <row r="226" spans="1:22" ht="14.5" hidden="1">
      <c r="A226" s="794" t="s">
        <v>3818</v>
      </c>
      <c r="B226" s="838" t="s">
        <v>3828</v>
      </c>
      <c r="C226" s="803" t="s">
        <v>3577</v>
      </c>
      <c r="D226" s="813" t="s">
        <v>1315</v>
      </c>
      <c r="E226" s="821" t="s">
        <v>106</v>
      </c>
      <c r="F226" s="794" t="s">
        <v>3829</v>
      </c>
      <c r="G226" s="794"/>
      <c r="H226" s="794"/>
      <c r="I226" s="794"/>
      <c r="J226" s="794"/>
      <c r="K226" s="794"/>
      <c r="L226" s="794"/>
      <c r="M226" s="794"/>
      <c r="N226" s="794"/>
      <c r="O226" s="794"/>
      <c r="P226" s="794"/>
      <c r="Q226" s="794"/>
      <c r="R226" s="794"/>
      <c r="S226" s="794"/>
      <c r="T226" s="794"/>
      <c r="U226" s="794"/>
      <c r="V226" s="794"/>
    </row>
    <row r="227" spans="1:22" ht="14.5" hidden="1">
      <c r="A227" s="794" t="s">
        <v>3830</v>
      </c>
      <c r="B227" s="838" t="s">
        <v>3831</v>
      </c>
      <c r="C227" s="803" t="s">
        <v>3577</v>
      </c>
      <c r="D227" s="813" t="s">
        <v>1324</v>
      </c>
      <c r="E227" s="821" t="s">
        <v>106</v>
      </c>
      <c r="F227" s="794" t="s">
        <v>3832</v>
      </c>
      <c r="G227" s="794"/>
      <c r="H227" s="794"/>
      <c r="I227" s="794"/>
      <c r="J227" s="794"/>
      <c r="K227" s="794"/>
      <c r="L227" s="794"/>
      <c r="M227" s="794"/>
      <c r="N227" s="794"/>
      <c r="O227" s="794"/>
      <c r="P227" s="794"/>
      <c r="Q227" s="794"/>
      <c r="R227" s="794"/>
      <c r="S227" s="794"/>
      <c r="T227" s="794"/>
      <c r="U227" s="794"/>
      <c r="V227" s="794"/>
    </row>
    <row r="228" spans="1:22" ht="14.5" hidden="1">
      <c r="A228" s="794"/>
      <c r="B228" s="838" t="s">
        <v>3780</v>
      </c>
      <c r="C228" s="803" t="s">
        <v>3577</v>
      </c>
      <c r="D228" s="813" t="s">
        <v>1336</v>
      </c>
      <c r="E228" s="821" t="s">
        <v>106</v>
      </c>
      <c r="F228" s="794" t="s">
        <v>3829</v>
      </c>
      <c r="G228" s="794"/>
      <c r="H228" s="794"/>
      <c r="I228" s="794"/>
      <c r="J228" s="794"/>
      <c r="K228" s="794"/>
      <c r="L228" s="794"/>
      <c r="M228" s="794"/>
      <c r="N228" s="794"/>
      <c r="O228" s="794"/>
      <c r="P228" s="794"/>
      <c r="Q228" s="794"/>
      <c r="R228" s="794"/>
      <c r="S228" s="794"/>
      <c r="T228" s="794"/>
      <c r="U228" s="794"/>
      <c r="V228" s="794"/>
    </row>
    <row r="229" spans="1:22" ht="14.5" hidden="1">
      <c r="A229" s="794"/>
      <c r="B229" s="799"/>
      <c r="C229" s="794"/>
      <c r="D229" s="794"/>
      <c r="E229" s="794"/>
      <c r="F229" s="794"/>
      <c r="G229" s="794"/>
      <c r="H229" s="794"/>
      <c r="I229" s="794"/>
      <c r="J229" s="794"/>
      <c r="K229" s="794"/>
      <c r="L229" s="794"/>
      <c r="M229" s="794"/>
      <c r="N229" s="794"/>
      <c r="O229" s="794"/>
      <c r="P229" s="794"/>
      <c r="Q229" s="794"/>
      <c r="R229" s="794"/>
      <c r="S229" s="794"/>
      <c r="T229" s="794"/>
      <c r="U229" s="794"/>
      <c r="V229" s="794"/>
    </row>
    <row r="230" spans="1:22" ht="14.5" hidden="1">
      <c r="A230" s="792" t="s">
        <v>3833</v>
      </c>
      <c r="B230" s="810"/>
      <c r="C230" s="811"/>
      <c r="D230" s="792"/>
      <c r="E230" s="792"/>
      <c r="F230" s="792"/>
      <c r="G230" s="794"/>
      <c r="H230" s="794"/>
      <c r="I230" s="794"/>
      <c r="J230" s="794"/>
      <c r="K230" s="794"/>
      <c r="L230" s="794"/>
      <c r="M230" s="794"/>
      <c r="N230" s="794"/>
      <c r="O230" s="794"/>
      <c r="P230" s="794"/>
      <c r="Q230" s="794"/>
      <c r="R230" s="794"/>
      <c r="S230" s="794"/>
      <c r="T230" s="794"/>
      <c r="U230" s="794"/>
      <c r="V230" s="794"/>
    </row>
    <row r="231" spans="1:22" ht="14.5" hidden="1">
      <c r="A231" s="797" t="s">
        <v>3646</v>
      </c>
      <c r="B231" s="828" t="s">
        <v>3834</v>
      </c>
      <c r="C231" s="803" t="s">
        <v>3577</v>
      </c>
      <c r="D231" s="829" t="s">
        <v>1846</v>
      </c>
      <c r="E231" s="818" t="s">
        <v>1850</v>
      </c>
      <c r="F231" s="818" t="s">
        <v>3835</v>
      </c>
      <c r="G231" s="794"/>
      <c r="H231" s="794"/>
      <c r="I231" s="794"/>
      <c r="J231" s="794"/>
      <c r="K231" s="794"/>
      <c r="L231" s="794"/>
      <c r="M231" s="794"/>
      <c r="N231" s="794"/>
      <c r="O231" s="794"/>
      <c r="P231" s="794"/>
      <c r="Q231" s="794"/>
      <c r="R231" s="794"/>
      <c r="S231" s="794"/>
      <c r="T231" s="794"/>
      <c r="U231" s="794"/>
      <c r="V231" s="794"/>
    </row>
    <row r="232" spans="1:22" ht="14.5" hidden="1">
      <c r="A232" s="797"/>
      <c r="B232" s="828" t="s">
        <v>3836</v>
      </c>
      <c r="C232" s="803" t="s">
        <v>3577</v>
      </c>
      <c r="D232" s="829" t="s">
        <v>1856</v>
      </c>
      <c r="E232" s="818" t="s">
        <v>1850</v>
      </c>
      <c r="F232" s="818" t="s">
        <v>3837</v>
      </c>
      <c r="G232" s="794"/>
      <c r="H232" s="794"/>
      <c r="I232" s="794"/>
      <c r="J232" s="794"/>
      <c r="K232" s="794"/>
      <c r="L232" s="794"/>
      <c r="M232" s="794"/>
      <c r="N232" s="794"/>
      <c r="O232" s="794"/>
      <c r="P232" s="794"/>
      <c r="Q232" s="794"/>
      <c r="R232" s="794"/>
      <c r="S232" s="794"/>
      <c r="T232" s="794"/>
      <c r="U232" s="794"/>
      <c r="V232" s="794"/>
    </row>
    <row r="233" spans="1:22" ht="14.5" hidden="1">
      <c r="A233" s="797"/>
      <c r="B233" s="848" t="s">
        <v>1862</v>
      </c>
      <c r="C233" s="796" t="s">
        <v>54</v>
      </c>
      <c r="D233" s="794" t="s">
        <v>1864</v>
      </c>
      <c r="E233" s="824" t="s">
        <v>3695</v>
      </c>
      <c r="F233" s="849" t="s">
        <v>3838</v>
      </c>
      <c r="G233" s="794"/>
      <c r="H233" s="794"/>
      <c r="I233" s="794"/>
      <c r="J233" s="794"/>
      <c r="K233" s="794"/>
      <c r="L233" s="794"/>
      <c r="M233" s="794"/>
      <c r="N233" s="794"/>
      <c r="O233" s="794"/>
      <c r="P233" s="794"/>
      <c r="Q233" s="794"/>
      <c r="R233" s="794"/>
      <c r="S233" s="794"/>
      <c r="T233" s="794"/>
      <c r="U233" s="794"/>
      <c r="V233" s="794"/>
    </row>
    <row r="234" spans="1:22" ht="14.5" hidden="1">
      <c r="A234" s="797"/>
      <c r="B234" s="799"/>
      <c r="C234" s="801"/>
      <c r="D234" s="794"/>
      <c r="E234" s="818"/>
      <c r="F234" s="818"/>
      <c r="G234" s="794"/>
      <c r="H234" s="794"/>
      <c r="I234" s="794"/>
      <c r="J234" s="794"/>
      <c r="K234" s="794"/>
      <c r="L234" s="794"/>
      <c r="M234" s="794"/>
      <c r="N234" s="794"/>
      <c r="O234" s="794"/>
      <c r="P234" s="794"/>
      <c r="Q234" s="794"/>
      <c r="R234" s="794"/>
      <c r="S234" s="794"/>
      <c r="T234" s="794"/>
      <c r="U234" s="794"/>
      <c r="V234" s="794"/>
    </row>
    <row r="235" spans="1:22" ht="14.5" hidden="1">
      <c r="A235" s="794" t="s">
        <v>32</v>
      </c>
      <c r="B235" s="838" t="s">
        <v>3449</v>
      </c>
      <c r="C235" s="796" t="s">
        <v>54</v>
      </c>
      <c r="D235" s="829" t="s">
        <v>3786</v>
      </c>
      <c r="E235" s="831" t="s">
        <v>3787</v>
      </c>
      <c r="F235" s="794" t="s">
        <v>3839</v>
      </c>
      <c r="G235" s="794"/>
      <c r="H235" s="794"/>
      <c r="I235" s="794"/>
      <c r="J235" s="794"/>
      <c r="K235" s="794"/>
      <c r="L235" s="794"/>
      <c r="M235" s="794"/>
      <c r="N235" s="794"/>
      <c r="O235" s="794"/>
      <c r="P235" s="794"/>
      <c r="Q235" s="794"/>
      <c r="R235" s="794"/>
      <c r="S235" s="794"/>
      <c r="T235" s="794"/>
      <c r="U235" s="794"/>
      <c r="V235" s="794"/>
    </row>
    <row r="236" spans="1:22" ht="14.5" hidden="1">
      <c r="A236" s="839"/>
      <c r="B236" s="838" t="s">
        <v>3440</v>
      </c>
      <c r="C236" s="796" t="s">
        <v>54</v>
      </c>
      <c r="D236" s="829" t="s">
        <v>488</v>
      </c>
      <c r="E236" s="831" t="s">
        <v>3787</v>
      </c>
      <c r="F236" s="794" t="s">
        <v>3840</v>
      </c>
      <c r="G236" s="794"/>
      <c r="H236" s="794"/>
      <c r="I236" s="794"/>
      <c r="J236" s="794"/>
      <c r="K236" s="794"/>
      <c r="L236" s="794"/>
      <c r="M236" s="794"/>
      <c r="N236" s="794"/>
      <c r="O236" s="794"/>
      <c r="P236" s="794"/>
      <c r="Q236" s="794"/>
      <c r="R236" s="794"/>
      <c r="S236" s="794"/>
      <c r="T236" s="794"/>
      <c r="U236" s="794"/>
      <c r="V236" s="794"/>
    </row>
    <row r="237" spans="1:22" ht="14.5" hidden="1">
      <c r="A237" s="797"/>
      <c r="B237" s="799"/>
      <c r="C237" s="794"/>
      <c r="D237" s="794"/>
      <c r="E237" s="818"/>
      <c r="F237" s="818"/>
      <c r="G237" s="794"/>
      <c r="H237" s="794"/>
      <c r="I237" s="794"/>
      <c r="J237" s="794"/>
      <c r="K237" s="794"/>
      <c r="L237" s="794"/>
      <c r="M237" s="794"/>
      <c r="N237" s="794"/>
      <c r="O237" s="794"/>
      <c r="P237" s="794"/>
      <c r="Q237" s="794"/>
      <c r="R237" s="794"/>
      <c r="S237" s="794"/>
      <c r="T237" s="794"/>
      <c r="U237" s="794"/>
      <c r="V237" s="794"/>
    </row>
    <row r="238" spans="1:22" ht="14.5" hidden="1">
      <c r="A238" s="797" t="s">
        <v>1294</v>
      </c>
      <c r="B238" s="836" t="s">
        <v>865</v>
      </c>
      <c r="C238" s="796" t="s">
        <v>54</v>
      </c>
      <c r="D238" s="794" t="s">
        <v>867</v>
      </c>
      <c r="E238" s="821" t="s">
        <v>630</v>
      </c>
      <c r="F238" s="825" t="s">
        <v>3841</v>
      </c>
      <c r="G238" s="794"/>
      <c r="H238" s="794"/>
      <c r="I238" s="794"/>
      <c r="J238" s="794"/>
      <c r="K238" s="794"/>
      <c r="L238" s="794"/>
      <c r="M238" s="794"/>
      <c r="N238" s="794"/>
      <c r="O238" s="794"/>
      <c r="P238" s="794"/>
      <c r="Q238" s="794"/>
      <c r="R238" s="794"/>
      <c r="S238" s="794"/>
      <c r="T238" s="794"/>
      <c r="U238" s="794"/>
      <c r="V238" s="794"/>
    </row>
    <row r="239" spans="1:22" ht="14.5" hidden="1">
      <c r="A239" s="794"/>
      <c r="B239" s="799"/>
      <c r="C239" s="794"/>
      <c r="D239" s="794"/>
      <c r="E239" s="794"/>
      <c r="F239" s="794"/>
      <c r="G239" s="794"/>
      <c r="H239" s="794"/>
      <c r="I239" s="794"/>
      <c r="J239" s="794"/>
      <c r="K239" s="794"/>
      <c r="L239" s="794"/>
      <c r="M239" s="794"/>
      <c r="N239" s="794"/>
      <c r="O239" s="794"/>
      <c r="P239" s="794"/>
      <c r="Q239" s="794"/>
      <c r="R239" s="794"/>
      <c r="S239" s="794"/>
      <c r="T239" s="794"/>
      <c r="U239" s="794"/>
      <c r="V239" s="794"/>
    </row>
    <row r="240" spans="1:22" ht="14.5" hidden="1">
      <c r="A240" s="794" t="s">
        <v>3589</v>
      </c>
      <c r="B240" s="830" t="s">
        <v>926</v>
      </c>
      <c r="C240" s="796" t="s">
        <v>54</v>
      </c>
      <c r="D240" s="829" t="s">
        <v>928</v>
      </c>
      <c r="E240" s="824" t="s">
        <v>920</v>
      </c>
      <c r="F240" s="825" t="s">
        <v>3842</v>
      </c>
      <c r="G240" s="794"/>
      <c r="H240" s="794"/>
      <c r="I240" s="794"/>
      <c r="J240" s="794"/>
      <c r="K240" s="794"/>
      <c r="L240" s="794"/>
      <c r="M240" s="794"/>
      <c r="N240" s="794"/>
      <c r="O240" s="794"/>
      <c r="P240" s="794"/>
      <c r="Q240" s="794"/>
      <c r="R240" s="794"/>
      <c r="S240" s="794"/>
      <c r="T240" s="794"/>
      <c r="U240" s="794"/>
      <c r="V240" s="794"/>
    </row>
    <row r="241" spans="1:22" ht="14.5" hidden="1">
      <c r="A241" s="794"/>
      <c r="B241" s="799" t="s">
        <v>3519</v>
      </c>
      <c r="C241" s="796" t="s">
        <v>54</v>
      </c>
      <c r="D241" s="823" t="s">
        <v>1288</v>
      </c>
      <c r="E241" s="821" t="s">
        <v>285</v>
      </c>
      <c r="F241" s="825" t="s">
        <v>3843</v>
      </c>
      <c r="G241" s="806" t="s">
        <v>3844</v>
      </c>
      <c r="H241" s="794"/>
      <c r="I241" s="794"/>
      <c r="J241" s="794"/>
      <c r="K241" s="794"/>
      <c r="L241" s="794"/>
      <c r="M241" s="794"/>
      <c r="N241" s="794"/>
      <c r="O241" s="794"/>
      <c r="P241" s="794"/>
      <c r="Q241" s="794"/>
      <c r="R241" s="794"/>
      <c r="S241" s="794"/>
      <c r="T241" s="794"/>
      <c r="U241" s="794"/>
      <c r="V241" s="794"/>
    </row>
    <row r="242" spans="1:22" ht="14.5" hidden="1">
      <c r="A242" s="794"/>
      <c r="B242" s="830"/>
      <c r="C242" s="797"/>
      <c r="D242" s="829"/>
      <c r="E242" s="824"/>
      <c r="F242" s="825"/>
      <c r="G242" s="794"/>
      <c r="H242" s="794"/>
      <c r="I242" s="794"/>
      <c r="J242" s="794"/>
      <c r="K242" s="794"/>
      <c r="L242" s="794"/>
      <c r="M242" s="794"/>
      <c r="N242" s="794"/>
      <c r="O242" s="794"/>
      <c r="P242" s="794"/>
      <c r="Q242" s="794"/>
      <c r="R242" s="794"/>
      <c r="S242" s="794"/>
      <c r="T242" s="794"/>
      <c r="U242" s="794"/>
      <c r="V242" s="794"/>
    </row>
    <row r="243" spans="1:22" ht="14.5" hidden="1">
      <c r="A243" s="794" t="s">
        <v>3845</v>
      </c>
      <c r="B243" s="830" t="s">
        <v>926</v>
      </c>
      <c r="C243" s="796" t="s">
        <v>54</v>
      </c>
      <c r="D243" s="829" t="s">
        <v>928</v>
      </c>
      <c r="E243" s="824" t="s">
        <v>3846</v>
      </c>
      <c r="F243" s="825" t="s">
        <v>3847</v>
      </c>
      <c r="G243" s="794" t="s">
        <v>3848</v>
      </c>
      <c r="H243" s="794"/>
      <c r="I243" s="794"/>
      <c r="J243" s="794"/>
      <c r="K243" s="794"/>
      <c r="L243" s="794"/>
      <c r="M243" s="794"/>
      <c r="N243" s="794"/>
      <c r="O243" s="794"/>
      <c r="P243" s="794"/>
      <c r="Q243" s="794"/>
      <c r="R243" s="794"/>
      <c r="S243" s="794"/>
      <c r="T243" s="794"/>
      <c r="U243" s="794"/>
      <c r="V243" s="794"/>
    </row>
    <row r="244" spans="1:22" ht="14.5" hidden="1">
      <c r="A244" s="794"/>
      <c r="B244" s="799" t="s">
        <v>3519</v>
      </c>
      <c r="C244" s="796" t="s">
        <v>54</v>
      </c>
      <c r="D244" s="823" t="s">
        <v>1288</v>
      </c>
      <c r="E244" s="821" t="s">
        <v>285</v>
      </c>
      <c r="F244" s="825" t="s">
        <v>3849</v>
      </c>
      <c r="G244" s="806" t="s">
        <v>3850</v>
      </c>
      <c r="H244" s="794"/>
      <c r="I244" s="794"/>
      <c r="J244" s="794"/>
      <c r="K244" s="794"/>
      <c r="L244" s="794"/>
      <c r="M244" s="794"/>
      <c r="N244" s="794"/>
      <c r="O244" s="794"/>
      <c r="P244" s="794"/>
      <c r="Q244" s="794"/>
      <c r="R244" s="794"/>
      <c r="S244" s="794"/>
      <c r="T244" s="794"/>
      <c r="U244" s="794"/>
      <c r="V244" s="794"/>
    </row>
    <row r="245" spans="1:22" ht="14.5" hidden="1">
      <c r="A245" s="794"/>
      <c r="B245" s="848" t="s">
        <v>1862</v>
      </c>
      <c r="C245" s="796" t="s">
        <v>54</v>
      </c>
      <c r="D245" s="829" t="s">
        <v>1864</v>
      </c>
      <c r="E245" s="824" t="s">
        <v>3695</v>
      </c>
      <c r="F245" s="825" t="s">
        <v>3851</v>
      </c>
      <c r="G245" s="801"/>
      <c r="H245" s="794"/>
      <c r="I245" s="794"/>
      <c r="J245" s="794"/>
      <c r="K245" s="794"/>
      <c r="L245" s="794"/>
      <c r="M245" s="794"/>
      <c r="N245" s="794"/>
      <c r="O245" s="794"/>
      <c r="P245" s="794"/>
      <c r="Q245" s="794"/>
      <c r="R245" s="794"/>
      <c r="S245" s="794"/>
      <c r="T245" s="794"/>
      <c r="U245" s="794"/>
      <c r="V245" s="794"/>
    </row>
    <row r="246" spans="1:22" ht="14.5" hidden="1">
      <c r="A246" s="794"/>
      <c r="B246" s="830"/>
      <c r="C246" s="850"/>
      <c r="D246" s="829"/>
      <c r="E246" s="824"/>
      <c r="F246" s="825"/>
      <c r="G246" s="794"/>
      <c r="H246" s="794"/>
      <c r="I246" s="794"/>
      <c r="J246" s="794"/>
      <c r="K246" s="794"/>
      <c r="L246" s="794"/>
      <c r="M246" s="794"/>
      <c r="N246" s="794"/>
      <c r="O246" s="794"/>
      <c r="P246" s="794"/>
      <c r="Q246" s="794"/>
      <c r="R246" s="794"/>
      <c r="S246" s="794"/>
      <c r="T246" s="794"/>
      <c r="U246" s="794"/>
      <c r="V246" s="794"/>
    </row>
    <row r="247" spans="1:22" ht="14.5" hidden="1">
      <c r="A247" s="794" t="s">
        <v>67</v>
      </c>
      <c r="B247" s="830" t="s">
        <v>1551</v>
      </c>
      <c r="C247" s="796" t="s">
        <v>54</v>
      </c>
      <c r="D247" s="829" t="s">
        <v>1552</v>
      </c>
      <c r="E247" s="824" t="s">
        <v>3588</v>
      </c>
      <c r="F247" s="825" t="s">
        <v>3852</v>
      </c>
      <c r="G247" s="794" t="s">
        <v>3771</v>
      </c>
      <c r="H247" s="794"/>
      <c r="I247" s="794"/>
      <c r="J247" s="794"/>
      <c r="K247" s="794"/>
      <c r="L247" s="794"/>
      <c r="M247" s="794"/>
      <c r="N247" s="794"/>
      <c r="O247" s="794"/>
      <c r="P247" s="794"/>
      <c r="Q247" s="794"/>
      <c r="R247" s="794"/>
      <c r="S247" s="794"/>
      <c r="T247" s="794"/>
      <c r="U247" s="794"/>
      <c r="V247" s="794"/>
    </row>
    <row r="248" spans="1:22" ht="14.5" hidden="1">
      <c r="A248" s="794"/>
      <c r="B248" s="799" t="s">
        <v>943</v>
      </c>
      <c r="C248" s="796" t="s">
        <v>54</v>
      </c>
      <c r="D248" s="794" t="s">
        <v>945</v>
      </c>
      <c r="E248" s="821" t="s">
        <v>920</v>
      </c>
      <c r="F248" s="794" t="s">
        <v>3853</v>
      </c>
      <c r="G248" s="794" t="s">
        <v>3771</v>
      </c>
      <c r="H248" s="794" t="s">
        <v>3854</v>
      </c>
      <c r="I248" s="794"/>
      <c r="J248" s="794"/>
      <c r="K248" s="794"/>
      <c r="L248" s="794"/>
      <c r="M248" s="794"/>
      <c r="N248" s="794"/>
      <c r="O248" s="794"/>
      <c r="P248" s="794"/>
      <c r="Q248" s="794"/>
      <c r="R248" s="794"/>
      <c r="S248" s="794"/>
      <c r="T248" s="794"/>
      <c r="U248" s="794"/>
      <c r="V248" s="794"/>
    </row>
    <row r="249" spans="1:22" ht="14.5" hidden="1">
      <c r="A249" s="813"/>
      <c r="B249" s="814" t="s">
        <v>705</v>
      </c>
      <c r="C249" s="796" t="s">
        <v>54</v>
      </c>
      <c r="D249" s="813" t="s">
        <v>707</v>
      </c>
      <c r="E249" s="813" t="s">
        <v>3728</v>
      </c>
      <c r="F249" s="851" t="s">
        <v>3855</v>
      </c>
      <c r="G249" s="794" t="s">
        <v>3771</v>
      </c>
      <c r="H249" s="794" t="s">
        <v>3856</v>
      </c>
      <c r="I249" s="852"/>
      <c r="J249" s="813"/>
      <c r="K249" s="813"/>
      <c r="L249" s="813"/>
      <c r="M249" s="813"/>
      <c r="N249" s="813"/>
      <c r="O249" s="813"/>
      <c r="P249" s="813"/>
      <c r="Q249" s="813"/>
      <c r="R249" s="813"/>
      <c r="S249" s="813"/>
      <c r="T249" s="813"/>
      <c r="U249" s="813"/>
      <c r="V249" s="813"/>
    </row>
    <row r="250" spans="1:22" ht="14.5" hidden="1">
      <c r="A250" s="794"/>
      <c r="B250" s="799"/>
      <c r="C250" s="794"/>
      <c r="D250" s="794"/>
      <c r="E250" s="794"/>
      <c r="F250" s="794"/>
      <c r="G250" s="794"/>
      <c r="H250" s="794"/>
      <c r="I250" s="794"/>
      <c r="J250" s="794"/>
      <c r="K250" s="794"/>
      <c r="L250" s="794"/>
      <c r="M250" s="794"/>
      <c r="N250" s="794"/>
      <c r="O250" s="794"/>
      <c r="P250" s="794"/>
      <c r="Q250" s="794"/>
      <c r="R250" s="794"/>
      <c r="S250" s="794"/>
      <c r="T250" s="794"/>
      <c r="U250" s="794"/>
      <c r="V250" s="794"/>
    </row>
    <row r="251" spans="1:22" ht="14.5" hidden="1">
      <c r="A251" s="794" t="s">
        <v>3857</v>
      </c>
      <c r="B251" s="828" t="s">
        <v>3834</v>
      </c>
      <c r="C251" s="803" t="s">
        <v>3577</v>
      </c>
      <c r="D251" s="829" t="s">
        <v>1846</v>
      </c>
      <c r="E251" s="818" t="s">
        <v>1850</v>
      </c>
      <c r="F251" s="818" t="s">
        <v>3858</v>
      </c>
      <c r="G251" s="794"/>
      <c r="H251" s="794"/>
      <c r="I251" s="794"/>
      <c r="J251" s="794"/>
      <c r="K251" s="794"/>
      <c r="L251" s="794"/>
      <c r="M251" s="794"/>
      <c r="N251" s="794"/>
      <c r="O251" s="794"/>
      <c r="P251" s="794"/>
      <c r="Q251" s="794"/>
      <c r="R251" s="794"/>
      <c r="S251" s="794"/>
      <c r="T251" s="794"/>
      <c r="U251" s="794"/>
      <c r="V251" s="794"/>
    </row>
    <row r="252" spans="1:22" ht="14.5" hidden="1">
      <c r="A252" s="794"/>
      <c r="B252" s="828" t="s">
        <v>3836</v>
      </c>
      <c r="C252" s="803" t="s">
        <v>3577</v>
      </c>
      <c r="D252" s="829" t="s">
        <v>1856</v>
      </c>
      <c r="E252" s="818" t="s">
        <v>1850</v>
      </c>
      <c r="F252" s="818" t="s">
        <v>3858</v>
      </c>
      <c r="G252" s="794"/>
      <c r="H252" s="794"/>
      <c r="I252" s="794"/>
      <c r="J252" s="794"/>
      <c r="K252" s="794"/>
      <c r="L252" s="794"/>
      <c r="M252" s="794"/>
      <c r="N252" s="794"/>
      <c r="O252" s="794"/>
      <c r="P252" s="794"/>
      <c r="Q252" s="794"/>
      <c r="R252" s="794"/>
      <c r="S252" s="794"/>
      <c r="T252" s="794"/>
      <c r="U252" s="794"/>
      <c r="V252" s="794"/>
    </row>
    <row r="253" spans="1:22" ht="14.5" hidden="1">
      <c r="A253" s="794"/>
      <c r="B253" s="830"/>
      <c r="C253" s="797"/>
      <c r="D253" s="829"/>
      <c r="E253" s="824"/>
      <c r="F253" s="825"/>
      <c r="G253" s="794"/>
      <c r="H253" s="794"/>
      <c r="I253" s="794"/>
      <c r="J253" s="794"/>
      <c r="K253" s="794"/>
      <c r="L253" s="794"/>
      <c r="M253" s="794"/>
      <c r="N253" s="794"/>
      <c r="O253" s="794"/>
      <c r="P253" s="794"/>
      <c r="Q253" s="794"/>
      <c r="R253" s="794"/>
      <c r="S253" s="794"/>
      <c r="T253" s="794"/>
      <c r="U253" s="794"/>
      <c r="V253" s="794"/>
    </row>
    <row r="254" spans="1:22" ht="14.5" hidden="1">
      <c r="A254" s="794" t="s">
        <v>3859</v>
      </c>
      <c r="B254" s="830" t="s">
        <v>1551</v>
      </c>
      <c r="C254" s="796" t="s">
        <v>54</v>
      </c>
      <c r="D254" s="829" t="s">
        <v>1552</v>
      </c>
      <c r="E254" s="824" t="s">
        <v>3588</v>
      </c>
      <c r="F254" s="825" t="s">
        <v>3860</v>
      </c>
      <c r="G254" s="794" t="s">
        <v>3771</v>
      </c>
      <c r="H254" s="794"/>
      <c r="I254" s="794"/>
      <c r="J254" s="794"/>
      <c r="K254" s="794"/>
      <c r="L254" s="794"/>
      <c r="M254" s="794"/>
      <c r="N254" s="794"/>
      <c r="O254" s="794"/>
      <c r="P254" s="794"/>
      <c r="Q254" s="794"/>
      <c r="R254" s="794"/>
      <c r="S254" s="794"/>
      <c r="T254" s="794"/>
      <c r="U254" s="794"/>
      <c r="V254" s="794"/>
    </row>
    <row r="255" spans="1:22" ht="14.5" hidden="1">
      <c r="A255" s="794"/>
      <c r="B255" s="799" t="s">
        <v>943</v>
      </c>
      <c r="C255" s="796" t="s">
        <v>54</v>
      </c>
      <c r="D255" s="794" t="s">
        <v>945</v>
      </c>
      <c r="E255" s="821" t="s">
        <v>920</v>
      </c>
      <c r="F255" s="825" t="s">
        <v>3861</v>
      </c>
      <c r="G255" s="794" t="s">
        <v>3771</v>
      </c>
      <c r="H255" s="794"/>
      <c r="I255" s="794"/>
      <c r="J255" s="794"/>
      <c r="K255" s="794"/>
      <c r="L255" s="794"/>
      <c r="M255" s="794"/>
      <c r="N255" s="794"/>
      <c r="O255" s="794"/>
      <c r="P255" s="794"/>
      <c r="Q255" s="794"/>
      <c r="R255" s="794"/>
      <c r="S255" s="794"/>
      <c r="T255" s="794"/>
      <c r="U255" s="794"/>
      <c r="V255" s="794"/>
    </row>
    <row r="256" spans="1:22" ht="14.5" hidden="1">
      <c r="A256" s="794"/>
      <c r="B256" s="799"/>
      <c r="C256" s="794"/>
      <c r="D256" s="794"/>
      <c r="E256" s="794"/>
      <c r="F256" s="794"/>
      <c r="G256" s="794"/>
      <c r="H256" s="794"/>
      <c r="I256" s="794"/>
      <c r="J256" s="794"/>
      <c r="K256" s="794"/>
      <c r="L256" s="794"/>
      <c r="M256" s="794"/>
      <c r="N256" s="794"/>
      <c r="O256" s="794"/>
      <c r="P256" s="794"/>
      <c r="Q256" s="794"/>
      <c r="R256" s="794"/>
      <c r="S256" s="794"/>
      <c r="T256" s="794"/>
      <c r="U256" s="794"/>
      <c r="V256" s="794"/>
    </row>
    <row r="257" spans="1:22" ht="14.5" hidden="1">
      <c r="A257" s="792" t="s">
        <v>3862</v>
      </c>
      <c r="B257" s="810"/>
      <c r="C257" s="811"/>
      <c r="D257" s="792"/>
      <c r="E257" s="792"/>
      <c r="F257" s="792"/>
      <c r="G257" s="794"/>
      <c r="H257" s="794"/>
      <c r="I257" s="794"/>
      <c r="J257" s="794"/>
      <c r="K257" s="794"/>
      <c r="L257" s="794"/>
      <c r="M257" s="794"/>
      <c r="N257" s="794"/>
      <c r="O257" s="794"/>
      <c r="P257" s="794"/>
      <c r="Q257" s="794"/>
      <c r="R257" s="794"/>
      <c r="S257" s="794"/>
      <c r="T257" s="794"/>
      <c r="U257" s="794"/>
      <c r="V257" s="794"/>
    </row>
    <row r="258" spans="1:22" ht="14.5" hidden="1">
      <c r="A258" s="797" t="s">
        <v>3646</v>
      </c>
      <c r="B258" s="828" t="s">
        <v>1870</v>
      </c>
      <c r="C258" s="796" t="s">
        <v>54</v>
      </c>
      <c r="D258" s="829" t="s">
        <v>1872</v>
      </c>
      <c r="E258" s="818" t="s">
        <v>3863</v>
      </c>
      <c r="F258" s="825" t="s">
        <v>3864</v>
      </c>
      <c r="G258" s="794"/>
      <c r="H258" s="794"/>
      <c r="I258" s="794"/>
      <c r="J258" s="794"/>
      <c r="K258" s="794"/>
      <c r="L258" s="794"/>
      <c r="M258" s="794"/>
      <c r="N258" s="794"/>
      <c r="O258" s="794"/>
      <c r="P258" s="794"/>
      <c r="Q258" s="794"/>
      <c r="R258" s="794"/>
      <c r="S258" s="794"/>
      <c r="T258" s="794"/>
      <c r="U258" s="794"/>
      <c r="V258" s="794"/>
    </row>
    <row r="259" spans="1:22" ht="14.5" hidden="1">
      <c r="A259" s="797"/>
      <c r="B259" s="799"/>
      <c r="C259" s="797"/>
      <c r="D259" s="794"/>
      <c r="E259" s="818"/>
      <c r="F259" s="794"/>
      <c r="G259" s="794"/>
      <c r="H259" s="794"/>
      <c r="I259" s="794"/>
      <c r="J259" s="794"/>
      <c r="K259" s="794"/>
      <c r="L259" s="794"/>
      <c r="M259" s="794"/>
      <c r="N259" s="794"/>
      <c r="O259" s="794"/>
      <c r="P259" s="794"/>
      <c r="Q259" s="794"/>
      <c r="R259" s="794"/>
      <c r="S259" s="794"/>
      <c r="T259" s="794"/>
      <c r="U259" s="794"/>
      <c r="V259" s="794"/>
    </row>
    <row r="260" spans="1:22" ht="14.5" hidden="1">
      <c r="A260" s="797" t="s">
        <v>1294</v>
      </c>
      <c r="B260" s="822" t="s">
        <v>1542</v>
      </c>
      <c r="C260" s="803" t="s">
        <v>3577</v>
      </c>
      <c r="D260" s="821" t="s">
        <v>1544</v>
      </c>
      <c r="E260" s="853" t="s">
        <v>351</v>
      </c>
      <c r="F260" s="825" t="s">
        <v>3865</v>
      </c>
      <c r="G260" s="794"/>
      <c r="H260" s="794"/>
      <c r="I260" s="794"/>
      <c r="J260" s="794"/>
      <c r="K260" s="794"/>
      <c r="L260" s="794"/>
      <c r="M260" s="794"/>
      <c r="N260" s="794"/>
      <c r="O260" s="794"/>
      <c r="P260" s="794"/>
      <c r="Q260" s="794"/>
      <c r="R260" s="794"/>
      <c r="S260" s="794"/>
      <c r="T260" s="794"/>
      <c r="U260" s="794"/>
      <c r="V260" s="794"/>
    </row>
    <row r="261" spans="1:22" ht="14.5" hidden="1">
      <c r="A261" s="794"/>
      <c r="B261" s="822" t="s">
        <v>346</v>
      </c>
      <c r="C261" s="803" t="s">
        <v>3577</v>
      </c>
      <c r="D261" s="821" t="s">
        <v>348</v>
      </c>
      <c r="E261" s="853" t="s">
        <v>351</v>
      </c>
      <c r="F261" s="825" t="s">
        <v>3865</v>
      </c>
      <c r="G261" s="794"/>
      <c r="H261" s="794"/>
      <c r="I261" s="794"/>
      <c r="J261" s="794"/>
      <c r="K261" s="794"/>
      <c r="L261" s="794"/>
      <c r="M261" s="794"/>
      <c r="N261" s="794"/>
      <c r="O261" s="794"/>
      <c r="P261" s="794"/>
      <c r="Q261" s="794"/>
      <c r="R261" s="794"/>
      <c r="S261" s="794"/>
      <c r="T261" s="794"/>
      <c r="U261" s="794"/>
      <c r="V261" s="794"/>
    </row>
    <row r="262" spans="1:22" ht="14.5" hidden="1">
      <c r="A262" s="794"/>
      <c r="B262" s="799"/>
      <c r="C262" s="794"/>
      <c r="D262" s="794"/>
      <c r="E262" s="794"/>
      <c r="F262" s="794"/>
      <c r="G262" s="794"/>
      <c r="H262" s="794"/>
      <c r="I262" s="794"/>
      <c r="J262" s="794"/>
      <c r="K262" s="794"/>
      <c r="L262" s="794"/>
      <c r="M262" s="794"/>
      <c r="N262" s="794"/>
      <c r="O262" s="794"/>
      <c r="P262" s="794"/>
      <c r="Q262" s="794"/>
      <c r="R262" s="794"/>
      <c r="S262" s="794"/>
      <c r="T262" s="794"/>
      <c r="U262" s="794"/>
      <c r="V262" s="794"/>
    </row>
    <row r="263" spans="1:22" ht="14.5" hidden="1">
      <c r="A263" s="794" t="s">
        <v>3589</v>
      </c>
      <c r="B263" s="830" t="s">
        <v>1470</v>
      </c>
      <c r="C263" s="796" t="s">
        <v>54</v>
      </c>
      <c r="D263" s="794" t="s">
        <v>3792</v>
      </c>
      <c r="E263" s="840" t="s">
        <v>630</v>
      </c>
      <c r="F263" s="825" t="s">
        <v>3866</v>
      </c>
      <c r="G263" s="794"/>
      <c r="H263" s="794"/>
      <c r="I263" s="794"/>
      <c r="J263" s="794"/>
      <c r="K263" s="794"/>
      <c r="L263" s="794"/>
      <c r="M263" s="794"/>
      <c r="N263" s="794"/>
      <c r="O263" s="794"/>
      <c r="P263" s="794"/>
      <c r="Q263" s="794"/>
      <c r="R263" s="794"/>
      <c r="S263" s="794"/>
      <c r="T263" s="794"/>
      <c r="U263" s="794"/>
      <c r="V263" s="794"/>
    </row>
    <row r="264" spans="1:22" ht="14.5" hidden="1">
      <c r="A264" s="854"/>
      <c r="B264" s="855" t="s">
        <v>1483</v>
      </c>
      <c r="C264" s="796" t="s">
        <v>54</v>
      </c>
      <c r="D264" s="856" t="s">
        <v>1485</v>
      </c>
      <c r="E264" s="840" t="s">
        <v>630</v>
      </c>
      <c r="F264" s="825" t="s">
        <v>3866</v>
      </c>
      <c r="G264" s="794"/>
      <c r="H264" s="794"/>
      <c r="I264" s="794"/>
      <c r="J264" s="794"/>
      <c r="K264" s="794"/>
      <c r="L264" s="794"/>
      <c r="M264" s="794"/>
      <c r="N264" s="794"/>
      <c r="O264" s="794"/>
      <c r="P264" s="794"/>
      <c r="Q264" s="794"/>
      <c r="R264" s="794"/>
      <c r="S264" s="794"/>
      <c r="T264" s="794"/>
      <c r="U264" s="794"/>
      <c r="V264" s="794"/>
    </row>
    <row r="265" spans="1:22" ht="14.5" hidden="1">
      <c r="A265" s="794"/>
      <c r="B265" s="836" t="s">
        <v>865</v>
      </c>
      <c r="C265" s="796" t="s">
        <v>54</v>
      </c>
      <c r="D265" s="794" t="s">
        <v>867</v>
      </c>
      <c r="E265" s="821" t="s">
        <v>630</v>
      </c>
      <c r="F265" s="825" t="s">
        <v>3867</v>
      </c>
      <c r="G265" s="794"/>
      <c r="H265" s="794"/>
      <c r="I265" s="794"/>
      <c r="J265" s="794"/>
      <c r="K265" s="794"/>
      <c r="L265" s="794"/>
      <c r="M265" s="794"/>
      <c r="N265" s="794"/>
      <c r="O265" s="794"/>
      <c r="P265" s="794"/>
      <c r="Q265" s="794"/>
      <c r="R265" s="794"/>
      <c r="S265" s="794"/>
      <c r="T265" s="794"/>
      <c r="U265" s="794"/>
      <c r="V265" s="794"/>
    </row>
    <row r="266" spans="1:22" ht="14.5" hidden="1">
      <c r="A266" s="854"/>
      <c r="B266" s="855" t="s">
        <v>1050</v>
      </c>
      <c r="C266" s="796" t="s">
        <v>54</v>
      </c>
      <c r="D266" s="856" t="s">
        <v>3868</v>
      </c>
      <c r="E266" s="856" t="s">
        <v>920</v>
      </c>
      <c r="F266" s="825" t="s">
        <v>3869</v>
      </c>
      <c r="G266" s="794"/>
      <c r="H266" s="794"/>
      <c r="I266" s="794"/>
      <c r="J266" s="794"/>
      <c r="K266" s="794"/>
      <c r="L266" s="794"/>
      <c r="M266" s="794"/>
      <c r="N266" s="794"/>
      <c r="O266" s="794"/>
      <c r="P266" s="794"/>
      <c r="Q266" s="794"/>
      <c r="R266" s="794"/>
      <c r="S266" s="794"/>
      <c r="T266" s="794"/>
      <c r="U266" s="794"/>
      <c r="V266" s="794"/>
    </row>
    <row r="267" spans="1:22" ht="14.5" hidden="1">
      <c r="A267" s="854"/>
      <c r="B267" s="855" t="s">
        <v>1494</v>
      </c>
      <c r="C267" s="796" t="s">
        <v>54</v>
      </c>
      <c r="D267" s="856" t="s">
        <v>3870</v>
      </c>
      <c r="E267" s="856" t="s">
        <v>630</v>
      </c>
      <c r="F267" s="825" t="s">
        <v>3869</v>
      </c>
      <c r="G267" s="794"/>
      <c r="H267" s="794"/>
      <c r="I267" s="794"/>
      <c r="J267" s="794"/>
      <c r="K267" s="794"/>
      <c r="L267" s="794"/>
      <c r="M267" s="794"/>
      <c r="N267" s="794"/>
      <c r="O267" s="794"/>
      <c r="P267" s="794"/>
      <c r="Q267" s="794"/>
      <c r="R267" s="794"/>
      <c r="S267" s="794"/>
      <c r="T267" s="794"/>
      <c r="U267" s="794"/>
      <c r="V267" s="794"/>
    </row>
    <row r="268" spans="1:22" ht="14.5" hidden="1">
      <c r="A268" s="854"/>
      <c r="B268" s="855" t="s">
        <v>1718</v>
      </c>
      <c r="C268" s="796" t="s">
        <v>54</v>
      </c>
      <c r="D268" s="857" t="s">
        <v>3871</v>
      </c>
      <c r="E268" s="856" t="s">
        <v>1686</v>
      </c>
      <c r="F268" s="825" t="s">
        <v>3869</v>
      </c>
      <c r="G268" s="794"/>
      <c r="H268" s="794"/>
      <c r="I268" s="794"/>
      <c r="J268" s="794"/>
      <c r="K268" s="794"/>
      <c r="L268" s="794"/>
      <c r="M268" s="794"/>
      <c r="N268" s="794"/>
      <c r="O268" s="794"/>
      <c r="P268" s="794"/>
      <c r="Q268" s="794"/>
      <c r="R268" s="794"/>
      <c r="S268" s="794"/>
      <c r="T268" s="794"/>
      <c r="U268" s="794"/>
      <c r="V268" s="794"/>
    </row>
    <row r="269" spans="1:22" ht="14.5" hidden="1">
      <c r="A269" s="794"/>
      <c r="B269" s="836" t="s">
        <v>1008</v>
      </c>
      <c r="C269" s="796" t="s">
        <v>54</v>
      </c>
      <c r="D269" s="794" t="s">
        <v>1010</v>
      </c>
      <c r="E269" s="821" t="s">
        <v>920</v>
      </c>
      <c r="F269" s="825" t="s">
        <v>3872</v>
      </c>
      <c r="G269" s="794"/>
      <c r="H269" s="794"/>
      <c r="I269" s="794"/>
      <c r="J269" s="794"/>
      <c r="K269" s="794"/>
      <c r="L269" s="794"/>
      <c r="M269" s="794"/>
      <c r="N269" s="794"/>
      <c r="O269" s="794"/>
      <c r="P269" s="794"/>
      <c r="Q269" s="794"/>
      <c r="R269" s="794"/>
      <c r="S269" s="794"/>
      <c r="T269" s="794"/>
      <c r="U269" s="794"/>
      <c r="V269" s="794"/>
    </row>
    <row r="270" spans="1:22" ht="14.5" hidden="1">
      <c r="A270" s="854"/>
      <c r="B270" s="855" t="s">
        <v>1104</v>
      </c>
      <c r="C270" s="796" t="s">
        <v>54</v>
      </c>
      <c r="D270" s="856" t="s">
        <v>1106</v>
      </c>
      <c r="E270" s="840" t="s">
        <v>630</v>
      </c>
      <c r="F270" s="825" t="s">
        <v>3873</v>
      </c>
      <c r="G270" s="794"/>
      <c r="H270" s="794"/>
      <c r="I270" s="794"/>
      <c r="J270" s="794"/>
      <c r="K270" s="794"/>
      <c r="L270" s="794"/>
      <c r="M270" s="794"/>
      <c r="N270" s="794"/>
      <c r="O270" s="794"/>
      <c r="P270" s="794"/>
      <c r="Q270" s="794"/>
      <c r="R270" s="794"/>
      <c r="S270" s="794"/>
      <c r="T270" s="794"/>
      <c r="U270" s="794"/>
      <c r="V270" s="794"/>
    </row>
    <row r="271" spans="1:22" ht="14.5" hidden="1">
      <c r="A271" s="854"/>
      <c r="B271" s="858"/>
      <c r="C271" s="859"/>
      <c r="D271" s="854"/>
      <c r="E271" s="854"/>
      <c r="F271" s="854"/>
      <c r="G271" s="794"/>
      <c r="H271" s="794"/>
      <c r="I271" s="794"/>
      <c r="J271" s="794"/>
      <c r="K271" s="794"/>
      <c r="L271" s="794"/>
      <c r="M271" s="794"/>
      <c r="N271" s="794"/>
      <c r="O271" s="794"/>
      <c r="P271" s="794"/>
      <c r="Q271" s="794"/>
      <c r="R271" s="794"/>
      <c r="S271" s="794"/>
      <c r="T271" s="794"/>
      <c r="U271" s="794"/>
      <c r="V271" s="794"/>
    </row>
    <row r="272" spans="1:22" ht="14.5" hidden="1">
      <c r="A272" s="794" t="s">
        <v>3845</v>
      </c>
      <c r="B272" s="836" t="s">
        <v>1008</v>
      </c>
      <c r="C272" s="796" t="s">
        <v>54</v>
      </c>
      <c r="D272" s="794" t="s">
        <v>1010</v>
      </c>
      <c r="E272" s="821" t="s">
        <v>920</v>
      </c>
      <c r="F272" s="825" t="s">
        <v>3874</v>
      </c>
      <c r="G272" s="794" t="s">
        <v>3848</v>
      </c>
      <c r="H272" s="794"/>
      <c r="I272" s="794"/>
      <c r="J272" s="794"/>
      <c r="K272" s="794"/>
      <c r="L272" s="794"/>
      <c r="M272" s="794"/>
      <c r="N272" s="794"/>
      <c r="O272" s="794"/>
      <c r="P272" s="794"/>
      <c r="Q272" s="794"/>
      <c r="R272" s="794"/>
      <c r="S272" s="821"/>
      <c r="T272" s="825"/>
      <c r="U272" s="794"/>
      <c r="V272" s="794"/>
    </row>
    <row r="273" spans="1:22" ht="14.5" hidden="1">
      <c r="A273" s="794"/>
      <c r="B273" s="830" t="s">
        <v>1470</v>
      </c>
      <c r="C273" s="860" t="s">
        <v>54</v>
      </c>
      <c r="D273" s="844" t="s">
        <v>3792</v>
      </c>
      <c r="E273" s="861" t="s">
        <v>630</v>
      </c>
      <c r="F273" s="846" t="s">
        <v>3875</v>
      </c>
      <c r="G273" s="794" t="s">
        <v>3848</v>
      </c>
      <c r="H273" s="844"/>
      <c r="I273" s="794"/>
      <c r="J273" s="794"/>
      <c r="K273" s="794"/>
      <c r="L273" s="794"/>
      <c r="M273" s="794"/>
      <c r="N273" s="794"/>
      <c r="O273" s="794"/>
      <c r="P273" s="794"/>
      <c r="Q273" s="794"/>
      <c r="R273" s="794"/>
      <c r="S273" s="844"/>
      <c r="T273" s="844"/>
      <c r="U273" s="844"/>
      <c r="V273" s="844"/>
    </row>
    <row r="274" spans="1:22" ht="14.5" hidden="1">
      <c r="A274" s="854"/>
      <c r="B274" s="855" t="s">
        <v>1483</v>
      </c>
      <c r="C274" s="796" t="s">
        <v>54</v>
      </c>
      <c r="D274" s="856" t="s">
        <v>1485</v>
      </c>
      <c r="E274" s="840" t="s">
        <v>630</v>
      </c>
      <c r="F274" s="846" t="s">
        <v>3875</v>
      </c>
      <c r="G274" s="794" t="s">
        <v>3848</v>
      </c>
      <c r="H274" s="794"/>
      <c r="I274" s="794"/>
      <c r="J274" s="794"/>
      <c r="K274" s="794"/>
      <c r="L274" s="794"/>
      <c r="M274" s="794"/>
      <c r="N274" s="794"/>
      <c r="O274" s="794"/>
      <c r="P274" s="794"/>
      <c r="Q274" s="794"/>
      <c r="R274" s="794"/>
      <c r="S274" s="794"/>
      <c r="T274" s="794"/>
      <c r="U274" s="794"/>
      <c r="V274" s="794"/>
    </row>
    <row r="275" spans="1:22" ht="14.5" hidden="1">
      <c r="A275" s="794"/>
      <c r="B275" s="836" t="s">
        <v>865</v>
      </c>
      <c r="C275" s="796" t="s">
        <v>54</v>
      </c>
      <c r="D275" s="794" t="s">
        <v>867</v>
      </c>
      <c r="E275" s="821" t="s">
        <v>630</v>
      </c>
      <c r="F275" s="825" t="s">
        <v>3876</v>
      </c>
      <c r="G275" s="794" t="s">
        <v>3848</v>
      </c>
      <c r="H275" s="794"/>
      <c r="I275" s="794"/>
      <c r="J275" s="794"/>
      <c r="K275" s="794"/>
      <c r="L275" s="794"/>
      <c r="M275" s="794"/>
      <c r="N275" s="794"/>
      <c r="O275" s="794"/>
      <c r="P275" s="794"/>
      <c r="Q275" s="794"/>
      <c r="R275" s="794"/>
      <c r="S275" s="794"/>
      <c r="T275" s="794"/>
      <c r="U275" s="794"/>
      <c r="V275" s="794"/>
    </row>
    <row r="276" spans="1:22" ht="14.5" hidden="1">
      <c r="A276" s="854"/>
      <c r="B276" s="855" t="s">
        <v>1050</v>
      </c>
      <c r="C276" s="796" t="s">
        <v>54</v>
      </c>
      <c r="D276" s="856" t="s">
        <v>3868</v>
      </c>
      <c r="E276" s="856" t="s">
        <v>920</v>
      </c>
      <c r="F276" s="825" t="s">
        <v>3877</v>
      </c>
      <c r="G276" s="794" t="s">
        <v>3848</v>
      </c>
      <c r="H276" s="794"/>
      <c r="I276" s="794"/>
      <c r="J276" s="794"/>
      <c r="K276" s="794"/>
      <c r="L276" s="794"/>
      <c r="M276" s="794"/>
      <c r="N276" s="794"/>
      <c r="O276" s="794"/>
      <c r="P276" s="794"/>
      <c r="Q276" s="794"/>
      <c r="R276" s="794"/>
      <c r="S276" s="794"/>
      <c r="T276" s="794"/>
      <c r="U276" s="794"/>
      <c r="V276" s="794"/>
    </row>
    <row r="277" spans="1:22" ht="14.5" hidden="1">
      <c r="A277" s="854"/>
      <c r="B277" s="855" t="s">
        <v>1494</v>
      </c>
      <c r="C277" s="796" t="s">
        <v>54</v>
      </c>
      <c r="D277" s="856" t="s">
        <v>3870</v>
      </c>
      <c r="E277" s="856" t="s">
        <v>630</v>
      </c>
      <c r="F277" s="825" t="s">
        <v>3877</v>
      </c>
      <c r="G277" s="794" t="s">
        <v>3848</v>
      </c>
      <c r="H277" s="794"/>
      <c r="I277" s="794"/>
      <c r="J277" s="794"/>
      <c r="K277" s="794"/>
      <c r="L277" s="794"/>
      <c r="M277" s="794"/>
      <c r="N277" s="794"/>
      <c r="O277" s="794"/>
      <c r="P277" s="794"/>
      <c r="Q277" s="794"/>
      <c r="R277" s="794"/>
      <c r="S277" s="794"/>
      <c r="T277" s="794"/>
      <c r="U277" s="794"/>
      <c r="V277" s="794"/>
    </row>
    <row r="278" spans="1:22" ht="14.5" hidden="1">
      <c r="A278" s="854"/>
      <c r="B278" s="855" t="s">
        <v>1718</v>
      </c>
      <c r="C278" s="796" t="s">
        <v>54</v>
      </c>
      <c r="D278" s="857" t="s">
        <v>3871</v>
      </c>
      <c r="E278" s="856" t="s">
        <v>1686</v>
      </c>
      <c r="F278" s="825" t="s">
        <v>3877</v>
      </c>
      <c r="G278" s="794" t="s">
        <v>3848</v>
      </c>
      <c r="H278" s="794"/>
      <c r="I278" s="794"/>
      <c r="J278" s="813"/>
      <c r="K278" s="813"/>
      <c r="L278" s="813"/>
      <c r="M278" s="813"/>
      <c r="N278" s="813"/>
      <c r="O278" s="813"/>
      <c r="P278" s="813"/>
      <c r="Q278" s="813"/>
      <c r="R278" s="813"/>
      <c r="S278" s="813"/>
      <c r="T278" s="794"/>
      <c r="U278" s="794"/>
      <c r="V278" s="794"/>
    </row>
    <row r="279" spans="1:22" ht="14.5" hidden="1">
      <c r="A279" s="854"/>
      <c r="B279" s="822" t="s">
        <v>2489</v>
      </c>
      <c r="C279" s="803" t="s">
        <v>3577</v>
      </c>
      <c r="D279" s="821" t="s">
        <v>333</v>
      </c>
      <c r="E279" s="821" t="s">
        <v>336</v>
      </c>
      <c r="F279" s="794" t="s">
        <v>3878</v>
      </c>
      <c r="G279" s="794"/>
      <c r="H279" s="794"/>
      <c r="I279" s="794"/>
      <c r="J279" s="813"/>
      <c r="K279" s="813"/>
      <c r="L279" s="813"/>
      <c r="M279" s="813"/>
      <c r="N279" s="813"/>
      <c r="O279" s="813"/>
      <c r="P279" s="813"/>
      <c r="Q279" s="813"/>
      <c r="R279" s="813"/>
      <c r="S279" s="813"/>
      <c r="T279" s="794"/>
      <c r="U279" s="794"/>
      <c r="V279" s="794"/>
    </row>
    <row r="280" spans="1:22" ht="14.5" hidden="1">
      <c r="A280" s="854"/>
      <c r="B280" s="822" t="s">
        <v>394</v>
      </c>
      <c r="C280" s="803" t="s">
        <v>3577</v>
      </c>
      <c r="D280" s="821" t="s">
        <v>396</v>
      </c>
      <c r="E280" s="821" t="s">
        <v>336</v>
      </c>
      <c r="F280" s="794" t="s">
        <v>3878</v>
      </c>
      <c r="G280" s="813"/>
      <c r="H280" s="794"/>
      <c r="I280" s="794"/>
      <c r="J280" s="813"/>
      <c r="K280" s="813"/>
      <c r="L280" s="813"/>
      <c r="M280" s="813"/>
      <c r="N280" s="813"/>
      <c r="O280" s="813"/>
      <c r="P280" s="813"/>
      <c r="Q280" s="813"/>
      <c r="R280" s="813"/>
      <c r="S280" s="813"/>
      <c r="T280" s="794"/>
      <c r="U280" s="794"/>
      <c r="V280" s="794"/>
    </row>
    <row r="281" spans="1:22" ht="14.5" hidden="1">
      <c r="A281" s="797" t="s">
        <v>3879</v>
      </c>
      <c r="B281" s="828" t="s">
        <v>1870</v>
      </c>
      <c r="C281" s="796" t="s">
        <v>54</v>
      </c>
      <c r="D281" s="829" t="s">
        <v>1872</v>
      </c>
      <c r="E281" s="818" t="s">
        <v>3863</v>
      </c>
      <c r="F281" s="825" t="s">
        <v>3880</v>
      </c>
      <c r="G281" s="794" t="s">
        <v>3848</v>
      </c>
      <c r="H281" s="794"/>
      <c r="I281" s="794"/>
      <c r="J281" s="794"/>
      <c r="K281" s="794"/>
      <c r="L281" s="794"/>
      <c r="M281" s="794"/>
      <c r="N281" s="794"/>
      <c r="O281" s="794"/>
      <c r="P281" s="794"/>
      <c r="Q281" s="794"/>
      <c r="R281" s="794"/>
      <c r="S281" s="794"/>
      <c r="T281" s="794"/>
      <c r="U281" s="794"/>
      <c r="V281" s="794"/>
    </row>
    <row r="282" spans="1:22" ht="14.5" hidden="1">
      <c r="A282" s="854"/>
      <c r="B282" s="855" t="s">
        <v>1104</v>
      </c>
      <c r="C282" s="796" t="s">
        <v>54</v>
      </c>
      <c r="D282" s="856" t="s">
        <v>1106</v>
      </c>
      <c r="E282" s="840" t="s">
        <v>630</v>
      </c>
      <c r="F282" s="825" t="s">
        <v>3881</v>
      </c>
      <c r="G282" s="794" t="s">
        <v>3848</v>
      </c>
      <c r="H282" s="794"/>
      <c r="I282" s="794"/>
      <c r="J282" s="794"/>
      <c r="K282" s="794"/>
      <c r="L282" s="794"/>
      <c r="M282" s="794"/>
      <c r="N282" s="794"/>
      <c r="O282" s="794"/>
      <c r="P282" s="794"/>
      <c r="Q282" s="794"/>
      <c r="R282" s="794"/>
      <c r="S282" s="794"/>
      <c r="T282" s="794"/>
      <c r="U282" s="794"/>
      <c r="V282" s="794"/>
    </row>
    <row r="283" spans="1:22" ht="14.5" hidden="1">
      <c r="A283" s="844"/>
      <c r="B283" s="830"/>
      <c r="C283" s="862"/>
      <c r="D283" s="829"/>
      <c r="E283" s="831"/>
      <c r="F283" s="846"/>
      <c r="G283" s="844"/>
      <c r="H283" s="844"/>
      <c r="I283" s="844"/>
      <c r="J283" s="844"/>
      <c r="K283" s="844"/>
      <c r="L283" s="844"/>
      <c r="M283" s="844"/>
      <c r="N283" s="844"/>
      <c r="O283" s="844"/>
      <c r="P283" s="844"/>
      <c r="Q283" s="844"/>
      <c r="R283" s="844"/>
      <c r="S283" s="844"/>
      <c r="T283" s="844"/>
      <c r="U283" s="844"/>
      <c r="V283" s="844"/>
    </row>
    <row r="284" spans="1:22" ht="14.5" hidden="1">
      <c r="A284" s="794" t="s">
        <v>67</v>
      </c>
      <c r="B284" s="816" t="s">
        <v>1249</v>
      </c>
      <c r="C284" s="843" t="s">
        <v>3577</v>
      </c>
      <c r="D284" s="845" t="s">
        <v>1251</v>
      </c>
      <c r="E284" s="824" t="s">
        <v>200</v>
      </c>
      <c r="F284" s="825" t="s">
        <v>3882</v>
      </c>
      <c r="G284" s="801" t="s">
        <v>3771</v>
      </c>
      <c r="H284" s="806" t="s">
        <v>3883</v>
      </c>
      <c r="I284" s="794"/>
      <c r="J284" s="794"/>
      <c r="K284" s="794"/>
      <c r="L284" s="794"/>
      <c r="M284" s="794"/>
      <c r="N284" s="794"/>
      <c r="O284" s="794"/>
      <c r="P284" s="794"/>
      <c r="Q284" s="794"/>
      <c r="R284" s="794"/>
      <c r="S284" s="794"/>
      <c r="T284" s="794"/>
      <c r="U284" s="794"/>
      <c r="V284" s="794"/>
    </row>
    <row r="285" spans="1:22" ht="14.5" hidden="1">
      <c r="A285" s="844"/>
      <c r="B285" s="830"/>
      <c r="C285" s="862"/>
      <c r="D285" s="829"/>
      <c r="E285" s="831"/>
      <c r="F285" s="846"/>
      <c r="G285" s="844"/>
      <c r="H285" s="844"/>
      <c r="I285" s="844"/>
      <c r="J285" s="844"/>
      <c r="K285" s="844"/>
      <c r="L285" s="844"/>
      <c r="M285" s="844"/>
      <c r="N285" s="844"/>
      <c r="O285" s="844"/>
      <c r="P285" s="844"/>
      <c r="Q285" s="844"/>
      <c r="R285" s="844"/>
      <c r="S285" s="844"/>
      <c r="T285" s="844"/>
      <c r="U285" s="844"/>
      <c r="V285" s="844"/>
    </row>
    <row r="286" spans="1:22" ht="14.5" hidden="1">
      <c r="A286" s="797" t="s">
        <v>3575</v>
      </c>
      <c r="B286" s="830"/>
      <c r="C286" s="796" t="s">
        <v>54</v>
      </c>
      <c r="D286" s="829" t="s">
        <v>3884</v>
      </c>
      <c r="E286" s="831"/>
      <c r="F286" s="846" t="s">
        <v>3885</v>
      </c>
      <c r="G286" s="844"/>
      <c r="H286" s="844"/>
      <c r="I286" s="844"/>
      <c r="J286" s="844"/>
      <c r="K286" s="844"/>
      <c r="L286" s="844"/>
      <c r="M286" s="844"/>
      <c r="N286" s="844"/>
      <c r="O286" s="844"/>
      <c r="P286" s="844"/>
      <c r="Q286" s="844"/>
      <c r="R286" s="844"/>
      <c r="S286" s="844"/>
      <c r="T286" s="844"/>
      <c r="U286" s="844"/>
      <c r="V286" s="844"/>
    </row>
    <row r="287" spans="1:22" ht="14.5" hidden="1">
      <c r="A287" s="797"/>
      <c r="B287" s="828" t="s">
        <v>1870</v>
      </c>
      <c r="C287" s="796" t="s">
        <v>54</v>
      </c>
      <c r="D287" s="829" t="s">
        <v>1872</v>
      </c>
      <c r="E287" s="818" t="s">
        <v>3863</v>
      </c>
      <c r="F287" s="825" t="s">
        <v>3886</v>
      </c>
      <c r="G287" s="794" t="s">
        <v>556</v>
      </c>
      <c r="H287" s="794"/>
      <c r="I287" s="794"/>
      <c r="J287" s="794"/>
      <c r="K287" s="794"/>
      <c r="L287" s="794"/>
      <c r="M287" s="794"/>
      <c r="N287" s="794"/>
      <c r="O287" s="794"/>
      <c r="P287" s="794"/>
      <c r="Q287" s="794"/>
      <c r="R287" s="794"/>
      <c r="S287" s="794"/>
      <c r="T287" s="794"/>
      <c r="U287" s="794"/>
      <c r="V287" s="794"/>
    </row>
    <row r="288" spans="1:22" ht="14.5" hidden="1">
      <c r="A288" s="854"/>
      <c r="B288" s="858"/>
      <c r="C288" s="859"/>
      <c r="D288" s="854"/>
      <c r="E288" s="854"/>
      <c r="F288" s="854"/>
      <c r="G288" s="794"/>
      <c r="H288" s="794"/>
      <c r="I288" s="794"/>
      <c r="J288" s="813"/>
      <c r="K288" s="813"/>
      <c r="L288" s="813"/>
      <c r="M288" s="813"/>
      <c r="N288" s="813"/>
      <c r="O288" s="813"/>
      <c r="P288" s="813"/>
      <c r="Q288" s="813"/>
      <c r="R288" s="813"/>
      <c r="S288" s="813"/>
      <c r="T288" s="794"/>
      <c r="U288" s="794"/>
      <c r="V288" s="794"/>
    </row>
    <row r="289" spans="1:22" ht="14.5" hidden="1">
      <c r="A289" s="792" t="s">
        <v>3887</v>
      </c>
      <c r="B289" s="810"/>
      <c r="C289" s="811"/>
      <c r="D289" s="792"/>
      <c r="E289" s="792"/>
      <c r="F289" s="792"/>
      <c r="G289" s="794"/>
      <c r="H289" s="794"/>
      <c r="I289" s="794"/>
      <c r="J289" s="813"/>
      <c r="K289" s="813"/>
      <c r="L289" s="813"/>
      <c r="M289" s="813"/>
      <c r="N289" s="813"/>
      <c r="O289" s="813"/>
      <c r="P289" s="813"/>
      <c r="Q289" s="813"/>
      <c r="R289" s="813"/>
      <c r="S289" s="813"/>
      <c r="T289" s="794"/>
      <c r="U289" s="794"/>
      <c r="V289" s="794"/>
    </row>
    <row r="290" spans="1:22" ht="14.5" hidden="1">
      <c r="A290" s="797" t="s">
        <v>3646</v>
      </c>
      <c r="B290" s="863" t="s">
        <v>1889</v>
      </c>
      <c r="C290" s="796" t="s">
        <v>54</v>
      </c>
      <c r="D290" s="829" t="s">
        <v>859</v>
      </c>
      <c r="E290" s="824" t="s">
        <v>3728</v>
      </c>
      <c r="F290" s="825" t="s">
        <v>3888</v>
      </c>
      <c r="G290" s="794"/>
      <c r="H290" s="794"/>
      <c r="I290" s="794"/>
      <c r="J290" s="794"/>
      <c r="K290" s="794"/>
      <c r="L290" s="794"/>
      <c r="M290" s="794"/>
      <c r="N290" s="794"/>
      <c r="O290" s="794"/>
      <c r="P290" s="794"/>
      <c r="Q290" s="794"/>
      <c r="R290" s="794"/>
      <c r="S290" s="794"/>
      <c r="T290" s="794"/>
      <c r="U290" s="794"/>
      <c r="V290" s="794"/>
    </row>
    <row r="291" spans="1:22" ht="14.5" hidden="1">
      <c r="A291" s="797"/>
      <c r="B291" s="802" t="s">
        <v>1883</v>
      </c>
      <c r="C291" s="796" t="s">
        <v>54</v>
      </c>
      <c r="D291" s="794" t="s">
        <v>818</v>
      </c>
      <c r="E291" s="818" t="s">
        <v>3889</v>
      </c>
      <c r="F291" s="849" t="s">
        <v>3890</v>
      </c>
      <c r="G291" s="794"/>
      <c r="H291" s="794"/>
      <c r="I291" s="794"/>
      <c r="J291" s="794"/>
      <c r="K291" s="794"/>
      <c r="L291" s="794"/>
      <c r="M291" s="794"/>
      <c r="N291" s="794"/>
      <c r="O291" s="794"/>
      <c r="P291" s="794"/>
      <c r="Q291" s="794"/>
      <c r="R291" s="794"/>
      <c r="S291" s="794"/>
      <c r="T291" s="794"/>
      <c r="U291" s="794"/>
      <c r="V291" s="794"/>
    </row>
    <row r="292" spans="1:22" ht="14.5" hidden="1">
      <c r="A292" s="797"/>
      <c r="B292" s="799"/>
      <c r="C292" s="794"/>
      <c r="D292" s="794"/>
      <c r="E292" s="818"/>
      <c r="F292" s="818"/>
      <c r="G292" s="794"/>
      <c r="H292" s="794"/>
      <c r="I292" s="794"/>
      <c r="J292" s="794"/>
      <c r="K292" s="794"/>
      <c r="L292" s="794"/>
      <c r="M292" s="794"/>
      <c r="N292" s="794"/>
      <c r="O292" s="794"/>
      <c r="P292" s="794"/>
      <c r="Q292" s="794"/>
      <c r="R292" s="794"/>
      <c r="S292" s="794"/>
      <c r="T292" s="794"/>
      <c r="U292" s="794"/>
      <c r="V292" s="794"/>
    </row>
    <row r="293" spans="1:22" ht="14.5" hidden="1">
      <c r="A293" s="797" t="s">
        <v>1294</v>
      </c>
      <c r="B293" s="799" t="s">
        <v>3828</v>
      </c>
      <c r="C293" s="803" t="s">
        <v>3577</v>
      </c>
      <c r="D293" s="794" t="s">
        <v>3891</v>
      </c>
      <c r="E293" s="818" t="s">
        <v>106</v>
      </c>
      <c r="F293" s="849" t="s">
        <v>3892</v>
      </c>
      <c r="G293" s="794"/>
      <c r="H293" s="794"/>
      <c r="I293" s="794"/>
      <c r="J293" s="794"/>
      <c r="K293" s="794"/>
      <c r="L293" s="794"/>
      <c r="M293" s="794"/>
      <c r="N293" s="794"/>
      <c r="O293" s="794"/>
      <c r="P293" s="794"/>
      <c r="Q293" s="794"/>
      <c r="R293" s="794"/>
      <c r="S293" s="794"/>
      <c r="T293" s="794"/>
      <c r="U293" s="794"/>
      <c r="V293" s="794"/>
    </row>
    <row r="294" spans="1:22" ht="14.5" hidden="1">
      <c r="A294" s="794"/>
      <c r="B294" s="799" t="s">
        <v>3821</v>
      </c>
      <c r="C294" s="803" t="s">
        <v>3577</v>
      </c>
      <c r="D294" s="794" t="s">
        <v>3893</v>
      </c>
      <c r="E294" s="818" t="s">
        <v>1200</v>
      </c>
      <c r="F294" s="849" t="s">
        <v>3894</v>
      </c>
      <c r="G294" s="794"/>
      <c r="H294" s="794"/>
      <c r="I294" s="794"/>
      <c r="J294" s="794"/>
      <c r="K294" s="794"/>
      <c r="L294" s="794"/>
      <c r="M294" s="794"/>
      <c r="N294" s="794"/>
      <c r="O294" s="794"/>
      <c r="P294" s="794"/>
      <c r="Q294" s="794"/>
      <c r="R294" s="794"/>
      <c r="S294" s="794"/>
      <c r="T294" s="794"/>
      <c r="U294" s="794"/>
      <c r="V294" s="794"/>
    </row>
    <row r="295" spans="1:22" ht="14.5" hidden="1">
      <c r="A295" s="794"/>
      <c r="B295" s="799" t="s">
        <v>721</v>
      </c>
      <c r="C295" s="796" t="s">
        <v>54</v>
      </c>
      <c r="D295" s="821" t="s">
        <v>723</v>
      </c>
      <c r="E295" s="818" t="s">
        <v>3566</v>
      </c>
      <c r="F295" s="818" t="s">
        <v>3895</v>
      </c>
      <c r="G295" s="794"/>
      <c r="H295" s="794"/>
      <c r="I295" s="794"/>
      <c r="J295" s="794"/>
      <c r="K295" s="794"/>
      <c r="L295" s="794"/>
      <c r="M295" s="794"/>
      <c r="N295" s="794"/>
      <c r="O295" s="794"/>
      <c r="P295" s="794"/>
      <c r="Q295" s="794"/>
      <c r="R295" s="794"/>
      <c r="S295" s="794"/>
      <c r="T295" s="794"/>
      <c r="U295" s="794"/>
      <c r="V295" s="794"/>
    </row>
    <row r="296" spans="1:22" ht="14.5" hidden="1">
      <c r="A296" s="813"/>
      <c r="B296" s="814" t="s">
        <v>811</v>
      </c>
      <c r="C296" s="796" t="s">
        <v>54</v>
      </c>
      <c r="D296" s="813" t="s">
        <v>805</v>
      </c>
      <c r="E296" s="813" t="s">
        <v>630</v>
      </c>
      <c r="F296" s="813" t="s">
        <v>3896</v>
      </c>
      <c r="G296" s="813"/>
      <c r="H296" s="813"/>
      <c r="I296" s="813"/>
      <c r="J296" s="813"/>
      <c r="K296" s="813"/>
      <c r="L296" s="813"/>
      <c r="M296" s="813"/>
      <c r="N296" s="813"/>
      <c r="O296" s="813"/>
      <c r="P296" s="813"/>
      <c r="Q296" s="813"/>
      <c r="R296" s="813"/>
      <c r="S296" s="813"/>
      <c r="T296" s="813"/>
      <c r="U296" s="813"/>
      <c r="V296" s="813"/>
    </row>
    <row r="297" spans="1:22" ht="14.5" hidden="1">
      <c r="A297" s="794"/>
      <c r="B297" s="799" t="s">
        <v>3742</v>
      </c>
      <c r="C297" s="803" t="s">
        <v>3577</v>
      </c>
      <c r="D297" s="794" t="s">
        <v>3897</v>
      </c>
      <c r="E297" s="818" t="s">
        <v>200</v>
      </c>
      <c r="F297" s="849" t="s">
        <v>3898</v>
      </c>
      <c r="G297" s="794"/>
      <c r="H297" s="794"/>
      <c r="I297" s="794"/>
      <c r="J297" s="794"/>
      <c r="K297" s="794"/>
      <c r="L297" s="794"/>
      <c r="M297" s="794"/>
      <c r="N297" s="794"/>
      <c r="O297" s="794"/>
      <c r="P297" s="794"/>
      <c r="Q297" s="794"/>
      <c r="R297" s="794"/>
      <c r="S297" s="794"/>
      <c r="T297" s="794"/>
      <c r="U297" s="794"/>
      <c r="V297" s="794"/>
    </row>
    <row r="298" spans="1:22" ht="14.5" hidden="1">
      <c r="A298" s="797"/>
      <c r="B298" s="799" t="s">
        <v>3831</v>
      </c>
      <c r="C298" s="803" t="s">
        <v>3577</v>
      </c>
      <c r="D298" s="794" t="s">
        <v>3899</v>
      </c>
      <c r="E298" s="818" t="s">
        <v>106</v>
      </c>
      <c r="F298" s="849" t="s">
        <v>3900</v>
      </c>
      <c r="G298" s="794"/>
      <c r="H298" s="794"/>
      <c r="I298" s="794"/>
      <c r="J298" s="794"/>
      <c r="K298" s="794"/>
      <c r="L298" s="794"/>
      <c r="M298" s="794"/>
      <c r="N298" s="794"/>
      <c r="O298" s="794"/>
      <c r="P298" s="794"/>
      <c r="Q298" s="794"/>
      <c r="R298" s="794"/>
      <c r="S298" s="794"/>
      <c r="T298" s="794"/>
      <c r="U298" s="794"/>
      <c r="V298" s="794"/>
    </row>
    <row r="299" spans="1:22" ht="14.5" hidden="1">
      <c r="A299" s="794"/>
      <c r="B299" s="814" t="s">
        <v>3824</v>
      </c>
      <c r="C299" s="803" t="s">
        <v>3577</v>
      </c>
      <c r="D299" s="813" t="s">
        <v>1262</v>
      </c>
      <c r="E299" s="829" t="s">
        <v>200</v>
      </c>
      <c r="F299" s="849" t="s">
        <v>3894</v>
      </c>
      <c r="G299" s="794"/>
      <c r="H299" s="794"/>
      <c r="I299" s="794"/>
      <c r="J299" s="794"/>
      <c r="K299" s="794"/>
      <c r="L299" s="794"/>
      <c r="M299" s="794"/>
      <c r="N299" s="794"/>
      <c r="O299" s="794"/>
      <c r="P299" s="794"/>
      <c r="Q299" s="794"/>
      <c r="R299" s="794"/>
      <c r="S299" s="794"/>
      <c r="T299" s="794"/>
      <c r="U299" s="794"/>
      <c r="V299" s="794"/>
    </row>
    <row r="300" spans="1:22" ht="14.5" hidden="1">
      <c r="A300" s="794"/>
      <c r="B300" s="814" t="s">
        <v>3826</v>
      </c>
      <c r="C300" s="803" t="s">
        <v>3577</v>
      </c>
      <c r="D300" s="813" t="s">
        <v>1279</v>
      </c>
      <c r="E300" s="829" t="s">
        <v>200</v>
      </c>
      <c r="F300" s="849" t="s">
        <v>3901</v>
      </c>
      <c r="G300" s="794"/>
      <c r="H300" s="794"/>
      <c r="I300" s="794"/>
      <c r="J300" s="794"/>
      <c r="K300" s="794"/>
      <c r="L300" s="794"/>
      <c r="M300" s="794"/>
      <c r="N300" s="794"/>
      <c r="O300" s="794"/>
      <c r="P300" s="794"/>
      <c r="Q300" s="794"/>
      <c r="R300" s="794"/>
      <c r="S300" s="794"/>
      <c r="T300" s="794"/>
      <c r="U300" s="794"/>
      <c r="V300" s="794"/>
    </row>
    <row r="301" spans="1:22" ht="14.5" hidden="1">
      <c r="A301" s="813"/>
      <c r="B301" s="814" t="s">
        <v>3902</v>
      </c>
      <c r="C301" s="796" t="s">
        <v>54</v>
      </c>
      <c r="D301" s="813" t="s">
        <v>1169</v>
      </c>
      <c r="E301" s="813" t="s">
        <v>3903</v>
      </c>
      <c r="F301" s="813" t="s">
        <v>3904</v>
      </c>
      <c r="G301" s="813"/>
      <c r="H301" s="813"/>
      <c r="I301" s="813"/>
      <c r="J301" s="813"/>
      <c r="K301" s="813"/>
      <c r="L301" s="813"/>
      <c r="M301" s="813"/>
      <c r="N301" s="813"/>
      <c r="O301" s="813"/>
      <c r="P301" s="813"/>
      <c r="Q301" s="813"/>
      <c r="R301" s="813"/>
      <c r="S301" s="813"/>
      <c r="T301" s="813"/>
      <c r="U301" s="813"/>
      <c r="V301" s="813"/>
    </row>
    <row r="302" spans="1:22" ht="14.5" hidden="1">
      <c r="A302" s="813"/>
      <c r="B302" s="814"/>
      <c r="C302" s="813"/>
      <c r="D302" s="813"/>
      <c r="E302" s="813"/>
      <c r="F302" s="813"/>
      <c r="G302" s="813"/>
      <c r="H302" s="813"/>
      <c r="I302" s="813"/>
      <c r="J302" s="813"/>
      <c r="K302" s="813"/>
      <c r="L302" s="813"/>
      <c r="M302" s="813"/>
      <c r="N302" s="813"/>
      <c r="O302" s="813"/>
      <c r="P302" s="813"/>
      <c r="Q302" s="813"/>
      <c r="R302" s="813"/>
      <c r="S302" s="813"/>
      <c r="T302" s="813"/>
      <c r="U302" s="813"/>
      <c r="V302" s="813"/>
    </row>
    <row r="303" spans="1:22" ht="14.5" hidden="1">
      <c r="A303" s="794" t="s">
        <v>3845</v>
      </c>
      <c r="B303" s="863" t="s">
        <v>1889</v>
      </c>
      <c r="C303" s="796" t="s">
        <v>54</v>
      </c>
      <c r="D303" s="829" t="s">
        <v>859</v>
      </c>
      <c r="E303" s="824" t="s">
        <v>3728</v>
      </c>
      <c r="F303" s="825" t="s">
        <v>3905</v>
      </c>
      <c r="G303" s="794" t="s">
        <v>3848</v>
      </c>
      <c r="H303" s="794"/>
      <c r="I303" s="794"/>
      <c r="J303" s="794"/>
      <c r="K303" s="794"/>
      <c r="L303" s="794"/>
      <c r="M303" s="794"/>
      <c r="N303" s="794"/>
      <c r="O303" s="794"/>
      <c r="P303" s="794"/>
      <c r="Q303" s="794"/>
      <c r="R303" s="794"/>
      <c r="S303" s="794"/>
      <c r="T303" s="794"/>
      <c r="U303" s="794"/>
      <c r="V303" s="794"/>
    </row>
    <row r="304" spans="1:22" ht="14.5" hidden="1">
      <c r="A304" s="797"/>
      <c r="B304" s="802" t="s">
        <v>1883</v>
      </c>
      <c r="C304" s="796" t="s">
        <v>54</v>
      </c>
      <c r="D304" s="794" t="s">
        <v>818</v>
      </c>
      <c r="E304" s="818" t="s">
        <v>3889</v>
      </c>
      <c r="F304" s="825" t="s">
        <v>3906</v>
      </c>
      <c r="G304" s="794" t="s">
        <v>3848</v>
      </c>
      <c r="H304" s="794"/>
      <c r="I304" s="794"/>
      <c r="J304" s="794"/>
      <c r="K304" s="794"/>
      <c r="L304" s="794"/>
      <c r="M304" s="794"/>
      <c r="N304" s="794"/>
      <c r="O304" s="794"/>
      <c r="P304" s="794"/>
      <c r="Q304" s="794"/>
      <c r="R304" s="794"/>
      <c r="S304" s="794"/>
      <c r="T304" s="794"/>
      <c r="U304" s="794"/>
      <c r="V304" s="794"/>
    </row>
    <row r="305" spans="1:22" ht="14.5" hidden="1">
      <c r="A305" s="797"/>
      <c r="B305" s="828" t="s">
        <v>3834</v>
      </c>
      <c r="C305" s="803" t="s">
        <v>3577</v>
      </c>
      <c r="D305" s="821" t="s">
        <v>1846</v>
      </c>
      <c r="E305" s="824" t="s">
        <v>1850</v>
      </c>
      <c r="F305" s="849" t="s">
        <v>3907</v>
      </c>
      <c r="G305" s="794"/>
      <c r="H305" s="794"/>
      <c r="I305" s="794"/>
      <c r="J305" s="794"/>
      <c r="K305" s="794"/>
      <c r="L305" s="794"/>
      <c r="M305" s="794"/>
      <c r="N305" s="794"/>
      <c r="O305" s="794"/>
      <c r="P305" s="794"/>
      <c r="Q305" s="794"/>
      <c r="R305" s="794"/>
      <c r="S305" s="794"/>
      <c r="T305" s="794"/>
      <c r="U305" s="794"/>
      <c r="V305" s="794"/>
    </row>
    <row r="306" spans="1:22" ht="14.5" hidden="1">
      <c r="A306" s="797"/>
      <c r="B306" s="828" t="s">
        <v>3836</v>
      </c>
      <c r="C306" s="803" t="s">
        <v>3577</v>
      </c>
      <c r="D306" s="821" t="s">
        <v>1856</v>
      </c>
      <c r="E306" s="824" t="s">
        <v>1850</v>
      </c>
      <c r="F306" s="849" t="s">
        <v>3907</v>
      </c>
      <c r="G306" s="794"/>
      <c r="H306" s="794"/>
      <c r="I306" s="794"/>
      <c r="J306" s="794"/>
      <c r="K306" s="794"/>
      <c r="L306" s="794"/>
      <c r="M306" s="794"/>
      <c r="N306" s="794"/>
      <c r="O306" s="794"/>
      <c r="P306" s="794"/>
      <c r="Q306" s="794"/>
      <c r="R306" s="794"/>
      <c r="S306" s="794"/>
      <c r="T306" s="794"/>
      <c r="U306" s="794"/>
      <c r="V306" s="794"/>
    </row>
    <row r="307" spans="1:22" ht="14.5" hidden="1">
      <c r="A307" s="797"/>
      <c r="B307" s="828" t="s">
        <v>3908</v>
      </c>
      <c r="C307" s="803" t="s">
        <v>3577</v>
      </c>
      <c r="D307" s="823" t="s">
        <v>1759</v>
      </c>
      <c r="E307" s="827" t="s">
        <v>1762</v>
      </c>
      <c r="F307" s="849" t="s">
        <v>3909</v>
      </c>
      <c r="G307" s="794"/>
      <c r="H307" s="794"/>
      <c r="I307" s="794"/>
      <c r="J307" s="794"/>
      <c r="K307" s="794"/>
      <c r="L307" s="794"/>
      <c r="M307" s="794"/>
      <c r="N307" s="794"/>
      <c r="O307" s="794"/>
      <c r="P307" s="794"/>
      <c r="Q307" s="794"/>
      <c r="R307" s="794"/>
      <c r="S307" s="794"/>
      <c r="T307" s="794"/>
      <c r="U307" s="794"/>
      <c r="V307" s="794"/>
    </row>
    <row r="308" spans="1:22" ht="14.5" hidden="1">
      <c r="A308" s="797"/>
      <c r="B308" s="828" t="s">
        <v>3910</v>
      </c>
      <c r="C308" s="803" t="s">
        <v>3577</v>
      </c>
      <c r="D308" s="823" t="s">
        <v>1769</v>
      </c>
      <c r="E308" s="827" t="s">
        <v>1762</v>
      </c>
      <c r="F308" s="849" t="s">
        <v>3909</v>
      </c>
      <c r="G308" s="794"/>
      <c r="H308" s="794"/>
      <c r="I308" s="794"/>
      <c r="J308" s="794"/>
      <c r="K308" s="794"/>
      <c r="L308" s="794"/>
      <c r="M308" s="794"/>
      <c r="N308" s="794"/>
      <c r="O308" s="794"/>
      <c r="P308" s="794"/>
      <c r="Q308" s="794"/>
      <c r="R308" s="794"/>
      <c r="S308" s="794"/>
      <c r="T308" s="794"/>
      <c r="U308" s="794"/>
      <c r="V308" s="794"/>
    </row>
    <row r="309" spans="1:22" ht="14.5" hidden="1">
      <c r="A309" s="797"/>
      <c r="B309" s="828" t="s">
        <v>3911</v>
      </c>
      <c r="C309" s="803" t="s">
        <v>3577</v>
      </c>
      <c r="D309" s="821" t="s">
        <v>1803</v>
      </c>
      <c r="E309" s="864" t="s">
        <v>1762</v>
      </c>
      <c r="F309" s="849" t="s">
        <v>3909</v>
      </c>
      <c r="G309" s="794"/>
      <c r="H309" s="794"/>
      <c r="I309" s="794"/>
      <c r="J309" s="794"/>
      <c r="K309" s="794"/>
      <c r="L309" s="794"/>
      <c r="M309" s="794"/>
      <c r="N309" s="794"/>
      <c r="O309" s="794"/>
      <c r="P309" s="794"/>
      <c r="Q309" s="794"/>
      <c r="R309" s="794"/>
      <c r="S309" s="794"/>
      <c r="T309" s="794"/>
      <c r="U309" s="794"/>
      <c r="V309" s="794"/>
    </row>
    <row r="310" spans="1:22" ht="14.5" hidden="1">
      <c r="A310" s="797"/>
      <c r="B310" s="828" t="s">
        <v>3912</v>
      </c>
      <c r="C310" s="803" t="s">
        <v>3577</v>
      </c>
      <c r="D310" s="823" t="s">
        <v>1813</v>
      </c>
      <c r="E310" s="864" t="s">
        <v>1762</v>
      </c>
      <c r="F310" s="849" t="s">
        <v>3909</v>
      </c>
      <c r="G310" s="794"/>
      <c r="H310" s="794"/>
      <c r="I310" s="794"/>
      <c r="J310" s="794"/>
      <c r="K310" s="794"/>
      <c r="L310" s="794"/>
      <c r="M310" s="794"/>
      <c r="N310" s="794"/>
      <c r="O310" s="794"/>
      <c r="P310" s="794"/>
      <c r="Q310" s="794"/>
      <c r="R310" s="794"/>
      <c r="S310" s="794"/>
      <c r="T310" s="794"/>
      <c r="U310" s="794"/>
      <c r="V310" s="794"/>
    </row>
    <row r="311" spans="1:22" ht="14.5" hidden="1">
      <c r="A311" s="797"/>
      <c r="B311" s="802"/>
      <c r="C311" s="862"/>
      <c r="D311" s="794"/>
      <c r="E311" s="818"/>
      <c r="F311" s="849"/>
      <c r="G311" s="794"/>
      <c r="H311" s="794"/>
      <c r="I311" s="794"/>
      <c r="J311" s="794"/>
      <c r="K311" s="794"/>
      <c r="L311" s="794"/>
      <c r="M311" s="794"/>
      <c r="N311" s="794"/>
      <c r="O311" s="794"/>
      <c r="P311" s="794"/>
      <c r="Q311" s="794"/>
      <c r="R311" s="794"/>
      <c r="S311" s="794"/>
      <c r="T311" s="794"/>
      <c r="U311" s="794"/>
      <c r="V311" s="794"/>
    </row>
    <row r="312" spans="1:22" ht="14.5" hidden="1">
      <c r="A312" s="794" t="s">
        <v>67</v>
      </c>
      <c r="B312" s="816" t="s">
        <v>1147</v>
      </c>
      <c r="C312" s="796" t="s">
        <v>54</v>
      </c>
      <c r="D312" s="845" t="s">
        <v>1149</v>
      </c>
      <c r="E312" s="818" t="s">
        <v>3913</v>
      </c>
      <c r="F312" s="825" t="s">
        <v>3914</v>
      </c>
      <c r="G312" s="801" t="s">
        <v>3771</v>
      </c>
      <c r="H312" s="801" t="s">
        <v>3915</v>
      </c>
      <c r="I312" s="794"/>
      <c r="J312" s="794"/>
      <c r="K312" s="794"/>
      <c r="L312" s="794"/>
      <c r="M312" s="794"/>
      <c r="N312" s="794"/>
      <c r="O312" s="794"/>
      <c r="P312" s="794"/>
      <c r="Q312" s="794"/>
      <c r="R312" s="794"/>
      <c r="S312" s="794"/>
      <c r="T312" s="794"/>
      <c r="U312" s="794"/>
      <c r="V312" s="794"/>
    </row>
    <row r="313" spans="1:22" ht="14.5" hidden="1">
      <c r="A313" s="850"/>
      <c r="B313" s="816"/>
      <c r="C313" s="850"/>
      <c r="D313" s="818"/>
      <c r="E313" s="818"/>
      <c r="F313" s="849"/>
      <c r="G313" s="818"/>
      <c r="H313" s="818"/>
      <c r="I313" s="818"/>
      <c r="J313" s="818"/>
      <c r="K313" s="818"/>
      <c r="L313" s="818"/>
      <c r="M313" s="818"/>
      <c r="N313" s="818"/>
      <c r="O313" s="818"/>
      <c r="P313" s="818"/>
      <c r="Q313" s="818"/>
      <c r="R313" s="818"/>
      <c r="S313" s="818"/>
      <c r="T313" s="818"/>
      <c r="U313" s="818"/>
      <c r="V313" s="818"/>
    </row>
    <row r="314" spans="1:22" ht="14.5" hidden="1">
      <c r="A314" s="797" t="s">
        <v>3575</v>
      </c>
      <c r="B314" s="802" t="s">
        <v>1883</v>
      </c>
      <c r="C314" s="796" t="s">
        <v>54</v>
      </c>
      <c r="D314" s="794" t="s">
        <v>818</v>
      </c>
      <c r="E314" s="818" t="s">
        <v>3889</v>
      </c>
      <c r="F314" s="849" t="s">
        <v>3916</v>
      </c>
      <c r="G314" s="794" t="s">
        <v>3917</v>
      </c>
      <c r="H314" s="801" t="s">
        <v>3918</v>
      </c>
      <c r="I314" s="801"/>
      <c r="J314" s="794"/>
      <c r="K314" s="794"/>
      <c r="L314" s="794"/>
      <c r="M314" s="794"/>
      <c r="N314" s="794"/>
      <c r="O314" s="794"/>
      <c r="P314" s="794"/>
      <c r="Q314" s="794"/>
      <c r="R314" s="794"/>
      <c r="S314" s="794"/>
      <c r="T314" s="794"/>
      <c r="U314" s="794"/>
      <c r="V314" s="794"/>
    </row>
    <row r="315" spans="1:22" ht="14.5" hidden="1">
      <c r="A315" s="797"/>
      <c r="B315" s="816" t="s">
        <v>1147</v>
      </c>
      <c r="C315" s="796" t="s">
        <v>54</v>
      </c>
      <c r="D315" s="845" t="s">
        <v>1149</v>
      </c>
      <c r="E315" s="818" t="s">
        <v>3913</v>
      </c>
      <c r="F315" s="825" t="s">
        <v>3919</v>
      </c>
      <c r="G315" s="801"/>
      <c r="H315" s="794"/>
      <c r="I315" s="794"/>
      <c r="J315" s="794"/>
      <c r="K315" s="794"/>
      <c r="L315" s="794"/>
      <c r="M315" s="794"/>
      <c r="N315" s="794"/>
      <c r="O315" s="794"/>
      <c r="P315" s="794"/>
      <c r="Q315" s="794"/>
      <c r="R315" s="794"/>
      <c r="S315" s="794"/>
      <c r="T315" s="794"/>
      <c r="U315" s="794"/>
      <c r="V315" s="794"/>
    </row>
    <row r="316" spans="1:22" ht="14.5" hidden="1">
      <c r="A316" s="797"/>
      <c r="B316" s="863" t="s">
        <v>1889</v>
      </c>
      <c r="C316" s="796" t="s">
        <v>54</v>
      </c>
      <c r="D316" s="829" t="s">
        <v>859</v>
      </c>
      <c r="E316" s="824" t="s">
        <v>3728</v>
      </c>
      <c r="F316" s="825" t="s">
        <v>3920</v>
      </c>
      <c r="G316" s="801" t="s">
        <v>3918</v>
      </c>
      <c r="H316" s="801"/>
      <c r="I316" s="794"/>
      <c r="J316" s="794"/>
      <c r="K316" s="794"/>
      <c r="L316" s="794"/>
      <c r="M316" s="794"/>
      <c r="N316" s="794"/>
      <c r="O316" s="794"/>
      <c r="P316" s="794"/>
      <c r="Q316" s="794"/>
      <c r="R316" s="794"/>
      <c r="S316" s="794"/>
      <c r="T316" s="794"/>
      <c r="U316" s="794"/>
      <c r="V316" s="794"/>
    </row>
    <row r="317" spans="1:22" ht="14.5" hidden="1">
      <c r="A317" s="797"/>
      <c r="B317" s="828" t="s">
        <v>1870</v>
      </c>
      <c r="C317" s="796" t="s">
        <v>54</v>
      </c>
      <c r="D317" s="829" t="s">
        <v>1872</v>
      </c>
      <c r="E317" s="818" t="s">
        <v>3863</v>
      </c>
      <c r="F317" s="846" t="s">
        <v>3921</v>
      </c>
      <c r="G317" s="801" t="s">
        <v>3918</v>
      </c>
      <c r="H317" s="794"/>
      <c r="I317" s="794"/>
      <c r="J317" s="794"/>
      <c r="K317" s="794"/>
      <c r="L317" s="794"/>
      <c r="M317" s="794"/>
      <c r="N317" s="794"/>
      <c r="O317" s="794"/>
      <c r="P317" s="794"/>
      <c r="Q317" s="794"/>
      <c r="R317" s="794"/>
      <c r="S317" s="794"/>
      <c r="T317" s="794"/>
      <c r="U317" s="794"/>
      <c r="V317" s="794"/>
    </row>
    <row r="318" spans="1:22" ht="14.5" hidden="1">
      <c r="A318" s="794"/>
      <c r="B318" s="836" t="s">
        <v>865</v>
      </c>
      <c r="C318" s="796" t="s">
        <v>54</v>
      </c>
      <c r="D318" s="794" t="s">
        <v>867</v>
      </c>
      <c r="E318" s="818" t="s">
        <v>3863</v>
      </c>
      <c r="F318" s="846" t="s">
        <v>3922</v>
      </c>
      <c r="G318" s="794"/>
      <c r="H318" s="794"/>
      <c r="I318" s="794"/>
      <c r="J318" s="794"/>
      <c r="K318" s="794"/>
      <c r="L318" s="794"/>
      <c r="M318" s="794"/>
      <c r="N318" s="794"/>
      <c r="O318" s="794"/>
      <c r="P318" s="794"/>
      <c r="Q318" s="794"/>
      <c r="R318" s="794"/>
      <c r="S318" s="794"/>
      <c r="T318" s="794"/>
      <c r="U318" s="794"/>
      <c r="V318" s="794"/>
    </row>
    <row r="319" spans="1:22" ht="14.5" hidden="1">
      <c r="A319" s="813"/>
      <c r="B319" s="814"/>
      <c r="C319" s="813"/>
      <c r="D319" s="813"/>
      <c r="E319" s="813"/>
      <c r="F319" s="813"/>
      <c r="G319" s="813"/>
      <c r="H319" s="813"/>
      <c r="I319" s="813"/>
      <c r="J319" s="813"/>
      <c r="K319" s="813"/>
      <c r="L319" s="813"/>
      <c r="M319" s="813"/>
      <c r="N319" s="813"/>
      <c r="O319" s="813"/>
      <c r="P319" s="813"/>
      <c r="Q319" s="813"/>
      <c r="R319" s="813"/>
      <c r="S319" s="813"/>
      <c r="T319" s="813"/>
      <c r="U319" s="813"/>
      <c r="V319" s="813"/>
    </row>
    <row r="320" spans="1:22" ht="14.5" hidden="1">
      <c r="A320" s="792" t="s">
        <v>3923</v>
      </c>
      <c r="B320" s="810"/>
      <c r="C320" s="811"/>
      <c r="D320" s="792"/>
      <c r="E320" s="792"/>
      <c r="F320" s="792"/>
      <c r="G320" s="794"/>
      <c r="H320" s="794"/>
      <c r="I320" s="794"/>
      <c r="J320" s="794"/>
      <c r="K320" s="794"/>
      <c r="L320" s="794"/>
      <c r="M320" s="794"/>
      <c r="N320" s="794"/>
      <c r="O320" s="794"/>
      <c r="P320" s="794"/>
      <c r="Q320" s="794"/>
      <c r="R320" s="794"/>
      <c r="S320" s="794"/>
      <c r="T320" s="794"/>
      <c r="U320" s="794"/>
      <c r="V320" s="794"/>
    </row>
    <row r="321" spans="1:22" ht="14.5" hidden="1">
      <c r="A321" s="794" t="s">
        <v>3646</v>
      </c>
      <c r="B321" s="865" t="s">
        <v>1894</v>
      </c>
      <c r="C321" s="796" t="s">
        <v>54</v>
      </c>
      <c r="D321" s="829" t="s">
        <v>1896</v>
      </c>
      <c r="E321" s="824" t="s">
        <v>3686</v>
      </c>
      <c r="F321" s="825" t="s">
        <v>3924</v>
      </c>
      <c r="G321" s="794"/>
      <c r="H321" s="794"/>
      <c r="I321" s="794"/>
      <c r="J321" s="794"/>
      <c r="K321" s="794"/>
      <c r="L321" s="794"/>
      <c r="M321" s="794"/>
      <c r="N321" s="794"/>
      <c r="O321" s="794"/>
      <c r="P321" s="794"/>
      <c r="Q321" s="794"/>
      <c r="R321" s="794"/>
      <c r="S321" s="794"/>
      <c r="T321" s="794"/>
      <c r="U321" s="794"/>
      <c r="V321" s="794"/>
    </row>
    <row r="322" spans="1:22" ht="14.5" hidden="1">
      <c r="A322" s="797"/>
      <c r="B322" s="848" t="s">
        <v>1902</v>
      </c>
      <c r="C322" s="803" t="s">
        <v>3577</v>
      </c>
      <c r="D322" s="794" t="s">
        <v>1904</v>
      </c>
      <c r="E322" s="818" t="s">
        <v>200</v>
      </c>
      <c r="F322" s="849" t="s">
        <v>3925</v>
      </c>
      <c r="G322" s="794"/>
      <c r="H322" s="794"/>
      <c r="I322" s="801"/>
      <c r="J322" s="794"/>
      <c r="K322" s="794"/>
      <c r="L322" s="794"/>
      <c r="M322" s="794"/>
      <c r="N322" s="794"/>
      <c r="O322" s="794"/>
      <c r="P322" s="794"/>
      <c r="Q322" s="794"/>
      <c r="R322" s="794"/>
      <c r="S322" s="794"/>
      <c r="T322" s="794"/>
      <c r="U322" s="794"/>
      <c r="V322" s="794"/>
    </row>
    <row r="323" spans="1:22" ht="14.5" hidden="1">
      <c r="A323" s="797"/>
      <c r="B323" s="836"/>
      <c r="C323" s="862"/>
      <c r="D323" s="794"/>
      <c r="E323" s="794"/>
      <c r="F323" s="794"/>
      <c r="G323" s="794"/>
      <c r="H323" s="794"/>
      <c r="I323" s="794"/>
      <c r="J323" s="794"/>
      <c r="K323" s="794"/>
      <c r="L323" s="794"/>
      <c r="M323" s="794"/>
      <c r="N323" s="794"/>
      <c r="O323" s="794"/>
      <c r="P323" s="794"/>
      <c r="Q323" s="794"/>
      <c r="R323" s="794"/>
      <c r="S323" s="794"/>
      <c r="T323" s="794"/>
      <c r="U323" s="794"/>
      <c r="V323" s="794"/>
    </row>
    <row r="324" spans="1:22" ht="14.5" hidden="1">
      <c r="A324" s="797" t="s">
        <v>1294</v>
      </c>
      <c r="B324" s="836" t="s">
        <v>1008</v>
      </c>
      <c r="C324" s="796" t="s">
        <v>54</v>
      </c>
      <c r="D324" s="794" t="s">
        <v>1010</v>
      </c>
      <c r="E324" s="794" t="s">
        <v>3926</v>
      </c>
      <c r="F324" s="794" t="s">
        <v>3927</v>
      </c>
      <c r="G324" s="794"/>
      <c r="H324" s="794"/>
      <c r="I324" s="794"/>
      <c r="J324" s="794"/>
      <c r="K324" s="794"/>
      <c r="L324" s="794"/>
      <c r="M324" s="794"/>
      <c r="N324" s="794"/>
      <c r="O324" s="794"/>
      <c r="P324" s="794"/>
      <c r="Q324" s="794"/>
      <c r="R324" s="794"/>
      <c r="S324" s="794"/>
      <c r="T324" s="794"/>
      <c r="U324" s="794"/>
      <c r="V324" s="794"/>
    </row>
    <row r="325" spans="1:22" ht="14.5" hidden="1">
      <c r="A325" s="794"/>
      <c r="B325" s="799"/>
      <c r="C325" s="794"/>
      <c r="D325" s="794"/>
      <c r="E325" s="794"/>
      <c r="F325" s="794"/>
      <c r="G325" s="794"/>
      <c r="H325" s="794"/>
      <c r="I325" s="794"/>
      <c r="J325" s="794"/>
      <c r="K325" s="794"/>
      <c r="L325" s="794"/>
      <c r="M325" s="794"/>
      <c r="N325" s="794"/>
      <c r="O325" s="794"/>
      <c r="P325" s="794"/>
      <c r="Q325" s="794"/>
      <c r="R325" s="794"/>
      <c r="S325" s="794"/>
      <c r="T325" s="794"/>
      <c r="U325" s="794"/>
      <c r="V325" s="794"/>
    </row>
    <row r="326" spans="1:22" ht="14.5" hidden="1">
      <c r="A326" s="794" t="s">
        <v>3845</v>
      </c>
      <c r="B326" s="865" t="s">
        <v>1894</v>
      </c>
      <c r="C326" s="796" t="s">
        <v>54</v>
      </c>
      <c r="D326" s="829" t="s">
        <v>1896</v>
      </c>
      <c r="E326" s="824" t="s">
        <v>3686</v>
      </c>
      <c r="F326" s="825" t="s">
        <v>3928</v>
      </c>
      <c r="G326" s="801" t="s">
        <v>3848</v>
      </c>
      <c r="H326" s="794"/>
      <c r="I326" s="794"/>
      <c r="J326" s="794"/>
      <c r="K326" s="794"/>
      <c r="L326" s="794"/>
      <c r="M326" s="794"/>
      <c r="N326" s="794"/>
      <c r="O326" s="794"/>
      <c r="P326" s="794"/>
      <c r="Q326" s="794"/>
      <c r="R326" s="794"/>
      <c r="S326" s="794"/>
      <c r="T326" s="794"/>
      <c r="U326" s="794"/>
      <c r="V326" s="794"/>
    </row>
    <row r="327" spans="1:22" ht="14.5" hidden="1">
      <c r="A327" s="794"/>
      <c r="B327" s="814" t="s">
        <v>3929</v>
      </c>
      <c r="C327" s="796" t="s">
        <v>54</v>
      </c>
      <c r="D327" s="813" t="s">
        <v>3930</v>
      </c>
      <c r="E327" s="813" t="s">
        <v>920</v>
      </c>
      <c r="F327" s="825" t="s">
        <v>3931</v>
      </c>
      <c r="G327" s="794"/>
      <c r="H327" s="794"/>
      <c r="I327" s="794"/>
      <c r="J327" s="794"/>
      <c r="K327" s="794"/>
      <c r="L327" s="794"/>
      <c r="M327" s="794"/>
      <c r="N327" s="794"/>
      <c r="O327" s="794"/>
      <c r="P327" s="794"/>
      <c r="Q327" s="794"/>
      <c r="R327" s="794"/>
      <c r="S327" s="794"/>
      <c r="T327" s="794"/>
      <c r="U327" s="794"/>
      <c r="V327" s="794"/>
    </row>
    <row r="328" spans="1:22" ht="14.5" hidden="1">
      <c r="A328" s="794"/>
      <c r="B328" s="814" t="s">
        <v>3932</v>
      </c>
      <c r="C328" s="796" t="s">
        <v>54</v>
      </c>
      <c r="D328" s="813" t="s">
        <v>1738</v>
      </c>
      <c r="E328" s="813" t="s">
        <v>1686</v>
      </c>
      <c r="F328" s="825" t="s">
        <v>3931</v>
      </c>
      <c r="G328" s="794"/>
      <c r="H328" s="794"/>
      <c r="I328" s="794"/>
      <c r="J328" s="794"/>
      <c r="K328" s="794"/>
      <c r="L328" s="794"/>
      <c r="M328" s="794"/>
      <c r="N328" s="794"/>
      <c r="O328" s="794"/>
      <c r="P328" s="794"/>
      <c r="Q328" s="794"/>
      <c r="R328" s="794"/>
      <c r="S328" s="794"/>
      <c r="T328" s="794"/>
      <c r="U328" s="794"/>
      <c r="V328" s="794"/>
    </row>
    <row r="329" spans="1:22" ht="14.5" hidden="1">
      <c r="A329" s="794"/>
      <c r="B329" s="814" t="s">
        <v>3933</v>
      </c>
      <c r="C329" s="796" t="s">
        <v>54</v>
      </c>
      <c r="D329" s="813" t="s">
        <v>1072</v>
      </c>
      <c r="E329" s="813" t="s">
        <v>630</v>
      </c>
      <c r="F329" s="825" t="s">
        <v>3931</v>
      </c>
      <c r="G329" s="794"/>
      <c r="H329" s="794"/>
      <c r="I329" s="794"/>
      <c r="J329" s="794"/>
      <c r="K329" s="794"/>
      <c r="L329" s="794"/>
      <c r="M329" s="794"/>
      <c r="N329" s="794"/>
      <c r="O329" s="794"/>
      <c r="P329" s="794"/>
      <c r="Q329" s="794"/>
      <c r="R329" s="794"/>
      <c r="S329" s="794"/>
      <c r="T329" s="794"/>
      <c r="U329" s="794"/>
      <c r="V329" s="794"/>
    </row>
    <row r="330" spans="1:22" ht="14.5" hidden="1">
      <c r="A330" s="794"/>
      <c r="B330" s="814" t="s">
        <v>3934</v>
      </c>
      <c r="C330" s="796" t="s">
        <v>54</v>
      </c>
      <c r="D330" s="866" t="s">
        <v>1659</v>
      </c>
      <c r="E330" s="813" t="s">
        <v>2366</v>
      </c>
      <c r="F330" s="825" t="s">
        <v>3935</v>
      </c>
      <c r="G330" s="794"/>
      <c r="H330" s="794"/>
      <c r="I330" s="794"/>
      <c r="J330" s="794"/>
      <c r="K330" s="794"/>
      <c r="L330" s="794"/>
      <c r="M330" s="794"/>
      <c r="N330" s="794"/>
      <c r="O330" s="794"/>
      <c r="P330" s="794"/>
      <c r="Q330" s="794"/>
      <c r="R330" s="794"/>
      <c r="S330" s="794"/>
      <c r="T330" s="794"/>
      <c r="U330" s="794"/>
      <c r="V330" s="794"/>
    </row>
    <row r="331" spans="1:22" ht="14.5" hidden="1">
      <c r="A331" s="794"/>
      <c r="B331" s="814" t="s">
        <v>3936</v>
      </c>
      <c r="C331" s="796" t="s">
        <v>54</v>
      </c>
      <c r="D331" s="866" t="s">
        <v>1651</v>
      </c>
      <c r="E331" s="813" t="s">
        <v>2366</v>
      </c>
      <c r="F331" s="825" t="s">
        <v>3935</v>
      </c>
      <c r="G331" s="794"/>
      <c r="H331" s="794"/>
      <c r="I331" s="794"/>
      <c r="J331" s="794"/>
      <c r="K331" s="794"/>
      <c r="L331" s="794"/>
      <c r="M331" s="794"/>
      <c r="N331" s="794"/>
      <c r="O331" s="794"/>
      <c r="P331" s="794"/>
      <c r="Q331" s="794"/>
      <c r="R331" s="794"/>
      <c r="S331" s="794"/>
      <c r="T331" s="794"/>
      <c r="U331" s="794"/>
      <c r="V331" s="794"/>
    </row>
    <row r="332" spans="1:22" ht="14.5" hidden="1">
      <c r="A332" s="794"/>
      <c r="B332" s="814" t="s">
        <v>3937</v>
      </c>
      <c r="C332" s="796" t="s">
        <v>54</v>
      </c>
      <c r="D332" s="866" t="s">
        <v>1632</v>
      </c>
      <c r="E332" s="813" t="s">
        <v>2366</v>
      </c>
      <c r="F332" s="825" t="s">
        <v>3935</v>
      </c>
      <c r="G332" s="794"/>
      <c r="H332" s="794"/>
      <c r="I332" s="794"/>
      <c r="J332" s="801"/>
      <c r="K332" s="801"/>
      <c r="L332" s="794"/>
      <c r="M332" s="794"/>
      <c r="N332" s="794"/>
      <c r="O332" s="794"/>
      <c r="P332" s="794"/>
      <c r="Q332" s="794"/>
      <c r="R332" s="794"/>
      <c r="S332" s="794"/>
      <c r="T332" s="794"/>
      <c r="U332" s="794"/>
      <c r="V332" s="794"/>
    </row>
    <row r="333" spans="1:22" ht="14.5" hidden="1">
      <c r="A333" s="794"/>
      <c r="B333" s="814" t="s">
        <v>1588</v>
      </c>
      <c r="C333" s="796" t="s">
        <v>54</v>
      </c>
      <c r="D333" s="829" t="s">
        <v>1590</v>
      </c>
      <c r="E333" s="867" t="s">
        <v>213</v>
      </c>
      <c r="F333" s="825" t="s">
        <v>3938</v>
      </c>
      <c r="G333" s="794"/>
      <c r="H333" s="794"/>
      <c r="I333" s="794"/>
      <c r="J333" s="794"/>
      <c r="K333" s="794"/>
      <c r="L333" s="794"/>
      <c r="M333" s="794"/>
      <c r="N333" s="794"/>
      <c r="O333" s="794"/>
      <c r="P333" s="794"/>
      <c r="Q333" s="794"/>
      <c r="R333" s="794"/>
      <c r="S333" s="794"/>
      <c r="T333" s="794"/>
      <c r="U333" s="794"/>
      <c r="V333" s="794"/>
    </row>
    <row r="334" spans="1:22" ht="14.5" hidden="1">
      <c r="A334" s="794"/>
      <c r="B334" s="814" t="s">
        <v>1597</v>
      </c>
      <c r="C334" s="796" t="s">
        <v>54</v>
      </c>
      <c r="D334" s="829" t="s">
        <v>1599</v>
      </c>
      <c r="E334" s="867" t="s">
        <v>213</v>
      </c>
      <c r="F334" s="825" t="s">
        <v>3938</v>
      </c>
      <c r="G334" s="794"/>
      <c r="H334" s="794"/>
      <c r="I334" s="794"/>
      <c r="J334" s="794"/>
      <c r="K334" s="794"/>
      <c r="L334" s="794"/>
      <c r="M334" s="794"/>
      <c r="N334" s="794"/>
      <c r="O334" s="794"/>
      <c r="P334" s="794"/>
      <c r="Q334" s="794"/>
      <c r="R334" s="794"/>
      <c r="S334" s="794"/>
      <c r="T334" s="794"/>
      <c r="U334" s="794"/>
      <c r="V334" s="794"/>
    </row>
    <row r="335" spans="1:22" ht="14.5" hidden="1">
      <c r="A335" s="794"/>
      <c r="B335" s="814" t="s">
        <v>1622</v>
      </c>
      <c r="C335" s="796" t="s">
        <v>54</v>
      </c>
      <c r="D335" s="813" t="s">
        <v>1624</v>
      </c>
      <c r="E335" s="867" t="s">
        <v>213</v>
      </c>
      <c r="F335" s="825" t="s">
        <v>3938</v>
      </c>
      <c r="G335" s="794"/>
      <c r="H335" s="794"/>
      <c r="I335" s="801"/>
      <c r="J335" s="794"/>
      <c r="K335" s="794"/>
      <c r="L335" s="794"/>
      <c r="M335" s="794"/>
      <c r="N335" s="794"/>
      <c r="O335" s="794"/>
      <c r="P335" s="794"/>
      <c r="Q335" s="794"/>
      <c r="R335" s="794"/>
      <c r="S335" s="794"/>
      <c r="T335" s="794"/>
      <c r="U335" s="794"/>
      <c r="V335" s="794"/>
    </row>
    <row r="336" spans="1:22" ht="14.5" hidden="1">
      <c r="A336" s="794"/>
      <c r="B336" s="836" t="s">
        <v>1060</v>
      </c>
      <c r="C336" s="796" t="s">
        <v>54</v>
      </c>
      <c r="D336" s="833" t="s">
        <v>1062</v>
      </c>
      <c r="E336" s="821" t="s">
        <v>630</v>
      </c>
      <c r="F336" s="825" t="s">
        <v>3939</v>
      </c>
      <c r="G336" s="794"/>
      <c r="H336" s="794"/>
      <c r="I336" s="801"/>
      <c r="J336" s="794"/>
      <c r="K336" s="794"/>
      <c r="L336" s="794"/>
      <c r="M336" s="794"/>
      <c r="N336" s="794"/>
      <c r="O336" s="794"/>
      <c r="P336" s="794"/>
      <c r="Q336" s="794"/>
      <c r="R336" s="794"/>
      <c r="S336" s="794"/>
      <c r="T336" s="794"/>
      <c r="U336" s="794"/>
      <c r="V336" s="794"/>
    </row>
    <row r="337" spans="1:22" ht="14.5" hidden="1">
      <c r="A337" s="794"/>
      <c r="B337" s="836" t="s">
        <v>1089</v>
      </c>
      <c r="C337" s="796" t="s">
        <v>54</v>
      </c>
      <c r="D337" s="833" t="s">
        <v>1091</v>
      </c>
      <c r="E337" s="821" t="s">
        <v>630</v>
      </c>
      <c r="F337" s="825" t="s">
        <v>3939</v>
      </c>
      <c r="G337" s="794"/>
      <c r="H337" s="794"/>
      <c r="I337" s="801"/>
      <c r="J337" s="794"/>
      <c r="K337" s="794"/>
      <c r="L337" s="794"/>
      <c r="M337" s="794"/>
      <c r="N337" s="794"/>
      <c r="O337" s="794"/>
      <c r="P337" s="794"/>
      <c r="Q337" s="794"/>
      <c r="R337" s="794"/>
      <c r="S337" s="794"/>
      <c r="T337" s="794"/>
      <c r="U337" s="794"/>
      <c r="V337" s="794"/>
    </row>
    <row r="338" spans="1:22" ht="14.5" hidden="1">
      <c r="A338" s="794"/>
      <c r="B338" s="836" t="s">
        <v>916</v>
      </c>
      <c r="C338" s="796" t="s">
        <v>54</v>
      </c>
      <c r="D338" s="868" t="s">
        <v>918</v>
      </c>
      <c r="E338" s="853" t="s">
        <v>920</v>
      </c>
      <c r="F338" s="825" t="s">
        <v>3939</v>
      </c>
      <c r="G338" s="794"/>
      <c r="H338" s="794"/>
      <c r="I338" s="801"/>
      <c r="J338" s="794"/>
      <c r="K338" s="794"/>
      <c r="L338" s="794"/>
      <c r="M338" s="794"/>
      <c r="N338" s="794"/>
      <c r="O338" s="794"/>
      <c r="P338" s="794"/>
      <c r="Q338" s="794"/>
      <c r="R338" s="794"/>
      <c r="S338" s="794"/>
      <c r="T338" s="794"/>
      <c r="U338" s="794"/>
      <c r="V338" s="794"/>
    </row>
    <row r="339" spans="1:22" ht="14.5" hidden="1">
      <c r="A339" s="794"/>
      <c r="B339" s="836" t="s">
        <v>952</v>
      </c>
      <c r="C339" s="796" t="s">
        <v>54</v>
      </c>
      <c r="D339" s="868" t="s">
        <v>954</v>
      </c>
      <c r="E339" s="821" t="s">
        <v>920</v>
      </c>
      <c r="F339" s="825" t="s">
        <v>3939</v>
      </c>
      <c r="G339" s="794"/>
      <c r="H339" s="794"/>
      <c r="I339" s="801"/>
      <c r="J339" s="794"/>
      <c r="K339" s="794"/>
      <c r="L339" s="794"/>
      <c r="M339" s="794"/>
      <c r="N339" s="794"/>
      <c r="O339" s="794"/>
      <c r="P339" s="794"/>
      <c r="Q339" s="794"/>
      <c r="R339" s="794"/>
      <c r="S339" s="794"/>
      <c r="T339" s="794"/>
      <c r="U339" s="794"/>
      <c r="V339" s="794"/>
    </row>
    <row r="340" spans="1:22" ht="14.5" hidden="1">
      <c r="A340" s="794" t="s">
        <v>3845</v>
      </c>
      <c r="B340" s="799" t="s">
        <v>3940</v>
      </c>
      <c r="C340" s="803" t="s">
        <v>3577</v>
      </c>
      <c r="D340" s="794" t="s">
        <v>1271</v>
      </c>
      <c r="E340" s="818" t="s">
        <v>200</v>
      </c>
      <c r="F340" s="825" t="s">
        <v>3941</v>
      </c>
      <c r="G340" s="794"/>
      <c r="H340" s="794"/>
      <c r="I340" s="794"/>
      <c r="J340" s="794"/>
      <c r="K340" s="794"/>
      <c r="L340" s="794"/>
      <c r="M340" s="794"/>
      <c r="N340" s="794"/>
      <c r="O340" s="794"/>
      <c r="P340" s="794"/>
      <c r="Q340" s="794"/>
      <c r="R340" s="794"/>
      <c r="S340" s="794"/>
      <c r="T340" s="794"/>
      <c r="U340" s="794"/>
      <c r="V340" s="794"/>
    </row>
    <row r="341" spans="1:22" ht="14.5" hidden="1">
      <c r="A341" s="794"/>
      <c r="B341" s="799" t="s">
        <v>3942</v>
      </c>
      <c r="C341" s="803" t="s">
        <v>3577</v>
      </c>
      <c r="D341" s="794" t="s">
        <v>1279</v>
      </c>
      <c r="E341" s="818" t="s">
        <v>200</v>
      </c>
      <c r="F341" s="825" t="s">
        <v>3941</v>
      </c>
      <c r="G341" s="794"/>
      <c r="H341" s="794"/>
      <c r="I341" s="794"/>
      <c r="J341" s="794"/>
      <c r="K341" s="794"/>
      <c r="L341" s="794"/>
      <c r="M341" s="794"/>
      <c r="N341" s="794"/>
      <c r="O341" s="794"/>
      <c r="P341" s="794"/>
      <c r="Q341" s="794"/>
      <c r="R341" s="794"/>
      <c r="S341" s="794"/>
      <c r="T341" s="794"/>
      <c r="U341" s="794"/>
      <c r="V341" s="794"/>
    </row>
    <row r="342" spans="1:22" ht="14.5" hidden="1">
      <c r="A342" s="794"/>
      <c r="B342" s="799" t="s">
        <v>3943</v>
      </c>
      <c r="C342" s="803" t="s">
        <v>3577</v>
      </c>
      <c r="D342" s="794" t="s">
        <v>1196</v>
      </c>
      <c r="E342" s="818" t="s">
        <v>1200</v>
      </c>
      <c r="F342" s="825" t="s">
        <v>3941</v>
      </c>
      <c r="G342" s="794"/>
      <c r="H342" s="794"/>
      <c r="I342" s="794"/>
      <c r="J342" s="794"/>
      <c r="K342" s="794"/>
      <c r="L342" s="794"/>
      <c r="M342" s="794"/>
      <c r="N342" s="794"/>
      <c r="O342" s="794"/>
      <c r="P342" s="794"/>
      <c r="Q342" s="794"/>
      <c r="R342" s="794"/>
      <c r="S342" s="794"/>
      <c r="T342" s="794"/>
      <c r="U342" s="794"/>
      <c r="V342" s="794"/>
    </row>
    <row r="343" spans="1:22" ht="14.5" hidden="1">
      <c r="A343" s="794"/>
      <c r="B343" s="799" t="s">
        <v>3944</v>
      </c>
      <c r="C343" s="803" t="s">
        <v>3577</v>
      </c>
      <c r="D343" s="794" t="s">
        <v>1210</v>
      </c>
      <c r="E343" s="818" t="s">
        <v>1200</v>
      </c>
      <c r="F343" s="825" t="s">
        <v>3941</v>
      </c>
      <c r="G343" s="794"/>
      <c r="H343" s="794"/>
      <c r="I343" s="794"/>
      <c r="J343" s="794"/>
      <c r="K343" s="794"/>
      <c r="L343" s="794"/>
      <c r="M343" s="794"/>
      <c r="N343" s="794"/>
      <c r="O343" s="794"/>
      <c r="P343" s="794"/>
      <c r="Q343" s="794"/>
      <c r="R343" s="794"/>
      <c r="S343" s="794"/>
      <c r="T343" s="794"/>
      <c r="U343" s="794"/>
      <c r="V343" s="794"/>
    </row>
    <row r="344" spans="1:22" ht="14.5" hidden="1">
      <c r="A344" s="794"/>
      <c r="B344" s="799" t="s">
        <v>3945</v>
      </c>
      <c r="C344" s="803" t="s">
        <v>3577</v>
      </c>
      <c r="D344" s="794" t="s">
        <v>1262</v>
      </c>
      <c r="E344" s="818" t="s">
        <v>200</v>
      </c>
      <c r="F344" s="794" t="s">
        <v>3946</v>
      </c>
      <c r="G344" s="794"/>
      <c r="H344" s="794"/>
      <c r="I344" s="794"/>
      <c r="J344" s="794"/>
      <c r="K344" s="794"/>
      <c r="L344" s="794"/>
      <c r="M344" s="794"/>
      <c r="N344" s="794"/>
      <c r="O344" s="794"/>
      <c r="P344" s="794"/>
      <c r="Q344" s="794"/>
      <c r="R344" s="794"/>
      <c r="S344" s="794"/>
      <c r="T344" s="794"/>
      <c r="U344" s="794"/>
      <c r="V344" s="794"/>
    </row>
    <row r="345" spans="1:22" ht="14.5" hidden="1">
      <c r="A345" s="801"/>
      <c r="B345" s="869" t="s">
        <v>1220</v>
      </c>
      <c r="C345" s="803" t="s">
        <v>3577</v>
      </c>
      <c r="D345" s="801" t="s">
        <v>1222</v>
      </c>
      <c r="E345" s="818" t="s">
        <v>1200</v>
      </c>
      <c r="F345" s="794" t="s">
        <v>3947</v>
      </c>
      <c r="G345" s="794"/>
      <c r="H345" s="794"/>
      <c r="I345" s="794"/>
      <c r="J345" s="794"/>
      <c r="K345" s="794"/>
      <c r="L345" s="794"/>
      <c r="M345" s="794"/>
      <c r="N345" s="794"/>
      <c r="O345" s="794"/>
      <c r="P345" s="794"/>
      <c r="Q345" s="794"/>
      <c r="R345" s="794"/>
      <c r="S345" s="794"/>
      <c r="T345" s="794"/>
      <c r="U345" s="794"/>
      <c r="V345" s="794"/>
    </row>
    <row r="346" spans="1:22" ht="14.5" hidden="1">
      <c r="A346" s="797"/>
      <c r="B346" s="848" t="s">
        <v>1902</v>
      </c>
      <c r="C346" s="803" t="s">
        <v>3577</v>
      </c>
      <c r="D346" s="794" t="s">
        <v>1904</v>
      </c>
      <c r="E346" s="818" t="s">
        <v>200</v>
      </c>
      <c r="F346" s="849" t="s">
        <v>3948</v>
      </c>
      <c r="G346" s="794"/>
      <c r="H346" s="794"/>
      <c r="I346" s="794"/>
      <c r="J346" s="794"/>
      <c r="K346" s="794"/>
      <c r="L346" s="794"/>
      <c r="M346" s="794"/>
      <c r="N346" s="794"/>
      <c r="O346" s="794"/>
      <c r="P346" s="794"/>
      <c r="Q346" s="794"/>
      <c r="R346" s="794"/>
      <c r="S346" s="794"/>
      <c r="T346" s="794"/>
      <c r="U346" s="794"/>
      <c r="V346" s="794"/>
    </row>
    <row r="347" spans="1:22" ht="14.5" hidden="1">
      <c r="A347" s="801"/>
      <c r="B347" s="869" t="s">
        <v>320</v>
      </c>
      <c r="C347" s="803" t="s">
        <v>3577</v>
      </c>
      <c r="D347" s="801" t="s">
        <v>322</v>
      </c>
      <c r="E347" s="801" t="s">
        <v>119</v>
      </c>
      <c r="F347" s="870" t="s">
        <v>3949</v>
      </c>
      <c r="G347" s="801"/>
      <c r="H347" s="801"/>
      <c r="I347" s="794"/>
      <c r="J347" s="794"/>
      <c r="K347" s="794"/>
      <c r="L347" s="794"/>
      <c r="M347" s="794"/>
      <c r="N347" s="794"/>
      <c r="O347" s="794"/>
      <c r="P347" s="794"/>
      <c r="Q347" s="794"/>
      <c r="R347" s="794"/>
      <c r="S347" s="794"/>
      <c r="T347" s="794"/>
      <c r="U347" s="794"/>
      <c r="V347" s="794"/>
    </row>
    <row r="348" spans="1:22" ht="14.5" hidden="1">
      <c r="A348" s="794"/>
      <c r="B348" s="799"/>
      <c r="C348" s="801"/>
      <c r="D348" s="794"/>
      <c r="E348" s="818"/>
      <c r="F348" s="794"/>
      <c r="G348" s="794"/>
      <c r="H348" s="794"/>
      <c r="I348" s="794"/>
      <c r="J348" s="794"/>
      <c r="K348" s="794"/>
      <c r="L348" s="794"/>
      <c r="M348" s="794"/>
      <c r="N348" s="794"/>
      <c r="O348" s="794"/>
      <c r="P348" s="794"/>
      <c r="Q348" s="794"/>
      <c r="R348" s="794"/>
      <c r="S348" s="794"/>
      <c r="T348" s="794"/>
      <c r="U348" s="794"/>
      <c r="V348" s="794"/>
    </row>
    <row r="349" spans="1:22" ht="14.5" hidden="1">
      <c r="A349" s="794" t="s">
        <v>3589</v>
      </c>
      <c r="B349" s="799" t="s">
        <v>3945</v>
      </c>
      <c r="C349" s="803" t="s">
        <v>3577</v>
      </c>
      <c r="D349" s="794" t="s">
        <v>1262</v>
      </c>
      <c r="E349" s="818" t="s">
        <v>200</v>
      </c>
      <c r="F349" s="794" t="s">
        <v>3950</v>
      </c>
      <c r="G349" s="801" t="s">
        <v>3951</v>
      </c>
      <c r="H349" s="801" t="s">
        <v>3952</v>
      </c>
      <c r="I349" s="834" t="s">
        <v>3953</v>
      </c>
      <c r="J349" s="801"/>
      <c r="K349" s="794"/>
      <c r="L349" s="794"/>
      <c r="M349" s="794"/>
      <c r="N349" s="794"/>
      <c r="O349" s="794"/>
      <c r="P349" s="794"/>
      <c r="Q349" s="794"/>
      <c r="R349" s="794"/>
      <c r="S349" s="794"/>
      <c r="T349" s="794"/>
      <c r="U349" s="794"/>
      <c r="V349" s="794"/>
    </row>
    <row r="350" spans="1:22" ht="14.5" hidden="1">
      <c r="A350" s="801"/>
      <c r="B350" s="869" t="s">
        <v>1220</v>
      </c>
      <c r="C350" s="803" t="s">
        <v>3577</v>
      </c>
      <c r="D350" s="801" t="s">
        <v>1222</v>
      </c>
      <c r="E350" s="818" t="s">
        <v>1200</v>
      </c>
      <c r="F350" s="794" t="s">
        <v>3954</v>
      </c>
      <c r="G350" s="801" t="s">
        <v>3951</v>
      </c>
      <c r="H350" s="801" t="s">
        <v>3952</v>
      </c>
      <c r="I350" s="794" t="s">
        <v>3955</v>
      </c>
      <c r="J350" s="801"/>
      <c r="K350" s="794"/>
      <c r="L350" s="794"/>
      <c r="M350" s="794"/>
      <c r="N350" s="794"/>
      <c r="O350" s="794"/>
      <c r="P350" s="794"/>
      <c r="Q350" s="794"/>
      <c r="R350" s="794"/>
      <c r="S350" s="794"/>
      <c r="T350" s="794"/>
      <c r="U350" s="794"/>
      <c r="V350" s="794"/>
    </row>
    <row r="351" spans="1:22" ht="14.5" hidden="1">
      <c r="A351" s="801"/>
      <c r="B351" s="869" t="s">
        <v>320</v>
      </c>
      <c r="C351" s="803" t="s">
        <v>3577</v>
      </c>
      <c r="D351" s="801" t="s">
        <v>322</v>
      </c>
      <c r="E351" s="801" t="s">
        <v>119</v>
      </c>
      <c r="F351" s="870" t="s">
        <v>3956</v>
      </c>
      <c r="G351" s="801"/>
      <c r="H351" s="801"/>
      <c r="I351" s="794"/>
      <c r="J351" s="794"/>
      <c r="K351" s="794"/>
      <c r="L351" s="794"/>
      <c r="M351" s="794"/>
      <c r="N351" s="794"/>
      <c r="O351" s="794"/>
      <c r="P351" s="794"/>
      <c r="Q351" s="794"/>
      <c r="R351" s="794"/>
      <c r="S351" s="794"/>
      <c r="T351" s="794"/>
      <c r="U351" s="794"/>
      <c r="V351" s="794"/>
    </row>
    <row r="352" spans="1:22" ht="14.5" hidden="1">
      <c r="A352" s="801"/>
      <c r="B352" s="869"/>
      <c r="C352" s="862"/>
      <c r="D352" s="801"/>
      <c r="E352" s="801"/>
      <c r="F352" s="801"/>
      <c r="G352" s="794"/>
      <c r="H352" s="794"/>
      <c r="I352" s="794"/>
      <c r="J352" s="794"/>
      <c r="K352" s="794"/>
      <c r="L352" s="794"/>
      <c r="M352" s="794"/>
      <c r="N352" s="794"/>
      <c r="O352" s="794"/>
      <c r="P352" s="794"/>
      <c r="Q352" s="794"/>
      <c r="R352" s="794"/>
      <c r="S352" s="794"/>
      <c r="T352" s="794"/>
      <c r="U352" s="794"/>
      <c r="V352" s="794"/>
    </row>
    <row r="353" spans="1:22" ht="14.5" hidden="1">
      <c r="A353" s="801" t="s">
        <v>67</v>
      </c>
      <c r="B353" s="869" t="s">
        <v>1581</v>
      </c>
      <c r="C353" s="796" t="s">
        <v>54</v>
      </c>
      <c r="D353" s="801" t="s">
        <v>1583</v>
      </c>
      <c r="E353" s="801" t="s">
        <v>472</v>
      </c>
      <c r="F353" s="801" t="s">
        <v>3957</v>
      </c>
      <c r="G353" s="801" t="s">
        <v>3771</v>
      </c>
      <c r="H353" s="794" t="s">
        <v>3958</v>
      </c>
      <c r="I353" s="794"/>
      <c r="J353" s="794"/>
      <c r="K353" s="794"/>
      <c r="L353" s="794"/>
      <c r="M353" s="794"/>
      <c r="N353" s="794"/>
      <c r="O353" s="794"/>
      <c r="P353" s="794"/>
      <c r="Q353" s="794"/>
      <c r="R353" s="794"/>
      <c r="S353" s="794"/>
      <c r="T353" s="794"/>
      <c r="U353" s="794"/>
      <c r="V353" s="794"/>
    </row>
    <row r="354" spans="1:22" ht="14.5" hidden="1">
      <c r="A354" s="797"/>
      <c r="B354" s="869"/>
      <c r="C354" s="862"/>
      <c r="D354" s="801"/>
      <c r="E354" s="801"/>
      <c r="F354" s="870"/>
      <c r="G354" s="801"/>
      <c r="H354" s="794"/>
      <c r="I354" s="794"/>
      <c r="J354" s="794"/>
      <c r="K354" s="794"/>
      <c r="L354" s="794"/>
      <c r="M354" s="794"/>
      <c r="N354" s="794"/>
      <c r="O354" s="794"/>
      <c r="P354" s="794"/>
      <c r="Q354" s="794"/>
      <c r="R354" s="794"/>
      <c r="S354" s="794"/>
      <c r="T354" s="794"/>
      <c r="U354" s="794"/>
      <c r="V354" s="794"/>
    </row>
    <row r="355" spans="1:22" ht="14.5" hidden="1">
      <c r="A355" s="797" t="s">
        <v>3575</v>
      </c>
      <c r="B355" s="869" t="s">
        <v>1581</v>
      </c>
      <c r="C355" s="796" t="s">
        <v>54</v>
      </c>
      <c r="D355" s="801" t="s">
        <v>1583</v>
      </c>
      <c r="E355" s="801" t="s">
        <v>472</v>
      </c>
      <c r="F355" s="870" t="s">
        <v>3959</v>
      </c>
      <c r="G355" s="801"/>
      <c r="H355" s="794"/>
      <c r="I355" s="794"/>
      <c r="J355" s="794"/>
      <c r="K355" s="794"/>
      <c r="L355" s="794"/>
      <c r="M355" s="794"/>
      <c r="N355" s="794"/>
      <c r="O355" s="794"/>
      <c r="P355" s="794"/>
      <c r="Q355" s="794"/>
      <c r="R355" s="794"/>
      <c r="S355" s="794"/>
      <c r="T355" s="794"/>
      <c r="U355" s="794"/>
      <c r="V355" s="794"/>
    </row>
    <row r="356" spans="1:22" ht="14.5" hidden="1">
      <c r="A356" s="797"/>
      <c r="B356" s="848" t="s">
        <v>1883</v>
      </c>
      <c r="C356" s="796" t="s">
        <v>54</v>
      </c>
      <c r="D356" s="794" t="s">
        <v>818</v>
      </c>
      <c r="E356" s="818" t="s">
        <v>3889</v>
      </c>
      <c r="F356" s="825" t="s">
        <v>3960</v>
      </c>
      <c r="G356" s="794" t="s">
        <v>3848</v>
      </c>
      <c r="H356" s="801"/>
      <c r="I356" s="794"/>
      <c r="J356" s="794"/>
      <c r="K356" s="794"/>
      <c r="L356" s="794"/>
      <c r="M356" s="794"/>
      <c r="N356" s="794"/>
      <c r="O356" s="794"/>
      <c r="P356" s="794"/>
      <c r="Q356" s="794"/>
      <c r="R356" s="794"/>
      <c r="S356" s="794"/>
      <c r="T356" s="794"/>
      <c r="U356" s="794"/>
      <c r="V356" s="794"/>
    </row>
    <row r="357" spans="1:22" ht="14.5" hidden="1">
      <c r="A357" s="797"/>
      <c r="B357" s="838" t="s">
        <v>1889</v>
      </c>
      <c r="C357" s="796" t="s">
        <v>54</v>
      </c>
      <c r="D357" s="829" t="s">
        <v>859</v>
      </c>
      <c r="E357" s="824" t="s">
        <v>3728</v>
      </c>
      <c r="F357" s="825" t="s">
        <v>3961</v>
      </c>
      <c r="G357" s="794" t="s">
        <v>3848</v>
      </c>
      <c r="H357" s="801"/>
      <c r="I357" s="794"/>
      <c r="J357" s="794"/>
      <c r="K357" s="794"/>
      <c r="L357" s="794"/>
      <c r="M357" s="794"/>
      <c r="N357" s="794"/>
      <c r="O357" s="794"/>
      <c r="P357" s="794"/>
      <c r="Q357" s="794"/>
      <c r="R357" s="794"/>
      <c r="S357" s="794"/>
      <c r="T357" s="794"/>
      <c r="U357" s="794"/>
      <c r="V357" s="794"/>
    </row>
    <row r="358" spans="1:22" ht="14.5" hidden="1">
      <c r="A358" s="845"/>
      <c r="B358" s="816" t="s">
        <v>320</v>
      </c>
      <c r="C358" s="843" t="s">
        <v>3577</v>
      </c>
      <c r="D358" s="845" t="s">
        <v>322</v>
      </c>
      <c r="E358" s="845" t="s">
        <v>119</v>
      </c>
      <c r="F358" s="871" t="s">
        <v>3962</v>
      </c>
      <c r="G358" s="872"/>
      <c r="H358" s="872"/>
      <c r="I358" s="844"/>
      <c r="J358" s="844"/>
      <c r="K358" s="844"/>
      <c r="L358" s="844"/>
      <c r="M358" s="844"/>
      <c r="N358" s="844"/>
      <c r="O358" s="844"/>
      <c r="P358" s="844"/>
      <c r="Q358" s="844"/>
      <c r="R358" s="844"/>
      <c r="S358" s="844"/>
      <c r="T358" s="844"/>
      <c r="U358" s="844"/>
      <c r="V358" s="844"/>
    </row>
    <row r="359" spans="1:22" ht="14.5" hidden="1">
      <c r="A359" s="794"/>
      <c r="B359" s="865" t="s">
        <v>1894</v>
      </c>
      <c r="C359" s="796" t="s">
        <v>54</v>
      </c>
      <c r="D359" s="829" t="s">
        <v>1896</v>
      </c>
      <c r="E359" s="824" t="s">
        <v>3686</v>
      </c>
      <c r="F359" s="825" t="s">
        <v>3963</v>
      </c>
      <c r="G359" s="801" t="s">
        <v>3918</v>
      </c>
      <c r="H359" s="794"/>
      <c r="I359" s="794"/>
      <c r="J359" s="794"/>
      <c r="K359" s="794"/>
      <c r="L359" s="794"/>
      <c r="M359" s="794"/>
      <c r="N359" s="794"/>
      <c r="O359" s="794"/>
      <c r="P359" s="794"/>
      <c r="Q359" s="794"/>
      <c r="R359" s="794"/>
      <c r="S359" s="794"/>
      <c r="T359" s="794"/>
      <c r="U359" s="794"/>
      <c r="V359" s="794"/>
    </row>
    <row r="360" spans="1:22" ht="14.5" hidden="1">
      <c r="A360" s="801"/>
      <c r="B360" s="869"/>
      <c r="C360" s="843" t="s">
        <v>3577</v>
      </c>
      <c r="D360" s="829" t="s">
        <v>3964</v>
      </c>
      <c r="E360" s="801"/>
      <c r="F360" s="825" t="s">
        <v>3965</v>
      </c>
      <c r="G360" s="801"/>
      <c r="H360" s="801"/>
      <c r="I360" s="801"/>
      <c r="J360" s="801"/>
      <c r="K360" s="801"/>
      <c r="L360" s="801"/>
      <c r="M360" s="801"/>
      <c r="N360" s="801"/>
      <c r="O360" s="801"/>
      <c r="P360" s="801"/>
      <c r="Q360" s="801"/>
      <c r="R360" s="801"/>
      <c r="S360" s="801"/>
      <c r="T360" s="801"/>
      <c r="U360" s="801"/>
      <c r="V360" s="801"/>
    </row>
    <row r="361" spans="1:22" ht="14.5" hidden="1">
      <c r="A361" s="801"/>
      <c r="B361" s="869"/>
      <c r="C361" s="796" t="s">
        <v>54</v>
      </c>
      <c r="D361" s="829" t="s">
        <v>3884</v>
      </c>
      <c r="E361" s="801"/>
      <c r="F361" s="825" t="s">
        <v>3965</v>
      </c>
      <c r="G361" s="801"/>
      <c r="H361" s="801"/>
      <c r="I361" s="801"/>
      <c r="J361" s="801"/>
      <c r="K361" s="801"/>
      <c r="L361" s="801"/>
      <c r="M361" s="801"/>
      <c r="N361" s="801"/>
      <c r="O361" s="801"/>
      <c r="P361" s="801"/>
      <c r="Q361" s="801"/>
      <c r="R361" s="801"/>
      <c r="S361" s="801"/>
      <c r="T361" s="801"/>
      <c r="U361" s="801"/>
      <c r="V361" s="801"/>
    </row>
    <row r="362" spans="1:22" ht="14.5" hidden="1">
      <c r="A362" s="797"/>
      <c r="B362" s="848" t="s">
        <v>1902</v>
      </c>
      <c r="C362" s="803" t="s">
        <v>3577</v>
      </c>
      <c r="D362" s="794" t="s">
        <v>1904</v>
      </c>
      <c r="E362" s="818" t="s">
        <v>200</v>
      </c>
      <c r="F362" s="849" t="s">
        <v>3966</v>
      </c>
      <c r="G362" s="801" t="s">
        <v>3918</v>
      </c>
      <c r="H362" s="794"/>
      <c r="I362" s="801"/>
      <c r="J362" s="794"/>
      <c r="K362" s="794"/>
      <c r="L362" s="794"/>
      <c r="M362" s="794"/>
      <c r="N362" s="794"/>
      <c r="O362" s="794"/>
      <c r="P362" s="794"/>
      <c r="Q362" s="794"/>
      <c r="R362" s="794"/>
      <c r="S362" s="794"/>
      <c r="T362" s="794"/>
      <c r="U362" s="794"/>
      <c r="V362" s="794"/>
    </row>
    <row r="363" spans="1:22" ht="14.5" hidden="1">
      <c r="A363" s="801"/>
      <c r="B363" s="869"/>
      <c r="C363" s="862"/>
      <c r="D363" s="801"/>
      <c r="E363" s="801"/>
      <c r="F363" s="801"/>
      <c r="G363" s="801"/>
      <c r="H363" s="801"/>
      <c r="I363" s="801"/>
      <c r="J363" s="801"/>
      <c r="K363" s="801"/>
      <c r="L363" s="801"/>
      <c r="M363" s="801"/>
      <c r="N363" s="801"/>
      <c r="O363" s="801"/>
      <c r="P363" s="801"/>
      <c r="Q363" s="801"/>
      <c r="R363" s="801"/>
      <c r="S363" s="801"/>
      <c r="T363" s="801"/>
      <c r="U363" s="801"/>
      <c r="V363" s="801"/>
    </row>
    <row r="364" spans="1:22" ht="14.5">
      <c r="A364" s="873">
        <v>45901</v>
      </c>
      <c r="B364" s="810"/>
      <c r="C364" s="811"/>
      <c r="D364" s="792"/>
      <c r="E364" s="792"/>
      <c r="F364" s="792"/>
      <c r="G364" s="794"/>
      <c r="H364" s="794"/>
      <c r="I364" s="794"/>
      <c r="J364" s="794"/>
      <c r="K364" s="794"/>
      <c r="L364" s="794"/>
      <c r="M364" s="794"/>
      <c r="N364" s="794"/>
      <c r="O364" s="794"/>
      <c r="P364" s="794"/>
      <c r="Q364" s="794"/>
      <c r="R364" s="794"/>
      <c r="S364" s="794"/>
      <c r="T364" s="794"/>
      <c r="U364" s="794"/>
      <c r="V364" s="794"/>
    </row>
    <row r="365" spans="1:22" ht="14.5">
      <c r="A365" s="794" t="s">
        <v>3563</v>
      </c>
      <c r="B365" s="799" t="s">
        <v>236</v>
      </c>
      <c r="C365" s="796" t="s">
        <v>54</v>
      </c>
      <c r="D365" s="818" t="s">
        <v>3967</v>
      </c>
      <c r="E365" s="794" t="s">
        <v>241</v>
      </c>
      <c r="F365" s="794" t="s">
        <v>3968</v>
      </c>
      <c r="G365" s="794"/>
      <c r="H365" s="794"/>
      <c r="I365" s="794"/>
      <c r="J365" s="794"/>
      <c r="K365" s="794"/>
      <c r="L365" s="794"/>
      <c r="M365" s="794"/>
      <c r="N365" s="794"/>
      <c r="O365" s="794"/>
      <c r="P365" s="794"/>
      <c r="Q365" s="794"/>
      <c r="R365" s="794"/>
      <c r="S365" s="794"/>
      <c r="T365" s="794"/>
      <c r="U365" s="794"/>
      <c r="V365" s="794"/>
    </row>
    <row r="366" spans="1:22" ht="14.5" hidden="1">
      <c r="A366" s="794"/>
      <c r="B366" s="836"/>
      <c r="C366" s="862"/>
      <c r="D366" s="801"/>
      <c r="E366" s="821"/>
      <c r="F366" s="870"/>
      <c r="G366" s="794"/>
      <c r="H366" s="794"/>
      <c r="I366" s="794"/>
      <c r="J366" s="794"/>
      <c r="K366" s="794"/>
      <c r="L366" s="794"/>
      <c r="M366" s="794"/>
      <c r="N366" s="794"/>
      <c r="O366" s="794"/>
      <c r="P366" s="794"/>
      <c r="Q366" s="794"/>
      <c r="R366" s="794"/>
      <c r="S366" s="794"/>
      <c r="T366" s="794"/>
      <c r="U366" s="794"/>
      <c r="V366" s="794"/>
    </row>
    <row r="367" spans="1:22" ht="14.5" hidden="1">
      <c r="A367" s="794" t="s">
        <v>3969</v>
      </c>
      <c r="B367" s="863" t="s">
        <v>1994</v>
      </c>
      <c r="C367" s="796" t="s">
        <v>54</v>
      </c>
      <c r="D367" s="801" t="s">
        <v>1996</v>
      </c>
      <c r="E367" s="813" t="s">
        <v>920</v>
      </c>
      <c r="F367" s="870" t="s">
        <v>3970</v>
      </c>
      <c r="G367" s="801" t="s">
        <v>3971</v>
      </c>
      <c r="H367" s="801" t="s">
        <v>3972</v>
      </c>
      <c r="I367" s="801" t="s">
        <v>3973</v>
      </c>
      <c r="J367" s="801" t="s">
        <v>3848</v>
      </c>
      <c r="K367" s="794"/>
      <c r="L367" s="794"/>
      <c r="M367" s="794"/>
      <c r="N367" s="794"/>
      <c r="O367" s="794"/>
      <c r="P367" s="794"/>
      <c r="Q367" s="794"/>
      <c r="R367" s="794"/>
      <c r="S367" s="794"/>
      <c r="T367" s="794"/>
      <c r="U367" s="794"/>
      <c r="V367" s="794"/>
    </row>
    <row r="368" spans="1:22" ht="14.5" hidden="1">
      <c r="A368" s="794"/>
      <c r="B368" s="863" t="s">
        <v>2003</v>
      </c>
      <c r="C368" s="796" t="s">
        <v>54</v>
      </c>
      <c r="D368" s="801" t="s">
        <v>2005</v>
      </c>
      <c r="E368" s="813" t="s">
        <v>920</v>
      </c>
      <c r="F368" s="870" t="s">
        <v>3970</v>
      </c>
      <c r="G368" s="801" t="s">
        <v>3971</v>
      </c>
      <c r="H368" s="801" t="s">
        <v>3972</v>
      </c>
      <c r="I368" s="801" t="s">
        <v>3973</v>
      </c>
      <c r="J368" s="801" t="s">
        <v>3848</v>
      </c>
      <c r="K368" s="794"/>
      <c r="L368" s="794"/>
      <c r="M368" s="794"/>
      <c r="N368" s="794"/>
      <c r="O368" s="794"/>
      <c r="P368" s="794"/>
      <c r="Q368" s="794"/>
      <c r="R368" s="794"/>
      <c r="S368" s="794"/>
      <c r="T368" s="794"/>
      <c r="U368" s="794"/>
      <c r="V368" s="794"/>
    </row>
    <row r="369" spans="1:22" ht="14.5" hidden="1">
      <c r="A369" s="794"/>
      <c r="B369" s="863" t="s">
        <v>2011</v>
      </c>
      <c r="C369" s="796" t="s">
        <v>54</v>
      </c>
      <c r="D369" s="801" t="s">
        <v>2013</v>
      </c>
      <c r="E369" s="813" t="s">
        <v>920</v>
      </c>
      <c r="F369" s="870" t="s">
        <v>3970</v>
      </c>
      <c r="G369" s="801" t="s">
        <v>3971</v>
      </c>
      <c r="H369" s="801" t="s">
        <v>3972</v>
      </c>
      <c r="I369" s="801" t="s">
        <v>3973</v>
      </c>
      <c r="J369" s="801" t="s">
        <v>3848</v>
      </c>
      <c r="K369" s="794"/>
      <c r="L369" s="794"/>
      <c r="M369" s="794"/>
      <c r="N369" s="794"/>
      <c r="O369" s="794"/>
      <c r="P369" s="794"/>
      <c r="Q369" s="794"/>
      <c r="R369" s="794"/>
      <c r="S369" s="794"/>
      <c r="T369" s="794"/>
      <c r="U369" s="794"/>
      <c r="V369" s="794"/>
    </row>
    <row r="370" spans="1:22" ht="14.5" hidden="1">
      <c r="A370" s="794"/>
      <c r="B370" s="863" t="s">
        <v>2020</v>
      </c>
      <c r="C370" s="796" t="s">
        <v>54</v>
      </c>
      <c r="D370" s="801" t="s">
        <v>2022</v>
      </c>
      <c r="E370" s="813" t="s">
        <v>920</v>
      </c>
      <c r="F370" s="870" t="s">
        <v>3970</v>
      </c>
      <c r="G370" s="801" t="s">
        <v>3971</v>
      </c>
      <c r="H370" s="801" t="s">
        <v>3972</v>
      </c>
      <c r="I370" s="801" t="s">
        <v>3973</v>
      </c>
      <c r="J370" s="801" t="s">
        <v>3848</v>
      </c>
      <c r="K370" s="794"/>
      <c r="L370" s="794"/>
      <c r="M370" s="794"/>
      <c r="N370" s="794"/>
      <c r="O370" s="794"/>
      <c r="P370" s="794"/>
      <c r="Q370" s="794"/>
      <c r="R370" s="794"/>
      <c r="S370" s="794"/>
      <c r="T370" s="794"/>
      <c r="U370" s="794"/>
      <c r="V370" s="794"/>
    </row>
    <row r="371" spans="1:22" ht="14.5" hidden="1">
      <c r="A371" s="794"/>
      <c r="B371" s="863" t="s">
        <v>1918</v>
      </c>
      <c r="C371" s="796" t="s">
        <v>54</v>
      </c>
      <c r="D371" s="801" t="s">
        <v>1920</v>
      </c>
      <c r="E371" s="813" t="s">
        <v>630</v>
      </c>
      <c r="F371" s="870" t="s">
        <v>3970</v>
      </c>
      <c r="G371" s="801" t="s">
        <v>3971</v>
      </c>
      <c r="H371" s="801" t="s">
        <v>3972</v>
      </c>
      <c r="I371" s="801" t="s">
        <v>3974</v>
      </c>
      <c r="J371" s="801" t="s">
        <v>3848</v>
      </c>
      <c r="K371" s="794"/>
      <c r="L371" s="794"/>
      <c r="M371" s="794"/>
      <c r="N371" s="794"/>
      <c r="O371" s="794"/>
      <c r="P371" s="794"/>
      <c r="Q371" s="794"/>
      <c r="R371" s="794"/>
      <c r="S371" s="794"/>
      <c r="T371" s="794"/>
      <c r="U371" s="794"/>
      <c r="V371" s="794"/>
    </row>
    <row r="372" spans="1:22" ht="14.5" hidden="1">
      <c r="A372" s="794"/>
      <c r="B372" s="863" t="s">
        <v>1928</v>
      </c>
      <c r="C372" s="796" t="s">
        <v>54</v>
      </c>
      <c r="D372" s="801" t="s">
        <v>1930</v>
      </c>
      <c r="E372" s="813" t="s">
        <v>630</v>
      </c>
      <c r="F372" s="870" t="s">
        <v>3970</v>
      </c>
      <c r="G372" s="801" t="s">
        <v>3971</v>
      </c>
      <c r="H372" s="801" t="s">
        <v>3972</v>
      </c>
      <c r="I372" s="801" t="s">
        <v>3974</v>
      </c>
      <c r="J372" s="801" t="s">
        <v>3848</v>
      </c>
      <c r="K372" s="794"/>
      <c r="L372" s="794"/>
      <c r="M372" s="794"/>
      <c r="N372" s="794"/>
      <c r="O372" s="794"/>
      <c r="P372" s="794"/>
      <c r="Q372" s="794"/>
      <c r="R372" s="794"/>
      <c r="S372" s="794"/>
      <c r="T372" s="794"/>
      <c r="U372" s="794"/>
      <c r="V372" s="794"/>
    </row>
    <row r="373" spans="1:22" ht="14.5" hidden="1">
      <c r="A373" s="794"/>
      <c r="B373" s="863" t="s">
        <v>1936</v>
      </c>
      <c r="C373" s="796" t="s">
        <v>54</v>
      </c>
      <c r="D373" s="801" t="s">
        <v>1938</v>
      </c>
      <c r="E373" s="813" t="s">
        <v>630</v>
      </c>
      <c r="F373" s="870" t="s">
        <v>3970</v>
      </c>
      <c r="G373" s="801" t="s">
        <v>3971</v>
      </c>
      <c r="H373" s="801" t="s">
        <v>3972</v>
      </c>
      <c r="I373" s="801" t="s">
        <v>3974</v>
      </c>
      <c r="J373" s="801" t="s">
        <v>3848</v>
      </c>
      <c r="K373" s="794"/>
      <c r="L373" s="794"/>
      <c r="M373" s="794"/>
      <c r="N373" s="794"/>
      <c r="O373" s="794"/>
      <c r="P373" s="794"/>
      <c r="Q373" s="794"/>
      <c r="R373" s="794"/>
      <c r="S373" s="794"/>
      <c r="T373" s="794"/>
      <c r="U373" s="794"/>
      <c r="V373" s="794"/>
    </row>
    <row r="374" spans="1:22" ht="14.5" hidden="1">
      <c r="A374" s="794"/>
      <c r="B374" s="863" t="s">
        <v>1944</v>
      </c>
      <c r="C374" s="796" t="s">
        <v>54</v>
      </c>
      <c r="D374" s="801" t="s">
        <v>1946</v>
      </c>
      <c r="E374" s="813" t="s">
        <v>630</v>
      </c>
      <c r="F374" s="870" t="s">
        <v>3970</v>
      </c>
      <c r="G374" s="801" t="s">
        <v>3971</v>
      </c>
      <c r="H374" s="801" t="s">
        <v>3972</v>
      </c>
      <c r="I374" s="801" t="s">
        <v>3974</v>
      </c>
      <c r="J374" s="801" t="s">
        <v>3848</v>
      </c>
      <c r="K374" s="794"/>
      <c r="L374" s="794"/>
      <c r="M374" s="794"/>
      <c r="N374" s="794"/>
      <c r="O374" s="794"/>
      <c r="P374" s="794"/>
      <c r="Q374" s="794"/>
      <c r="R374" s="794"/>
      <c r="S374" s="794"/>
      <c r="T374" s="794"/>
      <c r="U374" s="794"/>
      <c r="V374" s="794"/>
    </row>
    <row r="375" spans="1:22" ht="14.5" hidden="1">
      <c r="A375" s="794"/>
      <c r="B375" s="863" t="s">
        <v>1951</v>
      </c>
      <c r="C375" s="796" t="s">
        <v>54</v>
      </c>
      <c r="D375" s="801" t="s">
        <v>1953</v>
      </c>
      <c r="E375" s="813" t="s">
        <v>630</v>
      </c>
      <c r="F375" s="870" t="s">
        <v>3970</v>
      </c>
      <c r="G375" s="801" t="s">
        <v>3971</v>
      </c>
      <c r="H375" s="801" t="s">
        <v>3972</v>
      </c>
      <c r="I375" s="801" t="s">
        <v>3974</v>
      </c>
      <c r="J375" s="801" t="s">
        <v>3848</v>
      </c>
      <c r="K375" s="794"/>
      <c r="L375" s="794"/>
      <c r="M375" s="794"/>
      <c r="N375" s="794"/>
      <c r="O375" s="794"/>
      <c r="P375" s="794"/>
      <c r="Q375" s="794"/>
      <c r="R375" s="794"/>
      <c r="S375" s="794"/>
      <c r="T375" s="794"/>
      <c r="U375" s="794"/>
      <c r="V375" s="794"/>
    </row>
    <row r="376" spans="1:22" ht="14.5" hidden="1">
      <c r="A376" s="794"/>
      <c r="B376" s="863" t="s">
        <v>1959</v>
      </c>
      <c r="C376" s="796" t="s">
        <v>54</v>
      </c>
      <c r="D376" s="801" t="s">
        <v>1961</v>
      </c>
      <c r="E376" s="813" t="s">
        <v>630</v>
      </c>
      <c r="F376" s="870" t="s">
        <v>3970</v>
      </c>
      <c r="G376" s="801" t="s">
        <v>3971</v>
      </c>
      <c r="H376" s="801" t="s">
        <v>3972</v>
      </c>
      <c r="I376" s="801" t="s">
        <v>3975</v>
      </c>
      <c r="J376" s="801" t="s">
        <v>3848</v>
      </c>
      <c r="K376" s="794"/>
      <c r="L376" s="794"/>
      <c r="M376" s="794"/>
      <c r="N376" s="794"/>
      <c r="O376" s="794"/>
      <c r="P376" s="794"/>
      <c r="Q376" s="794"/>
      <c r="R376" s="794"/>
      <c r="S376" s="794"/>
      <c r="T376" s="794"/>
      <c r="U376" s="794"/>
      <c r="V376" s="794"/>
    </row>
    <row r="377" spans="1:22" ht="14.5" hidden="1">
      <c r="A377" s="794"/>
      <c r="B377" s="863" t="s">
        <v>1967</v>
      </c>
      <c r="C377" s="796" t="s">
        <v>54</v>
      </c>
      <c r="D377" s="801" t="s">
        <v>1969</v>
      </c>
      <c r="E377" s="813" t="s">
        <v>630</v>
      </c>
      <c r="F377" s="870" t="s">
        <v>3970</v>
      </c>
      <c r="G377" s="801" t="s">
        <v>3971</v>
      </c>
      <c r="H377" s="801" t="s">
        <v>3972</v>
      </c>
      <c r="I377" s="801" t="s">
        <v>3975</v>
      </c>
      <c r="J377" s="801" t="s">
        <v>3848</v>
      </c>
      <c r="K377" s="794"/>
      <c r="L377" s="794"/>
      <c r="M377" s="794"/>
      <c r="N377" s="794"/>
      <c r="O377" s="794"/>
      <c r="P377" s="794"/>
      <c r="Q377" s="794"/>
      <c r="R377" s="794"/>
      <c r="S377" s="794"/>
      <c r="T377" s="794"/>
      <c r="U377" s="794"/>
      <c r="V377" s="794"/>
    </row>
    <row r="378" spans="1:22" ht="14.5" hidden="1">
      <c r="A378" s="794"/>
      <c r="B378" s="863" t="s">
        <v>1974</v>
      </c>
      <c r="C378" s="796" t="s">
        <v>54</v>
      </c>
      <c r="D378" s="801" t="s">
        <v>1976</v>
      </c>
      <c r="E378" s="813" t="s">
        <v>630</v>
      </c>
      <c r="F378" s="870" t="s">
        <v>3970</v>
      </c>
      <c r="G378" s="801" t="s">
        <v>3971</v>
      </c>
      <c r="H378" s="801" t="s">
        <v>3972</v>
      </c>
      <c r="I378" s="801" t="s">
        <v>3975</v>
      </c>
      <c r="J378" s="801" t="s">
        <v>3848</v>
      </c>
      <c r="K378" s="794"/>
      <c r="L378" s="794"/>
      <c r="M378" s="794"/>
      <c r="N378" s="794"/>
      <c r="O378" s="794"/>
      <c r="P378" s="794"/>
      <c r="Q378" s="794"/>
      <c r="R378" s="794"/>
      <c r="S378" s="794"/>
      <c r="T378" s="794"/>
      <c r="U378" s="794"/>
      <c r="V378" s="794"/>
    </row>
    <row r="379" spans="1:22" ht="14.5" hidden="1">
      <c r="A379" s="794"/>
      <c r="B379" s="863" t="s">
        <v>1985</v>
      </c>
      <c r="C379" s="796" t="s">
        <v>54</v>
      </c>
      <c r="D379" s="801" t="s">
        <v>1987</v>
      </c>
      <c r="E379" s="813" t="s">
        <v>630</v>
      </c>
      <c r="F379" s="870" t="s">
        <v>3970</v>
      </c>
      <c r="G379" s="801" t="s">
        <v>3971</v>
      </c>
      <c r="H379" s="801" t="s">
        <v>3972</v>
      </c>
      <c r="I379" s="801" t="s">
        <v>3975</v>
      </c>
      <c r="J379" s="801" t="s">
        <v>3848</v>
      </c>
      <c r="K379" s="794"/>
      <c r="L379" s="794"/>
      <c r="M379" s="794"/>
      <c r="N379" s="794"/>
      <c r="O379" s="794"/>
      <c r="P379" s="794"/>
      <c r="Q379" s="794"/>
      <c r="R379" s="794"/>
      <c r="S379" s="794"/>
      <c r="T379" s="794"/>
      <c r="U379" s="794"/>
      <c r="V379" s="794"/>
    </row>
    <row r="380" spans="1:22" ht="14.5" hidden="1">
      <c r="A380" s="794"/>
      <c r="B380" s="863"/>
      <c r="C380" s="862"/>
      <c r="D380" s="801"/>
      <c r="E380" s="824"/>
      <c r="F380" s="870"/>
      <c r="G380" s="794"/>
      <c r="H380" s="794"/>
      <c r="I380" s="794"/>
      <c r="J380" s="794"/>
      <c r="K380" s="794"/>
      <c r="L380" s="794"/>
      <c r="M380" s="794"/>
      <c r="N380" s="794"/>
      <c r="O380" s="794"/>
      <c r="P380" s="794"/>
      <c r="Q380" s="794"/>
      <c r="R380" s="794"/>
      <c r="S380" s="794"/>
      <c r="T380" s="794"/>
      <c r="U380" s="794"/>
      <c r="V380" s="794"/>
    </row>
    <row r="381" spans="1:22" ht="14.5" hidden="1">
      <c r="A381" s="794" t="s">
        <v>3845</v>
      </c>
      <c r="B381" s="869" t="s">
        <v>2438</v>
      </c>
      <c r="C381" s="796" t="s">
        <v>54</v>
      </c>
      <c r="D381" s="801" t="s">
        <v>488</v>
      </c>
      <c r="E381" s="801" t="s">
        <v>491</v>
      </c>
      <c r="F381" s="801" t="s">
        <v>3976</v>
      </c>
      <c r="G381" s="801" t="s">
        <v>3848</v>
      </c>
      <c r="H381" s="794"/>
      <c r="I381" s="801"/>
      <c r="J381" s="801"/>
      <c r="K381" s="801"/>
      <c r="L381" s="801"/>
      <c r="M381" s="801"/>
      <c r="N381" s="801"/>
      <c r="O381" s="801"/>
      <c r="P381" s="801"/>
      <c r="Q381" s="801"/>
      <c r="R381" s="801"/>
      <c r="S381" s="801"/>
      <c r="T381" s="801"/>
      <c r="U381" s="801"/>
      <c r="V381" s="801"/>
    </row>
    <row r="382" spans="1:22" ht="14.5" hidden="1">
      <c r="A382" s="818"/>
      <c r="B382" s="830" t="s">
        <v>1181</v>
      </c>
      <c r="C382" s="796" t="s">
        <v>54</v>
      </c>
      <c r="D382" s="801" t="s">
        <v>3977</v>
      </c>
      <c r="E382" s="794" t="s">
        <v>457</v>
      </c>
      <c r="F382" s="870" t="s">
        <v>3978</v>
      </c>
      <c r="G382" s="818"/>
      <c r="H382" s="818"/>
      <c r="I382" s="818"/>
      <c r="J382" s="818"/>
      <c r="K382" s="818"/>
      <c r="L382" s="818"/>
      <c r="M382" s="818"/>
      <c r="N382" s="818"/>
      <c r="O382" s="818"/>
      <c r="P382" s="818"/>
      <c r="Q382" s="818"/>
      <c r="R382" s="818"/>
      <c r="S382" s="818"/>
      <c r="T382" s="818"/>
      <c r="U382" s="818"/>
      <c r="V382" s="818"/>
    </row>
    <row r="383" spans="1:22" ht="14.5" hidden="1">
      <c r="A383" s="818"/>
      <c r="B383" s="799" t="s">
        <v>236</v>
      </c>
      <c r="C383" s="796" t="s">
        <v>54</v>
      </c>
      <c r="D383" s="801" t="s">
        <v>3967</v>
      </c>
      <c r="E383" s="794" t="s">
        <v>457</v>
      </c>
      <c r="F383" s="870" t="s">
        <v>3979</v>
      </c>
      <c r="G383" s="818"/>
      <c r="H383" s="818"/>
      <c r="I383" s="818"/>
      <c r="J383" s="818"/>
      <c r="K383" s="818"/>
      <c r="L383" s="818"/>
      <c r="M383" s="818"/>
      <c r="N383" s="818"/>
      <c r="O383" s="818"/>
      <c r="P383" s="818"/>
      <c r="Q383" s="818"/>
      <c r="R383" s="818"/>
      <c r="S383" s="818"/>
      <c r="T383" s="818"/>
      <c r="U383" s="818"/>
      <c r="V383" s="818"/>
    </row>
    <row r="384" spans="1:22" ht="14.5" hidden="1">
      <c r="A384" s="818"/>
      <c r="B384" s="799" t="s">
        <v>1450</v>
      </c>
      <c r="C384" s="796" t="s">
        <v>54</v>
      </c>
      <c r="D384" s="801" t="s">
        <v>1452</v>
      </c>
      <c r="E384" s="794" t="s">
        <v>457</v>
      </c>
      <c r="F384" s="870" t="s">
        <v>3979</v>
      </c>
      <c r="G384" s="818"/>
      <c r="H384" s="818"/>
      <c r="I384" s="818"/>
      <c r="J384" s="818"/>
      <c r="K384" s="818"/>
      <c r="L384" s="818"/>
      <c r="M384" s="818"/>
      <c r="N384" s="818"/>
      <c r="O384" s="818"/>
      <c r="P384" s="818"/>
      <c r="Q384" s="818"/>
      <c r="R384" s="818"/>
      <c r="S384" s="818"/>
      <c r="T384" s="818"/>
      <c r="U384" s="818"/>
      <c r="V384" s="818"/>
    </row>
    <row r="385" spans="1:22" ht="14.5" hidden="1">
      <c r="A385" s="818"/>
      <c r="B385" s="830"/>
      <c r="C385" s="850"/>
      <c r="D385" s="818"/>
      <c r="E385" s="818"/>
      <c r="F385" s="849"/>
      <c r="G385" s="818"/>
      <c r="H385" s="818"/>
      <c r="I385" s="818"/>
      <c r="J385" s="801"/>
      <c r="K385" s="801"/>
      <c r="L385" s="801"/>
      <c r="M385" s="818"/>
      <c r="N385" s="818"/>
      <c r="O385" s="818"/>
      <c r="P385" s="818"/>
      <c r="Q385" s="818"/>
      <c r="R385" s="818"/>
      <c r="S385" s="818"/>
      <c r="T385" s="818"/>
      <c r="U385" s="818"/>
      <c r="V385" s="818"/>
    </row>
    <row r="386" spans="1:22" ht="14.5" hidden="1">
      <c r="A386" s="794" t="s">
        <v>3589</v>
      </c>
      <c r="B386" s="830" t="s">
        <v>1181</v>
      </c>
      <c r="C386" s="796" t="s">
        <v>54</v>
      </c>
      <c r="D386" s="801" t="s">
        <v>3977</v>
      </c>
      <c r="E386" s="794" t="s">
        <v>457</v>
      </c>
      <c r="F386" s="870" t="s">
        <v>3980</v>
      </c>
      <c r="G386" s="801" t="s">
        <v>3951</v>
      </c>
      <c r="H386" s="801" t="s">
        <v>3981</v>
      </c>
      <c r="I386" s="834" t="s">
        <v>3982</v>
      </c>
      <c r="J386" s="801" t="s">
        <v>3848</v>
      </c>
      <c r="K386" s="834" t="s">
        <v>3983</v>
      </c>
      <c r="L386" s="801"/>
      <c r="M386" s="794"/>
      <c r="N386" s="794"/>
      <c r="O386" s="794"/>
      <c r="P386" s="794"/>
      <c r="Q386" s="794"/>
      <c r="R386" s="794"/>
      <c r="S386" s="794"/>
      <c r="T386" s="794"/>
      <c r="U386" s="794"/>
      <c r="V386" s="794"/>
    </row>
    <row r="387" spans="1:22" ht="14.5" hidden="1">
      <c r="A387" s="794"/>
      <c r="B387" s="799" t="s">
        <v>236</v>
      </c>
      <c r="C387" s="796" t="s">
        <v>54</v>
      </c>
      <c r="D387" s="801" t="s">
        <v>3967</v>
      </c>
      <c r="E387" s="794" t="s">
        <v>457</v>
      </c>
      <c r="F387" s="870" t="s">
        <v>3984</v>
      </c>
      <c r="G387" s="801" t="s">
        <v>3951</v>
      </c>
      <c r="H387" s="801" t="s">
        <v>3981</v>
      </c>
      <c r="I387" s="834" t="s">
        <v>3982</v>
      </c>
      <c r="J387" s="834" t="s">
        <v>3983</v>
      </c>
      <c r="K387" s="794"/>
      <c r="L387" s="794"/>
      <c r="M387" s="794"/>
      <c r="N387" s="794"/>
      <c r="O387" s="794"/>
      <c r="P387" s="794"/>
      <c r="Q387" s="794"/>
      <c r="R387" s="794"/>
      <c r="S387" s="794"/>
      <c r="T387" s="794"/>
      <c r="U387" s="794"/>
      <c r="V387" s="794"/>
    </row>
    <row r="388" spans="1:22" ht="14.5" hidden="1">
      <c r="A388" s="797"/>
      <c r="B388" s="799" t="s">
        <v>1450</v>
      </c>
      <c r="C388" s="796" t="s">
        <v>54</v>
      </c>
      <c r="D388" s="801" t="s">
        <v>1452</v>
      </c>
      <c r="E388" s="794" t="s">
        <v>457</v>
      </c>
      <c r="F388" s="870" t="s">
        <v>3984</v>
      </c>
      <c r="G388" s="801" t="s">
        <v>3951</v>
      </c>
      <c r="H388" s="801" t="s">
        <v>3981</v>
      </c>
      <c r="I388" s="801" t="s">
        <v>3952</v>
      </c>
      <c r="J388" s="834" t="s">
        <v>3983</v>
      </c>
      <c r="K388" s="794"/>
      <c r="L388" s="794"/>
      <c r="M388" s="794"/>
      <c r="N388" s="794"/>
      <c r="O388" s="794"/>
      <c r="P388" s="794"/>
      <c r="Q388" s="794"/>
      <c r="R388" s="794"/>
      <c r="S388" s="794"/>
      <c r="T388" s="794"/>
      <c r="U388" s="794"/>
      <c r="V388" s="794"/>
    </row>
    <row r="389" spans="1:22" ht="14.5" hidden="1">
      <c r="A389" s="797"/>
      <c r="B389" s="799"/>
      <c r="C389" s="862"/>
      <c r="D389" s="794"/>
      <c r="E389" s="818"/>
      <c r="F389" s="794"/>
      <c r="G389" s="794"/>
      <c r="H389" s="794"/>
      <c r="I389" s="794"/>
      <c r="J389" s="794"/>
      <c r="K389" s="794"/>
      <c r="L389" s="794"/>
      <c r="M389" s="794"/>
      <c r="N389" s="794"/>
      <c r="O389" s="794"/>
      <c r="P389" s="794"/>
      <c r="Q389" s="794"/>
      <c r="R389" s="794"/>
      <c r="S389" s="794"/>
      <c r="T389" s="794"/>
      <c r="U389" s="794"/>
      <c r="V389" s="794"/>
    </row>
    <row r="390" spans="1:22" ht="14.5" hidden="1">
      <c r="A390" s="801" t="s">
        <v>67</v>
      </c>
      <c r="B390" s="869" t="s">
        <v>1837</v>
      </c>
      <c r="C390" s="796" t="s">
        <v>54</v>
      </c>
      <c r="D390" s="801" t="s">
        <v>1839</v>
      </c>
      <c r="E390" s="801" t="s">
        <v>445</v>
      </c>
      <c r="F390" s="801" t="s">
        <v>3985</v>
      </c>
      <c r="G390" s="801" t="s">
        <v>3771</v>
      </c>
      <c r="H390" s="801" t="s">
        <v>3958</v>
      </c>
      <c r="I390" s="794"/>
      <c r="J390" s="794"/>
      <c r="K390" s="794"/>
      <c r="L390" s="794"/>
      <c r="M390" s="794"/>
      <c r="N390" s="794"/>
      <c r="O390" s="794"/>
      <c r="P390" s="794"/>
      <c r="Q390" s="794"/>
      <c r="R390" s="794"/>
      <c r="S390" s="794"/>
      <c r="T390" s="794"/>
      <c r="U390" s="794"/>
      <c r="V390" s="794"/>
    </row>
    <row r="391" spans="1:22" ht="14.5" hidden="1">
      <c r="A391" s="801"/>
      <c r="B391" s="869" t="s">
        <v>320</v>
      </c>
      <c r="C391" s="803" t="s">
        <v>3577</v>
      </c>
      <c r="D391" s="801" t="s">
        <v>322</v>
      </c>
      <c r="E391" s="801" t="s">
        <v>119</v>
      </c>
      <c r="F391" s="870" t="s">
        <v>3986</v>
      </c>
      <c r="G391" s="794"/>
      <c r="H391" s="794"/>
      <c r="I391" s="794"/>
      <c r="J391" s="794"/>
      <c r="K391" s="794"/>
      <c r="L391" s="794"/>
      <c r="M391" s="794"/>
      <c r="N391" s="794"/>
      <c r="O391" s="794"/>
      <c r="P391" s="794"/>
      <c r="Q391" s="794"/>
      <c r="R391" s="794"/>
      <c r="S391" s="794"/>
      <c r="T391" s="794"/>
      <c r="U391" s="794"/>
      <c r="V391" s="794"/>
    </row>
    <row r="392" spans="1:22" ht="14.5" hidden="1">
      <c r="A392" s="801"/>
      <c r="B392" s="869"/>
      <c r="C392" s="862"/>
      <c r="D392" s="801"/>
      <c r="E392" s="801"/>
      <c r="F392" s="801"/>
      <c r="G392" s="794"/>
      <c r="H392" s="794"/>
      <c r="I392" s="794"/>
      <c r="J392" s="794"/>
      <c r="K392" s="794"/>
      <c r="L392" s="794"/>
      <c r="M392" s="794"/>
      <c r="N392" s="794"/>
      <c r="O392" s="794"/>
      <c r="P392" s="794"/>
      <c r="Q392" s="794"/>
      <c r="R392" s="794"/>
      <c r="S392" s="794"/>
      <c r="T392" s="794"/>
      <c r="U392" s="794"/>
      <c r="V392" s="794"/>
    </row>
    <row r="393" spans="1:22" ht="14.5" hidden="1">
      <c r="A393" s="801" t="s">
        <v>3575</v>
      </c>
      <c r="B393" s="869" t="s">
        <v>1837</v>
      </c>
      <c r="C393" s="796" t="s">
        <v>54</v>
      </c>
      <c r="D393" s="801" t="s">
        <v>1839</v>
      </c>
      <c r="E393" s="801" t="s">
        <v>445</v>
      </c>
      <c r="F393" s="801" t="s">
        <v>3987</v>
      </c>
      <c r="G393" s="801"/>
      <c r="H393" s="801"/>
      <c r="I393" s="794"/>
      <c r="J393" s="794"/>
      <c r="K393" s="794"/>
      <c r="L393" s="794"/>
      <c r="M393" s="794"/>
      <c r="N393" s="794"/>
      <c r="O393" s="794"/>
      <c r="P393" s="794"/>
      <c r="Q393" s="794"/>
      <c r="R393" s="794"/>
      <c r="S393" s="794"/>
      <c r="T393" s="794"/>
      <c r="U393" s="794"/>
      <c r="V393" s="794"/>
    </row>
    <row r="394" spans="1:22" ht="14.5" hidden="1">
      <c r="A394" s="801"/>
      <c r="B394" s="836" t="s">
        <v>3456</v>
      </c>
      <c r="C394" s="796" t="s">
        <v>54</v>
      </c>
      <c r="D394" s="821" t="s">
        <v>731</v>
      </c>
      <c r="E394" s="821" t="s">
        <v>734</v>
      </c>
      <c r="F394" s="870" t="s">
        <v>3988</v>
      </c>
      <c r="G394" s="801"/>
      <c r="H394" s="801"/>
      <c r="I394" s="801"/>
      <c r="J394" s="801"/>
      <c r="K394" s="801"/>
      <c r="L394" s="801"/>
      <c r="M394" s="801"/>
      <c r="N394" s="801"/>
      <c r="O394" s="801"/>
      <c r="P394" s="801"/>
      <c r="Q394" s="801"/>
      <c r="R394" s="801"/>
      <c r="S394" s="801"/>
      <c r="T394" s="801"/>
      <c r="U394" s="801"/>
      <c r="V394" s="801"/>
    </row>
    <row r="395" spans="1:22" ht="14.5" hidden="1">
      <c r="A395" s="801"/>
      <c r="B395" s="869" t="s">
        <v>1104</v>
      </c>
      <c r="C395" s="796" t="s">
        <v>54</v>
      </c>
      <c r="D395" s="801" t="s">
        <v>1106</v>
      </c>
      <c r="E395" s="801" t="s">
        <v>3989</v>
      </c>
      <c r="F395" s="870" t="s">
        <v>3988</v>
      </c>
      <c r="G395" s="801"/>
      <c r="H395" s="801"/>
      <c r="I395" s="801"/>
      <c r="J395" s="801"/>
      <c r="K395" s="801"/>
      <c r="L395" s="801"/>
      <c r="M395" s="801"/>
      <c r="N395" s="801"/>
      <c r="O395" s="801"/>
      <c r="P395" s="801"/>
      <c r="Q395" s="801"/>
      <c r="R395" s="801"/>
      <c r="S395" s="801"/>
      <c r="T395" s="801"/>
      <c r="U395" s="801"/>
      <c r="V395" s="801"/>
    </row>
    <row r="396" spans="1:22" ht="14.5" hidden="1">
      <c r="A396" s="801"/>
      <c r="B396" s="836" t="s">
        <v>1889</v>
      </c>
      <c r="C396" s="796" t="s">
        <v>54</v>
      </c>
      <c r="D396" s="821" t="s">
        <v>859</v>
      </c>
      <c r="E396" s="821" t="s">
        <v>688</v>
      </c>
      <c r="F396" s="870" t="s">
        <v>3988</v>
      </c>
      <c r="G396" s="801"/>
      <c r="H396" s="801"/>
      <c r="I396" s="801"/>
      <c r="J396" s="801"/>
      <c r="K396" s="801"/>
      <c r="L396" s="801"/>
      <c r="M396" s="801"/>
      <c r="N396" s="801"/>
      <c r="O396" s="801"/>
      <c r="P396" s="801"/>
      <c r="Q396" s="801"/>
      <c r="R396" s="801"/>
      <c r="S396" s="801"/>
      <c r="T396" s="801"/>
      <c r="U396" s="801"/>
      <c r="V396" s="801"/>
    </row>
    <row r="397" spans="1:22" ht="14.5" hidden="1">
      <c r="A397" s="801"/>
      <c r="B397" s="836" t="s">
        <v>1079</v>
      </c>
      <c r="C397" s="796" t="s">
        <v>54</v>
      </c>
      <c r="D397" s="833" t="s">
        <v>1081</v>
      </c>
      <c r="E397" s="841" t="s">
        <v>635</v>
      </c>
      <c r="F397" s="870" t="s">
        <v>3988</v>
      </c>
      <c r="G397" s="801"/>
      <c r="H397" s="801"/>
      <c r="I397" s="801"/>
      <c r="J397" s="801"/>
      <c r="K397" s="801"/>
      <c r="L397" s="801"/>
      <c r="M397" s="801"/>
      <c r="N397" s="801"/>
      <c r="O397" s="801"/>
      <c r="P397" s="801"/>
      <c r="Q397" s="801"/>
      <c r="R397" s="801"/>
      <c r="S397" s="801"/>
      <c r="T397" s="801"/>
      <c r="U397" s="801"/>
      <c r="V397" s="801"/>
    </row>
    <row r="398" spans="1:22" ht="14.5" hidden="1">
      <c r="A398" s="801"/>
      <c r="B398" s="828" t="s">
        <v>1515</v>
      </c>
      <c r="C398" s="796" t="s">
        <v>54</v>
      </c>
      <c r="D398" s="823" t="s">
        <v>1517</v>
      </c>
      <c r="E398" s="823" t="s">
        <v>619</v>
      </c>
      <c r="F398" s="870" t="s">
        <v>3988</v>
      </c>
      <c r="G398" s="801"/>
      <c r="H398" s="801"/>
      <c r="I398" s="801"/>
      <c r="J398" s="801"/>
      <c r="K398" s="801"/>
      <c r="L398" s="801"/>
      <c r="M398" s="801"/>
      <c r="N398" s="801"/>
      <c r="O398" s="801"/>
      <c r="P398" s="801"/>
      <c r="Q398" s="801"/>
      <c r="R398" s="801"/>
      <c r="S398" s="801"/>
      <c r="T398" s="801"/>
      <c r="U398" s="801"/>
      <c r="V398" s="801"/>
    </row>
    <row r="399" spans="1:22" ht="14.5" hidden="1">
      <c r="A399" s="801"/>
      <c r="B399" s="828" t="s">
        <v>1870</v>
      </c>
      <c r="C399" s="796" t="s">
        <v>54</v>
      </c>
      <c r="D399" s="823" t="s">
        <v>1872</v>
      </c>
      <c r="E399" s="823" t="s">
        <v>869</v>
      </c>
      <c r="F399" s="870" t="s">
        <v>3990</v>
      </c>
      <c r="G399" s="801"/>
      <c r="H399" s="801"/>
      <c r="I399" s="801"/>
      <c r="J399" s="801"/>
      <c r="K399" s="801"/>
      <c r="L399" s="801"/>
      <c r="M399" s="801"/>
      <c r="N399" s="801"/>
      <c r="O399" s="801"/>
      <c r="P399" s="801"/>
      <c r="Q399" s="801"/>
      <c r="R399" s="801"/>
      <c r="S399" s="801"/>
      <c r="T399" s="801"/>
      <c r="U399" s="801"/>
      <c r="V399" s="801"/>
    </row>
    <row r="400" spans="1:22" ht="14.5" hidden="1">
      <c r="A400" s="801"/>
      <c r="B400" s="828" t="s">
        <v>1568</v>
      </c>
      <c r="C400" s="796" t="s">
        <v>54</v>
      </c>
      <c r="D400" s="823" t="s">
        <v>1570</v>
      </c>
      <c r="E400" s="874" t="s">
        <v>553</v>
      </c>
      <c r="F400" s="870" t="s">
        <v>3991</v>
      </c>
      <c r="G400" s="801"/>
      <c r="H400" s="801"/>
      <c r="I400" s="801"/>
      <c r="J400" s="801"/>
      <c r="K400" s="801"/>
      <c r="L400" s="801"/>
      <c r="M400" s="801"/>
      <c r="N400" s="801"/>
      <c r="O400" s="801"/>
      <c r="P400" s="801"/>
      <c r="Q400" s="801"/>
      <c r="R400" s="801"/>
      <c r="S400" s="801"/>
      <c r="T400" s="801"/>
      <c r="U400" s="801"/>
      <c r="V400" s="801"/>
    </row>
    <row r="401" spans="1:22" ht="14.5" hidden="1">
      <c r="A401" s="801"/>
      <c r="B401" s="869" t="s">
        <v>3992</v>
      </c>
      <c r="C401" s="796" t="s">
        <v>54</v>
      </c>
      <c r="D401" s="801" t="s">
        <v>500</v>
      </c>
      <c r="E401" s="801" t="s">
        <v>491</v>
      </c>
      <c r="F401" s="801" t="s">
        <v>3993</v>
      </c>
      <c r="G401" s="801" t="s">
        <v>3918</v>
      </c>
      <c r="H401" s="806" t="s">
        <v>3994</v>
      </c>
      <c r="I401" s="801"/>
      <c r="J401" s="801"/>
      <c r="K401" s="801"/>
      <c r="L401" s="801"/>
      <c r="M401" s="801"/>
      <c r="N401" s="801"/>
      <c r="O401" s="801"/>
      <c r="P401" s="801"/>
      <c r="Q401" s="801"/>
      <c r="R401" s="801"/>
      <c r="S401" s="801"/>
      <c r="T401" s="801"/>
      <c r="U401" s="801"/>
      <c r="V401" s="801"/>
    </row>
    <row r="402" spans="1:22" ht="14.5" hidden="1">
      <c r="A402" s="801"/>
      <c r="B402" s="869" t="s">
        <v>2438</v>
      </c>
      <c r="C402" s="796" t="s">
        <v>54</v>
      </c>
      <c r="D402" s="801" t="s">
        <v>488</v>
      </c>
      <c r="E402" s="801" t="s">
        <v>491</v>
      </c>
      <c r="F402" s="801" t="s">
        <v>3993</v>
      </c>
      <c r="G402" s="801" t="s">
        <v>3918</v>
      </c>
      <c r="H402" s="806" t="s">
        <v>3995</v>
      </c>
      <c r="I402" s="801"/>
      <c r="J402" s="801"/>
      <c r="K402" s="801"/>
      <c r="L402" s="801"/>
      <c r="M402" s="801"/>
      <c r="N402" s="801"/>
      <c r="O402" s="801"/>
      <c r="P402" s="801"/>
      <c r="Q402" s="801"/>
      <c r="R402" s="801"/>
      <c r="S402" s="801"/>
      <c r="T402" s="801"/>
      <c r="U402" s="801"/>
      <c r="V402" s="801"/>
    </row>
    <row r="403" spans="1:22" ht="14.5" hidden="1">
      <c r="A403" s="797"/>
      <c r="B403" s="802" t="s">
        <v>1902</v>
      </c>
      <c r="C403" s="803" t="s">
        <v>3577</v>
      </c>
      <c r="D403" s="794" t="s">
        <v>1904</v>
      </c>
      <c r="E403" s="818" t="s">
        <v>200</v>
      </c>
      <c r="F403" s="849" t="s">
        <v>3996</v>
      </c>
      <c r="G403" s="801" t="s">
        <v>3918</v>
      </c>
      <c r="H403" s="794"/>
      <c r="I403" s="801"/>
      <c r="J403" s="794"/>
      <c r="K403" s="794"/>
      <c r="L403" s="794"/>
      <c r="M403" s="794"/>
      <c r="N403" s="794"/>
      <c r="O403" s="794"/>
      <c r="P403" s="794"/>
      <c r="Q403" s="794"/>
      <c r="R403" s="794"/>
      <c r="S403" s="794"/>
      <c r="T403" s="794"/>
      <c r="U403" s="794"/>
      <c r="V403" s="794"/>
    </row>
    <row r="404" spans="1:22" ht="14.5" hidden="1">
      <c r="A404" s="801"/>
      <c r="B404" s="869"/>
      <c r="C404" s="843" t="s">
        <v>3577</v>
      </c>
      <c r="D404" s="829" t="s">
        <v>3964</v>
      </c>
      <c r="E404" s="801"/>
      <c r="F404" s="825" t="s">
        <v>3997</v>
      </c>
      <c r="G404" s="801"/>
      <c r="H404" s="801"/>
      <c r="I404" s="801"/>
      <c r="J404" s="801"/>
      <c r="K404" s="801"/>
      <c r="L404" s="801"/>
      <c r="M404" s="801"/>
      <c r="N404" s="801"/>
      <c r="O404" s="801"/>
      <c r="P404" s="801"/>
      <c r="Q404" s="801"/>
      <c r="R404" s="801"/>
      <c r="S404" s="801"/>
      <c r="T404" s="801"/>
      <c r="U404" s="801"/>
      <c r="V404" s="801"/>
    </row>
    <row r="405" spans="1:22" ht="14.5" hidden="1">
      <c r="A405" s="801"/>
      <c r="B405" s="869"/>
      <c r="C405" s="862"/>
      <c r="D405" s="801"/>
      <c r="E405" s="801"/>
      <c r="F405" s="801"/>
      <c r="G405" s="801"/>
      <c r="H405" s="801"/>
      <c r="I405" s="801"/>
      <c r="J405" s="801"/>
      <c r="K405" s="801"/>
      <c r="L405" s="801"/>
      <c r="M405" s="801"/>
      <c r="N405" s="801"/>
      <c r="O405" s="801"/>
      <c r="P405" s="801"/>
      <c r="Q405" s="801"/>
      <c r="R405" s="801"/>
      <c r="S405" s="801"/>
      <c r="T405" s="801"/>
      <c r="U405" s="801"/>
      <c r="V405" s="801"/>
    </row>
    <row r="406" spans="1:22" ht="14.5" hidden="1">
      <c r="A406" s="792" t="s">
        <v>3998</v>
      </c>
      <c r="B406" s="810"/>
      <c r="C406" s="811"/>
      <c r="D406" s="792"/>
      <c r="E406" s="792"/>
      <c r="F406" s="792"/>
      <c r="G406" s="794"/>
      <c r="H406" s="794"/>
      <c r="I406" s="794"/>
      <c r="J406" s="794"/>
      <c r="K406" s="794"/>
      <c r="L406" s="794"/>
      <c r="M406" s="794"/>
      <c r="N406" s="794"/>
      <c r="O406" s="794"/>
      <c r="P406" s="794"/>
      <c r="Q406" s="794"/>
      <c r="R406" s="794"/>
      <c r="S406" s="794"/>
      <c r="T406" s="794"/>
      <c r="U406" s="794"/>
      <c r="V406" s="794"/>
    </row>
    <row r="407" spans="1:22" ht="14.5" hidden="1">
      <c r="A407" s="794" t="s">
        <v>3845</v>
      </c>
      <c r="B407" s="830" t="s">
        <v>1568</v>
      </c>
      <c r="C407" s="796" t="s">
        <v>54</v>
      </c>
      <c r="D407" s="801" t="s">
        <v>1570</v>
      </c>
      <c r="E407" s="794" t="s">
        <v>553</v>
      </c>
      <c r="F407" s="870" t="s">
        <v>3999</v>
      </c>
      <c r="G407" s="801"/>
      <c r="H407" s="801"/>
      <c r="I407" s="801"/>
      <c r="J407" s="801"/>
      <c r="K407" s="801"/>
      <c r="L407" s="801"/>
      <c r="M407" s="794"/>
      <c r="N407" s="794"/>
      <c r="O407" s="794"/>
      <c r="P407" s="794"/>
      <c r="Q407" s="794"/>
      <c r="R407" s="794"/>
      <c r="S407" s="794"/>
      <c r="T407" s="794"/>
      <c r="U407" s="794"/>
      <c r="V407" s="794"/>
    </row>
    <row r="408" spans="1:22" ht="14.5" hidden="1">
      <c r="A408" s="801"/>
      <c r="B408" s="869" t="s">
        <v>1671</v>
      </c>
      <c r="C408" s="796" t="s">
        <v>54</v>
      </c>
      <c r="D408" s="801" t="s">
        <v>1673</v>
      </c>
      <c r="E408" s="801" t="s">
        <v>1686</v>
      </c>
      <c r="F408" s="870" t="s">
        <v>4000</v>
      </c>
      <c r="G408" s="801"/>
      <c r="H408" s="801"/>
      <c r="I408" s="801"/>
      <c r="J408" s="801"/>
      <c r="K408" s="801"/>
      <c r="L408" s="801"/>
      <c r="M408" s="801"/>
      <c r="N408" s="801"/>
      <c r="O408" s="801"/>
      <c r="P408" s="801"/>
      <c r="Q408" s="801"/>
      <c r="R408" s="801"/>
      <c r="S408" s="801"/>
      <c r="T408" s="801"/>
      <c r="U408" s="801"/>
      <c r="V408" s="801"/>
    </row>
    <row r="409" spans="1:22" ht="14.5" hidden="1">
      <c r="A409" s="801"/>
      <c r="B409" s="869" t="s">
        <v>1692</v>
      </c>
      <c r="C409" s="796" t="s">
        <v>54</v>
      </c>
      <c r="D409" s="801" t="s">
        <v>1694</v>
      </c>
      <c r="E409" s="801" t="s">
        <v>1686</v>
      </c>
      <c r="F409" s="870" t="s">
        <v>4001</v>
      </c>
      <c r="G409" s="801"/>
      <c r="H409" s="801"/>
      <c r="I409" s="801"/>
      <c r="J409" s="801"/>
      <c r="K409" s="801"/>
      <c r="L409" s="801"/>
      <c r="M409" s="801"/>
      <c r="N409" s="801"/>
      <c r="O409" s="801"/>
      <c r="P409" s="801"/>
      <c r="Q409" s="801"/>
      <c r="R409" s="801"/>
      <c r="S409" s="801"/>
      <c r="T409" s="801"/>
      <c r="U409" s="801"/>
      <c r="V409" s="801"/>
    </row>
    <row r="410" spans="1:22" ht="14.5" hidden="1">
      <c r="A410" s="801"/>
      <c r="B410" s="869" t="s">
        <v>1709</v>
      </c>
      <c r="C410" s="796" t="s">
        <v>54</v>
      </c>
      <c r="D410" s="801" t="s">
        <v>1711</v>
      </c>
      <c r="E410" s="801" t="s">
        <v>1686</v>
      </c>
      <c r="F410" s="870" t="s">
        <v>4000</v>
      </c>
      <c r="G410" s="801"/>
      <c r="H410" s="801"/>
      <c r="I410" s="801"/>
      <c r="J410" s="801"/>
      <c r="K410" s="801"/>
      <c r="L410" s="801"/>
      <c r="M410" s="801"/>
      <c r="N410" s="801"/>
      <c r="O410" s="801"/>
      <c r="P410" s="801"/>
      <c r="Q410" s="801"/>
      <c r="R410" s="801"/>
      <c r="S410" s="801"/>
      <c r="T410" s="801"/>
      <c r="U410" s="801"/>
      <c r="V410" s="801"/>
    </row>
    <row r="411" spans="1:22" ht="14.5" hidden="1">
      <c r="A411" s="794"/>
      <c r="B411" s="799"/>
      <c r="C411" s="794"/>
      <c r="D411" s="794"/>
      <c r="E411" s="794"/>
      <c r="F411" s="794"/>
      <c r="G411" s="794"/>
      <c r="H411" s="794"/>
      <c r="I411" s="794"/>
      <c r="J411" s="794"/>
      <c r="K411" s="794"/>
      <c r="L411" s="794"/>
      <c r="M411" s="794"/>
      <c r="N411" s="794"/>
      <c r="O411" s="794"/>
      <c r="P411" s="794"/>
      <c r="Q411" s="794"/>
      <c r="R411" s="794"/>
      <c r="S411" s="794"/>
      <c r="T411" s="794"/>
      <c r="U411" s="794"/>
      <c r="V411" s="794"/>
    </row>
    <row r="412" spans="1:22" ht="14.5" hidden="1">
      <c r="A412" s="801" t="s">
        <v>67</v>
      </c>
      <c r="B412" s="869" t="s">
        <v>1664</v>
      </c>
      <c r="C412" s="796" t="s">
        <v>54</v>
      </c>
      <c r="D412" s="801" t="s">
        <v>1666</v>
      </c>
      <c r="E412" s="801" t="s">
        <v>272</v>
      </c>
      <c r="F412" s="870" t="s">
        <v>4002</v>
      </c>
      <c r="G412" s="801" t="s">
        <v>3771</v>
      </c>
      <c r="H412" s="801" t="s">
        <v>3854</v>
      </c>
      <c r="I412" s="801" t="s">
        <v>4003</v>
      </c>
      <c r="J412" s="801" t="s">
        <v>4004</v>
      </c>
      <c r="K412" s="794" t="s">
        <v>4005</v>
      </c>
      <c r="L412" s="794" t="s">
        <v>4006</v>
      </c>
      <c r="M412" s="794"/>
      <c r="N412" s="794"/>
      <c r="O412" s="794"/>
      <c r="P412" s="794"/>
      <c r="Q412" s="794"/>
      <c r="R412" s="794"/>
      <c r="S412" s="794"/>
      <c r="T412" s="794"/>
      <c r="U412" s="794"/>
      <c r="V412" s="794"/>
    </row>
    <row r="413" spans="1:22" ht="25" hidden="1">
      <c r="A413" s="794"/>
      <c r="B413" s="822" t="s">
        <v>1504</v>
      </c>
      <c r="C413" s="796" t="s">
        <v>54</v>
      </c>
      <c r="D413" s="875" t="s">
        <v>1506</v>
      </c>
      <c r="E413" s="812" t="s">
        <v>1509</v>
      </c>
      <c r="F413" s="870" t="s">
        <v>4007</v>
      </c>
      <c r="G413" s="801" t="s">
        <v>3771</v>
      </c>
      <c r="H413" s="801" t="s">
        <v>3854</v>
      </c>
      <c r="I413" s="801" t="s">
        <v>4003</v>
      </c>
      <c r="J413" s="794" t="s">
        <v>4008</v>
      </c>
      <c r="K413" s="801" t="s">
        <v>4004</v>
      </c>
      <c r="L413" s="794" t="s">
        <v>4005</v>
      </c>
      <c r="M413" s="794" t="s">
        <v>4006</v>
      </c>
      <c r="N413" s="794"/>
      <c r="O413" s="794"/>
      <c r="P413" s="794"/>
      <c r="Q413" s="794"/>
      <c r="R413" s="794"/>
      <c r="S413" s="794"/>
      <c r="T413" s="794"/>
      <c r="U413" s="794"/>
      <c r="V413" s="794"/>
    </row>
    <row r="414" spans="1:22" ht="14.5" hidden="1">
      <c r="A414" s="794"/>
      <c r="B414" s="830"/>
      <c r="C414" s="862"/>
      <c r="D414" s="801"/>
      <c r="E414" s="794"/>
      <c r="F414" s="870"/>
      <c r="G414" s="801"/>
      <c r="H414" s="801"/>
      <c r="I414" s="801"/>
      <c r="J414" s="857"/>
      <c r="K414" s="801"/>
      <c r="L414" s="801"/>
      <c r="M414" s="794"/>
      <c r="N414" s="794"/>
      <c r="O414" s="794"/>
      <c r="P414" s="794"/>
      <c r="Q414" s="794"/>
      <c r="R414" s="794"/>
      <c r="S414" s="794"/>
      <c r="T414" s="794"/>
      <c r="U414" s="794"/>
      <c r="V414" s="794"/>
    </row>
    <row r="415" spans="1:22" ht="14.5" hidden="1">
      <c r="A415" s="794" t="s">
        <v>3759</v>
      </c>
      <c r="B415" s="830" t="s">
        <v>1568</v>
      </c>
      <c r="C415" s="796" t="s">
        <v>54</v>
      </c>
      <c r="D415" s="801" t="s">
        <v>1570</v>
      </c>
      <c r="E415" s="794" t="s">
        <v>553</v>
      </c>
      <c r="F415" s="870" t="s">
        <v>4009</v>
      </c>
      <c r="G415" s="801" t="s">
        <v>3951</v>
      </c>
      <c r="H415" s="801" t="s">
        <v>3981</v>
      </c>
      <c r="I415" s="801" t="s">
        <v>3952</v>
      </c>
      <c r="J415" s="857" t="s">
        <v>4010</v>
      </c>
      <c r="K415" s="801"/>
      <c r="L415" s="801"/>
      <c r="M415" s="794"/>
      <c r="N415" s="794"/>
      <c r="O415" s="794"/>
      <c r="P415" s="794"/>
      <c r="Q415" s="794"/>
      <c r="R415" s="794"/>
      <c r="S415" s="794"/>
      <c r="T415" s="794"/>
      <c r="U415" s="794"/>
      <c r="V415" s="794"/>
    </row>
    <row r="416" spans="1:22" ht="14.5" hidden="1">
      <c r="A416" s="801"/>
      <c r="B416" s="869" t="s">
        <v>1671</v>
      </c>
      <c r="C416" s="796" t="s">
        <v>54</v>
      </c>
      <c r="D416" s="801" t="s">
        <v>1673</v>
      </c>
      <c r="E416" s="801" t="s">
        <v>1686</v>
      </c>
      <c r="F416" s="870" t="s">
        <v>4011</v>
      </c>
      <c r="G416" s="801" t="s">
        <v>3951</v>
      </c>
      <c r="H416" s="801" t="s">
        <v>3981</v>
      </c>
      <c r="I416" s="801" t="s">
        <v>3952</v>
      </c>
      <c r="J416" s="801" t="s">
        <v>3848</v>
      </c>
      <c r="K416" s="801"/>
      <c r="L416" s="801"/>
      <c r="M416" s="801"/>
      <c r="N416" s="801"/>
      <c r="O416" s="801"/>
      <c r="P416" s="801"/>
      <c r="Q416" s="801"/>
      <c r="R416" s="801"/>
      <c r="S416" s="801"/>
      <c r="T416" s="801"/>
      <c r="U416" s="801"/>
      <c r="V416" s="801"/>
    </row>
    <row r="417" spans="1:22" ht="14.5" hidden="1">
      <c r="A417" s="801"/>
      <c r="B417" s="869" t="s">
        <v>1692</v>
      </c>
      <c r="C417" s="796" t="s">
        <v>54</v>
      </c>
      <c r="D417" s="801" t="s">
        <v>1694</v>
      </c>
      <c r="E417" s="801" t="s">
        <v>1686</v>
      </c>
      <c r="F417" s="870" t="s">
        <v>4011</v>
      </c>
      <c r="G417" s="801" t="s">
        <v>3951</v>
      </c>
      <c r="H417" s="801" t="s">
        <v>3981</v>
      </c>
      <c r="I417" s="801" t="s">
        <v>3952</v>
      </c>
      <c r="J417" s="801" t="s">
        <v>3848</v>
      </c>
      <c r="K417" s="801"/>
      <c r="L417" s="801"/>
      <c r="M417" s="801"/>
      <c r="N417" s="801"/>
      <c r="O417" s="801"/>
      <c r="P417" s="801"/>
      <c r="Q417" s="801"/>
      <c r="R417" s="801"/>
      <c r="S417" s="801"/>
      <c r="T417" s="801"/>
      <c r="U417" s="801"/>
      <c r="V417" s="801"/>
    </row>
    <row r="418" spans="1:22" ht="14.5" hidden="1">
      <c r="A418" s="801"/>
      <c r="B418" s="869" t="s">
        <v>1709</v>
      </c>
      <c r="C418" s="796" t="s">
        <v>54</v>
      </c>
      <c r="D418" s="801" t="s">
        <v>1711</v>
      </c>
      <c r="E418" s="801" t="s">
        <v>1686</v>
      </c>
      <c r="F418" s="870" t="s">
        <v>4011</v>
      </c>
      <c r="G418" s="801" t="s">
        <v>3951</v>
      </c>
      <c r="H418" s="801" t="s">
        <v>3981</v>
      </c>
      <c r="I418" s="801" t="s">
        <v>3952</v>
      </c>
      <c r="J418" s="801" t="s">
        <v>3848</v>
      </c>
      <c r="K418" s="801"/>
      <c r="L418" s="801"/>
      <c r="M418" s="801"/>
      <c r="N418" s="801"/>
      <c r="O418" s="801"/>
      <c r="P418" s="801"/>
      <c r="Q418" s="801"/>
      <c r="R418" s="801"/>
      <c r="S418" s="801"/>
      <c r="T418" s="801"/>
      <c r="U418" s="801"/>
      <c r="V418" s="801"/>
    </row>
    <row r="419" spans="1:22" ht="14.5" hidden="1">
      <c r="A419" s="801"/>
      <c r="B419" s="830" t="s">
        <v>1700</v>
      </c>
      <c r="C419" s="796" t="s">
        <v>54</v>
      </c>
      <c r="D419" s="801" t="s">
        <v>1702</v>
      </c>
      <c r="E419" s="794" t="s">
        <v>1686</v>
      </c>
      <c r="F419" s="870" t="s">
        <v>4012</v>
      </c>
      <c r="G419" s="801"/>
      <c r="H419" s="801"/>
      <c r="I419" s="801"/>
      <c r="J419" s="801"/>
      <c r="K419" s="801"/>
      <c r="L419" s="801"/>
      <c r="M419" s="801"/>
      <c r="N419" s="801"/>
      <c r="O419" s="801"/>
      <c r="P419" s="801"/>
      <c r="Q419" s="801"/>
      <c r="R419" s="801"/>
      <c r="S419" s="801"/>
      <c r="T419" s="801"/>
      <c r="U419" s="801"/>
      <c r="V419" s="801"/>
    </row>
    <row r="420" spans="1:22" ht="14.5" hidden="1">
      <c r="A420" s="801"/>
      <c r="B420" s="869" t="s">
        <v>1728</v>
      </c>
      <c r="C420" s="796" t="s">
        <v>54</v>
      </c>
      <c r="D420" s="801" t="s">
        <v>1730</v>
      </c>
      <c r="E420" s="794" t="s">
        <v>1686</v>
      </c>
      <c r="F420" s="870" t="s">
        <v>4012</v>
      </c>
      <c r="G420" s="801"/>
      <c r="H420" s="801"/>
      <c r="I420" s="801"/>
      <c r="J420" s="801"/>
      <c r="K420" s="801"/>
      <c r="L420" s="801"/>
      <c r="M420" s="801"/>
      <c r="N420" s="801"/>
      <c r="O420" s="801"/>
      <c r="P420" s="801"/>
      <c r="Q420" s="801"/>
      <c r="R420" s="801"/>
      <c r="S420" s="801"/>
      <c r="T420" s="801"/>
      <c r="U420" s="801"/>
      <c r="V420" s="801"/>
    </row>
    <row r="421" spans="1:22" ht="14.5" hidden="1">
      <c r="A421" s="801"/>
      <c r="B421" s="869" t="s">
        <v>1744</v>
      </c>
      <c r="C421" s="796" t="s">
        <v>54</v>
      </c>
      <c r="D421" s="801" t="s">
        <v>1746</v>
      </c>
      <c r="E421" s="794" t="s">
        <v>1686</v>
      </c>
      <c r="F421" s="870" t="s">
        <v>4012</v>
      </c>
      <c r="G421" s="801"/>
      <c r="H421" s="801"/>
      <c r="I421" s="801"/>
      <c r="J421" s="801"/>
      <c r="K421" s="801"/>
      <c r="L421" s="801"/>
      <c r="M421" s="801"/>
      <c r="N421" s="801"/>
      <c r="O421" s="801"/>
      <c r="P421" s="801"/>
      <c r="Q421" s="801"/>
      <c r="R421" s="801"/>
      <c r="S421" s="801"/>
      <c r="T421" s="801"/>
      <c r="U421" s="801"/>
      <c r="V421" s="801"/>
    </row>
    <row r="422" spans="1:22" ht="14.5" hidden="1">
      <c r="A422" s="801"/>
      <c r="B422" s="869" t="s">
        <v>1751</v>
      </c>
      <c r="C422" s="796" t="s">
        <v>54</v>
      </c>
      <c r="D422" s="801" t="s">
        <v>1753</v>
      </c>
      <c r="E422" s="794" t="s">
        <v>1686</v>
      </c>
      <c r="F422" s="870" t="s">
        <v>4012</v>
      </c>
      <c r="G422" s="801"/>
      <c r="H422" s="801"/>
      <c r="I422" s="801"/>
      <c r="J422" s="801"/>
      <c r="K422" s="801"/>
      <c r="L422" s="801"/>
      <c r="M422" s="801"/>
      <c r="N422" s="801"/>
      <c r="O422" s="801"/>
      <c r="P422" s="801"/>
      <c r="Q422" s="801"/>
      <c r="R422" s="801"/>
      <c r="S422" s="801"/>
      <c r="T422" s="801"/>
      <c r="U422" s="801"/>
      <c r="V422" s="801"/>
    </row>
    <row r="423" spans="1:22" ht="14.5" hidden="1">
      <c r="A423" s="801"/>
      <c r="B423" s="869"/>
      <c r="C423" s="862"/>
      <c r="D423" s="801"/>
      <c r="E423" s="801"/>
      <c r="F423" s="801"/>
      <c r="G423" s="801"/>
      <c r="H423" s="801"/>
      <c r="I423" s="801"/>
      <c r="J423" s="801"/>
      <c r="K423" s="801"/>
      <c r="L423" s="801"/>
      <c r="M423" s="801"/>
      <c r="N423" s="801"/>
      <c r="O423" s="801"/>
      <c r="P423" s="801"/>
      <c r="Q423" s="801"/>
      <c r="R423" s="801"/>
      <c r="S423" s="801"/>
      <c r="T423" s="801"/>
      <c r="U423" s="801"/>
      <c r="V423" s="801"/>
    </row>
    <row r="424" spans="1:22" ht="14.5" hidden="1">
      <c r="A424" s="801" t="s">
        <v>3575</v>
      </c>
      <c r="B424" s="869"/>
      <c r="C424" s="796" t="s">
        <v>54</v>
      </c>
      <c r="D424" s="829" t="s">
        <v>3884</v>
      </c>
      <c r="E424" s="801"/>
      <c r="F424" s="825" t="s">
        <v>4013</v>
      </c>
      <c r="G424" s="801"/>
      <c r="H424" s="801"/>
      <c r="I424" s="801"/>
      <c r="J424" s="801"/>
      <c r="K424" s="801"/>
      <c r="L424" s="801"/>
      <c r="M424" s="801"/>
      <c r="N424" s="801"/>
      <c r="O424" s="801"/>
      <c r="P424" s="801"/>
      <c r="Q424" s="801"/>
      <c r="R424" s="801"/>
      <c r="S424" s="801"/>
      <c r="T424" s="801"/>
      <c r="U424" s="801"/>
      <c r="V424" s="801"/>
    </row>
    <row r="425" spans="1:22" ht="14.5" hidden="1">
      <c r="A425" s="797"/>
      <c r="B425" s="828" t="s">
        <v>1870</v>
      </c>
      <c r="C425" s="796" t="s">
        <v>54</v>
      </c>
      <c r="D425" s="829" t="s">
        <v>1872</v>
      </c>
      <c r="E425" s="818" t="s">
        <v>3863</v>
      </c>
      <c r="F425" s="846" t="s">
        <v>4014</v>
      </c>
      <c r="G425" s="825" t="s">
        <v>4015</v>
      </c>
      <c r="H425" s="825"/>
      <c r="I425" s="794"/>
      <c r="J425" s="794"/>
      <c r="K425" s="794"/>
      <c r="L425" s="794"/>
      <c r="M425" s="794"/>
      <c r="N425" s="794"/>
      <c r="O425" s="794"/>
      <c r="P425" s="794"/>
      <c r="Q425" s="794"/>
      <c r="R425" s="794"/>
      <c r="S425" s="794"/>
      <c r="T425" s="794"/>
      <c r="U425" s="794"/>
      <c r="V425" s="794"/>
    </row>
    <row r="426" spans="1:22" ht="14.5" hidden="1">
      <c r="A426" s="794"/>
      <c r="B426" s="836" t="s">
        <v>865</v>
      </c>
      <c r="C426" s="796" t="s">
        <v>54</v>
      </c>
      <c r="D426" s="794" t="s">
        <v>867</v>
      </c>
      <c r="E426" s="818" t="s">
        <v>3863</v>
      </c>
      <c r="F426" s="846" t="s">
        <v>4016</v>
      </c>
      <c r="G426" s="825" t="s">
        <v>4015</v>
      </c>
      <c r="H426" s="794"/>
      <c r="I426" s="794"/>
      <c r="J426" s="794"/>
      <c r="K426" s="794"/>
      <c r="L426" s="794"/>
      <c r="M426" s="794"/>
      <c r="N426" s="794"/>
      <c r="O426" s="794"/>
      <c r="P426" s="794"/>
      <c r="Q426" s="794"/>
      <c r="R426" s="794"/>
      <c r="S426" s="794"/>
      <c r="T426" s="794"/>
      <c r="U426" s="794"/>
      <c r="V426" s="794"/>
    </row>
    <row r="427" spans="1:22" ht="14.5" hidden="1">
      <c r="A427" s="794"/>
      <c r="B427" s="863" t="s">
        <v>1994</v>
      </c>
      <c r="C427" s="796" t="s">
        <v>54</v>
      </c>
      <c r="D427" s="801" t="s">
        <v>1996</v>
      </c>
      <c r="E427" s="813" t="s">
        <v>920</v>
      </c>
      <c r="F427" s="870" t="s">
        <v>4017</v>
      </c>
      <c r="G427" s="801"/>
      <c r="H427" s="801"/>
      <c r="I427" s="801"/>
      <c r="J427" s="801"/>
      <c r="K427" s="794"/>
      <c r="L427" s="794"/>
      <c r="M427" s="794"/>
      <c r="N427" s="794"/>
      <c r="O427" s="794"/>
      <c r="P427" s="794"/>
      <c r="Q427" s="794"/>
      <c r="R427" s="794"/>
      <c r="S427" s="794"/>
      <c r="T427" s="794"/>
      <c r="U427" s="794"/>
      <c r="V427" s="794"/>
    </row>
    <row r="428" spans="1:22" ht="14.5" hidden="1">
      <c r="A428" s="794"/>
      <c r="B428" s="863" t="s">
        <v>2003</v>
      </c>
      <c r="C428" s="796" t="s">
        <v>54</v>
      </c>
      <c r="D428" s="801" t="s">
        <v>2005</v>
      </c>
      <c r="E428" s="813" t="s">
        <v>920</v>
      </c>
      <c r="F428" s="870" t="s">
        <v>4018</v>
      </c>
      <c r="G428" s="801"/>
      <c r="H428" s="801"/>
      <c r="I428" s="801"/>
      <c r="J428" s="801"/>
      <c r="K428" s="794"/>
      <c r="L428" s="794"/>
      <c r="M428" s="794"/>
      <c r="N428" s="794"/>
      <c r="O428" s="794"/>
      <c r="P428" s="794"/>
      <c r="Q428" s="794"/>
      <c r="R428" s="794"/>
      <c r="S428" s="794"/>
      <c r="T428" s="794"/>
      <c r="U428" s="794"/>
      <c r="V428" s="794"/>
    </row>
    <row r="429" spans="1:22" ht="14.5" hidden="1">
      <c r="A429" s="794"/>
      <c r="B429" s="863" t="s">
        <v>2011</v>
      </c>
      <c r="C429" s="796" t="s">
        <v>54</v>
      </c>
      <c r="D429" s="801" t="s">
        <v>2013</v>
      </c>
      <c r="E429" s="813" t="s">
        <v>920</v>
      </c>
      <c r="F429" s="870" t="s">
        <v>4019</v>
      </c>
      <c r="G429" s="801"/>
      <c r="H429" s="801"/>
      <c r="I429" s="801"/>
      <c r="J429" s="801"/>
      <c r="K429" s="794"/>
      <c r="L429" s="794"/>
      <c r="M429" s="794"/>
      <c r="N429" s="794"/>
      <c r="O429" s="794"/>
      <c r="P429" s="794"/>
      <c r="Q429" s="794"/>
      <c r="R429" s="794"/>
      <c r="S429" s="794"/>
      <c r="T429" s="794"/>
      <c r="U429" s="794"/>
      <c r="V429" s="794"/>
    </row>
    <row r="430" spans="1:22" ht="14.5" hidden="1">
      <c r="A430" s="794"/>
      <c r="B430" s="863" t="s">
        <v>2020</v>
      </c>
      <c r="C430" s="796" t="s">
        <v>54</v>
      </c>
      <c r="D430" s="801" t="s">
        <v>2022</v>
      </c>
      <c r="E430" s="813" t="s">
        <v>920</v>
      </c>
      <c r="F430" s="870" t="s">
        <v>4020</v>
      </c>
      <c r="G430" s="801"/>
      <c r="H430" s="801"/>
      <c r="I430" s="801"/>
      <c r="J430" s="801"/>
      <c r="K430" s="794"/>
      <c r="L430" s="794"/>
      <c r="M430" s="794"/>
      <c r="N430" s="794"/>
      <c r="O430" s="794"/>
      <c r="P430" s="794"/>
      <c r="Q430" s="794"/>
      <c r="R430" s="794"/>
      <c r="S430" s="794"/>
      <c r="T430" s="794"/>
      <c r="U430" s="794"/>
      <c r="V430" s="794"/>
    </row>
    <row r="431" spans="1:22" ht="14.5" hidden="1">
      <c r="A431" s="794"/>
      <c r="B431" s="863" t="s">
        <v>1918</v>
      </c>
      <c r="C431" s="796" t="s">
        <v>54</v>
      </c>
      <c r="D431" s="801" t="s">
        <v>1920</v>
      </c>
      <c r="E431" s="813" t="s">
        <v>630</v>
      </c>
      <c r="F431" s="870" t="s">
        <v>4021</v>
      </c>
      <c r="G431" s="801"/>
      <c r="H431" s="801"/>
      <c r="I431" s="801"/>
      <c r="J431" s="801"/>
      <c r="K431" s="794"/>
      <c r="L431" s="794"/>
      <c r="M431" s="794"/>
      <c r="N431" s="794"/>
      <c r="O431" s="794"/>
      <c r="P431" s="794"/>
      <c r="Q431" s="794"/>
      <c r="R431" s="794"/>
      <c r="S431" s="794"/>
      <c r="T431" s="794"/>
      <c r="U431" s="794"/>
      <c r="V431" s="794"/>
    </row>
    <row r="432" spans="1:22" ht="14.5" hidden="1">
      <c r="A432" s="794"/>
      <c r="B432" s="863" t="s">
        <v>1928</v>
      </c>
      <c r="C432" s="796" t="s">
        <v>54</v>
      </c>
      <c r="D432" s="801" t="s">
        <v>1930</v>
      </c>
      <c r="E432" s="813" t="s">
        <v>630</v>
      </c>
      <c r="F432" s="870" t="s">
        <v>4022</v>
      </c>
      <c r="G432" s="801"/>
      <c r="H432" s="801"/>
      <c r="I432" s="801"/>
      <c r="J432" s="801"/>
      <c r="K432" s="794"/>
      <c r="L432" s="794"/>
      <c r="M432" s="794"/>
      <c r="N432" s="794"/>
      <c r="O432" s="794"/>
      <c r="P432" s="794"/>
      <c r="Q432" s="794"/>
      <c r="R432" s="794"/>
      <c r="S432" s="794"/>
      <c r="T432" s="794"/>
      <c r="U432" s="794"/>
      <c r="V432" s="794"/>
    </row>
    <row r="433" spans="1:22" ht="14.5" hidden="1">
      <c r="A433" s="794"/>
      <c r="B433" s="863" t="s">
        <v>1936</v>
      </c>
      <c r="C433" s="796" t="s">
        <v>54</v>
      </c>
      <c r="D433" s="801" t="s">
        <v>1938</v>
      </c>
      <c r="E433" s="813" t="s">
        <v>630</v>
      </c>
      <c r="F433" s="870" t="s">
        <v>4023</v>
      </c>
      <c r="G433" s="801"/>
      <c r="H433" s="801"/>
      <c r="I433" s="801"/>
      <c r="J433" s="801"/>
      <c r="K433" s="794"/>
      <c r="L433" s="794"/>
      <c r="M433" s="794"/>
      <c r="N433" s="794"/>
      <c r="O433" s="794"/>
      <c r="P433" s="794"/>
      <c r="Q433" s="794"/>
      <c r="R433" s="794"/>
      <c r="S433" s="794"/>
      <c r="T433" s="794"/>
      <c r="U433" s="794"/>
      <c r="V433" s="794"/>
    </row>
    <row r="434" spans="1:22" ht="14.5" hidden="1">
      <c r="A434" s="794"/>
      <c r="B434" s="863" t="s">
        <v>1944</v>
      </c>
      <c r="C434" s="796" t="s">
        <v>54</v>
      </c>
      <c r="D434" s="801" t="s">
        <v>1946</v>
      </c>
      <c r="E434" s="813" t="s">
        <v>630</v>
      </c>
      <c r="F434" s="870" t="s">
        <v>4024</v>
      </c>
      <c r="G434" s="801"/>
      <c r="H434" s="801"/>
      <c r="I434" s="801"/>
      <c r="J434" s="801"/>
      <c r="K434" s="794"/>
      <c r="L434" s="794"/>
      <c r="M434" s="794"/>
      <c r="N434" s="794"/>
      <c r="O434" s="794"/>
      <c r="P434" s="794"/>
      <c r="Q434" s="794"/>
      <c r="R434" s="794"/>
      <c r="S434" s="794"/>
      <c r="T434" s="794"/>
      <c r="U434" s="794"/>
      <c r="V434" s="794"/>
    </row>
    <row r="435" spans="1:22" ht="14.5" hidden="1">
      <c r="A435" s="794"/>
      <c r="B435" s="863" t="s">
        <v>1951</v>
      </c>
      <c r="C435" s="796" t="s">
        <v>54</v>
      </c>
      <c r="D435" s="801" t="s">
        <v>1953</v>
      </c>
      <c r="E435" s="813" t="s">
        <v>630</v>
      </c>
      <c r="F435" s="870" t="s">
        <v>4025</v>
      </c>
      <c r="G435" s="801"/>
      <c r="H435" s="801"/>
      <c r="I435" s="801"/>
      <c r="J435" s="801"/>
      <c r="K435" s="794"/>
      <c r="L435" s="794"/>
      <c r="M435" s="794"/>
      <c r="N435" s="794"/>
      <c r="O435" s="794"/>
      <c r="P435" s="794"/>
      <c r="Q435" s="794"/>
      <c r="R435" s="794"/>
      <c r="S435" s="794"/>
      <c r="T435" s="794"/>
      <c r="U435" s="794"/>
      <c r="V435" s="794"/>
    </row>
    <row r="436" spans="1:22" ht="14.5" hidden="1">
      <c r="A436" s="794"/>
      <c r="B436" s="863" t="s">
        <v>1959</v>
      </c>
      <c r="C436" s="796" t="s">
        <v>54</v>
      </c>
      <c r="D436" s="801" t="s">
        <v>1961</v>
      </c>
      <c r="E436" s="813" t="s">
        <v>630</v>
      </c>
      <c r="F436" s="870" t="s">
        <v>4026</v>
      </c>
      <c r="G436" s="801"/>
      <c r="H436" s="801"/>
      <c r="I436" s="801"/>
      <c r="J436" s="801"/>
      <c r="K436" s="794"/>
      <c r="L436" s="794"/>
      <c r="M436" s="794"/>
      <c r="N436" s="794"/>
      <c r="O436" s="794"/>
      <c r="P436" s="794"/>
      <c r="Q436" s="794"/>
      <c r="R436" s="794"/>
      <c r="S436" s="794"/>
      <c r="T436" s="794"/>
      <c r="U436" s="794"/>
      <c r="V436" s="794"/>
    </row>
    <row r="437" spans="1:22" ht="14.5" hidden="1">
      <c r="A437" s="794"/>
      <c r="B437" s="863" t="s">
        <v>1967</v>
      </c>
      <c r="C437" s="796" t="s">
        <v>54</v>
      </c>
      <c r="D437" s="801" t="s">
        <v>1969</v>
      </c>
      <c r="E437" s="813" t="s">
        <v>630</v>
      </c>
      <c r="F437" s="870" t="s">
        <v>4027</v>
      </c>
      <c r="G437" s="801"/>
      <c r="H437" s="801"/>
      <c r="I437" s="801"/>
      <c r="J437" s="801"/>
      <c r="K437" s="794"/>
      <c r="L437" s="794"/>
      <c r="M437" s="794"/>
      <c r="N437" s="794"/>
      <c r="O437" s="794"/>
      <c r="P437" s="794"/>
      <c r="Q437" s="794"/>
      <c r="R437" s="794"/>
      <c r="S437" s="794"/>
      <c r="T437" s="794"/>
      <c r="U437" s="794"/>
      <c r="V437" s="794"/>
    </row>
    <row r="438" spans="1:22" ht="14.5" hidden="1">
      <c r="A438" s="794"/>
      <c r="B438" s="863" t="s">
        <v>1974</v>
      </c>
      <c r="C438" s="796" t="s">
        <v>54</v>
      </c>
      <c r="D438" s="801" t="s">
        <v>1976</v>
      </c>
      <c r="E438" s="813" t="s">
        <v>630</v>
      </c>
      <c r="F438" s="870" t="s">
        <v>4028</v>
      </c>
      <c r="G438" s="801"/>
      <c r="H438" s="801"/>
      <c r="I438" s="801"/>
      <c r="J438" s="801"/>
      <c r="K438" s="794"/>
      <c r="L438" s="794"/>
      <c r="M438" s="794"/>
      <c r="N438" s="794"/>
      <c r="O438" s="794"/>
      <c r="P438" s="794"/>
      <c r="Q438" s="794"/>
      <c r="R438" s="794"/>
      <c r="S438" s="794"/>
      <c r="T438" s="794"/>
      <c r="U438" s="794"/>
      <c r="V438" s="794"/>
    </row>
    <row r="439" spans="1:22" ht="14.5" hidden="1">
      <c r="A439" s="794"/>
      <c r="B439" s="863" t="s">
        <v>1985</v>
      </c>
      <c r="C439" s="796" t="s">
        <v>54</v>
      </c>
      <c r="D439" s="801" t="s">
        <v>1987</v>
      </c>
      <c r="E439" s="813" t="s">
        <v>630</v>
      </c>
      <c r="F439" s="870" t="s">
        <v>4029</v>
      </c>
      <c r="G439" s="801"/>
      <c r="H439" s="801"/>
      <c r="I439" s="801"/>
      <c r="J439" s="801"/>
      <c r="K439" s="794"/>
      <c r="L439" s="794"/>
      <c r="M439" s="794"/>
      <c r="N439" s="794"/>
      <c r="O439" s="794"/>
      <c r="P439" s="794"/>
      <c r="Q439" s="794"/>
      <c r="R439" s="794"/>
      <c r="S439" s="794"/>
      <c r="T439" s="794"/>
      <c r="U439" s="794"/>
      <c r="V439" s="794"/>
    </row>
    <row r="440" spans="1:22" ht="14.5" hidden="1">
      <c r="A440" s="801"/>
      <c r="B440" s="869"/>
      <c r="C440" s="862"/>
      <c r="D440" s="801"/>
      <c r="E440" s="801"/>
      <c r="F440" s="801"/>
      <c r="G440" s="801"/>
      <c r="H440" s="801"/>
      <c r="I440" s="801"/>
      <c r="J440" s="801"/>
      <c r="K440" s="801"/>
      <c r="L440" s="801"/>
      <c r="M440" s="801"/>
      <c r="N440" s="801"/>
      <c r="O440" s="801"/>
      <c r="P440" s="801"/>
      <c r="Q440" s="801"/>
      <c r="R440" s="801"/>
      <c r="S440" s="801"/>
      <c r="T440" s="801"/>
      <c r="U440" s="801"/>
      <c r="V440" s="801"/>
    </row>
    <row r="441" spans="1:22" ht="14.5" hidden="1">
      <c r="A441" s="794" t="s">
        <v>4030</v>
      </c>
      <c r="B441" s="863" t="s">
        <v>2029</v>
      </c>
      <c r="C441" s="796" t="s">
        <v>54</v>
      </c>
      <c r="D441" s="829" t="s">
        <v>2031</v>
      </c>
      <c r="E441" s="818" t="s">
        <v>3216</v>
      </c>
      <c r="F441" s="870" t="s">
        <v>4031</v>
      </c>
      <c r="G441" s="794" t="s">
        <v>4032</v>
      </c>
      <c r="H441" s="794" t="s">
        <v>4033</v>
      </c>
      <c r="I441" s="806" t="s">
        <v>4034</v>
      </c>
      <c r="J441" s="794" t="s">
        <v>3848</v>
      </c>
      <c r="K441" s="794"/>
      <c r="L441" s="794"/>
      <c r="M441" s="794"/>
      <c r="N441" s="794"/>
      <c r="O441" s="794"/>
      <c r="P441" s="794"/>
      <c r="Q441" s="794"/>
      <c r="R441" s="794"/>
      <c r="S441" s="794"/>
      <c r="T441" s="794"/>
      <c r="U441" s="794"/>
      <c r="V441" s="794"/>
    </row>
    <row r="442" spans="1:22" ht="14.5" hidden="1">
      <c r="A442" s="801"/>
      <c r="B442" s="863" t="s">
        <v>2042</v>
      </c>
      <c r="C442" s="796" t="s">
        <v>54</v>
      </c>
      <c r="D442" s="801" t="s">
        <v>2044</v>
      </c>
      <c r="E442" s="818" t="s">
        <v>3216</v>
      </c>
      <c r="F442" s="870" t="s">
        <v>4031</v>
      </c>
      <c r="G442" s="794" t="s">
        <v>4032</v>
      </c>
      <c r="H442" s="794" t="s">
        <v>4033</v>
      </c>
      <c r="I442" s="806" t="s">
        <v>4034</v>
      </c>
      <c r="J442" s="794" t="s">
        <v>3848</v>
      </c>
      <c r="K442" s="801"/>
      <c r="L442" s="801"/>
      <c r="M442" s="801"/>
      <c r="N442" s="801"/>
      <c r="O442" s="801"/>
      <c r="P442" s="801"/>
      <c r="Q442" s="801"/>
      <c r="R442" s="801"/>
      <c r="S442" s="801"/>
      <c r="T442" s="801"/>
      <c r="U442" s="801"/>
      <c r="V442" s="801"/>
    </row>
    <row r="443" spans="1:22" ht="14.5" hidden="1">
      <c r="A443" s="801"/>
      <c r="B443" s="863" t="s">
        <v>2054</v>
      </c>
      <c r="C443" s="796" t="s">
        <v>54</v>
      </c>
      <c r="D443" s="801" t="s">
        <v>2056</v>
      </c>
      <c r="E443" s="818" t="s">
        <v>3216</v>
      </c>
      <c r="F443" s="870" t="s">
        <v>4031</v>
      </c>
      <c r="G443" s="794" t="s">
        <v>4032</v>
      </c>
      <c r="H443" s="794" t="s">
        <v>4033</v>
      </c>
      <c r="I443" s="806" t="s">
        <v>4034</v>
      </c>
      <c r="J443" s="794" t="s">
        <v>3848</v>
      </c>
      <c r="K443" s="801"/>
      <c r="L443" s="801"/>
      <c r="M443" s="801"/>
      <c r="N443" s="801"/>
      <c r="O443" s="801"/>
      <c r="P443" s="801"/>
      <c r="Q443" s="801"/>
      <c r="R443" s="801"/>
      <c r="S443" s="801"/>
      <c r="T443" s="801"/>
      <c r="U443" s="801"/>
      <c r="V443" s="801"/>
    </row>
    <row r="444" spans="1:22" ht="14.5" hidden="1">
      <c r="A444" s="801"/>
      <c r="B444" s="863" t="s">
        <v>2065</v>
      </c>
      <c r="C444" s="796" t="s">
        <v>54</v>
      </c>
      <c r="D444" s="801" t="s">
        <v>2067</v>
      </c>
      <c r="E444" s="818" t="s">
        <v>3216</v>
      </c>
      <c r="F444" s="870" t="s">
        <v>4031</v>
      </c>
      <c r="G444" s="794" t="s">
        <v>4032</v>
      </c>
      <c r="H444" s="794" t="s">
        <v>4033</v>
      </c>
      <c r="I444" s="806" t="s">
        <v>4034</v>
      </c>
      <c r="J444" s="794" t="s">
        <v>3848</v>
      </c>
      <c r="K444" s="801"/>
      <c r="L444" s="801"/>
      <c r="M444" s="801"/>
      <c r="N444" s="801"/>
      <c r="O444" s="801"/>
      <c r="P444" s="801"/>
      <c r="Q444" s="801"/>
      <c r="R444" s="801"/>
      <c r="S444" s="801"/>
      <c r="T444" s="801"/>
      <c r="U444" s="801"/>
      <c r="V444" s="801"/>
    </row>
    <row r="445" spans="1:22" ht="14.5" hidden="1">
      <c r="A445" s="801"/>
      <c r="B445" s="863" t="s">
        <v>2076</v>
      </c>
      <c r="C445" s="796" t="s">
        <v>54</v>
      </c>
      <c r="D445" s="801" t="s">
        <v>4035</v>
      </c>
      <c r="E445" s="818" t="s">
        <v>3216</v>
      </c>
      <c r="F445" s="870" t="s">
        <v>4031</v>
      </c>
      <c r="G445" s="794" t="s">
        <v>4032</v>
      </c>
      <c r="H445" s="794" t="s">
        <v>4033</v>
      </c>
      <c r="I445" s="806" t="s">
        <v>4034</v>
      </c>
      <c r="J445" s="794" t="s">
        <v>3848</v>
      </c>
      <c r="K445" s="801"/>
      <c r="L445" s="801"/>
      <c r="M445" s="801"/>
      <c r="N445" s="801"/>
      <c r="O445" s="801"/>
      <c r="P445" s="801"/>
      <c r="Q445" s="801"/>
      <c r="R445" s="801"/>
      <c r="S445" s="801"/>
      <c r="T445" s="801"/>
      <c r="U445" s="801"/>
      <c r="V445" s="801"/>
    </row>
    <row r="446" spans="1:22" ht="14.5" hidden="1">
      <c r="A446" s="801"/>
      <c r="B446" s="863" t="s">
        <v>2086</v>
      </c>
      <c r="C446" s="796" t="s">
        <v>54</v>
      </c>
      <c r="D446" s="801" t="s">
        <v>2088</v>
      </c>
      <c r="E446" s="818" t="s">
        <v>3216</v>
      </c>
      <c r="F446" s="870" t="s">
        <v>4031</v>
      </c>
      <c r="G446" s="794" t="s">
        <v>4032</v>
      </c>
      <c r="H446" s="794" t="s">
        <v>4033</v>
      </c>
      <c r="I446" s="806" t="s">
        <v>4034</v>
      </c>
      <c r="J446" s="794" t="s">
        <v>3848</v>
      </c>
      <c r="K446" s="801"/>
      <c r="L446" s="801"/>
      <c r="M446" s="801"/>
      <c r="N446" s="801"/>
      <c r="O446" s="801"/>
      <c r="P446" s="801"/>
      <c r="Q446" s="801"/>
      <c r="R446" s="801"/>
      <c r="S446" s="801"/>
      <c r="T446" s="801"/>
      <c r="U446" s="801"/>
      <c r="V446" s="801"/>
    </row>
    <row r="447" spans="1:22" ht="14.5" hidden="1">
      <c r="A447" s="801"/>
      <c r="B447" s="863" t="s">
        <v>2097</v>
      </c>
      <c r="C447" s="796" t="s">
        <v>54</v>
      </c>
      <c r="D447" s="801" t="s">
        <v>2099</v>
      </c>
      <c r="E447" s="818" t="s">
        <v>3216</v>
      </c>
      <c r="F447" s="870" t="s">
        <v>4031</v>
      </c>
      <c r="G447" s="794" t="s">
        <v>4032</v>
      </c>
      <c r="H447" s="794" t="s">
        <v>4033</v>
      </c>
      <c r="I447" s="806" t="s">
        <v>4034</v>
      </c>
      <c r="J447" s="794" t="s">
        <v>3848</v>
      </c>
      <c r="K447" s="801"/>
      <c r="L447" s="801"/>
      <c r="M447" s="801"/>
      <c r="N447" s="801"/>
      <c r="O447" s="801"/>
      <c r="P447" s="801"/>
      <c r="Q447" s="801"/>
      <c r="R447" s="801"/>
      <c r="S447" s="801"/>
      <c r="T447" s="801"/>
      <c r="U447" s="801"/>
      <c r="V447" s="801"/>
    </row>
    <row r="448" spans="1:22" ht="14.5" hidden="1">
      <c r="A448" s="801"/>
      <c r="B448" s="863" t="s">
        <v>2109</v>
      </c>
      <c r="C448" s="796" t="s">
        <v>54</v>
      </c>
      <c r="D448" s="801" t="s">
        <v>2111</v>
      </c>
      <c r="E448" s="818" t="s">
        <v>3216</v>
      </c>
      <c r="F448" s="870" t="s">
        <v>4031</v>
      </c>
      <c r="G448" s="794" t="s">
        <v>4032</v>
      </c>
      <c r="H448" s="794" t="s">
        <v>4033</v>
      </c>
      <c r="I448" s="806" t="s">
        <v>4034</v>
      </c>
      <c r="J448" s="794" t="s">
        <v>3848</v>
      </c>
      <c r="K448" s="801"/>
      <c r="L448" s="801"/>
      <c r="M448" s="801"/>
      <c r="N448" s="801"/>
      <c r="O448" s="801"/>
      <c r="P448" s="801"/>
      <c r="Q448" s="801"/>
      <c r="R448" s="801"/>
      <c r="S448" s="801"/>
      <c r="T448" s="801"/>
      <c r="U448" s="801"/>
      <c r="V448" s="801"/>
    </row>
    <row r="449" spans="1:22" ht="14.5" hidden="1">
      <c r="A449" s="801"/>
      <c r="B449" s="863" t="s">
        <v>2120</v>
      </c>
      <c r="C449" s="796" t="s">
        <v>54</v>
      </c>
      <c r="D449" s="801" t="s">
        <v>2122</v>
      </c>
      <c r="E449" s="818" t="s">
        <v>3216</v>
      </c>
      <c r="F449" s="870" t="s">
        <v>4031</v>
      </c>
      <c r="G449" s="794" t="s">
        <v>4032</v>
      </c>
      <c r="H449" s="794" t="s">
        <v>4033</v>
      </c>
      <c r="I449" s="806" t="s">
        <v>4034</v>
      </c>
      <c r="J449" s="794" t="s">
        <v>3848</v>
      </c>
      <c r="K449" s="801"/>
      <c r="L449" s="801"/>
      <c r="M449" s="801"/>
      <c r="N449" s="801"/>
      <c r="O449" s="801"/>
      <c r="P449" s="801"/>
      <c r="Q449" s="801"/>
      <c r="R449" s="801"/>
      <c r="S449" s="801"/>
      <c r="T449" s="801"/>
      <c r="U449" s="801"/>
      <c r="V449" s="801"/>
    </row>
    <row r="450" spans="1:22" ht="14.5" hidden="1">
      <c r="A450" s="801"/>
      <c r="B450" s="863" t="s">
        <v>2131</v>
      </c>
      <c r="C450" s="796" t="s">
        <v>54</v>
      </c>
      <c r="D450" s="801" t="s">
        <v>2133</v>
      </c>
      <c r="E450" s="818" t="s">
        <v>3216</v>
      </c>
      <c r="F450" s="870" t="s">
        <v>4031</v>
      </c>
      <c r="G450" s="794" t="s">
        <v>4032</v>
      </c>
      <c r="H450" s="794" t="s">
        <v>4033</v>
      </c>
      <c r="I450" s="806" t="s">
        <v>4034</v>
      </c>
      <c r="J450" s="794" t="s">
        <v>3848</v>
      </c>
      <c r="K450" s="801"/>
      <c r="L450" s="801"/>
      <c r="M450" s="801"/>
      <c r="N450" s="801"/>
      <c r="O450" s="801"/>
      <c r="P450" s="801"/>
      <c r="Q450" s="801"/>
      <c r="R450" s="801"/>
      <c r="S450" s="801"/>
      <c r="T450" s="801"/>
      <c r="U450" s="801"/>
      <c r="V450" s="801"/>
    </row>
    <row r="451" spans="1:22" ht="14.5" hidden="1">
      <c r="A451" s="801"/>
      <c r="B451" s="863" t="s">
        <v>2142</v>
      </c>
      <c r="C451" s="796" t="s">
        <v>54</v>
      </c>
      <c r="D451" s="801" t="s">
        <v>2144</v>
      </c>
      <c r="E451" s="818" t="s">
        <v>3216</v>
      </c>
      <c r="F451" s="870" t="s">
        <v>4031</v>
      </c>
      <c r="G451" s="794" t="s">
        <v>4032</v>
      </c>
      <c r="H451" s="794" t="s">
        <v>4033</v>
      </c>
      <c r="I451" s="806" t="s">
        <v>4034</v>
      </c>
      <c r="J451" s="794" t="s">
        <v>3848</v>
      </c>
      <c r="K451" s="801"/>
      <c r="L451" s="801"/>
      <c r="M451" s="801"/>
      <c r="N451" s="801"/>
      <c r="O451" s="801"/>
      <c r="P451" s="801"/>
      <c r="Q451" s="801"/>
      <c r="R451" s="801"/>
      <c r="S451" s="801"/>
      <c r="T451" s="801"/>
      <c r="U451" s="801"/>
      <c r="V451" s="801"/>
    </row>
    <row r="452" spans="1:22" ht="14.5" hidden="1">
      <c r="A452" s="801"/>
      <c r="B452" s="863" t="s">
        <v>2153</v>
      </c>
      <c r="C452" s="796" t="s">
        <v>54</v>
      </c>
      <c r="D452" s="801" t="s">
        <v>2155</v>
      </c>
      <c r="E452" s="818" t="s">
        <v>3216</v>
      </c>
      <c r="F452" s="870" t="s">
        <v>4031</v>
      </c>
      <c r="G452" s="794" t="s">
        <v>4032</v>
      </c>
      <c r="H452" s="794" t="s">
        <v>4033</v>
      </c>
      <c r="I452" s="806" t="s">
        <v>4034</v>
      </c>
      <c r="J452" s="794" t="s">
        <v>3848</v>
      </c>
      <c r="K452" s="801"/>
      <c r="L452" s="801"/>
      <c r="M452" s="801"/>
      <c r="N452" s="801"/>
      <c r="O452" s="801"/>
      <c r="P452" s="801"/>
      <c r="Q452" s="801"/>
      <c r="R452" s="801"/>
      <c r="S452" s="801"/>
      <c r="T452" s="801"/>
      <c r="U452" s="801"/>
      <c r="V452" s="801"/>
    </row>
    <row r="453" spans="1:22" ht="14.5" hidden="1">
      <c r="A453" s="801"/>
      <c r="B453" s="863" t="s">
        <v>2164</v>
      </c>
      <c r="C453" s="796" t="s">
        <v>54</v>
      </c>
      <c r="D453" s="801" t="s">
        <v>2166</v>
      </c>
      <c r="E453" s="801" t="s">
        <v>2169</v>
      </c>
      <c r="F453" s="870" t="s">
        <v>4036</v>
      </c>
      <c r="G453" s="794" t="s">
        <v>4032</v>
      </c>
      <c r="H453" s="794" t="s">
        <v>4033</v>
      </c>
      <c r="I453" s="806" t="s">
        <v>4034</v>
      </c>
      <c r="J453" s="794" t="s">
        <v>3848</v>
      </c>
      <c r="K453" s="801"/>
      <c r="L453" s="801"/>
      <c r="M453" s="801"/>
      <c r="N453" s="801"/>
      <c r="O453" s="801"/>
      <c r="P453" s="801"/>
      <c r="Q453" s="801"/>
      <c r="R453" s="801"/>
      <c r="S453" s="801"/>
      <c r="T453" s="801"/>
      <c r="U453" s="801"/>
      <c r="V453" s="801"/>
    </row>
    <row r="454" spans="1:22" ht="14.5" hidden="1">
      <c r="A454" s="801"/>
      <c r="B454" s="863" t="s">
        <v>2176</v>
      </c>
      <c r="C454" s="796" t="s">
        <v>54</v>
      </c>
      <c r="D454" s="801" t="s">
        <v>2178</v>
      </c>
      <c r="E454" s="801" t="s">
        <v>2169</v>
      </c>
      <c r="F454" s="870" t="s">
        <v>4036</v>
      </c>
      <c r="G454" s="794" t="s">
        <v>4032</v>
      </c>
      <c r="H454" s="794" t="s">
        <v>4033</v>
      </c>
      <c r="I454" s="806" t="s">
        <v>4034</v>
      </c>
      <c r="J454" s="794" t="s">
        <v>3848</v>
      </c>
      <c r="K454" s="801"/>
      <c r="L454" s="801"/>
      <c r="M454" s="801"/>
      <c r="N454" s="801"/>
      <c r="O454" s="801"/>
      <c r="P454" s="801"/>
      <c r="Q454" s="801"/>
      <c r="R454" s="801"/>
      <c r="S454" s="801"/>
      <c r="T454" s="801"/>
      <c r="U454" s="801"/>
      <c r="V454" s="801"/>
    </row>
    <row r="455" spans="1:22" ht="14.5" hidden="1">
      <c r="A455" s="801"/>
      <c r="B455" s="863" t="s">
        <v>2188</v>
      </c>
      <c r="C455" s="796" t="s">
        <v>54</v>
      </c>
      <c r="D455" s="801" t="s">
        <v>2190</v>
      </c>
      <c r="E455" s="801" t="s">
        <v>2169</v>
      </c>
      <c r="F455" s="870" t="s">
        <v>4036</v>
      </c>
      <c r="G455" s="794" t="s">
        <v>4032</v>
      </c>
      <c r="H455" s="794" t="s">
        <v>4033</v>
      </c>
      <c r="I455" s="806" t="s">
        <v>4034</v>
      </c>
      <c r="J455" s="794" t="s">
        <v>3848</v>
      </c>
      <c r="K455" s="801"/>
      <c r="L455" s="801"/>
      <c r="M455" s="801"/>
      <c r="N455" s="801"/>
      <c r="O455" s="801"/>
      <c r="P455" s="801"/>
      <c r="Q455" s="801"/>
      <c r="R455" s="801"/>
      <c r="S455" s="801"/>
      <c r="T455" s="801"/>
      <c r="U455" s="801"/>
      <c r="V455" s="801"/>
    </row>
    <row r="456" spans="1:22" ht="14.5">
      <c r="A456" s="792" t="s">
        <v>4037</v>
      </c>
      <c r="B456" s="810"/>
      <c r="C456" s="811"/>
      <c r="D456" s="792"/>
      <c r="E456" s="792"/>
      <c r="F456" s="792"/>
      <c r="G456" s="794"/>
      <c r="H456" s="794"/>
      <c r="I456" s="794"/>
      <c r="J456" s="794"/>
      <c r="K456" s="794"/>
      <c r="L456" s="794"/>
      <c r="M456" s="794"/>
      <c r="N456" s="794"/>
      <c r="O456" s="794"/>
      <c r="P456" s="794"/>
      <c r="Q456" s="794"/>
      <c r="R456" s="794"/>
      <c r="S456" s="794"/>
      <c r="T456" s="794"/>
      <c r="U456" s="794"/>
      <c r="V456" s="794"/>
    </row>
    <row r="457" spans="1:22" ht="14.5" hidden="1">
      <c r="A457" s="794" t="s">
        <v>3646</v>
      </c>
      <c r="B457" s="863" t="s">
        <v>4038</v>
      </c>
      <c r="C457" s="803" t="s">
        <v>3577</v>
      </c>
      <c r="D457" s="821" t="s">
        <v>4039</v>
      </c>
      <c r="E457" s="818" t="s">
        <v>1823</v>
      </c>
      <c r="F457" s="825" t="s">
        <v>4040</v>
      </c>
      <c r="G457" s="794" t="s">
        <v>4032</v>
      </c>
      <c r="H457" s="818" t="s">
        <v>4041</v>
      </c>
      <c r="I457" s="818" t="s">
        <v>4042</v>
      </c>
      <c r="J457" s="818" t="s">
        <v>3981</v>
      </c>
      <c r="K457" s="818" t="s">
        <v>4043</v>
      </c>
      <c r="L457" s="794"/>
      <c r="M457" s="794"/>
      <c r="N457" s="794"/>
      <c r="O457" s="794"/>
      <c r="P457" s="794"/>
      <c r="Q457" s="794"/>
      <c r="R457" s="794"/>
      <c r="S457" s="794"/>
      <c r="T457" s="794"/>
      <c r="U457" s="794"/>
      <c r="V457" s="794"/>
    </row>
    <row r="458" spans="1:22" ht="14.5" hidden="1">
      <c r="A458" s="801"/>
      <c r="B458" s="836"/>
      <c r="C458" s="862"/>
      <c r="D458" s="868"/>
      <c r="E458" s="821"/>
      <c r="F458" s="870"/>
      <c r="G458" s="794"/>
      <c r="H458" s="794"/>
      <c r="I458" s="794"/>
      <c r="J458" s="794"/>
      <c r="K458" s="794"/>
      <c r="L458" s="794"/>
      <c r="M458" s="794"/>
      <c r="N458" s="794"/>
      <c r="O458" s="794"/>
      <c r="P458" s="794"/>
      <c r="Q458" s="794"/>
      <c r="R458" s="794"/>
      <c r="S458" s="794"/>
      <c r="T458" s="794"/>
      <c r="U458" s="794"/>
      <c r="V458" s="794"/>
    </row>
    <row r="459" spans="1:22" ht="14.5" hidden="1">
      <c r="A459" s="801" t="s">
        <v>1294</v>
      </c>
      <c r="B459" s="836" t="s">
        <v>909</v>
      </c>
      <c r="C459" s="796" t="s">
        <v>54</v>
      </c>
      <c r="D459" s="868" t="s">
        <v>911</v>
      </c>
      <c r="E459" s="821" t="s">
        <v>747</v>
      </c>
      <c r="F459" s="870" t="s">
        <v>4044</v>
      </c>
      <c r="G459" s="794" t="s">
        <v>4005</v>
      </c>
      <c r="H459" s="794"/>
      <c r="I459" s="794"/>
      <c r="J459" s="794"/>
      <c r="K459" s="794"/>
      <c r="L459" s="794"/>
      <c r="M459" s="794"/>
      <c r="N459" s="794"/>
      <c r="O459" s="794"/>
      <c r="P459" s="794"/>
      <c r="Q459" s="794"/>
      <c r="R459" s="794"/>
      <c r="S459" s="794"/>
      <c r="T459" s="794"/>
      <c r="U459" s="794"/>
      <c r="V459" s="794"/>
    </row>
    <row r="460" spans="1:22" ht="14.5" hidden="1">
      <c r="A460" s="794"/>
      <c r="B460" s="814"/>
      <c r="C460" s="797"/>
      <c r="D460" s="813"/>
      <c r="E460" s="794"/>
      <c r="F460" s="825"/>
      <c r="G460" s="794"/>
      <c r="H460" s="794"/>
      <c r="I460" s="794"/>
      <c r="J460" s="794"/>
      <c r="K460" s="794"/>
      <c r="L460" s="794"/>
      <c r="M460" s="794"/>
      <c r="N460" s="794"/>
      <c r="O460" s="794"/>
      <c r="P460" s="794"/>
      <c r="Q460" s="794"/>
      <c r="R460" s="794"/>
      <c r="S460" s="794"/>
      <c r="T460" s="794"/>
      <c r="U460" s="794"/>
      <c r="V460" s="794"/>
    </row>
    <row r="461" spans="1:22" ht="14.5" hidden="1">
      <c r="A461" s="794" t="s">
        <v>3845</v>
      </c>
      <c r="B461" s="863" t="s">
        <v>4038</v>
      </c>
      <c r="C461" s="803" t="s">
        <v>3577</v>
      </c>
      <c r="D461" s="821" t="s">
        <v>4039</v>
      </c>
      <c r="E461" s="818" t="s">
        <v>1823</v>
      </c>
      <c r="F461" s="870" t="s">
        <v>4045</v>
      </c>
      <c r="G461" s="794"/>
      <c r="H461" s="794"/>
      <c r="I461" s="794"/>
      <c r="J461" s="794"/>
      <c r="K461" s="794"/>
      <c r="L461" s="794"/>
      <c r="M461" s="794"/>
      <c r="N461" s="794"/>
      <c r="O461" s="794"/>
      <c r="P461" s="794"/>
      <c r="Q461" s="794"/>
      <c r="R461" s="794"/>
      <c r="S461" s="794"/>
      <c r="T461" s="794"/>
      <c r="U461" s="794"/>
      <c r="V461" s="794"/>
    </row>
    <row r="462" spans="1:22" ht="14.5" hidden="1">
      <c r="A462" s="794"/>
      <c r="B462" s="863" t="s">
        <v>1820</v>
      </c>
      <c r="C462" s="803" t="s">
        <v>3577</v>
      </c>
      <c r="D462" s="829" t="s">
        <v>1822</v>
      </c>
      <c r="E462" s="818" t="s">
        <v>1823</v>
      </c>
      <c r="F462" s="870" t="s">
        <v>4046</v>
      </c>
      <c r="G462" s="794"/>
      <c r="H462" s="794"/>
      <c r="I462" s="794"/>
      <c r="J462" s="794"/>
      <c r="K462" s="794"/>
      <c r="L462" s="794"/>
      <c r="M462" s="794"/>
      <c r="N462" s="794"/>
      <c r="O462" s="794"/>
      <c r="P462" s="794"/>
      <c r="Q462" s="794"/>
      <c r="R462" s="794"/>
      <c r="S462" s="794"/>
      <c r="T462" s="794"/>
      <c r="U462" s="794"/>
      <c r="V462" s="794"/>
    </row>
    <row r="463" spans="1:22" ht="14.5" hidden="1">
      <c r="A463" s="801"/>
      <c r="B463" s="869" t="s">
        <v>1450</v>
      </c>
      <c r="C463" s="796" t="s">
        <v>54</v>
      </c>
      <c r="D463" s="801" t="s">
        <v>1452</v>
      </c>
      <c r="E463" s="801" t="s">
        <v>241</v>
      </c>
      <c r="F463" s="801" t="s">
        <v>4047</v>
      </c>
      <c r="G463" s="794" t="s">
        <v>3850</v>
      </c>
      <c r="H463" s="794" t="s">
        <v>4048</v>
      </c>
      <c r="I463" s="794"/>
      <c r="J463" s="794" t="s">
        <v>4049</v>
      </c>
      <c r="K463" s="801"/>
      <c r="L463" s="801"/>
      <c r="M463" s="801"/>
      <c r="N463" s="801"/>
      <c r="O463" s="801"/>
      <c r="P463" s="801"/>
      <c r="Q463" s="801"/>
      <c r="R463" s="801"/>
      <c r="S463" s="801"/>
      <c r="T463" s="801"/>
      <c r="U463" s="801"/>
      <c r="V463" s="801"/>
    </row>
    <row r="464" spans="1:22" ht="14.5" hidden="1">
      <c r="A464" s="801"/>
      <c r="B464" s="869"/>
      <c r="C464" s="862"/>
      <c r="D464" s="801"/>
      <c r="E464" s="801"/>
      <c r="F464" s="801"/>
      <c r="G464" s="801"/>
      <c r="H464" s="801"/>
      <c r="I464" s="801"/>
      <c r="J464" s="801"/>
      <c r="K464" s="801"/>
      <c r="L464" s="801"/>
      <c r="M464" s="801"/>
      <c r="N464" s="801"/>
      <c r="O464" s="801"/>
      <c r="P464" s="801"/>
      <c r="Q464" s="801"/>
      <c r="R464" s="801"/>
      <c r="S464" s="801"/>
      <c r="T464" s="801"/>
      <c r="U464" s="801"/>
      <c r="V464" s="801"/>
    </row>
    <row r="465" spans="1:22" ht="14.5" hidden="1">
      <c r="A465" s="794" t="s">
        <v>3589</v>
      </c>
      <c r="B465" s="830" t="s">
        <v>1700</v>
      </c>
      <c r="C465" s="796" t="s">
        <v>54</v>
      </c>
      <c r="D465" s="801" t="s">
        <v>1702</v>
      </c>
      <c r="E465" s="794" t="s">
        <v>1686</v>
      </c>
      <c r="F465" s="870" t="s">
        <v>4050</v>
      </c>
      <c r="G465" s="801" t="s">
        <v>4051</v>
      </c>
      <c r="H465" s="794" t="s">
        <v>4052</v>
      </c>
      <c r="I465" s="794" t="s">
        <v>4053</v>
      </c>
      <c r="J465" s="806" t="s">
        <v>4054</v>
      </c>
      <c r="K465" s="801"/>
      <c r="L465" s="801"/>
      <c r="M465" s="794"/>
      <c r="N465" s="794"/>
      <c r="O465" s="794"/>
      <c r="P465" s="794"/>
      <c r="Q465" s="794"/>
      <c r="R465" s="794"/>
      <c r="S465" s="794"/>
      <c r="T465" s="794"/>
      <c r="U465" s="794"/>
      <c r="V465" s="794"/>
    </row>
    <row r="466" spans="1:22" ht="14.5" hidden="1">
      <c r="A466" s="801"/>
      <c r="B466" s="869" t="s">
        <v>1728</v>
      </c>
      <c r="C466" s="796" t="s">
        <v>54</v>
      </c>
      <c r="D466" s="801" t="s">
        <v>1730</v>
      </c>
      <c r="E466" s="794" t="s">
        <v>1686</v>
      </c>
      <c r="F466" s="870" t="s">
        <v>4055</v>
      </c>
      <c r="G466" s="801" t="s">
        <v>4051</v>
      </c>
      <c r="H466" s="794" t="s">
        <v>4052</v>
      </c>
      <c r="I466" s="794" t="s">
        <v>4053</v>
      </c>
      <c r="J466" s="806" t="s">
        <v>4054</v>
      </c>
      <c r="K466" s="801"/>
      <c r="L466" s="801"/>
      <c r="M466" s="801"/>
      <c r="N466" s="801"/>
      <c r="O466" s="801"/>
      <c r="P466" s="801"/>
      <c r="Q466" s="801"/>
      <c r="R466" s="801"/>
      <c r="S466" s="801"/>
      <c r="T466" s="801"/>
      <c r="U466" s="801"/>
      <c r="V466" s="801"/>
    </row>
    <row r="467" spans="1:22" ht="14.5" hidden="1">
      <c r="A467" s="801"/>
      <c r="B467" s="869" t="s">
        <v>1744</v>
      </c>
      <c r="C467" s="796" t="s">
        <v>54</v>
      </c>
      <c r="D467" s="801" t="s">
        <v>1746</v>
      </c>
      <c r="E467" s="794" t="s">
        <v>1686</v>
      </c>
      <c r="F467" s="870" t="s">
        <v>4056</v>
      </c>
      <c r="G467" s="801" t="s">
        <v>4051</v>
      </c>
      <c r="H467" s="794" t="s">
        <v>4052</v>
      </c>
      <c r="I467" s="794" t="s">
        <v>4053</v>
      </c>
      <c r="J467" s="806" t="s">
        <v>4054</v>
      </c>
      <c r="K467" s="801"/>
      <c r="L467" s="801"/>
      <c r="M467" s="801"/>
      <c r="N467" s="801"/>
      <c r="O467" s="801"/>
      <c r="P467" s="801"/>
      <c r="Q467" s="801"/>
      <c r="R467" s="801"/>
      <c r="S467" s="801"/>
      <c r="T467" s="801"/>
      <c r="U467" s="801"/>
      <c r="V467" s="801"/>
    </row>
    <row r="468" spans="1:22" ht="14.5" hidden="1">
      <c r="A468" s="801"/>
      <c r="B468" s="869" t="s">
        <v>1751</v>
      </c>
      <c r="C468" s="796" t="s">
        <v>54</v>
      </c>
      <c r="D468" s="801" t="s">
        <v>1753</v>
      </c>
      <c r="E468" s="794" t="s">
        <v>1686</v>
      </c>
      <c r="F468" s="870" t="s">
        <v>4057</v>
      </c>
      <c r="G468" s="801" t="s">
        <v>4051</v>
      </c>
      <c r="H468" s="794" t="s">
        <v>4052</v>
      </c>
      <c r="I468" s="794" t="s">
        <v>4053</v>
      </c>
      <c r="J468" s="806" t="s">
        <v>4054</v>
      </c>
      <c r="K468" s="801"/>
      <c r="L468" s="801"/>
      <c r="M468" s="801"/>
      <c r="N468" s="801"/>
      <c r="O468" s="801"/>
      <c r="P468" s="801"/>
      <c r="Q468" s="801"/>
      <c r="R468" s="801"/>
      <c r="S468" s="801"/>
      <c r="T468" s="801"/>
      <c r="U468" s="801"/>
      <c r="V468" s="801"/>
    </row>
    <row r="469" spans="1:22" ht="14.5" hidden="1">
      <c r="A469" s="801"/>
      <c r="B469" s="869"/>
      <c r="C469" s="862"/>
      <c r="D469" s="801"/>
      <c r="E469" s="801"/>
      <c r="F469" s="801"/>
      <c r="G469" s="801"/>
      <c r="H469" s="801"/>
      <c r="I469" s="801"/>
      <c r="J469" s="801"/>
      <c r="K469" s="801"/>
      <c r="L469" s="801"/>
      <c r="M469" s="801"/>
      <c r="N469" s="801"/>
      <c r="O469" s="801"/>
      <c r="P469" s="801"/>
      <c r="Q469" s="801"/>
      <c r="R469" s="801"/>
      <c r="S469" s="801"/>
      <c r="T469" s="801"/>
      <c r="U469" s="801"/>
      <c r="V469" s="801"/>
    </row>
    <row r="470" spans="1:22" ht="14.5" hidden="1">
      <c r="A470" s="801" t="s">
        <v>67</v>
      </c>
      <c r="B470" s="869" t="s">
        <v>1862</v>
      </c>
      <c r="C470" s="796" t="s">
        <v>54</v>
      </c>
      <c r="D470" s="801" t="s">
        <v>1864</v>
      </c>
      <c r="E470" s="801" t="s">
        <v>472</v>
      </c>
      <c r="F470" s="801" t="s">
        <v>4058</v>
      </c>
      <c r="G470" s="794" t="s">
        <v>3771</v>
      </c>
      <c r="H470" s="794" t="s">
        <v>3958</v>
      </c>
      <c r="I470" s="818" t="s">
        <v>4059</v>
      </c>
      <c r="J470" s="818" t="s">
        <v>4060</v>
      </c>
      <c r="K470" s="801"/>
      <c r="L470" s="801"/>
      <c r="M470" s="801"/>
      <c r="N470" s="801"/>
      <c r="O470" s="801"/>
      <c r="P470" s="801"/>
      <c r="Q470" s="801"/>
      <c r="R470" s="801"/>
      <c r="S470" s="801"/>
      <c r="T470" s="801"/>
      <c r="U470" s="801"/>
      <c r="V470" s="801"/>
    </row>
    <row r="471" spans="1:22" ht="14.5" hidden="1">
      <c r="A471" s="801"/>
      <c r="B471" s="869"/>
      <c r="C471" s="862"/>
      <c r="D471" s="801"/>
      <c r="E471" s="801"/>
      <c r="F471" s="801"/>
      <c r="G471" s="801"/>
      <c r="H471" s="801"/>
      <c r="I471" s="801"/>
      <c r="J471" s="801"/>
      <c r="K471" s="801"/>
      <c r="L471" s="801"/>
      <c r="M471" s="801"/>
      <c r="N471" s="801"/>
      <c r="O471" s="801"/>
      <c r="P471" s="801"/>
      <c r="Q471" s="801"/>
      <c r="R471" s="801"/>
      <c r="S471" s="801"/>
      <c r="T471" s="801"/>
      <c r="U471" s="801"/>
      <c r="V471" s="801"/>
    </row>
    <row r="472" spans="1:22" ht="14.5" hidden="1">
      <c r="A472" s="845" t="s">
        <v>3575</v>
      </c>
      <c r="B472" s="816"/>
      <c r="C472" s="860" t="s">
        <v>54</v>
      </c>
      <c r="D472" s="829" t="s">
        <v>3884</v>
      </c>
      <c r="E472" s="845"/>
      <c r="F472" s="846" t="s">
        <v>4061</v>
      </c>
      <c r="G472" s="845"/>
      <c r="H472" s="845"/>
      <c r="I472" s="845"/>
      <c r="J472" s="845"/>
      <c r="K472" s="845"/>
      <c r="L472" s="845"/>
      <c r="M472" s="845"/>
      <c r="N472" s="845"/>
      <c r="O472" s="845"/>
      <c r="P472" s="845"/>
      <c r="Q472" s="845"/>
      <c r="R472" s="845"/>
      <c r="S472" s="845"/>
      <c r="T472" s="845"/>
      <c r="U472" s="845"/>
      <c r="V472" s="845"/>
    </row>
    <row r="473" spans="1:22" ht="14.5" hidden="1">
      <c r="A473" s="794"/>
      <c r="B473" s="863" t="s">
        <v>2029</v>
      </c>
      <c r="C473" s="796" t="s">
        <v>54</v>
      </c>
      <c r="D473" s="818" t="s">
        <v>2031</v>
      </c>
      <c r="E473" s="818" t="s">
        <v>3216</v>
      </c>
      <c r="F473" s="870" t="s">
        <v>4031</v>
      </c>
      <c r="G473" s="806" t="s">
        <v>4062</v>
      </c>
      <c r="H473" s="801"/>
      <c r="I473" s="801"/>
      <c r="J473" s="801"/>
      <c r="K473" s="794"/>
      <c r="L473" s="794"/>
      <c r="M473" s="794"/>
      <c r="N473" s="794"/>
      <c r="O473" s="794"/>
      <c r="P473" s="794"/>
      <c r="Q473" s="794"/>
      <c r="R473" s="794"/>
      <c r="S473" s="794"/>
      <c r="T473" s="794"/>
      <c r="U473" s="794"/>
      <c r="V473" s="794"/>
    </row>
    <row r="474" spans="1:22" ht="14.5" hidden="1">
      <c r="A474" s="801"/>
      <c r="B474" s="863" t="s">
        <v>2042</v>
      </c>
      <c r="C474" s="796" t="s">
        <v>54</v>
      </c>
      <c r="D474" s="801" t="s">
        <v>2044</v>
      </c>
      <c r="E474" s="818" t="s">
        <v>3216</v>
      </c>
      <c r="F474" s="870" t="s">
        <v>4031</v>
      </c>
      <c r="G474" s="806" t="s">
        <v>4062</v>
      </c>
      <c r="H474" s="801"/>
      <c r="I474" s="801"/>
      <c r="J474" s="801"/>
      <c r="K474" s="801"/>
      <c r="L474" s="801"/>
      <c r="M474" s="801"/>
      <c r="N474" s="801"/>
      <c r="O474" s="801"/>
      <c r="P474" s="801"/>
      <c r="Q474" s="801"/>
      <c r="R474" s="801"/>
      <c r="S474" s="801"/>
      <c r="T474" s="801"/>
      <c r="U474" s="801"/>
      <c r="V474" s="801"/>
    </row>
    <row r="475" spans="1:22" ht="14.5" hidden="1">
      <c r="A475" s="801"/>
      <c r="B475" s="863" t="s">
        <v>2054</v>
      </c>
      <c r="C475" s="796" t="s">
        <v>54</v>
      </c>
      <c r="D475" s="801" t="s">
        <v>2056</v>
      </c>
      <c r="E475" s="818" t="s">
        <v>3216</v>
      </c>
      <c r="F475" s="870" t="s">
        <v>4031</v>
      </c>
      <c r="G475" s="806" t="s">
        <v>4062</v>
      </c>
      <c r="H475" s="801"/>
      <c r="I475" s="801"/>
      <c r="J475" s="801"/>
      <c r="K475" s="801"/>
      <c r="L475" s="801"/>
      <c r="M475" s="801"/>
      <c r="N475" s="801"/>
      <c r="O475" s="801"/>
      <c r="P475" s="801"/>
      <c r="Q475" s="801"/>
      <c r="R475" s="801"/>
      <c r="S475" s="801"/>
      <c r="T475" s="801"/>
      <c r="U475" s="801"/>
      <c r="V475" s="801"/>
    </row>
    <row r="476" spans="1:22" ht="14.5" hidden="1">
      <c r="A476" s="801"/>
      <c r="B476" s="863" t="s">
        <v>2065</v>
      </c>
      <c r="C476" s="796" t="s">
        <v>54</v>
      </c>
      <c r="D476" s="801" t="s">
        <v>2067</v>
      </c>
      <c r="E476" s="818" t="s">
        <v>3216</v>
      </c>
      <c r="F476" s="870" t="s">
        <v>4031</v>
      </c>
      <c r="G476" s="806" t="s">
        <v>4062</v>
      </c>
      <c r="H476" s="801"/>
      <c r="I476" s="801"/>
      <c r="J476" s="801"/>
      <c r="K476" s="801"/>
      <c r="L476" s="801"/>
      <c r="M476" s="801"/>
      <c r="N476" s="801"/>
      <c r="O476" s="801"/>
      <c r="P476" s="801"/>
      <c r="Q476" s="801"/>
      <c r="R476" s="801"/>
      <c r="S476" s="801"/>
      <c r="T476" s="801"/>
      <c r="U476" s="801"/>
      <c r="V476" s="801"/>
    </row>
    <row r="477" spans="1:22" ht="14.5" hidden="1">
      <c r="A477" s="801"/>
      <c r="B477" s="863" t="s">
        <v>2076</v>
      </c>
      <c r="C477" s="796" t="s">
        <v>54</v>
      </c>
      <c r="D477" s="801" t="s">
        <v>4035</v>
      </c>
      <c r="E477" s="818" t="s">
        <v>3216</v>
      </c>
      <c r="F477" s="870" t="s">
        <v>4031</v>
      </c>
      <c r="G477" s="806" t="s">
        <v>4062</v>
      </c>
      <c r="H477" s="801"/>
      <c r="I477" s="801"/>
      <c r="J477" s="801"/>
      <c r="K477" s="801"/>
      <c r="L477" s="801"/>
      <c r="M477" s="801"/>
      <c r="N477" s="801"/>
      <c r="O477" s="801"/>
      <c r="P477" s="801"/>
      <c r="Q477" s="801"/>
      <c r="R477" s="801"/>
      <c r="S477" s="801"/>
      <c r="T477" s="801"/>
      <c r="U477" s="801"/>
      <c r="V477" s="801"/>
    </row>
    <row r="478" spans="1:22" ht="14.5" hidden="1">
      <c r="A478" s="801"/>
      <c r="B478" s="863" t="s">
        <v>2086</v>
      </c>
      <c r="C478" s="796" t="s">
        <v>54</v>
      </c>
      <c r="D478" s="801" t="s">
        <v>2088</v>
      </c>
      <c r="E478" s="818" t="s">
        <v>3216</v>
      </c>
      <c r="F478" s="870" t="s">
        <v>4031</v>
      </c>
      <c r="G478" s="806" t="s">
        <v>4062</v>
      </c>
      <c r="H478" s="801"/>
      <c r="I478" s="801"/>
      <c r="J478" s="801"/>
      <c r="K478" s="801"/>
      <c r="L478" s="801"/>
      <c r="M478" s="801"/>
      <c r="N478" s="801"/>
      <c r="O478" s="801"/>
      <c r="P478" s="801"/>
      <c r="Q478" s="801"/>
      <c r="R478" s="801"/>
      <c r="S478" s="801"/>
      <c r="T478" s="801"/>
      <c r="U478" s="801"/>
      <c r="V478" s="801"/>
    </row>
    <row r="479" spans="1:22" ht="14.5" hidden="1">
      <c r="A479" s="801"/>
      <c r="B479" s="863" t="s">
        <v>2097</v>
      </c>
      <c r="C479" s="796" t="s">
        <v>54</v>
      </c>
      <c r="D479" s="801" t="s">
        <v>2099</v>
      </c>
      <c r="E479" s="818" t="s">
        <v>3216</v>
      </c>
      <c r="F479" s="870" t="s">
        <v>4031</v>
      </c>
      <c r="G479" s="806" t="s">
        <v>4062</v>
      </c>
      <c r="H479" s="801"/>
      <c r="I479" s="801"/>
      <c r="J479" s="801"/>
      <c r="K479" s="801"/>
      <c r="L479" s="801"/>
      <c r="M479" s="801"/>
      <c r="N479" s="801"/>
      <c r="O479" s="801"/>
      <c r="P479" s="801"/>
      <c r="Q479" s="801"/>
      <c r="R479" s="801"/>
      <c r="S479" s="801"/>
      <c r="T479" s="801"/>
      <c r="U479" s="801"/>
      <c r="V479" s="801"/>
    </row>
    <row r="480" spans="1:22" ht="14.5" hidden="1">
      <c r="A480" s="801"/>
      <c r="B480" s="863" t="s">
        <v>2109</v>
      </c>
      <c r="C480" s="796" t="s">
        <v>54</v>
      </c>
      <c r="D480" s="801" t="s">
        <v>2111</v>
      </c>
      <c r="E480" s="818" t="s">
        <v>3216</v>
      </c>
      <c r="F480" s="870" t="s">
        <v>4031</v>
      </c>
      <c r="G480" s="806" t="s">
        <v>4062</v>
      </c>
      <c r="H480" s="801"/>
      <c r="I480" s="801"/>
      <c r="J480" s="801"/>
      <c r="K480" s="801"/>
      <c r="L480" s="801"/>
      <c r="M480" s="801"/>
      <c r="N480" s="801"/>
      <c r="O480" s="801"/>
      <c r="P480" s="801"/>
      <c r="Q480" s="801"/>
      <c r="R480" s="801"/>
      <c r="S480" s="801"/>
      <c r="T480" s="801"/>
      <c r="U480" s="801"/>
      <c r="V480" s="801"/>
    </row>
    <row r="481" spans="1:22" ht="14.5" hidden="1">
      <c r="A481" s="801"/>
      <c r="B481" s="863" t="s">
        <v>2120</v>
      </c>
      <c r="C481" s="796" t="s">
        <v>54</v>
      </c>
      <c r="D481" s="801" t="s">
        <v>2122</v>
      </c>
      <c r="E481" s="818" t="s">
        <v>3216</v>
      </c>
      <c r="F481" s="870" t="s">
        <v>4031</v>
      </c>
      <c r="G481" s="806" t="s">
        <v>4062</v>
      </c>
      <c r="H481" s="801"/>
      <c r="I481" s="801"/>
      <c r="J481" s="801"/>
      <c r="K481" s="801"/>
      <c r="L481" s="801"/>
      <c r="M481" s="801"/>
      <c r="N481" s="801"/>
      <c r="O481" s="801"/>
      <c r="P481" s="801"/>
      <c r="Q481" s="801"/>
      <c r="R481" s="801"/>
      <c r="S481" s="801"/>
      <c r="T481" s="801"/>
      <c r="U481" s="801"/>
      <c r="V481" s="801"/>
    </row>
    <row r="482" spans="1:22" ht="14.5" hidden="1">
      <c r="A482" s="801"/>
      <c r="B482" s="863" t="s">
        <v>2131</v>
      </c>
      <c r="C482" s="796" t="s">
        <v>54</v>
      </c>
      <c r="D482" s="801" t="s">
        <v>2133</v>
      </c>
      <c r="E482" s="818" t="s">
        <v>3216</v>
      </c>
      <c r="F482" s="870" t="s">
        <v>4031</v>
      </c>
      <c r="G482" s="806" t="s">
        <v>4062</v>
      </c>
      <c r="H482" s="801"/>
      <c r="I482" s="801"/>
      <c r="J482" s="801"/>
      <c r="K482" s="801"/>
      <c r="L482" s="801"/>
      <c r="M482" s="801"/>
      <c r="N482" s="801"/>
      <c r="O482" s="801"/>
      <c r="P482" s="801"/>
      <c r="Q482" s="801"/>
      <c r="R482" s="801"/>
      <c r="S482" s="801"/>
      <c r="T482" s="801"/>
      <c r="U482" s="801"/>
      <c r="V482" s="801"/>
    </row>
    <row r="483" spans="1:22" ht="14.5" hidden="1">
      <c r="A483" s="801"/>
      <c r="B483" s="863" t="s">
        <v>2142</v>
      </c>
      <c r="C483" s="796" t="s">
        <v>54</v>
      </c>
      <c r="D483" s="801" t="s">
        <v>2144</v>
      </c>
      <c r="E483" s="818" t="s">
        <v>3216</v>
      </c>
      <c r="F483" s="870" t="s">
        <v>4031</v>
      </c>
      <c r="G483" s="806" t="s">
        <v>4062</v>
      </c>
      <c r="H483" s="801"/>
      <c r="I483" s="801"/>
      <c r="J483" s="801"/>
      <c r="K483" s="801"/>
      <c r="L483" s="801"/>
      <c r="M483" s="801"/>
      <c r="N483" s="801"/>
      <c r="O483" s="801"/>
      <c r="P483" s="801"/>
      <c r="Q483" s="801"/>
      <c r="R483" s="801"/>
      <c r="S483" s="801"/>
      <c r="T483" s="801"/>
      <c r="U483" s="801"/>
      <c r="V483" s="801"/>
    </row>
    <row r="484" spans="1:22" ht="14.5" hidden="1">
      <c r="A484" s="801"/>
      <c r="B484" s="863" t="s">
        <v>2153</v>
      </c>
      <c r="C484" s="796" t="s">
        <v>54</v>
      </c>
      <c r="D484" s="801" t="s">
        <v>2155</v>
      </c>
      <c r="E484" s="818" t="s">
        <v>3216</v>
      </c>
      <c r="F484" s="870" t="s">
        <v>4031</v>
      </c>
      <c r="G484" s="806" t="s">
        <v>4062</v>
      </c>
      <c r="H484" s="801"/>
      <c r="I484" s="801"/>
      <c r="J484" s="801"/>
      <c r="K484" s="801"/>
      <c r="L484" s="801"/>
      <c r="M484" s="801"/>
      <c r="N484" s="801"/>
      <c r="O484" s="801"/>
      <c r="P484" s="801"/>
      <c r="Q484" s="801"/>
      <c r="R484" s="801"/>
      <c r="S484" s="801"/>
      <c r="T484" s="801"/>
      <c r="U484" s="801"/>
      <c r="V484" s="801"/>
    </row>
    <row r="485" spans="1:22" ht="14.5" hidden="1">
      <c r="A485" s="801"/>
      <c r="B485" s="863" t="s">
        <v>2164</v>
      </c>
      <c r="C485" s="796" t="s">
        <v>54</v>
      </c>
      <c r="D485" s="801" t="s">
        <v>2166</v>
      </c>
      <c r="E485" s="801" t="s">
        <v>2169</v>
      </c>
      <c r="F485" s="870" t="s">
        <v>4036</v>
      </c>
      <c r="G485" s="806" t="s">
        <v>4062</v>
      </c>
      <c r="H485" s="801"/>
      <c r="I485" s="801"/>
      <c r="J485" s="801"/>
      <c r="K485" s="801"/>
      <c r="L485" s="801"/>
      <c r="M485" s="801"/>
      <c r="N485" s="801"/>
      <c r="O485" s="801"/>
      <c r="P485" s="801"/>
      <c r="Q485" s="801"/>
      <c r="R485" s="801"/>
      <c r="S485" s="801"/>
      <c r="T485" s="801"/>
      <c r="U485" s="801"/>
      <c r="V485" s="801"/>
    </row>
    <row r="486" spans="1:22" ht="14.5" hidden="1">
      <c r="A486" s="801"/>
      <c r="B486" s="863" t="s">
        <v>2176</v>
      </c>
      <c r="C486" s="796" t="s">
        <v>54</v>
      </c>
      <c r="D486" s="801" t="s">
        <v>2178</v>
      </c>
      <c r="E486" s="801" t="s">
        <v>2169</v>
      </c>
      <c r="F486" s="870" t="s">
        <v>4036</v>
      </c>
      <c r="G486" s="806" t="s">
        <v>4062</v>
      </c>
      <c r="H486" s="801"/>
      <c r="I486" s="801"/>
      <c r="J486" s="801"/>
      <c r="K486" s="801"/>
      <c r="L486" s="801"/>
      <c r="M486" s="801"/>
      <c r="N486" s="801"/>
      <c r="O486" s="801"/>
      <c r="P486" s="801"/>
      <c r="Q486" s="801"/>
      <c r="R486" s="801"/>
      <c r="S486" s="801"/>
      <c r="T486" s="801"/>
      <c r="U486" s="801"/>
      <c r="V486" s="801"/>
    </row>
    <row r="487" spans="1:22" ht="14.5" hidden="1">
      <c r="A487" s="801"/>
      <c r="B487" s="863" t="s">
        <v>2188</v>
      </c>
      <c r="C487" s="796" t="s">
        <v>54</v>
      </c>
      <c r="D487" s="801" t="s">
        <v>2190</v>
      </c>
      <c r="E487" s="801" t="s">
        <v>2169</v>
      </c>
      <c r="F487" s="870" t="s">
        <v>4036</v>
      </c>
      <c r="G487" s="806" t="s">
        <v>4062</v>
      </c>
      <c r="H487" s="801"/>
      <c r="I487" s="801"/>
      <c r="J487" s="801"/>
      <c r="K487" s="801"/>
      <c r="L487" s="801"/>
      <c r="M487" s="801"/>
      <c r="N487" s="801"/>
      <c r="O487" s="801"/>
      <c r="P487" s="801"/>
      <c r="Q487" s="801"/>
      <c r="R487" s="801"/>
      <c r="S487" s="801"/>
      <c r="T487" s="801"/>
      <c r="U487" s="801"/>
      <c r="V487" s="801"/>
    </row>
    <row r="488" spans="1:22" ht="14.5" hidden="1">
      <c r="A488" s="801"/>
      <c r="B488" s="869" t="s">
        <v>3992</v>
      </c>
      <c r="C488" s="796" t="s">
        <v>54</v>
      </c>
      <c r="D488" s="801" t="s">
        <v>500</v>
      </c>
      <c r="E488" s="801" t="s">
        <v>491</v>
      </c>
      <c r="F488" s="801" t="s">
        <v>4063</v>
      </c>
      <c r="G488" s="806" t="s">
        <v>4064</v>
      </c>
      <c r="H488" s="806"/>
      <c r="I488" s="801"/>
      <c r="J488" s="801"/>
      <c r="K488" s="801"/>
      <c r="L488" s="801"/>
      <c r="M488" s="801"/>
      <c r="N488" s="801"/>
      <c r="O488" s="801"/>
      <c r="P488" s="801"/>
      <c r="Q488" s="801"/>
      <c r="R488" s="801"/>
      <c r="S488" s="801"/>
      <c r="T488" s="801"/>
      <c r="U488" s="801"/>
      <c r="V488" s="801"/>
    </row>
    <row r="489" spans="1:22" ht="14.5" hidden="1">
      <c r="A489" s="801"/>
      <c r="B489" s="869" t="s">
        <v>2438</v>
      </c>
      <c r="C489" s="796" t="s">
        <v>54</v>
      </c>
      <c r="D489" s="801" t="s">
        <v>488</v>
      </c>
      <c r="E489" s="801" t="s">
        <v>491</v>
      </c>
      <c r="F489" s="801" t="s">
        <v>4065</v>
      </c>
      <c r="G489" s="806" t="s">
        <v>4066</v>
      </c>
      <c r="H489" s="806"/>
      <c r="I489" s="801"/>
      <c r="J489" s="801"/>
      <c r="K489" s="801"/>
      <c r="L489" s="801"/>
      <c r="M489" s="801"/>
      <c r="N489" s="801"/>
      <c r="O489" s="801"/>
      <c r="P489" s="801"/>
      <c r="Q489" s="801"/>
      <c r="R489" s="801"/>
      <c r="S489" s="801"/>
      <c r="T489" s="801"/>
      <c r="U489" s="801"/>
      <c r="V489" s="801"/>
    </row>
    <row r="490" spans="1:22" ht="14.5" hidden="1">
      <c r="A490" s="801"/>
      <c r="B490" s="869"/>
      <c r="C490" s="862"/>
      <c r="D490" s="801"/>
      <c r="E490" s="801"/>
      <c r="F490" s="801"/>
      <c r="G490" s="801"/>
      <c r="H490" s="801"/>
      <c r="I490" s="801"/>
      <c r="J490" s="801"/>
      <c r="K490" s="801"/>
      <c r="L490" s="801"/>
      <c r="M490" s="801"/>
      <c r="N490" s="801"/>
      <c r="O490" s="801"/>
      <c r="P490" s="801"/>
      <c r="Q490" s="801"/>
      <c r="R490" s="801"/>
      <c r="S490" s="801"/>
      <c r="T490" s="801"/>
      <c r="U490" s="801"/>
      <c r="V490" s="801"/>
    </row>
    <row r="491" spans="1:22" ht="14.5">
      <c r="A491" s="794" t="s">
        <v>3563</v>
      </c>
      <c r="B491" s="799" t="s">
        <v>1181</v>
      </c>
      <c r="C491" s="796" t="s">
        <v>54</v>
      </c>
      <c r="D491" s="801" t="s">
        <v>1183</v>
      </c>
      <c r="E491" s="794" t="s">
        <v>241</v>
      </c>
      <c r="F491" s="856" t="s">
        <v>4067</v>
      </c>
      <c r="G491" s="801" t="s">
        <v>4068</v>
      </c>
      <c r="H491" s="794"/>
      <c r="I491" s="794"/>
      <c r="J491" s="794"/>
      <c r="K491" s="794"/>
      <c r="L491" s="794"/>
      <c r="M491" s="794"/>
      <c r="N491" s="794"/>
      <c r="O491" s="794"/>
      <c r="P491" s="794"/>
      <c r="Q491" s="794"/>
      <c r="R491" s="794"/>
      <c r="S491" s="794"/>
      <c r="T491" s="794"/>
      <c r="U491" s="794"/>
      <c r="V491" s="794"/>
    </row>
    <row r="492" spans="1:22" ht="12.75" hidden="1" customHeight="1">
      <c r="A492" s="801"/>
      <c r="B492" s="869"/>
      <c r="C492" s="862"/>
      <c r="D492" s="801"/>
      <c r="E492" s="801"/>
      <c r="F492" s="801"/>
      <c r="G492" s="801"/>
      <c r="H492" s="801"/>
      <c r="I492" s="801"/>
      <c r="J492" s="801"/>
      <c r="K492" s="801"/>
      <c r="L492" s="801"/>
      <c r="M492" s="801"/>
      <c r="N492" s="801"/>
      <c r="O492" s="801"/>
      <c r="P492" s="801"/>
      <c r="Q492" s="801"/>
      <c r="R492" s="801"/>
      <c r="S492" s="801"/>
      <c r="T492" s="801"/>
      <c r="U492" s="801"/>
      <c r="V492" s="801"/>
    </row>
    <row r="493" spans="1:22" ht="14.5" hidden="1">
      <c r="A493" s="792" t="s">
        <v>4069</v>
      </c>
      <c r="B493" s="810"/>
      <c r="C493" s="811"/>
      <c r="D493" s="792"/>
      <c r="E493" s="792"/>
      <c r="F493" s="792"/>
      <c r="G493" s="794"/>
      <c r="H493" s="794"/>
      <c r="I493" s="794"/>
      <c r="J493" s="794"/>
      <c r="K493" s="794"/>
      <c r="L493" s="794"/>
      <c r="M493" s="794"/>
      <c r="N493" s="794"/>
      <c r="O493" s="794"/>
      <c r="P493" s="794"/>
      <c r="Q493" s="794"/>
      <c r="R493" s="794"/>
      <c r="S493" s="794"/>
      <c r="T493" s="794"/>
      <c r="U493" s="794"/>
      <c r="V493" s="794"/>
    </row>
    <row r="494" spans="1:22" ht="14.5" hidden="1">
      <c r="A494" s="794" t="s">
        <v>3646</v>
      </c>
      <c r="B494" s="830" t="s">
        <v>2208</v>
      </c>
      <c r="C494" s="796" t="s">
        <v>54</v>
      </c>
      <c r="D494" s="829" t="s">
        <v>1117</v>
      </c>
      <c r="E494" s="818" t="s">
        <v>472</v>
      </c>
      <c r="F494" s="870" t="s">
        <v>4070</v>
      </c>
      <c r="G494" s="794" t="s">
        <v>4032</v>
      </c>
      <c r="H494" s="818" t="s">
        <v>4033</v>
      </c>
      <c r="I494" s="818" t="s">
        <v>4062</v>
      </c>
      <c r="J494" s="794" t="s">
        <v>3850</v>
      </c>
      <c r="K494" s="801" t="s">
        <v>4071</v>
      </c>
      <c r="L494" s="801" t="s">
        <v>4072</v>
      </c>
      <c r="M494" s="818" t="s">
        <v>4043</v>
      </c>
      <c r="N494" s="794"/>
      <c r="O494" s="794"/>
      <c r="P494" s="794"/>
      <c r="Q494" s="794"/>
      <c r="R494" s="794"/>
      <c r="S494" s="794"/>
      <c r="T494" s="794"/>
      <c r="U494" s="794"/>
      <c r="V494" s="794"/>
    </row>
    <row r="495" spans="1:22" ht="14.5" hidden="1">
      <c r="A495" s="801"/>
      <c r="B495" s="869"/>
      <c r="C495" s="862"/>
      <c r="D495" s="801"/>
      <c r="E495" s="801"/>
      <c r="F495" s="870"/>
      <c r="G495" s="801"/>
      <c r="H495" s="801"/>
      <c r="I495" s="801"/>
      <c r="J495" s="801"/>
      <c r="K495" s="801"/>
      <c r="L495" s="801"/>
      <c r="M495" s="801"/>
      <c r="N495" s="801"/>
      <c r="O495" s="801"/>
      <c r="P495" s="801"/>
      <c r="Q495" s="801"/>
      <c r="R495" s="801"/>
      <c r="S495" s="801"/>
      <c r="T495" s="801"/>
      <c r="U495" s="801"/>
      <c r="V495" s="801"/>
    </row>
    <row r="496" spans="1:22" ht="14.5" hidden="1">
      <c r="A496" s="801" t="s">
        <v>310</v>
      </c>
      <c r="B496" s="869" t="s">
        <v>2489</v>
      </c>
      <c r="C496" s="803" t="s">
        <v>3577</v>
      </c>
      <c r="D496" s="801" t="s">
        <v>333</v>
      </c>
      <c r="E496" s="801" t="s">
        <v>336</v>
      </c>
      <c r="F496" s="849" t="s">
        <v>4073</v>
      </c>
      <c r="G496" s="818" t="s">
        <v>4074</v>
      </c>
      <c r="H496" s="794" t="s">
        <v>4075</v>
      </c>
      <c r="I496" s="794" t="s">
        <v>4076</v>
      </c>
      <c r="J496" s="818" t="s">
        <v>4077</v>
      </c>
      <c r="K496" s="801"/>
      <c r="L496" s="801"/>
      <c r="M496" s="801"/>
      <c r="N496" s="801"/>
      <c r="O496" s="801"/>
      <c r="P496" s="801"/>
      <c r="Q496" s="801"/>
      <c r="R496" s="801"/>
      <c r="S496" s="801"/>
      <c r="T496" s="801"/>
      <c r="U496" s="801"/>
      <c r="V496" s="801"/>
    </row>
    <row r="497" spans="1:22" ht="14.5" hidden="1">
      <c r="A497" s="818"/>
      <c r="B497" s="876"/>
      <c r="C497" s="850"/>
      <c r="D497" s="818"/>
      <c r="E497" s="818"/>
      <c r="F497" s="849"/>
      <c r="G497" s="818"/>
      <c r="H497" s="818"/>
      <c r="I497" s="818"/>
      <c r="J497" s="818"/>
      <c r="K497" s="818"/>
      <c r="L497" s="818"/>
      <c r="M497" s="818"/>
      <c r="N497" s="818"/>
      <c r="O497" s="818"/>
      <c r="P497" s="818"/>
      <c r="Q497" s="818"/>
      <c r="R497" s="818"/>
      <c r="S497" s="818"/>
      <c r="T497" s="818"/>
      <c r="U497" s="818"/>
      <c r="V497" s="818"/>
    </row>
    <row r="498" spans="1:22" ht="14.5" hidden="1">
      <c r="A498" s="801" t="s">
        <v>1294</v>
      </c>
      <c r="B498" s="869" t="s">
        <v>1018</v>
      </c>
      <c r="C498" s="796" t="s">
        <v>54</v>
      </c>
      <c r="D498" s="801" t="s">
        <v>1020</v>
      </c>
      <c r="E498" s="801" t="s">
        <v>4078</v>
      </c>
      <c r="F498" s="849" t="s">
        <v>4079</v>
      </c>
      <c r="G498" s="794" t="s">
        <v>4080</v>
      </c>
      <c r="H498" s="801"/>
      <c r="I498" s="801"/>
      <c r="J498" s="801"/>
      <c r="K498" s="801"/>
      <c r="L498" s="801"/>
      <c r="M498" s="801"/>
      <c r="N498" s="801"/>
      <c r="O498" s="801"/>
      <c r="P498" s="801"/>
      <c r="Q498" s="801"/>
      <c r="R498" s="801"/>
      <c r="S498" s="801"/>
      <c r="T498" s="801"/>
      <c r="U498" s="801"/>
      <c r="V498" s="801"/>
    </row>
    <row r="499" spans="1:22" ht="14.5" hidden="1">
      <c r="A499" s="801"/>
      <c r="B499" s="869" t="s">
        <v>1089</v>
      </c>
      <c r="C499" s="796" t="s">
        <v>54</v>
      </c>
      <c r="D499" s="801" t="s">
        <v>1091</v>
      </c>
      <c r="E499" s="801" t="s">
        <v>630</v>
      </c>
      <c r="F499" s="849" t="s">
        <v>4079</v>
      </c>
      <c r="G499" s="794" t="s">
        <v>4080</v>
      </c>
      <c r="H499" s="801"/>
      <c r="I499" s="801"/>
      <c r="J499" s="801"/>
      <c r="K499" s="801"/>
      <c r="L499" s="801"/>
      <c r="M499" s="801"/>
      <c r="N499" s="801"/>
      <c r="O499" s="801"/>
      <c r="P499" s="801"/>
      <c r="Q499" s="801"/>
      <c r="R499" s="801"/>
      <c r="S499" s="801"/>
      <c r="T499" s="801"/>
      <c r="U499" s="801"/>
      <c r="V499" s="801"/>
    </row>
    <row r="500" spans="1:22" ht="14.5" hidden="1">
      <c r="A500" s="877"/>
      <c r="B500" s="869" t="s">
        <v>2489</v>
      </c>
      <c r="C500" s="803" t="s">
        <v>3577</v>
      </c>
      <c r="D500" s="801" t="s">
        <v>333</v>
      </c>
      <c r="E500" s="801" t="s">
        <v>336</v>
      </c>
      <c r="F500" s="870" t="s">
        <v>4081</v>
      </c>
      <c r="G500" s="818" t="s">
        <v>4080</v>
      </c>
      <c r="H500" s="801"/>
      <c r="I500" s="801"/>
      <c r="J500" s="801"/>
      <c r="K500" s="801"/>
      <c r="L500" s="801"/>
      <c r="M500" s="801"/>
      <c r="N500" s="801"/>
      <c r="O500" s="801"/>
      <c r="P500" s="801"/>
      <c r="Q500" s="801"/>
      <c r="R500" s="801"/>
      <c r="S500" s="801"/>
      <c r="T500" s="801"/>
      <c r="U500" s="801"/>
      <c r="V500" s="801"/>
    </row>
    <row r="501" spans="1:22" ht="14.5" hidden="1">
      <c r="A501" s="877"/>
      <c r="B501" s="869"/>
      <c r="C501" s="862"/>
      <c r="D501" s="801"/>
      <c r="E501" s="801"/>
      <c r="F501" s="801"/>
      <c r="G501" s="801"/>
      <c r="H501" s="801"/>
      <c r="I501" s="801"/>
      <c r="J501" s="801"/>
      <c r="K501" s="801"/>
      <c r="L501" s="801"/>
      <c r="M501" s="801"/>
      <c r="N501" s="801"/>
      <c r="O501" s="801"/>
      <c r="P501" s="801"/>
      <c r="Q501" s="801"/>
      <c r="R501" s="801"/>
      <c r="S501" s="801"/>
      <c r="T501" s="801"/>
      <c r="U501" s="801"/>
      <c r="V501" s="801"/>
    </row>
    <row r="502" spans="1:22" ht="14.5" hidden="1">
      <c r="A502" s="801" t="s">
        <v>67</v>
      </c>
      <c r="B502" s="799" t="s">
        <v>1671</v>
      </c>
      <c r="C502" s="796" t="s">
        <v>54</v>
      </c>
      <c r="D502" s="794" t="s">
        <v>1673</v>
      </c>
      <c r="E502" s="794" t="s">
        <v>1676</v>
      </c>
      <c r="F502" s="801" t="s">
        <v>4082</v>
      </c>
      <c r="G502" s="818" t="s">
        <v>4083</v>
      </c>
      <c r="H502" s="801" t="s">
        <v>3771</v>
      </c>
      <c r="I502" s="818" t="s">
        <v>46</v>
      </c>
      <c r="J502" s="818" t="s">
        <v>4084</v>
      </c>
      <c r="K502" s="818" t="s">
        <v>4075</v>
      </c>
      <c r="L502" s="818" t="s">
        <v>4077</v>
      </c>
      <c r="M502" s="818" t="s">
        <v>2941</v>
      </c>
      <c r="N502" s="801"/>
      <c r="O502" s="794"/>
      <c r="P502" s="794"/>
      <c r="Q502" s="794"/>
      <c r="R502" s="794"/>
      <c r="S502" s="794"/>
      <c r="T502" s="794"/>
      <c r="U502" s="794"/>
      <c r="V502" s="794"/>
    </row>
    <row r="503" spans="1:22" ht="14.5" hidden="1">
      <c r="A503" s="877"/>
      <c r="B503" s="869"/>
      <c r="C503" s="862"/>
      <c r="D503" s="801"/>
      <c r="E503" s="801"/>
      <c r="F503" s="801"/>
      <c r="G503" s="801"/>
      <c r="H503" s="801"/>
      <c r="I503" s="801"/>
      <c r="J503" s="801"/>
      <c r="K503" s="801"/>
      <c r="L503" s="801"/>
      <c r="M503" s="801"/>
      <c r="N503" s="801"/>
      <c r="O503" s="801"/>
      <c r="P503" s="801"/>
      <c r="Q503" s="801"/>
      <c r="R503" s="801"/>
      <c r="S503" s="801"/>
      <c r="T503" s="801"/>
      <c r="U503" s="801"/>
      <c r="V503" s="801"/>
    </row>
    <row r="504" spans="1:22" ht="14.5" hidden="1">
      <c r="A504" s="794" t="s">
        <v>4085</v>
      </c>
      <c r="B504" s="869" t="s">
        <v>1135</v>
      </c>
      <c r="C504" s="796" t="s">
        <v>54</v>
      </c>
      <c r="D504" s="801" t="s">
        <v>1137</v>
      </c>
      <c r="E504" s="801" t="s">
        <v>1129</v>
      </c>
      <c r="F504" s="856" t="s">
        <v>4086</v>
      </c>
      <c r="G504" s="818" t="s">
        <v>3951</v>
      </c>
      <c r="H504" s="818" t="s">
        <v>3981</v>
      </c>
      <c r="I504" s="794" t="s">
        <v>4053</v>
      </c>
      <c r="J504" s="818" t="s">
        <v>4087</v>
      </c>
      <c r="K504" s="801"/>
      <c r="L504" s="801"/>
      <c r="M504" s="801"/>
      <c r="N504" s="801"/>
      <c r="O504" s="801"/>
      <c r="P504" s="801"/>
      <c r="Q504" s="801"/>
      <c r="R504" s="801"/>
      <c r="S504" s="801"/>
      <c r="T504" s="801"/>
      <c r="U504" s="801"/>
      <c r="V504" s="801"/>
    </row>
    <row r="505" spans="1:22" ht="14.5" hidden="1">
      <c r="A505" s="877"/>
      <c r="B505" s="830" t="s">
        <v>2208</v>
      </c>
      <c r="C505" s="796" t="s">
        <v>54</v>
      </c>
      <c r="D505" s="829" t="s">
        <v>1117</v>
      </c>
      <c r="E505" s="818" t="s">
        <v>472</v>
      </c>
      <c r="F505" s="849" t="s">
        <v>4088</v>
      </c>
      <c r="G505" s="801"/>
      <c r="H505" s="801"/>
      <c r="I505" s="801"/>
      <c r="J505" s="801"/>
      <c r="K505" s="801"/>
      <c r="L505" s="801"/>
      <c r="M505" s="801"/>
      <c r="N505" s="801"/>
      <c r="O505" s="801"/>
      <c r="P505" s="801"/>
      <c r="Q505" s="801"/>
      <c r="R505" s="801"/>
      <c r="S505" s="801"/>
      <c r="T505" s="801"/>
      <c r="U505" s="801"/>
      <c r="V505" s="801"/>
    </row>
    <row r="506" spans="1:22" ht="14.5" hidden="1">
      <c r="A506" s="877"/>
      <c r="B506" s="869"/>
      <c r="C506" s="862"/>
      <c r="D506" s="801"/>
      <c r="E506" s="801"/>
      <c r="F506" s="801"/>
      <c r="G506" s="801"/>
      <c r="H506" s="801"/>
      <c r="I506" s="801"/>
      <c r="J506" s="801"/>
      <c r="K506" s="801"/>
      <c r="L506" s="801"/>
      <c r="M506" s="801"/>
      <c r="N506" s="801"/>
      <c r="O506" s="801"/>
      <c r="P506" s="801"/>
      <c r="Q506" s="801"/>
      <c r="R506" s="801"/>
      <c r="S506" s="801"/>
      <c r="T506" s="801"/>
      <c r="U506" s="801"/>
      <c r="V506" s="801"/>
    </row>
    <row r="507" spans="1:22" ht="14.5" hidden="1">
      <c r="A507" s="845" t="s">
        <v>3575</v>
      </c>
      <c r="B507" s="830" t="s">
        <v>2208</v>
      </c>
      <c r="C507" s="796" t="s">
        <v>54</v>
      </c>
      <c r="D507" s="829" t="s">
        <v>1117</v>
      </c>
      <c r="E507" s="818" t="s">
        <v>472</v>
      </c>
      <c r="F507" s="849" t="s">
        <v>4089</v>
      </c>
      <c r="G507" s="801"/>
      <c r="H507" s="801"/>
      <c r="I507" s="801"/>
      <c r="J507" s="801"/>
      <c r="K507" s="801"/>
      <c r="L507" s="801"/>
      <c r="M507" s="801"/>
      <c r="N507" s="801"/>
      <c r="O507" s="801"/>
      <c r="P507" s="801"/>
      <c r="Q507" s="801"/>
      <c r="R507" s="801"/>
      <c r="S507" s="801"/>
      <c r="T507" s="801"/>
      <c r="U507" s="801"/>
      <c r="V507" s="801"/>
    </row>
    <row r="508" spans="1:22" ht="14.5" hidden="1">
      <c r="A508" s="845" t="s">
        <v>3575</v>
      </c>
      <c r="B508" s="830" t="s">
        <v>1700</v>
      </c>
      <c r="C508" s="796" t="s">
        <v>54</v>
      </c>
      <c r="D508" s="801" t="s">
        <v>1702</v>
      </c>
      <c r="E508" s="794" t="s">
        <v>1705</v>
      </c>
      <c r="F508" s="849" t="s">
        <v>4090</v>
      </c>
      <c r="G508" s="870" t="s">
        <v>4091</v>
      </c>
      <c r="H508" s="801"/>
      <c r="I508" s="801"/>
      <c r="J508" s="801"/>
      <c r="K508" s="801"/>
      <c r="L508" s="801"/>
      <c r="M508" s="801"/>
      <c r="N508" s="801"/>
      <c r="O508" s="801"/>
      <c r="P508" s="801"/>
      <c r="Q508" s="801"/>
      <c r="R508" s="801"/>
      <c r="S508" s="801"/>
      <c r="T508" s="801"/>
      <c r="U508" s="801"/>
      <c r="V508" s="801"/>
    </row>
    <row r="509" spans="1:22" ht="14.5" hidden="1">
      <c r="A509" s="801"/>
      <c r="B509" s="869" t="s">
        <v>1728</v>
      </c>
      <c r="C509" s="796" t="s">
        <v>54</v>
      </c>
      <c r="D509" s="801" t="s">
        <v>1730</v>
      </c>
      <c r="E509" s="794" t="s">
        <v>1705</v>
      </c>
      <c r="F509" s="849" t="s">
        <v>4090</v>
      </c>
      <c r="G509" s="870" t="s">
        <v>4091</v>
      </c>
      <c r="H509" s="801"/>
      <c r="I509" s="801"/>
      <c r="J509" s="801"/>
      <c r="K509" s="801"/>
      <c r="L509" s="801"/>
      <c r="M509" s="801"/>
      <c r="N509" s="801"/>
      <c r="O509" s="801"/>
      <c r="P509" s="801"/>
      <c r="Q509" s="801"/>
      <c r="R509" s="801"/>
      <c r="S509" s="801"/>
      <c r="T509" s="801"/>
      <c r="U509" s="801"/>
      <c r="V509" s="801"/>
    </row>
    <row r="510" spans="1:22" ht="14.5" hidden="1">
      <c r="A510" s="801"/>
      <c r="B510" s="869" t="s">
        <v>1744</v>
      </c>
      <c r="C510" s="796" t="s">
        <v>54</v>
      </c>
      <c r="D510" s="801" t="s">
        <v>1746</v>
      </c>
      <c r="E510" s="794" t="s">
        <v>1705</v>
      </c>
      <c r="F510" s="849" t="s">
        <v>4090</v>
      </c>
      <c r="G510" s="870" t="s">
        <v>4091</v>
      </c>
      <c r="H510" s="801"/>
      <c r="I510" s="801"/>
      <c r="J510" s="801"/>
      <c r="K510" s="801"/>
      <c r="L510" s="801"/>
      <c r="M510" s="801"/>
      <c r="N510" s="801"/>
      <c r="O510" s="801"/>
      <c r="P510" s="801"/>
      <c r="Q510" s="801"/>
      <c r="R510" s="801"/>
      <c r="S510" s="801"/>
      <c r="T510" s="801"/>
      <c r="U510" s="801"/>
      <c r="V510" s="801"/>
    </row>
    <row r="511" spans="1:22" ht="14.5" hidden="1">
      <c r="A511" s="801"/>
      <c r="B511" s="869" t="s">
        <v>1751</v>
      </c>
      <c r="C511" s="796" t="s">
        <v>54</v>
      </c>
      <c r="D511" s="801" t="s">
        <v>1753</v>
      </c>
      <c r="E511" s="794" t="s">
        <v>1705</v>
      </c>
      <c r="F511" s="849" t="s">
        <v>4090</v>
      </c>
      <c r="G511" s="870" t="s">
        <v>4091</v>
      </c>
      <c r="H511" s="801"/>
      <c r="I511" s="801"/>
      <c r="J511" s="801"/>
      <c r="K511" s="801"/>
      <c r="L511" s="801"/>
      <c r="M511" s="801"/>
      <c r="N511" s="801"/>
      <c r="O511" s="801"/>
      <c r="P511" s="801"/>
      <c r="Q511" s="801"/>
      <c r="R511" s="801"/>
      <c r="S511" s="801"/>
      <c r="T511" s="801"/>
      <c r="U511" s="801"/>
      <c r="V511" s="801"/>
    </row>
    <row r="512" spans="1:22" ht="14.5" hidden="1">
      <c r="A512" s="845" t="s">
        <v>3575</v>
      </c>
      <c r="B512" s="876" t="s">
        <v>3456</v>
      </c>
      <c r="C512" s="796" t="s">
        <v>54</v>
      </c>
      <c r="D512" s="801" t="s">
        <v>731</v>
      </c>
      <c r="E512" s="801" t="s">
        <v>734</v>
      </c>
      <c r="F512" s="856" t="s">
        <v>4092</v>
      </c>
      <c r="G512" s="818"/>
      <c r="H512" s="818"/>
      <c r="I512" s="818"/>
      <c r="J512" s="801"/>
      <c r="K512" s="801"/>
      <c r="L512" s="801"/>
      <c r="M512" s="801"/>
      <c r="N512" s="801"/>
      <c r="O512" s="801"/>
      <c r="P512" s="801"/>
      <c r="Q512" s="801"/>
      <c r="R512" s="801"/>
      <c r="S512" s="801"/>
      <c r="T512" s="801"/>
      <c r="U512" s="801"/>
      <c r="V512" s="801"/>
    </row>
    <row r="513" spans="1:22" ht="14.5" hidden="1">
      <c r="A513" s="845"/>
      <c r="B513" s="876" t="s">
        <v>3454</v>
      </c>
      <c r="C513" s="796" t="s">
        <v>54</v>
      </c>
      <c r="D513" s="801" t="s">
        <v>848</v>
      </c>
      <c r="E513" s="801" t="s">
        <v>658</v>
      </c>
      <c r="F513" s="856" t="s">
        <v>4093</v>
      </c>
      <c r="G513" s="818"/>
      <c r="H513" s="818"/>
      <c r="I513" s="818"/>
      <c r="J513" s="801"/>
      <c r="K513" s="801"/>
      <c r="L513" s="801"/>
      <c r="M513" s="801"/>
      <c r="N513" s="801"/>
      <c r="O513" s="801"/>
      <c r="P513" s="801"/>
      <c r="Q513" s="801"/>
      <c r="R513" s="801"/>
      <c r="S513" s="801"/>
      <c r="T513" s="801"/>
      <c r="U513" s="801"/>
      <c r="V513" s="801"/>
    </row>
    <row r="514" spans="1:22" ht="14.5" hidden="1">
      <c r="A514" s="878"/>
      <c r="B514" s="800"/>
      <c r="C514" s="797"/>
      <c r="D514" s="794"/>
      <c r="E514" s="794"/>
      <c r="F514" s="794"/>
      <c r="G514" s="794"/>
      <c r="H514" s="794"/>
      <c r="I514" s="794"/>
      <c r="J514" s="794"/>
      <c r="K514" s="794"/>
      <c r="L514" s="794"/>
      <c r="M514" s="794"/>
      <c r="N514" s="794"/>
      <c r="O514" s="794"/>
      <c r="P514" s="794"/>
      <c r="Q514" s="794"/>
      <c r="R514" s="794"/>
      <c r="S514" s="794"/>
      <c r="T514" s="794"/>
      <c r="U514" s="794"/>
      <c r="V514" s="794"/>
    </row>
    <row r="515" spans="1:22" ht="14.5">
      <c r="A515" s="873">
        <v>46023</v>
      </c>
      <c r="B515" s="810"/>
      <c r="C515" s="811"/>
      <c r="D515" s="792"/>
      <c r="E515" s="792"/>
      <c r="F515" s="792"/>
      <c r="G515" s="794"/>
      <c r="H515" s="794"/>
      <c r="I515" s="794"/>
      <c r="J515" s="794"/>
      <c r="K515" s="794"/>
      <c r="L515" s="794"/>
      <c r="M515" s="794"/>
      <c r="N515" s="794"/>
      <c r="O515" s="794"/>
      <c r="P515" s="794"/>
      <c r="Q515" s="794"/>
      <c r="R515" s="794"/>
      <c r="S515" s="794"/>
      <c r="T515" s="794"/>
      <c r="U515" s="794"/>
      <c r="V515" s="794"/>
    </row>
    <row r="516" spans="1:22" ht="14.5" hidden="1">
      <c r="A516" s="797" t="s">
        <v>1294</v>
      </c>
      <c r="B516" s="799" t="s">
        <v>3519</v>
      </c>
      <c r="C516" s="796" t="s">
        <v>54</v>
      </c>
      <c r="D516" s="794" t="s">
        <v>3520</v>
      </c>
      <c r="E516" s="824" t="s">
        <v>3588</v>
      </c>
      <c r="F516" s="818" t="s">
        <v>4094</v>
      </c>
      <c r="G516" s="818" t="s">
        <v>4083</v>
      </c>
      <c r="H516" s="794" t="s">
        <v>4095</v>
      </c>
      <c r="I516" s="794"/>
      <c r="J516" s="794"/>
      <c r="K516" s="794"/>
      <c r="L516" s="794"/>
      <c r="M516" s="794"/>
      <c r="N516" s="794"/>
      <c r="O516" s="794"/>
      <c r="P516" s="794"/>
      <c r="Q516" s="794"/>
      <c r="R516" s="794"/>
      <c r="S516" s="794"/>
      <c r="T516" s="794"/>
      <c r="U516" s="794"/>
      <c r="V516" s="794"/>
    </row>
    <row r="517" spans="1:22" ht="14.5">
      <c r="A517" s="797" t="s">
        <v>1294</v>
      </c>
      <c r="B517" s="799" t="s">
        <v>301</v>
      </c>
      <c r="C517" s="796" t="s">
        <v>54</v>
      </c>
      <c r="D517" s="794" t="s">
        <v>303</v>
      </c>
      <c r="E517" s="794" t="s">
        <v>64</v>
      </c>
      <c r="F517" s="849" t="s">
        <v>4096</v>
      </c>
      <c r="G517" s="806" t="s">
        <v>4083</v>
      </c>
      <c r="H517" s="794"/>
      <c r="I517" s="794"/>
      <c r="J517" s="794"/>
      <c r="K517" s="794"/>
      <c r="L517" s="794"/>
      <c r="M517" s="794"/>
      <c r="N517" s="794"/>
      <c r="O517" s="794"/>
      <c r="P517" s="794"/>
      <c r="Q517" s="794"/>
      <c r="R517" s="794"/>
      <c r="S517" s="794"/>
      <c r="T517" s="794"/>
      <c r="U517" s="794"/>
      <c r="V517" s="794"/>
    </row>
    <row r="518" spans="1:22" ht="15.75" hidden="1" customHeight="1">
      <c r="A518" s="818"/>
      <c r="B518" s="816"/>
      <c r="C518" s="818"/>
      <c r="D518" s="818"/>
      <c r="E518" s="818"/>
      <c r="F518" s="849"/>
      <c r="G518" s="818"/>
      <c r="H518" s="818"/>
      <c r="I518" s="818"/>
      <c r="J518" s="818"/>
      <c r="K518" s="818"/>
      <c r="L518" s="818"/>
      <c r="M518" s="818"/>
      <c r="N518" s="818"/>
      <c r="O518" s="818"/>
      <c r="P518" s="818"/>
      <c r="Q518" s="818"/>
      <c r="R518" s="818"/>
      <c r="S518" s="818"/>
      <c r="T518" s="818"/>
      <c r="U518" s="818"/>
      <c r="V518" s="818"/>
    </row>
    <row r="519" spans="1:22" ht="14.5" hidden="1">
      <c r="A519" s="801" t="s">
        <v>67</v>
      </c>
      <c r="B519" s="799" t="s">
        <v>1322</v>
      </c>
      <c r="C519" s="803" t="s">
        <v>3577</v>
      </c>
      <c r="D519" s="818" t="s">
        <v>1324</v>
      </c>
      <c r="E519" s="794" t="s">
        <v>106</v>
      </c>
      <c r="F519" s="849" t="s">
        <v>4097</v>
      </c>
      <c r="G519" s="818" t="s">
        <v>4083</v>
      </c>
      <c r="H519" s="794" t="s">
        <v>4074</v>
      </c>
      <c r="I519" s="794" t="s">
        <v>4098</v>
      </c>
      <c r="J519" s="794" t="s">
        <v>4099</v>
      </c>
      <c r="K519" s="794" t="s">
        <v>4100</v>
      </c>
      <c r="L519" s="794" t="s">
        <v>4101</v>
      </c>
      <c r="M519" s="818" t="s">
        <v>4102</v>
      </c>
      <c r="N519" s="794"/>
      <c r="O519" s="794"/>
      <c r="P519" s="794"/>
      <c r="Q519" s="794"/>
      <c r="R519" s="794"/>
      <c r="S519" s="794"/>
      <c r="T519" s="794"/>
      <c r="U519" s="794"/>
      <c r="V519" s="794"/>
    </row>
    <row r="520" spans="1:22" ht="14.5" hidden="1">
      <c r="A520" s="845"/>
      <c r="B520" s="876"/>
      <c r="C520" s="818"/>
      <c r="D520" s="801"/>
      <c r="E520" s="801"/>
      <c r="F520" s="870"/>
      <c r="G520" s="818"/>
      <c r="H520" s="818"/>
      <c r="I520" s="818"/>
      <c r="J520" s="801"/>
      <c r="K520" s="801"/>
      <c r="L520" s="801"/>
      <c r="M520" s="801"/>
      <c r="N520" s="801"/>
      <c r="O520" s="801"/>
      <c r="P520" s="801"/>
      <c r="Q520" s="801"/>
      <c r="R520" s="801"/>
      <c r="S520" s="801"/>
      <c r="T520" s="801"/>
      <c r="U520" s="801"/>
      <c r="V520" s="801"/>
    </row>
    <row r="521" spans="1:22" ht="14.5" hidden="1">
      <c r="A521" s="845" t="s">
        <v>3575</v>
      </c>
      <c r="B521" s="876" t="s">
        <v>4103</v>
      </c>
      <c r="C521" s="803" t="s">
        <v>3577</v>
      </c>
      <c r="D521" s="801" t="s">
        <v>1430</v>
      </c>
      <c r="E521" s="801" t="s">
        <v>150</v>
      </c>
      <c r="F521" s="870" t="s">
        <v>4104</v>
      </c>
      <c r="G521" s="818" t="s">
        <v>4105</v>
      </c>
      <c r="H521" s="818" t="s">
        <v>4052</v>
      </c>
      <c r="I521" s="818" t="s">
        <v>4043</v>
      </c>
      <c r="J521" s="801"/>
      <c r="K521" s="801"/>
      <c r="L521" s="801"/>
      <c r="M521" s="801"/>
      <c r="N521" s="801"/>
      <c r="O521" s="801"/>
      <c r="P521" s="801"/>
      <c r="Q521" s="801"/>
      <c r="R521" s="801"/>
      <c r="S521" s="801"/>
      <c r="T521" s="801"/>
      <c r="U521" s="801"/>
      <c r="V521" s="801"/>
    </row>
    <row r="522" spans="1:22" ht="14.5" hidden="1">
      <c r="A522" s="845"/>
      <c r="B522" s="876" t="s">
        <v>4106</v>
      </c>
      <c r="C522" s="796" t="s">
        <v>54</v>
      </c>
      <c r="D522" s="801" t="s">
        <v>500</v>
      </c>
      <c r="E522" s="801" t="s">
        <v>491</v>
      </c>
      <c r="F522" s="870" t="s">
        <v>4104</v>
      </c>
      <c r="G522" s="818" t="s">
        <v>4052</v>
      </c>
      <c r="H522" s="818" t="s">
        <v>4043</v>
      </c>
      <c r="I522" s="801"/>
      <c r="J522" s="801"/>
      <c r="K522" s="801"/>
      <c r="L522" s="801"/>
      <c r="M522" s="801"/>
      <c r="N522" s="801"/>
      <c r="O522" s="801"/>
      <c r="P522" s="801"/>
      <c r="Q522" s="801"/>
      <c r="R522" s="801"/>
      <c r="S522" s="801"/>
      <c r="T522" s="801"/>
      <c r="U522" s="801"/>
      <c r="V522" s="801"/>
    </row>
    <row r="523" spans="1:22" ht="14.5" hidden="1">
      <c r="A523" s="845"/>
      <c r="B523" s="876" t="s">
        <v>4107</v>
      </c>
      <c r="C523" s="796" t="s">
        <v>54</v>
      </c>
      <c r="D523" s="801" t="s">
        <v>488</v>
      </c>
      <c r="E523" s="801" t="s">
        <v>491</v>
      </c>
      <c r="F523" s="870" t="s">
        <v>4104</v>
      </c>
      <c r="G523" s="818" t="s">
        <v>4052</v>
      </c>
      <c r="H523" s="818" t="s">
        <v>4043</v>
      </c>
      <c r="I523" s="801"/>
      <c r="J523" s="801"/>
      <c r="K523" s="801"/>
      <c r="L523" s="801"/>
      <c r="M523" s="801"/>
      <c r="N523" s="801"/>
      <c r="O523" s="801"/>
      <c r="P523" s="801"/>
      <c r="Q523" s="801"/>
      <c r="R523" s="801"/>
      <c r="S523" s="801"/>
      <c r="T523" s="801"/>
      <c r="U523" s="801"/>
      <c r="V523" s="801"/>
    </row>
    <row r="524" spans="1:22" ht="14.5" hidden="1">
      <c r="A524" s="845"/>
      <c r="B524" s="876" t="s">
        <v>4108</v>
      </c>
      <c r="C524" s="796" t="s">
        <v>54</v>
      </c>
      <c r="D524" s="801" t="s">
        <v>731</v>
      </c>
      <c r="E524" s="801" t="s">
        <v>734</v>
      </c>
      <c r="F524" s="870" t="s">
        <v>4104</v>
      </c>
      <c r="G524" s="818" t="s">
        <v>4105</v>
      </c>
      <c r="H524" s="801" t="s">
        <v>4109</v>
      </c>
      <c r="I524" s="818" t="s">
        <v>4043</v>
      </c>
      <c r="J524" s="801"/>
      <c r="K524" s="801"/>
      <c r="L524" s="801"/>
      <c r="M524" s="801"/>
      <c r="N524" s="801"/>
      <c r="O524" s="801"/>
      <c r="P524" s="801"/>
      <c r="Q524" s="801"/>
      <c r="R524" s="801"/>
      <c r="S524" s="801"/>
      <c r="T524" s="801"/>
      <c r="U524" s="801"/>
      <c r="V524" s="801"/>
    </row>
    <row r="525" spans="1:22" ht="14.5" hidden="1">
      <c r="A525" s="845"/>
      <c r="B525" s="876" t="s">
        <v>4110</v>
      </c>
      <c r="C525" s="796" t="s">
        <v>54</v>
      </c>
      <c r="D525" s="801" t="s">
        <v>848</v>
      </c>
      <c r="E525" s="801" t="s">
        <v>658</v>
      </c>
      <c r="F525" s="870" t="s">
        <v>4104</v>
      </c>
      <c r="G525" s="818" t="s">
        <v>4105</v>
      </c>
      <c r="H525" s="801" t="s">
        <v>4109</v>
      </c>
      <c r="I525" s="818" t="s">
        <v>4043</v>
      </c>
      <c r="J525" s="801"/>
      <c r="K525" s="801"/>
      <c r="L525" s="801"/>
      <c r="M525" s="801"/>
      <c r="N525" s="801"/>
      <c r="O525" s="801"/>
      <c r="P525" s="801"/>
      <c r="Q525" s="801"/>
      <c r="R525" s="801"/>
      <c r="S525" s="801"/>
      <c r="T525" s="801"/>
      <c r="U525" s="801"/>
      <c r="V525" s="801"/>
    </row>
    <row r="526" spans="1:22" ht="14.5" hidden="1">
      <c r="A526" s="794"/>
      <c r="B526" s="814"/>
      <c r="C526" s="797"/>
      <c r="D526" s="813"/>
      <c r="E526" s="794"/>
      <c r="F526" s="825"/>
      <c r="G526" s="801"/>
      <c r="H526" s="801"/>
      <c r="I526" s="801"/>
      <c r="J526" s="801"/>
      <c r="K526" s="801"/>
      <c r="L526" s="794"/>
      <c r="M526" s="794"/>
      <c r="N526" s="794"/>
      <c r="O526" s="794"/>
      <c r="P526" s="794"/>
      <c r="Q526" s="794"/>
      <c r="R526" s="794"/>
      <c r="S526" s="794"/>
      <c r="T526" s="794"/>
      <c r="U526" s="794"/>
      <c r="V526" s="794"/>
    </row>
    <row r="527" spans="1:22" ht="14.5" hidden="1">
      <c r="A527" s="818" t="s">
        <v>4111</v>
      </c>
      <c r="B527" s="876" t="s">
        <v>1346</v>
      </c>
      <c r="C527" s="803" t="s">
        <v>3577</v>
      </c>
      <c r="D527" s="818" t="s">
        <v>4112</v>
      </c>
      <c r="E527" s="818" t="s">
        <v>1352</v>
      </c>
      <c r="F527" s="818" t="s">
        <v>4113</v>
      </c>
      <c r="G527" s="818"/>
      <c r="H527" s="818"/>
      <c r="I527" s="818"/>
      <c r="J527" s="818"/>
      <c r="K527" s="818"/>
      <c r="L527" s="818"/>
      <c r="M527" s="818"/>
      <c r="N527" s="818"/>
      <c r="O527" s="818"/>
      <c r="P527" s="818"/>
      <c r="Q527" s="818"/>
      <c r="R527" s="818"/>
      <c r="S527" s="818"/>
      <c r="T527" s="818"/>
      <c r="U527" s="818"/>
      <c r="V527" s="818"/>
    </row>
    <row r="528" spans="1:22" ht="14.5" hidden="1">
      <c r="A528" s="879"/>
      <c r="B528" s="880" t="s">
        <v>1359</v>
      </c>
      <c r="C528" s="803" t="s">
        <v>3577</v>
      </c>
      <c r="D528" s="818" t="s">
        <v>4114</v>
      </c>
      <c r="E528" s="818" t="s">
        <v>1352</v>
      </c>
      <c r="F528" s="818" t="s">
        <v>4113</v>
      </c>
      <c r="G528" s="818"/>
      <c r="H528" s="818"/>
      <c r="I528" s="818"/>
      <c r="J528" s="818"/>
      <c r="K528" s="818"/>
      <c r="L528" s="818"/>
      <c r="M528" s="818"/>
      <c r="N528" s="818"/>
      <c r="O528" s="818"/>
      <c r="P528" s="818"/>
      <c r="Q528" s="818"/>
      <c r="R528" s="818"/>
      <c r="S528" s="818"/>
      <c r="T528" s="818"/>
      <c r="U528" s="818"/>
      <c r="V528" s="818"/>
    </row>
    <row r="529" spans="1:22" ht="14.5" hidden="1">
      <c r="A529" s="879"/>
      <c r="B529" s="880" t="s">
        <v>1369</v>
      </c>
      <c r="C529" s="803" t="s">
        <v>3577</v>
      </c>
      <c r="D529" s="818" t="s">
        <v>4115</v>
      </c>
      <c r="E529" s="818" t="s">
        <v>1352</v>
      </c>
      <c r="F529" s="818" t="s">
        <v>4113</v>
      </c>
      <c r="G529" s="818"/>
      <c r="H529" s="818"/>
      <c r="I529" s="818"/>
      <c r="J529" s="818"/>
      <c r="K529" s="818"/>
      <c r="L529" s="818"/>
      <c r="M529" s="818"/>
      <c r="N529" s="818"/>
      <c r="O529" s="818"/>
      <c r="P529" s="818"/>
      <c r="Q529" s="818"/>
      <c r="R529" s="818"/>
      <c r="S529" s="818"/>
      <c r="T529" s="818"/>
      <c r="U529" s="818"/>
      <c r="V529" s="818"/>
    </row>
    <row r="530" spans="1:22" ht="14.5" hidden="1">
      <c r="A530" s="879"/>
      <c r="B530" s="880" t="s">
        <v>1377</v>
      </c>
      <c r="C530" s="803" t="s">
        <v>3577</v>
      </c>
      <c r="D530" s="818" t="s">
        <v>4116</v>
      </c>
      <c r="E530" s="818" t="s">
        <v>1352</v>
      </c>
      <c r="F530" s="818" t="s">
        <v>4113</v>
      </c>
      <c r="G530" s="818"/>
      <c r="H530" s="818"/>
      <c r="I530" s="818"/>
      <c r="J530" s="818"/>
      <c r="K530" s="818"/>
      <c r="L530" s="818"/>
      <c r="M530" s="818"/>
      <c r="N530" s="818"/>
      <c r="O530" s="818"/>
      <c r="P530" s="818"/>
      <c r="Q530" s="818"/>
      <c r="R530" s="818"/>
      <c r="S530" s="818"/>
      <c r="T530" s="818"/>
      <c r="U530" s="818"/>
      <c r="V530" s="818"/>
    </row>
    <row r="531" spans="1:22" ht="14.5" hidden="1">
      <c r="A531" s="879"/>
      <c r="B531" s="880" t="s">
        <v>1388</v>
      </c>
      <c r="C531" s="803" t="s">
        <v>3577</v>
      </c>
      <c r="D531" s="818" t="s">
        <v>1390</v>
      </c>
      <c r="E531" s="818" t="s">
        <v>1352</v>
      </c>
      <c r="F531" s="818" t="s">
        <v>4113</v>
      </c>
      <c r="G531" s="818"/>
      <c r="H531" s="818"/>
      <c r="I531" s="818"/>
      <c r="J531" s="818"/>
      <c r="K531" s="818"/>
      <c r="L531" s="818"/>
      <c r="M531" s="818"/>
      <c r="N531" s="818"/>
      <c r="O531" s="818"/>
      <c r="P531" s="818"/>
      <c r="Q531" s="818"/>
      <c r="R531" s="818"/>
      <c r="S531" s="818"/>
      <c r="T531" s="818"/>
      <c r="U531" s="818"/>
      <c r="V531" s="818"/>
    </row>
    <row r="532" spans="1:22" ht="14.5" hidden="1">
      <c r="A532" s="879"/>
      <c r="B532" s="880" t="s">
        <v>1397</v>
      </c>
      <c r="C532" s="803" t="s">
        <v>3577</v>
      </c>
      <c r="D532" s="818" t="s">
        <v>4117</v>
      </c>
      <c r="E532" s="818" t="s">
        <v>1352</v>
      </c>
      <c r="F532" s="818" t="s">
        <v>4113</v>
      </c>
      <c r="G532" s="818"/>
      <c r="H532" s="818"/>
      <c r="I532" s="818"/>
      <c r="J532" s="818"/>
      <c r="K532" s="818"/>
      <c r="L532" s="818"/>
      <c r="M532" s="818"/>
      <c r="N532" s="818"/>
      <c r="O532" s="818"/>
      <c r="P532" s="818"/>
      <c r="Q532" s="818"/>
      <c r="R532" s="818"/>
      <c r="S532" s="818"/>
      <c r="T532" s="818"/>
      <c r="U532" s="818"/>
      <c r="V532" s="818"/>
    </row>
    <row r="533" spans="1:22" ht="14.5" hidden="1">
      <c r="A533" s="879"/>
      <c r="B533" s="876" t="s">
        <v>1408</v>
      </c>
      <c r="C533" s="803" t="s">
        <v>3577</v>
      </c>
      <c r="D533" s="818" t="s">
        <v>4118</v>
      </c>
      <c r="E533" s="818" t="s">
        <v>136</v>
      </c>
      <c r="F533" s="818" t="s">
        <v>4113</v>
      </c>
      <c r="G533" s="818"/>
      <c r="H533" s="818"/>
      <c r="I533" s="818"/>
      <c r="J533" s="818"/>
      <c r="K533" s="818"/>
      <c r="L533" s="818"/>
      <c r="M533" s="818"/>
      <c r="N533" s="818"/>
      <c r="O533" s="818"/>
      <c r="P533" s="818"/>
      <c r="Q533" s="818"/>
      <c r="R533" s="818"/>
      <c r="S533" s="818"/>
      <c r="T533" s="818"/>
      <c r="U533" s="818"/>
      <c r="V533" s="818"/>
    </row>
    <row r="534" spans="1:22" ht="14.5" hidden="1">
      <c r="A534" s="879"/>
      <c r="B534" s="876" t="s">
        <v>1419</v>
      </c>
      <c r="C534" s="803" t="s">
        <v>3577</v>
      </c>
      <c r="D534" s="818" t="s">
        <v>1421</v>
      </c>
      <c r="E534" s="818" t="s">
        <v>136</v>
      </c>
      <c r="F534" s="818" t="s">
        <v>4113</v>
      </c>
      <c r="G534" s="818"/>
      <c r="H534" s="818"/>
      <c r="I534" s="818"/>
      <c r="J534" s="818"/>
      <c r="K534" s="818"/>
      <c r="L534" s="818"/>
      <c r="M534" s="818"/>
      <c r="N534" s="818"/>
      <c r="O534" s="818"/>
      <c r="P534" s="818"/>
      <c r="Q534" s="818"/>
      <c r="R534" s="818"/>
      <c r="S534" s="818"/>
      <c r="T534" s="818"/>
      <c r="U534" s="818"/>
      <c r="V534" s="818"/>
    </row>
    <row r="535" spans="1:22" ht="14.5" hidden="1">
      <c r="A535" s="879"/>
      <c r="B535" s="880" t="s">
        <v>1757</v>
      </c>
      <c r="C535" s="803" t="s">
        <v>3577</v>
      </c>
      <c r="D535" s="818" t="s">
        <v>4119</v>
      </c>
      <c r="E535" s="818" t="s">
        <v>1762</v>
      </c>
      <c r="F535" s="818" t="s">
        <v>4113</v>
      </c>
      <c r="G535" s="818"/>
      <c r="H535" s="818"/>
      <c r="I535" s="818"/>
      <c r="J535" s="818"/>
      <c r="K535" s="818"/>
      <c r="L535" s="818"/>
      <c r="M535" s="818"/>
      <c r="N535" s="818"/>
      <c r="O535" s="818"/>
      <c r="P535" s="818"/>
      <c r="Q535" s="818"/>
      <c r="R535" s="818"/>
      <c r="S535" s="818"/>
      <c r="T535" s="818"/>
      <c r="U535" s="818"/>
      <c r="V535" s="818"/>
    </row>
    <row r="536" spans="1:22" ht="14.5" hidden="1">
      <c r="A536" s="879"/>
      <c r="B536" s="880" t="s">
        <v>1767</v>
      </c>
      <c r="C536" s="803" t="s">
        <v>3577</v>
      </c>
      <c r="D536" s="818" t="s">
        <v>3670</v>
      </c>
      <c r="E536" s="818" t="s">
        <v>1762</v>
      </c>
      <c r="F536" s="818" t="s">
        <v>4113</v>
      </c>
      <c r="G536" s="818"/>
      <c r="H536" s="818"/>
      <c r="I536" s="818"/>
      <c r="J536" s="818"/>
      <c r="K536" s="818"/>
      <c r="L536" s="818"/>
      <c r="M536" s="818"/>
      <c r="N536" s="818"/>
      <c r="O536" s="818"/>
      <c r="P536" s="818"/>
      <c r="Q536" s="818"/>
      <c r="R536" s="818"/>
      <c r="S536" s="818"/>
      <c r="T536" s="818"/>
      <c r="U536" s="818"/>
      <c r="V536" s="818"/>
    </row>
    <row r="537" spans="1:22" ht="14.5" hidden="1">
      <c r="A537" s="879"/>
      <c r="B537" s="880" t="s">
        <v>1777</v>
      </c>
      <c r="C537" s="803" t="s">
        <v>3577</v>
      </c>
      <c r="D537" s="818" t="s">
        <v>3671</v>
      </c>
      <c r="E537" s="818" t="s">
        <v>106</v>
      </c>
      <c r="F537" s="818" t="s">
        <v>4113</v>
      </c>
      <c r="G537" s="818"/>
      <c r="H537" s="818"/>
      <c r="I537" s="818"/>
      <c r="J537" s="818"/>
      <c r="K537" s="818"/>
      <c r="L537" s="818"/>
      <c r="M537" s="818"/>
      <c r="N537" s="818"/>
      <c r="O537" s="818"/>
      <c r="P537" s="818"/>
      <c r="Q537" s="818"/>
      <c r="R537" s="818"/>
      <c r="S537" s="818"/>
      <c r="T537" s="818"/>
      <c r="U537" s="818"/>
      <c r="V537" s="818"/>
    </row>
    <row r="538" spans="1:22" ht="14.5" hidden="1">
      <c r="A538" s="879"/>
      <c r="B538" s="880" t="s">
        <v>1784</v>
      </c>
      <c r="C538" s="803" t="s">
        <v>3577</v>
      </c>
      <c r="D538" s="818" t="s">
        <v>3672</v>
      </c>
      <c r="E538" s="818" t="s">
        <v>106</v>
      </c>
      <c r="F538" s="818" t="s">
        <v>4113</v>
      </c>
      <c r="G538" s="818"/>
      <c r="H538" s="818"/>
      <c r="I538" s="818"/>
      <c r="J538" s="818"/>
      <c r="K538" s="818"/>
      <c r="L538" s="818"/>
      <c r="M538" s="818"/>
      <c r="N538" s="818"/>
      <c r="O538" s="818"/>
      <c r="P538" s="818"/>
      <c r="Q538" s="818"/>
      <c r="R538" s="818"/>
      <c r="S538" s="818"/>
      <c r="T538" s="818"/>
      <c r="U538" s="818"/>
      <c r="V538" s="818"/>
    </row>
    <row r="539" spans="1:22" ht="14.5" hidden="1">
      <c r="A539" s="879"/>
      <c r="B539" s="880" t="s">
        <v>1792</v>
      </c>
      <c r="C539" s="803" t="s">
        <v>3577</v>
      </c>
      <c r="D539" s="818" t="s">
        <v>3673</v>
      </c>
      <c r="E539" s="818" t="s">
        <v>106</v>
      </c>
      <c r="F539" s="818" t="s">
        <v>4113</v>
      </c>
      <c r="G539" s="818"/>
      <c r="H539" s="818"/>
      <c r="I539" s="818"/>
      <c r="J539" s="818"/>
      <c r="K539" s="818"/>
      <c r="L539" s="818"/>
      <c r="M539" s="818"/>
      <c r="N539" s="818"/>
      <c r="O539" s="818"/>
      <c r="P539" s="818"/>
      <c r="Q539" s="818"/>
      <c r="R539" s="818"/>
      <c r="S539" s="818"/>
      <c r="T539" s="818"/>
      <c r="U539" s="818"/>
      <c r="V539" s="818"/>
    </row>
    <row r="540" spans="1:22" ht="14.5" hidden="1">
      <c r="A540" s="879"/>
      <c r="B540" s="880" t="s">
        <v>1801</v>
      </c>
      <c r="C540" s="803" t="s">
        <v>3577</v>
      </c>
      <c r="D540" s="818" t="s">
        <v>3710</v>
      </c>
      <c r="E540" s="818" t="s">
        <v>1762</v>
      </c>
      <c r="F540" s="818" t="s">
        <v>4113</v>
      </c>
      <c r="G540" s="818"/>
      <c r="H540" s="818"/>
      <c r="I540" s="818"/>
      <c r="J540" s="818"/>
      <c r="K540" s="818"/>
      <c r="L540" s="818"/>
      <c r="M540" s="818"/>
      <c r="N540" s="818"/>
      <c r="O540" s="818"/>
      <c r="P540" s="818"/>
      <c r="Q540" s="818"/>
      <c r="R540" s="818"/>
      <c r="S540" s="818"/>
      <c r="T540" s="818"/>
      <c r="U540" s="818"/>
      <c r="V540" s="818"/>
    </row>
    <row r="541" spans="1:22" ht="14.5" hidden="1">
      <c r="A541" s="879"/>
      <c r="B541" s="880" t="s">
        <v>1811</v>
      </c>
      <c r="C541" s="803" t="s">
        <v>3577</v>
      </c>
      <c r="D541" s="818" t="s">
        <v>3712</v>
      </c>
      <c r="E541" s="818" t="s">
        <v>1762</v>
      </c>
      <c r="F541" s="818" t="s">
        <v>4113</v>
      </c>
      <c r="G541" s="818"/>
      <c r="H541" s="818"/>
      <c r="I541" s="818"/>
      <c r="J541" s="818"/>
      <c r="K541" s="818"/>
      <c r="L541" s="818"/>
      <c r="M541" s="818"/>
      <c r="N541" s="818"/>
      <c r="O541" s="818"/>
      <c r="P541" s="818"/>
      <c r="Q541" s="818"/>
      <c r="R541" s="818"/>
      <c r="S541" s="818"/>
      <c r="T541" s="818"/>
      <c r="U541" s="818"/>
      <c r="V541" s="818"/>
    </row>
    <row r="542" spans="1:22" ht="14.5" hidden="1">
      <c r="A542" s="879"/>
      <c r="B542" s="876" t="s">
        <v>1844</v>
      </c>
      <c r="C542" s="803" t="s">
        <v>3577</v>
      </c>
      <c r="D542" s="818" t="s">
        <v>1846</v>
      </c>
      <c r="E542" s="818" t="s">
        <v>1850</v>
      </c>
      <c r="F542" s="818" t="s">
        <v>4113</v>
      </c>
      <c r="G542" s="818"/>
      <c r="H542" s="818"/>
      <c r="I542" s="818"/>
      <c r="J542" s="818"/>
      <c r="K542" s="818"/>
      <c r="L542" s="818"/>
      <c r="M542" s="818"/>
      <c r="N542" s="818"/>
      <c r="O542" s="818"/>
      <c r="P542" s="818"/>
      <c r="Q542" s="818"/>
      <c r="R542" s="818"/>
      <c r="S542" s="818"/>
      <c r="T542" s="818"/>
      <c r="U542" s="818"/>
      <c r="V542" s="818"/>
    </row>
    <row r="543" spans="1:22" ht="14.5" hidden="1">
      <c r="A543" s="879"/>
      <c r="B543" s="876" t="s">
        <v>1854</v>
      </c>
      <c r="C543" s="803" t="s">
        <v>3577</v>
      </c>
      <c r="D543" s="818" t="s">
        <v>1856</v>
      </c>
      <c r="E543" s="818" t="s">
        <v>1850</v>
      </c>
      <c r="F543" s="818" t="s">
        <v>4113</v>
      </c>
      <c r="G543" s="818"/>
      <c r="H543" s="818"/>
      <c r="I543" s="818"/>
      <c r="J543" s="818"/>
      <c r="K543" s="818"/>
      <c r="L543" s="818"/>
      <c r="M543" s="818"/>
      <c r="N543" s="818"/>
      <c r="O543" s="818"/>
      <c r="P543" s="818"/>
      <c r="Q543" s="818"/>
      <c r="R543" s="818"/>
      <c r="S543" s="818"/>
      <c r="T543" s="818"/>
      <c r="U543" s="818"/>
      <c r="V543" s="818"/>
    </row>
    <row r="544" spans="1:22" ht="14.5" hidden="1">
      <c r="A544" s="879"/>
      <c r="B544" s="880" t="s">
        <v>2199</v>
      </c>
      <c r="C544" s="803" t="s">
        <v>3577</v>
      </c>
      <c r="D544" s="818" t="s">
        <v>4039</v>
      </c>
      <c r="E544" s="818" t="s">
        <v>1823</v>
      </c>
      <c r="F544" s="818" t="s">
        <v>4113</v>
      </c>
      <c r="G544" s="818"/>
      <c r="H544" s="818"/>
      <c r="I544" s="818"/>
      <c r="J544" s="818"/>
      <c r="K544" s="818"/>
      <c r="L544" s="818"/>
      <c r="M544" s="818"/>
      <c r="N544" s="818"/>
      <c r="O544" s="818"/>
      <c r="P544" s="818"/>
      <c r="Q544" s="818"/>
      <c r="R544" s="818"/>
      <c r="S544" s="818"/>
      <c r="T544" s="818"/>
      <c r="U544" s="818"/>
      <c r="V544" s="818"/>
    </row>
    <row r="545" spans="1:22" ht="14.5" hidden="1">
      <c r="A545" s="879"/>
      <c r="B545" s="876"/>
      <c r="C545" s="850"/>
      <c r="D545" s="818"/>
      <c r="E545" s="818"/>
      <c r="F545" s="818"/>
      <c r="G545" s="818"/>
      <c r="H545" s="818"/>
      <c r="I545" s="818"/>
      <c r="J545" s="818"/>
      <c r="K545" s="818"/>
      <c r="L545" s="818"/>
      <c r="M545" s="818"/>
      <c r="N545" s="818"/>
      <c r="O545" s="818"/>
      <c r="P545" s="818"/>
      <c r="Q545" s="818"/>
      <c r="R545" s="818"/>
      <c r="S545" s="818"/>
      <c r="T545" s="818"/>
      <c r="U545" s="818"/>
      <c r="V545" s="818"/>
    </row>
    <row r="546" spans="1:22" ht="14.5">
      <c r="A546" s="873">
        <v>46054</v>
      </c>
      <c r="B546" s="810"/>
      <c r="C546" s="811"/>
      <c r="D546" s="792"/>
      <c r="E546" s="792"/>
      <c r="F546" s="792"/>
      <c r="G546" s="794"/>
      <c r="H546" s="794"/>
      <c r="I546" s="794"/>
      <c r="J546" s="794"/>
      <c r="K546" s="794"/>
      <c r="L546" s="794"/>
      <c r="M546" s="794"/>
      <c r="N546" s="794"/>
      <c r="O546" s="794"/>
      <c r="P546" s="794"/>
      <c r="Q546" s="794"/>
      <c r="R546" s="794"/>
      <c r="S546" s="794"/>
      <c r="T546" s="794"/>
      <c r="U546" s="794"/>
      <c r="V546" s="794"/>
    </row>
    <row r="547" spans="1:22" ht="14.5" hidden="1">
      <c r="A547" s="794" t="s">
        <v>3646</v>
      </c>
      <c r="B547" s="881" t="s">
        <v>2218</v>
      </c>
      <c r="C547" s="803" t="s">
        <v>3577</v>
      </c>
      <c r="D547" s="818" t="s">
        <v>1242</v>
      </c>
      <c r="E547" s="818" t="s">
        <v>1213</v>
      </c>
      <c r="F547" s="849" t="s">
        <v>4120</v>
      </c>
      <c r="G547" s="818" t="s">
        <v>4121</v>
      </c>
      <c r="H547" s="794" t="s">
        <v>4122</v>
      </c>
      <c r="I547" s="834" t="s">
        <v>4123</v>
      </c>
      <c r="J547" s="818" t="s">
        <v>4124</v>
      </c>
      <c r="K547" s="818" t="s">
        <v>4043</v>
      </c>
      <c r="L547" s="794"/>
      <c r="M547" s="794"/>
      <c r="N547" s="794"/>
      <c r="O547" s="794"/>
      <c r="P547" s="794"/>
      <c r="Q547" s="794"/>
      <c r="R547" s="794"/>
      <c r="S547" s="794"/>
      <c r="T547" s="794"/>
      <c r="U547" s="794"/>
      <c r="V547" s="794"/>
    </row>
    <row r="548" spans="1:22" ht="14.5" hidden="1">
      <c r="A548" s="794"/>
      <c r="B548" s="882" t="s">
        <v>2223</v>
      </c>
      <c r="C548" s="796" t="s">
        <v>54</v>
      </c>
      <c r="D548" s="794" t="s">
        <v>2225</v>
      </c>
      <c r="E548" s="818" t="s">
        <v>272</v>
      </c>
      <c r="F548" s="818" t="s">
        <v>4125</v>
      </c>
      <c r="G548" s="794" t="s">
        <v>4032</v>
      </c>
      <c r="H548" s="794" t="s">
        <v>4033</v>
      </c>
      <c r="I548" s="794" t="s">
        <v>4126</v>
      </c>
      <c r="J548" s="794" t="s">
        <v>3850</v>
      </c>
      <c r="K548" s="818" t="s">
        <v>4127</v>
      </c>
      <c r="L548" s="818" t="s">
        <v>4043</v>
      </c>
      <c r="M548" s="794" t="s">
        <v>4128</v>
      </c>
      <c r="N548" s="794"/>
      <c r="O548" s="794"/>
      <c r="P548" s="794"/>
      <c r="Q548" s="794"/>
      <c r="R548" s="794"/>
      <c r="S548" s="794"/>
      <c r="T548" s="794"/>
      <c r="U548" s="794"/>
      <c r="V548" s="794"/>
    </row>
    <row r="549" spans="1:22" ht="14.5" hidden="1">
      <c r="A549" s="801"/>
      <c r="B549" s="816"/>
      <c r="C549" s="803"/>
      <c r="D549" s="801"/>
      <c r="E549" s="801"/>
      <c r="F549" s="849"/>
      <c r="G549" s="818"/>
      <c r="H549" s="818"/>
      <c r="I549" s="818"/>
      <c r="J549" s="818"/>
      <c r="K549" s="818"/>
      <c r="L549" s="801"/>
      <c r="M549" s="801"/>
      <c r="N549" s="801"/>
      <c r="O549" s="801"/>
      <c r="P549" s="801"/>
      <c r="Q549" s="801"/>
      <c r="R549" s="801"/>
      <c r="S549" s="801"/>
      <c r="T549" s="801"/>
      <c r="U549" s="801"/>
      <c r="V549" s="801"/>
    </row>
    <row r="550" spans="1:22" ht="14.5" hidden="1">
      <c r="A550" s="801" t="s">
        <v>32</v>
      </c>
      <c r="B550" s="881" t="s">
        <v>331</v>
      </c>
      <c r="C550" s="803" t="s">
        <v>3577</v>
      </c>
      <c r="D550" s="801" t="s">
        <v>333</v>
      </c>
      <c r="E550" s="801" t="s">
        <v>336</v>
      </c>
      <c r="F550" s="849" t="s">
        <v>4129</v>
      </c>
      <c r="G550" s="818" t="s">
        <v>4130</v>
      </c>
      <c r="H550" s="818" t="s">
        <v>4131</v>
      </c>
      <c r="I550" s="818" t="s">
        <v>4132</v>
      </c>
      <c r="J550" s="818" t="s">
        <v>4133</v>
      </c>
      <c r="K550" s="818" t="s">
        <v>4043</v>
      </c>
      <c r="L550" s="801"/>
      <c r="M550" s="801"/>
      <c r="N550" s="801"/>
      <c r="O550" s="801"/>
      <c r="P550" s="801"/>
      <c r="Q550" s="801"/>
      <c r="R550" s="801"/>
      <c r="S550" s="801"/>
      <c r="T550" s="801"/>
      <c r="U550" s="801"/>
      <c r="V550" s="801"/>
    </row>
    <row r="551" spans="1:22" ht="14.5" hidden="1">
      <c r="A551" s="794"/>
      <c r="B551" s="799"/>
      <c r="C551" s="794"/>
      <c r="D551" s="794"/>
      <c r="E551" s="794"/>
      <c r="F551" s="825"/>
      <c r="G551" s="794"/>
      <c r="H551" s="794"/>
      <c r="I551" s="794"/>
      <c r="J551" s="794"/>
      <c r="K551" s="794"/>
      <c r="L551" s="794"/>
      <c r="M551" s="794"/>
      <c r="N551" s="794"/>
      <c r="O551" s="794"/>
      <c r="P551" s="794"/>
      <c r="Q551" s="794"/>
      <c r="R551" s="794"/>
      <c r="S551" s="794"/>
      <c r="T551" s="794"/>
      <c r="U551" s="794"/>
      <c r="V551" s="794"/>
    </row>
    <row r="552" spans="1:22" ht="14.5" hidden="1">
      <c r="A552" s="797" t="s">
        <v>1294</v>
      </c>
      <c r="B552" s="799" t="s">
        <v>1902</v>
      </c>
      <c r="C552" s="803" t="s">
        <v>3577</v>
      </c>
      <c r="D552" s="794" t="s">
        <v>4134</v>
      </c>
      <c r="E552" s="818" t="s">
        <v>200</v>
      </c>
      <c r="F552" s="849" t="s">
        <v>4135</v>
      </c>
      <c r="G552" s="794" t="s">
        <v>4080</v>
      </c>
      <c r="H552" s="794"/>
      <c r="I552" s="794"/>
      <c r="J552" s="794"/>
      <c r="K552" s="794"/>
      <c r="L552" s="794"/>
      <c r="M552" s="794"/>
      <c r="N552" s="794"/>
      <c r="O552" s="794"/>
      <c r="P552" s="794"/>
      <c r="Q552" s="794"/>
      <c r="R552" s="794"/>
      <c r="S552" s="794"/>
      <c r="T552" s="794"/>
      <c r="U552" s="794"/>
      <c r="V552" s="794"/>
    </row>
    <row r="553" spans="1:22" ht="14.5" hidden="1">
      <c r="A553" s="797" t="s">
        <v>1294</v>
      </c>
      <c r="B553" s="799" t="s">
        <v>1334</v>
      </c>
      <c r="C553" s="803" t="s">
        <v>3577</v>
      </c>
      <c r="D553" s="794" t="s">
        <v>4136</v>
      </c>
      <c r="E553" s="818" t="s">
        <v>106</v>
      </c>
      <c r="F553" s="883" t="s">
        <v>4137</v>
      </c>
      <c r="G553" s="794" t="s">
        <v>4083</v>
      </c>
      <c r="H553" s="794"/>
      <c r="I553" s="794"/>
      <c r="J553" s="794"/>
      <c r="K553" s="794"/>
      <c r="L553" s="794"/>
      <c r="M553" s="794"/>
      <c r="N553" s="794"/>
      <c r="O553" s="794"/>
      <c r="P553" s="794"/>
      <c r="Q553" s="794"/>
      <c r="R553" s="794"/>
      <c r="S553" s="794"/>
      <c r="T553" s="794"/>
      <c r="U553" s="794"/>
      <c r="V553" s="794"/>
    </row>
    <row r="554" spans="1:22" ht="14.5">
      <c r="A554" s="797" t="s">
        <v>1294</v>
      </c>
      <c r="B554" s="799" t="s">
        <v>1450</v>
      </c>
      <c r="C554" s="796" t="s">
        <v>54</v>
      </c>
      <c r="D554" s="794" t="s">
        <v>1452</v>
      </c>
      <c r="E554" s="794" t="s">
        <v>241</v>
      </c>
      <c r="F554" s="818" t="s">
        <v>4138</v>
      </c>
      <c r="G554" s="794" t="s">
        <v>4083</v>
      </c>
      <c r="H554" s="794"/>
      <c r="I554" s="794"/>
      <c r="J554" s="794"/>
      <c r="K554" s="794"/>
      <c r="L554" s="794"/>
      <c r="M554" s="794"/>
      <c r="N554" s="794"/>
      <c r="O554" s="794"/>
      <c r="P554" s="794"/>
      <c r="Q554" s="794"/>
      <c r="R554" s="794"/>
      <c r="S554" s="794"/>
      <c r="T554" s="794"/>
      <c r="U554" s="794"/>
      <c r="V554" s="794"/>
    </row>
    <row r="555" spans="1:22" ht="14.5">
      <c r="A555" s="794"/>
      <c r="B555" s="799"/>
      <c r="C555" s="794"/>
      <c r="D555" s="794"/>
      <c r="E555" s="794"/>
      <c r="F555" s="825"/>
      <c r="G555" s="794"/>
      <c r="H555" s="794"/>
      <c r="I555" s="794"/>
      <c r="J555" s="794"/>
      <c r="K555" s="794"/>
      <c r="L555" s="794"/>
      <c r="M555" s="794"/>
      <c r="N555" s="794"/>
      <c r="O555" s="794"/>
      <c r="P555" s="794"/>
      <c r="Q555" s="794"/>
      <c r="R555" s="794"/>
      <c r="S555" s="794"/>
      <c r="T555" s="794"/>
      <c r="U555" s="794"/>
      <c r="V555" s="794"/>
    </row>
    <row r="556" spans="1:22" ht="14.5" hidden="1">
      <c r="A556" s="794" t="s">
        <v>4085</v>
      </c>
      <c r="B556" s="799" t="s">
        <v>1208</v>
      </c>
      <c r="C556" s="803" t="s">
        <v>3577</v>
      </c>
      <c r="D556" s="818" t="s">
        <v>1210</v>
      </c>
      <c r="E556" s="794" t="s">
        <v>1200</v>
      </c>
      <c r="F556" s="849" t="s">
        <v>4139</v>
      </c>
      <c r="G556" s="818" t="s">
        <v>4051</v>
      </c>
      <c r="H556" s="818" t="s">
        <v>4140</v>
      </c>
      <c r="I556" s="818" t="s">
        <v>4053</v>
      </c>
      <c r="J556" s="818" t="s">
        <v>4141</v>
      </c>
      <c r="K556" s="794"/>
      <c r="L556" s="794"/>
      <c r="M556" s="794"/>
      <c r="N556" s="794"/>
      <c r="O556" s="794"/>
      <c r="P556" s="794"/>
      <c r="Q556" s="794"/>
      <c r="R556" s="794"/>
      <c r="S556" s="794"/>
      <c r="T556" s="794"/>
      <c r="U556" s="794"/>
      <c r="V556" s="794"/>
    </row>
    <row r="557" spans="1:22" ht="14.5" hidden="1">
      <c r="A557" s="794"/>
      <c r="B557" s="799" t="s">
        <v>3910</v>
      </c>
      <c r="C557" s="803" t="s">
        <v>3577</v>
      </c>
      <c r="D557" s="818" t="s">
        <v>1769</v>
      </c>
      <c r="E557" s="794" t="s">
        <v>1762</v>
      </c>
      <c r="F557" s="849" t="s">
        <v>4142</v>
      </c>
      <c r="G557" s="818" t="s">
        <v>4143</v>
      </c>
      <c r="H557" s="818" t="s">
        <v>4140</v>
      </c>
      <c r="I557" s="806" t="s">
        <v>4144</v>
      </c>
      <c r="J557" s="818"/>
      <c r="K557" s="794"/>
      <c r="L557" s="794"/>
      <c r="M557" s="794"/>
      <c r="N557" s="794"/>
      <c r="O557" s="794"/>
      <c r="P557" s="794"/>
      <c r="Q557" s="794"/>
      <c r="R557" s="794"/>
      <c r="S557" s="794"/>
      <c r="T557" s="794"/>
      <c r="U557" s="794"/>
      <c r="V557" s="794"/>
    </row>
    <row r="558" spans="1:22" ht="14.5" hidden="1">
      <c r="A558" s="794"/>
      <c r="B558" s="876" t="s">
        <v>644</v>
      </c>
      <c r="C558" s="796" t="s">
        <v>54</v>
      </c>
      <c r="D558" s="818" t="s">
        <v>646</v>
      </c>
      <c r="E558" s="818" t="s">
        <v>1509</v>
      </c>
      <c r="F558" s="849" t="s">
        <v>4145</v>
      </c>
      <c r="G558" s="794" t="s">
        <v>4051</v>
      </c>
      <c r="H558" s="794" t="s">
        <v>3981</v>
      </c>
      <c r="I558" s="794" t="s">
        <v>4053</v>
      </c>
      <c r="J558" s="794" t="s">
        <v>4146</v>
      </c>
      <c r="K558" s="818"/>
      <c r="L558" s="818"/>
      <c r="M558" s="818"/>
      <c r="N558" s="818"/>
      <c r="O558" s="818"/>
      <c r="P558" s="818"/>
      <c r="Q558" s="818"/>
      <c r="R558" s="818"/>
      <c r="S558" s="818"/>
      <c r="T558" s="818"/>
      <c r="U558" s="818"/>
      <c r="V558" s="818"/>
    </row>
    <row r="559" spans="1:22" ht="14.5" hidden="1">
      <c r="A559" s="879"/>
      <c r="B559" s="876" t="s">
        <v>1639</v>
      </c>
      <c r="C559" s="796" t="s">
        <v>54</v>
      </c>
      <c r="D559" s="818" t="s">
        <v>1641</v>
      </c>
      <c r="E559" s="818" t="s">
        <v>1509</v>
      </c>
      <c r="F559" s="849" t="s">
        <v>4147</v>
      </c>
      <c r="G559" s="794" t="s">
        <v>4051</v>
      </c>
      <c r="H559" s="794" t="s">
        <v>3981</v>
      </c>
      <c r="I559" s="794" t="s">
        <v>4053</v>
      </c>
      <c r="J559" s="806" t="s">
        <v>4146</v>
      </c>
      <c r="K559" s="818"/>
      <c r="L559" s="818"/>
      <c r="M559" s="818"/>
      <c r="N559" s="818"/>
      <c r="O559" s="818"/>
      <c r="P559" s="818"/>
      <c r="Q559" s="818"/>
      <c r="R559" s="818"/>
      <c r="S559" s="818"/>
      <c r="T559" s="818"/>
      <c r="U559" s="818"/>
      <c r="V559" s="818"/>
    </row>
    <row r="560" spans="1:22" ht="14.5" hidden="1">
      <c r="A560" s="794"/>
      <c r="B560" s="876" t="s">
        <v>1974</v>
      </c>
      <c r="C560" s="796" t="s">
        <v>54</v>
      </c>
      <c r="D560" s="794" t="s">
        <v>1976</v>
      </c>
      <c r="E560" s="794" t="s">
        <v>630</v>
      </c>
      <c r="F560" s="825" t="s">
        <v>4148</v>
      </c>
      <c r="G560" s="794"/>
      <c r="H560" s="794"/>
      <c r="I560" s="794"/>
      <c r="J560" s="794"/>
      <c r="K560" s="794"/>
      <c r="L560" s="794"/>
      <c r="M560" s="794"/>
      <c r="N560" s="794"/>
      <c r="O560" s="794"/>
      <c r="P560" s="794"/>
      <c r="Q560" s="794"/>
      <c r="R560" s="794"/>
      <c r="S560" s="794"/>
      <c r="T560" s="794"/>
      <c r="U560" s="794"/>
      <c r="V560" s="794"/>
    </row>
    <row r="561" spans="1:22" ht="14.5" hidden="1">
      <c r="A561" s="794"/>
      <c r="B561" s="876" t="s">
        <v>2097</v>
      </c>
      <c r="C561" s="796" t="s">
        <v>54</v>
      </c>
      <c r="D561" s="794" t="s">
        <v>2099</v>
      </c>
      <c r="E561" s="794" t="s">
        <v>630</v>
      </c>
      <c r="F561" s="825" t="s">
        <v>4149</v>
      </c>
      <c r="G561" s="818" t="s">
        <v>4051</v>
      </c>
      <c r="H561" s="818" t="s">
        <v>4140</v>
      </c>
      <c r="I561" s="818" t="s">
        <v>4053</v>
      </c>
      <c r="J561" s="818" t="s">
        <v>3850</v>
      </c>
      <c r="K561" s="794"/>
      <c r="L561" s="794"/>
      <c r="M561" s="794"/>
      <c r="N561" s="794"/>
      <c r="O561" s="794"/>
      <c r="P561" s="794"/>
      <c r="Q561" s="794"/>
      <c r="R561" s="794"/>
      <c r="S561" s="794"/>
      <c r="T561" s="794"/>
      <c r="U561" s="794"/>
      <c r="V561" s="794"/>
    </row>
    <row r="562" spans="1:22" ht="14.5" hidden="1">
      <c r="A562" s="794"/>
      <c r="B562" s="799"/>
      <c r="C562" s="794"/>
      <c r="D562" s="794"/>
      <c r="E562" s="794"/>
      <c r="F562" s="825"/>
      <c r="G562" s="794"/>
      <c r="H562" s="794"/>
      <c r="I562" s="794"/>
      <c r="J562" s="794"/>
      <c r="K562" s="794"/>
      <c r="L562" s="794"/>
      <c r="M562" s="794"/>
      <c r="N562" s="794"/>
      <c r="O562" s="794"/>
      <c r="P562" s="794"/>
      <c r="Q562" s="794"/>
      <c r="R562" s="794"/>
      <c r="S562" s="794"/>
      <c r="T562" s="794"/>
      <c r="U562" s="794"/>
      <c r="V562" s="794"/>
    </row>
    <row r="563" spans="1:22" ht="14.5" hidden="1">
      <c r="A563" s="794" t="s">
        <v>4150</v>
      </c>
      <c r="B563" s="881" t="s">
        <v>2218</v>
      </c>
      <c r="C563" s="803" t="s">
        <v>3577</v>
      </c>
      <c r="D563" s="818" t="s">
        <v>1242</v>
      </c>
      <c r="E563" s="818" t="s">
        <v>1213</v>
      </c>
      <c r="F563" s="849" t="s">
        <v>4151</v>
      </c>
      <c r="G563" s="818"/>
      <c r="H563" s="818"/>
      <c r="I563" s="818"/>
      <c r="J563" s="818"/>
      <c r="K563" s="818"/>
      <c r="L563" s="818"/>
      <c r="M563" s="794"/>
      <c r="N563" s="794"/>
      <c r="O563" s="794"/>
      <c r="P563" s="794"/>
      <c r="Q563" s="794"/>
      <c r="R563" s="794"/>
      <c r="S563" s="794"/>
      <c r="T563" s="794"/>
      <c r="U563" s="794"/>
      <c r="V563" s="794"/>
    </row>
    <row r="564" spans="1:22" ht="14.5">
      <c r="A564" s="794" t="s">
        <v>4150</v>
      </c>
      <c r="B564" s="799" t="s">
        <v>4152</v>
      </c>
      <c r="C564" s="796" t="s">
        <v>54</v>
      </c>
      <c r="D564" s="794" t="s">
        <v>4153</v>
      </c>
      <c r="E564" s="794" t="s">
        <v>869</v>
      </c>
      <c r="F564" s="825" t="s">
        <v>4154</v>
      </c>
      <c r="G564" s="818"/>
      <c r="H564" s="818"/>
      <c r="I564" s="818"/>
      <c r="J564" s="818"/>
      <c r="K564" s="818"/>
      <c r="L564" s="794"/>
      <c r="M564" s="794"/>
      <c r="N564" s="794"/>
      <c r="O564" s="794"/>
      <c r="P564" s="794"/>
      <c r="Q564" s="794"/>
      <c r="R564" s="794"/>
      <c r="S564" s="794"/>
      <c r="T564" s="794"/>
      <c r="U564" s="794"/>
      <c r="V564" s="794"/>
    </row>
    <row r="565" spans="1:22" ht="14.5" hidden="1">
      <c r="A565" s="794" t="s">
        <v>4150</v>
      </c>
      <c r="B565" s="881" t="s">
        <v>2223</v>
      </c>
      <c r="C565" s="796" t="s">
        <v>54</v>
      </c>
      <c r="D565" s="794" t="s">
        <v>2225</v>
      </c>
      <c r="E565" s="818" t="s">
        <v>272</v>
      </c>
      <c r="F565" s="818" t="s">
        <v>4155</v>
      </c>
      <c r="G565" s="794"/>
      <c r="H565" s="794"/>
      <c r="I565" s="794"/>
      <c r="J565" s="794"/>
      <c r="K565" s="794"/>
      <c r="L565" s="794"/>
      <c r="M565" s="794"/>
      <c r="N565" s="794"/>
      <c r="O565" s="794"/>
      <c r="P565" s="794"/>
      <c r="Q565" s="794"/>
      <c r="R565" s="794"/>
      <c r="S565" s="794"/>
      <c r="T565" s="794"/>
      <c r="U565" s="794"/>
      <c r="V565" s="794"/>
    </row>
    <row r="566" spans="1:22" ht="14.5" hidden="1">
      <c r="A566" s="794"/>
      <c r="B566" s="799"/>
      <c r="C566" s="794"/>
      <c r="D566" s="794"/>
      <c r="E566" s="794"/>
      <c r="F566" s="825"/>
      <c r="G566" s="794"/>
      <c r="H566" s="794"/>
      <c r="I566" s="794"/>
      <c r="J566" s="794"/>
      <c r="K566" s="794"/>
      <c r="L566" s="794"/>
      <c r="M566" s="794"/>
      <c r="N566" s="794"/>
      <c r="O566" s="794"/>
      <c r="P566" s="794"/>
      <c r="Q566" s="794"/>
      <c r="R566" s="794"/>
      <c r="S566" s="794"/>
      <c r="T566" s="794"/>
      <c r="U566" s="794"/>
      <c r="V566" s="794"/>
    </row>
    <row r="567" spans="1:22" ht="14.5" hidden="1">
      <c r="A567" s="801" t="s">
        <v>67</v>
      </c>
      <c r="B567" s="799" t="s">
        <v>1639</v>
      </c>
      <c r="C567" s="796" t="s">
        <v>54</v>
      </c>
      <c r="D567" s="794" t="s">
        <v>1641</v>
      </c>
      <c r="E567" s="794" t="s">
        <v>553</v>
      </c>
      <c r="F567" s="849" t="s">
        <v>4156</v>
      </c>
      <c r="G567" s="818" t="s">
        <v>4074</v>
      </c>
      <c r="H567" s="794" t="s">
        <v>46</v>
      </c>
      <c r="I567" s="794" t="s">
        <v>4084</v>
      </c>
      <c r="J567" s="794" t="s">
        <v>4075</v>
      </c>
      <c r="K567" s="806" t="s">
        <v>4006</v>
      </c>
      <c r="L567" s="818"/>
      <c r="M567" s="801"/>
      <c r="N567" s="794"/>
      <c r="O567" s="794"/>
      <c r="P567" s="794"/>
      <c r="Q567" s="794"/>
      <c r="R567" s="794"/>
      <c r="S567" s="794"/>
      <c r="T567" s="794"/>
      <c r="U567" s="794"/>
      <c r="V567" s="794"/>
    </row>
    <row r="568" spans="1:22" ht="14.5" hidden="1">
      <c r="A568" s="794"/>
      <c r="B568" s="799" t="s">
        <v>74</v>
      </c>
      <c r="C568" s="796" t="s">
        <v>54</v>
      </c>
      <c r="D568" s="818" t="s">
        <v>76</v>
      </c>
      <c r="E568" s="794" t="s">
        <v>64</v>
      </c>
      <c r="F568" s="849" t="s">
        <v>4157</v>
      </c>
      <c r="G568" s="794" t="s">
        <v>4083</v>
      </c>
      <c r="H568" s="794" t="s">
        <v>4074</v>
      </c>
      <c r="I568" s="794" t="s">
        <v>46</v>
      </c>
      <c r="J568" s="794" t="s">
        <v>4084</v>
      </c>
      <c r="K568" s="794" t="s">
        <v>4075</v>
      </c>
      <c r="L568" s="794" t="s">
        <v>4158</v>
      </c>
      <c r="M568" s="794" t="s">
        <v>4006</v>
      </c>
      <c r="N568" s="794"/>
      <c r="O568" s="794"/>
      <c r="P568" s="794"/>
      <c r="Q568" s="794"/>
      <c r="R568" s="794"/>
      <c r="S568" s="794"/>
      <c r="T568" s="794"/>
      <c r="U568" s="794"/>
      <c r="V568" s="794"/>
    </row>
    <row r="569" spans="1:22" ht="14.5" hidden="1">
      <c r="A569" s="794"/>
      <c r="B569" s="799" t="s">
        <v>961</v>
      </c>
      <c r="C569" s="796" t="s">
        <v>54</v>
      </c>
      <c r="D569" s="794" t="s">
        <v>963</v>
      </c>
      <c r="E569" s="794" t="s">
        <v>930</v>
      </c>
      <c r="F569" s="849" t="s">
        <v>4159</v>
      </c>
      <c r="G569" s="794" t="s">
        <v>4083</v>
      </c>
      <c r="H569" s="794" t="s">
        <v>4074</v>
      </c>
      <c r="I569" s="794" t="s">
        <v>46</v>
      </c>
      <c r="J569" s="794" t="s">
        <v>4084</v>
      </c>
      <c r="K569" s="794" t="s">
        <v>4075</v>
      </c>
      <c r="L569" s="794" t="s">
        <v>4158</v>
      </c>
      <c r="M569" s="794" t="s">
        <v>4160</v>
      </c>
      <c r="N569" s="794"/>
      <c r="O569" s="794"/>
      <c r="P569" s="794"/>
      <c r="Q569" s="794"/>
      <c r="R569" s="794"/>
      <c r="S569" s="794"/>
      <c r="T569" s="794"/>
      <c r="U569" s="794"/>
      <c r="V569" s="794"/>
    </row>
    <row r="570" spans="1:22" ht="14.5" hidden="1">
      <c r="A570" s="850"/>
      <c r="B570" s="816" t="s">
        <v>916</v>
      </c>
      <c r="C570" s="796" t="s">
        <v>54</v>
      </c>
      <c r="D570" s="818" t="s">
        <v>918</v>
      </c>
      <c r="E570" s="818" t="s">
        <v>920</v>
      </c>
      <c r="F570" s="849" t="s">
        <v>4161</v>
      </c>
      <c r="G570" s="794" t="s">
        <v>4083</v>
      </c>
      <c r="H570" s="794" t="s">
        <v>4074</v>
      </c>
      <c r="I570" s="794" t="s">
        <v>46</v>
      </c>
      <c r="J570" s="794" t="s">
        <v>4084</v>
      </c>
      <c r="K570" s="794" t="s">
        <v>4075</v>
      </c>
      <c r="L570" s="794" t="s">
        <v>4162</v>
      </c>
      <c r="M570" s="801"/>
      <c r="N570" s="818"/>
      <c r="O570" s="818"/>
      <c r="P570" s="818"/>
      <c r="Q570" s="818"/>
      <c r="R570" s="818"/>
      <c r="S570" s="818"/>
      <c r="T570" s="818"/>
      <c r="U570" s="818"/>
      <c r="V570" s="818"/>
    </row>
    <row r="571" spans="1:22" ht="14.5" hidden="1">
      <c r="A571" s="794"/>
      <c r="B571" s="799"/>
      <c r="C571" s="794"/>
      <c r="D571" s="813"/>
      <c r="E571" s="794"/>
      <c r="F571" s="794"/>
      <c r="G571" s="794"/>
      <c r="H571" s="794"/>
      <c r="I571" s="794"/>
      <c r="J571" s="794"/>
      <c r="K571" s="794"/>
      <c r="L571" s="794"/>
      <c r="M571" s="794"/>
      <c r="N571" s="794"/>
      <c r="O571" s="794"/>
      <c r="P571" s="794"/>
      <c r="Q571" s="794"/>
      <c r="R571" s="794"/>
      <c r="S571" s="794"/>
      <c r="T571" s="794"/>
      <c r="U571" s="794"/>
      <c r="V571" s="794"/>
    </row>
    <row r="572" spans="1:22" ht="14.5" hidden="1">
      <c r="A572" s="794" t="s">
        <v>3575</v>
      </c>
      <c r="B572" s="799" t="s">
        <v>1470</v>
      </c>
      <c r="C572" s="796" t="s">
        <v>54</v>
      </c>
      <c r="D572" s="794" t="s">
        <v>1472</v>
      </c>
      <c r="E572" s="794" t="s">
        <v>1474</v>
      </c>
      <c r="F572" s="825" t="s">
        <v>4163</v>
      </c>
      <c r="G572" s="794" t="s">
        <v>4164</v>
      </c>
      <c r="H572" s="794" t="s">
        <v>4165</v>
      </c>
      <c r="I572" s="794"/>
      <c r="J572" s="794"/>
      <c r="K572" s="794"/>
      <c r="L572" s="794"/>
      <c r="M572" s="794"/>
      <c r="N572" s="794"/>
      <c r="O572" s="794"/>
      <c r="P572" s="794"/>
      <c r="Q572" s="794"/>
      <c r="R572" s="794"/>
      <c r="S572" s="794"/>
      <c r="T572" s="794"/>
      <c r="U572" s="794"/>
      <c r="V572" s="794"/>
    </row>
    <row r="573" spans="1:22" ht="14.5" hidden="1">
      <c r="A573" s="878"/>
      <c r="B573" s="814" t="s">
        <v>1728</v>
      </c>
      <c r="C573" s="796" t="s">
        <v>54</v>
      </c>
      <c r="D573" s="813" t="s">
        <v>1730</v>
      </c>
      <c r="E573" s="794" t="s">
        <v>1705</v>
      </c>
      <c r="F573" s="825" t="s">
        <v>4163</v>
      </c>
      <c r="G573" s="794" t="s">
        <v>4164</v>
      </c>
      <c r="H573" s="794" t="s">
        <v>4165</v>
      </c>
      <c r="I573" s="794"/>
      <c r="J573" s="794"/>
      <c r="K573" s="794"/>
      <c r="L573" s="794"/>
      <c r="M573" s="794"/>
      <c r="N573" s="794"/>
      <c r="O573" s="794"/>
      <c r="P573" s="794"/>
      <c r="Q573" s="794"/>
      <c r="R573" s="794"/>
      <c r="S573" s="794"/>
      <c r="T573" s="794"/>
      <c r="U573" s="794"/>
      <c r="V573" s="794"/>
    </row>
    <row r="574" spans="1:22" ht="14.5" hidden="1">
      <c r="A574" s="878"/>
      <c r="B574" s="814" t="s">
        <v>1894</v>
      </c>
      <c r="C574" s="796" t="s">
        <v>54</v>
      </c>
      <c r="D574" s="813" t="s">
        <v>1896</v>
      </c>
      <c r="E574" s="794" t="s">
        <v>553</v>
      </c>
      <c r="F574" s="825" t="s">
        <v>4163</v>
      </c>
      <c r="G574" s="794" t="s">
        <v>4164</v>
      </c>
      <c r="H574" s="794" t="s">
        <v>4165</v>
      </c>
      <c r="I574" s="794"/>
      <c r="J574" s="794"/>
      <c r="K574" s="794"/>
      <c r="L574" s="794" t="s">
        <v>802</v>
      </c>
      <c r="M574" s="794"/>
      <c r="N574" s="794"/>
      <c r="O574" s="794"/>
      <c r="P574" s="794"/>
      <c r="Q574" s="794"/>
      <c r="R574" s="794"/>
      <c r="S574" s="794"/>
      <c r="T574" s="794"/>
      <c r="U574" s="794"/>
      <c r="V574" s="794"/>
    </row>
    <row r="575" spans="1:22" ht="14.5" hidden="1">
      <c r="A575" s="879"/>
      <c r="B575" s="876"/>
      <c r="C575" s="850"/>
      <c r="D575" s="818"/>
      <c r="E575" s="818"/>
      <c r="F575" s="818"/>
      <c r="G575" s="818"/>
      <c r="H575" s="818"/>
      <c r="I575" s="818"/>
      <c r="J575" s="818"/>
      <c r="K575" s="818"/>
      <c r="L575" s="818"/>
      <c r="M575" s="818"/>
      <c r="N575" s="818"/>
      <c r="O575" s="818"/>
      <c r="P575" s="818"/>
      <c r="Q575" s="818"/>
      <c r="R575" s="818"/>
      <c r="S575" s="818"/>
      <c r="T575" s="818"/>
      <c r="U575" s="818"/>
      <c r="V575" s="818"/>
    </row>
    <row r="576" spans="1:22" ht="14.5">
      <c r="A576" s="873">
        <v>46082</v>
      </c>
      <c r="B576" s="810"/>
      <c r="C576" s="811"/>
      <c r="D576" s="792"/>
      <c r="E576" s="792"/>
      <c r="F576" s="792"/>
      <c r="G576" s="794"/>
      <c r="H576" s="794"/>
      <c r="I576" s="794"/>
      <c r="J576" s="794"/>
      <c r="K576" s="794"/>
      <c r="L576" s="794"/>
      <c r="M576" s="794"/>
      <c r="N576" s="794"/>
      <c r="O576" s="794"/>
      <c r="P576" s="794"/>
      <c r="Q576" s="794"/>
      <c r="R576" s="794"/>
      <c r="S576" s="794"/>
      <c r="T576" s="794"/>
      <c r="U576" s="794"/>
      <c r="V576" s="794"/>
    </row>
    <row r="577" spans="1:22" ht="14.5">
      <c r="A577" s="797" t="s">
        <v>1294</v>
      </c>
      <c r="B577" s="822" t="s">
        <v>144</v>
      </c>
      <c r="C577" s="803" t="s">
        <v>3577</v>
      </c>
      <c r="D577" s="875" t="s">
        <v>146</v>
      </c>
      <c r="E577" s="821" t="s">
        <v>150</v>
      </c>
      <c r="F577" s="849" t="s">
        <v>4166</v>
      </c>
      <c r="G577" s="806" t="s">
        <v>4167</v>
      </c>
      <c r="H577" s="794"/>
      <c r="I577" s="794"/>
      <c r="J577" s="794"/>
      <c r="K577" s="794"/>
      <c r="L577" s="794"/>
      <c r="M577" s="794"/>
      <c r="N577" s="794"/>
      <c r="O577" s="794"/>
      <c r="P577" s="794"/>
      <c r="Q577" s="794"/>
      <c r="R577" s="794"/>
      <c r="S577" s="794"/>
      <c r="T577" s="794"/>
      <c r="U577" s="794"/>
      <c r="V577" s="794"/>
    </row>
    <row r="578" spans="1:22" ht="14.5">
      <c r="A578" s="797"/>
      <c r="B578" s="822"/>
      <c r="C578" s="818"/>
      <c r="D578" s="875"/>
      <c r="E578" s="821"/>
      <c r="F578" s="849"/>
      <c r="G578" s="818"/>
      <c r="H578" s="794"/>
      <c r="I578" s="794"/>
      <c r="J578" s="794"/>
      <c r="K578" s="794"/>
      <c r="L578" s="794"/>
      <c r="M578" s="794"/>
      <c r="N578" s="794"/>
      <c r="O578" s="794"/>
      <c r="P578" s="794"/>
      <c r="Q578" s="794"/>
      <c r="R578" s="794"/>
      <c r="S578" s="794"/>
      <c r="T578" s="794"/>
      <c r="U578" s="794"/>
      <c r="V578" s="794"/>
    </row>
    <row r="579" spans="1:22" ht="14.5">
      <c r="A579" s="797" t="s">
        <v>1294</v>
      </c>
      <c r="B579" s="822" t="s">
        <v>144</v>
      </c>
      <c r="C579" s="803" t="s">
        <v>3577</v>
      </c>
      <c r="D579" s="875" t="s">
        <v>146</v>
      </c>
      <c r="E579" s="821" t="s">
        <v>150</v>
      </c>
      <c r="F579" s="849" t="s">
        <v>4168</v>
      </c>
      <c r="G579" s="806" t="s">
        <v>4080</v>
      </c>
      <c r="H579" s="794"/>
      <c r="I579" s="794"/>
      <c r="J579" s="794"/>
      <c r="K579" s="794"/>
      <c r="L579" s="794"/>
      <c r="M579" s="794"/>
      <c r="N579" s="794"/>
      <c r="O579" s="794"/>
      <c r="P579" s="794"/>
      <c r="Q579" s="794"/>
      <c r="R579" s="794"/>
      <c r="S579" s="794"/>
      <c r="T579" s="794"/>
      <c r="U579" s="794"/>
      <c r="V579" s="794"/>
    </row>
    <row r="580" spans="1:22" ht="14.5">
      <c r="A580" s="797"/>
      <c r="B580" s="799" t="s">
        <v>891</v>
      </c>
      <c r="C580" s="796" t="s">
        <v>54</v>
      </c>
      <c r="D580" s="794" t="s">
        <v>893</v>
      </c>
      <c r="E580" s="794" t="s">
        <v>734</v>
      </c>
      <c r="F580" s="825" t="s">
        <v>4169</v>
      </c>
      <c r="G580" s="806" t="s">
        <v>4083</v>
      </c>
      <c r="H580" s="794"/>
      <c r="I580" s="794"/>
      <c r="J580" s="794"/>
      <c r="K580" s="794"/>
      <c r="L580" s="794"/>
      <c r="M580" s="794"/>
      <c r="N580" s="794"/>
      <c r="O580" s="794"/>
      <c r="P580" s="794"/>
      <c r="Q580" s="794"/>
      <c r="R580" s="794"/>
      <c r="S580" s="794"/>
      <c r="T580" s="794"/>
      <c r="U580" s="794"/>
      <c r="V580" s="794"/>
    </row>
    <row r="581" spans="1:22" ht="14.5">
      <c r="A581" s="794"/>
      <c r="B581" s="835" t="s">
        <v>881</v>
      </c>
      <c r="C581" s="796" t="s">
        <v>54</v>
      </c>
      <c r="D581" s="794" t="s">
        <v>4170</v>
      </c>
      <c r="E581" s="794" t="s">
        <v>635</v>
      </c>
      <c r="F581" s="849" t="s">
        <v>4171</v>
      </c>
      <c r="G581" s="794" t="s">
        <v>4083</v>
      </c>
      <c r="H581" s="794"/>
      <c r="I581" s="794"/>
      <c r="J581" s="794"/>
      <c r="K581" s="794"/>
      <c r="L581" s="794"/>
      <c r="M581" s="794"/>
      <c r="N581" s="794"/>
      <c r="O581" s="794"/>
      <c r="P581" s="794"/>
      <c r="Q581" s="794"/>
      <c r="R581" s="794"/>
      <c r="S581" s="794"/>
      <c r="T581" s="794"/>
      <c r="U581" s="794"/>
      <c r="V581" s="794"/>
    </row>
    <row r="582" spans="1:22" ht="14.5">
      <c r="A582" s="794"/>
      <c r="B582" s="799" t="s">
        <v>665</v>
      </c>
      <c r="C582" s="796" t="s">
        <v>54</v>
      </c>
      <c r="D582" s="794" t="s">
        <v>667</v>
      </c>
      <c r="E582" s="794" t="s">
        <v>553</v>
      </c>
      <c r="F582" s="825" t="s">
        <v>4172</v>
      </c>
      <c r="G582" s="806" t="s">
        <v>4083</v>
      </c>
      <c r="H582" s="794"/>
      <c r="I582" s="794"/>
      <c r="J582" s="794"/>
      <c r="K582" s="794"/>
      <c r="L582" s="794"/>
      <c r="M582" s="794"/>
      <c r="N582" s="794"/>
      <c r="O582" s="794"/>
      <c r="P582" s="794"/>
      <c r="Q582" s="794"/>
      <c r="R582" s="794"/>
      <c r="S582" s="794"/>
      <c r="T582" s="794"/>
      <c r="U582" s="794"/>
      <c r="V582" s="794"/>
    </row>
    <row r="583" spans="1:22" ht="14.5">
      <c r="A583" s="794"/>
      <c r="B583" s="836" t="s">
        <v>1155</v>
      </c>
      <c r="C583" s="796" t="s">
        <v>54</v>
      </c>
      <c r="D583" s="833" t="s">
        <v>1157</v>
      </c>
      <c r="E583" s="794" t="s">
        <v>1129</v>
      </c>
      <c r="F583" s="825" t="s">
        <v>4173</v>
      </c>
      <c r="G583" s="806" t="s">
        <v>4083</v>
      </c>
      <c r="H583" s="794"/>
      <c r="I583" s="794"/>
      <c r="J583" s="794"/>
      <c r="K583" s="794"/>
      <c r="L583" s="794"/>
      <c r="M583" s="794"/>
      <c r="N583" s="794"/>
      <c r="O583" s="794"/>
      <c r="P583" s="794"/>
      <c r="Q583" s="794"/>
      <c r="R583" s="794"/>
      <c r="S583" s="794"/>
      <c r="T583" s="794"/>
      <c r="U583" s="794"/>
      <c r="V583" s="794"/>
    </row>
    <row r="584" spans="1:22" ht="14.5">
      <c r="A584" s="794"/>
      <c r="B584" s="799"/>
      <c r="C584" s="794"/>
      <c r="D584" s="794"/>
      <c r="E584" s="794"/>
      <c r="F584" s="794"/>
      <c r="G584" s="794"/>
      <c r="H584" s="794"/>
      <c r="I584" s="794"/>
      <c r="J584" s="794"/>
      <c r="K584" s="794"/>
      <c r="L584" s="794"/>
      <c r="M584" s="794"/>
      <c r="N584" s="794"/>
      <c r="O584" s="794"/>
      <c r="P584" s="794"/>
      <c r="Q584" s="794"/>
      <c r="R584" s="794"/>
      <c r="S584" s="794"/>
      <c r="T584" s="794"/>
      <c r="U584" s="794"/>
      <c r="V584" s="794"/>
    </row>
    <row r="585" spans="1:22" ht="14.5">
      <c r="A585" s="801" t="s">
        <v>310</v>
      </c>
      <c r="B585" s="884" t="s">
        <v>301</v>
      </c>
      <c r="C585" s="796" t="s">
        <v>54</v>
      </c>
      <c r="D585" s="885" t="s">
        <v>303</v>
      </c>
      <c r="E585" s="886" t="s">
        <v>64</v>
      </c>
      <c r="F585" s="834" t="s">
        <v>4174</v>
      </c>
      <c r="G585" s="794"/>
      <c r="H585" s="794"/>
      <c r="I585" s="794"/>
      <c r="J585" s="794"/>
      <c r="K585" s="794"/>
      <c r="L585" s="794"/>
      <c r="M585" s="794"/>
      <c r="N585" s="794"/>
      <c r="O585" s="794"/>
      <c r="P585" s="794"/>
      <c r="Q585" s="794"/>
      <c r="R585" s="794"/>
      <c r="S585" s="794"/>
      <c r="T585" s="794"/>
      <c r="U585" s="794"/>
      <c r="V585" s="794"/>
    </row>
    <row r="586" spans="1:22" ht="14.5">
      <c r="A586" s="801"/>
      <c r="B586" s="836"/>
      <c r="C586" s="797"/>
      <c r="D586" s="833"/>
      <c r="E586" s="823"/>
      <c r="F586" s="825"/>
      <c r="G586" s="794"/>
      <c r="H586" s="794"/>
      <c r="I586" s="794"/>
      <c r="J586" s="794"/>
      <c r="K586" s="794"/>
      <c r="L586" s="794"/>
      <c r="M586" s="794"/>
      <c r="N586" s="794"/>
      <c r="O586" s="794"/>
      <c r="P586" s="794"/>
      <c r="Q586" s="794"/>
      <c r="R586" s="794"/>
      <c r="S586" s="794"/>
      <c r="T586" s="794"/>
      <c r="U586" s="794"/>
      <c r="V586" s="794"/>
    </row>
    <row r="587" spans="1:22" ht="14.5">
      <c r="A587" s="801" t="s">
        <v>67</v>
      </c>
      <c r="B587" s="836" t="s">
        <v>1008</v>
      </c>
      <c r="C587" s="796" t="s">
        <v>54</v>
      </c>
      <c r="D587" s="833" t="s">
        <v>1010</v>
      </c>
      <c r="E587" s="823" t="s">
        <v>1012</v>
      </c>
      <c r="F587" s="834" t="s">
        <v>4175</v>
      </c>
      <c r="G587" s="794" t="s">
        <v>4074</v>
      </c>
      <c r="H587" s="794" t="s">
        <v>46</v>
      </c>
      <c r="I587" s="806" t="s">
        <v>4176</v>
      </c>
      <c r="J587" s="794" t="s">
        <v>4177</v>
      </c>
      <c r="K587" s="794" t="s">
        <v>4158</v>
      </c>
      <c r="L587" s="806" t="s">
        <v>4178</v>
      </c>
      <c r="M587" s="794"/>
      <c r="N587" s="794"/>
      <c r="O587" s="794"/>
      <c r="P587" s="794"/>
      <c r="Q587" s="794"/>
      <c r="R587" s="794"/>
      <c r="S587" s="794"/>
      <c r="T587" s="794"/>
      <c r="U587" s="794"/>
      <c r="V587" s="794"/>
    </row>
    <row r="588" spans="1:22" ht="14.5">
      <c r="A588" s="794"/>
      <c r="B588" s="799" t="s">
        <v>1830</v>
      </c>
      <c r="C588" s="796" t="s">
        <v>54</v>
      </c>
      <c r="D588" s="794" t="s">
        <v>1832</v>
      </c>
      <c r="E588" s="794" t="s">
        <v>445</v>
      </c>
      <c r="F588" s="825" t="s">
        <v>4179</v>
      </c>
      <c r="G588" s="794" t="s">
        <v>4074</v>
      </c>
      <c r="H588" s="794" t="s">
        <v>46</v>
      </c>
      <c r="I588" s="794" t="s">
        <v>4180</v>
      </c>
      <c r="J588" s="794" t="s">
        <v>4181</v>
      </c>
      <c r="K588" s="794" t="s">
        <v>4006</v>
      </c>
      <c r="L588" s="794"/>
      <c r="M588" s="794"/>
      <c r="N588" s="794"/>
      <c r="O588" s="794"/>
      <c r="P588" s="794"/>
      <c r="Q588" s="794"/>
      <c r="R588" s="794"/>
      <c r="S588" s="794"/>
      <c r="T588" s="794"/>
      <c r="U588" s="794"/>
      <c r="V588" s="794"/>
    </row>
    <row r="589" spans="1:22" ht="14.5">
      <c r="A589" s="794"/>
      <c r="B589" s="799"/>
      <c r="C589" s="794"/>
      <c r="D589" s="794"/>
      <c r="E589" s="794"/>
      <c r="F589" s="794"/>
      <c r="G589" s="794"/>
      <c r="H589" s="794"/>
      <c r="I589" s="794"/>
      <c r="J589" s="794"/>
      <c r="K589" s="794"/>
      <c r="L589" s="794"/>
      <c r="M589" s="794"/>
      <c r="N589" s="794"/>
      <c r="O589" s="794"/>
      <c r="P589" s="794"/>
      <c r="Q589" s="794"/>
      <c r="R589" s="794"/>
      <c r="S589" s="794"/>
      <c r="T589" s="794"/>
      <c r="U589" s="794"/>
      <c r="V589" s="794"/>
    </row>
    <row r="590" spans="1:22" ht="15.75" customHeight="1">
      <c r="A590" s="794" t="s">
        <v>4085</v>
      </c>
      <c r="B590" s="799" t="s">
        <v>1605</v>
      </c>
      <c r="C590" s="796" t="s">
        <v>54</v>
      </c>
      <c r="D590" s="794" t="s">
        <v>1607</v>
      </c>
      <c r="E590" s="794" t="s">
        <v>272</v>
      </c>
      <c r="F590" s="825" t="s">
        <v>4182</v>
      </c>
      <c r="G590" s="794" t="s">
        <v>4051</v>
      </c>
      <c r="H590" s="794" t="s">
        <v>4140</v>
      </c>
      <c r="I590" s="794" t="s">
        <v>4053</v>
      </c>
      <c r="J590" s="794" t="s">
        <v>4183</v>
      </c>
      <c r="K590" s="794"/>
      <c r="L590" s="794"/>
      <c r="M590" s="794"/>
      <c r="N590" s="794"/>
      <c r="O590" s="794"/>
      <c r="P590" s="794"/>
      <c r="Q590" s="794"/>
      <c r="R590" s="794"/>
      <c r="S590" s="794"/>
      <c r="T590" s="794"/>
      <c r="U590" s="794"/>
      <c r="V590" s="794"/>
    </row>
    <row r="591" spans="1:22" ht="14.5">
      <c r="A591" s="794"/>
      <c r="B591" s="799" t="s">
        <v>4184</v>
      </c>
      <c r="C591" s="796" t="s">
        <v>54</v>
      </c>
      <c r="D591" s="794" t="s">
        <v>1615</v>
      </c>
      <c r="E591" s="794" t="s">
        <v>272</v>
      </c>
      <c r="F591" s="825" t="s">
        <v>4185</v>
      </c>
      <c r="G591" s="794" t="s">
        <v>4051</v>
      </c>
      <c r="H591" s="794" t="s">
        <v>4140</v>
      </c>
      <c r="I591" s="794" t="s">
        <v>4053</v>
      </c>
      <c r="J591" s="794" t="s">
        <v>4087</v>
      </c>
      <c r="K591" s="794" t="s">
        <v>4183</v>
      </c>
      <c r="L591" s="794"/>
      <c r="M591" s="794"/>
      <c r="N591" s="794"/>
      <c r="O591" s="794"/>
      <c r="P591" s="794"/>
      <c r="Q591" s="794"/>
      <c r="R591" s="794"/>
      <c r="S591" s="794"/>
      <c r="T591" s="794"/>
      <c r="U591" s="794"/>
      <c r="V591" s="794"/>
    </row>
    <row r="592" spans="1:22" ht="14.5">
      <c r="A592" s="794"/>
      <c r="B592" s="799" t="s">
        <v>4186</v>
      </c>
      <c r="C592" s="796" t="s">
        <v>54</v>
      </c>
      <c r="D592" s="794" t="s">
        <v>805</v>
      </c>
      <c r="E592" s="794" t="s">
        <v>630</v>
      </c>
      <c r="F592" s="825" t="s">
        <v>4187</v>
      </c>
      <c r="G592" s="794" t="s">
        <v>4051</v>
      </c>
      <c r="H592" s="794" t="s">
        <v>4140</v>
      </c>
      <c r="I592" s="794" t="s">
        <v>4053</v>
      </c>
      <c r="J592" s="794" t="s">
        <v>3850</v>
      </c>
      <c r="K592" s="794"/>
      <c r="L592" s="794"/>
      <c r="M592" s="794"/>
      <c r="N592" s="794"/>
      <c r="O592" s="794"/>
      <c r="P592" s="794"/>
      <c r="Q592" s="794"/>
      <c r="R592" s="794"/>
      <c r="S592" s="794"/>
      <c r="T592" s="794"/>
      <c r="U592" s="794"/>
      <c r="V592" s="794"/>
    </row>
    <row r="593" spans="1:22" ht="14.5">
      <c r="A593" s="818"/>
      <c r="B593" s="876" t="s">
        <v>1286</v>
      </c>
      <c r="C593" s="796" t="s">
        <v>54</v>
      </c>
      <c r="D593" s="818" t="s">
        <v>1288</v>
      </c>
      <c r="E593" s="818" t="s">
        <v>445</v>
      </c>
      <c r="F593" s="825" t="s">
        <v>4188</v>
      </c>
      <c r="G593" s="887" t="s">
        <v>4051</v>
      </c>
      <c r="H593" s="887" t="s">
        <v>4140</v>
      </c>
      <c r="I593" s="887" t="s">
        <v>4053</v>
      </c>
      <c r="J593" s="887" t="s">
        <v>4189</v>
      </c>
      <c r="K593" s="806" t="s">
        <v>3850</v>
      </c>
      <c r="L593" s="818"/>
      <c r="M593" s="818"/>
      <c r="N593" s="818"/>
      <c r="O593" s="818"/>
      <c r="P593" s="818"/>
      <c r="Q593" s="818"/>
      <c r="R593" s="818"/>
      <c r="S593" s="818"/>
      <c r="T593" s="818"/>
      <c r="U593" s="818"/>
      <c r="V593" s="818"/>
    </row>
    <row r="594" spans="1:22" ht="14.5">
      <c r="A594" s="818"/>
      <c r="B594" s="876"/>
      <c r="C594" s="850"/>
      <c r="D594" s="818"/>
      <c r="E594" s="818"/>
      <c r="F594" s="849"/>
      <c r="G594" s="818"/>
      <c r="H594" s="818"/>
      <c r="I594" s="818"/>
      <c r="J594" s="818"/>
      <c r="K594" s="818"/>
      <c r="L594" s="818"/>
      <c r="M594" s="818"/>
      <c r="N594" s="818"/>
      <c r="O594" s="818"/>
      <c r="P594" s="818"/>
      <c r="Q594" s="818"/>
      <c r="R594" s="818"/>
      <c r="S594" s="818"/>
      <c r="T594" s="818"/>
      <c r="U594" s="818"/>
      <c r="V594" s="818"/>
    </row>
    <row r="595" spans="1:22" ht="14.5">
      <c r="A595" s="794" t="s">
        <v>3575</v>
      </c>
      <c r="B595" s="882" t="s">
        <v>2223</v>
      </c>
      <c r="C595" s="796" t="s">
        <v>54</v>
      </c>
      <c r="D595" s="794" t="s">
        <v>2225</v>
      </c>
      <c r="E595" s="818" t="s">
        <v>272</v>
      </c>
      <c r="F595" s="849" t="s">
        <v>4190</v>
      </c>
      <c r="G595" s="818"/>
      <c r="H595" s="818"/>
      <c r="I595" s="818"/>
      <c r="J595" s="818"/>
      <c r="K595" s="818"/>
      <c r="L595" s="818"/>
      <c r="M595" s="794"/>
      <c r="N595" s="794"/>
      <c r="O595" s="794"/>
      <c r="P595" s="794"/>
      <c r="Q595" s="794"/>
      <c r="R595" s="794"/>
      <c r="S595" s="794"/>
      <c r="T595" s="794"/>
      <c r="U595" s="794"/>
      <c r="V595" s="794"/>
    </row>
    <row r="596" spans="1:22" ht="14.5">
      <c r="A596" s="818"/>
      <c r="B596" s="799" t="s">
        <v>1830</v>
      </c>
      <c r="C596" s="796" t="s">
        <v>54</v>
      </c>
      <c r="D596" s="794" t="s">
        <v>1832</v>
      </c>
      <c r="E596" s="794" t="s">
        <v>445</v>
      </c>
      <c r="F596" s="825" t="s">
        <v>4191</v>
      </c>
      <c r="G596" s="818"/>
      <c r="H596" s="818"/>
      <c r="I596" s="818"/>
      <c r="J596" s="818"/>
      <c r="K596" s="818"/>
      <c r="L596" s="818"/>
      <c r="M596" s="818"/>
      <c r="N596" s="818"/>
      <c r="O596" s="818"/>
      <c r="P596" s="818"/>
      <c r="Q596" s="818"/>
      <c r="R596" s="818"/>
      <c r="S596" s="818"/>
      <c r="T596" s="818"/>
      <c r="U596" s="818"/>
      <c r="V596" s="818"/>
    </row>
    <row r="597" spans="1:22" ht="14.5">
      <c r="A597" s="794"/>
      <c r="B597" s="799" t="s">
        <v>665</v>
      </c>
      <c r="C597" s="796" t="s">
        <v>54</v>
      </c>
      <c r="D597" s="794" t="s">
        <v>667</v>
      </c>
      <c r="E597" s="794" t="s">
        <v>553</v>
      </c>
      <c r="F597" s="825" t="s">
        <v>4192</v>
      </c>
      <c r="G597" s="794" t="s">
        <v>4083</v>
      </c>
      <c r="H597" s="794"/>
      <c r="I597" s="794"/>
      <c r="J597" s="794"/>
      <c r="K597" s="794"/>
      <c r="L597" s="794"/>
      <c r="M597" s="794"/>
      <c r="N597" s="794"/>
      <c r="O597" s="794"/>
      <c r="P597" s="794"/>
      <c r="Q597" s="794"/>
      <c r="R597" s="794"/>
      <c r="S597" s="794"/>
      <c r="T597" s="794"/>
      <c r="U597" s="794"/>
      <c r="V597" s="794"/>
    </row>
    <row r="598" spans="1:22" ht="14.5">
      <c r="A598" s="818"/>
      <c r="B598" s="830"/>
      <c r="C598" s="850"/>
      <c r="D598" s="829"/>
      <c r="E598" s="818"/>
      <c r="F598" s="818"/>
      <c r="G598" s="818"/>
      <c r="H598" s="818"/>
      <c r="I598" s="818"/>
      <c r="J598" s="818"/>
      <c r="K598" s="818"/>
      <c r="L598" s="818"/>
      <c r="M598" s="818"/>
      <c r="N598" s="818"/>
      <c r="O598" s="818"/>
      <c r="P598" s="818"/>
      <c r="Q598" s="818"/>
      <c r="R598" s="818"/>
      <c r="S598" s="818"/>
      <c r="T598" s="818"/>
      <c r="U598" s="818"/>
      <c r="V598" s="818"/>
    </row>
    <row r="599" spans="1:22" ht="14.5">
      <c r="A599" s="873">
        <v>46113</v>
      </c>
      <c r="B599" s="810"/>
      <c r="C599" s="811"/>
      <c r="D599" s="792"/>
      <c r="E599" s="792"/>
      <c r="F599" s="792"/>
      <c r="G599" s="794"/>
      <c r="H599" s="794"/>
      <c r="I599" s="794"/>
      <c r="J599" s="794"/>
      <c r="K599" s="794"/>
      <c r="L599" s="794"/>
      <c r="M599" s="794"/>
      <c r="N599" s="794"/>
      <c r="O599" s="794"/>
      <c r="P599" s="794"/>
      <c r="Q599" s="794"/>
      <c r="R599" s="794"/>
      <c r="S599" s="794"/>
      <c r="T599" s="794"/>
      <c r="U599" s="794"/>
      <c r="V599" s="794"/>
    </row>
    <row r="600" spans="1:22" ht="14.5">
      <c r="A600" s="794" t="s">
        <v>3563</v>
      </c>
      <c r="B600" s="814" t="s">
        <v>1167</v>
      </c>
      <c r="C600" s="796" t="s">
        <v>54</v>
      </c>
      <c r="D600" s="813" t="s">
        <v>1169</v>
      </c>
      <c r="E600" s="813" t="s">
        <v>3903</v>
      </c>
      <c r="F600" s="851" t="s">
        <v>4193</v>
      </c>
      <c r="G600" s="794"/>
      <c r="H600" s="794"/>
      <c r="I600" s="794"/>
      <c r="J600" s="794"/>
      <c r="K600" s="794"/>
      <c r="L600" s="794"/>
      <c r="M600" s="794"/>
      <c r="N600" s="794"/>
      <c r="O600" s="794"/>
      <c r="P600" s="794"/>
      <c r="Q600" s="794"/>
      <c r="R600" s="794"/>
      <c r="S600" s="794"/>
      <c r="T600" s="794"/>
      <c r="U600" s="794"/>
      <c r="V600" s="794"/>
    </row>
    <row r="601" spans="1:22" ht="14.5">
      <c r="A601" s="794" t="s">
        <v>3713</v>
      </c>
      <c r="B601" s="814" t="s">
        <v>2238</v>
      </c>
      <c r="C601" s="796" t="s">
        <v>54</v>
      </c>
      <c r="D601" s="829" t="s">
        <v>776</v>
      </c>
      <c r="E601" s="794" t="s">
        <v>457</v>
      </c>
      <c r="F601" s="794" t="s">
        <v>4194</v>
      </c>
      <c r="G601" s="794" t="s">
        <v>4032</v>
      </c>
      <c r="H601" s="806" t="s">
        <v>4033</v>
      </c>
      <c r="I601" s="806" t="s">
        <v>4195</v>
      </c>
      <c r="J601" s="794" t="s">
        <v>3850</v>
      </c>
      <c r="K601" s="806" t="s">
        <v>4196</v>
      </c>
      <c r="L601" s="794" t="s">
        <v>4043</v>
      </c>
      <c r="M601" s="794" t="s">
        <v>4197</v>
      </c>
      <c r="N601" s="794" t="s">
        <v>4198</v>
      </c>
      <c r="O601" s="794"/>
      <c r="P601" s="794"/>
      <c r="Q601" s="794"/>
      <c r="R601" s="794"/>
      <c r="S601" s="794"/>
      <c r="T601" s="794"/>
      <c r="U601" s="794"/>
      <c r="V601" s="794"/>
    </row>
    <row r="602" spans="1:22" ht="14.5">
      <c r="A602" s="794"/>
      <c r="B602" s="800" t="s">
        <v>2246</v>
      </c>
      <c r="C602" s="796" t="s">
        <v>54</v>
      </c>
      <c r="D602" s="818" t="s">
        <v>2248</v>
      </c>
      <c r="E602" s="794" t="s">
        <v>2250</v>
      </c>
      <c r="F602" s="825" t="s">
        <v>4199</v>
      </c>
      <c r="G602" s="794" t="s">
        <v>4032</v>
      </c>
      <c r="H602" s="806" t="s">
        <v>4033</v>
      </c>
      <c r="I602" s="806" t="s">
        <v>4195</v>
      </c>
      <c r="J602" s="794" t="s">
        <v>3850</v>
      </c>
      <c r="K602" s="806" t="s">
        <v>4196</v>
      </c>
      <c r="L602" s="794" t="s">
        <v>4043</v>
      </c>
      <c r="M602" s="794" t="s">
        <v>4197</v>
      </c>
      <c r="N602" s="794" t="s">
        <v>4198</v>
      </c>
      <c r="O602" s="818"/>
      <c r="P602" s="818"/>
      <c r="Q602" s="818"/>
      <c r="R602" s="818"/>
      <c r="S602" s="818"/>
      <c r="T602" s="818"/>
      <c r="U602" s="818"/>
      <c r="V602" s="818"/>
    </row>
    <row r="603" spans="1:22" ht="14.5">
      <c r="A603" s="797"/>
      <c r="B603" s="876"/>
      <c r="C603" s="796" t="s">
        <v>54</v>
      </c>
      <c r="D603" s="458" t="s">
        <v>2257</v>
      </c>
      <c r="E603" s="794" t="s">
        <v>2260</v>
      </c>
      <c r="F603" s="849" t="s">
        <v>4200</v>
      </c>
      <c r="G603" s="806" t="s">
        <v>4032</v>
      </c>
      <c r="H603" s="806" t="s">
        <v>4033</v>
      </c>
      <c r="I603" s="806" t="s">
        <v>4195</v>
      </c>
      <c r="J603" s="806" t="s">
        <v>3850</v>
      </c>
      <c r="K603" s="806" t="s">
        <v>4196</v>
      </c>
      <c r="L603" s="806" t="s">
        <v>4043</v>
      </c>
      <c r="M603" s="806" t="s">
        <v>4197</v>
      </c>
      <c r="N603" s="806" t="s">
        <v>4198</v>
      </c>
      <c r="O603" s="818"/>
      <c r="P603" s="818"/>
      <c r="Q603" s="818"/>
      <c r="R603" s="818"/>
      <c r="S603" s="818"/>
      <c r="T603" s="818"/>
      <c r="U603" s="818"/>
      <c r="V603" s="818"/>
    </row>
    <row r="604" spans="1:22" ht="14.5">
      <c r="A604" s="797"/>
      <c r="B604" s="876"/>
      <c r="C604" s="796" t="s">
        <v>54</v>
      </c>
      <c r="D604" s="888" t="s">
        <v>2270</v>
      </c>
      <c r="E604" s="794" t="s">
        <v>445</v>
      </c>
      <c r="F604" s="849" t="s">
        <v>4201</v>
      </c>
      <c r="G604" s="806" t="s">
        <v>4032</v>
      </c>
      <c r="H604" s="806" t="s">
        <v>4033</v>
      </c>
      <c r="I604" s="806" t="s">
        <v>4195</v>
      </c>
      <c r="J604" s="806" t="s">
        <v>3850</v>
      </c>
      <c r="K604" s="806" t="s">
        <v>4196</v>
      </c>
      <c r="L604" s="806" t="s">
        <v>4043</v>
      </c>
      <c r="M604" s="806" t="s">
        <v>4197</v>
      </c>
      <c r="N604" s="806" t="s">
        <v>4198</v>
      </c>
      <c r="O604" s="818"/>
      <c r="P604" s="818"/>
      <c r="Q604" s="818"/>
      <c r="R604" s="818"/>
      <c r="S604" s="818"/>
      <c r="T604" s="818"/>
      <c r="U604" s="818"/>
      <c r="V604" s="818"/>
    </row>
    <row r="605" spans="1:22" ht="14.5">
      <c r="A605" s="794"/>
      <c r="B605" s="800"/>
      <c r="C605" s="797"/>
      <c r="D605" s="794"/>
      <c r="E605" s="794"/>
      <c r="F605" s="825"/>
      <c r="G605" s="794"/>
      <c r="H605" s="794"/>
      <c r="I605" s="794"/>
      <c r="J605" s="794"/>
      <c r="K605" s="794"/>
      <c r="L605" s="794"/>
      <c r="M605" s="794"/>
      <c r="N605" s="818"/>
      <c r="O605" s="818"/>
      <c r="P605" s="818"/>
      <c r="Q605" s="818"/>
      <c r="R605" s="818"/>
      <c r="S605" s="818"/>
      <c r="T605" s="818"/>
      <c r="U605" s="818"/>
      <c r="V605" s="818"/>
    </row>
    <row r="606" spans="1:22" ht="14.5">
      <c r="A606" s="794"/>
      <c r="B606" s="889"/>
      <c r="C606" s="796" t="s">
        <v>54</v>
      </c>
      <c r="D606" s="818" t="s">
        <v>2280</v>
      </c>
      <c r="E606" s="806" t="s">
        <v>3145</v>
      </c>
      <c r="F606" s="834" t="s">
        <v>4202</v>
      </c>
      <c r="G606" s="806" t="s">
        <v>4032</v>
      </c>
      <c r="H606" s="806" t="s">
        <v>4033</v>
      </c>
      <c r="I606" s="806" t="s">
        <v>4203</v>
      </c>
      <c r="J606" s="806" t="s">
        <v>3850</v>
      </c>
      <c r="K606" s="806" t="s">
        <v>4196</v>
      </c>
      <c r="L606" s="806" t="s">
        <v>4043</v>
      </c>
      <c r="M606" s="806" t="s">
        <v>4198</v>
      </c>
      <c r="N606" s="818"/>
      <c r="O606" s="818"/>
      <c r="P606" s="818"/>
      <c r="Q606" s="818"/>
      <c r="R606" s="818"/>
      <c r="S606" s="818"/>
      <c r="T606" s="818"/>
      <c r="U606" s="818"/>
      <c r="V606" s="818"/>
    </row>
    <row r="607" spans="1:22" ht="14.5">
      <c r="A607" s="879"/>
      <c r="B607" s="889"/>
      <c r="C607" s="796" t="s">
        <v>54</v>
      </c>
      <c r="D607" s="818" t="s">
        <v>2286</v>
      </c>
      <c r="E607" s="806" t="s">
        <v>3145</v>
      </c>
      <c r="F607" s="834" t="s">
        <v>4202</v>
      </c>
      <c r="G607" s="806" t="s">
        <v>4032</v>
      </c>
      <c r="H607" s="806" t="s">
        <v>4033</v>
      </c>
      <c r="I607" s="806" t="s">
        <v>4203</v>
      </c>
      <c r="J607" s="806" t="s">
        <v>3850</v>
      </c>
      <c r="K607" s="806" t="s">
        <v>4196</v>
      </c>
      <c r="L607" s="806" t="s">
        <v>4043</v>
      </c>
      <c r="M607" s="806" t="s">
        <v>4198</v>
      </c>
      <c r="N607" s="818"/>
      <c r="O607" s="818"/>
      <c r="P607" s="818"/>
      <c r="Q607" s="818"/>
      <c r="R607" s="818"/>
      <c r="S607" s="818"/>
      <c r="T607" s="818"/>
      <c r="U607" s="818"/>
      <c r="V607" s="818"/>
    </row>
    <row r="608" spans="1:22" ht="14.5">
      <c r="A608" s="797"/>
      <c r="B608" s="876"/>
      <c r="C608" s="797"/>
      <c r="D608" s="818"/>
      <c r="E608" s="818"/>
      <c r="F608" s="818"/>
      <c r="G608" s="794"/>
      <c r="H608" s="818"/>
      <c r="I608" s="818"/>
      <c r="J608" s="818"/>
      <c r="K608" s="818"/>
      <c r="L608" s="818"/>
      <c r="M608" s="818"/>
      <c r="N608" s="818"/>
      <c r="O608" s="818"/>
      <c r="P608" s="818"/>
      <c r="Q608" s="818"/>
      <c r="R608" s="818"/>
      <c r="S608" s="818"/>
      <c r="T608" s="818"/>
      <c r="U608" s="818"/>
      <c r="V608" s="818"/>
    </row>
    <row r="609" spans="1:22" ht="14.5">
      <c r="A609" s="797" t="s">
        <v>1294</v>
      </c>
      <c r="B609" s="876" t="s">
        <v>782</v>
      </c>
      <c r="C609" s="796" t="s">
        <v>54</v>
      </c>
      <c r="D609" s="818" t="s">
        <v>784</v>
      </c>
      <c r="E609" s="818" t="s">
        <v>635</v>
      </c>
      <c r="F609" s="818" t="s">
        <v>4204</v>
      </c>
      <c r="G609" s="806" t="s">
        <v>4083</v>
      </c>
      <c r="H609" s="818"/>
      <c r="I609" s="818"/>
      <c r="J609" s="818"/>
      <c r="K609" s="818"/>
      <c r="L609" s="818"/>
      <c r="M609" s="818"/>
      <c r="N609" s="818"/>
      <c r="O609" s="818"/>
      <c r="P609" s="818"/>
      <c r="Q609" s="818"/>
      <c r="R609" s="818"/>
      <c r="S609" s="818"/>
      <c r="T609" s="818"/>
      <c r="U609" s="818"/>
      <c r="V609" s="818"/>
    </row>
    <row r="610" spans="1:22" ht="14.5">
      <c r="A610" s="794"/>
      <c r="B610" s="799" t="s">
        <v>4103</v>
      </c>
      <c r="C610" s="803" t="s">
        <v>3577</v>
      </c>
      <c r="D610" s="794" t="s">
        <v>1430</v>
      </c>
      <c r="E610" s="794" t="s">
        <v>150</v>
      </c>
      <c r="F610" s="825" t="s">
        <v>4205</v>
      </c>
      <c r="G610" s="806" t="s">
        <v>4083</v>
      </c>
      <c r="H610" s="818"/>
      <c r="I610" s="818"/>
      <c r="J610" s="818"/>
      <c r="K610" s="818"/>
      <c r="L610" s="794"/>
      <c r="M610" s="794"/>
      <c r="N610" s="794"/>
      <c r="O610" s="794"/>
      <c r="P610" s="794"/>
      <c r="Q610" s="794"/>
      <c r="R610" s="794"/>
      <c r="S610" s="794"/>
      <c r="T610" s="794"/>
      <c r="U610" s="794"/>
      <c r="V610" s="794"/>
    </row>
    <row r="611" spans="1:22" ht="14.5">
      <c r="A611" s="794"/>
      <c r="B611" s="799"/>
      <c r="C611" s="797"/>
      <c r="D611" s="794"/>
      <c r="E611" s="794"/>
      <c r="F611" s="825"/>
      <c r="G611" s="818"/>
      <c r="H611" s="818"/>
      <c r="I611" s="818"/>
      <c r="J611" s="818"/>
      <c r="K611" s="818"/>
      <c r="L611" s="794"/>
      <c r="M611" s="794"/>
      <c r="N611" s="794"/>
      <c r="O611" s="794"/>
      <c r="P611" s="794"/>
      <c r="Q611" s="794"/>
      <c r="R611" s="794"/>
      <c r="S611" s="794"/>
      <c r="T611" s="794"/>
      <c r="U611" s="794"/>
      <c r="V611" s="794"/>
    </row>
    <row r="612" spans="1:22" ht="14.5">
      <c r="A612" s="794" t="s">
        <v>67</v>
      </c>
      <c r="B612" s="799" t="s">
        <v>1018</v>
      </c>
      <c r="C612" s="796" t="s">
        <v>54</v>
      </c>
      <c r="D612" s="794" t="s">
        <v>1020</v>
      </c>
      <c r="E612" s="794" t="s">
        <v>920</v>
      </c>
      <c r="F612" s="825" t="s">
        <v>4206</v>
      </c>
      <c r="G612" s="794" t="s">
        <v>4083</v>
      </c>
      <c r="H612" s="794" t="s">
        <v>4074</v>
      </c>
      <c r="I612" s="806" t="s">
        <v>46</v>
      </c>
      <c r="J612" s="806" t="s">
        <v>4084</v>
      </c>
      <c r="K612" s="806" t="s">
        <v>4075</v>
      </c>
      <c r="L612" s="806" t="s">
        <v>4006</v>
      </c>
      <c r="M612" s="890" t="s">
        <v>4158</v>
      </c>
      <c r="N612" s="794"/>
      <c r="O612" s="794"/>
      <c r="P612" s="794"/>
      <c r="Q612" s="794"/>
      <c r="R612" s="794"/>
      <c r="S612" s="794"/>
      <c r="T612" s="794"/>
      <c r="U612" s="794"/>
      <c r="V612" s="794"/>
    </row>
    <row r="613" spans="1:22" ht="14.5">
      <c r="A613" s="794"/>
      <c r="B613" s="799" t="s">
        <v>1089</v>
      </c>
      <c r="C613" s="796" t="s">
        <v>54</v>
      </c>
      <c r="D613" s="794" t="s">
        <v>1091</v>
      </c>
      <c r="E613" s="794" t="s">
        <v>4207</v>
      </c>
      <c r="F613" s="825" t="s">
        <v>4208</v>
      </c>
      <c r="G613" s="794" t="s">
        <v>4083</v>
      </c>
      <c r="H613" s="794" t="s">
        <v>4074</v>
      </c>
      <c r="I613" s="806" t="s">
        <v>46</v>
      </c>
      <c r="J613" s="806" t="s">
        <v>4084</v>
      </c>
      <c r="K613" s="806" t="s">
        <v>4075</v>
      </c>
      <c r="L613" s="806" t="s">
        <v>4006</v>
      </c>
      <c r="M613" s="890" t="s">
        <v>4158</v>
      </c>
      <c r="N613" s="794"/>
      <c r="O613" s="794"/>
      <c r="P613" s="794"/>
      <c r="Q613" s="794"/>
      <c r="R613" s="794"/>
      <c r="S613" s="794"/>
      <c r="T613" s="794"/>
      <c r="U613" s="794"/>
      <c r="V613" s="794"/>
    </row>
    <row r="614" spans="1:22" ht="14.5">
      <c r="A614" s="794"/>
      <c r="B614" s="799" t="s">
        <v>1605</v>
      </c>
      <c r="C614" s="796" t="s">
        <v>54</v>
      </c>
      <c r="D614" s="794" t="s">
        <v>1607</v>
      </c>
      <c r="E614" s="794" t="s">
        <v>553</v>
      </c>
      <c r="F614" s="825" t="s">
        <v>4209</v>
      </c>
      <c r="G614" s="794" t="s">
        <v>4083</v>
      </c>
      <c r="H614" s="794" t="s">
        <v>4074</v>
      </c>
      <c r="I614" s="806" t="s">
        <v>46</v>
      </c>
      <c r="J614" s="806" t="s">
        <v>4084</v>
      </c>
      <c r="K614" s="806" t="s">
        <v>4075</v>
      </c>
      <c r="L614" s="806" t="s">
        <v>4006</v>
      </c>
      <c r="M614" s="794"/>
      <c r="N614" s="794"/>
      <c r="O614" s="794"/>
      <c r="P614" s="794"/>
      <c r="Q614" s="794"/>
      <c r="R614" s="794"/>
      <c r="S614" s="794"/>
      <c r="T614" s="794"/>
      <c r="U614" s="794"/>
      <c r="V614" s="794"/>
    </row>
    <row r="615" spans="1:22" ht="14.5">
      <c r="A615" s="794"/>
      <c r="B615" s="876" t="s">
        <v>1346</v>
      </c>
      <c r="C615" s="803" t="s">
        <v>3577</v>
      </c>
      <c r="D615" s="806" t="s">
        <v>1348</v>
      </c>
      <c r="E615" s="818" t="s">
        <v>1352</v>
      </c>
      <c r="F615" s="825" t="s">
        <v>4210</v>
      </c>
      <c r="G615" s="794" t="s">
        <v>4083</v>
      </c>
      <c r="H615" s="794" t="s">
        <v>4074</v>
      </c>
      <c r="I615" s="806" t="s">
        <v>46</v>
      </c>
      <c r="J615" s="806" t="s">
        <v>4084</v>
      </c>
      <c r="K615" s="806" t="s">
        <v>4075</v>
      </c>
      <c r="L615" s="806" t="s">
        <v>4006</v>
      </c>
      <c r="M615" s="806" t="s">
        <v>4211</v>
      </c>
      <c r="N615" s="794"/>
      <c r="O615" s="794"/>
      <c r="P615" s="794"/>
      <c r="Q615" s="794"/>
      <c r="R615" s="794"/>
      <c r="S615" s="794"/>
      <c r="T615" s="794"/>
      <c r="U615" s="794"/>
      <c r="V615" s="794"/>
    </row>
    <row r="616" spans="1:22" ht="14.5">
      <c r="A616" s="794"/>
      <c r="B616" s="799"/>
      <c r="C616" s="797"/>
      <c r="D616" s="794"/>
      <c r="E616" s="794"/>
      <c r="F616" s="825"/>
      <c r="G616" s="818"/>
      <c r="H616" s="818"/>
      <c r="I616" s="818"/>
      <c r="J616" s="818"/>
      <c r="K616" s="818"/>
      <c r="L616" s="794"/>
      <c r="M616" s="794"/>
      <c r="N616" s="794"/>
      <c r="O616" s="794"/>
      <c r="P616" s="794"/>
      <c r="Q616" s="794"/>
      <c r="R616" s="794"/>
      <c r="S616" s="794"/>
      <c r="T616" s="794"/>
      <c r="U616" s="794"/>
      <c r="V616" s="794"/>
    </row>
    <row r="617" spans="1:22" ht="14.5">
      <c r="A617" s="794"/>
      <c r="B617" s="799"/>
      <c r="C617" s="797"/>
      <c r="D617" s="794"/>
      <c r="E617" s="794"/>
      <c r="F617" s="825"/>
      <c r="G617" s="818"/>
      <c r="H617" s="818"/>
      <c r="I617" s="818"/>
      <c r="J617" s="818"/>
      <c r="K617" s="818"/>
      <c r="L617" s="794"/>
      <c r="M617" s="794"/>
      <c r="N617" s="794"/>
      <c r="O617" s="794"/>
      <c r="P617" s="794"/>
      <c r="Q617" s="794"/>
      <c r="R617" s="794"/>
      <c r="S617" s="794"/>
      <c r="T617" s="794"/>
      <c r="U617" s="794"/>
      <c r="V617" s="794"/>
    </row>
    <row r="618" spans="1:22" ht="14.5">
      <c r="A618" s="794" t="s">
        <v>4085</v>
      </c>
      <c r="B618" s="799" t="s">
        <v>612</v>
      </c>
      <c r="C618" s="796" t="s">
        <v>54</v>
      </c>
      <c r="D618" s="794" t="s">
        <v>614</v>
      </c>
      <c r="E618" s="794" t="s">
        <v>445</v>
      </c>
      <c r="F618" s="825" t="s">
        <v>4212</v>
      </c>
      <c r="G618" s="890" t="s">
        <v>4051</v>
      </c>
      <c r="H618" s="890" t="s">
        <v>4140</v>
      </c>
      <c r="I618" s="890" t="s">
        <v>4053</v>
      </c>
      <c r="J618" s="890" t="s">
        <v>4213</v>
      </c>
      <c r="K618" s="794" t="s">
        <v>4214</v>
      </c>
      <c r="L618" s="794"/>
      <c r="M618" s="794"/>
      <c r="N618" s="794"/>
      <c r="O618" s="794"/>
      <c r="P618" s="794"/>
      <c r="Q618" s="794"/>
      <c r="R618" s="794"/>
      <c r="S618" s="794"/>
      <c r="T618" s="794"/>
      <c r="U618" s="794"/>
      <c r="V618" s="794"/>
    </row>
    <row r="619" spans="1:22" ht="14.5">
      <c r="A619" s="794"/>
      <c r="B619" s="799" t="s">
        <v>1018</v>
      </c>
      <c r="C619" s="796" t="s">
        <v>54</v>
      </c>
      <c r="D619" s="794" t="s">
        <v>1020</v>
      </c>
      <c r="E619" s="794" t="s">
        <v>920</v>
      </c>
      <c r="F619" s="825" t="s">
        <v>4215</v>
      </c>
      <c r="G619" s="818"/>
      <c r="H619" s="818"/>
      <c r="I619" s="818"/>
      <c r="J619" s="818"/>
      <c r="K619" s="818"/>
      <c r="L619" s="794"/>
      <c r="M619" s="794"/>
      <c r="N619" s="794"/>
      <c r="O619" s="794"/>
      <c r="P619" s="794"/>
      <c r="Q619" s="794"/>
      <c r="R619" s="794"/>
      <c r="S619" s="794"/>
      <c r="T619" s="794"/>
      <c r="U619" s="794"/>
      <c r="V619" s="794"/>
    </row>
    <row r="620" spans="1:22" ht="14.5">
      <c r="A620" s="794"/>
      <c r="B620" s="799"/>
      <c r="C620" s="797"/>
      <c r="D620" s="794"/>
      <c r="E620" s="794"/>
      <c r="F620" s="825"/>
      <c r="G620" s="818"/>
      <c r="H620" s="818"/>
      <c r="I620" s="818"/>
      <c r="J620" s="818"/>
      <c r="K620" s="818"/>
      <c r="L620" s="794"/>
      <c r="M620" s="794"/>
      <c r="N620" s="794"/>
      <c r="O620" s="794"/>
      <c r="P620" s="794"/>
      <c r="Q620" s="794"/>
      <c r="R620" s="794"/>
      <c r="S620" s="794"/>
      <c r="T620" s="794"/>
      <c r="U620" s="794"/>
      <c r="V620" s="794"/>
    </row>
    <row r="621" spans="1:22" ht="14.5">
      <c r="A621" s="794" t="s">
        <v>4216</v>
      </c>
      <c r="B621" s="799" t="s">
        <v>1870</v>
      </c>
      <c r="C621" s="796" t="s">
        <v>54</v>
      </c>
      <c r="D621" s="794" t="s">
        <v>1872</v>
      </c>
      <c r="E621" s="794" t="s">
        <v>869</v>
      </c>
      <c r="F621" s="825" t="s">
        <v>4217</v>
      </c>
      <c r="G621" s="818"/>
      <c r="H621" s="818"/>
      <c r="I621" s="818"/>
      <c r="J621" s="818"/>
      <c r="K621" s="818"/>
      <c r="L621" s="794"/>
      <c r="M621" s="794"/>
      <c r="N621" s="794"/>
      <c r="O621" s="794"/>
      <c r="P621" s="794"/>
      <c r="Q621" s="794"/>
      <c r="R621" s="794"/>
      <c r="S621" s="794"/>
      <c r="T621" s="794"/>
      <c r="U621" s="794"/>
      <c r="V621" s="794"/>
    </row>
    <row r="622" spans="1:22" ht="14.5">
      <c r="A622" s="794"/>
      <c r="B622" s="799"/>
      <c r="C622" s="797"/>
      <c r="D622" s="794"/>
      <c r="E622" s="794"/>
      <c r="F622" s="825"/>
      <c r="G622" s="818"/>
      <c r="H622" s="818"/>
      <c r="I622" s="818"/>
      <c r="J622" s="818"/>
      <c r="K622" s="818"/>
      <c r="L622" s="818"/>
      <c r="M622" s="794"/>
      <c r="N622" s="794"/>
      <c r="O622" s="794"/>
      <c r="P622" s="794"/>
      <c r="Q622" s="794"/>
      <c r="R622" s="794"/>
      <c r="S622" s="794"/>
      <c r="T622" s="794"/>
      <c r="U622" s="794"/>
      <c r="V622" s="794"/>
    </row>
    <row r="623" spans="1:22" ht="14.5">
      <c r="A623" s="794" t="s">
        <v>4218</v>
      </c>
      <c r="B623" s="799" t="s">
        <v>1870</v>
      </c>
      <c r="C623" s="796" t="s">
        <v>54</v>
      </c>
      <c r="D623" s="794" t="s">
        <v>1872</v>
      </c>
      <c r="E623" s="794" t="s">
        <v>869</v>
      </c>
      <c r="F623" s="825" t="s">
        <v>4219</v>
      </c>
      <c r="G623" s="818"/>
      <c r="H623" s="818"/>
      <c r="I623" s="818"/>
      <c r="J623" s="818"/>
      <c r="K623" s="818"/>
      <c r="L623" s="818"/>
      <c r="M623" s="794"/>
      <c r="N623" s="794"/>
      <c r="O623" s="794"/>
      <c r="P623" s="794"/>
      <c r="Q623" s="794"/>
      <c r="R623" s="794"/>
      <c r="S623" s="794"/>
      <c r="T623" s="794"/>
      <c r="U623" s="794"/>
      <c r="V623" s="794"/>
    </row>
    <row r="624" spans="1:22" ht="14.5">
      <c r="A624" s="794"/>
      <c r="B624" s="876" t="s">
        <v>1286</v>
      </c>
      <c r="C624" s="796" t="s">
        <v>54</v>
      </c>
      <c r="D624" s="794" t="s">
        <v>4220</v>
      </c>
      <c r="E624" s="794" t="s">
        <v>2482</v>
      </c>
      <c r="F624" s="825" t="s">
        <v>4221</v>
      </c>
      <c r="G624" s="818"/>
      <c r="H624" s="818"/>
      <c r="I624" s="818"/>
      <c r="J624" s="818"/>
      <c r="K624" s="818"/>
      <c r="L624" s="818"/>
      <c r="M624" s="794"/>
      <c r="N624" s="794"/>
      <c r="O624" s="794"/>
      <c r="P624" s="794"/>
      <c r="Q624" s="794"/>
      <c r="R624" s="794"/>
      <c r="S624" s="794"/>
      <c r="T624" s="794"/>
      <c r="U624" s="794"/>
      <c r="V624" s="794"/>
    </row>
    <row r="625" spans="1:22" ht="14.5">
      <c r="A625" s="794"/>
      <c r="B625" s="799" t="s">
        <v>803</v>
      </c>
      <c r="C625" s="796" t="s">
        <v>54</v>
      </c>
      <c r="D625" s="794" t="s">
        <v>805</v>
      </c>
      <c r="E625" s="794" t="s">
        <v>272</v>
      </c>
      <c r="F625" s="825" t="s">
        <v>4222</v>
      </c>
      <c r="G625" s="818"/>
      <c r="H625" s="818"/>
      <c r="I625" s="818"/>
      <c r="J625" s="818"/>
      <c r="K625" s="818"/>
      <c r="L625" s="818"/>
      <c r="M625" s="794"/>
      <c r="N625" s="794"/>
      <c r="O625" s="794"/>
      <c r="P625" s="794"/>
      <c r="Q625" s="794"/>
      <c r="R625" s="794"/>
      <c r="S625" s="794"/>
      <c r="T625" s="794"/>
      <c r="U625" s="794"/>
      <c r="V625" s="794"/>
    </row>
    <row r="626" spans="1:22" ht="14.5">
      <c r="A626" s="873">
        <v>46143</v>
      </c>
      <c r="B626" s="810"/>
      <c r="C626" s="811"/>
      <c r="D626" s="792"/>
      <c r="E626" s="792"/>
      <c r="F626" s="792"/>
      <c r="G626" s="794"/>
      <c r="H626" s="794"/>
      <c r="I626" s="794"/>
      <c r="J626" s="794"/>
      <c r="K626" s="794"/>
      <c r="L626" s="794"/>
      <c r="M626" s="794"/>
      <c r="N626" s="794"/>
      <c r="O626" s="794"/>
      <c r="P626" s="794"/>
      <c r="Q626" s="794"/>
      <c r="R626" s="794"/>
      <c r="S626" s="794"/>
      <c r="T626" s="794"/>
      <c r="U626" s="794"/>
      <c r="V626" s="794"/>
    </row>
    <row r="627" spans="1:22" ht="14.5">
      <c r="A627" s="797" t="s">
        <v>1294</v>
      </c>
      <c r="B627" s="876" t="s">
        <v>1613</v>
      </c>
      <c r="C627" s="796" t="s">
        <v>54</v>
      </c>
      <c r="D627" s="818" t="s">
        <v>1615</v>
      </c>
      <c r="E627" s="818" t="s">
        <v>272</v>
      </c>
      <c r="F627" s="849" t="s">
        <v>4223</v>
      </c>
      <c r="G627" s="806" t="s">
        <v>4083</v>
      </c>
      <c r="H627" s="818"/>
      <c r="I627" s="818"/>
      <c r="J627" s="818"/>
      <c r="K627" s="818"/>
      <c r="L627" s="818"/>
      <c r="M627" s="818"/>
      <c r="N627" s="818"/>
      <c r="O627" s="818"/>
      <c r="P627" s="818"/>
      <c r="Q627" s="818"/>
      <c r="R627" s="818"/>
      <c r="S627" s="818"/>
      <c r="T627" s="818"/>
      <c r="U627" s="818"/>
      <c r="V627" s="818"/>
    </row>
    <row r="628" spans="1:22" ht="14.5">
      <c r="A628" s="879"/>
      <c r="B628" s="876" t="s">
        <v>1194</v>
      </c>
      <c r="C628" s="803" t="s">
        <v>3577</v>
      </c>
      <c r="D628" s="818" t="s">
        <v>1196</v>
      </c>
      <c r="E628" s="818" t="s">
        <v>1200</v>
      </c>
      <c r="F628" s="825" t="s">
        <v>4224</v>
      </c>
      <c r="G628" s="806" t="s">
        <v>4083</v>
      </c>
      <c r="H628" s="818"/>
      <c r="I628" s="818"/>
      <c r="J628" s="818"/>
      <c r="K628" s="818"/>
      <c r="L628" s="818"/>
      <c r="M628" s="818"/>
      <c r="N628" s="818"/>
      <c r="O628" s="818"/>
      <c r="P628" s="818"/>
      <c r="Q628" s="818"/>
      <c r="R628" s="818"/>
      <c r="S628" s="818"/>
      <c r="T628" s="818"/>
      <c r="U628" s="818"/>
      <c r="V628" s="818"/>
    </row>
    <row r="629" spans="1:22" ht="14.5">
      <c r="A629" s="794"/>
      <c r="B629" s="891" t="s">
        <v>1515</v>
      </c>
      <c r="C629" s="796" t="s">
        <v>54</v>
      </c>
      <c r="D629" s="892" t="s">
        <v>1517</v>
      </c>
      <c r="E629" s="794" t="s">
        <v>619</v>
      </c>
      <c r="F629" s="825" t="s">
        <v>4225</v>
      </c>
      <c r="G629" s="806" t="s">
        <v>4083</v>
      </c>
      <c r="H629" s="794"/>
      <c r="I629" s="794"/>
      <c r="J629" s="794"/>
      <c r="K629" s="794"/>
      <c r="L629" s="818"/>
      <c r="M629" s="818"/>
      <c r="N629" s="818"/>
      <c r="O629" s="818"/>
      <c r="P629" s="818"/>
      <c r="Q629" s="818"/>
      <c r="R629" s="818"/>
      <c r="S629" s="818"/>
      <c r="T629" s="818"/>
      <c r="U629" s="818"/>
      <c r="V629" s="818"/>
    </row>
    <row r="630" spans="1:22" ht="14.5">
      <c r="A630" s="794"/>
      <c r="B630" s="799" t="s">
        <v>159</v>
      </c>
      <c r="C630" s="803" t="s">
        <v>3577</v>
      </c>
      <c r="D630" s="794" t="s">
        <v>161</v>
      </c>
      <c r="E630" s="818" t="s">
        <v>164</v>
      </c>
      <c r="F630" s="825" t="s">
        <v>4226</v>
      </c>
      <c r="G630" s="806" t="s">
        <v>4083</v>
      </c>
      <c r="H630" s="794"/>
      <c r="I630" s="794"/>
      <c r="J630" s="794"/>
      <c r="K630" s="794"/>
      <c r="L630" s="818"/>
      <c r="M630" s="818"/>
      <c r="N630" s="818"/>
      <c r="O630" s="818"/>
      <c r="P630" s="818"/>
      <c r="Q630" s="818"/>
      <c r="R630" s="818"/>
      <c r="S630" s="818"/>
      <c r="T630" s="818"/>
      <c r="U630" s="818"/>
      <c r="V630" s="818"/>
    </row>
    <row r="631" spans="1:22" ht="14.5">
      <c r="A631" s="794"/>
      <c r="B631" s="893" t="s">
        <v>1369</v>
      </c>
      <c r="C631" s="803" t="s">
        <v>3577</v>
      </c>
      <c r="D631" s="894" t="s">
        <v>1371</v>
      </c>
      <c r="E631" s="868" t="s">
        <v>1352</v>
      </c>
      <c r="F631" s="825" t="s">
        <v>4227</v>
      </c>
      <c r="G631" s="806" t="s">
        <v>4083</v>
      </c>
      <c r="H631" s="794"/>
      <c r="I631" s="794"/>
      <c r="J631" s="794"/>
      <c r="K631" s="794"/>
      <c r="L631" s="818"/>
      <c r="M631" s="818"/>
      <c r="N631" s="818"/>
      <c r="O631" s="818"/>
      <c r="P631" s="818"/>
      <c r="Q631" s="818"/>
      <c r="R631" s="818"/>
      <c r="S631" s="818"/>
      <c r="T631" s="818"/>
      <c r="U631" s="818"/>
      <c r="V631" s="818"/>
    </row>
    <row r="632" spans="1:22" ht="14.5">
      <c r="A632" s="879"/>
      <c r="B632" s="836" t="s">
        <v>697</v>
      </c>
      <c r="C632" s="796" t="s">
        <v>54</v>
      </c>
      <c r="D632" s="833" t="s">
        <v>699</v>
      </c>
      <c r="E632" s="821" t="s">
        <v>688</v>
      </c>
      <c r="F632" s="849" t="s">
        <v>4228</v>
      </c>
      <c r="G632" s="806" t="s">
        <v>4083</v>
      </c>
      <c r="H632" s="818"/>
      <c r="I632" s="818"/>
      <c r="J632" s="818"/>
      <c r="K632" s="818"/>
      <c r="L632" s="818"/>
      <c r="M632" s="818"/>
      <c r="N632" s="818"/>
      <c r="O632" s="818"/>
      <c r="P632" s="818"/>
      <c r="Q632" s="818"/>
      <c r="R632" s="818"/>
      <c r="S632" s="818"/>
      <c r="T632" s="818"/>
      <c r="U632" s="818"/>
      <c r="V632" s="818"/>
    </row>
    <row r="633" spans="1:22" ht="14.5">
      <c r="A633" s="879"/>
      <c r="B633" s="836" t="s">
        <v>899</v>
      </c>
      <c r="C633" s="796" t="s">
        <v>54</v>
      </c>
      <c r="D633" s="868" t="s">
        <v>901</v>
      </c>
      <c r="E633" s="821" t="s">
        <v>747</v>
      </c>
      <c r="F633" s="849" t="s">
        <v>4228</v>
      </c>
      <c r="G633" s="806" t="s">
        <v>4083</v>
      </c>
      <c r="H633" s="818"/>
      <c r="I633" s="818"/>
      <c r="J633" s="818"/>
      <c r="K633" s="818"/>
      <c r="L633" s="818"/>
      <c r="M633" s="818"/>
      <c r="N633" s="818"/>
      <c r="O633" s="818"/>
      <c r="P633" s="818"/>
      <c r="Q633" s="818"/>
      <c r="R633" s="818"/>
      <c r="S633" s="818"/>
      <c r="T633" s="818"/>
      <c r="U633" s="818"/>
      <c r="V633" s="818"/>
    </row>
    <row r="634" spans="1:22" ht="14.5">
      <c r="A634" s="794"/>
      <c r="B634" s="799"/>
      <c r="C634" s="794"/>
      <c r="D634" s="794"/>
      <c r="E634" s="794"/>
      <c r="F634" s="825"/>
      <c r="G634" s="794"/>
      <c r="H634" s="794"/>
      <c r="I634" s="794"/>
      <c r="J634" s="794"/>
      <c r="K634" s="794"/>
      <c r="L634" s="818"/>
      <c r="M634" s="818"/>
      <c r="N634" s="818"/>
      <c r="O634" s="818"/>
      <c r="P634" s="818"/>
      <c r="Q634" s="818"/>
      <c r="R634" s="818"/>
      <c r="S634" s="818"/>
      <c r="T634" s="818"/>
      <c r="U634" s="818"/>
      <c r="V634" s="818"/>
    </row>
    <row r="635" spans="1:22" ht="14.5">
      <c r="A635" s="794" t="s">
        <v>3646</v>
      </c>
      <c r="B635" s="848"/>
      <c r="C635" s="803" t="s">
        <v>3577</v>
      </c>
      <c r="D635" s="794" t="s">
        <v>2263</v>
      </c>
      <c r="E635" s="806" t="s">
        <v>106</v>
      </c>
      <c r="F635" s="834" t="s">
        <v>4229</v>
      </c>
      <c r="G635" s="806" t="s">
        <v>4230</v>
      </c>
      <c r="H635" s="806" t="s">
        <v>4033</v>
      </c>
      <c r="I635" s="806" t="s">
        <v>4203</v>
      </c>
      <c r="J635" s="806" t="s">
        <v>4109</v>
      </c>
      <c r="K635" s="806" t="s">
        <v>4043</v>
      </c>
      <c r="L635" s="794"/>
      <c r="M635" s="818"/>
      <c r="N635" s="818"/>
      <c r="O635" s="818"/>
      <c r="P635" s="818"/>
      <c r="Q635" s="818"/>
      <c r="R635" s="818"/>
      <c r="S635" s="818"/>
      <c r="T635" s="818"/>
      <c r="U635" s="818"/>
      <c r="V635" s="818"/>
    </row>
    <row r="636" spans="1:22" ht="14.5">
      <c r="A636" s="879"/>
      <c r="B636" s="889"/>
      <c r="C636" s="796" t="s">
        <v>54</v>
      </c>
      <c r="D636" s="458" t="s">
        <v>2270</v>
      </c>
      <c r="E636" s="794" t="s">
        <v>445</v>
      </c>
      <c r="F636" s="895" t="s">
        <v>4231</v>
      </c>
      <c r="G636" s="794"/>
      <c r="H636" s="794"/>
      <c r="I636" s="794"/>
      <c r="J636" s="794"/>
      <c r="K636" s="794"/>
      <c r="L636" s="794"/>
      <c r="M636" s="794"/>
      <c r="N636" s="794"/>
      <c r="O636" s="794"/>
      <c r="P636" s="818"/>
      <c r="Q636" s="818"/>
      <c r="R636" s="818"/>
      <c r="S636" s="818"/>
      <c r="T636" s="818"/>
      <c r="U636" s="818"/>
      <c r="V636" s="818"/>
    </row>
    <row r="637" spans="1:22" ht="14.5">
      <c r="A637" s="879"/>
      <c r="B637" s="889"/>
      <c r="C637" s="796" t="s">
        <v>54</v>
      </c>
      <c r="D637" s="458" t="s">
        <v>3156</v>
      </c>
      <c r="E637" s="806" t="s">
        <v>4232</v>
      </c>
      <c r="F637" s="895" t="s">
        <v>4233</v>
      </c>
      <c r="G637" s="806" t="s">
        <v>4032</v>
      </c>
      <c r="H637" s="806" t="s">
        <v>4033</v>
      </c>
      <c r="I637" s="806" t="s">
        <v>4062</v>
      </c>
      <c r="J637" s="806" t="s">
        <v>3850</v>
      </c>
      <c r="K637" s="806" t="s">
        <v>4196</v>
      </c>
      <c r="L637" s="806" t="s">
        <v>4043</v>
      </c>
      <c r="M637" s="806" t="s">
        <v>4198</v>
      </c>
      <c r="N637" s="818"/>
      <c r="O637" s="818"/>
      <c r="P637" s="818"/>
      <c r="Q637" s="818"/>
      <c r="R637" s="818"/>
      <c r="S637" s="818"/>
      <c r="T637" s="818"/>
      <c r="U637" s="818"/>
      <c r="V637" s="818"/>
    </row>
    <row r="638" spans="1:22" ht="14.5">
      <c r="A638" s="879"/>
      <c r="B638" s="876"/>
      <c r="C638" s="850"/>
      <c r="D638" s="818"/>
      <c r="E638" s="818"/>
      <c r="F638" s="818"/>
      <c r="G638" s="818"/>
      <c r="H638" s="818"/>
      <c r="I638" s="818"/>
      <c r="J638" s="818"/>
      <c r="K638" s="818"/>
      <c r="L638" s="818"/>
      <c r="M638" s="818"/>
      <c r="N638" s="818"/>
      <c r="O638" s="818"/>
      <c r="P638" s="818"/>
      <c r="Q638" s="818"/>
      <c r="R638" s="818"/>
      <c r="S638" s="818"/>
      <c r="T638" s="818"/>
      <c r="U638" s="818"/>
      <c r="V638" s="818"/>
    </row>
    <row r="639" spans="1:22" ht="25">
      <c r="A639" s="801" t="s">
        <v>67</v>
      </c>
      <c r="B639" s="876" t="s">
        <v>1377</v>
      </c>
      <c r="C639" s="803" t="s">
        <v>3577</v>
      </c>
      <c r="D639" s="806" t="s">
        <v>1379</v>
      </c>
      <c r="E639" s="818" t="s">
        <v>1352</v>
      </c>
      <c r="F639" s="896" t="s">
        <v>4234</v>
      </c>
      <c r="G639" s="794" t="s">
        <v>4083</v>
      </c>
      <c r="H639" s="794" t="s">
        <v>4074</v>
      </c>
      <c r="I639" s="806" t="s">
        <v>46</v>
      </c>
      <c r="J639" s="806" t="s">
        <v>4084</v>
      </c>
      <c r="K639" s="806" t="s">
        <v>4075</v>
      </c>
      <c r="L639" s="806" t="s">
        <v>4006</v>
      </c>
      <c r="M639" s="818"/>
      <c r="N639" s="818"/>
      <c r="O639" s="818"/>
      <c r="P639" s="818"/>
      <c r="Q639" s="818"/>
      <c r="R639" s="818"/>
      <c r="S639" s="818"/>
      <c r="T639" s="818"/>
      <c r="U639" s="818"/>
      <c r="V639" s="818"/>
    </row>
    <row r="640" spans="1:22" ht="14.5">
      <c r="A640" s="879"/>
      <c r="B640" s="876"/>
      <c r="C640" s="850"/>
      <c r="D640" s="818"/>
      <c r="E640" s="818"/>
      <c r="F640" s="818"/>
      <c r="G640" s="818"/>
      <c r="H640" s="818"/>
      <c r="I640" s="818"/>
      <c r="J640" s="818"/>
      <c r="K640" s="818"/>
      <c r="L640" s="818"/>
      <c r="M640" s="818"/>
      <c r="N640" s="818"/>
      <c r="O640" s="818"/>
      <c r="P640" s="818"/>
      <c r="Q640" s="818"/>
      <c r="R640" s="818"/>
      <c r="S640" s="818"/>
      <c r="T640" s="818"/>
      <c r="U640" s="818"/>
      <c r="V640" s="818"/>
    </row>
    <row r="641" spans="1:22" ht="14.5">
      <c r="A641" s="873">
        <v>46174</v>
      </c>
      <c r="B641" s="810"/>
      <c r="C641" s="811"/>
      <c r="D641" s="792"/>
      <c r="E641" s="792"/>
      <c r="F641" s="792"/>
      <c r="G641" s="794"/>
      <c r="H641" s="794"/>
      <c r="I641" s="794"/>
      <c r="J641" s="794"/>
      <c r="K641" s="794"/>
      <c r="L641" s="794"/>
      <c r="M641" s="794"/>
      <c r="N641" s="794"/>
      <c r="O641" s="794"/>
      <c r="P641" s="794"/>
      <c r="Q641" s="794"/>
      <c r="R641" s="794"/>
      <c r="S641" s="794"/>
      <c r="T641" s="794"/>
      <c r="U641" s="794"/>
      <c r="V641" s="794"/>
    </row>
    <row r="642" spans="1:22" ht="14.5">
      <c r="A642" s="797" t="s">
        <v>1294</v>
      </c>
      <c r="B642" s="876" t="s">
        <v>1902</v>
      </c>
      <c r="C642" s="803" t="s">
        <v>3577</v>
      </c>
      <c r="D642" s="818" t="s">
        <v>1904</v>
      </c>
      <c r="E642" s="818" t="s">
        <v>200</v>
      </c>
      <c r="F642" s="849" t="s">
        <v>4235</v>
      </c>
      <c r="G642" s="806" t="s">
        <v>4083</v>
      </c>
      <c r="H642" s="818"/>
      <c r="I642" s="818"/>
      <c r="J642" s="818"/>
      <c r="K642" s="818"/>
      <c r="L642" s="818"/>
      <c r="M642" s="818"/>
      <c r="N642" s="818"/>
      <c r="O642" s="818"/>
      <c r="P642" s="818"/>
      <c r="Q642" s="818"/>
      <c r="R642" s="818"/>
      <c r="S642" s="818"/>
      <c r="T642" s="818"/>
      <c r="U642" s="818"/>
      <c r="V642" s="818"/>
    </row>
    <row r="643" spans="1:22" ht="14.5">
      <c r="A643" s="879"/>
      <c r="B643" s="876" t="s">
        <v>1523</v>
      </c>
      <c r="C643" s="796" t="s">
        <v>54</v>
      </c>
      <c r="D643" s="818" t="s">
        <v>1525</v>
      </c>
      <c r="E643" s="818" t="s">
        <v>64</v>
      </c>
      <c r="F643" s="849" t="s">
        <v>4236</v>
      </c>
      <c r="G643" s="806" t="s">
        <v>4083</v>
      </c>
      <c r="H643" s="818"/>
      <c r="I643" s="818"/>
      <c r="J643" s="818"/>
      <c r="K643" s="818"/>
      <c r="L643" s="818"/>
      <c r="M643" s="818"/>
      <c r="N643" s="818"/>
      <c r="O643" s="818"/>
      <c r="P643" s="818"/>
      <c r="Q643" s="818"/>
      <c r="R643" s="818"/>
      <c r="S643" s="818"/>
      <c r="T643" s="818"/>
      <c r="U643" s="818"/>
      <c r="V643" s="818"/>
    </row>
    <row r="644" spans="1:22" ht="14.5">
      <c r="A644" s="879"/>
      <c r="B644" s="876" t="s">
        <v>1388</v>
      </c>
      <c r="C644" s="803" t="s">
        <v>3577</v>
      </c>
      <c r="D644" s="806" t="s">
        <v>1390</v>
      </c>
      <c r="E644" s="28" t="s">
        <v>1352</v>
      </c>
      <c r="F644" s="849" t="s">
        <v>4237</v>
      </c>
      <c r="G644" s="818"/>
      <c r="H644" s="818"/>
      <c r="I644" s="818"/>
      <c r="J644" s="818"/>
      <c r="K644" s="818"/>
      <c r="L644" s="818"/>
      <c r="M644" s="818"/>
      <c r="N644" s="818"/>
      <c r="O644" s="818"/>
      <c r="P644" s="818"/>
      <c r="Q644" s="818"/>
      <c r="R644" s="818"/>
      <c r="S644" s="818"/>
      <c r="T644" s="818"/>
      <c r="U644" s="818"/>
      <c r="V644" s="818"/>
    </row>
    <row r="645" spans="1:22" ht="14.5">
      <c r="A645" s="879"/>
      <c r="B645" s="876"/>
      <c r="C645" s="850"/>
      <c r="D645" s="818"/>
      <c r="E645" s="818"/>
      <c r="F645" s="818"/>
      <c r="G645" s="818"/>
      <c r="H645" s="818"/>
      <c r="I645" s="818"/>
      <c r="J645" s="818"/>
      <c r="K645" s="818"/>
      <c r="L645" s="818"/>
      <c r="M645" s="818"/>
      <c r="N645" s="818"/>
      <c r="O645" s="818"/>
      <c r="P645" s="818"/>
      <c r="Q645" s="818"/>
      <c r="R645" s="818"/>
      <c r="S645" s="818"/>
      <c r="T645" s="818"/>
      <c r="U645" s="818"/>
      <c r="V645" s="818"/>
    </row>
    <row r="646" spans="1:22" ht="14.5">
      <c r="A646" s="794" t="s">
        <v>4150</v>
      </c>
      <c r="B646" s="848"/>
      <c r="C646" s="803" t="s">
        <v>3577</v>
      </c>
      <c r="D646" s="794" t="s">
        <v>3147</v>
      </c>
      <c r="E646" s="818" t="s">
        <v>1213</v>
      </c>
      <c r="F646" s="834" t="s">
        <v>4238</v>
      </c>
      <c r="G646" s="806" t="s">
        <v>4032</v>
      </c>
      <c r="H646" s="806" t="s">
        <v>4033</v>
      </c>
      <c r="I646" s="806" t="s">
        <v>4203</v>
      </c>
      <c r="J646" s="806" t="s">
        <v>4109</v>
      </c>
      <c r="K646" s="806" t="s">
        <v>4043</v>
      </c>
      <c r="L646" s="794"/>
      <c r="M646" s="794"/>
      <c r="N646" s="794"/>
      <c r="O646" s="794"/>
      <c r="P646" s="794"/>
      <c r="Q646" s="794"/>
      <c r="R646" s="794"/>
      <c r="S646" s="794"/>
      <c r="T646" s="794"/>
      <c r="U646" s="794"/>
      <c r="V646" s="794"/>
    </row>
    <row r="647" spans="1:22" ht="14.5">
      <c r="A647" s="794"/>
      <c r="B647" s="848"/>
      <c r="C647" s="803" t="s">
        <v>3577</v>
      </c>
      <c r="D647" s="821" t="s">
        <v>2274</v>
      </c>
      <c r="E647" s="818" t="s">
        <v>136</v>
      </c>
      <c r="F647" s="834" t="s">
        <v>4239</v>
      </c>
      <c r="G647" s="806" t="s">
        <v>4032</v>
      </c>
      <c r="H647" s="806" t="s">
        <v>4033</v>
      </c>
      <c r="I647" s="806" t="s">
        <v>4203</v>
      </c>
      <c r="J647" s="806" t="s">
        <v>4109</v>
      </c>
      <c r="K647" s="806" t="s">
        <v>4043</v>
      </c>
      <c r="L647" s="794"/>
      <c r="M647" s="794"/>
      <c r="N647" s="794"/>
      <c r="O647" s="794"/>
      <c r="P647" s="794"/>
      <c r="Q647" s="794"/>
      <c r="R647" s="794"/>
      <c r="S647" s="794"/>
      <c r="T647" s="794"/>
      <c r="U647" s="794"/>
      <c r="V647" s="794"/>
    </row>
    <row r="648" spans="1:22" ht="14.5">
      <c r="A648" s="794"/>
      <c r="B648" s="889"/>
      <c r="C648" s="796" t="s">
        <v>54</v>
      </c>
      <c r="D648" s="818" t="s">
        <v>3204</v>
      </c>
      <c r="E648" s="806" t="s">
        <v>3145</v>
      </c>
      <c r="F648" s="834" t="s">
        <v>4240</v>
      </c>
      <c r="G648" s="806" t="s">
        <v>4032</v>
      </c>
      <c r="H648" s="806" t="s">
        <v>4033</v>
      </c>
      <c r="I648" s="806" t="s">
        <v>4062</v>
      </c>
      <c r="J648" s="806" t="s">
        <v>3850</v>
      </c>
      <c r="K648" s="806" t="s">
        <v>4196</v>
      </c>
      <c r="L648" s="806" t="s">
        <v>4043</v>
      </c>
      <c r="M648" s="806" t="s">
        <v>4198</v>
      </c>
      <c r="N648" s="818"/>
      <c r="O648" s="818"/>
      <c r="P648" s="818"/>
      <c r="Q648" s="818"/>
      <c r="R648" s="818"/>
      <c r="S648" s="818"/>
      <c r="T648" s="818"/>
      <c r="U648" s="818"/>
      <c r="V648" s="818"/>
    </row>
    <row r="649" spans="1:22" ht="14.5">
      <c r="A649" s="879"/>
      <c r="B649" s="889"/>
      <c r="C649" s="796" t="s">
        <v>54</v>
      </c>
      <c r="D649" s="818" t="s">
        <v>3207</v>
      </c>
      <c r="E649" s="806" t="s">
        <v>3145</v>
      </c>
      <c r="F649" s="834" t="s">
        <v>4240</v>
      </c>
      <c r="G649" s="806" t="s">
        <v>4032</v>
      </c>
      <c r="H649" s="806" t="s">
        <v>4033</v>
      </c>
      <c r="I649" s="806" t="s">
        <v>4062</v>
      </c>
      <c r="J649" s="806" t="s">
        <v>3850</v>
      </c>
      <c r="K649" s="806" t="s">
        <v>4196</v>
      </c>
      <c r="L649" s="806" t="s">
        <v>4043</v>
      </c>
      <c r="M649" s="806" t="s">
        <v>4198</v>
      </c>
      <c r="N649" s="818"/>
      <c r="O649" s="818"/>
      <c r="P649" s="818"/>
      <c r="Q649" s="818"/>
      <c r="R649" s="818"/>
      <c r="S649" s="818"/>
      <c r="T649" s="818"/>
      <c r="U649" s="818"/>
      <c r="V649" s="818"/>
    </row>
    <row r="650" spans="1:22" ht="14.5">
      <c r="A650" s="879"/>
      <c r="B650" s="889"/>
      <c r="C650" s="796" t="s">
        <v>54</v>
      </c>
      <c r="D650" s="818" t="s">
        <v>3210</v>
      </c>
      <c r="E650" s="806" t="s">
        <v>3145</v>
      </c>
      <c r="F650" s="834" t="s">
        <v>4240</v>
      </c>
      <c r="G650" s="806" t="s">
        <v>4032</v>
      </c>
      <c r="H650" s="806" t="s">
        <v>4033</v>
      </c>
      <c r="I650" s="806" t="s">
        <v>4062</v>
      </c>
      <c r="J650" s="806" t="s">
        <v>3850</v>
      </c>
      <c r="K650" s="806" t="s">
        <v>4196</v>
      </c>
      <c r="L650" s="806" t="s">
        <v>4043</v>
      </c>
      <c r="M650" s="806" t="s">
        <v>4198</v>
      </c>
      <c r="N650" s="818"/>
      <c r="O650" s="818"/>
      <c r="P650" s="818"/>
      <c r="Q650" s="818"/>
      <c r="R650" s="818"/>
      <c r="S650" s="818"/>
      <c r="T650" s="818"/>
      <c r="U650" s="818"/>
      <c r="V650" s="818"/>
    </row>
    <row r="651" spans="1:22" ht="14.5">
      <c r="A651" s="879"/>
      <c r="B651" s="889"/>
      <c r="C651" s="796" t="s">
        <v>54</v>
      </c>
      <c r="D651" s="818" t="s">
        <v>3213</v>
      </c>
      <c r="E651" s="818" t="s">
        <v>3216</v>
      </c>
      <c r="F651" s="834" t="s">
        <v>4241</v>
      </c>
      <c r="G651" s="806" t="s">
        <v>4032</v>
      </c>
      <c r="H651" s="806" t="s">
        <v>4033</v>
      </c>
      <c r="I651" s="806" t="s">
        <v>4062</v>
      </c>
      <c r="J651" s="806" t="s">
        <v>3850</v>
      </c>
      <c r="K651" s="806" t="s">
        <v>4196</v>
      </c>
      <c r="L651" s="806" t="s">
        <v>4043</v>
      </c>
      <c r="M651" s="806" t="s">
        <v>4198</v>
      </c>
      <c r="N651" s="818"/>
      <c r="O651" s="818"/>
      <c r="P651" s="818"/>
      <c r="Q651" s="818"/>
      <c r="R651" s="818"/>
      <c r="S651" s="818"/>
      <c r="T651" s="818"/>
      <c r="U651" s="818"/>
      <c r="V651" s="818"/>
    </row>
    <row r="652" spans="1:22" ht="14.5">
      <c r="A652" s="879"/>
      <c r="B652" s="889"/>
      <c r="C652" s="796" t="s">
        <v>54</v>
      </c>
      <c r="D652" s="818" t="s">
        <v>3217</v>
      </c>
      <c r="E652" s="818" t="s">
        <v>3216</v>
      </c>
      <c r="F652" s="834" t="s">
        <v>4241</v>
      </c>
      <c r="G652" s="806" t="s">
        <v>4032</v>
      </c>
      <c r="H652" s="806" t="s">
        <v>4033</v>
      </c>
      <c r="I652" s="806" t="s">
        <v>4062</v>
      </c>
      <c r="J652" s="806" t="s">
        <v>3850</v>
      </c>
      <c r="K652" s="806" t="s">
        <v>4196</v>
      </c>
      <c r="L652" s="806" t="s">
        <v>4043</v>
      </c>
      <c r="M652" s="806" t="s">
        <v>4198</v>
      </c>
      <c r="N652" s="818"/>
      <c r="O652" s="818"/>
      <c r="P652" s="818"/>
      <c r="Q652" s="818"/>
      <c r="R652" s="818"/>
      <c r="S652" s="818"/>
      <c r="T652" s="818"/>
      <c r="U652" s="818"/>
      <c r="V652" s="818"/>
    </row>
    <row r="653" spans="1:22" ht="14.5">
      <c r="A653" s="879"/>
      <c r="B653" s="889"/>
      <c r="C653" s="796" t="s">
        <v>54</v>
      </c>
      <c r="D653" s="818" t="s">
        <v>3220</v>
      </c>
      <c r="E653" s="818" t="s">
        <v>3216</v>
      </c>
      <c r="F653" s="834" t="s">
        <v>4241</v>
      </c>
      <c r="G653" s="806" t="s">
        <v>4032</v>
      </c>
      <c r="H653" s="806" t="s">
        <v>4033</v>
      </c>
      <c r="I653" s="806" t="s">
        <v>4062</v>
      </c>
      <c r="J653" s="806" t="s">
        <v>3850</v>
      </c>
      <c r="K653" s="806" t="s">
        <v>4196</v>
      </c>
      <c r="L653" s="806" t="s">
        <v>4043</v>
      </c>
      <c r="M653" s="806" t="s">
        <v>4198</v>
      </c>
      <c r="N653" s="818"/>
      <c r="O653" s="818"/>
      <c r="P653" s="818"/>
      <c r="Q653" s="818"/>
      <c r="R653" s="818"/>
      <c r="S653" s="818"/>
      <c r="T653" s="818"/>
      <c r="U653" s="818"/>
      <c r="V653" s="818"/>
    </row>
    <row r="654" spans="1:22" ht="14.5">
      <c r="A654" s="879"/>
      <c r="B654" s="889"/>
      <c r="C654" s="796" t="s">
        <v>54</v>
      </c>
      <c r="D654" s="818" t="s">
        <v>3223</v>
      </c>
      <c r="E654" s="818" t="s">
        <v>3216</v>
      </c>
      <c r="F654" s="834" t="s">
        <v>4241</v>
      </c>
      <c r="G654" s="806" t="s">
        <v>4032</v>
      </c>
      <c r="H654" s="806" t="s">
        <v>4033</v>
      </c>
      <c r="I654" s="806" t="s">
        <v>4062</v>
      </c>
      <c r="J654" s="806" t="s">
        <v>3850</v>
      </c>
      <c r="K654" s="806" t="s">
        <v>4196</v>
      </c>
      <c r="L654" s="806" t="s">
        <v>4043</v>
      </c>
      <c r="M654" s="806" t="s">
        <v>4198</v>
      </c>
      <c r="N654" s="818"/>
      <c r="O654" s="818"/>
      <c r="P654" s="818"/>
      <c r="Q654" s="818"/>
      <c r="R654" s="818"/>
      <c r="S654" s="818"/>
      <c r="T654" s="818"/>
      <c r="U654" s="818"/>
      <c r="V654" s="818"/>
    </row>
    <row r="655" spans="1:22" ht="14.5">
      <c r="A655" s="879"/>
      <c r="B655" s="889"/>
      <c r="C655" s="796" t="s">
        <v>54</v>
      </c>
      <c r="D655" s="818" t="s">
        <v>3226</v>
      </c>
      <c r="E655" s="818" t="s">
        <v>3216</v>
      </c>
      <c r="F655" s="834" t="s">
        <v>4241</v>
      </c>
      <c r="G655" s="806" t="s">
        <v>4032</v>
      </c>
      <c r="H655" s="806" t="s">
        <v>4033</v>
      </c>
      <c r="I655" s="806" t="s">
        <v>4062</v>
      </c>
      <c r="J655" s="806" t="s">
        <v>3850</v>
      </c>
      <c r="K655" s="806" t="s">
        <v>4196</v>
      </c>
      <c r="L655" s="806" t="s">
        <v>4043</v>
      </c>
      <c r="M655" s="806" t="s">
        <v>4198</v>
      </c>
      <c r="N655" s="818"/>
      <c r="O655" s="818"/>
      <c r="P655" s="818"/>
      <c r="Q655" s="818"/>
      <c r="R655" s="818"/>
      <c r="S655" s="818"/>
      <c r="T655" s="818"/>
      <c r="U655" s="818"/>
      <c r="V655" s="818"/>
    </row>
    <row r="656" spans="1:22" ht="14.5">
      <c r="A656" s="879"/>
      <c r="B656" s="889"/>
      <c r="C656" s="796" t="s">
        <v>54</v>
      </c>
      <c r="D656" s="818" t="s">
        <v>3228</v>
      </c>
      <c r="E656" s="818" t="s">
        <v>3216</v>
      </c>
      <c r="F656" s="834" t="s">
        <v>4241</v>
      </c>
      <c r="G656" s="806" t="s">
        <v>4032</v>
      </c>
      <c r="H656" s="806" t="s">
        <v>4033</v>
      </c>
      <c r="I656" s="806" t="s">
        <v>4062</v>
      </c>
      <c r="J656" s="806" t="s">
        <v>3850</v>
      </c>
      <c r="K656" s="806" t="s">
        <v>4196</v>
      </c>
      <c r="L656" s="806" t="s">
        <v>4043</v>
      </c>
      <c r="M656" s="806" t="s">
        <v>4198</v>
      </c>
      <c r="N656" s="818"/>
      <c r="O656" s="818"/>
      <c r="P656" s="818"/>
      <c r="Q656" s="818"/>
      <c r="R656" s="818"/>
      <c r="S656" s="818"/>
      <c r="T656" s="818"/>
      <c r="U656" s="818"/>
      <c r="V656" s="818"/>
    </row>
    <row r="657" spans="1:22" ht="14.5">
      <c r="A657" s="879"/>
      <c r="B657" s="889"/>
      <c r="C657" s="796" t="s">
        <v>54</v>
      </c>
      <c r="D657" s="818" t="s">
        <v>3231</v>
      </c>
      <c r="E657" s="806" t="s">
        <v>3145</v>
      </c>
      <c r="F657" s="834" t="s">
        <v>4240</v>
      </c>
      <c r="G657" s="806" t="s">
        <v>4032</v>
      </c>
      <c r="H657" s="806" t="s">
        <v>4033</v>
      </c>
      <c r="I657" s="806" t="s">
        <v>4062</v>
      </c>
      <c r="J657" s="806" t="s">
        <v>3850</v>
      </c>
      <c r="K657" s="806" t="s">
        <v>4196</v>
      </c>
      <c r="L657" s="806" t="s">
        <v>4043</v>
      </c>
      <c r="M657" s="806" t="s">
        <v>4198</v>
      </c>
      <c r="N657" s="818"/>
      <c r="O657" s="818"/>
      <c r="P657" s="818"/>
      <c r="Q657" s="818"/>
      <c r="R657" s="818"/>
      <c r="S657" s="818"/>
      <c r="T657" s="818"/>
      <c r="U657" s="818"/>
      <c r="V657" s="818"/>
    </row>
    <row r="658" spans="1:22" ht="14.5">
      <c r="A658" s="879"/>
      <c r="B658" s="889"/>
      <c r="C658" s="796" t="s">
        <v>54</v>
      </c>
      <c r="D658" s="818" t="s">
        <v>3235</v>
      </c>
      <c r="E658" s="806" t="s">
        <v>3145</v>
      </c>
      <c r="F658" s="834" t="s">
        <v>4240</v>
      </c>
      <c r="G658" s="806" t="s">
        <v>4032</v>
      </c>
      <c r="H658" s="806" t="s">
        <v>4033</v>
      </c>
      <c r="I658" s="806" t="s">
        <v>4062</v>
      </c>
      <c r="J658" s="806" t="s">
        <v>3850</v>
      </c>
      <c r="K658" s="806" t="s">
        <v>4196</v>
      </c>
      <c r="L658" s="806" t="s">
        <v>4043</v>
      </c>
      <c r="M658" s="806" t="s">
        <v>4198</v>
      </c>
      <c r="N658" s="818"/>
      <c r="O658" s="818"/>
      <c r="P658" s="818"/>
      <c r="Q658" s="818"/>
      <c r="R658" s="818"/>
      <c r="S658" s="818"/>
      <c r="T658" s="818"/>
      <c r="U658" s="818"/>
      <c r="V658" s="818"/>
    </row>
    <row r="659" spans="1:22" ht="14.5">
      <c r="A659" s="879"/>
      <c r="B659" s="889"/>
      <c r="C659" s="796" t="s">
        <v>54</v>
      </c>
      <c r="D659" s="818" t="s">
        <v>3238</v>
      </c>
      <c r="E659" s="806" t="s">
        <v>3145</v>
      </c>
      <c r="F659" s="834" t="s">
        <v>4240</v>
      </c>
      <c r="G659" s="806" t="s">
        <v>4032</v>
      </c>
      <c r="H659" s="806" t="s">
        <v>4033</v>
      </c>
      <c r="I659" s="806" t="s">
        <v>4062</v>
      </c>
      <c r="J659" s="806" t="s">
        <v>3850</v>
      </c>
      <c r="K659" s="806" t="s">
        <v>4196</v>
      </c>
      <c r="L659" s="806" t="s">
        <v>4043</v>
      </c>
      <c r="M659" s="806" t="s">
        <v>4198</v>
      </c>
      <c r="N659" s="818"/>
      <c r="O659" s="818"/>
      <c r="P659" s="818"/>
      <c r="Q659" s="818"/>
      <c r="R659" s="818"/>
      <c r="S659" s="818"/>
      <c r="T659" s="818"/>
      <c r="U659" s="818"/>
      <c r="V659" s="818"/>
    </row>
    <row r="660" spans="1:22" ht="14.5">
      <c r="A660" s="879"/>
      <c r="B660" s="889"/>
      <c r="C660" s="796" t="s">
        <v>54</v>
      </c>
      <c r="D660" s="818" t="s">
        <v>3241</v>
      </c>
      <c r="E660" s="806" t="s">
        <v>3145</v>
      </c>
      <c r="F660" s="834" t="s">
        <v>4240</v>
      </c>
      <c r="G660" s="806" t="s">
        <v>4032</v>
      </c>
      <c r="H660" s="806" t="s">
        <v>4033</v>
      </c>
      <c r="I660" s="806" t="s">
        <v>4062</v>
      </c>
      <c r="J660" s="806" t="s">
        <v>3850</v>
      </c>
      <c r="K660" s="806" t="s">
        <v>4196</v>
      </c>
      <c r="L660" s="806" t="s">
        <v>4043</v>
      </c>
      <c r="M660" s="806" t="s">
        <v>4198</v>
      </c>
      <c r="N660" s="818"/>
      <c r="O660" s="818"/>
      <c r="P660" s="818"/>
      <c r="Q660" s="818"/>
      <c r="R660" s="818"/>
      <c r="S660" s="818"/>
      <c r="T660" s="818"/>
      <c r="U660" s="818"/>
      <c r="V660" s="818"/>
    </row>
    <row r="661" spans="1:22" ht="14.5">
      <c r="A661" s="879"/>
      <c r="B661" s="889"/>
      <c r="C661" s="796" t="s">
        <v>54</v>
      </c>
      <c r="D661" s="818" t="s">
        <v>3244</v>
      </c>
      <c r="E661" s="806" t="s">
        <v>3145</v>
      </c>
      <c r="F661" s="834" t="s">
        <v>4240</v>
      </c>
      <c r="G661" s="806" t="s">
        <v>4032</v>
      </c>
      <c r="H661" s="806" t="s">
        <v>4033</v>
      </c>
      <c r="I661" s="806" t="s">
        <v>4062</v>
      </c>
      <c r="J661" s="806" t="s">
        <v>3850</v>
      </c>
      <c r="K661" s="806" t="s">
        <v>4196</v>
      </c>
      <c r="L661" s="806" t="s">
        <v>4043</v>
      </c>
      <c r="M661" s="806" t="s">
        <v>4198</v>
      </c>
      <c r="N661" s="818"/>
      <c r="O661" s="818"/>
      <c r="P661" s="818"/>
      <c r="Q661" s="818"/>
      <c r="R661" s="818"/>
      <c r="S661" s="818"/>
      <c r="T661" s="818"/>
      <c r="U661" s="818"/>
      <c r="V661" s="818"/>
    </row>
    <row r="662" spans="1:22" ht="14.5">
      <c r="A662" s="879"/>
      <c r="B662" s="876"/>
      <c r="C662" s="850"/>
      <c r="D662" s="818"/>
      <c r="E662" s="818"/>
      <c r="F662" s="818"/>
      <c r="G662" s="818"/>
      <c r="H662" s="818"/>
      <c r="I662" s="818"/>
      <c r="J662" s="818"/>
      <c r="K662" s="818"/>
      <c r="L662" s="818"/>
      <c r="M662" s="818"/>
      <c r="N662" s="818"/>
      <c r="O662" s="818"/>
      <c r="P662" s="818"/>
      <c r="Q662" s="818"/>
      <c r="R662" s="818"/>
      <c r="S662" s="818"/>
      <c r="T662" s="818"/>
      <c r="U662" s="818"/>
      <c r="V662" s="818"/>
    </row>
    <row r="663" spans="1:22" ht="14.5">
      <c r="A663" s="801" t="s">
        <v>67</v>
      </c>
      <c r="B663" s="799" t="s">
        <v>1408</v>
      </c>
      <c r="C663" s="803" t="s">
        <v>3577</v>
      </c>
      <c r="D663" s="806" t="s">
        <v>1410</v>
      </c>
      <c r="E663" s="794" t="s">
        <v>136</v>
      </c>
      <c r="F663" s="834" t="s">
        <v>4242</v>
      </c>
      <c r="G663" s="806" t="s">
        <v>4243</v>
      </c>
      <c r="H663" s="806" t="s">
        <v>4074</v>
      </c>
      <c r="I663" s="806" t="s">
        <v>46</v>
      </c>
      <c r="J663" s="806" t="s">
        <v>4084</v>
      </c>
      <c r="K663" s="806" t="s">
        <v>4075</v>
      </c>
      <c r="L663" s="806" t="s">
        <v>4006</v>
      </c>
      <c r="M663" s="794" t="s">
        <v>4244</v>
      </c>
      <c r="N663" s="806" t="s">
        <v>4211</v>
      </c>
      <c r="O663" s="794"/>
      <c r="P663" s="794"/>
      <c r="Q663" s="794"/>
      <c r="R663" s="794"/>
      <c r="S663" s="794"/>
      <c r="T663" s="794"/>
      <c r="U663" s="794"/>
      <c r="V663" s="794"/>
    </row>
    <row r="664" spans="1:22" ht="14.5">
      <c r="A664" s="879"/>
      <c r="B664" s="876"/>
      <c r="C664" s="850"/>
      <c r="D664" s="818"/>
      <c r="E664" s="818"/>
      <c r="F664" s="818"/>
      <c r="G664" s="818"/>
      <c r="H664" s="818"/>
      <c r="I664" s="818"/>
      <c r="J664" s="818"/>
      <c r="K664" s="818"/>
      <c r="L664" s="818"/>
      <c r="M664" s="818"/>
      <c r="N664" s="818"/>
      <c r="O664" s="818"/>
      <c r="P664" s="818"/>
      <c r="Q664" s="818"/>
      <c r="R664" s="818"/>
      <c r="S664" s="818"/>
      <c r="T664" s="818"/>
      <c r="U664" s="818"/>
      <c r="V664" s="818"/>
    </row>
    <row r="665" spans="1:22" ht="14.5">
      <c r="A665" s="873">
        <v>46204</v>
      </c>
      <c r="B665" s="810"/>
      <c r="C665" s="811"/>
      <c r="D665" s="792"/>
      <c r="E665" s="792"/>
      <c r="F665" s="792"/>
      <c r="G665" s="794"/>
      <c r="H665" s="794"/>
      <c r="I665" s="794"/>
      <c r="J665" s="794"/>
      <c r="K665" s="794"/>
      <c r="L665" s="794"/>
      <c r="M665" s="794"/>
      <c r="N665" s="794"/>
      <c r="O665" s="794"/>
      <c r="P665" s="794"/>
      <c r="Q665" s="794"/>
      <c r="R665" s="794"/>
      <c r="S665" s="794"/>
      <c r="T665" s="794"/>
      <c r="U665" s="794"/>
      <c r="V665" s="794"/>
    </row>
    <row r="666" spans="1:22" ht="14.5">
      <c r="A666" s="797" t="s">
        <v>1294</v>
      </c>
      <c r="B666" s="799" t="s">
        <v>674</v>
      </c>
      <c r="C666" s="796" t="s">
        <v>54</v>
      </c>
      <c r="D666" s="794" t="s">
        <v>676</v>
      </c>
      <c r="E666" s="818" t="s">
        <v>658</v>
      </c>
      <c r="F666" s="794" t="s">
        <v>4245</v>
      </c>
      <c r="G666" s="806" t="s">
        <v>4083</v>
      </c>
      <c r="H666" s="794"/>
      <c r="I666" s="794"/>
      <c r="J666" s="794"/>
      <c r="K666" s="794"/>
      <c r="L666" s="794"/>
      <c r="M666" s="794"/>
      <c r="N666" s="794"/>
      <c r="O666" s="794"/>
      <c r="P666" s="794"/>
      <c r="Q666" s="794"/>
      <c r="R666" s="794"/>
      <c r="S666" s="794"/>
      <c r="T666" s="794"/>
      <c r="U666" s="794"/>
      <c r="V666" s="794"/>
    </row>
    <row r="667" spans="1:22" ht="14.5">
      <c r="A667" s="794"/>
      <c r="B667" s="799" t="s">
        <v>935</v>
      </c>
      <c r="C667" s="796" t="s">
        <v>54</v>
      </c>
      <c r="D667" s="794" t="s">
        <v>937</v>
      </c>
      <c r="E667" s="818" t="s">
        <v>930</v>
      </c>
      <c r="F667" s="794" t="s">
        <v>4246</v>
      </c>
      <c r="G667" s="806" t="s">
        <v>4083</v>
      </c>
      <c r="H667" s="794"/>
      <c r="I667" s="794"/>
      <c r="J667" s="794"/>
      <c r="K667" s="794"/>
      <c r="L667" s="794"/>
      <c r="M667" s="794"/>
      <c r="N667" s="794"/>
      <c r="O667" s="794"/>
      <c r="P667" s="794"/>
      <c r="Q667" s="794"/>
      <c r="R667" s="794"/>
      <c r="S667" s="794"/>
      <c r="T667" s="794"/>
      <c r="U667" s="794"/>
      <c r="V667" s="794"/>
    </row>
    <row r="668" spans="1:22" ht="14.5">
      <c r="A668" s="794"/>
      <c r="B668" s="799" t="s">
        <v>1124</v>
      </c>
      <c r="C668" s="796" t="s">
        <v>54</v>
      </c>
      <c r="D668" s="794" t="s">
        <v>1126</v>
      </c>
      <c r="E668" s="794" t="s">
        <v>1129</v>
      </c>
      <c r="F668" s="794" t="s">
        <v>4247</v>
      </c>
      <c r="G668" s="806" t="s">
        <v>4083</v>
      </c>
      <c r="H668" s="794"/>
      <c r="I668" s="794"/>
      <c r="J668" s="794"/>
      <c r="K668" s="794"/>
      <c r="L668" s="794"/>
      <c r="M668" s="794"/>
      <c r="N668" s="794"/>
      <c r="O668" s="794"/>
      <c r="P668" s="794"/>
      <c r="Q668" s="794"/>
      <c r="R668" s="794"/>
      <c r="S668" s="794"/>
      <c r="T668" s="794"/>
      <c r="U668" s="794"/>
      <c r="V668" s="794"/>
    </row>
    <row r="669" spans="1:22" ht="14.5">
      <c r="A669" s="794"/>
      <c r="B669" s="799" t="s">
        <v>1728</v>
      </c>
      <c r="C669" s="796" t="s">
        <v>54</v>
      </c>
      <c r="D669" s="794" t="s">
        <v>1730</v>
      </c>
      <c r="E669" s="794" t="s">
        <v>1705</v>
      </c>
      <c r="F669" s="794" t="s">
        <v>4248</v>
      </c>
      <c r="G669" s="806" t="s">
        <v>4083</v>
      </c>
      <c r="H669" s="794"/>
      <c r="I669" s="794"/>
      <c r="J669" s="794"/>
      <c r="K669" s="794"/>
      <c r="L669" s="794"/>
      <c r="M669" s="794"/>
      <c r="N669" s="794"/>
      <c r="O669" s="794"/>
      <c r="P669" s="794"/>
      <c r="Q669" s="794"/>
      <c r="R669" s="794"/>
      <c r="S669" s="794"/>
      <c r="T669" s="794"/>
      <c r="U669" s="794"/>
      <c r="V669" s="794"/>
    </row>
    <row r="670" spans="1:22" ht="14.5">
      <c r="A670" s="794"/>
      <c r="B670" s="884" t="s">
        <v>874</v>
      </c>
      <c r="C670" s="796" t="s">
        <v>54</v>
      </c>
      <c r="D670" s="62" t="s">
        <v>876</v>
      </c>
      <c r="E670" s="886" t="s">
        <v>717</v>
      </c>
      <c r="F670" s="825" t="s">
        <v>4249</v>
      </c>
      <c r="G670" s="794"/>
      <c r="H670" s="794"/>
      <c r="I670" s="794"/>
      <c r="J670" s="794"/>
      <c r="K670" s="794"/>
      <c r="L670" s="794"/>
      <c r="M670" s="794"/>
      <c r="N670" s="794"/>
      <c r="O670" s="794"/>
      <c r="P670" s="794"/>
      <c r="Q670" s="794"/>
      <c r="R670" s="794"/>
      <c r="S670" s="794"/>
      <c r="T670" s="794"/>
      <c r="U670" s="794"/>
      <c r="V670" s="794"/>
    </row>
    <row r="671" spans="1:22" ht="14.5">
      <c r="A671" s="794"/>
      <c r="B671" s="897" t="s">
        <v>1359</v>
      </c>
      <c r="C671" s="803" t="s">
        <v>3577</v>
      </c>
      <c r="D671" s="898" t="s">
        <v>1361</v>
      </c>
      <c r="E671" s="794" t="s">
        <v>1352</v>
      </c>
      <c r="F671" s="825" t="s">
        <v>4250</v>
      </c>
      <c r="G671" s="794"/>
      <c r="H671" s="794"/>
      <c r="I671" s="794"/>
      <c r="J671" s="794"/>
      <c r="K671" s="794"/>
      <c r="L671" s="794"/>
      <c r="M671" s="794"/>
      <c r="N671" s="794"/>
      <c r="O671" s="794"/>
      <c r="P671" s="794"/>
      <c r="Q671" s="794"/>
      <c r="R671" s="794"/>
      <c r="S671" s="794"/>
      <c r="T671" s="794"/>
      <c r="U671" s="794"/>
      <c r="V671" s="794"/>
    </row>
    <row r="672" spans="1:22" ht="14.5">
      <c r="A672" s="794"/>
      <c r="B672" s="897" t="s">
        <v>1419</v>
      </c>
      <c r="C672" s="803" t="s">
        <v>3577</v>
      </c>
      <c r="D672" s="898" t="s">
        <v>1421</v>
      </c>
      <c r="E672" s="794" t="s">
        <v>136</v>
      </c>
      <c r="F672" s="825" t="s">
        <v>4250</v>
      </c>
      <c r="G672" s="794"/>
      <c r="H672" s="794"/>
      <c r="I672" s="794"/>
      <c r="J672" s="794"/>
      <c r="K672" s="794"/>
      <c r="L672" s="794"/>
      <c r="M672" s="794"/>
      <c r="N672" s="794"/>
      <c r="O672" s="794"/>
      <c r="P672" s="794"/>
      <c r="Q672" s="794"/>
      <c r="R672" s="794"/>
      <c r="S672" s="794"/>
      <c r="T672" s="794"/>
      <c r="U672" s="794"/>
      <c r="V672" s="794"/>
    </row>
    <row r="673" spans="1:22" ht="14.5">
      <c r="A673" s="873">
        <v>46235</v>
      </c>
      <c r="B673" s="810"/>
      <c r="C673" s="811"/>
      <c r="D673" s="792"/>
      <c r="E673" s="792"/>
      <c r="F673" s="792"/>
      <c r="G673" s="794"/>
      <c r="H673" s="794"/>
      <c r="I673" s="794"/>
      <c r="J673" s="794"/>
      <c r="K673" s="794"/>
      <c r="L673" s="794"/>
      <c r="M673" s="794"/>
      <c r="N673" s="794"/>
      <c r="O673" s="794"/>
      <c r="P673" s="794"/>
      <c r="Q673" s="794"/>
      <c r="R673" s="794"/>
      <c r="S673" s="794"/>
      <c r="T673" s="794"/>
      <c r="U673" s="794"/>
      <c r="V673" s="794"/>
    </row>
    <row r="674" spans="1:22" ht="14.5">
      <c r="A674" s="794"/>
      <c r="B674" s="897" t="s">
        <v>1397</v>
      </c>
      <c r="C674" s="803" t="s">
        <v>3577</v>
      </c>
      <c r="D674" s="898" t="s">
        <v>1399</v>
      </c>
      <c r="E674" s="794" t="s">
        <v>1352</v>
      </c>
      <c r="F674" s="825" t="s">
        <v>4251</v>
      </c>
      <c r="G674" s="794"/>
      <c r="H674" s="794"/>
      <c r="I674" s="794"/>
      <c r="J674" s="794"/>
      <c r="K674" s="794"/>
      <c r="L674" s="794"/>
      <c r="M674" s="794"/>
      <c r="N674" s="794"/>
      <c r="O674" s="794"/>
      <c r="P674" s="794"/>
      <c r="Q674" s="794"/>
      <c r="R674" s="794"/>
      <c r="S674" s="794"/>
      <c r="T674" s="794"/>
      <c r="U674" s="794"/>
      <c r="V674" s="794"/>
    </row>
    <row r="675" spans="1:22" ht="14.5">
      <c r="A675" s="879"/>
      <c r="B675" s="876"/>
      <c r="C675" s="850"/>
      <c r="D675" s="818"/>
      <c r="E675" s="818"/>
      <c r="F675" s="818"/>
      <c r="G675" s="818"/>
      <c r="H675" s="818"/>
      <c r="I675" s="818"/>
      <c r="J675" s="818"/>
      <c r="K675" s="818"/>
      <c r="L675" s="818"/>
      <c r="M675" s="818"/>
      <c r="N675" s="818"/>
      <c r="O675" s="818"/>
      <c r="P675" s="818"/>
      <c r="Q675" s="818"/>
      <c r="R675" s="818"/>
      <c r="S675" s="818"/>
      <c r="T675" s="818"/>
      <c r="U675" s="818"/>
      <c r="V675" s="818"/>
    </row>
    <row r="676" spans="1:22" ht="14.5">
      <c r="A676" s="873">
        <v>46266</v>
      </c>
      <c r="B676" s="810"/>
      <c r="C676" s="811"/>
      <c r="D676" s="792"/>
      <c r="E676" s="792"/>
      <c r="F676" s="792"/>
      <c r="G676" s="794"/>
      <c r="H676" s="794"/>
      <c r="I676" s="794"/>
      <c r="J676" s="794"/>
      <c r="K676" s="794"/>
      <c r="L676" s="794"/>
      <c r="M676" s="794"/>
      <c r="N676" s="794"/>
      <c r="O676" s="794"/>
      <c r="P676" s="794"/>
      <c r="Q676" s="794"/>
      <c r="R676" s="794"/>
      <c r="S676" s="794"/>
      <c r="T676" s="794"/>
      <c r="U676" s="794"/>
      <c r="V676" s="794"/>
    </row>
    <row r="677" spans="1:22" ht="14.5">
      <c r="A677" s="794" t="s">
        <v>4085</v>
      </c>
      <c r="B677" s="799" t="s">
        <v>674</v>
      </c>
      <c r="C677" s="796" t="s">
        <v>54</v>
      </c>
      <c r="D677" s="794" t="s">
        <v>676</v>
      </c>
      <c r="E677" s="806" t="s">
        <v>658</v>
      </c>
      <c r="F677" s="806" t="s">
        <v>4252</v>
      </c>
      <c r="G677" s="806" t="s">
        <v>4051</v>
      </c>
      <c r="H677" s="806" t="s">
        <v>4140</v>
      </c>
      <c r="I677" s="806" t="s">
        <v>4053</v>
      </c>
      <c r="J677" s="806" t="s">
        <v>4253</v>
      </c>
      <c r="K677" s="794"/>
      <c r="L677" s="794"/>
      <c r="M677" s="794"/>
      <c r="N677" s="794"/>
      <c r="O677" s="794"/>
      <c r="P677" s="794"/>
      <c r="Q677" s="794"/>
      <c r="R677" s="794"/>
      <c r="S677" s="794"/>
      <c r="T677" s="794"/>
      <c r="U677" s="794"/>
      <c r="V677" s="794"/>
    </row>
    <row r="678" spans="1:22" ht="14.5">
      <c r="A678" s="794"/>
      <c r="B678" s="799" t="s">
        <v>935</v>
      </c>
      <c r="C678" s="796" t="s">
        <v>54</v>
      </c>
      <c r="D678" s="794" t="s">
        <v>937</v>
      </c>
      <c r="E678" s="806" t="s">
        <v>930</v>
      </c>
      <c r="F678" s="806" t="s">
        <v>4254</v>
      </c>
      <c r="G678" s="806" t="s">
        <v>4051</v>
      </c>
      <c r="H678" s="806" t="s">
        <v>4140</v>
      </c>
      <c r="I678" s="806" t="s">
        <v>4053</v>
      </c>
      <c r="J678" s="806" t="s">
        <v>4255</v>
      </c>
      <c r="K678" s="794"/>
      <c r="L678" s="794"/>
      <c r="M678" s="794"/>
      <c r="N678" s="794"/>
      <c r="O678" s="794"/>
      <c r="P678" s="794"/>
      <c r="Q678" s="794"/>
      <c r="R678" s="794"/>
      <c r="S678" s="794"/>
      <c r="T678" s="794"/>
      <c r="U678" s="794"/>
      <c r="V678" s="794"/>
    </row>
    <row r="679" spans="1:22" ht="14.5">
      <c r="A679" s="794"/>
      <c r="B679" s="799"/>
      <c r="C679" s="794"/>
      <c r="D679" s="794"/>
      <c r="E679" s="794"/>
      <c r="F679" s="794"/>
      <c r="G679" s="794"/>
      <c r="H679" s="794"/>
      <c r="I679" s="794"/>
      <c r="J679" s="794"/>
      <c r="K679" s="794"/>
      <c r="L679" s="794"/>
      <c r="M679" s="794"/>
      <c r="N679" s="794"/>
      <c r="O679" s="794"/>
      <c r="P679" s="794"/>
      <c r="Q679" s="794"/>
      <c r="R679" s="794"/>
      <c r="S679" s="794"/>
      <c r="T679" s="794"/>
      <c r="U679" s="794"/>
      <c r="V679" s="794"/>
    </row>
    <row r="680" spans="1:22" ht="14.5">
      <c r="A680" s="873">
        <v>46296</v>
      </c>
      <c r="B680" s="810"/>
      <c r="C680" s="811"/>
      <c r="D680" s="792"/>
      <c r="E680" s="792"/>
      <c r="F680" s="792"/>
      <c r="G680" s="794"/>
      <c r="H680" s="794"/>
      <c r="I680" s="794"/>
      <c r="J680" s="794"/>
      <c r="K680" s="794"/>
      <c r="L680" s="794"/>
      <c r="M680" s="794"/>
      <c r="N680" s="794"/>
      <c r="O680" s="794"/>
      <c r="P680" s="794"/>
      <c r="Q680" s="794"/>
      <c r="R680" s="794"/>
      <c r="S680" s="794"/>
      <c r="T680" s="794"/>
      <c r="U680" s="794"/>
      <c r="V680" s="794"/>
    </row>
    <row r="681" spans="1:22" ht="14.5">
      <c r="A681" s="794"/>
      <c r="B681" s="799"/>
      <c r="C681" s="794"/>
      <c r="D681" s="794"/>
      <c r="E681" s="794"/>
      <c r="F681" s="794"/>
      <c r="G681" s="794"/>
      <c r="H681" s="794"/>
      <c r="I681" s="794"/>
      <c r="J681" s="794"/>
      <c r="K681" s="794"/>
      <c r="L681" s="794"/>
      <c r="M681" s="794"/>
      <c r="N681" s="794"/>
      <c r="O681" s="794"/>
      <c r="P681" s="794"/>
      <c r="Q681" s="794"/>
      <c r="R681" s="794"/>
      <c r="S681" s="794"/>
      <c r="T681" s="794"/>
      <c r="U681" s="794"/>
      <c r="V681" s="794"/>
    </row>
    <row r="682" spans="1:22" ht="14.5">
      <c r="A682" s="794"/>
      <c r="B682" s="799"/>
      <c r="C682" s="794"/>
      <c r="D682" s="794"/>
      <c r="E682" s="794"/>
      <c r="F682" s="794"/>
      <c r="G682" s="794"/>
      <c r="H682" s="794"/>
      <c r="I682" s="794"/>
      <c r="J682" s="794"/>
      <c r="K682" s="794"/>
      <c r="L682" s="794"/>
      <c r="M682" s="794"/>
      <c r="N682" s="794"/>
      <c r="O682" s="794"/>
      <c r="P682" s="794"/>
      <c r="Q682" s="794"/>
      <c r="R682" s="794"/>
      <c r="S682" s="794"/>
      <c r="T682" s="794"/>
      <c r="U682" s="794"/>
      <c r="V682" s="794"/>
    </row>
    <row r="683" spans="1:22" ht="14.5">
      <c r="A683" s="794"/>
      <c r="B683" s="799"/>
      <c r="C683" s="794"/>
      <c r="D683" s="794"/>
      <c r="E683" s="794"/>
      <c r="F683" s="794"/>
      <c r="G683" s="794"/>
      <c r="H683" s="794"/>
      <c r="I683" s="794"/>
      <c r="J683" s="794"/>
      <c r="K683" s="794"/>
      <c r="L683" s="794"/>
      <c r="M683" s="794"/>
      <c r="N683" s="794"/>
      <c r="O683" s="794"/>
      <c r="P683" s="794"/>
      <c r="Q683" s="794"/>
      <c r="R683" s="794"/>
      <c r="S683" s="794"/>
      <c r="T683" s="794"/>
      <c r="U683" s="794"/>
      <c r="V683" s="794"/>
    </row>
    <row r="684" spans="1:22" ht="14.5">
      <c r="A684" s="794"/>
      <c r="B684" s="799"/>
      <c r="C684" s="794"/>
      <c r="D684" s="794"/>
      <c r="E684" s="794"/>
      <c r="F684" s="794"/>
      <c r="G684" s="794"/>
      <c r="H684" s="794"/>
      <c r="I684" s="794"/>
      <c r="J684" s="794"/>
      <c r="K684" s="794"/>
      <c r="L684" s="794"/>
      <c r="M684" s="794"/>
      <c r="N684" s="794"/>
      <c r="O684" s="794"/>
      <c r="P684" s="794"/>
      <c r="Q684" s="794"/>
      <c r="R684" s="794"/>
      <c r="S684" s="794"/>
      <c r="T684" s="794"/>
      <c r="U684" s="794"/>
      <c r="V684" s="794"/>
    </row>
    <row r="685" spans="1:22" ht="14.5">
      <c r="A685" s="794"/>
      <c r="B685" s="799"/>
      <c r="C685" s="794"/>
      <c r="D685" s="794"/>
      <c r="E685" s="794"/>
      <c r="F685" s="794"/>
      <c r="G685" s="794"/>
      <c r="H685" s="794"/>
      <c r="I685" s="794"/>
      <c r="J685" s="794"/>
      <c r="K685" s="794"/>
      <c r="L685" s="794"/>
      <c r="M685" s="794"/>
      <c r="N685" s="794"/>
      <c r="O685" s="794"/>
      <c r="P685" s="794"/>
      <c r="Q685" s="794"/>
      <c r="R685" s="794"/>
      <c r="S685" s="794"/>
      <c r="T685" s="794"/>
      <c r="U685" s="794"/>
      <c r="V685" s="794"/>
    </row>
    <row r="686" spans="1:22" ht="14.5">
      <c r="A686" s="794"/>
      <c r="B686" s="799"/>
      <c r="C686" s="794"/>
      <c r="D686" s="794"/>
      <c r="E686" s="794"/>
      <c r="F686" s="794"/>
      <c r="G686" s="794"/>
      <c r="H686" s="794"/>
      <c r="I686" s="794"/>
      <c r="J686" s="794"/>
      <c r="K686" s="794"/>
      <c r="L686" s="794"/>
      <c r="M686" s="794"/>
      <c r="N686" s="794"/>
      <c r="O686" s="794"/>
      <c r="P686" s="794"/>
      <c r="Q686" s="794"/>
      <c r="R686" s="794"/>
      <c r="S686" s="794"/>
      <c r="T686" s="794"/>
      <c r="U686" s="794"/>
      <c r="V686" s="794"/>
    </row>
    <row r="687" spans="1:22" ht="14.5">
      <c r="A687" s="794"/>
      <c r="B687" s="799"/>
      <c r="C687" s="794"/>
      <c r="D687" s="794"/>
      <c r="E687" s="794"/>
      <c r="F687" s="794"/>
      <c r="G687" s="794"/>
      <c r="H687" s="794"/>
      <c r="I687" s="794"/>
      <c r="J687" s="794"/>
      <c r="K687" s="794"/>
      <c r="L687" s="794"/>
      <c r="M687" s="794"/>
      <c r="N687" s="794"/>
      <c r="O687" s="794"/>
      <c r="P687" s="794"/>
      <c r="Q687" s="794"/>
      <c r="R687" s="794"/>
      <c r="S687" s="794"/>
      <c r="T687" s="794"/>
      <c r="U687" s="794"/>
      <c r="V687" s="794"/>
    </row>
    <row r="688" spans="1:22" ht="14.5">
      <c r="A688" s="794"/>
      <c r="B688" s="799"/>
      <c r="C688" s="794"/>
      <c r="D688" s="794"/>
      <c r="E688" s="794"/>
      <c r="F688" s="794"/>
      <c r="G688" s="794"/>
      <c r="H688" s="794"/>
      <c r="I688" s="794"/>
      <c r="J688" s="794"/>
      <c r="K688" s="794"/>
      <c r="L688" s="794"/>
      <c r="M688" s="794"/>
      <c r="N688" s="794"/>
      <c r="O688" s="794"/>
      <c r="P688" s="794"/>
      <c r="Q688" s="794"/>
      <c r="R688" s="794"/>
      <c r="S688" s="794"/>
      <c r="T688" s="794"/>
      <c r="U688" s="794"/>
      <c r="V688" s="794"/>
    </row>
    <row r="689" spans="1:22" ht="14.5">
      <c r="A689" s="794"/>
      <c r="B689" s="799"/>
      <c r="C689" s="794"/>
      <c r="D689" s="794"/>
      <c r="E689" s="794"/>
      <c r="F689" s="794"/>
      <c r="G689" s="794"/>
      <c r="H689" s="794"/>
      <c r="I689" s="794"/>
      <c r="J689" s="794"/>
      <c r="K689" s="794"/>
      <c r="L689" s="794"/>
      <c r="M689" s="794"/>
      <c r="N689" s="794"/>
      <c r="O689" s="794"/>
      <c r="P689" s="794"/>
      <c r="Q689" s="794"/>
      <c r="R689" s="794"/>
      <c r="S689" s="794"/>
      <c r="T689" s="794"/>
      <c r="U689" s="794"/>
      <c r="V689" s="794"/>
    </row>
    <row r="690" spans="1:22" ht="14.5">
      <c r="A690" s="794"/>
      <c r="B690" s="799"/>
      <c r="C690" s="794"/>
      <c r="D690" s="794"/>
      <c r="E690" s="794"/>
      <c r="F690" s="794"/>
      <c r="G690" s="794"/>
      <c r="H690" s="794"/>
      <c r="I690" s="794"/>
      <c r="J690" s="794"/>
      <c r="K690" s="794"/>
      <c r="L690" s="794"/>
      <c r="M690" s="794"/>
      <c r="N690" s="794"/>
      <c r="O690" s="794"/>
      <c r="P690" s="794"/>
      <c r="Q690" s="794"/>
      <c r="R690" s="794"/>
      <c r="S690" s="794"/>
      <c r="T690" s="794"/>
      <c r="U690" s="794"/>
      <c r="V690" s="794"/>
    </row>
    <row r="691" spans="1:22" ht="14.5">
      <c r="A691" s="794"/>
      <c r="B691" s="799"/>
      <c r="C691" s="794"/>
      <c r="D691" s="794"/>
      <c r="E691" s="794"/>
      <c r="F691" s="794"/>
      <c r="G691" s="794"/>
      <c r="H691" s="794"/>
      <c r="I691" s="794"/>
      <c r="J691" s="794"/>
      <c r="K691" s="794"/>
      <c r="L691" s="794"/>
      <c r="M691" s="794"/>
      <c r="N691" s="794"/>
      <c r="O691" s="794"/>
      <c r="P691" s="794"/>
      <c r="Q691" s="794"/>
      <c r="R691" s="794"/>
      <c r="S691" s="794"/>
      <c r="T691" s="794"/>
      <c r="U691" s="794"/>
      <c r="V691" s="794"/>
    </row>
    <row r="692" spans="1:22" ht="14.5">
      <c r="A692" s="794"/>
      <c r="B692" s="799"/>
      <c r="C692" s="794"/>
      <c r="D692" s="794"/>
      <c r="E692" s="794"/>
      <c r="F692" s="794"/>
      <c r="G692" s="794"/>
      <c r="H692" s="794"/>
      <c r="I692" s="794"/>
      <c r="J692" s="794"/>
      <c r="K692" s="794"/>
      <c r="L692" s="794"/>
      <c r="M692" s="794"/>
      <c r="N692" s="794"/>
      <c r="O692" s="794"/>
      <c r="P692" s="794"/>
      <c r="Q692" s="794"/>
      <c r="R692" s="794"/>
      <c r="S692" s="794"/>
      <c r="T692" s="794"/>
      <c r="U692" s="794"/>
      <c r="V692" s="794"/>
    </row>
    <row r="693" spans="1:22" ht="14.5">
      <c r="A693" s="794"/>
      <c r="B693" s="799"/>
      <c r="C693" s="794"/>
      <c r="D693" s="794"/>
      <c r="E693" s="794"/>
      <c r="F693" s="794"/>
      <c r="G693" s="794"/>
      <c r="H693" s="794"/>
      <c r="I693" s="794"/>
      <c r="J693" s="794"/>
      <c r="K693" s="794"/>
      <c r="L693" s="794"/>
      <c r="M693" s="794"/>
      <c r="N693" s="794"/>
      <c r="O693" s="794"/>
      <c r="P693" s="794"/>
      <c r="Q693" s="794"/>
      <c r="R693" s="794"/>
      <c r="S693" s="794"/>
      <c r="T693" s="794"/>
      <c r="U693" s="794"/>
      <c r="V693" s="794"/>
    </row>
    <row r="694" spans="1:22" ht="14.5">
      <c r="A694" s="794"/>
      <c r="B694" s="799"/>
      <c r="C694" s="794"/>
      <c r="D694" s="794"/>
      <c r="E694" s="794"/>
      <c r="F694" s="794"/>
      <c r="G694" s="794"/>
      <c r="H694" s="794"/>
      <c r="I694" s="794"/>
      <c r="J694" s="794"/>
      <c r="K694" s="794"/>
      <c r="L694" s="794"/>
      <c r="M694" s="794"/>
      <c r="N694" s="794"/>
      <c r="O694" s="794"/>
      <c r="P694" s="794"/>
      <c r="Q694" s="794"/>
      <c r="R694" s="794"/>
      <c r="S694" s="794"/>
      <c r="T694" s="794"/>
      <c r="U694" s="794"/>
      <c r="V694" s="794"/>
    </row>
    <row r="695" spans="1:22" ht="14.5">
      <c r="A695" s="794"/>
      <c r="B695" s="799"/>
      <c r="C695" s="794"/>
      <c r="D695" s="794"/>
      <c r="E695" s="794"/>
      <c r="F695" s="794"/>
      <c r="G695" s="794"/>
      <c r="H695" s="794"/>
      <c r="I695" s="794"/>
      <c r="J695" s="794"/>
      <c r="K695" s="794"/>
      <c r="L695" s="794"/>
      <c r="M695" s="794"/>
      <c r="N695" s="794"/>
      <c r="O695" s="794"/>
      <c r="P695" s="794"/>
      <c r="Q695" s="794"/>
      <c r="R695" s="794"/>
      <c r="S695" s="794"/>
      <c r="T695" s="794"/>
      <c r="U695" s="794"/>
      <c r="V695" s="794"/>
    </row>
    <row r="696" spans="1:22" ht="14.5">
      <c r="A696" s="794"/>
      <c r="B696" s="799"/>
      <c r="C696" s="794"/>
      <c r="D696" s="794"/>
      <c r="E696" s="794"/>
      <c r="F696" s="794"/>
      <c r="G696" s="794"/>
      <c r="H696" s="794"/>
      <c r="I696" s="794"/>
      <c r="J696" s="794"/>
      <c r="K696" s="794"/>
      <c r="L696" s="794"/>
      <c r="M696" s="794"/>
      <c r="N696" s="794"/>
      <c r="O696" s="794"/>
      <c r="P696" s="794"/>
      <c r="Q696" s="794"/>
      <c r="R696" s="794"/>
      <c r="S696" s="794"/>
      <c r="T696" s="794"/>
      <c r="U696" s="794"/>
      <c r="V696" s="794"/>
    </row>
    <row r="697" spans="1:22" ht="14.5">
      <c r="A697" s="794"/>
      <c r="B697" s="799"/>
      <c r="C697" s="794"/>
      <c r="D697" s="794"/>
      <c r="E697" s="794"/>
      <c r="F697" s="794"/>
      <c r="G697" s="794"/>
      <c r="H697" s="794"/>
      <c r="I697" s="794"/>
      <c r="J697" s="794"/>
      <c r="K697" s="794"/>
      <c r="L697" s="794"/>
      <c r="M697" s="794"/>
      <c r="N697" s="794"/>
      <c r="O697" s="794"/>
      <c r="P697" s="794"/>
      <c r="Q697" s="794"/>
      <c r="R697" s="794"/>
      <c r="S697" s="794"/>
      <c r="T697" s="794"/>
      <c r="U697" s="794"/>
      <c r="V697" s="794"/>
    </row>
    <row r="698" spans="1:22" ht="14.5">
      <c r="A698" s="794"/>
      <c r="B698" s="799"/>
      <c r="C698" s="794"/>
      <c r="D698" s="794"/>
      <c r="E698" s="794"/>
      <c r="F698" s="794"/>
      <c r="G698" s="794"/>
      <c r="H698" s="794"/>
      <c r="I698" s="794"/>
      <c r="J698" s="794"/>
      <c r="K698" s="794"/>
      <c r="L698" s="794"/>
      <c r="M698" s="794"/>
      <c r="N698" s="794"/>
      <c r="O698" s="794"/>
      <c r="P698" s="794"/>
      <c r="Q698" s="794"/>
      <c r="R698" s="794"/>
      <c r="S698" s="794"/>
      <c r="T698" s="794"/>
      <c r="U698" s="794"/>
      <c r="V698" s="794"/>
    </row>
    <row r="699" spans="1:22" ht="14.5">
      <c r="A699" s="794"/>
      <c r="B699" s="799"/>
      <c r="C699" s="794"/>
      <c r="D699" s="794"/>
      <c r="E699" s="794"/>
      <c r="F699" s="794"/>
      <c r="G699" s="794"/>
      <c r="H699" s="794"/>
      <c r="I699" s="794"/>
      <c r="J699" s="794"/>
      <c r="K699" s="794"/>
      <c r="L699" s="794"/>
      <c r="M699" s="794"/>
      <c r="N699" s="794"/>
      <c r="O699" s="794"/>
      <c r="P699" s="794"/>
      <c r="Q699" s="794"/>
      <c r="R699" s="794"/>
      <c r="S699" s="794"/>
      <c r="T699" s="794"/>
      <c r="U699" s="794"/>
      <c r="V699" s="794"/>
    </row>
    <row r="700" spans="1:22" ht="14.5">
      <c r="A700" s="794"/>
      <c r="B700" s="799"/>
      <c r="C700" s="794"/>
      <c r="D700" s="794"/>
      <c r="E700" s="794"/>
      <c r="F700" s="794"/>
      <c r="G700" s="794"/>
      <c r="H700" s="794"/>
      <c r="I700" s="794"/>
      <c r="J700" s="794"/>
      <c r="K700" s="794"/>
      <c r="L700" s="794"/>
      <c r="M700" s="794"/>
      <c r="N700" s="794"/>
      <c r="O700" s="794"/>
      <c r="P700" s="794"/>
      <c r="Q700" s="794"/>
      <c r="R700" s="794"/>
      <c r="S700" s="794"/>
      <c r="T700" s="794"/>
      <c r="U700" s="794"/>
      <c r="V700" s="794"/>
    </row>
    <row r="701" spans="1:22" ht="14.5">
      <c r="A701" s="794"/>
      <c r="B701" s="799"/>
      <c r="C701" s="794"/>
      <c r="D701" s="794"/>
      <c r="E701" s="794"/>
      <c r="F701" s="794"/>
      <c r="G701" s="794"/>
      <c r="H701" s="794"/>
      <c r="I701" s="794"/>
      <c r="J701" s="794"/>
      <c r="K701" s="794"/>
      <c r="L701" s="794"/>
      <c r="M701" s="794"/>
      <c r="N701" s="794"/>
      <c r="O701" s="794"/>
      <c r="P701" s="794"/>
      <c r="Q701" s="794"/>
      <c r="R701" s="794"/>
      <c r="S701" s="794"/>
      <c r="T701" s="794"/>
      <c r="U701" s="794"/>
      <c r="V701" s="794"/>
    </row>
    <row r="702" spans="1:22" ht="14.5">
      <c r="A702" s="794"/>
      <c r="B702" s="799"/>
      <c r="C702" s="794"/>
      <c r="D702" s="794"/>
      <c r="E702" s="794"/>
      <c r="F702" s="794"/>
      <c r="G702" s="794"/>
      <c r="H702" s="794"/>
      <c r="I702" s="794"/>
      <c r="J702" s="794"/>
      <c r="K702" s="794"/>
      <c r="L702" s="794"/>
      <c r="M702" s="794"/>
      <c r="N702" s="794"/>
      <c r="O702" s="794"/>
      <c r="P702" s="794"/>
      <c r="Q702" s="794"/>
      <c r="R702" s="794"/>
      <c r="S702" s="794"/>
      <c r="T702" s="794"/>
      <c r="U702" s="794"/>
      <c r="V702" s="794"/>
    </row>
    <row r="703" spans="1:22" ht="14.5">
      <c r="A703" s="794"/>
      <c r="B703" s="799"/>
      <c r="C703" s="794"/>
      <c r="D703" s="794"/>
      <c r="E703" s="794"/>
      <c r="F703" s="794"/>
      <c r="G703" s="794"/>
      <c r="H703" s="794"/>
      <c r="I703" s="794"/>
      <c r="J703" s="794"/>
      <c r="K703" s="794"/>
      <c r="L703" s="794"/>
      <c r="M703" s="794"/>
      <c r="N703" s="794"/>
      <c r="O703" s="794"/>
      <c r="P703" s="794"/>
      <c r="Q703" s="794"/>
      <c r="R703" s="794"/>
      <c r="S703" s="794"/>
      <c r="T703" s="794"/>
      <c r="U703" s="794"/>
      <c r="V703" s="794"/>
    </row>
    <row r="704" spans="1:22" ht="14.5">
      <c r="A704" s="794"/>
      <c r="B704" s="799"/>
      <c r="C704" s="794"/>
      <c r="D704" s="794"/>
      <c r="E704" s="794"/>
      <c r="F704" s="794"/>
      <c r="G704" s="794"/>
      <c r="H704" s="794"/>
      <c r="I704" s="794"/>
      <c r="J704" s="794"/>
      <c r="K704" s="794"/>
      <c r="L704" s="794"/>
      <c r="M704" s="794"/>
      <c r="N704" s="794"/>
      <c r="O704" s="794"/>
      <c r="P704" s="794"/>
      <c r="Q704" s="794"/>
      <c r="R704" s="794"/>
      <c r="S704" s="794"/>
      <c r="T704" s="794"/>
      <c r="U704" s="794"/>
      <c r="V704" s="794"/>
    </row>
    <row r="705" spans="1:22" ht="14.5">
      <c r="A705" s="794"/>
      <c r="B705" s="799"/>
      <c r="C705" s="794"/>
      <c r="D705" s="794"/>
      <c r="E705" s="794"/>
      <c r="F705" s="794"/>
      <c r="G705" s="794"/>
      <c r="H705" s="794"/>
      <c r="I705" s="794"/>
      <c r="J705" s="794"/>
      <c r="K705" s="794"/>
      <c r="L705" s="794"/>
      <c r="M705" s="794"/>
      <c r="N705" s="794"/>
      <c r="O705" s="794"/>
      <c r="P705" s="794"/>
      <c r="Q705" s="794"/>
      <c r="R705" s="794"/>
      <c r="S705" s="794"/>
      <c r="T705" s="794"/>
      <c r="U705" s="794"/>
      <c r="V705" s="794"/>
    </row>
    <row r="706" spans="1:22" ht="14.5">
      <c r="A706" s="794"/>
      <c r="B706" s="799"/>
      <c r="C706" s="794"/>
      <c r="D706" s="794"/>
      <c r="E706" s="794"/>
      <c r="F706" s="794"/>
      <c r="G706" s="794"/>
      <c r="H706" s="794"/>
      <c r="I706" s="794"/>
      <c r="J706" s="794"/>
      <c r="K706" s="794"/>
      <c r="L706" s="794"/>
      <c r="M706" s="794"/>
      <c r="N706" s="794"/>
      <c r="O706" s="794"/>
      <c r="P706" s="794"/>
      <c r="Q706" s="794"/>
      <c r="R706" s="794"/>
      <c r="S706" s="794"/>
      <c r="T706" s="794"/>
      <c r="U706" s="794"/>
      <c r="V706" s="794"/>
    </row>
    <row r="707" spans="1:22" ht="14.5">
      <c r="A707" s="794"/>
      <c r="B707" s="799"/>
      <c r="C707" s="794"/>
      <c r="D707" s="794"/>
      <c r="E707" s="794"/>
      <c r="F707" s="794"/>
      <c r="G707" s="794"/>
      <c r="H707" s="794"/>
      <c r="I707" s="794"/>
      <c r="J707" s="794"/>
      <c r="K707" s="794"/>
      <c r="L707" s="794"/>
      <c r="M707" s="794"/>
      <c r="N707" s="794"/>
      <c r="O707" s="794"/>
      <c r="P707" s="794"/>
      <c r="Q707" s="794"/>
      <c r="R707" s="794"/>
      <c r="S707" s="794"/>
      <c r="T707" s="794"/>
      <c r="U707" s="794"/>
      <c r="V707" s="794"/>
    </row>
    <row r="708" spans="1:22" ht="14.5">
      <c r="A708" s="794"/>
      <c r="B708" s="799"/>
      <c r="C708" s="794"/>
      <c r="D708" s="794"/>
      <c r="E708" s="794"/>
      <c r="F708" s="794"/>
      <c r="G708" s="794"/>
      <c r="H708" s="794"/>
      <c r="I708" s="794"/>
      <c r="J708" s="794"/>
      <c r="K708" s="794"/>
      <c r="L708" s="794"/>
      <c r="M708" s="794"/>
      <c r="N708" s="794"/>
      <c r="O708" s="794"/>
      <c r="P708" s="794"/>
      <c r="Q708" s="794"/>
      <c r="R708" s="794"/>
      <c r="S708" s="794"/>
      <c r="T708" s="794"/>
      <c r="U708" s="794"/>
      <c r="V708" s="794"/>
    </row>
    <row r="709" spans="1:22" ht="14.5">
      <c r="A709" s="794"/>
      <c r="B709" s="799"/>
      <c r="C709" s="794"/>
      <c r="D709" s="794"/>
      <c r="E709" s="794"/>
      <c r="F709" s="794"/>
      <c r="G709" s="794"/>
      <c r="H709" s="794"/>
      <c r="I709" s="794"/>
      <c r="J709" s="794"/>
      <c r="K709" s="794"/>
      <c r="L709" s="794"/>
      <c r="M709" s="794"/>
      <c r="N709" s="794"/>
      <c r="O709" s="794"/>
      <c r="P709" s="794"/>
      <c r="Q709" s="794"/>
      <c r="R709" s="794"/>
      <c r="S709" s="794"/>
      <c r="T709" s="794"/>
      <c r="U709" s="794"/>
      <c r="V709" s="794"/>
    </row>
    <row r="710" spans="1:22" ht="14.5">
      <c r="A710" s="794"/>
      <c r="B710" s="799"/>
      <c r="C710" s="794"/>
      <c r="D710" s="794"/>
      <c r="E710" s="794"/>
      <c r="F710" s="794"/>
      <c r="G710" s="794"/>
      <c r="H710" s="794"/>
      <c r="I710" s="794"/>
      <c r="J710" s="794"/>
      <c r="K710" s="794"/>
      <c r="L710" s="794"/>
      <c r="M710" s="794"/>
      <c r="N710" s="794"/>
      <c r="O710" s="794"/>
      <c r="P710" s="794"/>
      <c r="Q710" s="794"/>
      <c r="R710" s="794"/>
      <c r="S710" s="794"/>
      <c r="T710" s="794"/>
      <c r="U710" s="794"/>
      <c r="V710" s="794"/>
    </row>
    <row r="711" spans="1:22" ht="14.5">
      <c r="A711" s="794"/>
      <c r="B711" s="799"/>
      <c r="C711" s="794"/>
      <c r="D711" s="794"/>
      <c r="E711" s="794"/>
      <c r="F711" s="794"/>
      <c r="G711" s="794"/>
      <c r="H711" s="794"/>
      <c r="I711" s="794"/>
      <c r="J711" s="794"/>
      <c r="K711" s="794"/>
      <c r="L711" s="794"/>
      <c r="M711" s="794"/>
      <c r="N711" s="794"/>
      <c r="O711" s="794"/>
      <c r="P711" s="794"/>
      <c r="Q711" s="794"/>
      <c r="R711" s="794"/>
      <c r="S711" s="794"/>
      <c r="T711" s="794"/>
      <c r="U711" s="794"/>
      <c r="V711" s="794"/>
    </row>
    <row r="712" spans="1:22" ht="14.5">
      <c r="A712" s="794"/>
      <c r="B712" s="799"/>
      <c r="C712" s="794"/>
      <c r="D712" s="794"/>
      <c r="E712" s="794"/>
      <c r="F712" s="794"/>
      <c r="G712" s="794"/>
      <c r="H712" s="794"/>
      <c r="I712" s="794"/>
      <c r="J712" s="794"/>
      <c r="K712" s="794"/>
      <c r="L712" s="794"/>
      <c r="M712" s="794"/>
      <c r="N712" s="794"/>
      <c r="O712" s="794"/>
      <c r="P712" s="794"/>
      <c r="Q712" s="794"/>
      <c r="R712" s="794"/>
      <c r="S712" s="794"/>
      <c r="T712" s="794"/>
      <c r="U712" s="794"/>
      <c r="V712" s="794"/>
    </row>
    <row r="713" spans="1:22" ht="14.5">
      <c r="A713" s="794"/>
      <c r="B713" s="799"/>
      <c r="C713" s="794"/>
      <c r="D713" s="794"/>
      <c r="E713" s="794"/>
      <c r="F713" s="794"/>
      <c r="G713" s="794"/>
      <c r="H713" s="794"/>
      <c r="I713" s="794"/>
      <c r="J713" s="794"/>
      <c r="K713" s="794"/>
      <c r="L713" s="794"/>
      <c r="M713" s="794"/>
      <c r="N713" s="794"/>
      <c r="O713" s="794"/>
      <c r="P713" s="794"/>
      <c r="Q713" s="794"/>
      <c r="R713" s="794"/>
      <c r="S713" s="794"/>
      <c r="T713" s="794"/>
      <c r="U713" s="794"/>
      <c r="V713" s="794"/>
    </row>
    <row r="714" spans="1:22" ht="14.5">
      <c r="A714" s="794"/>
      <c r="B714" s="799"/>
      <c r="C714" s="794"/>
      <c r="D714" s="794"/>
      <c r="E714" s="794"/>
      <c r="F714" s="794"/>
      <c r="G714" s="794"/>
      <c r="H714" s="794"/>
      <c r="I714" s="794"/>
      <c r="J714" s="794"/>
      <c r="K714" s="794"/>
      <c r="L714" s="794"/>
      <c r="M714" s="794"/>
      <c r="N714" s="794"/>
      <c r="O714" s="794"/>
      <c r="P714" s="794"/>
      <c r="Q714" s="794"/>
      <c r="R714" s="794"/>
      <c r="S714" s="794"/>
      <c r="T714" s="794"/>
      <c r="U714" s="794"/>
      <c r="V714" s="794"/>
    </row>
    <row r="715" spans="1:22" ht="14.5">
      <c r="A715" s="794"/>
      <c r="B715" s="799"/>
      <c r="C715" s="794"/>
      <c r="D715" s="794"/>
      <c r="E715" s="794"/>
      <c r="F715" s="794"/>
      <c r="G715" s="794"/>
      <c r="H715" s="794"/>
      <c r="I715" s="794"/>
      <c r="J715" s="794"/>
      <c r="K715" s="794"/>
      <c r="L715" s="794"/>
      <c r="M715" s="794"/>
      <c r="N715" s="794"/>
      <c r="O715" s="794"/>
      <c r="P715" s="794"/>
      <c r="Q715" s="794"/>
      <c r="R715" s="794"/>
      <c r="S715" s="794"/>
      <c r="T715" s="794"/>
      <c r="U715" s="794"/>
      <c r="V715" s="794"/>
    </row>
    <row r="716" spans="1:22" ht="14.5">
      <c r="A716" s="794"/>
      <c r="B716" s="799"/>
      <c r="C716" s="794"/>
      <c r="D716" s="794"/>
      <c r="E716" s="794"/>
      <c r="F716" s="794"/>
      <c r="G716" s="794"/>
      <c r="H716" s="794"/>
      <c r="I716" s="794"/>
      <c r="J716" s="794"/>
      <c r="K716" s="794"/>
      <c r="L716" s="794"/>
      <c r="M716" s="794"/>
      <c r="N716" s="794"/>
      <c r="O716" s="794"/>
      <c r="P716" s="794"/>
      <c r="Q716" s="794"/>
      <c r="R716" s="794"/>
      <c r="S716" s="794"/>
      <c r="T716" s="794"/>
      <c r="U716" s="794"/>
      <c r="V716" s="794"/>
    </row>
    <row r="717" spans="1:22" ht="14.5">
      <c r="A717" s="794"/>
      <c r="B717" s="799"/>
      <c r="C717" s="794"/>
      <c r="D717" s="794"/>
      <c r="E717" s="794"/>
      <c r="F717" s="794"/>
      <c r="G717" s="794"/>
      <c r="H717" s="794"/>
      <c r="I717" s="794"/>
      <c r="J717" s="794"/>
      <c r="K717" s="794"/>
      <c r="L717" s="794"/>
      <c r="M717" s="794"/>
      <c r="N717" s="794"/>
      <c r="O717" s="794"/>
      <c r="P717" s="794"/>
      <c r="Q717" s="794"/>
      <c r="R717" s="794"/>
      <c r="S717" s="794"/>
      <c r="T717" s="794"/>
      <c r="U717" s="794"/>
      <c r="V717" s="794"/>
    </row>
    <row r="718" spans="1:22" ht="14.5">
      <c r="A718" s="794"/>
      <c r="B718" s="799"/>
      <c r="C718" s="794"/>
      <c r="D718" s="794"/>
      <c r="E718" s="794"/>
      <c r="F718" s="794"/>
      <c r="G718" s="794"/>
      <c r="H718" s="794"/>
      <c r="I718" s="794"/>
      <c r="J718" s="794"/>
      <c r="K718" s="794"/>
      <c r="L718" s="794"/>
      <c r="M718" s="794"/>
      <c r="N718" s="794"/>
      <c r="O718" s="794"/>
      <c r="P718" s="794"/>
      <c r="Q718" s="794"/>
      <c r="R718" s="794"/>
      <c r="S718" s="794"/>
      <c r="T718" s="794"/>
      <c r="U718" s="794"/>
      <c r="V718" s="794"/>
    </row>
    <row r="719" spans="1:22" ht="14.5">
      <c r="A719" s="794"/>
      <c r="B719" s="799"/>
      <c r="C719" s="794"/>
      <c r="D719" s="794"/>
      <c r="E719" s="794"/>
      <c r="F719" s="794"/>
      <c r="G719" s="794"/>
      <c r="H719" s="794"/>
      <c r="I719" s="794"/>
      <c r="J719" s="794"/>
      <c r="K719" s="794"/>
      <c r="L719" s="794"/>
      <c r="M719" s="794"/>
      <c r="N719" s="794"/>
      <c r="O719" s="794"/>
      <c r="P719" s="794"/>
      <c r="Q719" s="794"/>
      <c r="R719" s="794"/>
      <c r="S719" s="794"/>
      <c r="T719" s="794"/>
      <c r="U719" s="794"/>
      <c r="V719" s="794"/>
    </row>
    <row r="720" spans="1:22" ht="14.5">
      <c r="A720" s="794"/>
      <c r="B720" s="799"/>
      <c r="C720" s="794"/>
      <c r="D720" s="794"/>
      <c r="E720" s="794"/>
      <c r="F720" s="794"/>
      <c r="G720" s="794"/>
      <c r="H720" s="794"/>
      <c r="I720" s="794"/>
      <c r="J720" s="794"/>
      <c r="K720" s="794"/>
      <c r="L720" s="794"/>
      <c r="M720" s="794"/>
      <c r="N720" s="794"/>
      <c r="O720" s="794"/>
      <c r="P720" s="794"/>
      <c r="Q720" s="794"/>
      <c r="R720" s="794"/>
      <c r="S720" s="794"/>
      <c r="T720" s="794"/>
      <c r="U720" s="794"/>
      <c r="V720" s="794"/>
    </row>
    <row r="721" spans="1:22" ht="14.5">
      <c r="A721" s="794"/>
      <c r="B721" s="799"/>
      <c r="C721" s="794"/>
      <c r="D721" s="794"/>
      <c r="E721" s="794"/>
      <c r="F721" s="794"/>
      <c r="G721" s="794"/>
      <c r="H721" s="794"/>
      <c r="I721" s="794"/>
      <c r="J721" s="794"/>
      <c r="K721" s="794"/>
      <c r="L721" s="794"/>
      <c r="M721" s="794"/>
      <c r="N721" s="794"/>
      <c r="O721" s="794"/>
      <c r="P721" s="794"/>
      <c r="Q721" s="794"/>
      <c r="R721" s="794"/>
      <c r="S721" s="794"/>
      <c r="T721" s="794"/>
      <c r="U721" s="794"/>
      <c r="V721" s="794"/>
    </row>
    <row r="722" spans="1:22" ht="14.5">
      <c r="A722" s="794"/>
      <c r="B722" s="799"/>
      <c r="C722" s="794"/>
      <c r="D722" s="794"/>
      <c r="E722" s="794"/>
      <c r="F722" s="794"/>
      <c r="G722" s="794"/>
      <c r="H722" s="794"/>
      <c r="I722" s="794"/>
      <c r="J722" s="794"/>
      <c r="K722" s="794"/>
      <c r="L722" s="794"/>
      <c r="M722" s="794"/>
      <c r="N722" s="794"/>
      <c r="O722" s="794"/>
      <c r="P722" s="794"/>
      <c r="Q722" s="794"/>
      <c r="R722" s="794"/>
      <c r="S722" s="794"/>
      <c r="T722" s="794"/>
      <c r="U722" s="794"/>
      <c r="V722" s="794"/>
    </row>
    <row r="723" spans="1:22" ht="14.5">
      <c r="A723" s="794"/>
      <c r="B723" s="799"/>
      <c r="C723" s="794"/>
      <c r="D723" s="794"/>
      <c r="E723" s="794"/>
      <c r="F723" s="794"/>
      <c r="G723" s="794"/>
      <c r="H723" s="794"/>
      <c r="I723" s="794"/>
      <c r="J723" s="794"/>
      <c r="K723" s="794"/>
      <c r="L723" s="794"/>
      <c r="M723" s="794"/>
      <c r="N723" s="794"/>
      <c r="O723" s="794"/>
      <c r="P723" s="794"/>
      <c r="Q723" s="794"/>
      <c r="R723" s="794"/>
      <c r="S723" s="794"/>
      <c r="T723" s="794"/>
      <c r="U723" s="794"/>
      <c r="V723" s="794"/>
    </row>
    <row r="724" spans="1:22" ht="14.5">
      <c r="A724" s="794"/>
      <c r="B724" s="799"/>
      <c r="C724" s="794"/>
      <c r="D724" s="794"/>
      <c r="E724" s="794"/>
      <c r="F724" s="794"/>
      <c r="G724" s="794"/>
      <c r="H724" s="794"/>
      <c r="I724" s="794"/>
      <c r="J724" s="794"/>
      <c r="K724" s="794"/>
      <c r="L724" s="794"/>
      <c r="M724" s="794"/>
      <c r="N724" s="794"/>
      <c r="O724" s="794"/>
      <c r="P724" s="794"/>
      <c r="Q724" s="794"/>
      <c r="R724" s="794"/>
      <c r="S724" s="794"/>
      <c r="T724" s="794"/>
      <c r="U724" s="794"/>
      <c r="V724" s="794"/>
    </row>
    <row r="725" spans="1:22" ht="14.5">
      <c r="A725" s="794"/>
      <c r="B725" s="799"/>
      <c r="C725" s="794"/>
      <c r="D725" s="794"/>
      <c r="E725" s="794"/>
      <c r="F725" s="794"/>
      <c r="G725" s="794"/>
      <c r="H725" s="794"/>
      <c r="I725" s="794"/>
      <c r="J725" s="794"/>
      <c r="K725" s="794"/>
      <c r="L725" s="794"/>
      <c r="M725" s="794"/>
      <c r="N725" s="794"/>
      <c r="O725" s="794"/>
      <c r="P725" s="794"/>
      <c r="Q725" s="794"/>
      <c r="R725" s="794"/>
      <c r="S725" s="794"/>
      <c r="T725" s="794"/>
      <c r="U725" s="794"/>
      <c r="V725" s="794"/>
    </row>
    <row r="726" spans="1:22" ht="14.5">
      <c r="A726" s="794"/>
      <c r="B726" s="799"/>
      <c r="C726" s="794"/>
      <c r="D726" s="794"/>
      <c r="E726" s="794"/>
      <c r="F726" s="794"/>
      <c r="G726" s="794"/>
      <c r="H726" s="794"/>
      <c r="I726" s="794"/>
      <c r="J726" s="794"/>
      <c r="K726" s="794"/>
      <c r="L726" s="794"/>
      <c r="M726" s="794"/>
      <c r="N726" s="794"/>
      <c r="O726" s="794"/>
      <c r="P726" s="794"/>
      <c r="Q726" s="794"/>
      <c r="R726" s="794"/>
      <c r="S726" s="794"/>
      <c r="T726" s="794"/>
      <c r="U726" s="794"/>
      <c r="V726" s="794"/>
    </row>
    <row r="727" spans="1:22" ht="14.5">
      <c r="A727" s="794"/>
      <c r="B727" s="799"/>
      <c r="C727" s="794"/>
      <c r="D727" s="794"/>
      <c r="E727" s="794"/>
      <c r="F727" s="794"/>
      <c r="G727" s="794"/>
      <c r="H727" s="794"/>
      <c r="I727" s="794"/>
      <c r="J727" s="794"/>
      <c r="K727" s="794"/>
      <c r="L727" s="794"/>
      <c r="M727" s="794"/>
      <c r="N727" s="794"/>
      <c r="O727" s="794"/>
      <c r="P727" s="794"/>
      <c r="Q727" s="794"/>
      <c r="R727" s="794"/>
      <c r="S727" s="794"/>
      <c r="T727" s="794"/>
      <c r="U727" s="794"/>
      <c r="V727" s="794"/>
    </row>
    <row r="728" spans="1:22" ht="14.5">
      <c r="A728" s="794"/>
      <c r="B728" s="799"/>
      <c r="C728" s="794"/>
      <c r="D728" s="794"/>
      <c r="E728" s="794"/>
      <c r="F728" s="794"/>
      <c r="G728" s="794"/>
      <c r="H728" s="794"/>
      <c r="I728" s="794"/>
      <c r="J728" s="794"/>
      <c r="K728" s="794"/>
      <c r="L728" s="794"/>
      <c r="M728" s="794"/>
      <c r="N728" s="794"/>
      <c r="O728" s="794"/>
      <c r="P728" s="794"/>
      <c r="Q728" s="794"/>
      <c r="R728" s="794"/>
      <c r="S728" s="794"/>
      <c r="T728" s="794"/>
      <c r="U728" s="794"/>
      <c r="V728" s="794"/>
    </row>
    <row r="729" spans="1:22" ht="14.5">
      <c r="A729" s="794"/>
      <c r="B729" s="799"/>
      <c r="C729" s="794"/>
      <c r="D729" s="794"/>
      <c r="E729" s="794"/>
      <c r="F729" s="794"/>
      <c r="G729" s="794"/>
      <c r="H729" s="794"/>
      <c r="I729" s="794"/>
      <c r="J729" s="794"/>
      <c r="K729" s="794"/>
      <c r="L729" s="794"/>
      <c r="M729" s="794"/>
      <c r="N729" s="794"/>
      <c r="O729" s="794"/>
      <c r="P729" s="794"/>
      <c r="Q729" s="794"/>
      <c r="R729" s="794"/>
      <c r="S729" s="794"/>
      <c r="T729" s="794"/>
      <c r="U729" s="794"/>
      <c r="V729" s="794"/>
    </row>
    <row r="730" spans="1:22" ht="14.5">
      <c r="A730" s="794"/>
      <c r="B730" s="799"/>
      <c r="C730" s="794"/>
      <c r="D730" s="794"/>
      <c r="E730" s="794"/>
      <c r="F730" s="794"/>
      <c r="G730" s="794"/>
      <c r="H730" s="794"/>
      <c r="I730" s="794"/>
      <c r="J730" s="794"/>
      <c r="K730" s="794"/>
      <c r="L730" s="794"/>
      <c r="M730" s="794"/>
      <c r="N730" s="794"/>
      <c r="O730" s="794"/>
      <c r="P730" s="794"/>
      <c r="Q730" s="794"/>
      <c r="R730" s="794"/>
      <c r="S730" s="794"/>
      <c r="T730" s="794"/>
      <c r="U730" s="794"/>
      <c r="V730" s="794"/>
    </row>
    <row r="731" spans="1:22" ht="14.5">
      <c r="A731" s="794"/>
      <c r="B731" s="799"/>
      <c r="C731" s="794"/>
      <c r="D731" s="794"/>
      <c r="E731" s="794"/>
      <c r="F731" s="794"/>
      <c r="G731" s="794"/>
      <c r="H731" s="794"/>
      <c r="I731" s="794"/>
      <c r="J731" s="794"/>
      <c r="K731" s="794"/>
      <c r="L731" s="794"/>
      <c r="M731" s="794"/>
      <c r="N731" s="794"/>
      <c r="O731" s="794"/>
      <c r="P731" s="794"/>
      <c r="Q731" s="794"/>
      <c r="R731" s="794"/>
      <c r="S731" s="794"/>
      <c r="T731" s="794"/>
      <c r="U731" s="794"/>
      <c r="V731" s="794"/>
    </row>
    <row r="732" spans="1:22" ht="14.5">
      <c r="A732" s="794"/>
      <c r="B732" s="799"/>
      <c r="C732" s="794"/>
      <c r="D732" s="794"/>
      <c r="E732" s="794"/>
      <c r="F732" s="794"/>
      <c r="G732" s="794"/>
      <c r="H732" s="794"/>
      <c r="I732" s="794"/>
      <c r="J732" s="794"/>
      <c r="K732" s="794"/>
      <c r="L732" s="794"/>
      <c r="M732" s="794"/>
      <c r="N732" s="794"/>
      <c r="O732" s="794"/>
      <c r="P732" s="794"/>
      <c r="Q732" s="794"/>
      <c r="R732" s="794"/>
      <c r="S732" s="794"/>
      <c r="T732" s="794"/>
      <c r="U732" s="794"/>
      <c r="V732" s="794"/>
    </row>
    <row r="733" spans="1:22" ht="14.5">
      <c r="A733" s="794"/>
      <c r="B733" s="799"/>
      <c r="C733" s="794"/>
      <c r="D733" s="794"/>
      <c r="E733" s="794"/>
      <c r="F733" s="794"/>
      <c r="G733" s="794"/>
      <c r="H733" s="794"/>
      <c r="I733" s="794"/>
      <c r="J733" s="794"/>
      <c r="K733" s="794"/>
      <c r="L733" s="794"/>
      <c r="M733" s="794"/>
      <c r="N733" s="794"/>
      <c r="O733" s="794"/>
      <c r="P733" s="794"/>
      <c r="Q733" s="794"/>
      <c r="R733" s="794"/>
      <c r="S733" s="794"/>
      <c r="T733" s="794"/>
      <c r="U733" s="794"/>
      <c r="V733" s="794"/>
    </row>
    <row r="734" spans="1:22" ht="14.5">
      <c r="A734" s="794"/>
      <c r="B734" s="799"/>
      <c r="C734" s="794"/>
      <c r="D734" s="794"/>
      <c r="E734" s="794"/>
      <c r="F734" s="794"/>
      <c r="G734" s="794"/>
      <c r="H734" s="794"/>
      <c r="I734" s="794"/>
      <c r="J734" s="794"/>
      <c r="K734" s="794"/>
      <c r="L734" s="794"/>
      <c r="M734" s="794"/>
      <c r="N734" s="794"/>
      <c r="O734" s="794"/>
      <c r="P734" s="794"/>
      <c r="Q734" s="794"/>
      <c r="R734" s="794"/>
      <c r="S734" s="794"/>
      <c r="T734" s="794"/>
      <c r="U734" s="794"/>
      <c r="V734" s="794"/>
    </row>
    <row r="735" spans="1:22" ht="14.5">
      <c r="A735" s="794"/>
      <c r="B735" s="799"/>
      <c r="C735" s="794"/>
      <c r="D735" s="794"/>
      <c r="E735" s="794"/>
      <c r="F735" s="794"/>
      <c r="G735" s="794"/>
      <c r="H735" s="794"/>
      <c r="I735" s="794"/>
      <c r="J735" s="794"/>
      <c r="K735" s="794"/>
      <c r="L735" s="794"/>
      <c r="M735" s="794"/>
      <c r="N735" s="794"/>
      <c r="O735" s="794"/>
      <c r="P735" s="794"/>
      <c r="Q735" s="794"/>
      <c r="R735" s="794"/>
      <c r="S735" s="794"/>
      <c r="T735" s="794"/>
      <c r="U735" s="794"/>
      <c r="V735" s="794"/>
    </row>
    <row r="736" spans="1:22" ht="14.5">
      <c r="A736" s="794"/>
      <c r="B736" s="799"/>
      <c r="C736" s="794"/>
      <c r="D736" s="794"/>
      <c r="E736" s="794"/>
      <c r="F736" s="794"/>
      <c r="G736" s="794"/>
      <c r="H736" s="794"/>
      <c r="I736" s="794"/>
      <c r="J736" s="794"/>
      <c r="K736" s="794"/>
      <c r="L736" s="794"/>
      <c r="M736" s="794"/>
      <c r="N736" s="794"/>
      <c r="O736" s="794"/>
      <c r="P736" s="794"/>
      <c r="Q736" s="794"/>
      <c r="R736" s="794"/>
      <c r="S736" s="794"/>
      <c r="T736" s="794"/>
      <c r="U736" s="794"/>
      <c r="V736" s="794"/>
    </row>
    <row r="737" spans="1:22" ht="14.5">
      <c r="A737" s="794"/>
      <c r="B737" s="799"/>
      <c r="C737" s="794"/>
      <c r="D737" s="794"/>
      <c r="E737" s="794"/>
      <c r="F737" s="794"/>
      <c r="G737" s="794"/>
      <c r="H737" s="794"/>
      <c r="I737" s="794"/>
      <c r="J737" s="794"/>
      <c r="K737" s="794"/>
      <c r="L737" s="794"/>
      <c r="M737" s="794"/>
      <c r="N737" s="794"/>
      <c r="O737" s="794"/>
      <c r="P737" s="794"/>
      <c r="Q737" s="794"/>
      <c r="R737" s="794"/>
      <c r="S737" s="794"/>
      <c r="T737" s="794"/>
      <c r="U737" s="794"/>
      <c r="V737" s="794"/>
    </row>
    <row r="738" spans="1:22" ht="14.5">
      <c r="A738" s="794"/>
      <c r="B738" s="799"/>
      <c r="C738" s="794"/>
      <c r="D738" s="794"/>
      <c r="E738" s="794"/>
      <c r="F738" s="794"/>
      <c r="G738" s="794"/>
      <c r="H738" s="794"/>
      <c r="I738" s="794"/>
      <c r="J738" s="794"/>
      <c r="K738" s="794"/>
      <c r="L738" s="794"/>
      <c r="M738" s="794"/>
      <c r="N738" s="794"/>
      <c r="O738" s="794"/>
      <c r="P738" s="794"/>
      <c r="Q738" s="794"/>
      <c r="R738" s="794"/>
      <c r="S738" s="794"/>
      <c r="T738" s="794"/>
      <c r="U738" s="794"/>
      <c r="V738" s="794"/>
    </row>
    <row r="739" spans="1:22" ht="14.5">
      <c r="A739" s="794"/>
      <c r="B739" s="799"/>
      <c r="C739" s="794"/>
      <c r="D739" s="794"/>
      <c r="E739" s="794"/>
      <c r="F739" s="794"/>
      <c r="G739" s="794"/>
      <c r="H739" s="794"/>
      <c r="I739" s="794"/>
      <c r="J739" s="794"/>
      <c r="K739" s="794"/>
      <c r="L739" s="794"/>
      <c r="M739" s="794"/>
      <c r="N739" s="794"/>
      <c r="O739" s="794"/>
      <c r="P739" s="794"/>
      <c r="Q739" s="794"/>
      <c r="R739" s="794"/>
      <c r="S739" s="794"/>
      <c r="T739" s="794"/>
      <c r="U739" s="794"/>
      <c r="V739" s="794"/>
    </row>
    <row r="740" spans="1:22" ht="14.5">
      <c r="A740" s="794"/>
      <c r="B740" s="799"/>
      <c r="C740" s="794"/>
      <c r="D740" s="794"/>
      <c r="E740" s="794"/>
      <c r="F740" s="794"/>
      <c r="G740" s="794"/>
      <c r="H740" s="794"/>
      <c r="I740" s="794"/>
      <c r="J740" s="794"/>
      <c r="K740" s="794"/>
      <c r="L740" s="794"/>
      <c r="M740" s="794"/>
      <c r="N740" s="794"/>
      <c r="O740" s="794"/>
      <c r="P740" s="794"/>
      <c r="Q740" s="794"/>
      <c r="R740" s="794"/>
      <c r="S740" s="794"/>
      <c r="T740" s="794"/>
      <c r="U740" s="794"/>
      <c r="V740" s="794"/>
    </row>
    <row r="741" spans="1:22" ht="14.5">
      <c r="A741" s="794"/>
      <c r="B741" s="799"/>
      <c r="C741" s="794"/>
      <c r="D741" s="794"/>
      <c r="E741" s="794"/>
      <c r="F741" s="794"/>
      <c r="G741" s="794"/>
      <c r="H741" s="794"/>
      <c r="I741" s="794"/>
      <c r="J741" s="794"/>
      <c r="K741" s="794"/>
      <c r="L741" s="794"/>
      <c r="M741" s="794"/>
      <c r="N741" s="794"/>
      <c r="O741" s="794"/>
      <c r="P741" s="794"/>
      <c r="Q741" s="794"/>
      <c r="R741" s="794"/>
      <c r="S741" s="794"/>
      <c r="T741" s="794"/>
      <c r="U741" s="794"/>
      <c r="V741" s="794"/>
    </row>
    <row r="742" spans="1:22" ht="14.5">
      <c r="A742" s="794"/>
      <c r="B742" s="799"/>
      <c r="C742" s="794"/>
      <c r="D742" s="794"/>
      <c r="E742" s="794"/>
      <c r="F742" s="794"/>
      <c r="G742" s="794"/>
      <c r="H742" s="794"/>
      <c r="I742" s="794"/>
      <c r="J742" s="794"/>
      <c r="K742" s="794"/>
      <c r="L742" s="794"/>
      <c r="M742" s="794"/>
      <c r="N742" s="794"/>
      <c r="O742" s="794"/>
      <c r="P742" s="794"/>
      <c r="Q742" s="794"/>
      <c r="R742" s="794"/>
      <c r="S742" s="794"/>
      <c r="T742" s="794"/>
      <c r="U742" s="794"/>
      <c r="V742" s="794"/>
    </row>
    <row r="743" spans="1:22" ht="14.5">
      <c r="A743" s="794"/>
      <c r="B743" s="799"/>
      <c r="C743" s="794"/>
      <c r="D743" s="794"/>
      <c r="E743" s="794"/>
      <c r="F743" s="794"/>
      <c r="G743" s="794"/>
      <c r="H743" s="794"/>
      <c r="I743" s="794"/>
      <c r="J743" s="794"/>
      <c r="K743" s="794"/>
      <c r="L743" s="794"/>
      <c r="M743" s="794"/>
      <c r="N743" s="794"/>
      <c r="O743" s="794"/>
      <c r="P743" s="794"/>
      <c r="Q743" s="794"/>
      <c r="R743" s="794"/>
      <c r="S743" s="794"/>
      <c r="T743" s="794"/>
      <c r="U743" s="794"/>
      <c r="V743" s="794"/>
    </row>
    <row r="744" spans="1:22" ht="14.5">
      <c r="A744" s="794"/>
      <c r="B744" s="799"/>
      <c r="C744" s="794"/>
      <c r="D744" s="794"/>
      <c r="E744" s="794"/>
      <c r="F744" s="794"/>
      <c r="G744" s="794"/>
      <c r="H744" s="794"/>
      <c r="I744" s="794"/>
      <c r="J744" s="794"/>
      <c r="K744" s="794"/>
      <c r="L744" s="794"/>
      <c r="M744" s="794"/>
      <c r="N744" s="794"/>
      <c r="O744" s="794"/>
      <c r="P744" s="794"/>
      <c r="Q744" s="794"/>
      <c r="R744" s="794"/>
      <c r="S744" s="794"/>
      <c r="T744" s="794"/>
      <c r="U744" s="794"/>
      <c r="V744" s="794"/>
    </row>
    <row r="745" spans="1:22" ht="14.5">
      <c r="A745" s="794"/>
      <c r="B745" s="799"/>
      <c r="C745" s="794"/>
      <c r="D745" s="794"/>
      <c r="E745" s="794"/>
      <c r="F745" s="794"/>
      <c r="G745" s="794"/>
      <c r="H745" s="794"/>
      <c r="I745" s="794"/>
      <c r="J745" s="794"/>
      <c r="K745" s="794"/>
      <c r="L745" s="794"/>
      <c r="M745" s="794"/>
      <c r="N745" s="794"/>
      <c r="O745" s="794"/>
      <c r="P745" s="794"/>
      <c r="Q745" s="794"/>
      <c r="R745" s="794"/>
      <c r="S745" s="794"/>
      <c r="T745" s="794"/>
      <c r="U745" s="794"/>
      <c r="V745" s="794"/>
    </row>
    <row r="746" spans="1:22" ht="14.5">
      <c r="A746" s="794"/>
      <c r="B746" s="799"/>
      <c r="C746" s="794"/>
      <c r="D746" s="794"/>
      <c r="E746" s="794"/>
      <c r="F746" s="794"/>
      <c r="G746" s="794"/>
      <c r="H746" s="794"/>
      <c r="I746" s="794"/>
      <c r="J746" s="794"/>
      <c r="K746" s="794"/>
      <c r="L746" s="794"/>
      <c r="M746" s="794"/>
      <c r="N746" s="794"/>
      <c r="O746" s="794"/>
      <c r="P746" s="794"/>
      <c r="Q746" s="794"/>
      <c r="R746" s="794"/>
      <c r="S746" s="794"/>
      <c r="T746" s="794"/>
      <c r="U746" s="794"/>
      <c r="V746" s="794"/>
    </row>
    <row r="747" spans="1:22" ht="14.5">
      <c r="A747" s="794"/>
      <c r="B747" s="799"/>
      <c r="C747" s="794"/>
      <c r="D747" s="794"/>
      <c r="E747" s="794"/>
      <c r="F747" s="794"/>
      <c r="G747" s="794"/>
      <c r="H747" s="794"/>
      <c r="I747" s="794"/>
      <c r="J747" s="794"/>
      <c r="K747" s="794"/>
      <c r="L747" s="794"/>
      <c r="M747" s="794"/>
      <c r="N747" s="794"/>
      <c r="O747" s="794"/>
      <c r="P747" s="794"/>
      <c r="Q747" s="794"/>
      <c r="R747" s="794"/>
      <c r="S747" s="794"/>
      <c r="T747" s="794"/>
      <c r="U747" s="794"/>
      <c r="V747" s="794"/>
    </row>
    <row r="748" spans="1:22" ht="14.5">
      <c r="A748" s="794"/>
      <c r="B748" s="799"/>
      <c r="C748" s="794"/>
      <c r="D748" s="794"/>
      <c r="E748" s="794"/>
      <c r="F748" s="794"/>
      <c r="G748" s="794"/>
      <c r="H748" s="794"/>
      <c r="I748" s="794"/>
      <c r="J748" s="794"/>
      <c r="K748" s="794"/>
      <c r="L748" s="794"/>
      <c r="M748" s="794"/>
      <c r="N748" s="794"/>
      <c r="O748" s="794"/>
      <c r="P748" s="794"/>
      <c r="Q748" s="794"/>
      <c r="R748" s="794"/>
      <c r="S748" s="794"/>
      <c r="T748" s="794"/>
      <c r="U748" s="794"/>
      <c r="V748" s="794"/>
    </row>
    <row r="749" spans="1:22" ht="14.5">
      <c r="A749" s="794"/>
      <c r="B749" s="799"/>
      <c r="C749" s="794"/>
      <c r="D749" s="794"/>
      <c r="E749" s="794"/>
      <c r="F749" s="794"/>
      <c r="G749" s="794"/>
      <c r="H749" s="794"/>
      <c r="I749" s="794"/>
      <c r="J749" s="794"/>
      <c r="K749" s="794"/>
      <c r="L749" s="794"/>
      <c r="M749" s="794"/>
      <c r="N749" s="794"/>
      <c r="O749" s="794"/>
      <c r="P749" s="794"/>
      <c r="Q749" s="794"/>
      <c r="R749" s="794"/>
      <c r="S749" s="794"/>
      <c r="T749" s="794"/>
      <c r="U749" s="794"/>
      <c r="V749" s="794"/>
    </row>
    <row r="750" spans="1:22" ht="14.5">
      <c r="A750" s="794"/>
      <c r="B750" s="799"/>
      <c r="C750" s="794"/>
      <c r="D750" s="794"/>
      <c r="E750" s="794"/>
      <c r="F750" s="794"/>
      <c r="G750" s="794"/>
      <c r="H750" s="794"/>
      <c r="I750" s="794"/>
      <c r="J750" s="794"/>
      <c r="K750" s="794"/>
      <c r="L750" s="794"/>
      <c r="M750" s="794"/>
      <c r="N750" s="794"/>
      <c r="O750" s="794"/>
      <c r="P750" s="794"/>
      <c r="Q750" s="794"/>
      <c r="R750" s="794"/>
      <c r="S750" s="794"/>
      <c r="T750" s="794"/>
      <c r="U750" s="794"/>
      <c r="V750" s="794"/>
    </row>
    <row r="751" spans="1:22" ht="14.5">
      <c r="A751" s="794"/>
      <c r="B751" s="799"/>
      <c r="C751" s="794"/>
      <c r="D751" s="794"/>
      <c r="E751" s="794"/>
      <c r="F751" s="794"/>
      <c r="G751" s="794"/>
      <c r="H751" s="794"/>
      <c r="I751" s="794"/>
      <c r="J751" s="794"/>
      <c r="K751" s="794"/>
      <c r="L751" s="794"/>
      <c r="M751" s="794"/>
      <c r="N751" s="794"/>
      <c r="O751" s="794"/>
      <c r="P751" s="794"/>
      <c r="Q751" s="794"/>
      <c r="R751" s="794"/>
      <c r="S751" s="794"/>
      <c r="T751" s="794"/>
      <c r="U751" s="794"/>
      <c r="V751" s="794"/>
    </row>
    <row r="752" spans="1:22" ht="14.5">
      <c r="A752" s="794"/>
      <c r="B752" s="799"/>
      <c r="C752" s="794"/>
      <c r="D752" s="794"/>
      <c r="E752" s="794"/>
      <c r="F752" s="794"/>
      <c r="G752" s="794"/>
      <c r="H752" s="794"/>
      <c r="I752" s="794"/>
      <c r="J752" s="794"/>
      <c r="K752" s="794"/>
      <c r="L752" s="794"/>
      <c r="M752" s="794"/>
      <c r="N752" s="794"/>
      <c r="O752" s="794"/>
      <c r="P752" s="794"/>
      <c r="Q752" s="794"/>
      <c r="R752" s="794"/>
      <c r="S752" s="794"/>
      <c r="T752" s="794"/>
      <c r="U752" s="794"/>
      <c r="V752" s="794"/>
    </row>
    <row r="753" spans="1:22" ht="14.5">
      <c r="A753" s="794"/>
      <c r="B753" s="799"/>
      <c r="C753" s="794"/>
      <c r="D753" s="794"/>
      <c r="E753" s="794"/>
      <c r="F753" s="794"/>
      <c r="G753" s="794"/>
      <c r="H753" s="794"/>
      <c r="I753" s="794"/>
      <c r="J753" s="794"/>
      <c r="K753" s="794"/>
      <c r="L753" s="794"/>
      <c r="M753" s="794"/>
      <c r="N753" s="794"/>
      <c r="O753" s="794"/>
      <c r="P753" s="794"/>
      <c r="Q753" s="794"/>
      <c r="R753" s="794"/>
      <c r="S753" s="794"/>
      <c r="T753" s="794"/>
      <c r="U753" s="794"/>
      <c r="V753" s="794"/>
    </row>
    <row r="754" spans="1:22" ht="14.5">
      <c r="A754" s="794"/>
      <c r="B754" s="799"/>
      <c r="C754" s="794"/>
      <c r="D754" s="794"/>
      <c r="E754" s="794"/>
      <c r="F754" s="794"/>
      <c r="G754" s="794"/>
      <c r="H754" s="794"/>
      <c r="I754" s="794"/>
      <c r="J754" s="794"/>
      <c r="K754" s="794"/>
      <c r="L754" s="794"/>
      <c r="M754" s="794"/>
      <c r="N754" s="794"/>
      <c r="O754" s="794"/>
      <c r="P754" s="794"/>
      <c r="Q754" s="794"/>
      <c r="R754" s="794"/>
      <c r="S754" s="794"/>
      <c r="T754" s="794"/>
      <c r="U754" s="794"/>
      <c r="V754" s="794"/>
    </row>
    <row r="755" spans="1:22" ht="14.5">
      <c r="A755" s="794"/>
      <c r="B755" s="799"/>
      <c r="C755" s="794"/>
      <c r="D755" s="794"/>
      <c r="E755" s="794"/>
      <c r="F755" s="794"/>
      <c r="G755" s="794"/>
      <c r="H755" s="794"/>
      <c r="I755" s="794"/>
      <c r="J755" s="794"/>
      <c r="K755" s="794"/>
      <c r="L755" s="794"/>
      <c r="M755" s="794"/>
      <c r="N755" s="794"/>
      <c r="O755" s="794"/>
      <c r="P755" s="794"/>
      <c r="Q755" s="794"/>
      <c r="R755" s="794"/>
      <c r="S755" s="794"/>
      <c r="T755" s="794"/>
      <c r="U755" s="794"/>
      <c r="V755" s="794"/>
    </row>
    <row r="756" spans="1:22" ht="14.5">
      <c r="A756" s="794"/>
      <c r="B756" s="799"/>
      <c r="C756" s="794"/>
      <c r="D756" s="794"/>
      <c r="E756" s="794"/>
      <c r="F756" s="794"/>
      <c r="G756" s="794"/>
      <c r="H756" s="794"/>
      <c r="I756" s="794"/>
      <c r="J756" s="794"/>
      <c r="K756" s="794"/>
      <c r="L756" s="794"/>
      <c r="M756" s="794"/>
      <c r="N756" s="794"/>
      <c r="O756" s="794"/>
      <c r="P756" s="794"/>
      <c r="Q756" s="794"/>
      <c r="R756" s="794"/>
      <c r="S756" s="794"/>
      <c r="T756" s="794"/>
      <c r="U756" s="794"/>
      <c r="V756" s="794"/>
    </row>
    <row r="757" spans="1:22" ht="14.5">
      <c r="A757" s="794"/>
      <c r="B757" s="799"/>
      <c r="C757" s="794"/>
      <c r="D757" s="794"/>
      <c r="E757" s="794"/>
      <c r="F757" s="794"/>
      <c r="G757" s="794"/>
      <c r="H757" s="794"/>
      <c r="I757" s="794"/>
      <c r="J757" s="794"/>
      <c r="K757" s="794"/>
      <c r="L757" s="794"/>
      <c r="M757" s="794"/>
      <c r="N757" s="794"/>
      <c r="O757" s="794"/>
      <c r="P757" s="794"/>
      <c r="Q757" s="794"/>
      <c r="R757" s="794"/>
      <c r="S757" s="794"/>
      <c r="T757" s="794"/>
      <c r="U757" s="794"/>
      <c r="V757" s="794"/>
    </row>
    <row r="758" spans="1:22" ht="14.5">
      <c r="A758" s="794"/>
      <c r="B758" s="799"/>
      <c r="C758" s="794"/>
      <c r="D758" s="794"/>
      <c r="E758" s="794"/>
      <c r="F758" s="794"/>
      <c r="G758" s="794"/>
      <c r="H758" s="794"/>
      <c r="I758" s="794"/>
      <c r="J758" s="794"/>
      <c r="K758" s="794"/>
      <c r="L758" s="794"/>
      <c r="M758" s="794"/>
      <c r="N758" s="794"/>
      <c r="O758" s="794"/>
      <c r="P758" s="794"/>
      <c r="Q758" s="794"/>
      <c r="R758" s="794"/>
      <c r="S758" s="794"/>
      <c r="T758" s="794"/>
      <c r="U758" s="794"/>
      <c r="V758" s="794"/>
    </row>
    <row r="759" spans="1:22" ht="14.5">
      <c r="A759" s="794"/>
      <c r="B759" s="799"/>
      <c r="C759" s="794"/>
      <c r="D759" s="794"/>
      <c r="E759" s="794"/>
      <c r="F759" s="794"/>
      <c r="G759" s="794"/>
      <c r="H759" s="794"/>
      <c r="I759" s="794"/>
      <c r="J759" s="794"/>
      <c r="K759" s="794"/>
      <c r="L759" s="794"/>
      <c r="M759" s="794"/>
      <c r="N759" s="794"/>
      <c r="O759" s="794"/>
      <c r="P759" s="794"/>
      <c r="Q759" s="794"/>
      <c r="R759" s="794"/>
      <c r="S759" s="794"/>
      <c r="T759" s="794"/>
      <c r="U759" s="794"/>
      <c r="V759" s="794"/>
    </row>
    <row r="760" spans="1:22" ht="14.5">
      <c r="A760" s="794"/>
      <c r="B760" s="799"/>
      <c r="C760" s="794"/>
      <c r="D760" s="794"/>
      <c r="E760" s="794"/>
      <c r="F760" s="794"/>
      <c r="G760" s="794"/>
      <c r="H760" s="794"/>
      <c r="I760" s="794"/>
      <c r="J760" s="794"/>
      <c r="K760" s="794"/>
      <c r="L760" s="794"/>
      <c r="M760" s="794"/>
      <c r="N760" s="794"/>
      <c r="O760" s="794"/>
      <c r="P760" s="794"/>
      <c r="Q760" s="794"/>
      <c r="R760" s="794"/>
      <c r="S760" s="794"/>
      <c r="T760" s="794"/>
      <c r="U760" s="794"/>
      <c r="V760" s="794"/>
    </row>
    <row r="761" spans="1:22" ht="14.5">
      <c r="A761" s="794"/>
      <c r="B761" s="799"/>
      <c r="C761" s="794"/>
      <c r="D761" s="794"/>
      <c r="E761" s="794"/>
      <c r="F761" s="794"/>
      <c r="G761" s="794"/>
      <c r="H761" s="794"/>
      <c r="I761" s="794"/>
      <c r="J761" s="794"/>
      <c r="K761" s="794"/>
      <c r="L761" s="794"/>
      <c r="M761" s="794"/>
      <c r="N761" s="794"/>
      <c r="O761" s="794"/>
      <c r="P761" s="794"/>
      <c r="Q761" s="794"/>
      <c r="R761" s="794"/>
      <c r="S761" s="794"/>
      <c r="T761" s="794"/>
      <c r="U761" s="794"/>
      <c r="V761" s="794"/>
    </row>
    <row r="762" spans="1:22" ht="14.5">
      <c r="A762" s="794"/>
      <c r="B762" s="799"/>
      <c r="C762" s="794"/>
      <c r="D762" s="794"/>
      <c r="E762" s="794"/>
      <c r="F762" s="794"/>
      <c r="G762" s="794"/>
      <c r="H762" s="794"/>
      <c r="I762" s="794"/>
      <c r="J762" s="794"/>
      <c r="K762" s="794"/>
      <c r="L762" s="794"/>
      <c r="M762" s="794"/>
      <c r="N762" s="794"/>
      <c r="O762" s="794"/>
      <c r="P762" s="794"/>
      <c r="Q762" s="794"/>
      <c r="R762" s="794"/>
      <c r="S762" s="794"/>
      <c r="T762" s="794"/>
      <c r="U762" s="794"/>
      <c r="V762" s="794"/>
    </row>
    <row r="763" spans="1:22" ht="14.5">
      <c r="A763" s="794"/>
      <c r="B763" s="799"/>
      <c r="C763" s="794"/>
      <c r="D763" s="794"/>
      <c r="E763" s="794"/>
      <c r="F763" s="794"/>
      <c r="G763" s="794"/>
      <c r="H763" s="794"/>
      <c r="I763" s="794"/>
      <c r="J763" s="794"/>
      <c r="K763" s="794"/>
      <c r="L763" s="794"/>
      <c r="M763" s="794"/>
      <c r="N763" s="794"/>
      <c r="O763" s="794"/>
      <c r="P763" s="794"/>
      <c r="Q763" s="794"/>
      <c r="R763" s="794"/>
      <c r="S763" s="794"/>
      <c r="T763" s="794"/>
      <c r="U763" s="794"/>
      <c r="V763" s="794"/>
    </row>
    <row r="764" spans="1:22" ht="14.5">
      <c r="A764" s="794"/>
      <c r="B764" s="799"/>
      <c r="C764" s="794"/>
      <c r="D764" s="794"/>
      <c r="E764" s="794"/>
      <c r="F764" s="794"/>
      <c r="G764" s="794"/>
      <c r="H764" s="794"/>
      <c r="I764" s="794"/>
      <c r="J764" s="794"/>
      <c r="K764" s="794"/>
      <c r="L764" s="794"/>
      <c r="M764" s="794"/>
      <c r="N764" s="794"/>
      <c r="O764" s="794"/>
      <c r="P764" s="794"/>
      <c r="Q764" s="794"/>
      <c r="R764" s="794"/>
      <c r="S764" s="794"/>
      <c r="T764" s="794"/>
      <c r="U764" s="794"/>
      <c r="V764" s="794"/>
    </row>
    <row r="765" spans="1:22" ht="14.5">
      <c r="A765" s="794"/>
      <c r="B765" s="799"/>
      <c r="C765" s="794"/>
      <c r="D765" s="794"/>
      <c r="E765" s="794"/>
      <c r="F765" s="794"/>
      <c r="G765" s="794"/>
      <c r="H765" s="794"/>
      <c r="I765" s="794"/>
      <c r="J765" s="794"/>
      <c r="K765" s="794"/>
      <c r="L765" s="794"/>
      <c r="M765" s="794"/>
      <c r="N765" s="794"/>
      <c r="O765" s="794"/>
      <c r="P765" s="794"/>
      <c r="Q765" s="794"/>
      <c r="R765" s="794"/>
      <c r="S765" s="794"/>
      <c r="T765" s="794"/>
      <c r="U765" s="794"/>
      <c r="V765" s="794"/>
    </row>
    <row r="766" spans="1:22" ht="14.5">
      <c r="A766" s="794"/>
      <c r="B766" s="799"/>
      <c r="C766" s="794"/>
      <c r="D766" s="794"/>
      <c r="E766" s="794"/>
      <c r="F766" s="794"/>
      <c r="G766" s="794"/>
      <c r="H766" s="794"/>
      <c r="I766" s="794"/>
      <c r="J766" s="794"/>
      <c r="K766" s="794"/>
      <c r="L766" s="794"/>
      <c r="M766" s="794"/>
      <c r="N766" s="794"/>
      <c r="O766" s="794"/>
      <c r="P766" s="794"/>
      <c r="Q766" s="794"/>
      <c r="R766" s="794"/>
      <c r="S766" s="794"/>
      <c r="T766" s="794"/>
      <c r="U766" s="794"/>
      <c r="V766" s="794"/>
    </row>
    <row r="767" spans="1:22" ht="14.5">
      <c r="A767" s="794"/>
      <c r="B767" s="799"/>
      <c r="C767" s="794"/>
      <c r="D767" s="794"/>
      <c r="E767" s="794"/>
      <c r="F767" s="794"/>
      <c r="G767" s="794"/>
      <c r="H767" s="794"/>
      <c r="I767" s="794"/>
      <c r="J767" s="794"/>
      <c r="K767" s="794"/>
      <c r="L767" s="794"/>
      <c r="M767" s="794"/>
      <c r="N767" s="794"/>
      <c r="O767" s="794"/>
      <c r="P767" s="794"/>
      <c r="Q767" s="794"/>
      <c r="R767" s="794"/>
      <c r="S767" s="794"/>
      <c r="T767" s="794"/>
      <c r="U767" s="794"/>
      <c r="V767" s="794"/>
    </row>
    <row r="768" spans="1:22" ht="14.5">
      <c r="A768" s="794"/>
      <c r="B768" s="799"/>
      <c r="C768" s="794"/>
      <c r="D768" s="794"/>
      <c r="E768" s="794"/>
      <c r="F768" s="794"/>
      <c r="G768" s="794"/>
      <c r="H768" s="794"/>
      <c r="I768" s="794"/>
      <c r="J768" s="794"/>
      <c r="K768" s="794"/>
      <c r="L768" s="794"/>
      <c r="M768" s="794"/>
      <c r="N768" s="794"/>
      <c r="O768" s="794"/>
      <c r="P768" s="794"/>
      <c r="Q768" s="794"/>
      <c r="R768" s="794"/>
      <c r="S768" s="794"/>
      <c r="T768" s="794"/>
      <c r="U768" s="794"/>
      <c r="V768" s="794"/>
    </row>
    <row r="769" spans="1:22" ht="14.5">
      <c r="A769" s="794"/>
      <c r="B769" s="799"/>
      <c r="C769" s="794"/>
      <c r="D769" s="794"/>
      <c r="E769" s="794"/>
      <c r="F769" s="794"/>
      <c r="G769" s="794"/>
      <c r="H769" s="794"/>
      <c r="I769" s="794"/>
      <c r="J769" s="794"/>
      <c r="K769" s="794"/>
      <c r="L769" s="794"/>
      <c r="M769" s="794"/>
      <c r="N769" s="794"/>
      <c r="O769" s="794"/>
      <c r="P769" s="794"/>
      <c r="Q769" s="794"/>
      <c r="R769" s="794"/>
      <c r="S769" s="794"/>
      <c r="T769" s="794"/>
      <c r="U769" s="794"/>
      <c r="V769" s="794"/>
    </row>
    <row r="770" spans="1:22" ht="14.5">
      <c r="A770" s="794"/>
      <c r="B770" s="799"/>
      <c r="C770" s="794"/>
      <c r="D770" s="794"/>
      <c r="E770" s="794"/>
      <c r="F770" s="794"/>
      <c r="G770" s="794"/>
      <c r="H770" s="794"/>
      <c r="I770" s="794"/>
      <c r="J770" s="794"/>
      <c r="K770" s="794"/>
      <c r="L770" s="794"/>
      <c r="M770" s="794"/>
      <c r="N770" s="794"/>
      <c r="O770" s="794"/>
      <c r="P770" s="794"/>
      <c r="Q770" s="794"/>
      <c r="R770" s="794"/>
      <c r="S770" s="794"/>
      <c r="T770" s="794"/>
      <c r="U770" s="794"/>
      <c r="V770" s="794"/>
    </row>
    <row r="771" spans="1:22" ht="14.5">
      <c r="A771" s="794"/>
      <c r="B771" s="799"/>
      <c r="C771" s="794"/>
      <c r="D771" s="794"/>
      <c r="E771" s="794"/>
      <c r="F771" s="794"/>
      <c r="G771" s="794"/>
      <c r="H771" s="794"/>
      <c r="I771" s="794"/>
      <c r="J771" s="794"/>
      <c r="K771" s="794"/>
      <c r="L771" s="794"/>
      <c r="M771" s="794"/>
      <c r="N771" s="794"/>
      <c r="O771" s="794"/>
      <c r="P771" s="794"/>
      <c r="Q771" s="794"/>
      <c r="R771" s="794"/>
      <c r="S771" s="794"/>
      <c r="T771" s="794"/>
      <c r="U771" s="794"/>
      <c r="V771" s="794"/>
    </row>
    <row r="772" spans="1:22" ht="14.5">
      <c r="A772" s="794"/>
      <c r="B772" s="799"/>
      <c r="C772" s="794"/>
      <c r="D772" s="794"/>
      <c r="E772" s="794"/>
      <c r="F772" s="794"/>
      <c r="G772" s="794"/>
      <c r="H772" s="794"/>
      <c r="I772" s="794"/>
      <c r="J772" s="794"/>
      <c r="K772" s="794"/>
      <c r="L772" s="794"/>
      <c r="M772" s="794"/>
      <c r="N772" s="794"/>
      <c r="O772" s="794"/>
      <c r="P772" s="794"/>
      <c r="Q772" s="794"/>
      <c r="R772" s="794"/>
      <c r="S772" s="794"/>
      <c r="T772" s="794"/>
      <c r="U772" s="794"/>
      <c r="V772" s="794"/>
    </row>
    <row r="773" spans="1:22" ht="14.5">
      <c r="A773" s="794"/>
      <c r="B773" s="799"/>
      <c r="C773" s="794"/>
      <c r="D773" s="794"/>
      <c r="E773" s="794"/>
      <c r="F773" s="794"/>
      <c r="G773" s="794"/>
      <c r="H773" s="794"/>
      <c r="I773" s="794"/>
      <c r="J773" s="794"/>
      <c r="K773" s="794"/>
      <c r="L773" s="794"/>
      <c r="M773" s="794"/>
      <c r="N773" s="794"/>
      <c r="O773" s="794"/>
      <c r="P773" s="794"/>
      <c r="Q773" s="794"/>
      <c r="R773" s="794"/>
      <c r="S773" s="794"/>
      <c r="T773" s="794"/>
      <c r="U773" s="794"/>
      <c r="V773" s="794"/>
    </row>
    <row r="774" spans="1:22" ht="14.5">
      <c r="A774" s="794"/>
      <c r="B774" s="799"/>
      <c r="C774" s="794"/>
      <c r="D774" s="794"/>
      <c r="E774" s="794"/>
      <c r="F774" s="794"/>
      <c r="G774" s="794"/>
      <c r="H774" s="794"/>
      <c r="I774" s="794"/>
      <c r="J774" s="794"/>
      <c r="K774" s="794"/>
      <c r="L774" s="794"/>
      <c r="M774" s="794"/>
      <c r="N774" s="794"/>
      <c r="O774" s="794"/>
      <c r="P774" s="794"/>
      <c r="Q774" s="794"/>
      <c r="R774" s="794"/>
      <c r="S774" s="794"/>
      <c r="T774" s="794"/>
      <c r="U774" s="794"/>
      <c r="V774" s="794"/>
    </row>
    <row r="775" spans="1:22" ht="14.5">
      <c r="A775" s="794"/>
      <c r="B775" s="799"/>
      <c r="C775" s="794"/>
      <c r="D775" s="794"/>
      <c r="E775" s="794"/>
      <c r="F775" s="794"/>
      <c r="G775" s="794"/>
      <c r="H775" s="794"/>
      <c r="I775" s="794"/>
      <c r="J775" s="794"/>
      <c r="K775" s="794"/>
      <c r="L775" s="794"/>
      <c r="M775" s="794"/>
      <c r="N775" s="794"/>
      <c r="O775" s="794"/>
      <c r="P775" s="794"/>
      <c r="Q775" s="794"/>
      <c r="R775" s="794"/>
      <c r="S775" s="794"/>
      <c r="T775" s="794"/>
      <c r="U775" s="794"/>
      <c r="V775" s="794"/>
    </row>
    <row r="776" spans="1:22" ht="14.5">
      <c r="A776" s="794"/>
      <c r="B776" s="799"/>
      <c r="C776" s="794"/>
      <c r="D776" s="794"/>
      <c r="E776" s="794"/>
      <c r="F776" s="794"/>
      <c r="G776" s="794"/>
      <c r="H776" s="794"/>
      <c r="I776" s="794"/>
      <c r="J776" s="794"/>
      <c r="K776" s="794"/>
      <c r="L776" s="794"/>
      <c r="M776" s="794"/>
      <c r="N776" s="794"/>
      <c r="O776" s="794"/>
      <c r="P776" s="794"/>
      <c r="Q776" s="794"/>
      <c r="R776" s="794"/>
      <c r="S776" s="794"/>
      <c r="T776" s="794"/>
      <c r="U776" s="794"/>
      <c r="V776" s="794"/>
    </row>
    <row r="777" spans="1:22" ht="14.5">
      <c r="A777" s="794"/>
      <c r="B777" s="799"/>
      <c r="C777" s="794"/>
      <c r="D777" s="794"/>
      <c r="E777" s="794"/>
      <c r="F777" s="794"/>
      <c r="G777" s="794"/>
      <c r="H777" s="794"/>
      <c r="I777" s="794"/>
      <c r="J777" s="794"/>
      <c r="K777" s="794"/>
      <c r="L777" s="794"/>
      <c r="M777" s="794"/>
      <c r="N777" s="794"/>
      <c r="O777" s="794"/>
      <c r="P777" s="794"/>
      <c r="Q777" s="794"/>
      <c r="R777" s="794"/>
      <c r="S777" s="794"/>
      <c r="T777" s="794"/>
      <c r="U777" s="794"/>
      <c r="V777" s="794"/>
    </row>
    <row r="778" spans="1:22" ht="14.5">
      <c r="A778" s="794"/>
      <c r="B778" s="799"/>
      <c r="C778" s="794"/>
      <c r="D778" s="794"/>
      <c r="E778" s="794"/>
      <c r="F778" s="794"/>
      <c r="G778" s="794"/>
      <c r="H778" s="794"/>
      <c r="I778" s="794"/>
      <c r="J778" s="794"/>
      <c r="K778" s="794"/>
      <c r="L778" s="794"/>
      <c r="M778" s="794"/>
      <c r="N778" s="794"/>
      <c r="O778" s="794"/>
      <c r="P778" s="794"/>
      <c r="Q778" s="794"/>
      <c r="R778" s="794"/>
      <c r="S778" s="794"/>
      <c r="T778" s="794"/>
      <c r="U778" s="794"/>
      <c r="V778" s="794"/>
    </row>
    <row r="779" spans="1:22" ht="14.5">
      <c r="A779" s="794"/>
      <c r="B779" s="799"/>
      <c r="C779" s="794"/>
      <c r="D779" s="794"/>
      <c r="E779" s="794"/>
      <c r="F779" s="794"/>
      <c r="G779" s="794"/>
      <c r="H779" s="794"/>
      <c r="I779" s="794"/>
      <c r="J779" s="794"/>
      <c r="K779" s="794"/>
      <c r="L779" s="794"/>
      <c r="M779" s="794"/>
      <c r="N779" s="794"/>
      <c r="O779" s="794"/>
      <c r="P779" s="794"/>
      <c r="Q779" s="794"/>
      <c r="R779" s="794"/>
      <c r="S779" s="794"/>
      <c r="T779" s="794"/>
      <c r="U779" s="794"/>
      <c r="V779" s="794"/>
    </row>
    <row r="780" spans="1:22" ht="14.5">
      <c r="A780" s="794"/>
      <c r="B780" s="799"/>
      <c r="C780" s="794"/>
      <c r="D780" s="794"/>
      <c r="E780" s="794"/>
      <c r="F780" s="794"/>
      <c r="G780" s="794"/>
      <c r="H780" s="794"/>
      <c r="I780" s="794"/>
      <c r="J780" s="794"/>
      <c r="K780" s="794"/>
      <c r="L780" s="794"/>
      <c r="M780" s="794"/>
      <c r="N780" s="794"/>
      <c r="O780" s="794"/>
      <c r="P780" s="794"/>
      <c r="Q780" s="794"/>
      <c r="R780" s="794"/>
      <c r="S780" s="794"/>
      <c r="T780" s="794"/>
      <c r="U780" s="794"/>
      <c r="V780" s="794"/>
    </row>
    <row r="781" spans="1:22" ht="14.5">
      <c r="A781" s="794"/>
      <c r="B781" s="799"/>
      <c r="C781" s="794"/>
      <c r="D781" s="794"/>
      <c r="E781" s="794"/>
      <c r="F781" s="794"/>
      <c r="G781" s="794"/>
      <c r="H781" s="794"/>
      <c r="I781" s="794"/>
      <c r="J781" s="794"/>
      <c r="K781" s="794"/>
      <c r="L781" s="794"/>
      <c r="M781" s="794"/>
      <c r="N781" s="794"/>
      <c r="O781" s="794"/>
      <c r="P781" s="794"/>
      <c r="Q781" s="794"/>
      <c r="R781" s="794"/>
      <c r="S781" s="794"/>
      <c r="T781" s="794"/>
      <c r="U781" s="794"/>
      <c r="V781" s="794"/>
    </row>
    <row r="782" spans="1:22" ht="14.5">
      <c r="A782" s="794"/>
      <c r="B782" s="799"/>
      <c r="C782" s="794"/>
      <c r="D782" s="794"/>
      <c r="E782" s="794"/>
      <c r="F782" s="794"/>
      <c r="G782" s="794"/>
      <c r="H782" s="794"/>
      <c r="I782" s="794"/>
      <c r="J782" s="794"/>
      <c r="K782" s="794"/>
      <c r="L782" s="794"/>
      <c r="M782" s="794"/>
      <c r="N782" s="794"/>
      <c r="O782" s="794"/>
      <c r="P782" s="794"/>
      <c r="Q782" s="794"/>
      <c r="R782" s="794"/>
      <c r="S782" s="794"/>
      <c r="T782" s="794"/>
      <c r="U782" s="794"/>
      <c r="V782" s="794"/>
    </row>
    <row r="783" spans="1:22" ht="14.5">
      <c r="A783" s="794"/>
      <c r="B783" s="799"/>
      <c r="C783" s="794"/>
      <c r="D783" s="794"/>
      <c r="E783" s="794"/>
      <c r="F783" s="794"/>
      <c r="G783" s="794"/>
      <c r="H783" s="794"/>
      <c r="I783" s="794"/>
      <c r="J783" s="794"/>
      <c r="K783" s="794"/>
      <c r="L783" s="794"/>
      <c r="M783" s="794"/>
      <c r="N783" s="794"/>
      <c r="O783" s="794"/>
      <c r="P783" s="794"/>
      <c r="Q783" s="794"/>
      <c r="R783" s="794"/>
      <c r="S783" s="794"/>
      <c r="T783" s="794"/>
      <c r="U783" s="794"/>
      <c r="V783" s="794"/>
    </row>
    <row r="784" spans="1:22" ht="14.5">
      <c r="A784" s="794"/>
      <c r="B784" s="799"/>
      <c r="C784" s="794"/>
      <c r="D784" s="794"/>
      <c r="E784" s="794"/>
      <c r="F784" s="794"/>
      <c r="G784" s="794"/>
      <c r="H784" s="794"/>
      <c r="I784" s="794"/>
      <c r="J784" s="794"/>
      <c r="K784" s="794"/>
      <c r="L784" s="794"/>
      <c r="M784" s="794"/>
      <c r="N784" s="794"/>
      <c r="O784" s="794"/>
      <c r="P784" s="794"/>
      <c r="Q784" s="794"/>
      <c r="R784" s="794"/>
      <c r="S784" s="794"/>
      <c r="T784" s="794"/>
      <c r="U784" s="794"/>
      <c r="V784" s="794"/>
    </row>
    <row r="785" spans="1:22" ht="14.5">
      <c r="A785" s="794"/>
      <c r="B785" s="799"/>
      <c r="C785" s="794"/>
      <c r="D785" s="794"/>
      <c r="E785" s="794"/>
      <c r="F785" s="794"/>
      <c r="G785" s="794"/>
      <c r="H785" s="794"/>
      <c r="I785" s="794"/>
      <c r="J785" s="794"/>
      <c r="K785" s="794"/>
      <c r="L785" s="794"/>
      <c r="M785" s="794"/>
      <c r="N785" s="794"/>
      <c r="O785" s="794"/>
      <c r="P785" s="794"/>
      <c r="Q785" s="794"/>
      <c r="R785" s="794"/>
      <c r="S785" s="794"/>
      <c r="T785" s="794"/>
      <c r="U785" s="794"/>
      <c r="V785" s="794"/>
    </row>
    <row r="786" spans="1:22" ht="14.5">
      <c r="A786" s="794"/>
      <c r="B786" s="799"/>
      <c r="C786" s="794"/>
      <c r="D786" s="794"/>
      <c r="E786" s="794"/>
      <c r="F786" s="794"/>
      <c r="G786" s="794"/>
      <c r="H786" s="794"/>
      <c r="I786" s="794"/>
      <c r="J786" s="794"/>
      <c r="K786" s="794"/>
      <c r="L786" s="794"/>
      <c r="M786" s="794"/>
      <c r="N786" s="794"/>
      <c r="O786" s="794"/>
      <c r="P786" s="794"/>
      <c r="Q786" s="794"/>
      <c r="R786" s="794"/>
      <c r="S786" s="794"/>
      <c r="T786" s="794"/>
      <c r="U786" s="794"/>
      <c r="V786" s="794"/>
    </row>
    <row r="787" spans="1:22" ht="14.5">
      <c r="A787" s="794"/>
      <c r="B787" s="799"/>
      <c r="C787" s="794"/>
      <c r="D787" s="794"/>
      <c r="E787" s="794"/>
      <c r="F787" s="794"/>
      <c r="G787" s="794"/>
      <c r="H787" s="794"/>
      <c r="I787" s="794"/>
      <c r="J787" s="794"/>
      <c r="K787" s="794"/>
      <c r="L787" s="794"/>
      <c r="M787" s="794"/>
      <c r="N787" s="794"/>
      <c r="O787" s="794"/>
      <c r="P787" s="794"/>
      <c r="Q787" s="794"/>
      <c r="R787" s="794"/>
      <c r="S787" s="794"/>
      <c r="T787" s="794"/>
      <c r="U787" s="794"/>
      <c r="V787" s="794"/>
    </row>
    <row r="788" spans="1:22" ht="14.5">
      <c r="A788" s="794"/>
      <c r="B788" s="799"/>
      <c r="C788" s="794"/>
      <c r="D788" s="794"/>
      <c r="E788" s="794"/>
      <c r="F788" s="794"/>
      <c r="G788" s="794"/>
      <c r="H788" s="794"/>
      <c r="I788" s="794"/>
      <c r="J788" s="794"/>
      <c r="K788" s="794"/>
      <c r="L788" s="794"/>
      <c r="M788" s="794"/>
      <c r="N788" s="794"/>
      <c r="O788" s="794"/>
      <c r="P788" s="794"/>
      <c r="Q788" s="794"/>
      <c r="R788" s="794"/>
      <c r="S788" s="794"/>
      <c r="T788" s="794"/>
      <c r="U788" s="794"/>
      <c r="V788" s="794"/>
    </row>
    <row r="789" spans="1:22" ht="14.5">
      <c r="A789" s="794"/>
      <c r="B789" s="799"/>
      <c r="C789" s="794"/>
      <c r="D789" s="794"/>
      <c r="E789" s="794"/>
      <c r="F789" s="794"/>
      <c r="G789" s="794"/>
      <c r="H789" s="794"/>
      <c r="I789" s="794"/>
      <c r="J789" s="794"/>
      <c r="K789" s="794"/>
      <c r="L789" s="794"/>
      <c r="M789" s="794"/>
      <c r="N789" s="794"/>
      <c r="O789" s="794"/>
      <c r="P789" s="794"/>
      <c r="Q789" s="794"/>
      <c r="R789" s="794"/>
      <c r="S789" s="794"/>
      <c r="T789" s="794"/>
      <c r="U789" s="794"/>
      <c r="V789" s="794"/>
    </row>
    <row r="790" spans="1:22" ht="14.5">
      <c r="A790" s="794"/>
      <c r="B790" s="799"/>
      <c r="C790" s="794"/>
      <c r="D790" s="794"/>
      <c r="E790" s="794"/>
      <c r="F790" s="794"/>
      <c r="G790" s="794"/>
      <c r="H790" s="794"/>
      <c r="I790" s="794"/>
      <c r="J790" s="794"/>
      <c r="K790" s="794"/>
      <c r="L790" s="794"/>
      <c r="M790" s="794"/>
      <c r="N790" s="794"/>
      <c r="O790" s="794"/>
      <c r="P790" s="794"/>
      <c r="Q790" s="794"/>
      <c r="R790" s="794"/>
      <c r="S790" s="794"/>
      <c r="T790" s="794"/>
      <c r="U790" s="794"/>
      <c r="V790" s="794"/>
    </row>
    <row r="791" spans="1:22" ht="14.5">
      <c r="A791" s="794"/>
      <c r="B791" s="799"/>
      <c r="C791" s="794"/>
      <c r="D791" s="794"/>
      <c r="E791" s="794"/>
      <c r="F791" s="794"/>
      <c r="G791" s="794"/>
      <c r="H791" s="794"/>
      <c r="I791" s="794"/>
      <c r="J791" s="794"/>
      <c r="K791" s="794"/>
      <c r="L791" s="794"/>
      <c r="M791" s="794"/>
      <c r="N791" s="794"/>
      <c r="O791" s="794"/>
      <c r="P791" s="794"/>
      <c r="Q791" s="794"/>
      <c r="R791" s="794"/>
      <c r="S791" s="794"/>
      <c r="T791" s="794"/>
      <c r="U791" s="794"/>
      <c r="V791" s="794"/>
    </row>
    <row r="792" spans="1:22" ht="14.5">
      <c r="A792" s="794"/>
      <c r="B792" s="799"/>
      <c r="C792" s="794"/>
      <c r="D792" s="794"/>
      <c r="E792" s="794"/>
      <c r="F792" s="794"/>
      <c r="G792" s="794"/>
      <c r="H792" s="794"/>
      <c r="I792" s="794"/>
      <c r="J792" s="794"/>
      <c r="K792" s="794"/>
      <c r="L792" s="794"/>
      <c r="M792" s="794"/>
      <c r="N792" s="794"/>
      <c r="O792" s="794"/>
      <c r="P792" s="794"/>
      <c r="Q792" s="794"/>
      <c r="R792" s="794"/>
      <c r="S792" s="794"/>
      <c r="T792" s="794"/>
      <c r="U792" s="794"/>
      <c r="V792" s="794"/>
    </row>
    <row r="793" spans="1:22" ht="14.5">
      <c r="A793" s="794"/>
      <c r="B793" s="799"/>
      <c r="C793" s="794"/>
      <c r="D793" s="794"/>
      <c r="E793" s="794"/>
      <c r="F793" s="794"/>
      <c r="G793" s="794"/>
      <c r="H793" s="794"/>
      <c r="I793" s="794"/>
      <c r="J793" s="794"/>
      <c r="K793" s="794"/>
      <c r="L793" s="794"/>
      <c r="M793" s="794"/>
      <c r="N793" s="794"/>
      <c r="O793" s="794"/>
      <c r="P793" s="794"/>
      <c r="Q793" s="794"/>
      <c r="R793" s="794"/>
      <c r="S793" s="794"/>
      <c r="T793" s="794"/>
      <c r="U793" s="794"/>
      <c r="V793" s="794"/>
    </row>
    <row r="794" spans="1:22" ht="14.5">
      <c r="A794" s="794"/>
      <c r="B794" s="799"/>
      <c r="C794" s="794"/>
      <c r="D794" s="794"/>
      <c r="E794" s="794"/>
      <c r="F794" s="794"/>
      <c r="G794" s="794"/>
      <c r="H794" s="794"/>
      <c r="I794" s="794"/>
      <c r="J794" s="794"/>
      <c r="K794" s="794"/>
      <c r="L794" s="794"/>
      <c r="M794" s="794"/>
      <c r="N794" s="794"/>
      <c r="O794" s="794"/>
      <c r="P794" s="794"/>
      <c r="Q794" s="794"/>
      <c r="R794" s="794"/>
      <c r="S794" s="794"/>
      <c r="T794" s="794"/>
      <c r="U794" s="794"/>
      <c r="V794" s="794"/>
    </row>
    <row r="795" spans="1:22" ht="14.5">
      <c r="A795" s="794"/>
      <c r="B795" s="799"/>
      <c r="C795" s="794"/>
      <c r="D795" s="794"/>
      <c r="E795" s="794"/>
      <c r="F795" s="794"/>
      <c r="G795" s="794"/>
      <c r="H795" s="794"/>
      <c r="I795" s="794"/>
      <c r="J795" s="794"/>
      <c r="K795" s="794"/>
      <c r="L795" s="794"/>
      <c r="M795" s="794"/>
      <c r="N795" s="794"/>
      <c r="O795" s="794"/>
      <c r="P795" s="794"/>
      <c r="Q795" s="794"/>
      <c r="R795" s="794"/>
      <c r="S795" s="794"/>
      <c r="T795" s="794"/>
      <c r="U795" s="794"/>
      <c r="V795" s="794"/>
    </row>
    <row r="796" spans="1:22" ht="14.5">
      <c r="A796" s="794"/>
      <c r="B796" s="799"/>
      <c r="C796" s="794"/>
      <c r="D796" s="794"/>
      <c r="E796" s="794"/>
      <c r="F796" s="794"/>
      <c r="G796" s="794"/>
      <c r="H796" s="794"/>
      <c r="I796" s="794"/>
      <c r="J796" s="794"/>
      <c r="K796" s="794"/>
      <c r="L796" s="794"/>
      <c r="M796" s="794"/>
      <c r="N796" s="794"/>
      <c r="O796" s="794"/>
      <c r="P796" s="794"/>
      <c r="Q796" s="794"/>
      <c r="R796" s="794"/>
      <c r="S796" s="794"/>
      <c r="T796" s="794"/>
      <c r="U796" s="794"/>
      <c r="V796" s="794"/>
    </row>
    <row r="797" spans="1:22" ht="14.5">
      <c r="A797" s="794"/>
      <c r="B797" s="799"/>
      <c r="C797" s="794"/>
      <c r="D797" s="794"/>
      <c r="E797" s="794"/>
      <c r="F797" s="794"/>
      <c r="G797" s="794"/>
      <c r="H797" s="794"/>
      <c r="I797" s="794"/>
      <c r="J797" s="794"/>
      <c r="K797" s="794"/>
      <c r="L797" s="794"/>
      <c r="M797" s="794"/>
      <c r="N797" s="794"/>
      <c r="O797" s="794"/>
      <c r="P797" s="794"/>
      <c r="Q797" s="794"/>
      <c r="R797" s="794"/>
      <c r="S797" s="794"/>
      <c r="T797" s="794"/>
      <c r="U797" s="794"/>
      <c r="V797" s="794"/>
    </row>
    <row r="798" spans="1:22" ht="14.5">
      <c r="A798" s="794"/>
      <c r="B798" s="799"/>
      <c r="C798" s="794"/>
      <c r="D798" s="794"/>
      <c r="E798" s="794"/>
      <c r="F798" s="794"/>
      <c r="G798" s="794"/>
      <c r="H798" s="794"/>
      <c r="I798" s="794"/>
      <c r="J798" s="794"/>
      <c r="K798" s="794"/>
      <c r="L798" s="794"/>
      <c r="M798" s="794"/>
      <c r="N798" s="794"/>
      <c r="O798" s="794"/>
      <c r="P798" s="794"/>
      <c r="Q798" s="794"/>
      <c r="R798" s="794"/>
      <c r="S798" s="794"/>
      <c r="T798" s="794"/>
      <c r="U798" s="794"/>
      <c r="V798" s="794"/>
    </row>
    <row r="799" spans="1:22" ht="14.5">
      <c r="A799" s="794"/>
      <c r="B799" s="799"/>
      <c r="C799" s="794"/>
      <c r="D799" s="794"/>
      <c r="E799" s="794"/>
      <c r="F799" s="794"/>
      <c r="G799" s="794"/>
      <c r="H799" s="794"/>
      <c r="I799" s="794"/>
      <c r="J799" s="794"/>
      <c r="K799" s="794"/>
      <c r="L799" s="794"/>
      <c r="M799" s="794"/>
      <c r="N799" s="794"/>
      <c r="O799" s="794"/>
      <c r="P799" s="794"/>
      <c r="Q799" s="794"/>
      <c r="R799" s="794"/>
      <c r="S799" s="794"/>
      <c r="T799" s="794"/>
      <c r="U799" s="794"/>
      <c r="V799" s="794"/>
    </row>
    <row r="800" spans="1:22" ht="14.5">
      <c r="A800" s="794"/>
      <c r="B800" s="799"/>
      <c r="C800" s="794"/>
      <c r="D800" s="794"/>
      <c r="E800" s="794"/>
      <c r="F800" s="794"/>
      <c r="G800" s="794"/>
      <c r="H800" s="794"/>
      <c r="I800" s="794"/>
      <c r="J800" s="794"/>
      <c r="K800" s="794"/>
      <c r="L800" s="794"/>
      <c r="M800" s="794"/>
      <c r="N800" s="794"/>
      <c r="O800" s="794"/>
      <c r="P800" s="794"/>
      <c r="Q800" s="794"/>
      <c r="R800" s="794"/>
      <c r="S800" s="794"/>
      <c r="T800" s="794"/>
      <c r="U800" s="794"/>
      <c r="V800" s="794"/>
    </row>
    <row r="801" spans="1:22" ht="14.5">
      <c r="A801" s="794"/>
      <c r="B801" s="799"/>
      <c r="C801" s="794"/>
      <c r="D801" s="794"/>
      <c r="E801" s="794"/>
      <c r="F801" s="794"/>
      <c r="G801" s="794"/>
      <c r="H801" s="794"/>
      <c r="I801" s="794"/>
      <c r="J801" s="794"/>
      <c r="K801" s="794"/>
      <c r="L801" s="794"/>
      <c r="M801" s="794"/>
      <c r="N801" s="794"/>
      <c r="O801" s="794"/>
      <c r="P801" s="794"/>
      <c r="Q801" s="794"/>
      <c r="R801" s="794"/>
      <c r="S801" s="794"/>
      <c r="T801" s="794"/>
      <c r="U801" s="794"/>
      <c r="V801" s="794"/>
    </row>
    <row r="802" spans="1:22" ht="14.5">
      <c r="A802" s="794"/>
      <c r="B802" s="799"/>
      <c r="C802" s="794"/>
      <c r="D802" s="794"/>
      <c r="E802" s="794"/>
      <c r="F802" s="794"/>
      <c r="G802" s="794"/>
      <c r="H802" s="794"/>
      <c r="I802" s="794"/>
      <c r="J802" s="794"/>
      <c r="K802" s="794"/>
      <c r="L802" s="794"/>
      <c r="M802" s="794"/>
      <c r="N802" s="794"/>
      <c r="O802" s="794"/>
      <c r="P802" s="794"/>
      <c r="Q802" s="794"/>
      <c r="R802" s="794"/>
      <c r="S802" s="794"/>
      <c r="T802" s="794"/>
      <c r="U802" s="794"/>
      <c r="V802" s="794"/>
    </row>
    <row r="803" spans="1:22" ht="14.5">
      <c r="A803" s="794"/>
      <c r="B803" s="799"/>
      <c r="C803" s="794"/>
      <c r="D803" s="794"/>
      <c r="E803" s="794"/>
      <c r="F803" s="794"/>
      <c r="G803" s="794"/>
      <c r="H803" s="794"/>
      <c r="I803" s="794"/>
      <c r="J803" s="794"/>
      <c r="K803" s="794"/>
      <c r="L803" s="794"/>
      <c r="M803" s="794"/>
      <c r="N803" s="794"/>
      <c r="O803" s="794"/>
      <c r="P803" s="794"/>
      <c r="Q803" s="794"/>
      <c r="R803" s="794"/>
      <c r="S803" s="794"/>
      <c r="T803" s="794"/>
      <c r="U803" s="794"/>
      <c r="V803" s="794"/>
    </row>
    <row r="804" spans="1:22" ht="14.5">
      <c r="A804" s="794"/>
      <c r="B804" s="799"/>
      <c r="C804" s="794"/>
      <c r="D804" s="794"/>
      <c r="E804" s="794"/>
      <c r="F804" s="794"/>
      <c r="G804" s="794"/>
      <c r="H804" s="794"/>
      <c r="I804" s="794"/>
      <c r="J804" s="794"/>
      <c r="K804" s="794"/>
      <c r="L804" s="794"/>
      <c r="M804" s="794"/>
      <c r="N804" s="794"/>
      <c r="O804" s="794"/>
      <c r="P804" s="794"/>
      <c r="Q804" s="794"/>
      <c r="R804" s="794"/>
      <c r="S804" s="794"/>
      <c r="T804" s="794"/>
      <c r="U804" s="794"/>
      <c r="V804" s="794"/>
    </row>
    <row r="805" spans="1:22" ht="14.5">
      <c r="A805" s="794"/>
      <c r="B805" s="799"/>
      <c r="C805" s="794"/>
      <c r="D805" s="794"/>
      <c r="E805" s="794"/>
      <c r="F805" s="794"/>
      <c r="G805" s="794"/>
      <c r="H805" s="794"/>
      <c r="I805" s="794"/>
      <c r="J805" s="794"/>
      <c r="K805" s="794"/>
      <c r="L805" s="794"/>
      <c r="M805" s="794"/>
      <c r="N805" s="794"/>
      <c r="O805" s="794"/>
      <c r="P805" s="794"/>
      <c r="Q805" s="794"/>
      <c r="R805" s="794"/>
      <c r="S805" s="794"/>
      <c r="T805" s="794"/>
      <c r="U805" s="794"/>
      <c r="V805" s="794"/>
    </row>
    <row r="806" spans="1:22" ht="14.5">
      <c r="A806" s="794"/>
      <c r="B806" s="799"/>
      <c r="C806" s="794"/>
      <c r="D806" s="794"/>
      <c r="E806" s="794"/>
      <c r="F806" s="794"/>
      <c r="G806" s="794"/>
      <c r="H806" s="794"/>
      <c r="I806" s="794"/>
      <c r="J806" s="794"/>
      <c r="K806" s="794"/>
      <c r="L806" s="794"/>
      <c r="M806" s="794"/>
      <c r="N806" s="794"/>
      <c r="O806" s="794"/>
      <c r="P806" s="794"/>
      <c r="Q806" s="794"/>
      <c r="R806" s="794"/>
      <c r="S806" s="794"/>
      <c r="T806" s="794"/>
      <c r="U806" s="794"/>
      <c r="V806" s="794"/>
    </row>
    <row r="807" spans="1:22" ht="14.5">
      <c r="A807" s="794"/>
      <c r="B807" s="799"/>
      <c r="C807" s="794"/>
      <c r="D807" s="794"/>
      <c r="E807" s="794"/>
      <c r="F807" s="794"/>
      <c r="G807" s="794"/>
      <c r="H807" s="794"/>
      <c r="I807" s="794"/>
      <c r="J807" s="794"/>
      <c r="K807" s="794"/>
      <c r="L807" s="794"/>
      <c r="M807" s="794"/>
      <c r="N807" s="794"/>
      <c r="O807" s="794"/>
      <c r="P807" s="794"/>
      <c r="Q807" s="794"/>
      <c r="R807" s="794"/>
      <c r="S807" s="794"/>
      <c r="T807" s="794"/>
      <c r="U807" s="794"/>
      <c r="V807" s="794"/>
    </row>
    <row r="808" spans="1:22" ht="14.5">
      <c r="A808" s="794"/>
      <c r="B808" s="799"/>
      <c r="C808" s="794"/>
      <c r="D808" s="794"/>
      <c r="E808" s="794"/>
      <c r="F808" s="794"/>
      <c r="G808" s="794"/>
      <c r="H808" s="794"/>
      <c r="I808" s="794"/>
      <c r="J808" s="794"/>
      <c r="K808" s="794"/>
      <c r="L808" s="794"/>
      <c r="M808" s="794"/>
      <c r="N808" s="794"/>
      <c r="O808" s="794"/>
      <c r="P808" s="794"/>
      <c r="Q808" s="794"/>
      <c r="R808" s="794"/>
      <c r="S808" s="794"/>
      <c r="T808" s="794"/>
      <c r="U808" s="794"/>
      <c r="V808" s="794"/>
    </row>
    <row r="809" spans="1:22" ht="14.5">
      <c r="A809" s="794"/>
      <c r="B809" s="799"/>
      <c r="C809" s="794"/>
      <c r="D809" s="794"/>
      <c r="E809" s="794"/>
      <c r="F809" s="794"/>
      <c r="G809" s="794"/>
      <c r="H809" s="794"/>
      <c r="I809" s="794"/>
      <c r="J809" s="794"/>
      <c r="K809" s="794"/>
      <c r="L809" s="794"/>
      <c r="M809" s="794"/>
      <c r="N809" s="794"/>
      <c r="O809" s="794"/>
      <c r="P809" s="794"/>
      <c r="Q809" s="794"/>
      <c r="R809" s="794"/>
      <c r="S809" s="794"/>
      <c r="T809" s="794"/>
      <c r="U809" s="794"/>
      <c r="V809" s="794"/>
    </row>
    <row r="810" spans="1:22" ht="14.5">
      <c r="A810" s="794"/>
      <c r="B810" s="799"/>
      <c r="C810" s="794"/>
      <c r="D810" s="794"/>
      <c r="E810" s="794"/>
      <c r="F810" s="794"/>
      <c r="G810" s="794"/>
      <c r="H810" s="794"/>
      <c r="I810" s="794"/>
      <c r="J810" s="794"/>
      <c r="K810" s="794"/>
      <c r="L810" s="794"/>
      <c r="M810" s="794"/>
      <c r="N810" s="794"/>
      <c r="O810" s="794"/>
      <c r="P810" s="794"/>
      <c r="Q810" s="794"/>
      <c r="R810" s="794"/>
      <c r="S810" s="794"/>
      <c r="T810" s="794"/>
      <c r="U810" s="794"/>
      <c r="V810" s="794"/>
    </row>
    <row r="811" spans="1:22" ht="14.5">
      <c r="A811" s="794"/>
      <c r="B811" s="799"/>
      <c r="C811" s="794"/>
      <c r="D811" s="794"/>
      <c r="E811" s="794"/>
      <c r="F811" s="794"/>
      <c r="G811" s="794"/>
      <c r="H811" s="794"/>
      <c r="I811" s="794"/>
      <c r="J811" s="794"/>
      <c r="K811" s="794"/>
      <c r="L811" s="794"/>
      <c r="M811" s="794"/>
      <c r="N811" s="794"/>
      <c r="O811" s="794"/>
      <c r="P811" s="794"/>
      <c r="Q811" s="794"/>
      <c r="R811" s="794"/>
      <c r="S811" s="794"/>
      <c r="T811" s="794"/>
      <c r="U811" s="794"/>
      <c r="V811" s="794"/>
    </row>
    <row r="812" spans="1:22" ht="14.5">
      <c r="A812" s="794"/>
      <c r="B812" s="799"/>
      <c r="C812" s="794"/>
      <c r="D812" s="794"/>
      <c r="E812" s="794"/>
      <c r="F812" s="794"/>
      <c r="G812" s="794"/>
      <c r="H812" s="794"/>
      <c r="I812" s="794"/>
      <c r="J812" s="794"/>
      <c r="K812" s="794"/>
      <c r="L812" s="794"/>
      <c r="M812" s="794"/>
      <c r="N812" s="794"/>
      <c r="O812" s="794"/>
      <c r="P812" s="794"/>
      <c r="Q812" s="794"/>
      <c r="R812" s="794"/>
      <c r="S812" s="794"/>
      <c r="T812" s="794"/>
      <c r="U812" s="794"/>
      <c r="V812" s="794"/>
    </row>
    <row r="813" spans="1:22" ht="14.5">
      <c r="A813" s="794"/>
      <c r="B813" s="799"/>
      <c r="C813" s="794"/>
      <c r="D813" s="794"/>
      <c r="E813" s="794"/>
      <c r="F813" s="794"/>
      <c r="G813" s="794"/>
      <c r="H813" s="794"/>
      <c r="I813" s="794"/>
      <c r="J813" s="794"/>
      <c r="K813" s="794"/>
      <c r="L813" s="794"/>
      <c r="M813" s="794"/>
      <c r="N813" s="794"/>
      <c r="O813" s="794"/>
      <c r="P813" s="794"/>
      <c r="Q813" s="794"/>
      <c r="R813" s="794"/>
      <c r="S813" s="794"/>
      <c r="T813" s="794"/>
      <c r="U813" s="794"/>
      <c r="V813" s="794"/>
    </row>
    <row r="814" spans="1:22" ht="14.5">
      <c r="A814" s="794"/>
      <c r="B814" s="799"/>
      <c r="C814" s="794"/>
      <c r="D814" s="794"/>
      <c r="E814" s="794"/>
      <c r="F814" s="794"/>
      <c r="G814" s="794"/>
      <c r="H814" s="794"/>
      <c r="I814" s="794"/>
      <c r="J814" s="794"/>
      <c r="K814" s="794"/>
      <c r="L814" s="794"/>
      <c r="M814" s="794"/>
      <c r="N814" s="794"/>
      <c r="O814" s="794"/>
      <c r="P814" s="794"/>
      <c r="Q814" s="794"/>
      <c r="R814" s="794"/>
      <c r="S814" s="794"/>
      <c r="T814" s="794"/>
      <c r="U814" s="794"/>
      <c r="V814" s="794"/>
    </row>
    <row r="815" spans="1:22" ht="14.5">
      <c r="A815" s="794"/>
      <c r="B815" s="799"/>
      <c r="C815" s="794"/>
      <c r="D815" s="794"/>
      <c r="E815" s="794"/>
      <c r="F815" s="794"/>
      <c r="G815" s="794"/>
      <c r="H815" s="794"/>
      <c r="I815" s="794"/>
      <c r="J815" s="794"/>
      <c r="K815" s="794"/>
      <c r="L815" s="794"/>
      <c r="M815" s="794"/>
      <c r="N815" s="794"/>
      <c r="O815" s="794"/>
      <c r="P815" s="794"/>
      <c r="Q815" s="794"/>
      <c r="R815" s="794"/>
      <c r="S815" s="794"/>
      <c r="T815" s="794"/>
      <c r="U815" s="794"/>
      <c r="V815" s="794"/>
    </row>
    <row r="816" spans="1:22" ht="14.5">
      <c r="A816" s="794"/>
      <c r="B816" s="799"/>
      <c r="C816" s="794"/>
      <c r="D816" s="794"/>
      <c r="E816" s="794"/>
      <c r="F816" s="794"/>
      <c r="G816" s="794"/>
      <c r="H816" s="794"/>
      <c r="I816" s="794"/>
      <c r="J816" s="794"/>
      <c r="K816" s="794"/>
      <c r="L816" s="794"/>
      <c r="M816" s="794"/>
      <c r="N816" s="794"/>
      <c r="O816" s="794"/>
      <c r="P816" s="794"/>
      <c r="Q816" s="794"/>
      <c r="R816" s="794"/>
      <c r="S816" s="794"/>
      <c r="T816" s="794"/>
      <c r="U816" s="794"/>
      <c r="V816" s="794"/>
    </row>
    <row r="817" spans="1:22" ht="14.5">
      <c r="A817" s="794"/>
      <c r="B817" s="799"/>
      <c r="C817" s="794"/>
      <c r="D817" s="794"/>
      <c r="E817" s="794"/>
      <c r="F817" s="794"/>
      <c r="G817" s="794"/>
      <c r="H817" s="794"/>
      <c r="I817" s="794"/>
      <c r="J817" s="794"/>
      <c r="K817" s="794"/>
      <c r="L817" s="794"/>
      <c r="M817" s="794"/>
      <c r="N817" s="794"/>
      <c r="O817" s="794"/>
      <c r="P817" s="794"/>
      <c r="Q817" s="794"/>
      <c r="R817" s="794"/>
      <c r="S817" s="794"/>
      <c r="T817" s="794"/>
      <c r="U817" s="794"/>
      <c r="V817" s="794"/>
    </row>
    <row r="818" spans="1:22" ht="14.5">
      <c r="A818" s="794"/>
      <c r="B818" s="799"/>
      <c r="C818" s="794"/>
      <c r="D818" s="794"/>
      <c r="E818" s="794"/>
      <c r="F818" s="794"/>
      <c r="G818" s="794"/>
      <c r="H818" s="794"/>
      <c r="I818" s="794"/>
      <c r="J818" s="794"/>
      <c r="K818" s="794"/>
      <c r="L818" s="794"/>
      <c r="M818" s="794"/>
      <c r="N818" s="794"/>
      <c r="O818" s="794"/>
      <c r="P818" s="794"/>
      <c r="Q818" s="794"/>
      <c r="R818" s="794"/>
      <c r="S818" s="794"/>
      <c r="T818" s="794"/>
      <c r="U818" s="794"/>
      <c r="V818" s="794"/>
    </row>
    <row r="819" spans="1:22" ht="14.5">
      <c r="A819" s="794"/>
      <c r="B819" s="799"/>
      <c r="C819" s="794"/>
      <c r="D819" s="794"/>
      <c r="E819" s="794"/>
      <c r="F819" s="794"/>
      <c r="G819" s="794"/>
      <c r="H819" s="794"/>
      <c r="I819" s="794"/>
      <c r="J819" s="794"/>
      <c r="K819" s="794"/>
      <c r="L819" s="794"/>
      <c r="M819" s="794"/>
      <c r="N819" s="794"/>
      <c r="O819" s="794"/>
      <c r="P819" s="794"/>
      <c r="Q819" s="794"/>
      <c r="R819" s="794"/>
      <c r="S819" s="794"/>
      <c r="T819" s="794"/>
      <c r="U819" s="794"/>
      <c r="V819" s="794"/>
    </row>
    <row r="820" spans="1:22" ht="14.5">
      <c r="A820" s="794"/>
      <c r="B820" s="799"/>
      <c r="C820" s="794"/>
      <c r="D820" s="794"/>
      <c r="E820" s="794"/>
      <c r="F820" s="794"/>
      <c r="G820" s="794"/>
      <c r="H820" s="794"/>
      <c r="I820" s="794"/>
      <c r="J820" s="794"/>
      <c r="K820" s="794"/>
      <c r="L820" s="794"/>
      <c r="M820" s="794"/>
      <c r="N820" s="794"/>
      <c r="O820" s="794"/>
      <c r="P820" s="794"/>
      <c r="Q820" s="794"/>
      <c r="R820" s="794"/>
      <c r="S820" s="794"/>
      <c r="T820" s="794"/>
      <c r="U820" s="794"/>
      <c r="V820" s="794"/>
    </row>
    <row r="821" spans="1:22" ht="14.5">
      <c r="A821" s="794"/>
      <c r="B821" s="799"/>
      <c r="C821" s="794"/>
      <c r="D821" s="794"/>
      <c r="E821" s="794"/>
      <c r="F821" s="794"/>
      <c r="G821" s="794"/>
      <c r="H821" s="794"/>
      <c r="I821" s="794"/>
      <c r="J821" s="794"/>
      <c r="K821" s="794"/>
      <c r="L821" s="794"/>
      <c r="M821" s="794"/>
      <c r="N821" s="794"/>
      <c r="O821" s="794"/>
      <c r="P821" s="794"/>
      <c r="Q821" s="794"/>
      <c r="R821" s="794"/>
      <c r="S821" s="794"/>
      <c r="T821" s="794"/>
      <c r="U821" s="794"/>
      <c r="V821" s="794"/>
    </row>
    <row r="822" spans="1:22" ht="14.5">
      <c r="A822" s="794"/>
      <c r="B822" s="799"/>
      <c r="C822" s="794"/>
      <c r="D822" s="794"/>
      <c r="E822" s="794"/>
      <c r="F822" s="794"/>
      <c r="G822" s="794"/>
      <c r="H822" s="794"/>
      <c r="I822" s="794"/>
      <c r="J822" s="794"/>
      <c r="K822" s="794"/>
      <c r="L822" s="794"/>
      <c r="M822" s="794"/>
      <c r="N822" s="794"/>
      <c r="O822" s="794"/>
      <c r="P822" s="794"/>
      <c r="Q822" s="794"/>
      <c r="R822" s="794"/>
      <c r="S822" s="794"/>
      <c r="T822" s="794"/>
      <c r="U822" s="794"/>
      <c r="V822" s="794"/>
    </row>
    <row r="823" spans="1:22" ht="14.5">
      <c r="A823" s="794"/>
      <c r="B823" s="799"/>
      <c r="C823" s="794"/>
      <c r="D823" s="794"/>
      <c r="E823" s="794"/>
      <c r="F823" s="794"/>
      <c r="G823" s="794"/>
      <c r="H823" s="794"/>
      <c r="I823" s="794"/>
      <c r="J823" s="794"/>
      <c r="K823" s="794"/>
      <c r="L823" s="794"/>
      <c r="M823" s="794"/>
      <c r="N823" s="794"/>
      <c r="O823" s="794"/>
      <c r="P823" s="794"/>
      <c r="Q823" s="794"/>
      <c r="R823" s="794"/>
      <c r="S823" s="794"/>
      <c r="T823" s="794"/>
      <c r="U823" s="794"/>
      <c r="V823" s="794"/>
    </row>
    <row r="824" spans="1:22" ht="14.5">
      <c r="A824" s="794"/>
      <c r="B824" s="799"/>
      <c r="C824" s="794"/>
      <c r="D824" s="794"/>
      <c r="E824" s="794"/>
      <c r="F824" s="794"/>
      <c r="G824" s="794"/>
      <c r="H824" s="794"/>
      <c r="I824" s="794"/>
      <c r="J824" s="794"/>
      <c r="K824" s="794"/>
      <c r="L824" s="794"/>
      <c r="M824" s="794"/>
      <c r="N824" s="794"/>
      <c r="O824" s="794"/>
      <c r="P824" s="794"/>
      <c r="Q824" s="794"/>
      <c r="R824" s="794"/>
      <c r="S824" s="794"/>
      <c r="T824" s="794"/>
      <c r="U824" s="794"/>
      <c r="V824" s="794"/>
    </row>
    <row r="825" spans="1:22" ht="14.5">
      <c r="A825" s="794"/>
      <c r="B825" s="799"/>
      <c r="C825" s="794"/>
      <c r="D825" s="794"/>
      <c r="E825" s="794"/>
      <c r="F825" s="794"/>
      <c r="G825" s="794"/>
      <c r="H825" s="794"/>
      <c r="I825" s="794"/>
      <c r="J825" s="794"/>
      <c r="K825" s="794"/>
      <c r="L825" s="794"/>
      <c r="M825" s="794"/>
      <c r="N825" s="794"/>
      <c r="O825" s="794"/>
      <c r="P825" s="794"/>
      <c r="Q825" s="794"/>
      <c r="R825" s="794"/>
      <c r="S825" s="794"/>
      <c r="T825" s="794"/>
      <c r="U825" s="794"/>
      <c r="V825" s="794"/>
    </row>
    <row r="826" spans="1:22" ht="14.5">
      <c r="A826" s="794"/>
      <c r="B826" s="799"/>
      <c r="C826" s="794"/>
      <c r="D826" s="794"/>
      <c r="E826" s="794"/>
      <c r="F826" s="794"/>
      <c r="G826" s="794"/>
      <c r="H826" s="794"/>
      <c r="I826" s="794"/>
      <c r="J826" s="794"/>
      <c r="K826" s="794"/>
      <c r="L826" s="794"/>
      <c r="M826" s="794"/>
      <c r="N826" s="794"/>
      <c r="O826" s="794"/>
      <c r="P826" s="794"/>
      <c r="Q826" s="794"/>
      <c r="R826" s="794"/>
      <c r="S826" s="794"/>
      <c r="T826" s="794"/>
      <c r="U826" s="794"/>
      <c r="V826" s="794"/>
    </row>
    <row r="827" spans="1:22" ht="14.5">
      <c r="A827" s="794"/>
      <c r="B827" s="799"/>
      <c r="C827" s="794"/>
      <c r="D827" s="794"/>
      <c r="E827" s="794"/>
      <c r="F827" s="794"/>
      <c r="G827" s="794"/>
      <c r="H827" s="794"/>
      <c r="I827" s="794"/>
      <c r="J827" s="794"/>
      <c r="K827" s="794"/>
      <c r="L827" s="794"/>
      <c r="M827" s="794"/>
      <c r="N827" s="794"/>
      <c r="O827" s="794"/>
      <c r="P827" s="794"/>
      <c r="Q827" s="794"/>
      <c r="R827" s="794"/>
      <c r="S827" s="794"/>
      <c r="T827" s="794"/>
      <c r="U827" s="794"/>
      <c r="V827" s="794"/>
    </row>
    <row r="828" spans="1:22" ht="14.5">
      <c r="A828" s="794"/>
      <c r="B828" s="799"/>
      <c r="C828" s="794"/>
      <c r="D828" s="794"/>
      <c r="E828" s="794"/>
      <c r="F828" s="794"/>
      <c r="G828" s="794"/>
      <c r="H828" s="794"/>
      <c r="I828" s="794"/>
      <c r="J828" s="794"/>
      <c r="K828" s="794"/>
      <c r="L828" s="794"/>
      <c r="M828" s="794"/>
      <c r="N828" s="794"/>
      <c r="O828" s="794"/>
      <c r="P828" s="794"/>
      <c r="Q828" s="794"/>
      <c r="R828" s="794"/>
      <c r="S828" s="794"/>
      <c r="T828" s="794"/>
      <c r="U828" s="794"/>
      <c r="V828" s="794"/>
    </row>
    <row r="829" spans="1:22" ht="14.5">
      <c r="A829" s="794"/>
      <c r="B829" s="799"/>
      <c r="C829" s="794"/>
      <c r="D829" s="794"/>
      <c r="E829" s="794"/>
      <c r="F829" s="794"/>
      <c r="G829" s="794"/>
      <c r="H829" s="794"/>
      <c r="I829" s="794"/>
      <c r="J829" s="794"/>
      <c r="K829" s="794"/>
      <c r="L829" s="794"/>
      <c r="M829" s="794"/>
      <c r="N829" s="794"/>
      <c r="O829" s="794"/>
      <c r="P829" s="794"/>
      <c r="Q829" s="794"/>
      <c r="R829" s="794"/>
      <c r="S829" s="794"/>
      <c r="T829" s="794"/>
      <c r="U829" s="794"/>
      <c r="V829" s="794"/>
    </row>
    <row r="830" spans="1:22" ht="14.5">
      <c r="A830" s="794"/>
      <c r="B830" s="799"/>
      <c r="C830" s="794"/>
      <c r="D830" s="794"/>
      <c r="E830" s="794"/>
      <c r="F830" s="794"/>
      <c r="G830" s="794"/>
      <c r="H830" s="794"/>
      <c r="I830" s="794"/>
      <c r="J830" s="794"/>
      <c r="K830" s="794"/>
      <c r="L830" s="794"/>
      <c r="M830" s="794"/>
      <c r="N830" s="794"/>
      <c r="O830" s="794"/>
      <c r="P830" s="794"/>
      <c r="Q830" s="794"/>
      <c r="R830" s="794"/>
      <c r="S830" s="794"/>
      <c r="T830" s="794"/>
      <c r="U830" s="794"/>
      <c r="V830" s="794"/>
    </row>
    <row r="831" spans="1:22" ht="14.5">
      <c r="A831" s="794"/>
      <c r="B831" s="799"/>
      <c r="C831" s="794"/>
      <c r="D831" s="794"/>
      <c r="E831" s="794"/>
      <c r="F831" s="794"/>
      <c r="G831" s="794"/>
      <c r="H831" s="794"/>
      <c r="I831" s="794"/>
      <c r="J831" s="794"/>
      <c r="K831" s="794"/>
      <c r="L831" s="794"/>
      <c r="M831" s="794"/>
      <c r="N831" s="794"/>
      <c r="O831" s="794"/>
      <c r="P831" s="794"/>
      <c r="Q831" s="794"/>
      <c r="R831" s="794"/>
      <c r="S831" s="794"/>
      <c r="T831" s="794"/>
      <c r="U831" s="794"/>
      <c r="V831" s="794"/>
    </row>
    <row r="832" spans="1:22" ht="14.5">
      <c r="A832" s="794"/>
      <c r="B832" s="799"/>
      <c r="C832" s="794"/>
      <c r="D832" s="794"/>
      <c r="E832" s="794"/>
      <c r="F832" s="794"/>
      <c r="G832" s="794"/>
      <c r="H832" s="794"/>
      <c r="I832" s="794"/>
      <c r="J832" s="794"/>
      <c r="K832" s="794"/>
      <c r="L832" s="794"/>
      <c r="M832" s="794"/>
      <c r="N832" s="794"/>
      <c r="O832" s="794"/>
      <c r="P832" s="794"/>
      <c r="Q832" s="794"/>
      <c r="R832" s="794"/>
      <c r="S832" s="794"/>
      <c r="T832" s="794"/>
      <c r="U832" s="794"/>
      <c r="V832" s="794"/>
    </row>
    <row r="833" spans="1:22" ht="14.5">
      <c r="A833" s="794"/>
      <c r="B833" s="799"/>
      <c r="C833" s="794"/>
      <c r="D833" s="794"/>
      <c r="E833" s="794"/>
      <c r="F833" s="794"/>
      <c r="G833" s="794"/>
      <c r="H833" s="794"/>
      <c r="I833" s="794"/>
      <c r="J833" s="794"/>
      <c r="K833" s="794"/>
      <c r="L833" s="794"/>
      <c r="M833" s="794"/>
      <c r="N833" s="794"/>
      <c r="O833" s="794"/>
      <c r="P833" s="794"/>
      <c r="Q833" s="794"/>
      <c r="R833" s="794"/>
      <c r="S833" s="794"/>
      <c r="T833" s="794"/>
      <c r="U833" s="794"/>
      <c r="V833" s="794"/>
    </row>
    <row r="834" spans="1:22" ht="14.5">
      <c r="A834" s="794"/>
      <c r="B834" s="799"/>
      <c r="C834" s="794"/>
      <c r="D834" s="794"/>
      <c r="E834" s="794"/>
      <c r="F834" s="794"/>
      <c r="G834" s="794"/>
      <c r="H834" s="794"/>
      <c r="I834" s="794"/>
      <c r="J834" s="794"/>
      <c r="K834" s="794"/>
      <c r="L834" s="794"/>
      <c r="M834" s="794"/>
      <c r="N834" s="794"/>
      <c r="O834" s="794"/>
      <c r="P834" s="794"/>
      <c r="Q834" s="794"/>
      <c r="R834" s="794"/>
      <c r="S834" s="794"/>
      <c r="T834" s="794"/>
      <c r="U834" s="794"/>
      <c r="V834" s="794"/>
    </row>
    <row r="835" spans="1:22" ht="14.5">
      <c r="A835" s="794"/>
      <c r="B835" s="799"/>
      <c r="C835" s="794"/>
      <c r="D835" s="794"/>
      <c r="E835" s="794"/>
      <c r="F835" s="794"/>
      <c r="G835" s="794"/>
      <c r="H835" s="794"/>
      <c r="I835" s="794"/>
      <c r="J835" s="794"/>
      <c r="K835" s="794"/>
      <c r="L835" s="794"/>
      <c r="M835" s="794"/>
      <c r="N835" s="794"/>
      <c r="O835" s="794"/>
      <c r="P835" s="794"/>
      <c r="Q835" s="794"/>
      <c r="R835" s="794"/>
      <c r="S835" s="794"/>
      <c r="T835" s="794"/>
      <c r="U835" s="794"/>
      <c r="V835" s="794"/>
    </row>
    <row r="836" spans="1:22" ht="14.5">
      <c r="A836" s="794"/>
      <c r="B836" s="799"/>
      <c r="C836" s="794"/>
      <c r="D836" s="794"/>
      <c r="E836" s="794"/>
      <c r="F836" s="794"/>
      <c r="G836" s="794"/>
      <c r="H836" s="794"/>
      <c r="I836" s="794"/>
      <c r="J836" s="794"/>
      <c r="K836" s="794"/>
      <c r="L836" s="794"/>
      <c r="M836" s="794"/>
      <c r="N836" s="794"/>
      <c r="O836" s="794"/>
      <c r="P836" s="794"/>
      <c r="Q836" s="794"/>
      <c r="R836" s="794"/>
      <c r="S836" s="794"/>
      <c r="T836" s="794"/>
      <c r="U836" s="794"/>
      <c r="V836" s="794"/>
    </row>
    <row r="837" spans="1:22" ht="14.5">
      <c r="A837" s="794"/>
      <c r="B837" s="799"/>
      <c r="C837" s="794"/>
      <c r="D837" s="794"/>
      <c r="E837" s="794"/>
      <c r="F837" s="794"/>
      <c r="G837" s="794"/>
      <c r="H837" s="794"/>
      <c r="I837" s="794"/>
      <c r="J837" s="794"/>
      <c r="K837" s="794"/>
      <c r="L837" s="794"/>
      <c r="M837" s="794"/>
      <c r="N837" s="794"/>
      <c r="O837" s="794"/>
      <c r="P837" s="794"/>
      <c r="Q837" s="794"/>
      <c r="R837" s="794"/>
      <c r="S837" s="794"/>
      <c r="T837" s="794"/>
      <c r="U837" s="794"/>
      <c r="V837" s="794"/>
    </row>
    <row r="838" spans="1:22" ht="14.5">
      <c r="A838" s="794"/>
      <c r="B838" s="799"/>
      <c r="C838" s="794"/>
      <c r="D838" s="794"/>
      <c r="E838" s="794"/>
      <c r="F838" s="794"/>
      <c r="G838" s="794"/>
      <c r="H838" s="794"/>
      <c r="I838" s="794"/>
      <c r="J838" s="794"/>
      <c r="K838" s="794"/>
      <c r="L838" s="794"/>
      <c r="M838" s="794"/>
      <c r="N838" s="794"/>
      <c r="O838" s="794"/>
      <c r="P838" s="794"/>
      <c r="Q838" s="794"/>
      <c r="R838" s="794"/>
      <c r="S838" s="794"/>
      <c r="T838" s="794"/>
      <c r="U838" s="794"/>
      <c r="V838" s="794"/>
    </row>
    <row r="839" spans="1:22" ht="14.5">
      <c r="A839" s="794"/>
      <c r="B839" s="799"/>
      <c r="C839" s="794"/>
      <c r="D839" s="794"/>
      <c r="E839" s="794"/>
      <c r="F839" s="794"/>
      <c r="G839" s="794"/>
      <c r="H839" s="794"/>
      <c r="I839" s="794"/>
      <c r="J839" s="794"/>
      <c r="K839" s="794"/>
      <c r="L839" s="794"/>
      <c r="M839" s="794"/>
      <c r="N839" s="794"/>
      <c r="O839" s="794"/>
      <c r="P839" s="794"/>
      <c r="Q839" s="794"/>
      <c r="R839" s="794"/>
      <c r="S839" s="794"/>
      <c r="T839" s="794"/>
      <c r="U839" s="794"/>
      <c r="V839" s="794"/>
    </row>
    <row r="840" spans="1:22" ht="14.5">
      <c r="A840" s="794"/>
      <c r="B840" s="799"/>
      <c r="C840" s="794"/>
      <c r="D840" s="794"/>
      <c r="E840" s="794"/>
      <c r="F840" s="794"/>
      <c r="G840" s="794"/>
      <c r="H840" s="794"/>
      <c r="I840" s="794"/>
      <c r="J840" s="794"/>
      <c r="K840" s="794"/>
      <c r="L840" s="794"/>
      <c r="M840" s="794"/>
      <c r="N840" s="794"/>
      <c r="O840" s="794"/>
      <c r="P840" s="794"/>
      <c r="Q840" s="794"/>
      <c r="R840" s="794"/>
      <c r="S840" s="794"/>
      <c r="T840" s="794"/>
      <c r="U840" s="794"/>
      <c r="V840" s="794"/>
    </row>
    <row r="841" spans="1:22" ht="14.5">
      <c r="A841" s="794"/>
      <c r="B841" s="799"/>
      <c r="C841" s="794"/>
      <c r="D841" s="794"/>
      <c r="E841" s="794"/>
      <c r="F841" s="794"/>
      <c r="G841" s="794"/>
      <c r="H841" s="794"/>
      <c r="I841" s="794"/>
      <c r="J841" s="794"/>
      <c r="K841" s="794"/>
      <c r="L841" s="794"/>
      <c r="M841" s="794"/>
      <c r="N841" s="794"/>
      <c r="O841" s="794"/>
      <c r="P841" s="794"/>
      <c r="Q841" s="794"/>
      <c r="R841" s="794"/>
      <c r="S841" s="794"/>
      <c r="T841" s="794"/>
      <c r="U841" s="794"/>
      <c r="V841" s="794"/>
    </row>
    <row r="842" spans="1:22" ht="14.5">
      <c r="A842" s="794"/>
      <c r="B842" s="799"/>
      <c r="C842" s="794"/>
      <c r="D842" s="794"/>
      <c r="E842" s="794"/>
      <c r="F842" s="794"/>
      <c r="G842" s="794"/>
      <c r="H842" s="794"/>
      <c r="I842" s="794"/>
      <c r="J842" s="794"/>
      <c r="K842" s="794"/>
      <c r="L842" s="794"/>
      <c r="M842" s="794"/>
      <c r="N842" s="794"/>
      <c r="O842" s="794"/>
      <c r="P842" s="794"/>
      <c r="Q842" s="794"/>
      <c r="R842" s="794"/>
      <c r="S842" s="794"/>
      <c r="T842" s="794"/>
      <c r="U842" s="794"/>
      <c r="V842" s="794"/>
    </row>
    <row r="843" spans="1:22" ht="14.5">
      <c r="A843" s="794"/>
      <c r="B843" s="799"/>
      <c r="C843" s="794"/>
      <c r="D843" s="794"/>
      <c r="E843" s="794"/>
      <c r="F843" s="794"/>
      <c r="G843" s="794"/>
      <c r="H843" s="794"/>
      <c r="I843" s="794"/>
      <c r="J843" s="794"/>
      <c r="K843" s="794"/>
      <c r="L843" s="794"/>
      <c r="M843" s="794"/>
      <c r="N843" s="794"/>
      <c r="O843" s="794"/>
      <c r="P843" s="794"/>
      <c r="Q843" s="794"/>
      <c r="R843" s="794"/>
      <c r="S843" s="794"/>
      <c r="T843" s="794"/>
      <c r="U843" s="794"/>
      <c r="V843" s="794"/>
    </row>
    <row r="844" spans="1:22" ht="14.5">
      <c r="A844" s="794"/>
      <c r="B844" s="799"/>
      <c r="C844" s="794"/>
      <c r="D844" s="794"/>
      <c r="E844" s="794"/>
      <c r="F844" s="794"/>
      <c r="G844" s="794"/>
      <c r="H844" s="794"/>
      <c r="I844" s="794"/>
      <c r="J844" s="794"/>
      <c r="K844" s="794"/>
      <c r="L844" s="794"/>
      <c r="M844" s="794"/>
      <c r="N844" s="794"/>
      <c r="O844" s="794"/>
      <c r="P844" s="794"/>
      <c r="Q844" s="794"/>
      <c r="R844" s="794"/>
      <c r="S844" s="794"/>
      <c r="T844" s="794"/>
      <c r="U844" s="794"/>
      <c r="V844" s="794"/>
    </row>
    <row r="845" spans="1:22" ht="14.5">
      <c r="A845" s="794"/>
      <c r="B845" s="799"/>
      <c r="C845" s="794"/>
      <c r="D845" s="794"/>
      <c r="E845" s="794"/>
      <c r="F845" s="794"/>
      <c r="G845" s="794"/>
      <c r="H845" s="794"/>
      <c r="I845" s="794"/>
      <c r="J845" s="794"/>
      <c r="K845" s="794"/>
      <c r="L845" s="794"/>
      <c r="M845" s="794"/>
      <c r="N845" s="794"/>
      <c r="O845" s="794"/>
      <c r="P845" s="794"/>
      <c r="Q845" s="794"/>
      <c r="R845" s="794"/>
      <c r="S845" s="794"/>
      <c r="T845" s="794"/>
      <c r="U845" s="794"/>
      <c r="V845" s="794"/>
    </row>
    <row r="846" spans="1:22" ht="14.5">
      <c r="A846" s="794"/>
      <c r="B846" s="799"/>
      <c r="C846" s="794"/>
      <c r="D846" s="794"/>
      <c r="E846" s="794"/>
      <c r="F846" s="794"/>
      <c r="G846" s="794"/>
      <c r="H846" s="794"/>
      <c r="I846" s="794"/>
      <c r="J846" s="794"/>
      <c r="K846" s="794"/>
      <c r="L846" s="794"/>
      <c r="M846" s="794"/>
      <c r="N846" s="794"/>
      <c r="O846" s="794"/>
      <c r="P846" s="794"/>
      <c r="Q846" s="794"/>
      <c r="R846" s="794"/>
      <c r="S846" s="794"/>
      <c r="T846" s="794"/>
      <c r="U846" s="794"/>
      <c r="V846" s="794"/>
    </row>
    <row r="847" spans="1:22" ht="14.5">
      <c r="A847" s="794"/>
      <c r="B847" s="799"/>
      <c r="C847" s="794"/>
      <c r="D847" s="794"/>
      <c r="E847" s="794"/>
      <c r="F847" s="794"/>
      <c r="G847" s="794"/>
      <c r="H847" s="794"/>
      <c r="I847" s="794"/>
      <c r="J847" s="794"/>
      <c r="K847" s="794"/>
      <c r="L847" s="794"/>
      <c r="M847" s="794"/>
      <c r="N847" s="794"/>
      <c r="O847" s="794"/>
      <c r="P847" s="794"/>
      <c r="Q847" s="794"/>
      <c r="R847" s="794"/>
      <c r="S847" s="794"/>
      <c r="T847" s="794"/>
      <c r="U847" s="794"/>
      <c r="V847" s="794"/>
    </row>
    <row r="848" spans="1:22" ht="14.5">
      <c r="A848" s="794"/>
      <c r="B848" s="799"/>
      <c r="C848" s="794"/>
      <c r="D848" s="794"/>
      <c r="E848" s="794"/>
      <c r="F848" s="794"/>
      <c r="G848" s="794"/>
      <c r="H848" s="794"/>
      <c r="I848" s="794"/>
      <c r="J848" s="794"/>
      <c r="K848" s="794"/>
      <c r="L848" s="794"/>
      <c r="M848" s="794"/>
      <c r="N848" s="794"/>
      <c r="O848" s="794"/>
      <c r="P848" s="794"/>
      <c r="Q848" s="794"/>
      <c r="R848" s="794"/>
      <c r="S848" s="794"/>
      <c r="T848" s="794"/>
      <c r="U848" s="794"/>
      <c r="V848" s="794"/>
    </row>
    <row r="849" spans="1:22" ht="14.5">
      <c r="A849" s="794"/>
      <c r="B849" s="799"/>
      <c r="C849" s="794"/>
      <c r="D849" s="794"/>
      <c r="E849" s="794"/>
      <c r="F849" s="794"/>
      <c r="G849" s="794"/>
      <c r="H849" s="794"/>
      <c r="I849" s="794"/>
      <c r="J849" s="794"/>
      <c r="K849" s="794"/>
      <c r="L849" s="794"/>
      <c r="M849" s="794"/>
      <c r="N849" s="794"/>
      <c r="O849" s="794"/>
      <c r="P849" s="794"/>
      <c r="Q849" s="794"/>
      <c r="R849" s="794"/>
      <c r="S849" s="794"/>
      <c r="T849" s="794"/>
      <c r="U849" s="794"/>
      <c r="V849" s="794"/>
    </row>
    <row r="850" spans="1:22" ht="14.5">
      <c r="A850" s="794"/>
      <c r="B850" s="799"/>
      <c r="C850" s="794"/>
      <c r="D850" s="794"/>
      <c r="E850" s="794"/>
      <c r="F850" s="794"/>
      <c r="G850" s="794"/>
      <c r="H850" s="794"/>
      <c r="I850" s="794"/>
      <c r="J850" s="794"/>
      <c r="K850" s="794"/>
      <c r="L850" s="794"/>
      <c r="M850" s="794"/>
      <c r="N850" s="794"/>
      <c r="O850" s="794"/>
      <c r="P850" s="794"/>
      <c r="Q850" s="794"/>
      <c r="R850" s="794"/>
      <c r="S850" s="794"/>
      <c r="T850" s="794"/>
      <c r="U850" s="794"/>
      <c r="V850" s="794"/>
    </row>
    <row r="851" spans="1:22" ht="14.5">
      <c r="A851" s="794"/>
      <c r="B851" s="799"/>
      <c r="C851" s="794"/>
      <c r="D851" s="794"/>
      <c r="E851" s="794"/>
      <c r="F851" s="794"/>
      <c r="G851" s="794"/>
      <c r="H851" s="794"/>
      <c r="I851" s="794"/>
      <c r="J851" s="794"/>
      <c r="K851" s="794"/>
      <c r="L851" s="794"/>
      <c r="M851" s="794"/>
      <c r="N851" s="794"/>
      <c r="O851" s="794"/>
      <c r="P851" s="794"/>
      <c r="Q851" s="794"/>
      <c r="R851" s="794"/>
      <c r="S851" s="794"/>
      <c r="T851" s="794"/>
      <c r="U851" s="794"/>
      <c r="V851" s="794"/>
    </row>
    <row r="852" spans="1:22" ht="14.5">
      <c r="A852" s="794"/>
      <c r="B852" s="799"/>
      <c r="C852" s="794"/>
      <c r="D852" s="794"/>
      <c r="E852" s="794"/>
      <c r="F852" s="794"/>
      <c r="G852" s="794"/>
      <c r="H852" s="794"/>
      <c r="I852" s="794"/>
      <c r="J852" s="794"/>
      <c r="K852" s="794"/>
      <c r="L852" s="794"/>
      <c r="M852" s="794"/>
      <c r="N852" s="794"/>
      <c r="O852" s="794"/>
      <c r="P852" s="794"/>
      <c r="Q852" s="794"/>
      <c r="R852" s="794"/>
      <c r="S852" s="794"/>
      <c r="T852" s="794"/>
      <c r="U852" s="794"/>
      <c r="V852" s="794"/>
    </row>
    <row r="853" spans="1:22" ht="14.5">
      <c r="A853" s="794"/>
      <c r="B853" s="799"/>
      <c r="C853" s="794"/>
      <c r="D853" s="794"/>
      <c r="E853" s="794"/>
      <c r="F853" s="794"/>
      <c r="G853" s="794"/>
      <c r="H853" s="794"/>
      <c r="I853" s="794"/>
      <c r="J853" s="794"/>
      <c r="K853" s="794"/>
      <c r="L853" s="794"/>
      <c r="M853" s="794"/>
      <c r="N853" s="794"/>
      <c r="O853" s="794"/>
      <c r="P853" s="794"/>
      <c r="Q853" s="794"/>
      <c r="R853" s="794"/>
      <c r="S853" s="794"/>
      <c r="T853" s="794"/>
      <c r="U853" s="794"/>
      <c r="V853" s="794"/>
    </row>
    <row r="854" spans="1:22" ht="14.5">
      <c r="A854" s="794"/>
      <c r="B854" s="799"/>
      <c r="C854" s="794"/>
      <c r="D854" s="794"/>
      <c r="E854" s="794"/>
      <c r="F854" s="794"/>
      <c r="G854" s="794"/>
      <c r="H854" s="794"/>
      <c r="I854" s="794"/>
      <c r="J854" s="794"/>
      <c r="K854" s="794"/>
      <c r="L854" s="794"/>
      <c r="M854" s="794"/>
      <c r="N854" s="794"/>
      <c r="O854" s="794"/>
      <c r="P854" s="794"/>
      <c r="Q854" s="794"/>
      <c r="R854" s="794"/>
      <c r="S854" s="794"/>
      <c r="T854" s="794"/>
      <c r="U854" s="794"/>
      <c r="V854" s="794"/>
    </row>
    <row r="855" spans="1:22" ht="14.5">
      <c r="A855" s="794"/>
      <c r="B855" s="799"/>
      <c r="C855" s="794"/>
      <c r="D855" s="794"/>
      <c r="E855" s="794"/>
      <c r="F855" s="794"/>
      <c r="G855" s="794"/>
      <c r="H855" s="794"/>
      <c r="I855" s="794"/>
      <c r="J855" s="794"/>
      <c r="K855" s="794"/>
      <c r="L855" s="794"/>
      <c r="M855" s="794"/>
      <c r="N855" s="794"/>
      <c r="O855" s="794"/>
      <c r="P855" s="794"/>
      <c r="Q855" s="794"/>
      <c r="R855" s="794"/>
      <c r="S855" s="794"/>
      <c r="T855" s="794"/>
      <c r="U855" s="794"/>
      <c r="V855" s="794"/>
    </row>
    <row r="856" spans="1:22" ht="14.5">
      <c r="A856" s="794"/>
      <c r="B856" s="799"/>
      <c r="C856" s="794"/>
      <c r="D856" s="794"/>
      <c r="E856" s="794"/>
      <c r="F856" s="794"/>
      <c r="G856" s="794"/>
      <c r="H856" s="794"/>
      <c r="I856" s="794"/>
      <c r="J856" s="794"/>
      <c r="K856" s="794"/>
      <c r="L856" s="794"/>
      <c r="M856" s="794"/>
      <c r="N856" s="794"/>
      <c r="O856" s="794"/>
      <c r="P856" s="794"/>
      <c r="Q856" s="794"/>
      <c r="R856" s="794"/>
      <c r="S856" s="794"/>
      <c r="T856" s="794"/>
      <c r="U856" s="794"/>
      <c r="V856" s="794"/>
    </row>
    <row r="857" spans="1:22" ht="14.5">
      <c r="A857" s="794"/>
      <c r="B857" s="799"/>
      <c r="C857" s="794"/>
      <c r="D857" s="794"/>
      <c r="E857" s="794"/>
      <c r="F857" s="794"/>
      <c r="G857" s="794"/>
      <c r="H857" s="794"/>
      <c r="I857" s="794"/>
      <c r="J857" s="794"/>
      <c r="K857" s="794"/>
      <c r="L857" s="794"/>
      <c r="M857" s="794"/>
      <c r="N857" s="794"/>
      <c r="O857" s="794"/>
      <c r="P857" s="794"/>
      <c r="Q857" s="794"/>
      <c r="R857" s="794"/>
      <c r="S857" s="794"/>
      <c r="T857" s="794"/>
      <c r="U857" s="794"/>
      <c r="V857" s="794"/>
    </row>
    <row r="858" spans="1:22" ht="14.5">
      <c r="A858" s="794"/>
      <c r="B858" s="799"/>
      <c r="C858" s="794"/>
      <c r="D858" s="794"/>
      <c r="E858" s="794"/>
      <c r="F858" s="794"/>
      <c r="G858" s="794"/>
      <c r="H858" s="794"/>
      <c r="I858" s="794"/>
      <c r="J858" s="794"/>
      <c r="K858" s="794"/>
      <c r="L858" s="794"/>
      <c r="M858" s="794"/>
      <c r="N858" s="794"/>
      <c r="O858" s="794"/>
      <c r="P858" s="794"/>
      <c r="Q858" s="794"/>
      <c r="R858" s="794"/>
      <c r="S858" s="794"/>
      <c r="T858" s="794"/>
      <c r="U858" s="794"/>
      <c r="V858" s="794"/>
    </row>
    <row r="859" spans="1:22" ht="14.5">
      <c r="A859" s="794"/>
      <c r="B859" s="799"/>
      <c r="C859" s="794"/>
      <c r="D859" s="794"/>
      <c r="E859" s="794"/>
      <c r="F859" s="794"/>
      <c r="G859" s="794"/>
      <c r="H859" s="794"/>
      <c r="I859" s="794"/>
      <c r="J859" s="794"/>
      <c r="K859" s="794"/>
      <c r="L859" s="794"/>
      <c r="M859" s="794"/>
      <c r="N859" s="794"/>
      <c r="O859" s="794"/>
      <c r="P859" s="794"/>
      <c r="Q859" s="794"/>
      <c r="R859" s="794"/>
      <c r="S859" s="794"/>
      <c r="T859" s="794"/>
      <c r="U859" s="794"/>
      <c r="V859" s="794"/>
    </row>
    <row r="860" spans="1:22" ht="14.5">
      <c r="A860" s="794"/>
      <c r="B860" s="799"/>
      <c r="C860" s="794"/>
      <c r="D860" s="794"/>
      <c r="E860" s="794"/>
      <c r="F860" s="794"/>
      <c r="G860" s="794"/>
      <c r="H860" s="794"/>
      <c r="I860" s="794"/>
      <c r="J860" s="794"/>
      <c r="K860" s="794"/>
      <c r="L860" s="794"/>
      <c r="M860" s="794"/>
      <c r="N860" s="794"/>
      <c r="O860" s="794"/>
      <c r="P860" s="794"/>
      <c r="Q860" s="794"/>
      <c r="R860" s="794"/>
      <c r="S860" s="794"/>
      <c r="T860" s="794"/>
      <c r="U860" s="794"/>
      <c r="V860" s="794"/>
    </row>
    <row r="861" spans="1:22" ht="14.5">
      <c r="A861" s="794"/>
      <c r="B861" s="799"/>
      <c r="C861" s="794"/>
      <c r="D861" s="794"/>
      <c r="E861" s="794"/>
      <c r="F861" s="794"/>
      <c r="G861" s="794"/>
      <c r="H861" s="794"/>
      <c r="I861" s="794"/>
      <c r="J861" s="794"/>
      <c r="K861" s="794"/>
      <c r="L861" s="794"/>
      <c r="M861" s="794"/>
      <c r="N861" s="794"/>
      <c r="O861" s="794"/>
      <c r="P861" s="794"/>
      <c r="Q861" s="794"/>
      <c r="R861" s="794"/>
      <c r="S861" s="794"/>
      <c r="T861" s="794"/>
      <c r="U861" s="794"/>
      <c r="V861" s="794"/>
    </row>
    <row r="862" spans="1:22" ht="14.5">
      <c r="A862" s="794"/>
      <c r="B862" s="799"/>
      <c r="C862" s="794"/>
      <c r="D862" s="794"/>
      <c r="E862" s="794"/>
      <c r="F862" s="794"/>
      <c r="G862" s="794"/>
      <c r="H862" s="794"/>
      <c r="I862" s="794"/>
      <c r="J862" s="794"/>
      <c r="K862" s="794"/>
      <c r="L862" s="794"/>
      <c r="M862" s="794"/>
      <c r="N862" s="794"/>
      <c r="O862" s="794"/>
      <c r="P862" s="794"/>
      <c r="Q862" s="794"/>
      <c r="R862" s="794"/>
      <c r="S862" s="794"/>
      <c r="T862" s="794"/>
      <c r="U862" s="794"/>
      <c r="V862" s="794"/>
    </row>
    <row r="863" spans="1:22" ht="14.5">
      <c r="A863" s="794"/>
      <c r="B863" s="799"/>
      <c r="C863" s="794"/>
      <c r="D863" s="794"/>
      <c r="E863" s="794"/>
      <c r="F863" s="794"/>
      <c r="G863" s="794"/>
      <c r="H863" s="794"/>
      <c r="I863" s="794"/>
      <c r="J863" s="794"/>
      <c r="K863" s="794"/>
      <c r="L863" s="794"/>
      <c r="M863" s="794"/>
      <c r="N863" s="794"/>
      <c r="O863" s="794"/>
      <c r="P863" s="794"/>
      <c r="Q863" s="794"/>
      <c r="R863" s="794"/>
      <c r="S863" s="794"/>
      <c r="T863" s="794"/>
      <c r="U863" s="794"/>
      <c r="V863" s="794"/>
    </row>
    <row r="864" spans="1:22" ht="14.5">
      <c r="A864" s="794"/>
      <c r="B864" s="799"/>
      <c r="C864" s="794"/>
      <c r="D864" s="794"/>
      <c r="E864" s="794"/>
      <c r="F864" s="794"/>
      <c r="G864" s="794"/>
      <c r="H864" s="794"/>
      <c r="I864" s="794"/>
      <c r="J864" s="794"/>
      <c r="K864" s="794"/>
      <c r="L864" s="794"/>
      <c r="M864" s="794"/>
      <c r="N864" s="794"/>
      <c r="O864" s="794"/>
      <c r="P864" s="794"/>
      <c r="Q864" s="794"/>
      <c r="R864" s="794"/>
      <c r="S864" s="794"/>
      <c r="T864" s="794"/>
      <c r="U864" s="794"/>
      <c r="V864" s="794"/>
    </row>
    <row r="865" spans="1:22" ht="14.5">
      <c r="A865" s="794"/>
      <c r="B865" s="799"/>
      <c r="C865" s="794"/>
      <c r="D865" s="794"/>
      <c r="E865" s="794"/>
      <c r="F865" s="794"/>
      <c r="G865" s="794"/>
      <c r="H865" s="794"/>
      <c r="I865" s="794"/>
      <c r="J865" s="794"/>
      <c r="K865" s="794"/>
      <c r="L865" s="794"/>
      <c r="M865" s="794"/>
      <c r="N865" s="794"/>
      <c r="O865" s="794"/>
      <c r="P865" s="794"/>
      <c r="Q865" s="794"/>
      <c r="R865" s="794"/>
      <c r="S865" s="794"/>
      <c r="T865" s="794"/>
      <c r="U865" s="794"/>
      <c r="V865" s="794"/>
    </row>
    <row r="866" spans="1:22" ht="14.5">
      <c r="A866" s="794"/>
      <c r="B866" s="799"/>
      <c r="C866" s="794"/>
      <c r="D866" s="794"/>
      <c r="E866" s="794"/>
      <c r="F866" s="794"/>
      <c r="G866" s="794"/>
      <c r="H866" s="794"/>
      <c r="I866" s="794"/>
      <c r="J866" s="794"/>
      <c r="K866" s="794"/>
      <c r="L866" s="794"/>
      <c r="M866" s="794"/>
      <c r="N866" s="794"/>
      <c r="O866" s="794"/>
      <c r="P866" s="794"/>
      <c r="Q866" s="794"/>
      <c r="R866" s="794"/>
      <c r="S866" s="794"/>
      <c r="T866" s="794"/>
      <c r="U866" s="794"/>
      <c r="V866" s="794"/>
    </row>
    <row r="867" spans="1:22" ht="14.5">
      <c r="A867" s="794"/>
      <c r="B867" s="799"/>
      <c r="C867" s="794"/>
      <c r="D867" s="794"/>
      <c r="E867" s="794"/>
      <c r="F867" s="794"/>
      <c r="G867" s="794"/>
      <c r="H867" s="794"/>
      <c r="I867" s="794"/>
      <c r="J867" s="794"/>
      <c r="K867" s="794"/>
      <c r="L867" s="794"/>
      <c r="M867" s="794"/>
      <c r="N867" s="794"/>
      <c r="O867" s="794"/>
      <c r="P867" s="794"/>
      <c r="Q867" s="794"/>
      <c r="R867" s="794"/>
      <c r="S867" s="794"/>
      <c r="T867" s="794"/>
      <c r="U867" s="794"/>
      <c r="V867" s="794"/>
    </row>
    <row r="868" spans="1:22" ht="14.5">
      <c r="A868" s="794"/>
      <c r="B868" s="799"/>
      <c r="C868" s="794"/>
      <c r="D868" s="794"/>
      <c r="E868" s="794"/>
      <c r="F868" s="794"/>
      <c r="G868" s="794"/>
      <c r="H868" s="794"/>
      <c r="I868" s="794"/>
      <c r="J868" s="794"/>
      <c r="K868" s="794"/>
      <c r="L868" s="794"/>
      <c r="M868" s="794"/>
      <c r="N868" s="794"/>
      <c r="O868" s="794"/>
      <c r="P868" s="794"/>
      <c r="Q868" s="794"/>
      <c r="R868" s="794"/>
      <c r="S868" s="794"/>
      <c r="T868" s="794"/>
      <c r="U868" s="794"/>
      <c r="V868" s="794"/>
    </row>
    <row r="869" spans="1:22" ht="14.5">
      <c r="A869" s="794"/>
      <c r="B869" s="799"/>
      <c r="C869" s="794"/>
      <c r="D869" s="794"/>
      <c r="E869" s="794"/>
      <c r="F869" s="794"/>
      <c r="G869" s="794"/>
      <c r="H869" s="794"/>
      <c r="I869" s="794"/>
      <c r="J869" s="794"/>
      <c r="K869" s="794"/>
      <c r="L869" s="794"/>
      <c r="M869" s="794"/>
      <c r="N869" s="794"/>
      <c r="O869" s="794"/>
      <c r="P869" s="794"/>
      <c r="Q869" s="794"/>
      <c r="R869" s="794"/>
      <c r="S869" s="794"/>
      <c r="T869" s="794"/>
      <c r="U869" s="794"/>
      <c r="V869" s="794"/>
    </row>
    <row r="870" spans="1:22" ht="14.5">
      <c r="A870" s="794"/>
      <c r="B870" s="799"/>
      <c r="C870" s="794"/>
      <c r="D870" s="794"/>
      <c r="E870" s="794"/>
      <c r="F870" s="794"/>
      <c r="G870" s="794"/>
      <c r="H870" s="794"/>
      <c r="I870" s="794"/>
      <c r="J870" s="794"/>
      <c r="K870" s="794"/>
      <c r="L870" s="794"/>
      <c r="M870" s="794"/>
      <c r="N870" s="794"/>
      <c r="O870" s="794"/>
      <c r="P870" s="794"/>
      <c r="Q870" s="794"/>
      <c r="R870" s="794"/>
      <c r="S870" s="794"/>
      <c r="T870" s="794"/>
      <c r="U870" s="794"/>
      <c r="V870" s="794"/>
    </row>
    <row r="871" spans="1:22" ht="14.5">
      <c r="A871" s="794"/>
      <c r="B871" s="799"/>
      <c r="C871" s="794"/>
      <c r="D871" s="794"/>
      <c r="E871" s="794"/>
      <c r="F871" s="794"/>
      <c r="G871" s="794"/>
      <c r="H871" s="794"/>
      <c r="I871" s="794"/>
      <c r="J871" s="794"/>
      <c r="K871" s="794"/>
      <c r="L871" s="794"/>
      <c r="M871" s="794"/>
      <c r="N871" s="794"/>
      <c r="O871" s="794"/>
      <c r="P871" s="794"/>
      <c r="Q871" s="794"/>
      <c r="R871" s="794"/>
      <c r="S871" s="794"/>
      <c r="T871" s="794"/>
      <c r="U871" s="794"/>
      <c r="V871" s="794"/>
    </row>
    <row r="872" spans="1:22" ht="14.5">
      <c r="A872" s="794"/>
      <c r="B872" s="799"/>
      <c r="C872" s="794"/>
      <c r="D872" s="794"/>
      <c r="E872" s="794"/>
      <c r="F872" s="794"/>
      <c r="G872" s="794"/>
      <c r="H872" s="794"/>
      <c r="I872" s="794"/>
      <c r="J872" s="794"/>
      <c r="K872" s="794"/>
      <c r="L872" s="794"/>
      <c r="M872" s="794"/>
      <c r="N872" s="794"/>
      <c r="O872" s="794"/>
      <c r="P872" s="794"/>
      <c r="Q872" s="794"/>
      <c r="R872" s="794"/>
      <c r="S872" s="794"/>
      <c r="T872" s="794"/>
      <c r="U872" s="794"/>
      <c r="V872" s="794"/>
    </row>
    <row r="873" spans="1:22" ht="14.5">
      <c r="A873" s="794"/>
      <c r="B873" s="799"/>
      <c r="C873" s="794"/>
      <c r="D873" s="794"/>
      <c r="E873" s="794"/>
      <c r="F873" s="794"/>
      <c r="G873" s="794"/>
      <c r="H873" s="794"/>
      <c r="I873" s="794"/>
      <c r="J873" s="794"/>
      <c r="K873" s="794"/>
      <c r="L873" s="794"/>
      <c r="M873" s="794"/>
      <c r="N873" s="794"/>
      <c r="O873" s="794"/>
      <c r="P873" s="794"/>
      <c r="Q873" s="794"/>
      <c r="R873" s="794"/>
      <c r="S873" s="794"/>
      <c r="T873" s="794"/>
      <c r="U873" s="794"/>
      <c r="V873" s="794"/>
    </row>
    <row r="874" spans="1:22" ht="14.5">
      <c r="A874" s="794"/>
      <c r="B874" s="799"/>
      <c r="C874" s="794"/>
      <c r="D874" s="794"/>
      <c r="E874" s="794"/>
      <c r="F874" s="794"/>
      <c r="G874" s="794"/>
      <c r="H874" s="794"/>
      <c r="I874" s="794"/>
      <c r="J874" s="794"/>
      <c r="K874" s="794"/>
      <c r="L874" s="794"/>
      <c r="M874" s="794"/>
      <c r="N874" s="794"/>
      <c r="O874" s="794"/>
      <c r="P874" s="794"/>
      <c r="Q874" s="794"/>
      <c r="R874" s="794"/>
      <c r="S874" s="794"/>
      <c r="T874" s="794"/>
      <c r="U874" s="794"/>
      <c r="V874" s="794"/>
    </row>
    <row r="875" spans="1:22" ht="14.5">
      <c r="A875" s="794"/>
      <c r="B875" s="799"/>
      <c r="C875" s="794"/>
      <c r="D875" s="794"/>
      <c r="E875" s="794"/>
      <c r="F875" s="794"/>
      <c r="G875" s="794"/>
      <c r="H875" s="794"/>
      <c r="I875" s="794"/>
      <c r="J875" s="794"/>
      <c r="K875" s="794"/>
      <c r="L875" s="794"/>
      <c r="M875" s="794"/>
      <c r="N875" s="794"/>
      <c r="O875" s="794"/>
      <c r="P875" s="794"/>
      <c r="Q875" s="794"/>
      <c r="R875" s="794"/>
      <c r="S875" s="794"/>
      <c r="T875" s="794"/>
      <c r="U875" s="794"/>
      <c r="V875" s="794"/>
    </row>
    <row r="876" spans="1:22" ht="14.5">
      <c r="A876" s="794"/>
      <c r="B876" s="799"/>
      <c r="C876" s="794"/>
      <c r="D876" s="794"/>
      <c r="E876" s="794"/>
      <c r="F876" s="794"/>
      <c r="G876" s="794"/>
      <c r="H876" s="794"/>
      <c r="I876" s="794"/>
      <c r="J876" s="794"/>
      <c r="K876" s="794"/>
      <c r="L876" s="794"/>
      <c r="M876" s="794"/>
      <c r="N876" s="794"/>
      <c r="O876" s="794"/>
      <c r="P876" s="794"/>
      <c r="Q876" s="794"/>
      <c r="R876" s="794"/>
      <c r="S876" s="794"/>
      <c r="T876" s="794"/>
      <c r="U876" s="794"/>
      <c r="V876" s="794"/>
    </row>
    <row r="877" spans="1:22" ht="14.5">
      <c r="A877" s="794"/>
      <c r="B877" s="799"/>
      <c r="C877" s="794"/>
      <c r="D877" s="794"/>
      <c r="E877" s="794"/>
      <c r="F877" s="794"/>
      <c r="G877" s="794"/>
      <c r="H877" s="794"/>
      <c r="I877" s="794"/>
      <c r="J877" s="794"/>
      <c r="K877" s="794"/>
      <c r="L877" s="794"/>
      <c r="M877" s="794"/>
      <c r="N877" s="794"/>
      <c r="O877" s="794"/>
      <c r="P877" s="794"/>
      <c r="Q877" s="794"/>
      <c r="R877" s="794"/>
      <c r="S877" s="794"/>
      <c r="T877" s="794"/>
      <c r="U877" s="794"/>
      <c r="V877" s="794"/>
    </row>
    <row r="878" spans="1:22" ht="14.5">
      <c r="A878" s="794"/>
      <c r="B878" s="799"/>
      <c r="C878" s="794"/>
      <c r="D878" s="794"/>
      <c r="E878" s="794"/>
      <c r="F878" s="794"/>
      <c r="G878" s="794"/>
      <c r="H878" s="794"/>
      <c r="I878" s="794"/>
      <c r="J878" s="794"/>
      <c r="K878" s="794"/>
      <c r="L878" s="794"/>
      <c r="M878" s="794"/>
      <c r="N878" s="794"/>
      <c r="O878" s="794"/>
      <c r="P878" s="794"/>
      <c r="Q878" s="794"/>
      <c r="R878" s="794"/>
      <c r="S878" s="794"/>
      <c r="T878" s="794"/>
      <c r="U878" s="794"/>
      <c r="V878" s="794"/>
    </row>
    <row r="879" spans="1:22" ht="14.5">
      <c r="A879" s="794"/>
      <c r="B879" s="799"/>
      <c r="C879" s="794"/>
      <c r="D879" s="794"/>
      <c r="E879" s="794"/>
      <c r="F879" s="794"/>
      <c r="G879" s="794"/>
      <c r="H879" s="794"/>
      <c r="I879" s="794"/>
      <c r="J879" s="794"/>
      <c r="K879" s="794"/>
      <c r="L879" s="794"/>
      <c r="M879" s="794"/>
      <c r="N879" s="794"/>
      <c r="O879" s="794"/>
      <c r="P879" s="794"/>
      <c r="Q879" s="794"/>
      <c r="R879" s="794"/>
      <c r="S879" s="794"/>
      <c r="T879" s="794"/>
      <c r="U879" s="794"/>
      <c r="V879" s="794"/>
    </row>
    <row r="880" spans="1:22" ht="14.5">
      <c r="A880" s="794"/>
      <c r="B880" s="799"/>
      <c r="C880" s="794"/>
      <c r="D880" s="794"/>
      <c r="E880" s="794"/>
      <c r="F880" s="794"/>
      <c r="G880" s="794"/>
      <c r="H880" s="794"/>
      <c r="I880" s="794"/>
      <c r="J880" s="794"/>
      <c r="K880" s="794"/>
      <c r="L880" s="794"/>
      <c r="M880" s="794"/>
      <c r="N880" s="794"/>
      <c r="O880" s="794"/>
      <c r="P880" s="794"/>
      <c r="Q880" s="794"/>
      <c r="R880" s="794"/>
      <c r="S880" s="794"/>
      <c r="T880" s="794"/>
      <c r="U880" s="794"/>
      <c r="V880" s="794"/>
    </row>
    <row r="881" spans="1:22" ht="14.5">
      <c r="A881" s="794"/>
      <c r="B881" s="799"/>
      <c r="C881" s="794"/>
      <c r="D881" s="794"/>
      <c r="E881" s="794"/>
      <c r="F881" s="794"/>
      <c r="G881" s="794"/>
      <c r="H881" s="794"/>
      <c r="I881" s="794"/>
      <c r="J881" s="794"/>
      <c r="K881" s="794"/>
      <c r="L881" s="794"/>
      <c r="M881" s="794"/>
      <c r="N881" s="794"/>
      <c r="O881" s="794"/>
      <c r="P881" s="794"/>
      <c r="Q881" s="794"/>
      <c r="R881" s="794"/>
      <c r="S881" s="794"/>
      <c r="T881" s="794"/>
      <c r="U881" s="794"/>
      <c r="V881" s="794"/>
    </row>
    <row r="882" spans="1:22" ht="14.5">
      <c r="A882" s="794"/>
      <c r="B882" s="799"/>
      <c r="C882" s="794"/>
      <c r="D882" s="794"/>
      <c r="E882" s="794"/>
      <c r="F882" s="794"/>
      <c r="G882" s="794"/>
      <c r="H882" s="794"/>
      <c r="I882" s="794"/>
      <c r="J882" s="794"/>
      <c r="K882" s="794"/>
      <c r="L882" s="794"/>
      <c r="M882" s="794"/>
      <c r="N882" s="794"/>
      <c r="O882" s="794"/>
      <c r="P882" s="794"/>
      <c r="Q882" s="794"/>
      <c r="R882" s="794"/>
      <c r="S882" s="794"/>
      <c r="T882" s="794"/>
      <c r="U882" s="794"/>
      <c r="V882" s="794"/>
    </row>
    <row r="883" spans="1:22" ht="14.5">
      <c r="A883" s="794"/>
      <c r="B883" s="799"/>
      <c r="C883" s="794"/>
      <c r="D883" s="794"/>
      <c r="E883" s="794"/>
      <c r="F883" s="794"/>
      <c r="G883" s="794"/>
      <c r="H883" s="794"/>
      <c r="I883" s="794"/>
      <c r="J883" s="794"/>
      <c r="K883" s="794"/>
      <c r="L883" s="794"/>
      <c r="M883" s="794"/>
      <c r="N883" s="794"/>
      <c r="O883" s="794"/>
      <c r="P883" s="794"/>
      <c r="Q883" s="794"/>
      <c r="R883" s="794"/>
      <c r="S883" s="794"/>
      <c r="T883" s="794"/>
      <c r="U883" s="794"/>
      <c r="V883" s="794"/>
    </row>
    <row r="884" spans="1:22" ht="14.5">
      <c r="A884" s="794"/>
      <c r="B884" s="799"/>
      <c r="C884" s="794"/>
      <c r="D884" s="794"/>
      <c r="E884" s="794"/>
      <c r="F884" s="794"/>
      <c r="G884" s="794"/>
      <c r="H884" s="794"/>
      <c r="I884" s="794"/>
      <c r="J884" s="794"/>
      <c r="K884" s="794"/>
      <c r="L884" s="794"/>
      <c r="M884" s="794"/>
      <c r="N884" s="794"/>
      <c r="O884" s="794"/>
      <c r="P884" s="794"/>
      <c r="Q884" s="794"/>
      <c r="R884" s="794"/>
      <c r="S884" s="794"/>
      <c r="T884" s="794"/>
      <c r="U884" s="794"/>
      <c r="V884" s="794"/>
    </row>
    <row r="885" spans="1:22" ht="14.5">
      <c r="A885" s="794"/>
      <c r="B885" s="799"/>
      <c r="C885" s="794"/>
      <c r="D885" s="794"/>
      <c r="E885" s="794"/>
      <c r="F885" s="794"/>
      <c r="G885" s="794"/>
      <c r="H885" s="794"/>
      <c r="I885" s="794"/>
      <c r="J885" s="794"/>
      <c r="K885" s="794"/>
      <c r="L885" s="794"/>
      <c r="M885" s="794"/>
      <c r="N885" s="794"/>
      <c r="O885" s="794"/>
      <c r="P885" s="794"/>
      <c r="Q885" s="794"/>
      <c r="R885" s="794"/>
      <c r="S885" s="794"/>
      <c r="T885" s="794"/>
      <c r="U885" s="794"/>
      <c r="V885" s="794"/>
    </row>
    <row r="886" spans="1:22" ht="14.5">
      <c r="A886" s="794"/>
      <c r="B886" s="799"/>
      <c r="C886" s="794"/>
      <c r="D886" s="794"/>
      <c r="E886" s="794"/>
      <c r="F886" s="794"/>
      <c r="G886" s="794"/>
      <c r="H886" s="794"/>
      <c r="I886" s="794"/>
      <c r="J886" s="794"/>
      <c r="K886" s="794"/>
      <c r="L886" s="794"/>
      <c r="M886" s="794"/>
      <c r="N886" s="794"/>
      <c r="O886" s="794"/>
      <c r="P886" s="794"/>
      <c r="Q886" s="794"/>
      <c r="R886" s="794"/>
      <c r="S886" s="794"/>
      <c r="T886" s="794"/>
      <c r="U886" s="794"/>
      <c r="V886" s="794"/>
    </row>
    <row r="887" spans="1:22" ht="14.5">
      <c r="A887" s="794"/>
      <c r="B887" s="799"/>
      <c r="C887" s="794"/>
      <c r="D887" s="794"/>
      <c r="E887" s="794"/>
      <c r="F887" s="794"/>
      <c r="G887" s="794"/>
      <c r="H887" s="794"/>
      <c r="I887" s="794"/>
      <c r="J887" s="794"/>
      <c r="K887" s="794"/>
      <c r="L887" s="794"/>
      <c r="M887" s="794"/>
      <c r="N887" s="794"/>
      <c r="O887" s="794"/>
      <c r="P887" s="794"/>
      <c r="Q887" s="794"/>
      <c r="R887" s="794"/>
      <c r="S887" s="794"/>
      <c r="T887" s="794"/>
      <c r="U887" s="794"/>
      <c r="V887" s="794"/>
    </row>
    <row r="888" spans="1:22" ht="14.5">
      <c r="A888" s="794"/>
      <c r="B888" s="799"/>
      <c r="C888" s="794"/>
      <c r="D888" s="794"/>
      <c r="E888" s="794"/>
      <c r="F888" s="794"/>
      <c r="G888" s="794"/>
      <c r="H888" s="794"/>
      <c r="I888" s="794"/>
      <c r="J888" s="794"/>
      <c r="K888" s="794"/>
      <c r="L888" s="794"/>
      <c r="M888" s="794"/>
      <c r="N888" s="794"/>
      <c r="O888" s="794"/>
      <c r="P888" s="794"/>
      <c r="Q888" s="794"/>
      <c r="R888" s="794"/>
      <c r="S888" s="794"/>
      <c r="T888" s="794"/>
      <c r="U888" s="794"/>
      <c r="V888" s="794"/>
    </row>
    <row r="889" spans="1:22" ht="14.5">
      <c r="A889" s="794"/>
      <c r="B889" s="799"/>
      <c r="C889" s="794"/>
      <c r="D889" s="794"/>
      <c r="E889" s="794"/>
      <c r="F889" s="794"/>
      <c r="G889" s="794"/>
      <c r="H889" s="794"/>
      <c r="I889" s="794"/>
      <c r="J889" s="794"/>
      <c r="K889" s="794"/>
      <c r="L889" s="794"/>
      <c r="M889" s="794"/>
      <c r="N889" s="794"/>
      <c r="O889" s="794"/>
      <c r="P889" s="794"/>
      <c r="Q889" s="794"/>
      <c r="R889" s="794"/>
      <c r="S889" s="794"/>
      <c r="T889" s="794"/>
      <c r="U889" s="794"/>
      <c r="V889" s="794"/>
    </row>
    <row r="890" spans="1:22" ht="14.5">
      <c r="A890" s="794"/>
      <c r="B890" s="799"/>
      <c r="C890" s="794"/>
      <c r="D890" s="794"/>
      <c r="E890" s="794"/>
      <c r="F890" s="794"/>
      <c r="G890" s="794"/>
      <c r="H890" s="794"/>
      <c r="I890" s="794"/>
      <c r="J890" s="794"/>
      <c r="K890" s="794"/>
      <c r="L890" s="794"/>
      <c r="M890" s="794"/>
      <c r="N890" s="794"/>
      <c r="O890" s="794"/>
      <c r="P890" s="794"/>
      <c r="Q890" s="794"/>
      <c r="R890" s="794"/>
      <c r="S890" s="794"/>
      <c r="T890" s="794"/>
      <c r="U890" s="794"/>
      <c r="V890" s="794"/>
    </row>
    <row r="891" spans="1:22" ht="14.5">
      <c r="A891" s="794"/>
      <c r="B891" s="799"/>
      <c r="C891" s="794"/>
      <c r="D891" s="794"/>
      <c r="E891" s="794"/>
      <c r="F891" s="794"/>
      <c r="G891" s="794"/>
      <c r="H891" s="794"/>
      <c r="I891" s="794"/>
      <c r="J891" s="794"/>
      <c r="K891" s="794"/>
      <c r="L891" s="794"/>
      <c r="M891" s="794"/>
      <c r="N891" s="794"/>
      <c r="O891" s="794"/>
      <c r="P891" s="794"/>
      <c r="Q891" s="794"/>
      <c r="R891" s="794"/>
      <c r="S891" s="794"/>
      <c r="T891" s="794"/>
      <c r="U891" s="794"/>
      <c r="V891" s="794"/>
    </row>
    <row r="892" spans="1:22" ht="14.5">
      <c r="A892" s="794"/>
      <c r="B892" s="799"/>
      <c r="C892" s="794"/>
      <c r="D892" s="794"/>
      <c r="E892" s="794"/>
      <c r="F892" s="794"/>
      <c r="G892" s="794"/>
      <c r="H892" s="794"/>
      <c r="I892" s="794"/>
      <c r="J892" s="794"/>
      <c r="K892" s="794"/>
      <c r="L892" s="794"/>
      <c r="M892" s="794"/>
      <c r="N892" s="794"/>
      <c r="O892" s="794"/>
      <c r="P892" s="794"/>
      <c r="Q892" s="794"/>
      <c r="R892" s="794"/>
      <c r="S892" s="794"/>
      <c r="T892" s="794"/>
      <c r="U892" s="794"/>
      <c r="V892" s="794"/>
    </row>
    <row r="893" spans="1:22" ht="14.5">
      <c r="A893" s="794"/>
      <c r="B893" s="799"/>
      <c r="C893" s="794"/>
      <c r="D893" s="794"/>
      <c r="E893" s="794"/>
      <c r="F893" s="794"/>
      <c r="G893" s="794"/>
      <c r="H893" s="794"/>
      <c r="I893" s="794"/>
      <c r="J893" s="794"/>
      <c r="K893" s="794"/>
      <c r="L893" s="794"/>
      <c r="M893" s="794"/>
      <c r="N893" s="794"/>
      <c r="O893" s="794"/>
      <c r="P893" s="794"/>
      <c r="Q893" s="794"/>
      <c r="R893" s="794"/>
      <c r="S893" s="794"/>
      <c r="T893" s="794"/>
      <c r="U893" s="794"/>
      <c r="V893" s="794"/>
    </row>
    <row r="894" spans="1:22" ht="14.5">
      <c r="A894" s="794"/>
      <c r="B894" s="799"/>
      <c r="C894" s="794"/>
      <c r="D894" s="794"/>
      <c r="E894" s="794"/>
      <c r="F894" s="794"/>
      <c r="G894" s="794"/>
      <c r="H894" s="794"/>
      <c r="I894" s="794"/>
      <c r="J894" s="794"/>
      <c r="K894" s="794"/>
      <c r="L894" s="794"/>
      <c r="M894" s="794"/>
      <c r="N894" s="794"/>
      <c r="O894" s="794"/>
      <c r="P894" s="794"/>
      <c r="Q894" s="794"/>
      <c r="R894" s="794"/>
      <c r="S894" s="794"/>
      <c r="T894" s="794"/>
      <c r="U894" s="794"/>
      <c r="V894" s="794"/>
    </row>
    <row r="895" spans="1:22" ht="14.5">
      <c r="A895" s="794"/>
      <c r="B895" s="799"/>
      <c r="C895" s="794"/>
      <c r="D895" s="794"/>
      <c r="E895" s="794"/>
      <c r="F895" s="794"/>
      <c r="G895" s="794"/>
      <c r="H895" s="794"/>
      <c r="I895" s="794"/>
      <c r="J895" s="794"/>
      <c r="K895" s="794"/>
      <c r="L895" s="794"/>
      <c r="M895" s="794"/>
      <c r="N895" s="794"/>
      <c r="O895" s="794"/>
      <c r="P895" s="794"/>
      <c r="Q895" s="794"/>
      <c r="R895" s="794"/>
      <c r="S895" s="794"/>
      <c r="T895" s="794"/>
      <c r="U895" s="794"/>
      <c r="V895" s="794"/>
    </row>
    <row r="896" spans="1:22" ht="14.5">
      <c r="A896" s="794"/>
      <c r="B896" s="799"/>
      <c r="C896" s="794"/>
      <c r="D896" s="794"/>
      <c r="E896" s="794"/>
      <c r="F896" s="794"/>
      <c r="G896" s="794"/>
      <c r="H896" s="794"/>
      <c r="I896" s="794"/>
      <c r="J896" s="794"/>
      <c r="K896" s="794"/>
      <c r="L896" s="794"/>
      <c r="M896" s="794"/>
      <c r="N896" s="794"/>
      <c r="O896" s="794"/>
      <c r="P896" s="794"/>
      <c r="Q896" s="794"/>
      <c r="R896" s="794"/>
      <c r="S896" s="794"/>
      <c r="T896" s="794"/>
      <c r="U896" s="794"/>
      <c r="V896" s="794"/>
    </row>
    <row r="897" spans="1:22" ht="14.5">
      <c r="A897" s="794"/>
      <c r="B897" s="799"/>
      <c r="C897" s="794"/>
      <c r="D897" s="794"/>
      <c r="E897" s="794"/>
      <c r="F897" s="794"/>
      <c r="G897" s="794"/>
      <c r="H897" s="794"/>
      <c r="I897" s="794"/>
      <c r="J897" s="794"/>
      <c r="K897" s="794"/>
      <c r="L897" s="794"/>
      <c r="M897" s="794"/>
      <c r="N897" s="794"/>
      <c r="O897" s="794"/>
      <c r="P897" s="794"/>
      <c r="Q897" s="794"/>
      <c r="R897" s="794"/>
      <c r="S897" s="794"/>
      <c r="T897" s="794"/>
      <c r="U897" s="794"/>
      <c r="V897" s="794"/>
    </row>
    <row r="898" spans="1:22" ht="14.5">
      <c r="A898" s="794"/>
      <c r="B898" s="799"/>
      <c r="C898" s="794"/>
      <c r="D898" s="794"/>
      <c r="E898" s="794"/>
      <c r="F898" s="794"/>
      <c r="G898" s="794"/>
      <c r="H898" s="794"/>
      <c r="I898" s="794"/>
      <c r="J898" s="794"/>
      <c r="K898" s="794"/>
      <c r="L898" s="794"/>
      <c r="M898" s="794"/>
      <c r="N898" s="794"/>
      <c r="O898" s="794"/>
      <c r="P898" s="794"/>
      <c r="Q898" s="794"/>
      <c r="R898" s="794"/>
      <c r="S898" s="794"/>
      <c r="T898" s="794"/>
      <c r="U898" s="794"/>
      <c r="V898" s="794"/>
    </row>
    <row r="899" spans="1:22" ht="14.5">
      <c r="A899" s="794"/>
      <c r="B899" s="799"/>
      <c r="C899" s="794"/>
      <c r="D899" s="794"/>
      <c r="E899" s="794"/>
      <c r="F899" s="794"/>
      <c r="G899" s="794"/>
      <c r="H899" s="794"/>
      <c r="I899" s="794"/>
      <c r="J899" s="794"/>
      <c r="K899" s="794"/>
      <c r="L899" s="794"/>
      <c r="M899" s="794"/>
      <c r="N899" s="794"/>
      <c r="O899" s="794"/>
      <c r="P899" s="794"/>
      <c r="Q899" s="794"/>
      <c r="R899" s="794"/>
      <c r="S899" s="794"/>
      <c r="T899" s="794"/>
      <c r="U899" s="794"/>
      <c r="V899" s="794"/>
    </row>
    <row r="900" spans="1:22" ht="14.5">
      <c r="A900" s="794"/>
      <c r="B900" s="799"/>
      <c r="C900" s="794"/>
      <c r="D900" s="794"/>
      <c r="E900" s="794"/>
      <c r="F900" s="794"/>
      <c r="G900" s="794"/>
      <c r="H900" s="794"/>
      <c r="I900" s="794"/>
      <c r="J900" s="794"/>
      <c r="K900" s="794"/>
      <c r="L900" s="794"/>
      <c r="M900" s="794"/>
      <c r="N900" s="794"/>
      <c r="O900" s="794"/>
      <c r="P900" s="794"/>
      <c r="Q900" s="794"/>
      <c r="R900" s="794"/>
      <c r="S900" s="794"/>
      <c r="T900" s="794"/>
      <c r="U900" s="794"/>
      <c r="V900" s="794"/>
    </row>
    <row r="901" spans="1:22" ht="14.5">
      <c r="A901" s="794"/>
      <c r="B901" s="799"/>
      <c r="C901" s="794"/>
      <c r="D901" s="794"/>
      <c r="E901" s="794"/>
      <c r="F901" s="794"/>
      <c r="G901" s="794"/>
      <c r="H901" s="794"/>
      <c r="I901" s="794"/>
      <c r="J901" s="794"/>
      <c r="K901" s="794"/>
      <c r="L901" s="794"/>
      <c r="M901" s="794"/>
      <c r="N901" s="794"/>
      <c r="O901" s="794"/>
      <c r="P901" s="794"/>
      <c r="Q901" s="794"/>
      <c r="R901" s="794"/>
      <c r="S901" s="794"/>
      <c r="T901" s="794"/>
      <c r="U901" s="794"/>
      <c r="V901" s="794"/>
    </row>
    <row r="902" spans="1:22" ht="14.5">
      <c r="A902" s="794"/>
      <c r="B902" s="799"/>
      <c r="C902" s="794"/>
      <c r="D902" s="794"/>
      <c r="E902" s="794"/>
      <c r="F902" s="794"/>
      <c r="G902" s="794"/>
      <c r="H902" s="794"/>
      <c r="I902" s="794"/>
      <c r="J902" s="794"/>
      <c r="K902" s="794"/>
      <c r="L902" s="794"/>
      <c r="M902" s="794"/>
      <c r="N902" s="794"/>
      <c r="O902" s="794"/>
      <c r="P902" s="794"/>
      <c r="Q902" s="794"/>
      <c r="R902" s="794"/>
      <c r="S902" s="794"/>
      <c r="T902" s="794"/>
      <c r="U902" s="794"/>
      <c r="V902" s="794"/>
    </row>
    <row r="903" spans="1:22" ht="14.5">
      <c r="A903" s="794"/>
      <c r="B903" s="799"/>
      <c r="C903" s="794"/>
      <c r="D903" s="794"/>
      <c r="E903" s="794"/>
      <c r="F903" s="794"/>
      <c r="G903" s="794"/>
      <c r="H903" s="794"/>
      <c r="I903" s="794"/>
      <c r="J903" s="794"/>
      <c r="K903" s="794"/>
      <c r="L903" s="794"/>
      <c r="M903" s="794"/>
      <c r="N903" s="794"/>
      <c r="O903" s="794"/>
      <c r="P903" s="794"/>
      <c r="Q903" s="794"/>
      <c r="R903" s="794"/>
      <c r="S903" s="794"/>
      <c r="T903" s="794"/>
      <c r="U903" s="794"/>
      <c r="V903" s="794"/>
    </row>
    <row r="904" spans="1:22" ht="14.5">
      <c r="A904" s="794"/>
      <c r="B904" s="799"/>
      <c r="C904" s="794"/>
      <c r="D904" s="794"/>
      <c r="E904" s="794"/>
      <c r="F904" s="794"/>
      <c r="G904" s="794"/>
      <c r="H904" s="794"/>
      <c r="I904" s="794"/>
      <c r="J904" s="794"/>
      <c r="K904" s="794"/>
      <c r="L904" s="794"/>
      <c r="M904" s="794"/>
      <c r="N904" s="794"/>
      <c r="O904" s="794"/>
      <c r="P904" s="794"/>
      <c r="Q904" s="794"/>
      <c r="R904" s="794"/>
      <c r="S904" s="794"/>
      <c r="T904" s="794"/>
      <c r="U904" s="794"/>
      <c r="V904" s="794"/>
    </row>
    <row r="905" spans="1:22" ht="14.5">
      <c r="A905" s="794"/>
      <c r="B905" s="799"/>
      <c r="C905" s="794"/>
      <c r="D905" s="794"/>
      <c r="E905" s="794"/>
      <c r="F905" s="794"/>
      <c r="G905" s="794"/>
      <c r="H905" s="794"/>
      <c r="I905" s="794"/>
      <c r="J905" s="794"/>
      <c r="K905" s="794"/>
      <c r="L905" s="794"/>
      <c r="M905" s="794"/>
      <c r="N905" s="794"/>
      <c r="O905" s="794"/>
      <c r="P905" s="794"/>
      <c r="Q905" s="794"/>
      <c r="R905" s="794"/>
      <c r="S905" s="794"/>
      <c r="T905" s="794"/>
      <c r="U905" s="794"/>
      <c r="V905" s="794"/>
    </row>
    <row r="906" spans="1:22" ht="14.5">
      <c r="A906" s="794"/>
      <c r="B906" s="799"/>
      <c r="C906" s="794"/>
      <c r="D906" s="794"/>
      <c r="E906" s="794"/>
      <c r="F906" s="794"/>
      <c r="G906" s="794"/>
      <c r="H906" s="794"/>
      <c r="I906" s="794"/>
      <c r="J906" s="794"/>
      <c r="K906" s="794"/>
      <c r="L906" s="794"/>
      <c r="M906" s="794"/>
      <c r="N906" s="794"/>
      <c r="O906" s="794"/>
      <c r="P906" s="794"/>
      <c r="Q906" s="794"/>
      <c r="R906" s="794"/>
      <c r="S906" s="794"/>
      <c r="T906" s="794"/>
      <c r="U906" s="794"/>
      <c r="V906" s="794"/>
    </row>
    <row r="907" spans="1:22" ht="14.5">
      <c r="A907" s="794"/>
      <c r="B907" s="799"/>
      <c r="C907" s="794"/>
      <c r="D907" s="794"/>
      <c r="E907" s="794"/>
      <c r="F907" s="794"/>
      <c r="G907" s="794"/>
      <c r="H907" s="794"/>
      <c r="I907" s="794"/>
      <c r="J907" s="794"/>
      <c r="K907" s="794"/>
      <c r="L907" s="794"/>
      <c r="M907" s="794"/>
      <c r="N907" s="794"/>
      <c r="O907" s="794"/>
      <c r="P907" s="794"/>
      <c r="Q907" s="794"/>
      <c r="R907" s="794"/>
      <c r="S907" s="794"/>
      <c r="T907" s="794"/>
      <c r="U907" s="794"/>
      <c r="V907" s="794"/>
    </row>
    <row r="908" spans="1:22" ht="14.5">
      <c r="A908" s="794"/>
      <c r="B908" s="799"/>
      <c r="C908" s="794"/>
      <c r="D908" s="794"/>
      <c r="E908" s="794"/>
      <c r="F908" s="794"/>
      <c r="G908" s="794"/>
      <c r="H908" s="794"/>
      <c r="I908" s="794"/>
      <c r="J908" s="794"/>
      <c r="K908" s="794"/>
      <c r="L908" s="794"/>
      <c r="M908" s="794"/>
      <c r="N908" s="794"/>
      <c r="O908" s="794"/>
      <c r="P908" s="794"/>
      <c r="Q908" s="794"/>
      <c r="R908" s="794"/>
      <c r="S908" s="794"/>
      <c r="T908" s="794"/>
      <c r="U908" s="794"/>
      <c r="V908" s="794"/>
    </row>
    <row r="909" spans="1:22" ht="14.5">
      <c r="A909" s="794"/>
      <c r="B909" s="799"/>
      <c r="C909" s="794"/>
      <c r="D909" s="794"/>
      <c r="E909" s="794"/>
      <c r="F909" s="794"/>
      <c r="G909" s="794"/>
      <c r="H909" s="794"/>
      <c r="I909" s="794"/>
      <c r="J909" s="794"/>
      <c r="K909" s="794"/>
      <c r="L909" s="794"/>
      <c r="M909" s="794"/>
      <c r="N909" s="794"/>
      <c r="O909" s="794"/>
      <c r="P909" s="794"/>
      <c r="Q909" s="794"/>
      <c r="R909" s="794"/>
      <c r="S909" s="794"/>
      <c r="T909" s="794"/>
      <c r="U909" s="794"/>
      <c r="V909" s="794"/>
    </row>
    <row r="910" spans="1:22" ht="14.5">
      <c r="A910" s="794"/>
      <c r="B910" s="799"/>
      <c r="C910" s="794"/>
      <c r="D910" s="794"/>
      <c r="E910" s="794"/>
      <c r="F910" s="794"/>
      <c r="G910" s="794"/>
      <c r="H910" s="794"/>
      <c r="I910" s="794"/>
      <c r="J910" s="794"/>
      <c r="K910" s="794"/>
      <c r="L910" s="794"/>
      <c r="M910" s="794"/>
      <c r="N910" s="794"/>
      <c r="O910" s="794"/>
      <c r="P910" s="794"/>
      <c r="Q910" s="794"/>
      <c r="R910" s="794"/>
      <c r="S910" s="794"/>
      <c r="T910" s="794"/>
      <c r="U910" s="794"/>
      <c r="V910" s="794"/>
    </row>
    <row r="911" spans="1:22" ht="14.5">
      <c r="A911" s="794"/>
      <c r="B911" s="799"/>
      <c r="C911" s="794"/>
      <c r="D911" s="794"/>
      <c r="E911" s="794"/>
      <c r="F911" s="794"/>
      <c r="G911" s="794"/>
      <c r="H911" s="794"/>
      <c r="I911" s="794"/>
      <c r="J911" s="794"/>
      <c r="K911" s="794"/>
      <c r="L911" s="794"/>
      <c r="M911" s="794"/>
      <c r="N911" s="794"/>
      <c r="O911" s="794"/>
      <c r="P911" s="794"/>
      <c r="Q911" s="794"/>
      <c r="R911" s="794"/>
      <c r="S911" s="794"/>
      <c r="T911" s="794"/>
      <c r="U911" s="794"/>
      <c r="V911" s="794"/>
    </row>
    <row r="912" spans="1:22" ht="14.5">
      <c r="A912" s="794"/>
      <c r="B912" s="799"/>
      <c r="C912" s="794"/>
      <c r="D912" s="794"/>
      <c r="E912" s="794"/>
      <c r="F912" s="794"/>
      <c r="G912" s="794"/>
      <c r="H912" s="794"/>
      <c r="I912" s="794"/>
      <c r="J912" s="794"/>
      <c r="K912" s="794"/>
      <c r="L912" s="794"/>
      <c r="M912" s="794"/>
      <c r="N912" s="794"/>
      <c r="O912" s="794"/>
      <c r="P912" s="794"/>
      <c r="Q912" s="794"/>
      <c r="R912" s="794"/>
      <c r="S912" s="794"/>
      <c r="T912" s="794"/>
      <c r="U912" s="794"/>
      <c r="V912" s="794"/>
    </row>
    <row r="913" spans="1:22" ht="14.5">
      <c r="A913" s="794"/>
      <c r="B913" s="799"/>
      <c r="C913" s="794"/>
      <c r="D913" s="794"/>
      <c r="E913" s="794"/>
      <c r="F913" s="794"/>
      <c r="G913" s="794"/>
      <c r="H913" s="794"/>
      <c r="I913" s="794"/>
      <c r="J913" s="794"/>
      <c r="K913" s="794"/>
      <c r="L913" s="794"/>
      <c r="M913" s="794"/>
      <c r="N913" s="794"/>
      <c r="O913" s="794"/>
      <c r="P913" s="794"/>
      <c r="Q913" s="794"/>
      <c r="R913" s="794"/>
      <c r="S913" s="794"/>
      <c r="T913" s="794"/>
      <c r="U913" s="794"/>
      <c r="V913" s="794"/>
    </row>
    <row r="914" spans="1:22" ht="14.5">
      <c r="A914" s="794"/>
      <c r="B914" s="799"/>
      <c r="C914" s="794"/>
      <c r="D914" s="794"/>
      <c r="E914" s="794"/>
      <c r="F914" s="794"/>
      <c r="G914" s="794"/>
      <c r="H914" s="794"/>
      <c r="I914" s="794"/>
      <c r="J914" s="794"/>
      <c r="K914" s="794"/>
      <c r="L914" s="794"/>
      <c r="M914" s="794"/>
      <c r="N914" s="794"/>
      <c r="O914" s="794"/>
      <c r="P914" s="794"/>
      <c r="Q914" s="794"/>
      <c r="R914" s="794"/>
      <c r="S914" s="794"/>
      <c r="T914" s="794"/>
      <c r="U914" s="794"/>
      <c r="V914" s="794"/>
    </row>
    <row r="915" spans="1:22" ht="14.5">
      <c r="A915" s="794"/>
      <c r="B915" s="799"/>
      <c r="C915" s="794"/>
      <c r="D915" s="794"/>
      <c r="E915" s="794"/>
      <c r="F915" s="794"/>
      <c r="G915" s="794"/>
      <c r="H915" s="794"/>
      <c r="I915" s="794"/>
      <c r="J915" s="794"/>
      <c r="K915" s="794"/>
      <c r="L915" s="794"/>
      <c r="M915" s="794"/>
      <c r="N915" s="794"/>
      <c r="O915" s="794"/>
      <c r="P915" s="794"/>
      <c r="Q915" s="794"/>
      <c r="R915" s="794"/>
      <c r="S915" s="794"/>
      <c r="T915" s="794"/>
      <c r="U915" s="794"/>
      <c r="V915" s="794"/>
    </row>
    <row r="916" spans="1:22" ht="14.5">
      <c r="A916" s="794"/>
      <c r="B916" s="799"/>
      <c r="C916" s="794"/>
      <c r="D916" s="794"/>
      <c r="E916" s="794"/>
      <c r="F916" s="794"/>
      <c r="G916" s="794"/>
      <c r="H916" s="794"/>
      <c r="I916" s="794"/>
      <c r="J916" s="794"/>
      <c r="K916" s="794"/>
      <c r="L916" s="794"/>
      <c r="M916" s="794"/>
      <c r="N916" s="794"/>
      <c r="O916" s="794"/>
      <c r="P916" s="794"/>
      <c r="Q916" s="794"/>
      <c r="R916" s="794"/>
      <c r="S916" s="794"/>
      <c r="T916" s="794"/>
      <c r="U916" s="794"/>
      <c r="V916" s="794"/>
    </row>
    <row r="917" spans="1:22" ht="14.5">
      <c r="A917" s="794"/>
      <c r="B917" s="799"/>
      <c r="C917" s="794"/>
      <c r="D917" s="794"/>
      <c r="E917" s="794"/>
      <c r="F917" s="794"/>
      <c r="G917" s="794"/>
      <c r="H917" s="794"/>
      <c r="I917" s="794"/>
      <c r="J917" s="794"/>
      <c r="K917" s="794"/>
      <c r="L917" s="794"/>
      <c r="M917" s="794"/>
      <c r="N917" s="794"/>
      <c r="O917" s="794"/>
      <c r="P917" s="794"/>
      <c r="Q917" s="794"/>
      <c r="R917" s="794"/>
      <c r="S917" s="794"/>
      <c r="T917" s="794"/>
      <c r="U917" s="794"/>
      <c r="V917" s="794"/>
    </row>
    <row r="918" spans="1:22" ht="14.5">
      <c r="A918" s="794"/>
      <c r="B918" s="799"/>
      <c r="C918" s="794"/>
      <c r="D918" s="794"/>
      <c r="E918" s="794"/>
      <c r="F918" s="794"/>
      <c r="G918" s="794"/>
      <c r="H918" s="794"/>
      <c r="I918" s="794"/>
      <c r="J918" s="794"/>
      <c r="K918" s="794"/>
      <c r="L918" s="794"/>
      <c r="M918" s="794"/>
      <c r="N918" s="794"/>
      <c r="O918" s="794"/>
      <c r="P918" s="794"/>
      <c r="Q918" s="794"/>
      <c r="R918" s="794"/>
      <c r="S918" s="794"/>
      <c r="T918" s="794"/>
      <c r="U918" s="794"/>
      <c r="V918" s="794"/>
    </row>
    <row r="919" spans="1:22" ht="14.5">
      <c r="A919" s="794"/>
      <c r="B919" s="799"/>
      <c r="C919" s="794"/>
      <c r="D919" s="794"/>
      <c r="E919" s="794"/>
      <c r="F919" s="794"/>
      <c r="G919" s="794"/>
      <c r="H919" s="794"/>
      <c r="I919" s="794"/>
      <c r="J919" s="794"/>
      <c r="K919" s="794"/>
      <c r="L919" s="794"/>
      <c r="M919" s="794"/>
      <c r="N919" s="794"/>
      <c r="O919" s="794"/>
      <c r="P919" s="794"/>
      <c r="Q919" s="794"/>
      <c r="R919" s="794"/>
      <c r="S919" s="794"/>
      <c r="T919" s="794"/>
      <c r="U919" s="794"/>
      <c r="V919" s="794"/>
    </row>
    <row r="920" spans="1:22" ht="14.5">
      <c r="A920" s="794"/>
      <c r="B920" s="799"/>
      <c r="C920" s="794"/>
      <c r="D920" s="794"/>
      <c r="E920" s="794"/>
      <c r="F920" s="794"/>
      <c r="G920" s="794"/>
      <c r="H920" s="794"/>
      <c r="I920" s="794"/>
      <c r="J920" s="794"/>
      <c r="K920" s="794"/>
      <c r="L920" s="794"/>
      <c r="M920" s="794"/>
      <c r="N920" s="794"/>
      <c r="O920" s="794"/>
      <c r="P920" s="794"/>
      <c r="Q920" s="794"/>
      <c r="R920" s="794"/>
      <c r="S920" s="794"/>
      <c r="T920" s="794"/>
      <c r="U920" s="794"/>
      <c r="V920" s="794"/>
    </row>
    <row r="921" spans="1:22" ht="14.5">
      <c r="A921" s="794"/>
      <c r="B921" s="799"/>
      <c r="C921" s="794"/>
      <c r="D921" s="794"/>
      <c r="E921" s="794"/>
      <c r="F921" s="794"/>
      <c r="G921" s="794"/>
      <c r="H921" s="794"/>
      <c r="I921" s="794"/>
      <c r="J921" s="794"/>
      <c r="K921" s="794"/>
      <c r="L921" s="794"/>
      <c r="M921" s="794"/>
      <c r="N921" s="794"/>
      <c r="O921" s="794"/>
      <c r="P921" s="794"/>
      <c r="Q921" s="794"/>
      <c r="R921" s="794"/>
      <c r="S921" s="794"/>
      <c r="T921" s="794"/>
      <c r="U921" s="794"/>
      <c r="V921" s="794"/>
    </row>
    <row r="922" spans="1:22" ht="14.5">
      <c r="A922" s="794"/>
      <c r="B922" s="799"/>
      <c r="C922" s="794"/>
      <c r="D922" s="794"/>
      <c r="E922" s="794"/>
      <c r="F922" s="794"/>
      <c r="G922" s="794"/>
      <c r="H922" s="794"/>
      <c r="I922" s="794"/>
      <c r="J922" s="794"/>
      <c r="K922" s="794"/>
      <c r="L922" s="794"/>
      <c r="M922" s="794"/>
      <c r="N922" s="794"/>
      <c r="O922" s="794"/>
      <c r="P922" s="794"/>
      <c r="Q922" s="794"/>
      <c r="R922" s="794"/>
      <c r="S922" s="794"/>
      <c r="T922" s="794"/>
      <c r="U922" s="794"/>
      <c r="V922" s="794"/>
    </row>
    <row r="923" spans="1:22" ht="14.5">
      <c r="A923" s="794"/>
      <c r="B923" s="799"/>
      <c r="C923" s="794"/>
      <c r="D923" s="794"/>
      <c r="E923" s="794"/>
      <c r="F923" s="794"/>
      <c r="G923" s="794"/>
      <c r="H923" s="794"/>
      <c r="I923" s="794"/>
      <c r="J923" s="794"/>
      <c r="K923" s="794"/>
      <c r="L923" s="794"/>
      <c r="M923" s="794"/>
      <c r="N923" s="794"/>
      <c r="O923" s="794"/>
      <c r="P923" s="794"/>
      <c r="Q923" s="794"/>
      <c r="R923" s="794"/>
      <c r="S923" s="794"/>
      <c r="T923" s="794"/>
      <c r="U923" s="794"/>
      <c r="V923" s="794"/>
    </row>
    <row r="924" spans="1:22" ht="14.5">
      <c r="A924" s="794"/>
      <c r="B924" s="799"/>
      <c r="C924" s="794"/>
      <c r="D924" s="794"/>
      <c r="E924" s="794"/>
      <c r="F924" s="794"/>
      <c r="G924" s="794"/>
      <c r="H924" s="794"/>
      <c r="I924" s="794"/>
      <c r="J924" s="794"/>
      <c r="K924" s="794"/>
      <c r="L924" s="794"/>
      <c r="M924" s="794"/>
      <c r="N924" s="794"/>
      <c r="O924" s="794"/>
      <c r="P924" s="794"/>
      <c r="Q924" s="794"/>
      <c r="R924" s="794"/>
      <c r="S924" s="794"/>
      <c r="T924" s="794"/>
      <c r="U924" s="794"/>
      <c r="V924" s="794"/>
    </row>
    <row r="925" spans="1:22" ht="14.5">
      <c r="A925" s="794"/>
      <c r="B925" s="799"/>
      <c r="C925" s="794"/>
      <c r="D925" s="794"/>
      <c r="E925" s="794"/>
      <c r="F925" s="794"/>
      <c r="G925" s="794"/>
      <c r="H925" s="794"/>
      <c r="I925" s="794"/>
      <c r="J925" s="794"/>
      <c r="K925" s="794"/>
      <c r="L925" s="794"/>
      <c r="M925" s="794"/>
      <c r="N925" s="794"/>
      <c r="O925" s="794"/>
      <c r="P925" s="794"/>
      <c r="Q925" s="794"/>
      <c r="R925" s="794"/>
      <c r="S925" s="794"/>
      <c r="T925" s="794"/>
      <c r="U925" s="794"/>
      <c r="V925" s="794"/>
    </row>
    <row r="926" spans="1:22" ht="14.5">
      <c r="A926" s="794"/>
      <c r="B926" s="799"/>
      <c r="C926" s="794"/>
      <c r="D926" s="794"/>
      <c r="E926" s="794"/>
      <c r="F926" s="794"/>
      <c r="G926" s="794"/>
      <c r="H926" s="794"/>
      <c r="I926" s="794"/>
      <c r="J926" s="794"/>
      <c r="K926" s="794"/>
      <c r="L926" s="794"/>
      <c r="M926" s="794"/>
      <c r="N926" s="794"/>
      <c r="O926" s="794"/>
      <c r="P926" s="794"/>
      <c r="Q926" s="794"/>
      <c r="R926" s="794"/>
      <c r="S926" s="794"/>
      <c r="T926" s="794"/>
      <c r="U926" s="794"/>
      <c r="V926" s="794"/>
    </row>
    <row r="927" spans="1:22" ht="14.5">
      <c r="A927" s="794"/>
      <c r="B927" s="799"/>
      <c r="C927" s="794"/>
      <c r="D927" s="794"/>
      <c r="E927" s="794"/>
      <c r="F927" s="794"/>
      <c r="G927" s="794"/>
      <c r="H927" s="794"/>
      <c r="I927" s="794"/>
      <c r="J927" s="794"/>
      <c r="K927" s="794"/>
      <c r="L927" s="794"/>
      <c r="M927" s="794"/>
      <c r="N927" s="794"/>
      <c r="O927" s="794"/>
      <c r="P927" s="794"/>
      <c r="Q927" s="794"/>
      <c r="R927" s="794"/>
      <c r="S927" s="794"/>
      <c r="T927" s="794"/>
      <c r="U927" s="794"/>
      <c r="V927" s="794"/>
    </row>
    <row r="928" spans="1:22" ht="14.5">
      <c r="A928" s="794"/>
      <c r="B928" s="799"/>
      <c r="C928" s="794"/>
      <c r="D928" s="794"/>
      <c r="E928" s="794"/>
      <c r="F928" s="794"/>
      <c r="G928" s="794"/>
      <c r="H928" s="794"/>
      <c r="I928" s="794"/>
      <c r="J928" s="794"/>
      <c r="K928" s="794"/>
      <c r="L928" s="794"/>
      <c r="M928" s="794"/>
      <c r="N928" s="794"/>
      <c r="O928" s="794"/>
      <c r="P928" s="794"/>
      <c r="Q928" s="794"/>
      <c r="R928" s="794"/>
      <c r="S928" s="794"/>
      <c r="T928" s="794"/>
      <c r="U928" s="794"/>
      <c r="V928" s="794"/>
    </row>
    <row r="929" spans="1:22" ht="14.5">
      <c r="A929" s="794"/>
      <c r="B929" s="799"/>
      <c r="C929" s="794"/>
      <c r="D929" s="794"/>
      <c r="E929" s="794"/>
      <c r="F929" s="794"/>
      <c r="G929" s="794"/>
      <c r="H929" s="794"/>
      <c r="I929" s="794"/>
      <c r="J929" s="794"/>
      <c r="K929" s="794"/>
      <c r="L929" s="794"/>
      <c r="M929" s="794"/>
      <c r="N929" s="794"/>
      <c r="O929" s="794"/>
      <c r="P929" s="794"/>
      <c r="Q929" s="794"/>
      <c r="R929" s="794"/>
      <c r="S929" s="794"/>
      <c r="T929" s="794"/>
      <c r="U929" s="794"/>
      <c r="V929" s="794"/>
    </row>
    <row r="930" spans="1:22" ht="14.5">
      <c r="A930" s="794"/>
      <c r="B930" s="799"/>
      <c r="C930" s="794"/>
      <c r="D930" s="794"/>
      <c r="E930" s="794"/>
      <c r="F930" s="794"/>
      <c r="G930" s="794"/>
      <c r="H930" s="794"/>
      <c r="I930" s="794"/>
      <c r="J930" s="794"/>
      <c r="K930" s="794"/>
      <c r="L930" s="794"/>
      <c r="M930" s="794"/>
      <c r="N930" s="794"/>
      <c r="O930" s="794"/>
      <c r="P930" s="794"/>
      <c r="Q930" s="794"/>
      <c r="R930" s="794"/>
      <c r="S930" s="794"/>
      <c r="T930" s="794"/>
      <c r="U930" s="794"/>
      <c r="V930" s="794"/>
    </row>
    <row r="931" spans="1:22" ht="14.5">
      <c r="A931" s="794"/>
      <c r="B931" s="799"/>
      <c r="C931" s="794"/>
      <c r="D931" s="794"/>
      <c r="E931" s="794"/>
      <c r="F931" s="794"/>
      <c r="G931" s="794"/>
      <c r="H931" s="794"/>
      <c r="I931" s="794"/>
      <c r="J931" s="794"/>
      <c r="K931" s="794"/>
      <c r="L931" s="794"/>
      <c r="M931" s="794"/>
      <c r="N931" s="794"/>
      <c r="O931" s="794"/>
      <c r="P931" s="794"/>
      <c r="Q931" s="794"/>
      <c r="R931" s="794"/>
      <c r="S931" s="794"/>
      <c r="T931" s="794"/>
      <c r="U931" s="794"/>
      <c r="V931" s="794"/>
    </row>
    <row r="932" spans="1:22" ht="14.5">
      <c r="A932" s="794"/>
      <c r="B932" s="799"/>
      <c r="C932" s="794"/>
      <c r="D932" s="794"/>
      <c r="E932" s="794"/>
      <c r="F932" s="794"/>
      <c r="G932" s="794"/>
      <c r="H932" s="794"/>
      <c r="I932" s="794"/>
      <c r="J932" s="794"/>
      <c r="K932" s="794"/>
      <c r="L932" s="794"/>
      <c r="M932" s="794"/>
      <c r="N932" s="794"/>
      <c r="O932" s="794"/>
      <c r="P932" s="794"/>
      <c r="Q932" s="794"/>
      <c r="R932" s="794"/>
      <c r="S932" s="794"/>
      <c r="T932" s="794"/>
      <c r="U932" s="794"/>
      <c r="V932" s="794"/>
    </row>
    <row r="933" spans="1:22" ht="14.5">
      <c r="A933" s="794"/>
      <c r="B933" s="799"/>
      <c r="C933" s="794"/>
      <c r="D933" s="794"/>
      <c r="E933" s="794"/>
      <c r="F933" s="794"/>
      <c r="G933" s="794"/>
      <c r="H933" s="794"/>
      <c r="I933" s="794"/>
      <c r="J933" s="794"/>
      <c r="K933" s="794"/>
      <c r="L933" s="794"/>
      <c r="M933" s="794"/>
      <c r="N933" s="794"/>
      <c r="O933" s="794"/>
      <c r="P933" s="794"/>
      <c r="Q933" s="794"/>
      <c r="R933" s="794"/>
      <c r="S933" s="794"/>
      <c r="T933" s="794"/>
      <c r="U933" s="794"/>
      <c r="V933" s="794"/>
    </row>
    <row r="934" spans="1:22" ht="14.5">
      <c r="A934" s="794"/>
      <c r="B934" s="799"/>
      <c r="C934" s="794"/>
      <c r="D934" s="794"/>
      <c r="E934" s="794"/>
      <c r="F934" s="794"/>
      <c r="G934" s="794"/>
      <c r="H934" s="794"/>
      <c r="I934" s="794"/>
      <c r="J934" s="794"/>
      <c r="K934" s="794"/>
      <c r="L934" s="794"/>
      <c r="M934" s="794"/>
      <c r="N934" s="794"/>
      <c r="O934" s="794"/>
      <c r="P934" s="794"/>
      <c r="Q934" s="794"/>
      <c r="R934" s="794"/>
      <c r="S934" s="794"/>
      <c r="T934" s="794"/>
      <c r="U934" s="794"/>
      <c r="V934" s="794"/>
    </row>
    <row r="935" spans="1:22" ht="14.5">
      <c r="A935" s="794"/>
      <c r="B935" s="799"/>
      <c r="C935" s="794"/>
      <c r="D935" s="794"/>
      <c r="E935" s="794"/>
      <c r="F935" s="794"/>
      <c r="G935" s="794"/>
      <c r="H935" s="794"/>
      <c r="I935" s="794"/>
      <c r="J935" s="794"/>
      <c r="K935" s="794"/>
      <c r="L935" s="794"/>
      <c r="M935" s="794"/>
      <c r="N935" s="794"/>
      <c r="O935" s="794"/>
      <c r="P935" s="794"/>
      <c r="Q935" s="794"/>
      <c r="R935" s="794"/>
      <c r="S935" s="794"/>
      <c r="T935" s="794"/>
      <c r="U935" s="794"/>
      <c r="V935" s="794"/>
    </row>
    <row r="936" spans="1:22" ht="14.5">
      <c r="A936" s="794"/>
      <c r="B936" s="799"/>
      <c r="C936" s="794"/>
      <c r="D936" s="794"/>
      <c r="E936" s="794"/>
      <c r="F936" s="794"/>
      <c r="G936" s="794"/>
      <c r="H936" s="794"/>
      <c r="I936" s="794"/>
      <c r="J936" s="794"/>
      <c r="K936" s="794"/>
      <c r="L936" s="794"/>
      <c r="M936" s="794"/>
      <c r="N936" s="794"/>
      <c r="O936" s="794"/>
      <c r="P936" s="794"/>
      <c r="Q936" s="794"/>
      <c r="R936" s="794"/>
      <c r="S936" s="794"/>
      <c r="T936" s="794"/>
      <c r="U936" s="794"/>
      <c r="V936" s="794"/>
    </row>
    <row r="937" spans="1:22" ht="14.5">
      <c r="A937" s="794"/>
      <c r="B937" s="799"/>
      <c r="C937" s="794"/>
      <c r="D937" s="794"/>
      <c r="E937" s="794"/>
      <c r="F937" s="794"/>
      <c r="G937" s="794"/>
      <c r="H937" s="794"/>
      <c r="I937" s="794"/>
      <c r="J937" s="794"/>
      <c r="K937" s="794"/>
      <c r="L937" s="794"/>
      <c r="M937" s="794"/>
      <c r="N937" s="794"/>
      <c r="O937" s="794"/>
      <c r="P937" s="794"/>
      <c r="Q937" s="794"/>
      <c r="R937" s="794"/>
      <c r="S937" s="794"/>
      <c r="T937" s="794"/>
      <c r="U937" s="794"/>
      <c r="V937" s="794"/>
    </row>
    <row r="938" spans="1:22" ht="14.5">
      <c r="A938" s="794"/>
      <c r="B938" s="799"/>
      <c r="C938" s="794"/>
      <c r="D938" s="794"/>
      <c r="E938" s="794"/>
      <c r="F938" s="794"/>
      <c r="G938" s="794"/>
      <c r="H938" s="794"/>
      <c r="I938" s="794"/>
      <c r="J938" s="794"/>
      <c r="K938" s="794"/>
      <c r="L938" s="794"/>
      <c r="M938" s="794"/>
      <c r="N938" s="794"/>
      <c r="O938" s="794"/>
      <c r="P938" s="794"/>
      <c r="Q938" s="794"/>
      <c r="R938" s="794"/>
      <c r="S938" s="794"/>
      <c r="T938" s="794"/>
      <c r="U938" s="794"/>
      <c r="V938" s="794"/>
    </row>
    <row r="939" spans="1:22" ht="14.5">
      <c r="A939" s="794"/>
      <c r="B939" s="799"/>
      <c r="C939" s="794"/>
      <c r="D939" s="794"/>
      <c r="E939" s="794"/>
      <c r="F939" s="794"/>
      <c r="G939" s="794"/>
      <c r="H939" s="794"/>
      <c r="I939" s="794"/>
      <c r="J939" s="794"/>
      <c r="K939" s="794"/>
      <c r="L939" s="794"/>
      <c r="M939" s="794"/>
      <c r="N939" s="794"/>
      <c r="O939" s="794"/>
      <c r="P939" s="794"/>
      <c r="Q939" s="794"/>
      <c r="R939" s="794"/>
      <c r="S939" s="794"/>
      <c r="T939" s="794"/>
      <c r="U939" s="794"/>
      <c r="V939" s="794"/>
    </row>
    <row r="940" spans="1:22" ht="14.5">
      <c r="A940" s="794"/>
      <c r="B940" s="799"/>
      <c r="C940" s="794"/>
      <c r="D940" s="794"/>
      <c r="E940" s="794"/>
      <c r="F940" s="794"/>
      <c r="G940" s="794"/>
      <c r="H940" s="794"/>
      <c r="I940" s="794"/>
      <c r="J940" s="794"/>
      <c r="K940" s="794"/>
      <c r="L940" s="794"/>
      <c r="M940" s="794"/>
      <c r="N940" s="794"/>
      <c r="O940" s="794"/>
      <c r="P940" s="794"/>
      <c r="Q940" s="794"/>
      <c r="R940" s="794"/>
      <c r="S940" s="794"/>
      <c r="T940" s="794"/>
      <c r="U940" s="794"/>
      <c r="V940" s="794"/>
    </row>
    <row r="941" spans="1:22" ht="14.5">
      <c r="A941" s="794"/>
      <c r="B941" s="799"/>
      <c r="C941" s="794"/>
      <c r="D941" s="794"/>
      <c r="E941" s="794"/>
      <c r="F941" s="794"/>
      <c r="G941" s="794"/>
      <c r="H941" s="794"/>
      <c r="I941" s="794"/>
      <c r="J941" s="794"/>
      <c r="K941" s="794"/>
      <c r="L941" s="794"/>
      <c r="M941" s="794"/>
      <c r="N941" s="794"/>
      <c r="O941" s="794"/>
      <c r="P941" s="794"/>
      <c r="Q941" s="794"/>
      <c r="R941" s="794"/>
      <c r="S941" s="794"/>
      <c r="T941" s="794"/>
      <c r="U941" s="794"/>
      <c r="V941" s="794"/>
    </row>
    <row r="942" spans="1:22" ht="14.5">
      <c r="A942" s="794"/>
      <c r="B942" s="799"/>
      <c r="C942" s="794"/>
      <c r="D942" s="794"/>
      <c r="E942" s="794"/>
      <c r="F942" s="794"/>
      <c r="G942" s="794"/>
      <c r="H942" s="794"/>
      <c r="I942" s="794"/>
      <c r="J942" s="794"/>
      <c r="K942" s="794"/>
      <c r="L942" s="794"/>
      <c r="M942" s="794"/>
      <c r="N942" s="794"/>
      <c r="O942" s="794"/>
      <c r="P942" s="794"/>
      <c r="Q942" s="794"/>
      <c r="R942" s="794"/>
      <c r="S942" s="794"/>
      <c r="T942" s="794"/>
      <c r="U942" s="794"/>
      <c r="V942" s="794"/>
    </row>
    <row r="943" spans="1:22" ht="14.5">
      <c r="A943" s="794"/>
      <c r="B943" s="799"/>
      <c r="C943" s="794"/>
      <c r="D943" s="794"/>
      <c r="E943" s="794"/>
      <c r="F943" s="794"/>
      <c r="G943" s="794"/>
      <c r="H943" s="794"/>
      <c r="I943" s="794"/>
      <c r="J943" s="794"/>
      <c r="K943" s="794"/>
      <c r="L943" s="794"/>
      <c r="M943" s="794"/>
      <c r="N943" s="794"/>
      <c r="O943" s="794"/>
      <c r="P943" s="794"/>
      <c r="Q943" s="794"/>
      <c r="R943" s="794"/>
      <c r="S943" s="794"/>
      <c r="T943" s="794"/>
      <c r="U943" s="794"/>
      <c r="V943" s="794"/>
    </row>
    <row r="944" spans="1:22" ht="14.5">
      <c r="A944" s="794"/>
      <c r="B944" s="799"/>
      <c r="C944" s="794"/>
      <c r="D944" s="794"/>
      <c r="E944" s="794"/>
      <c r="F944" s="794"/>
      <c r="G944" s="794"/>
      <c r="H944" s="794"/>
      <c r="I944" s="794"/>
      <c r="J944" s="794"/>
      <c r="K944" s="794"/>
      <c r="L944" s="794"/>
      <c r="M944" s="794"/>
      <c r="N944" s="794"/>
      <c r="O944" s="794"/>
      <c r="P944" s="794"/>
      <c r="Q944" s="794"/>
      <c r="R944" s="794"/>
      <c r="S944" s="794"/>
      <c r="T944" s="794"/>
      <c r="U944" s="794"/>
      <c r="V944" s="794"/>
    </row>
    <row r="945" spans="1:22" ht="14.5">
      <c r="A945" s="794"/>
      <c r="B945" s="799"/>
      <c r="C945" s="794"/>
      <c r="D945" s="794"/>
      <c r="E945" s="794"/>
      <c r="F945" s="794"/>
      <c r="G945" s="794"/>
      <c r="H945" s="794"/>
      <c r="I945" s="794"/>
      <c r="J945" s="794"/>
      <c r="K945" s="794"/>
      <c r="L945" s="794"/>
      <c r="M945" s="794"/>
      <c r="N945" s="794"/>
      <c r="O945" s="794"/>
      <c r="P945" s="794"/>
      <c r="Q945" s="794"/>
      <c r="R945" s="794"/>
      <c r="S945" s="794"/>
      <c r="T945" s="794"/>
      <c r="U945" s="794"/>
      <c r="V945" s="794"/>
    </row>
    <row r="946" spans="1:22" ht="14.5">
      <c r="A946" s="794"/>
      <c r="B946" s="799"/>
      <c r="C946" s="794"/>
      <c r="D946" s="794"/>
      <c r="E946" s="794"/>
      <c r="F946" s="794"/>
      <c r="G946" s="794"/>
      <c r="H946" s="794"/>
      <c r="I946" s="794"/>
      <c r="J946" s="794"/>
      <c r="K946" s="794"/>
      <c r="L946" s="794"/>
      <c r="M946" s="794"/>
      <c r="N946" s="794"/>
      <c r="O946" s="794"/>
      <c r="P946" s="794"/>
      <c r="Q946" s="794"/>
      <c r="R946" s="794"/>
      <c r="S946" s="794"/>
      <c r="T946" s="794"/>
      <c r="U946" s="794"/>
      <c r="V946" s="794"/>
    </row>
    <row r="947" spans="1:22" ht="14.5">
      <c r="A947" s="794"/>
      <c r="B947" s="799"/>
      <c r="C947" s="794"/>
      <c r="D947" s="794"/>
      <c r="E947" s="794"/>
      <c r="F947" s="794"/>
      <c r="G947" s="794"/>
      <c r="H947" s="794"/>
      <c r="I947" s="794"/>
      <c r="J947" s="794"/>
      <c r="K947" s="794"/>
      <c r="L947" s="794"/>
      <c r="M947" s="794"/>
      <c r="N947" s="794"/>
      <c r="O947" s="794"/>
      <c r="P947" s="794"/>
      <c r="Q947" s="794"/>
      <c r="R947" s="794"/>
      <c r="S947" s="794"/>
      <c r="T947" s="794"/>
      <c r="U947" s="794"/>
      <c r="V947" s="794"/>
    </row>
    <row r="948" spans="1:22" ht="14.5">
      <c r="A948" s="794"/>
      <c r="B948" s="799"/>
      <c r="C948" s="794"/>
      <c r="D948" s="794"/>
      <c r="E948" s="794"/>
      <c r="F948" s="794"/>
      <c r="G948" s="794"/>
      <c r="H948" s="794"/>
      <c r="I948" s="794"/>
      <c r="J948" s="794"/>
      <c r="K948" s="794"/>
      <c r="L948" s="794"/>
      <c r="M948" s="794"/>
      <c r="N948" s="794"/>
      <c r="O948" s="794"/>
      <c r="P948" s="794"/>
      <c r="Q948" s="794"/>
      <c r="R948" s="794"/>
      <c r="S948" s="794"/>
      <c r="T948" s="794"/>
      <c r="U948" s="794"/>
      <c r="V948" s="794"/>
    </row>
    <row r="949" spans="1:22" ht="14.5">
      <c r="A949" s="794"/>
      <c r="B949" s="799"/>
      <c r="C949" s="794"/>
      <c r="D949" s="794"/>
      <c r="E949" s="794"/>
      <c r="F949" s="794"/>
      <c r="G949" s="794"/>
      <c r="H949" s="794"/>
      <c r="I949" s="794"/>
      <c r="J949" s="794"/>
      <c r="K949" s="794"/>
      <c r="L949" s="794"/>
      <c r="M949" s="794"/>
      <c r="N949" s="794"/>
      <c r="O949" s="794"/>
      <c r="P949" s="794"/>
      <c r="Q949" s="794"/>
      <c r="R949" s="794"/>
      <c r="S949" s="794"/>
      <c r="T949" s="794"/>
      <c r="U949" s="794"/>
      <c r="V949" s="794"/>
    </row>
    <row r="950" spans="1:22" ht="14.5">
      <c r="A950" s="794"/>
      <c r="B950" s="799"/>
      <c r="C950" s="794"/>
      <c r="D950" s="794"/>
      <c r="E950" s="794"/>
      <c r="F950" s="794"/>
      <c r="G950" s="794"/>
      <c r="H950" s="794"/>
      <c r="I950" s="794"/>
      <c r="J950" s="794"/>
      <c r="K950" s="794"/>
      <c r="L950" s="794"/>
      <c r="M950" s="794"/>
      <c r="N950" s="794"/>
      <c r="O950" s="794"/>
      <c r="P950" s="794"/>
      <c r="Q950" s="794"/>
      <c r="R950" s="794"/>
      <c r="S950" s="794"/>
      <c r="T950" s="794"/>
      <c r="U950" s="794"/>
      <c r="V950" s="794"/>
    </row>
    <row r="951" spans="1:22" ht="14.5">
      <c r="A951" s="794"/>
      <c r="B951" s="799"/>
      <c r="C951" s="794"/>
      <c r="D951" s="794"/>
      <c r="E951" s="794"/>
      <c r="F951" s="794"/>
      <c r="G951" s="794"/>
      <c r="H951" s="794"/>
      <c r="I951" s="794"/>
      <c r="J951" s="794"/>
      <c r="K951" s="794"/>
      <c r="L951" s="794"/>
      <c r="M951" s="794"/>
      <c r="N951" s="794"/>
      <c r="O951" s="794"/>
      <c r="P951" s="794"/>
      <c r="Q951" s="794"/>
      <c r="R951" s="794"/>
      <c r="S951" s="794"/>
      <c r="T951" s="794"/>
      <c r="U951" s="794"/>
      <c r="V951" s="794"/>
    </row>
    <row r="952" spans="1:22" ht="14.5">
      <c r="A952" s="794"/>
      <c r="B952" s="799"/>
      <c r="C952" s="794"/>
      <c r="D952" s="794"/>
      <c r="E952" s="794"/>
      <c r="F952" s="794"/>
      <c r="G952" s="794"/>
      <c r="H952" s="794"/>
      <c r="I952" s="794"/>
      <c r="J952" s="794"/>
      <c r="K952" s="794"/>
      <c r="L952" s="794"/>
      <c r="M952" s="794"/>
      <c r="N952" s="794"/>
      <c r="O952" s="794"/>
      <c r="P952" s="794"/>
      <c r="Q952" s="794"/>
      <c r="R952" s="794"/>
      <c r="S952" s="794"/>
      <c r="T952" s="794"/>
      <c r="U952" s="794"/>
      <c r="V952" s="794"/>
    </row>
    <row r="953" spans="1:22" ht="14.5">
      <c r="A953" s="794"/>
      <c r="B953" s="799"/>
      <c r="C953" s="794"/>
      <c r="D953" s="794"/>
      <c r="E953" s="794"/>
      <c r="F953" s="794"/>
      <c r="G953" s="794"/>
      <c r="H953" s="794"/>
      <c r="I953" s="794"/>
      <c r="J953" s="794"/>
      <c r="K953" s="794"/>
      <c r="L953" s="794"/>
      <c r="M953" s="794"/>
      <c r="N953" s="794"/>
      <c r="O953" s="794"/>
      <c r="P953" s="794"/>
      <c r="Q953" s="794"/>
      <c r="R953" s="794"/>
      <c r="S953" s="794"/>
      <c r="T953" s="794"/>
      <c r="U953" s="794"/>
      <c r="V953" s="794"/>
    </row>
    <row r="954" spans="1:22" ht="14.5">
      <c r="A954" s="794"/>
      <c r="B954" s="799"/>
      <c r="C954" s="794"/>
      <c r="D954" s="794"/>
      <c r="E954" s="794"/>
      <c r="F954" s="794"/>
      <c r="G954" s="794"/>
      <c r="H954" s="794"/>
      <c r="I954" s="794"/>
      <c r="J954" s="794"/>
      <c r="K954" s="794"/>
      <c r="L954" s="794"/>
      <c r="M954" s="794"/>
      <c r="N954" s="794"/>
      <c r="O954" s="794"/>
      <c r="P954" s="794"/>
      <c r="Q954" s="794"/>
      <c r="R954" s="794"/>
      <c r="S954" s="794"/>
      <c r="T954" s="794"/>
      <c r="U954" s="794"/>
      <c r="V954" s="794"/>
    </row>
    <row r="955" spans="1:22" ht="14.5">
      <c r="A955" s="794"/>
      <c r="B955" s="799"/>
      <c r="C955" s="794"/>
      <c r="D955" s="794"/>
      <c r="E955" s="794"/>
      <c r="F955" s="794"/>
      <c r="G955" s="794"/>
      <c r="H955" s="794"/>
      <c r="I955" s="794"/>
      <c r="J955" s="794"/>
      <c r="K955" s="794"/>
      <c r="L955" s="794"/>
      <c r="M955" s="794"/>
      <c r="N955" s="794"/>
      <c r="O955" s="794"/>
      <c r="P955" s="794"/>
      <c r="Q955" s="794"/>
      <c r="R955" s="794"/>
      <c r="S955" s="794"/>
      <c r="T955" s="794"/>
      <c r="U955" s="794"/>
      <c r="V955" s="794"/>
    </row>
    <row r="956" spans="1:22" ht="14.5">
      <c r="A956" s="794"/>
      <c r="B956" s="799"/>
      <c r="C956" s="794"/>
      <c r="D956" s="794"/>
      <c r="E956" s="794"/>
      <c r="F956" s="794"/>
      <c r="G956" s="794"/>
      <c r="H956" s="794"/>
      <c r="I956" s="794"/>
      <c r="J956" s="794"/>
      <c r="K956" s="794"/>
      <c r="L956" s="794"/>
      <c r="M956" s="794"/>
      <c r="N956" s="794"/>
      <c r="O956" s="794"/>
      <c r="P956" s="794"/>
      <c r="Q956" s="794"/>
      <c r="R956" s="794"/>
      <c r="S956" s="794"/>
      <c r="T956" s="794"/>
      <c r="U956" s="794"/>
      <c r="V956" s="794"/>
    </row>
    <row r="957" spans="1:22" ht="14.5">
      <c r="A957" s="794"/>
      <c r="B957" s="799"/>
      <c r="C957" s="794"/>
      <c r="D957" s="794"/>
      <c r="E957" s="794"/>
      <c r="F957" s="794"/>
      <c r="G957" s="794"/>
      <c r="H957" s="794"/>
      <c r="I957" s="794"/>
      <c r="J957" s="794"/>
      <c r="K957" s="794"/>
      <c r="L957" s="794"/>
      <c r="M957" s="794"/>
      <c r="N957" s="794"/>
      <c r="O957" s="794"/>
      <c r="P957" s="794"/>
      <c r="Q957" s="794"/>
      <c r="R957" s="794"/>
      <c r="S957" s="794"/>
      <c r="T957" s="794"/>
      <c r="U957" s="794"/>
      <c r="V957" s="794"/>
    </row>
    <row r="958" spans="1:22" ht="14.5">
      <c r="A958" s="794"/>
      <c r="B958" s="799"/>
      <c r="C958" s="794"/>
      <c r="D958" s="794"/>
      <c r="E958" s="794"/>
      <c r="F958" s="794"/>
      <c r="G958" s="794"/>
      <c r="H958" s="794"/>
      <c r="I958" s="794"/>
      <c r="J958" s="794"/>
      <c r="K958" s="794"/>
      <c r="L958" s="794"/>
      <c r="M958" s="794"/>
      <c r="N958" s="794"/>
      <c r="O958" s="794"/>
      <c r="P958" s="794"/>
      <c r="Q958" s="794"/>
      <c r="R958" s="794"/>
      <c r="S958" s="794"/>
      <c r="T958" s="794"/>
      <c r="U958" s="794"/>
      <c r="V958" s="794"/>
    </row>
    <row r="959" spans="1:22" ht="14.5">
      <c r="A959" s="794"/>
      <c r="B959" s="799"/>
      <c r="C959" s="794"/>
      <c r="D959" s="794"/>
      <c r="E959" s="794"/>
      <c r="F959" s="794"/>
      <c r="G959" s="794"/>
      <c r="H959" s="794"/>
      <c r="I959" s="794"/>
      <c r="J959" s="794"/>
      <c r="K959" s="794"/>
      <c r="L959" s="794"/>
      <c r="M959" s="794"/>
      <c r="N959" s="794"/>
      <c r="O959" s="794"/>
      <c r="P959" s="794"/>
      <c r="Q959" s="794"/>
      <c r="R959" s="794"/>
      <c r="S959" s="794"/>
      <c r="T959" s="794"/>
      <c r="U959" s="794"/>
      <c r="V959" s="794"/>
    </row>
    <row r="960" spans="1:22" ht="14.5">
      <c r="A960" s="794"/>
      <c r="B960" s="799"/>
      <c r="C960" s="794"/>
      <c r="D960" s="794"/>
      <c r="E960" s="794"/>
      <c r="F960" s="794"/>
      <c r="G960" s="794"/>
      <c r="H960" s="794"/>
      <c r="I960" s="794"/>
      <c r="J960" s="794"/>
      <c r="K960" s="794"/>
      <c r="L960" s="794"/>
      <c r="M960" s="794"/>
      <c r="N960" s="794"/>
      <c r="O960" s="794"/>
      <c r="P960" s="794"/>
      <c r="Q960" s="794"/>
      <c r="R960" s="794"/>
      <c r="S960" s="794"/>
      <c r="T960" s="794"/>
      <c r="U960" s="794"/>
      <c r="V960" s="794"/>
    </row>
    <row r="961" spans="1:22" ht="14.5">
      <c r="A961" s="794"/>
      <c r="B961" s="799"/>
      <c r="C961" s="794"/>
      <c r="D961" s="794"/>
      <c r="E961" s="794"/>
      <c r="F961" s="794"/>
      <c r="G961" s="794"/>
      <c r="H961" s="794"/>
      <c r="I961" s="794"/>
      <c r="J961" s="794"/>
      <c r="K961" s="794"/>
      <c r="L961" s="794"/>
      <c r="M961" s="794"/>
      <c r="N961" s="794"/>
      <c r="O961" s="794"/>
      <c r="P961" s="794"/>
      <c r="Q961" s="794"/>
      <c r="R961" s="794"/>
      <c r="S961" s="794"/>
      <c r="T961" s="794"/>
      <c r="U961" s="794"/>
      <c r="V961" s="794"/>
    </row>
    <row r="962" spans="1:22" ht="14.5">
      <c r="A962" s="794"/>
      <c r="B962" s="799"/>
      <c r="C962" s="794"/>
      <c r="D962" s="794"/>
      <c r="E962" s="794"/>
      <c r="F962" s="794"/>
      <c r="G962" s="794"/>
      <c r="H962" s="794"/>
      <c r="I962" s="794"/>
      <c r="J962" s="794"/>
      <c r="K962" s="794"/>
      <c r="L962" s="794"/>
      <c r="M962" s="794"/>
      <c r="N962" s="794"/>
      <c r="O962" s="794"/>
      <c r="P962" s="794"/>
      <c r="Q962" s="794"/>
      <c r="R962" s="794"/>
      <c r="S962" s="794"/>
      <c r="T962" s="794"/>
      <c r="U962" s="794"/>
      <c r="V962" s="794"/>
    </row>
    <row r="963" spans="1:22" ht="14.5">
      <c r="A963" s="794"/>
      <c r="B963" s="799"/>
      <c r="C963" s="794"/>
      <c r="D963" s="794"/>
      <c r="E963" s="794"/>
      <c r="F963" s="794"/>
      <c r="G963" s="794"/>
      <c r="H963" s="794"/>
      <c r="I963" s="794"/>
      <c r="J963" s="794"/>
      <c r="K963" s="794"/>
      <c r="L963" s="794"/>
      <c r="M963" s="794"/>
      <c r="N963" s="794"/>
      <c r="O963" s="794"/>
      <c r="P963" s="794"/>
      <c r="Q963" s="794"/>
      <c r="R963" s="794"/>
      <c r="S963" s="794"/>
      <c r="T963" s="794"/>
      <c r="U963" s="794"/>
      <c r="V963" s="794"/>
    </row>
    <row r="964" spans="1:22" ht="14.5">
      <c r="A964" s="794"/>
      <c r="B964" s="799"/>
      <c r="C964" s="794"/>
      <c r="D964" s="794"/>
      <c r="E964" s="794"/>
      <c r="F964" s="794"/>
      <c r="G964" s="794"/>
      <c r="H964" s="794"/>
      <c r="I964" s="794"/>
      <c r="J964" s="794"/>
      <c r="K964" s="794"/>
      <c r="L964" s="794"/>
      <c r="M964" s="794"/>
      <c r="N964" s="794"/>
      <c r="O964" s="794"/>
      <c r="P964" s="794"/>
      <c r="Q964" s="794"/>
      <c r="R964" s="794"/>
      <c r="S964" s="794"/>
      <c r="T964" s="794"/>
      <c r="U964" s="794"/>
      <c r="V964" s="794"/>
    </row>
    <row r="965" spans="1:22" ht="14.5">
      <c r="A965" s="794"/>
      <c r="B965" s="799"/>
      <c r="C965" s="794"/>
      <c r="D965" s="794"/>
      <c r="E965" s="794"/>
      <c r="F965" s="794"/>
      <c r="G965" s="794"/>
      <c r="H965" s="794"/>
      <c r="I965" s="794"/>
      <c r="J965" s="794"/>
      <c r="K965" s="794"/>
      <c r="L965" s="794"/>
      <c r="M965" s="794"/>
      <c r="N965" s="794"/>
      <c r="O965" s="794"/>
      <c r="P965" s="794"/>
      <c r="Q965" s="794"/>
      <c r="R965" s="794"/>
      <c r="S965" s="794"/>
      <c r="T965" s="794"/>
      <c r="U965" s="794"/>
      <c r="V965" s="794"/>
    </row>
    <row r="966" spans="1:22" ht="14.5">
      <c r="A966" s="794"/>
      <c r="B966" s="799"/>
      <c r="C966" s="794"/>
      <c r="D966" s="794"/>
      <c r="E966" s="794"/>
      <c r="F966" s="794"/>
      <c r="G966" s="794"/>
      <c r="H966" s="794"/>
      <c r="I966" s="794"/>
      <c r="J966" s="794"/>
      <c r="K966" s="794"/>
      <c r="L966" s="794"/>
      <c r="M966" s="794"/>
      <c r="N966" s="794"/>
      <c r="O966" s="794"/>
      <c r="P966" s="794"/>
      <c r="Q966" s="794"/>
      <c r="R966" s="794"/>
      <c r="S966" s="794"/>
      <c r="T966" s="794"/>
      <c r="U966" s="794"/>
      <c r="V966" s="794"/>
    </row>
    <row r="967" spans="1:22" ht="14.5">
      <c r="A967" s="794"/>
      <c r="B967" s="799"/>
      <c r="C967" s="794"/>
      <c r="D967" s="794"/>
      <c r="E967" s="794"/>
      <c r="F967" s="794"/>
      <c r="G967" s="794"/>
      <c r="H967" s="794"/>
      <c r="I967" s="794"/>
      <c r="J967" s="794"/>
      <c r="K967" s="794"/>
      <c r="L967" s="794"/>
      <c r="M967" s="794"/>
      <c r="N967" s="794"/>
      <c r="O967" s="794"/>
      <c r="P967" s="794"/>
      <c r="Q967" s="794"/>
      <c r="R967" s="794"/>
      <c r="S967" s="794"/>
      <c r="T967" s="794"/>
      <c r="U967" s="794"/>
      <c r="V967" s="794"/>
    </row>
    <row r="968" spans="1:22" ht="14.5">
      <c r="A968" s="794"/>
      <c r="B968" s="799"/>
      <c r="C968" s="794"/>
      <c r="D968" s="794"/>
      <c r="E968" s="794"/>
      <c r="F968" s="794"/>
      <c r="G968" s="794"/>
      <c r="H968" s="794"/>
      <c r="I968" s="794"/>
      <c r="J968" s="794"/>
      <c r="K968" s="794"/>
      <c r="L968" s="794"/>
      <c r="M968" s="794"/>
      <c r="N968" s="794"/>
      <c r="O968" s="794"/>
      <c r="P968" s="794"/>
      <c r="Q968" s="794"/>
      <c r="R968" s="794"/>
      <c r="S968" s="794"/>
      <c r="T968" s="794"/>
      <c r="U968" s="794"/>
      <c r="V968" s="794"/>
    </row>
    <row r="969" spans="1:22" ht="14.5">
      <c r="A969" s="794"/>
      <c r="B969" s="799"/>
      <c r="C969" s="794"/>
      <c r="D969" s="794"/>
      <c r="E969" s="794"/>
      <c r="F969" s="794"/>
      <c r="G969" s="794"/>
      <c r="H969" s="794"/>
      <c r="I969" s="794"/>
      <c r="J969" s="794"/>
      <c r="K969" s="794"/>
      <c r="L969" s="794"/>
      <c r="M969" s="794"/>
      <c r="N969" s="794"/>
      <c r="O969" s="794"/>
      <c r="P969" s="794"/>
      <c r="Q969" s="794"/>
      <c r="R969" s="794"/>
      <c r="S969" s="794"/>
      <c r="T969" s="794"/>
      <c r="U969" s="794"/>
      <c r="V969" s="794"/>
    </row>
    <row r="970" spans="1:22" ht="14.5">
      <c r="A970" s="794"/>
      <c r="B970" s="799"/>
      <c r="C970" s="794"/>
      <c r="D970" s="794"/>
      <c r="E970" s="794"/>
      <c r="F970" s="794"/>
      <c r="G970" s="794"/>
      <c r="H970" s="794"/>
      <c r="I970" s="794"/>
      <c r="J970" s="794"/>
      <c r="K970" s="794"/>
      <c r="L970" s="794"/>
      <c r="M970" s="794"/>
      <c r="N970" s="794"/>
      <c r="O970" s="794"/>
      <c r="P970" s="794"/>
      <c r="Q970" s="794"/>
      <c r="R970" s="794"/>
      <c r="S970" s="794"/>
      <c r="T970" s="794"/>
      <c r="U970" s="794"/>
      <c r="V970" s="794"/>
    </row>
    <row r="971" spans="1:22" ht="14.5">
      <c r="A971" s="794"/>
      <c r="B971" s="799"/>
      <c r="C971" s="794"/>
      <c r="D971" s="794"/>
      <c r="E971" s="794"/>
      <c r="F971" s="794"/>
      <c r="G971" s="794"/>
      <c r="H971" s="794"/>
      <c r="I971" s="794"/>
      <c r="J971" s="794"/>
      <c r="K971" s="794"/>
      <c r="L971" s="794"/>
      <c r="M971" s="794"/>
      <c r="N971" s="794"/>
      <c r="O971" s="794"/>
      <c r="P971" s="794"/>
      <c r="Q971" s="794"/>
      <c r="R971" s="794"/>
      <c r="S971" s="794"/>
      <c r="T971" s="794"/>
      <c r="U971" s="794"/>
      <c r="V971" s="794"/>
    </row>
    <row r="972" spans="1:22" ht="14.5">
      <c r="A972" s="794"/>
      <c r="B972" s="799"/>
      <c r="C972" s="794"/>
      <c r="D972" s="794"/>
      <c r="E972" s="794"/>
      <c r="F972" s="794"/>
      <c r="G972" s="794"/>
      <c r="H972" s="794"/>
      <c r="I972" s="794"/>
      <c r="J972" s="794"/>
      <c r="K972" s="794"/>
      <c r="L972" s="794"/>
      <c r="M972" s="794"/>
      <c r="N972" s="794"/>
      <c r="O972" s="794"/>
      <c r="P972" s="794"/>
      <c r="Q972" s="794"/>
      <c r="R972" s="794"/>
      <c r="S972" s="794"/>
      <c r="T972" s="794"/>
      <c r="U972" s="794"/>
      <c r="V972" s="794"/>
    </row>
    <row r="973" spans="1:22" ht="14.5">
      <c r="A973" s="794"/>
      <c r="B973" s="799"/>
      <c r="C973" s="794"/>
      <c r="D973" s="794"/>
      <c r="E973" s="794"/>
      <c r="F973" s="794"/>
      <c r="G973" s="794"/>
      <c r="H973" s="794"/>
      <c r="I973" s="794"/>
      <c r="J973" s="794"/>
      <c r="K973" s="794"/>
      <c r="L973" s="794"/>
      <c r="M973" s="794"/>
      <c r="N973" s="794"/>
      <c r="O973" s="794"/>
      <c r="P973" s="794"/>
      <c r="Q973" s="794"/>
      <c r="R973" s="794"/>
      <c r="S973" s="794"/>
      <c r="T973" s="794"/>
      <c r="U973" s="794"/>
      <c r="V973" s="794"/>
    </row>
    <row r="974" spans="1:22" ht="14.5">
      <c r="A974" s="794"/>
      <c r="B974" s="799"/>
      <c r="C974" s="794"/>
      <c r="D974" s="794"/>
      <c r="E974" s="794"/>
      <c r="F974" s="794"/>
      <c r="G974" s="794"/>
      <c r="H974" s="794"/>
      <c r="I974" s="794"/>
      <c r="J974" s="794"/>
      <c r="K974" s="794"/>
      <c r="L974" s="794"/>
      <c r="M974" s="794"/>
      <c r="N974" s="794"/>
      <c r="O974" s="794"/>
      <c r="P974" s="794"/>
      <c r="Q974" s="794"/>
      <c r="R974" s="794"/>
      <c r="S974" s="794"/>
      <c r="T974" s="794"/>
      <c r="U974" s="794"/>
      <c r="V974" s="794"/>
    </row>
    <row r="975" spans="1:22" ht="14.5">
      <c r="A975" s="794"/>
      <c r="B975" s="799"/>
      <c r="C975" s="794"/>
      <c r="D975" s="794"/>
      <c r="E975" s="794"/>
      <c r="F975" s="794"/>
      <c r="G975" s="794"/>
      <c r="H975" s="794"/>
      <c r="I975" s="794"/>
      <c r="J975" s="794"/>
      <c r="K975" s="794"/>
      <c r="L975" s="794"/>
      <c r="M975" s="794"/>
      <c r="N975" s="794"/>
      <c r="O975" s="794"/>
      <c r="P975" s="794"/>
      <c r="Q975" s="794"/>
      <c r="R975" s="794"/>
      <c r="S975" s="794"/>
      <c r="T975" s="794"/>
      <c r="U975" s="794"/>
      <c r="V975" s="794"/>
    </row>
    <row r="976" spans="1:22" ht="14.5">
      <c r="A976" s="794"/>
      <c r="B976" s="799"/>
      <c r="C976" s="794"/>
      <c r="D976" s="794"/>
      <c r="E976" s="794"/>
      <c r="F976" s="794"/>
      <c r="G976" s="794"/>
      <c r="H976" s="794"/>
      <c r="I976" s="794"/>
      <c r="J976" s="794"/>
      <c r="K976" s="794"/>
      <c r="L976" s="794"/>
      <c r="M976" s="794"/>
      <c r="N976" s="794"/>
      <c r="O976" s="794"/>
      <c r="P976" s="794"/>
      <c r="Q976" s="794"/>
      <c r="R976" s="794"/>
      <c r="S976" s="794"/>
      <c r="T976" s="794"/>
      <c r="U976" s="794"/>
      <c r="V976" s="794"/>
    </row>
    <row r="977" spans="1:22" ht="14.5">
      <c r="A977" s="794"/>
      <c r="B977" s="799"/>
      <c r="C977" s="794"/>
      <c r="D977" s="794"/>
      <c r="E977" s="794"/>
      <c r="F977" s="794"/>
      <c r="G977" s="794"/>
      <c r="H977" s="794"/>
      <c r="I977" s="794"/>
      <c r="J977" s="794"/>
      <c r="K977" s="794"/>
      <c r="L977" s="794"/>
      <c r="M977" s="794"/>
      <c r="N977" s="794"/>
      <c r="O977" s="794"/>
      <c r="P977" s="794"/>
      <c r="Q977" s="794"/>
      <c r="R977" s="794"/>
      <c r="S977" s="794"/>
      <c r="T977" s="794"/>
      <c r="U977" s="794"/>
      <c r="V977" s="794"/>
    </row>
    <row r="978" spans="1:22" ht="14.5">
      <c r="A978" s="794"/>
      <c r="B978" s="799"/>
      <c r="C978" s="794"/>
      <c r="D978" s="794"/>
      <c r="E978" s="794"/>
      <c r="F978" s="794"/>
      <c r="G978" s="794"/>
      <c r="H978" s="794"/>
      <c r="I978" s="794"/>
      <c r="J978" s="794"/>
      <c r="K978" s="794"/>
      <c r="L978" s="794"/>
      <c r="M978" s="794"/>
      <c r="N978" s="794"/>
      <c r="O978" s="794"/>
      <c r="P978" s="794"/>
      <c r="Q978" s="794"/>
      <c r="R978" s="794"/>
      <c r="S978" s="794"/>
      <c r="T978" s="794"/>
      <c r="U978" s="794"/>
      <c r="V978" s="794"/>
    </row>
    <row r="979" spans="1:22" ht="14.5">
      <c r="A979" s="794"/>
      <c r="B979" s="799"/>
      <c r="C979" s="794"/>
      <c r="D979" s="794"/>
      <c r="E979" s="794"/>
      <c r="F979" s="794"/>
      <c r="G979" s="794"/>
      <c r="H979" s="794"/>
      <c r="I979" s="794"/>
      <c r="J979" s="794"/>
      <c r="K979" s="794"/>
      <c r="L979" s="794"/>
      <c r="M979" s="794"/>
      <c r="N979" s="794"/>
      <c r="O979" s="794"/>
      <c r="P979" s="794"/>
      <c r="Q979" s="794"/>
      <c r="R979" s="794"/>
      <c r="S979" s="794"/>
      <c r="T979" s="794"/>
      <c r="U979" s="794"/>
      <c r="V979" s="794"/>
    </row>
    <row r="980" spans="1:22" ht="14.5">
      <c r="A980" s="794"/>
      <c r="B980" s="799"/>
      <c r="C980" s="794"/>
      <c r="D980" s="794"/>
      <c r="E980" s="794"/>
      <c r="F980" s="794"/>
      <c r="G980" s="794"/>
      <c r="H980" s="794"/>
      <c r="I980" s="794"/>
      <c r="J980" s="794"/>
      <c r="K980" s="794"/>
      <c r="L980" s="794"/>
      <c r="M980" s="794"/>
      <c r="N980" s="794"/>
      <c r="O980" s="794"/>
      <c r="P980" s="794"/>
      <c r="Q980" s="794"/>
      <c r="R980" s="794"/>
      <c r="S980" s="794"/>
      <c r="T980" s="794"/>
      <c r="U980" s="794"/>
      <c r="V980" s="794"/>
    </row>
    <row r="981" spans="1:22" ht="14.5">
      <c r="A981" s="794"/>
      <c r="B981" s="799"/>
      <c r="C981" s="794"/>
      <c r="D981" s="794"/>
      <c r="E981" s="794"/>
      <c r="F981" s="794"/>
      <c r="G981" s="794"/>
      <c r="H981" s="794"/>
      <c r="I981" s="794"/>
      <c r="J981" s="794"/>
      <c r="K981" s="794"/>
      <c r="L981" s="794"/>
      <c r="M981" s="794"/>
      <c r="N981" s="794"/>
      <c r="O981" s="794"/>
      <c r="P981" s="794"/>
      <c r="Q981" s="794"/>
      <c r="R981" s="794"/>
      <c r="S981" s="794"/>
      <c r="T981" s="794"/>
      <c r="U981" s="794"/>
      <c r="V981" s="794"/>
    </row>
    <row r="982" spans="1:22" ht="14.5">
      <c r="A982" s="794"/>
      <c r="B982" s="799"/>
      <c r="C982" s="794"/>
      <c r="D982" s="794"/>
      <c r="E982" s="794"/>
      <c r="F982" s="794"/>
      <c r="G982" s="794"/>
      <c r="H982" s="794"/>
      <c r="I982" s="794"/>
      <c r="J982" s="794"/>
      <c r="K982" s="794"/>
      <c r="L982" s="794"/>
      <c r="M982" s="794"/>
      <c r="N982" s="794"/>
      <c r="O982" s="794"/>
      <c r="P982" s="794"/>
      <c r="Q982" s="794"/>
      <c r="R982" s="794"/>
      <c r="S982" s="794"/>
      <c r="T982" s="794"/>
      <c r="U982" s="794"/>
      <c r="V982" s="794"/>
    </row>
    <row r="983" spans="1:22" ht="14.5">
      <c r="A983" s="794"/>
      <c r="B983" s="799"/>
      <c r="C983" s="794"/>
      <c r="D983" s="794"/>
      <c r="E983" s="794"/>
      <c r="F983" s="794"/>
      <c r="G983" s="794"/>
      <c r="H983" s="794"/>
      <c r="I983" s="794"/>
      <c r="J983" s="794"/>
      <c r="K983" s="794"/>
      <c r="L983" s="794"/>
      <c r="M983" s="794"/>
      <c r="N983" s="794"/>
      <c r="O983" s="794"/>
      <c r="P983" s="794"/>
      <c r="Q983" s="794"/>
      <c r="R983" s="794"/>
      <c r="S983" s="794"/>
      <c r="T983" s="794"/>
      <c r="U983" s="794"/>
      <c r="V983" s="794"/>
    </row>
    <row r="984" spans="1:22" ht="14.5">
      <c r="A984" s="794"/>
      <c r="B984" s="799"/>
      <c r="C984" s="794"/>
      <c r="D984" s="794"/>
      <c r="E984" s="794"/>
      <c r="F984" s="794"/>
      <c r="G984" s="794"/>
      <c r="H984" s="794"/>
      <c r="I984" s="794"/>
      <c r="J984" s="794"/>
      <c r="K984" s="794"/>
      <c r="L984" s="794"/>
      <c r="M984" s="794"/>
      <c r="N984" s="794"/>
      <c r="O984" s="794"/>
      <c r="P984" s="794"/>
      <c r="Q984" s="794"/>
      <c r="R984" s="794"/>
      <c r="S984" s="794"/>
      <c r="T984" s="794"/>
      <c r="U984" s="794"/>
      <c r="V984" s="794"/>
    </row>
    <row r="985" spans="1:22" ht="14.5">
      <c r="A985" s="794"/>
      <c r="B985" s="799"/>
      <c r="C985" s="794"/>
      <c r="D985" s="794"/>
      <c r="E985" s="794"/>
      <c r="F985" s="794"/>
      <c r="G985" s="794"/>
      <c r="H985" s="794"/>
      <c r="I985" s="794"/>
      <c r="J985" s="794"/>
      <c r="K985" s="794"/>
      <c r="L985" s="794"/>
      <c r="M985" s="794"/>
      <c r="N985" s="794"/>
      <c r="O985" s="794"/>
      <c r="P985" s="794"/>
      <c r="Q985" s="794"/>
      <c r="R985" s="794"/>
      <c r="S985" s="794"/>
      <c r="T985" s="794"/>
      <c r="U985" s="794"/>
      <c r="V985" s="794"/>
    </row>
    <row r="986" spans="1:22" ht="14.5">
      <c r="A986" s="794"/>
      <c r="B986" s="799"/>
      <c r="C986" s="794"/>
      <c r="D986" s="794"/>
      <c r="E986" s="794"/>
      <c r="F986" s="794"/>
      <c r="G986" s="794"/>
      <c r="H986" s="794"/>
      <c r="I986" s="794"/>
      <c r="J986" s="794"/>
      <c r="K986" s="794"/>
      <c r="L986" s="794"/>
      <c r="M986" s="794"/>
      <c r="N986" s="794"/>
      <c r="O986" s="794"/>
      <c r="P986" s="794"/>
      <c r="Q986" s="794"/>
      <c r="R986" s="794"/>
      <c r="S986" s="794"/>
      <c r="T986" s="794"/>
      <c r="U986" s="794"/>
      <c r="V986" s="794"/>
    </row>
    <row r="987" spans="1:22" ht="14.5">
      <c r="A987" s="794"/>
      <c r="B987" s="799"/>
      <c r="C987" s="794"/>
      <c r="D987" s="794"/>
      <c r="E987" s="794"/>
      <c r="F987" s="794"/>
      <c r="G987" s="794"/>
      <c r="H987" s="794"/>
      <c r="I987" s="794"/>
      <c r="J987" s="794"/>
      <c r="K987" s="794"/>
      <c r="L987" s="794"/>
      <c r="M987" s="794"/>
      <c r="N987" s="794"/>
      <c r="O987" s="794"/>
      <c r="P987" s="794"/>
      <c r="Q987" s="794"/>
      <c r="R987" s="794"/>
      <c r="S987" s="794"/>
      <c r="T987" s="794"/>
      <c r="U987" s="794"/>
      <c r="V987" s="794"/>
    </row>
    <row r="988" spans="1:22" ht="14.5">
      <c r="A988" s="794"/>
      <c r="B988" s="799"/>
      <c r="C988" s="794"/>
      <c r="D988" s="794"/>
      <c r="E988" s="794"/>
      <c r="F988" s="794"/>
      <c r="G988" s="794"/>
      <c r="H988" s="794"/>
      <c r="I988" s="794"/>
      <c r="J988" s="794"/>
      <c r="K988" s="794"/>
      <c r="L988" s="794"/>
      <c r="M988" s="794"/>
      <c r="N988" s="794"/>
      <c r="O988" s="794"/>
      <c r="P988" s="794"/>
      <c r="Q988" s="794"/>
      <c r="R988" s="794"/>
      <c r="S988" s="794"/>
      <c r="T988" s="794"/>
      <c r="U988" s="794"/>
      <c r="V988" s="794"/>
    </row>
    <row r="989" spans="1:22" ht="14.5">
      <c r="A989" s="794"/>
      <c r="B989" s="799"/>
      <c r="C989" s="794"/>
      <c r="D989" s="794"/>
      <c r="E989" s="794"/>
      <c r="F989" s="794"/>
      <c r="G989" s="794"/>
      <c r="H989" s="794"/>
      <c r="I989" s="794"/>
      <c r="J989" s="794"/>
      <c r="K989" s="794"/>
      <c r="L989" s="794"/>
      <c r="M989" s="794"/>
      <c r="N989" s="794"/>
      <c r="O989" s="794"/>
      <c r="P989" s="794"/>
      <c r="Q989" s="794"/>
      <c r="R989" s="794"/>
      <c r="S989" s="794"/>
      <c r="T989" s="794"/>
      <c r="U989" s="794"/>
      <c r="V989" s="794"/>
    </row>
    <row r="990" spans="1:22" ht="14.5">
      <c r="A990" s="794"/>
      <c r="B990" s="799"/>
      <c r="C990" s="794"/>
      <c r="D990" s="794"/>
      <c r="E990" s="794"/>
      <c r="F990" s="794"/>
      <c r="G990" s="794"/>
      <c r="H990" s="794"/>
      <c r="I990" s="794"/>
      <c r="J990" s="794"/>
      <c r="K990" s="794"/>
      <c r="L990" s="794"/>
      <c r="M990" s="794"/>
      <c r="N990" s="794"/>
      <c r="O990" s="794"/>
      <c r="P990" s="794"/>
      <c r="Q990" s="794"/>
      <c r="R990" s="794"/>
      <c r="S990" s="794"/>
      <c r="T990" s="794"/>
      <c r="U990" s="794"/>
      <c r="V990" s="794"/>
    </row>
    <row r="991" spans="1:22" ht="14.5">
      <c r="A991" s="794"/>
      <c r="B991" s="799"/>
      <c r="C991" s="794"/>
      <c r="D991" s="794"/>
      <c r="E991" s="794"/>
      <c r="F991" s="794"/>
      <c r="G991" s="794"/>
      <c r="H991" s="794"/>
      <c r="I991" s="794"/>
      <c r="J991" s="794"/>
      <c r="K991" s="794"/>
      <c r="L991" s="794"/>
      <c r="M991" s="794"/>
      <c r="N991" s="794"/>
      <c r="O991" s="794"/>
      <c r="P991" s="794"/>
      <c r="Q991" s="794"/>
      <c r="R991" s="794"/>
      <c r="S991" s="794"/>
      <c r="T991" s="794"/>
      <c r="U991" s="794"/>
      <c r="V991" s="794"/>
    </row>
    <row r="992" spans="1:22" ht="14.5">
      <c r="A992" s="794"/>
      <c r="B992" s="799"/>
      <c r="C992" s="794"/>
      <c r="D992" s="794"/>
      <c r="E992" s="794"/>
      <c r="F992" s="794"/>
      <c r="G992" s="794"/>
      <c r="H992" s="794"/>
      <c r="I992" s="794"/>
      <c r="J992" s="794"/>
      <c r="K992" s="794"/>
      <c r="L992" s="794"/>
      <c r="M992" s="794"/>
      <c r="N992" s="794"/>
      <c r="O992" s="794"/>
      <c r="P992" s="794"/>
      <c r="Q992" s="794"/>
      <c r="R992" s="794"/>
      <c r="S992" s="794"/>
      <c r="T992" s="794"/>
      <c r="U992" s="794"/>
      <c r="V992" s="794"/>
    </row>
    <row r="993" spans="1:22" ht="14.5">
      <c r="A993" s="794"/>
      <c r="B993" s="799"/>
      <c r="C993" s="794"/>
      <c r="D993" s="794"/>
      <c r="E993" s="794"/>
      <c r="F993" s="794"/>
      <c r="G993" s="794"/>
      <c r="H993" s="794"/>
      <c r="I993" s="794"/>
      <c r="J993" s="794"/>
      <c r="K993" s="794"/>
      <c r="L993" s="794"/>
      <c r="M993" s="794"/>
      <c r="N993" s="794"/>
      <c r="O993" s="794"/>
      <c r="P993" s="794"/>
      <c r="Q993" s="794"/>
      <c r="R993" s="794"/>
      <c r="S993" s="794"/>
      <c r="T993" s="794"/>
      <c r="U993" s="794"/>
      <c r="V993" s="794"/>
    </row>
    <row r="994" spans="1:22" ht="14.5">
      <c r="A994" s="794"/>
      <c r="B994" s="799"/>
      <c r="C994" s="794"/>
      <c r="D994" s="794"/>
      <c r="E994" s="794"/>
      <c r="F994" s="794"/>
      <c r="G994" s="794"/>
      <c r="H994" s="794"/>
      <c r="I994" s="794"/>
      <c r="J994" s="794"/>
      <c r="K994" s="794"/>
      <c r="L994" s="794"/>
      <c r="M994" s="794"/>
      <c r="N994" s="794"/>
      <c r="O994" s="794"/>
      <c r="P994" s="794"/>
      <c r="Q994" s="794"/>
      <c r="R994" s="794"/>
      <c r="S994" s="794"/>
      <c r="T994" s="794"/>
      <c r="U994" s="794"/>
      <c r="V994" s="794"/>
    </row>
    <row r="995" spans="1:22" ht="14.5">
      <c r="A995" s="794"/>
      <c r="B995" s="799"/>
      <c r="C995" s="794"/>
      <c r="D995" s="794"/>
      <c r="E995" s="794"/>
      <c r="F995" s="794"/>
      <c r="G995" s="794"/>
      <c r="H995" s="794"/>
      <c r="I995" s="794"/>
      <c r="J995" s="794"/>
      <c r="K995" s="794"/>
      <c r="L995" s="794"/>
      <c r="M995" s="794"/>
      <c r="N995" s="794"/>
      <c r="O995" s="794"/>
      <c r="P995" s="794"/>
      <c r="Q995" s="794"/>
      <c r="R995" s="794"/>
      <c r="S995" s="794"/>
      <c r="T995" s="794"/>
      <c r="U995" s="794"/>
      <c r="V995" s="794"/>
    </row>
    <row r="996" spans="1:22" ht="14.5">
      <c r="A996" s="794"/>
      <c r="B996" s="799"/>
      <c r="C996" s="794"/>
      <c r="D996" s="794"/>
      <c r="E996" s="794"/>
      <c r="F996" s="794"/>
      <c r="G996" s="794"/>
      <c r="H996" s="794"/>
      <c r="I996" s="794"/>
      <c r="J996" s="794"/>
      <c r="K996" s="794"/>
      <c r="L996" s="794"/>
      <c r="M996" s="794"/>
      <c r="N996" s="794"/>
      <c r="O996" s="794"/>
      <c r="P996" s="794"/>
      <c r="Q996" s="794"/>
      <c r="R996" s="794"/>
      <c r="S996" s="794"/>
      <c r="T996" s="794"/>
      <c r="U996" s="794"/>
      <c r="V996" s="794"/>
    </row>
    <row r="997" spans="1:22" ht="14.5">
      <c r="A997" s="794"/>
      <c r="B997" s="799"/>
      <c r="C997" s="794"/>
      <c r="D997" s="794"/>
      <c r="E997" s="794"/>
      <c r="F997" s="794"/>
      <c r="G997" s="794"/>
      <c r="H997" s="794"/>
      <c r="I997" s="794"/>
      <c r="J997" s="794"/>
      <c r="K997" s="794"/>
      <c r="L997" s="794"/>
      <c r="M997" s="794"/>
      <c r="N997" s="794"/>
      <c r="O997" s="794"/>
      <c r="P997" s="794"/>
      <c r="Q997" s="794"/>
      <c r="R997" s="794"/>
      <c r="S997" s="794"/>
      <c r="T997" s="794"/>
      <c r="U997" s="794"/>
      <c r="V997" s="794"/>
    </row>
    <row r="998" spans="1:22" ht="14.5">
      <c r="A998" s="794"/>
      <c r="B998" s="799"/>
      <c r="C998" s="794"/>
      <c r="D998" s="794"/>
      <c r="E998" s="794"/>
      <c r="F998" s="794"/>
      <c r="G998" s="794"/>
      <c r="H998" s="794"/>
      <c r="I998" s="794"/>
      <c r="J998" s="794"/>
      <c r="K998" s="794"/>
      <c r="L998" s="794"/>
      <c r="M998" s="794"/>
      <c r="N998" s="794"/>
      <c r="O998" s="794"/>
      <c r="P998" s="794"/>
      <c r="Q998" s="794"/>
      <c r="R998" s="794"/>
      <c r="S998" s="794"/>
      <c r="T998" s="794"/>
      <c r="U998" s="794"/>
      <c r="V998" s="794"/>
    </row>
    <row r="999" spans="1:22" ht="14.5">
      <c r="A999" s="794"/>
      <c r="B999" s="799"/>
      <c r="C999" s="794"/>
      <c r="D999" s="794"/>
      <c r="E999" s="794"/>
      <c r="F999" s="794"/>
      <c r="G999" s="794"/>
      <c r="H999" s="794"/>
      <c r="I999" s="794"/>
      <c r="J999" s="794"/>
      <c r="K999" s="794"/>
      <c r="L999" s="794"/>
      <c r="M999" s="794"/>
      <c r="N999" s="794"/>
      <c r="O999" s="794"/>
      <c r="P999" s="794"/>
      <c r="Q999" s="794"/>
      <c r="R999" s="794"/>
      <c r="S999" s="794"/>
      <c r="T999" s="794"/>
      <c r="U999" s="794"/>
      <c r="V999" s="794"/>
    </row>
    <row r="1000" spans="1:22" ht="14.5">
      <c r="A1000" s="794"/>
      <c r="B1000" s="799"/>
      <c r="C1000" s="794"/>
      <c r="D1000" s="794"/>
      <c r="E1000" s="794"/>
      <c r="F1000" s="794"/>
      <c r="G1000" s="794"/>
      <c r="H1000" s="794"/>
      <c r="I1000" s="794"/>
      <c r="J1000" s="794"/>
      <c r="K1000" s="794"/>
      <c r="L1000" s="794"/>
      <c r="M1000" s="794"/>
      <c r="N1000" s="794"/>
      <c r="O1000" s="794"/>
      <c r="P1000" s="794"/>
      <c r="Q1000" s="794"/>
      <c r="R1000" s="794"/>
      <c r="S1000" s="794"/>
      <c r="T1000" s="794"/>
      <c r="U1000" s="794"/>
      <c r="V1000" s="794"/>
    </row>
    <row r="1001" spans="1:22" ht="14.5">
      <c r="A1001" s="794"/>
      <c r="B1001" s="799"/>
      <c r="C1001" s="794"/>
      <c r="D1001" s="794"/>
      <c r="E1001" s="794"/>
      <c r="F1001" s="794"/>
      <c r="G1001" s="794"/>
      <c r="H1001" s="794"/>
      <c r="I1001" s="794"/>
      <c r="J1001" s="794"/>
      <c r="K1001" s="794"/>
      <c r="L1001" s="794"/>
      <c r="M1001" s="794"/>
      <c r="N1001" s="794"/>
      <c r="O1001" s="794"/>
      <c r="P1001" s="794"/>
      <c r="Q1001" s="794"/>
      <c r="R1001" s="794"/>
      <c r="S1001" s="794"/>
      <c r="T1001" s="794"/>
      <c r="U1001" s="794"/>
      <c r="V1001" s="794"/>
    </row>
    <row r="1002" spans="1:22" ht="14.5">
      <c r="A1002" s="794"/>
      <c r="B1002" s="799"/>
      <c r="C1002" s="794"/>
      <c r="D1002" s="794"/>
      <c r="E1002" s="794"/>
      <c r="F1002" s="794"/>
      <c r="G1002" s="794"/>
      <c r="H1002" s="794"/>
      <c r="I1002" s="794"/>
      <c r="J1002" s="794"/>
      <c r="K1002" s="794"/>
      <c r="L1002" s="794"/>
      <c r="M1002" s="794"/>
      <c r="N1002" s="794"/>
      <c r="O1002" s="794"/>
      <c r="P1002" s="794"/>
      <c r="Q1002" s="794"/>
      <c r="R1002" s="794"/>
      <c r="S1002" s="794"/>
      <c r="T1002" s="794"/>
      <c r="U1002" s="794"/>
      <c r="V1002" s="794"/>
    </row>
    <row r="1003" spans="1:22" ht="14.5">
      <c r="A1003" s="794"/>
      <c r="B1003" s="799"/>
      <c r="C1003" s="794"/>
      <c r="D1003" s="794"/>
      <c r="E1003" s="794"/>
      <c r="F1003" s="794"/>
      <c r="G1003" s="794"/>
      <c r="H1003" s="794"/>
      <c r="I1003" s="794"/>
      <c r="J1003" s="794"/>
      <c r="K1003" s="794"/>
      <c r="L1003" s="794"/>
      <c r="M1003" s="794"/>
      <c r="N1003" s="794"/>
      <c r="O1003" s="794"/>
      <c r="P1003" s="794"/>
      <c r="Q1003" s="794"/>
      <c r="R1003" s="794"/>
      <c r="S1003" s="794"/>
      <c r="T1003" s="794"/>
      <c r="U1003" s="794"/>
      <c r="V1003" s="794"/>
    </row>
    <row r="1004" spans="1:22" ht="14.5">
      <c r="A1004" s="794"/>
      <c r="B1004" s="799"/>
      <c r="C1004" s="794"/>
      <c r="D1004" s="794"/>
      <c r="E1004" s="794"/>
      <c r="F1004" s="794"/>
      <c r="G1004" s="794"/>
      <c r="H1004" s="794"/>
      <c r="I1004" s="794"/>
      <c r="J1004" s="794"/>
      <c r="K1004" s="794"/>
      <c r="L1004" s="794"/>
      <c r="M1004" s="794"/>
      <c r="N1004" s="794"/>
      <c r="O1004" s="794"/>
      <c r="P1004" s="794"/>
      <c r="Q1004" s="794"/>
      <c r="R1004" s="794"/>
      <c r="S1004" s="794"/>
      <c r="T1004" s="794"/>
      <c r="U1004" s="794"/>
      <c r="V1004" s="794"/>
    </row>
    <row r="1005" spans="1:22" ht="14.5">
      <c r="A1005" s="794"/>
      <c r="B1005" s="799"/>
      <c r="C1005" s="794"/>
      <c r="D1005" s="794"/>
      <c r="E1005" s="794"/>
      <c r="F1005" s="794"/>
      <c r="G1005" s="794"/>
      <c r="H1005" s="794"/>
      <c r="I1005" s="794"/>
      <c r="J1005" s="794"/>
      <c r="K1005" s="794"/>
      <c r="L1005" s="794"/>
      <c r="M1005" s="794"/>
      <c r="N1005" s="794"/>
      <c r="O1005" s="794"/>
      <c r="P1005" s="794"/>
      <c r="Q1005" s="794"/>
      <c r="R1005" s="794"/>
      <c r="S1005" s="794"/>
      <c r="T1005" s="794"/>
      <c r="U1005" s="794"/>
      <c r="V1005" s="794"/>
    </row>
    <row r="1006" spans="1:22" ht="14.5">
      <c r="A1006" s="794"/>
      <c r="B1006" s="799"/>
      <c r="C1006" s="794"/>
      <c r="D1006" s="794"/>
      <c r="E1006" s="794"/>
      <c r="F1006" s="794"/>
      <c r="G1006" s="794"/>
      <c r="H1006" s="794"/>
      <c r="I1006" s="794"/>
      <c r="J1006" s="794"/>
      <c r="K1006" s="794"/>
      <c r="L1006" s="794"/>
      <c r="M1006" s="794"/>
      <c r="N1006" s="794"/>
      <c r="O1006" s="794"/>
      <c r="P1006" s="794"/>
      <c r="Q1006" s="794"/>
      <c r="R1006" s="794"/>
      <c r="S1006" s="794"/>
      <c r="T1006" s="794"/>
      <c r="U1006" s="794"/>
      <c r="V1006" s="794"/>
    </row>
    <row r="1007" spans="1:22" ht="14.5">
      <c r="A1007" s="794"/>
      <c r="B1007" s="799"/>
      <c r="C1007" s="794"/>
      <c r="D1007" s="794"/>
      <c r="E1007" s="794"/>
      <c r="F1007" s="794"/>
      <c r="G1007" s="794"/>
      <c r="H1007" s="794"/>
      <c r="I1007" s="794"/>
      <c r="J1007" s="794"/>
      <c r="K1007" s="794"/>
      <c r="L1007" s="794"/>
      <c r="M1007" s="794"/>
      <c r="N1007" s="794"/>
      <c r="O1007" s="794"/>
      <c r="P1007" s="794"/>
      <c r="Q1007" s="794"/>
      <c r="R1007" s="794"/>
      <c r="S1007" s="794"/>
      <c r="T1007" s="794"/>
      <c r="U1007" s="794"/>
      <c r="V1007" s="794"/>
    </row>
    <row r="1008" spans="1:22" ht="14.5">
      <c r="A1008" s="794"/>
      <c r="B1008" s="799"/>
      <c r="C1008" s="794"/>
      <c r="D1008" s="794"/>
      <c r="E1008" s="794"/>
      <c r="F1008" s="794"/>
      <c r="G1008" s="794"/>
      <c r="H1008" s="794"/>
      <c r="I1008" s="794"/>
      <c r="J1008" s="794"/>
      <c r="K1008" s="794"/>
      <c r="L1008" s="794"/>
      <c r="M1008" s="794"/>
      <c r="N1008" s="794"/>
      <c r="O1008" s="794"/>
      <c r="P1008" s="794"/>
      <c r="Q1008" s="794"/>
      <c r="R1008" s="794"/>
      <c r="S1008" s="794"/>
      <c r="T1008" s="794"/>
      <c r="U1008" s="794"/>
      <c r="V1008" s="794"/>
    </row>
    <row r="1009" spans="1:22" ht="14.5">
      <c r="A1009" s="794"/>
      <c r="B1009" s="799"/>
      <c r="C1009" s="794"/>
      <c r="D1009" s="794"/>
      <c r="E1009" s="794"/>
      <c r="F1009" s="794"/>
      <c r="G1009" s="794"/>
      <c r="H1009" s="794"/>
      <c r="I1009" s="794"/>
      <c r="J1009" s="794"/>
      <c r="K1009" s="794"/>
      <c r="L1009" s="794"/>
      <c r="M1009" s="794"/>
      <c r="N1009" s="794"/>
      <c r="O1009" s="794"/>
      <c r="P1009" s="794"/>
      <c r="Q1009" s="794"/>
      <c r="R1009" s="794"/>
      <c r="S1009" s="794"/>
      <c r="T1009" s="794"/>
      <c r="U1009" s="794"/>
      <c r="V1009" s="794"/>
    </row>
    <row r="1010" spans="1:22" ht="14.5">
      <c r="A1010" s="794"/>
      <c r="B1010" s="799"/>
      <c r="C1010" s="794"/>
      <c r="D1010" s="794"/>
      <c r="E1010" s="794"/>
      <c r="F1010" s="794"/>
      <c r="G1010" s="794"/>
      <c r="H1010" s="794"/>
      <c r="I1010" s="794"/>
      <c r="J1010" s="794"/>
      <c r="K1010" s="794"/>
      <c r="L1010" s="794"/>
      <c r="M1010" s="794"/>
      <c r="N1010" s="794"/>
      <c r="O1010" s="794"/>
      <c r="P1010" s="794"/>
      <c r="Q1010" s="794"/>
      <c r="R1010" s="794"/>
      <c r="S1010" s="794"/>
      <c r="T1010" s="794"/>
      <c r="U1010" s="794"/>
      <c r="V1010" s="794"/>
    </row>
    <row r="1011" spans="1:22" ht="14.5">
      <c r="A1011" s="794"/>
      <c r="B1011" s="799"/>
      <c r="C1011" s="794"/>
      <c r="D1011" s="794"/>
      <c r="E1011" s="794"/>
      <c r="F1011" s="794"/>
      <c r="G1011" s="794"/>
      <c r="H1011" s="794"/>
      <c r="I1011" s="794"/>
      <c r="J1011" s="794"/>
      <c r="K1011" s="794"/>
      <c r="L1011" s="794"/>
      <c r="M1011" s="794"/>
      <c r="N1011" s="794"/>
      <c r="O1011" s="794"/>
      <c r="P1011" s="794"/>
      <c r="Q1011" s="794"/>
      <c r="R1011" s="794"/>
      <c r="S1011" s="794"/>
      <c r="T1011" s="794"/>
      <c r="U1011" s="794"/>
      <c r="V1011" s="794"/>
    </row>
    <row r="1012" spans="1:22" ht="14.5">
      <c r="A1012" s="794"/>
      <c r="B1012" s="799"/>
      <c r="C1012" s="794"/>
      <c r="D1012" s="794"/>
      <c r="E1012" s="794"/>
      <c r="F1012" s="794"/>
      <c r="G1012" s="794"/>
      <c r="H1012" s="794"/>
      <c r="I1012" s="794"/>
      <c r="J1012" s="794"/>
      <c r="K1012" s="794"/>
      <c r="L1012" s="794"/>
      <c r="M1012" s="794"/>
      <c r="N1012" s="794"/>
      <c r="O1012" s="794"/>
      <c r="P1012" s="794"/>
      <c r="Q1012" s="794"/>
      <c r="R1012" s="794"/>
      <c r="S1012" s="794"/>
      <c r="T1012" s="794"/>
      <c r="U1012" s="794"/>
      <c r="V1012" s="794"/>
    </row>
    <row r="1013" spans="1:22" ht="14.5">
      <c r="A1013" s="794"/>
      <c r="B1013" s="799"/>
      <c r="C1013" s="794"/>
      <c r="D1013" s="794"/>
      <c r="E1013" s="794"/>
      <c r="F1013" s="794"/>
      <c r="G1013" s="794"/>
      <c r="H1013" s="794"/>
      <c r="I1013" s="794"/>
      <c r="J1013" s="794"/>
      <c r="K1013" s="794"/>
      <c r="L1013" s="794"/>
      <c r="M1013" s="794"/>
      <c r="N1013" s="794"/>
      <c r="O1013" s="794"/>
      <c r="P1013" s="794"/>
      <c r="Q1013" s="794"/>
      <c r="R1013" s="794"/>
      <c r="S1013" s="794"/>
      <c r="T1013" s="794"/>
      <c r="U1013" s="794"/>
      <c r="V1013" s="794"/>
    </row>
    <row r="1014" spans="1:22" ht="14.5">
      <c r="A1014" s="794"/>
      <c r="B1014" s="799"/>
      <c r="C1014" s="794"/>
      <c r="D1014" s="794"/>
      <c r="E1014" s="794"/>
      <c r="F1014" s="794"/>
      <c r="G1014" s="794"/>
      <c r="H1014" s="794"/>
      <c r="I1014" s="794"/>
      <c r="J1014" s="794"/>
      <c r="K1014" s="794"/>
      <c r="L1014" s="794"/>
      <c r="M1014" s="794"/>
      <c r="N1014" s="794"/>
      <c r="O1014" s="794"/>
      <c r="P1014" s="794"/>
      <c r="Q1014" s="794"/>
      <c r="R1014" s="794"/>
      <c r="S1014" s="794"/>
      <c r="T1014" s="794"/>
      <c r="U1014" s="794"/>
      <c r="V1014" s="794"/>
    </row>
    <row r="1015" spans="1:22" ht="14.5">
      <c r="A1015" s="794"/>
      <c r="B1015" s="799"/>
      <c r="C1015" s="794"/>
      <c r="D1015" s="794"/>
      <c r="E1015" s="794"/>
      <c r="F1015" s="794"/>
      <c r="G1015" s="794"/>
      <c r="H1015" s="794"/>
      <c r="I1015" s="794"/>
      <c r="J1015" s="794"/>
      <c r="K1015" s="794"/>
      <c r="L1015" s="794"/>
      <c r="M1015" s="794"/>
      <c r="N1015" s="794"/>
      <c r="O1015" s="794"/>
      <c r="P1015" s="794"/>
      <c r="Q1015" s="794"/>
      <c r="R1015" s="794"/>
      <c r="S1015" s="794"/>
      <c r="T1015" s="794"/>
      <c r="U1015" s="794"/>
      <c r="V1015" s="794"/>
    </row>
    <row r="1016" spans="1:22" ht="14.5">
      <c r="A1016" s="794"/>
      <c r="B1016" s="799"/>
      <c r="C1016" s="794"/>
      <c r="D1016" s="794"/>
      <c r="E1016" s="794"/>
      <c r="F1016" s="794"/>
      <c r="G1016" s="794"/>
      <c r="H1016" s="794"/>
      <c r="I1016" s="794"/>
      <c r="J1016" s="794"/>
      <c r="K1016" s="794"/>
      <c r="L1016" s="794"/>
      <c r="M1016" s="794"/>
      <c r="N1016" s="794"/>
      <c r="O1016" s="794"/>
      <c r="P1016" s="794"/>
      <c r="Q1016" s="794"/>
      <c r="R1016" s="794"/>
      <c r="S1016" s="794"/>
      <c r="T1016" s="794"/>
      <c r="U1016" s="794"/>
      <c r="V1016" s="794"/>
    </row>
    <row r="1017" spans="1:22" ht="14.5">
      <c r="A1017" s="794"/>
      <c r="B1017" s="799"/>
      <c r="C1017" s="794"/>
      <c r="D1017" s="794"/>
      <c r="E1017" s="794"/>
      <c r="F1017" s="794"/>
      <c r="G1017" s="794"/>
      <c r="H1017" s="794"/>
      <c r="I1017" s="794"/>
      <c r="J1017" s="794"/>
      <c r="K1017" s="794"/>
      <c r="L1017" s="794"/>
      <c r="M1017" s="794"/>
      <c r="N1017" s="794"/>
      <c r="O1017" s="794"/>
      <c r="P1017" s="794"/>
      <c r="Q1017" s="794"/>
      <c r="R1017" s="794"/>
      <c r="S1017" s="794"/>
      <c r="T1017" s="794"/>
      <c r="U1017" s="794"/>
      <c r="V1017" s="794"/>
    </row>
    <row r="1018" spans="1:22" ht="14.5">
      <c r="A1018" s="794"/>
      <c r="B1018" s="799"/>
      <c r="C1018" s="794"/>
      <c r="D1018" s="794"/>
      <c r="E1018" s="794"/>
      <c r="F1018" s="794"/>
      <c r="G1018" s="794"/>
      <c r="H1018" s="794"/>
      <c r="I1018" s="794"/>
      <c r="J1018" s="794"/>
      <c r="K1018" s="794"/>
      <c r="L1018" s="794"/>
      <c r="M1018" s="794"/>
      <c r="N1018" s="794"/>
      <c r="O1018" s="794"/>
      <c r="P1018" s="794"/>
      <c r="Q1018" s="794"/>
      <c r="R1018" s="794"/>
      <c r="S1018" s="794"/>
      <c r="T1018" s="794"/>
      <c r="U1018" s="794"/>
      <c r="V1018" s="794"/>
    </row>
    <row r="1019" spans="1:22" ht="14.5">
      <c r="A1019" s="794"/>
      <c r="B1019" s="799"/>
      <c r="C1019" s="794"/>
      <c r="D1019" s="794"/>
      <c r="E1019" s="794"/>
      <c r="F1019" s="794"/>
      <c r="G1019" s="794"/>
      <c r="H1019" s="794"/>
      <c r="I1019" s="794"/>
      <c r="J1019" s="794"/>
      <c r="K1019" s="794"/>
      <c r="L1019" s="794"/>
      <c r="M1019" s="794"/>
      <c r="N1019" s="794"/>
      <c r="O1019" s="794"/>
      <c r="P1019" s="794"/>
      <c r="Q1019" s="794"/>
      <c r="R1019" s="794"/>
      <c r="S1019" s="794"/>
      <c r="T1019" s="794"/>
      <c r="U1019" s="794"/>
      <c r="V1019" s="794"/>
    </row>
    <row r="1020" spans="1:22" ht="14.5">
      <c r="A1020" s="794"/>
      <c r="B1020" s="799"/>
      <c r="C1020" s="794"/>
      <c r="D1020" s="794"/>
      <c r="E1020" s="794"/>
      <c r="F1020" s="794"/>
      <c r="G1020" s="794"/>
      <c r="H1020" s="794"/>
      <c r="I1020" s="794"/>
      <c r="J1020" s="794"/>
      <c r="K1020" s="794"/>
      <c r="L1020" s="794"/>
      <c r="M1020" s="794"/>
      <c r="N1020" s="794"/>
      <c r="O1020" s="794"/>
      <c r="P1020" s="794"/>
      <c r="Q1020" s="794"/>
      <c r="R1020" s="794"/>
      <c r="S1020" s="794"/>
      <c r="T1020" s="794"/>
      <c r="U1020" s="794"/>
      <c r="V1020" s="794"/>
    </row>
    <row r="1021" spans="1:22" ht="14.5">
      <c r="A1021" s="794"/>
      <c r="B1021" s="799"/>
      <c r="C1021" s="794"/>
      <c r="D1021" s="794"/>
      <c r="E1021" s="794"/>
      <c r="F1021" s="794"/>
      <c r="G1021" s="794"/>
      <c r="H1021" s="794"/>
      <c r="I1021" s="794"/>
      <c r="J1021" s="794"/>
      <c r="K1021" s="794"/>
      <c r="L1021" s="794"/>
      <c r="M1021" s="794"/>
      <c r="N1021" s="794"/>
      <c r="O1021" s="794"/>
      <c r="P1021" s="794"/>
      <c r="Q1021" s="794"/>
      <c r="R1021" s="794"/>
      <c r="S1021" s="794"/>
      <c r="T1021" s="794"/>
      <c r="U1021" s="794"/>
      <c r="V1021" s="794"/>
    </row>
    <row r="1022" spans="1:22" ht="14.5">
      <c r="A1022" s="794"/>
      <c r="B1022" s="799"/>
      <c r="C1022" s="794"/>
      <c r="D1022" s="794"/>
      <c r="E1022" s="794"/>
      <c r="F1022" s="794"/>
      <c r="G1022" s="794"/>
      <c r="H1022" s="794"/>
      <c r="I1022" s="794"/>
      <c r="J1022" s="794"/>
      <c r="K1022" s="794"/>
      <c r="L1022" s="794"/>
      <c r="M1022" s="794"/>
      <c r="N1022" s="794"/>
      <c r="O1022" s="794"/>
      <c r="P1022" s="794"/>
      <c r="Q1022" s="794"/>
      <c r="R1022" s="794"/>
      <c r="S1022" s="794"/>
      <c r="T1022" s="794"/>
      <c r="U1022" s="794"/>
      <c r="V1022" s="794"/>
    </row>
    <row r="1023" spans="1:22" ht="14.5">
      <c r="A1023" s="794"/>
      <c r="B1023" s="799"/>
      <c r="C1023" s="794"/>
      <c r="D1023" s="794"/>
      <c r="E1023" s="794"/>
      <c r="F1023" s="794"/>
      <c r="G1023" s="794"/>
      <c r="H1023" s="794"/>
      <c r="I1023" s="794"/>
      <c r="J1023" s="794"/>
      <c r="K1023" s="794"/>
      <c r="L1023" s="794"/>
      <c r="M1023" s="794"/>
      <c r="N1023" s="794"/>
      <c r="O1023" s="794"/>
      <c r="P1023" s="794"/>
      <c r="Q1023" s="794"/>
      <c r="R1023" s="794"/>
      <c r="S1023" s="794"/>
      <c r="T1023" s="794"/>
      <c r="U1023" s="794"/>
      <c r="V1023" s="794"/>
    </row>
    <row r="1024" spans="1:22" ht="14.5">
      <c r="A1024" s="794"/>
      <c r="B1024" s="799"/>
      <c r="C1024" s="794"/>
      <c r="D1024" s="794"/>
      <c r="E1024" s="794"/>
      <c r="F1024" s="794"/>
      <c r="G1024" s="794"/>
      <c r="H1024" s="794"/>
      <c r="I1024" s="794"/>
      <c r="J1024" s="794"/>
      <c r="K1024" s="794"/>
      <c r="L1024" s="794"/>
      <c r="M1024" s="794"/>
      <c r="N1024" s="794"/>
      <c r="O1024" s="794"/>
      <c r="P1024" s="794"/>
      <c r="Q1024" s="794"/>
      <c r="R1024" s="794"/>
      <c r="S1024" s="794"/>
      <c r="T1024" s="794"/>
      <c r="U1024" s="794"/>
      <c r="V1024" s="794"/>
    </row>
    <row r="1025" spans="1:22" ht="14.5">
      <c r="A1025" s="794"/>
      <c r="B1025" s="799"/>
      <c r="C1025" s="794"/>
      <c r="D1025" s="794"/>
      <c r="E1025" s="794"/>
      <c r="F1025" s="794"/>
      <c r="G1025" s="794"/>
      <c r="H1025" s="794"/>
      <c r="I1025" s="794"/>
      <c r="J1025" s="794"/>
      <c r="K1025" s="794"/>
      <c r="L1025" s="794"/>
      <c r="M1025" s="794"/>
      <c r="N1025" s="794"/>
      <c r="O1025" s="794"/>
      <c r="P1025" s="794"/>
      <c r="Q1025" s="794"/>
      <c r="R1025" s="794"/>
      <c r="S1025" s="794"/>
      <c r="T1025" s="794"/>
      <c r="U1025" s="794"/>
      <c r="V1025" s="794"/>
    </row>
    <row r="1026" spans="1:22" ht="14.5">
      <c r="A1026" s="794"/>
      <c r="B1026" s="799"/>
      <c r="C1026" s="794"/>
      <c r="D1026" s="794"/>
      <c r="E1026" s="794"/>
      <c r="F1026" s="794"/>
      <c r="G1026" s="794"/>
      <c r="H1026" s="794"/>
      <c r="I1026" s="794"/>
      <c r="J1026" s="794"/>
      <c r="K1026" s="794"/>
      <c r="L1026" s="794"/>
      <c r="M1026" s="794"/>
      <c r="N1026" s="794"/>
      <c r="O1026" s="794"/>
      <c r="P1026" s="794"/>
      <c r="Q1026" s="794"/>
      <c r="R1026" s="794"/>
      <c r="S1026" s="794"/>
      <c r="T1026" s="794"/>
      <c r="U1026" s="794"/>
      <c r="V1026" s="794"/>
    </row>
    <row r="1027" spans="1:22" ht="14.5">
      <c r="A1027" s="794"/>
      <c r="B1027" s="799"/>
      <c r="C1027" s="794"/>
      <c r="D1027" s="794"/>
      <c r="E1027" s="794"/>
      <c r="F1027" s="794"/>
      <c r="G1027" s="794"/>
      <c r="H1027" s="794"/>
      <c r="I1027" s="794"/>
      <c r="J1027" s="794"/>
      <c r="K1027" s="794"/>
      <c r="L1027" s="794"/>
      <c r="M1027" s="794"/>
      <c r="N1027" s="794"/>
      <c r="O1027" s="794"/>
      <c r="P1027" s="794"/>
      <c r="Q1027" s="794"/>
      <c r="R1027" s="794"/>
      <c r="S1027" s="794"/>
      <c r="T1027" s="794"/>
      <c r="U1027" s="794"/>
      <c r="V1027" s="794"/>
    </row>
    <row r="1028" spans="1:22" ht="14.5">
      <c r="A1028" s="794"/>
      <c r="B1028" s="799"/>
      <c r="C1028" s="794"/>
      <c r="D1028" s="794"/>
      <c r="E1028" s="794"/>
      <c r="F1028" s="794"/>
      <c r="G1028" s="794"/>
      <c r="H1028" s="794"/>
      <c r="I1028" s="794"/>
      <c r="J1028" s="794"/>
      <c r="K1028" s="794"/>
      <c r="L1028" s="794"/>
      <c r="M1028" s="794"/>
      <c r="N1028" s="794"/>
      <c r="O1028" s="794"/>
      <c r="P1028" s="794"/>
      <c r="Q1028" s="794"/>
      <c r="R1028" s="794"/>
      <c r="S1028" s="794"/>
      <c r="T1028" s="794"/>
      <c r="U1028" s="794"/>
      <c r="V1028" s="794"/>
    </row>
    <row r="1029" spans="1:22" ht="14.5">
      <c r="A1029" s="794"/>
      <c r="B1029" s="799"/>
      <c r="C1029" s="794"/>
      <c r="D1029" s="794"/>
      <c r="E1029" s="794"/>
      <c r="F1029" s="794"/>
      <c r="G1029" s="794"/>
      <c r="H1029" s="794"/>
      <c r="I1029" s="794"/>
      <c r="J1029" s="794"/>
      <c r="K1029" s="794"/>
      <c r="L1029" s="794"/>
      <c r="M1029" s="794"/>
      <c r="N1029" s="794"/>
      <c r="O1029" s="794"/>
      <c r="P1029" s="794"/>
      <c r="Q1029" s="794"/>
      <c r="R1029" s="794"/>
      <c r="S1029" s="794"/>
      <c r="T1029" s="794"/>
      <c r="U1029" s="794"/>
      <c r="V1029" s="794"/>
    </row>
    <row r="1030" spans="1:22" ht="14.5">
      <c r="A1030" s="794"/>
      <c r="B1030" s="799"/>
      <c r="C1030" s="794"/>
      <c r="D1030" s="794"/>
      <c r="E1030" s="794"/>
      <c r="F1030" s="794"/>
      <c r="G1030" s="794"/>
      <c r="H1030" s="794"/>
      <c r="I1030" s="794"/>
      <c r="J1030" s="794"/>
      <c r="K1030" s="794"/>
      <c r="L1030" s="794"/>
      <c r="M1030" s="794"/>
      <c r="N1030" s="794"/>
      <c r="O1030" s="794"/>
      <c r="P1030" s="794"/>
      <c r="Q1030" s="794"/>
      <c r="R1030" s="794"/>
      <c r="S1030" s="794"/>
      <c r="T1030" s="794"/>
      <c r="U1030" s="794"/>
      <c r="V1030" s="794"/>
    </row>
    <row r="1031" spans="1:22" ht="14.5">
      <c r="A1031" s="794"/>
      <c r="B1031" s="799"/>
      <c r="C1031" s="794"/>
      <c r="D1031" s="794"/>
      <c r="E1031" s="794"/>
      <c r="F1031" s="794"/>
      <c r="G1031" s="794"/>
      <c r="H1031" s="794"/>
      <c r="I1031" s="794"/>
      <c r="J1031" s="794"/>
      <c r="K1031" s="794"/>
      <c r="L1031" s="794"/>
      <c r="M1031" s="794"/>
      <c r="N1031" s="794"/>
      <c r="O1031" s="794"/>
      <c r="P1031" s="794"/>
      <c r="Q1031" s="794"/>
      <c r="R1031" s="794"/>
      <c r="S1031" s="794"/>
      <c r="T1031" s="794"/>
      <c r="U1031" s="794"/>
      <c r="V1031" s="794"/>
    </row>
    <row r="1032" spans="1:22" ht="14.5">
      <c r="A1032" s="794"/>
      <c r="B1032" s="799"/>
      <c r="C1032" s="794"/>
      <c r="D1032" s="794"/>
      <c r="E1032" s="794"/>
      <c r="F1032" s="794"/>
      <c r="G1032" s="794"/>
      <c r="H1032" s="794"/>
      <c r="I1032" s="794"/>
      <c r="J1032" s="794"/>
      <c r="K1032" s="794"/>
      <c r="L1032" s="794"/>
      <c r="M1032" s="794"/>
      <c r="N1032" s="794"/>
      <c r="O1032" s="794"/>
      <c r="P1032" s="794"/>
      <c r="Q1032" s="794"/>
      <c r="R1032" s="794"/>
      <c r="S1032" s="794"/>
      <c r="T1032" s="794"/>
      <c r="U1032" s="794"/>
      <c r="V1032" s="794"/>
    </row>
    <row r="1033" spans="1:22" ht="14.5">
      <c r="A1033" s="794"/>
      <c r="B1033" s="799"/>
      <c r="C1033" s="794"/>
      <c r="D1033" s="794"/>
      <c r="E1033" s="794"/>
      <c r="F1033" s="794"/>
      <c r="G1033" s="794"/>
      <c r="H1033" s="794"/>
      <c r="I1033" s="794"/>
      <c r="J1033" s="794"/>
      <c r="K1033" s="794"/>
      <c r="L1033" s="794"/>
      <c r="M1033" s="794"/>
      <c r="N1033" s="794"/>
      <c r="O1033" s="794"/>
      <c r="P1033" s="794"/>
      <c r="Q1033" s="794"/>
      <c r="R1033" s="794"/>
      <c r="S1033" s="794"/>
      <c r="T1033" s="794"/>
      <c r="U1033" s="794"/>
      <c r="V1033" s="794"/>
    </row>
    <row r="1034" spans="1:22" ht="14.5">
      <c r="A1034" s="794"/>
      <c r="B1034" s="799"/>
      <c r="C1034" s="794"/>
      <c r="D1034" s="794"/>
      <c r="E1034" s="794"/>
      <c r="F1034" s="794"/>
      <c r="G1034" s="794"/>
      <c r="H1034" s="794"/>
      <c r="I1034" s="794"/>
      <c r="J1034" s="794"/>
      <c r="K1034" s="794"/>
      <c r="L1034" s="794"/>
      <c r="M1034" s="794"/>
      <c r="N1034" s="794"/>
      <c r="O1034" s="794"/>
      <c r="P1034" s="794"/>
      <c r="Q1034" s="794"/>
      <c r="R1034" s="794"/>
      <c r="S1034" s="794"/>
      <c r="T1034" s="794"/>
      <c r="U1034" s="794"/>
      <c r="V1034" s="794"/>
    </row>
    <row r="1035" spans="1:22" ht="14.5">
      <c r="A1035" s="794"/>
      <c r="B1035" s="799"/>
      <c r="C1035" s="794"/>
      <c r="D1035" s="794"/>
      <c r="E1035" s="794"/>
      <c r="F1035" s="794"/>
      <c r="G1035" s="794"/>
      <c r="H1035" s="794"/>
      <c r="I1035" s="794"/>
      <c r="J1035" s="794"/>
      <c r="K1035" s="794"/>
      <c r="L1035" s="794"/>
      <c r="M1035" s="794"/>
      <c r="N1035" s="794"/>
      <c r="O1035" s="794"/>
      <c r="P1035" s="794"/>
      <c r="Q1035" s="794"/>
      <c r="R1035" s="794"/>
      <c r="S1035" s="794"/>
      <c r="T1035" s="794"/>
      <c r="U1035" s="794"/>
      <c r="V1035" s="794"/>
    </row>
    <row r="1036" spans="1:22" ht="14.5">
      <c r="A1036" s="794"/>
      <c r="B1036" s="799"/>
      <c r="C1036" s="794"/>
      <c r="D1036" s="794"/>
      <c r="E1036" s="794"/>
      <c r="F1036" s="794"/>
      <c r="G1036" s="794"/>
      <c r="H1036" s="794"/>
      <c r="I1036" s="794"/>
      <c r="J1036" s="794"/>
      <c r="K1036" s="794"/>
      <c r="L1036" s="794"/>
      <c r="M1036" s="794"/>
      <c r="N1036" s="794"/>
      <c r="O1036" s="794"/>
      <c r="P1036" s="794"/>
      <c r="Q1036" s="794"/>
      <c r="R1036" s="794"/>
      <c r="S1036" s="794"/>
      <c r="T1036" s="794"/>
      <c r="U1036" s="794"/>
      <c r="V1036" s="794"/>
    </row>
    <row r="1037" spans="1:22" ht="14.5">
      <c r="A1037" s="794"/>
      <c r="B1037" s="799"/>
      <c r="C1037" s="794"/>
      <c r="D1037" s="794"/>
      <c r="E1037" s="794"/>
      <c r="F1037" s="794"/>
      <c r="G1037" s="794"/>
      <c r="H1037" s="794"/>
      <c r="I1037" s="794"/>
      <c r="J1037" s="794"/>
      <c r="K1037" s="794"/>
      <c r="L1037" s="794"/>
      <c r="M1037" s="794"/>
      <c r="N1037" s="794"/>
      <c r="O1037" s="794"/>
      <c r="P1037" s="794"/>
      <c r="Q1037" s="794"/>
      <c r="R1037" s="794"/>
      <c r="S1037" s="794"/>
      <c r="T1037" s="794"/>
      <c r="U1037" s="794"/>
      <c r="V1037" s="794"/>
    </row>
    <row r="1038" spans="1:22" ht="14.5">
      <c r="A1038" s="794"/>
      <c r="B1038" s="799"/>
      <c r="C1038" s="794"/>
      <c r="D1038" s="794"/>
      <c r="E1038" s="794"/>
      <c r="F1038" s="794"/>
      <c r="G1038" s="794"/>
      <c r="H1038" s="794"/>
      <c r="I1038" s="794"/>
      <c r="J1038" s="794"/>
      <c r="K1038" s="794"/>
      <c r="L1038" s="794"/>
      <c r="M1038" s="794"/>
      <c r="N1038" s="794"/>
      <c r="O1038" s="794"/>
      <c r="P1038" s="794"/>
      <c r="Q1038" s="794"/>
      <c r="R1038" s="794"/>
      <c r="S1038" s="794"/>
      <c r="T1038" s="794"/>
      <c r="U1038" s="794"/>
      <c r="V1038" s="794"/>
    </row>
    <row r="1039" spans="1:22" ht="14.5">
      <c r="A1039" s="794"/>
      <c r="B1039" s="799"/>
      <c r="C1039" s="794"/>
      <c r="D1039" s="794"/>
      <c r="E1039" s="794"/>
      <c r="F1039" s="794"/>
      <c r="G1039" s="794"/>
      <c r="H1039" s="794"/>
      <c r="I1039" s="794"/>
      <c r="J1039" s="794"/>
      <c r="K1039" s="794"/>
      <c r="L1039" s="794"/>
      <c r="M1039" s="794"/>
      <c r="N1039" s="794"/>
      <c r="O1039" s="794"/>
      <c r="P1039" s="794"/>
      <c r="Q1039" s="794"/>
      <c r="R1039" s="794"/>
      <c r="S1039" s="794"/>
      <c r="T1039" s="794"/>
      <c r="U1039" s="794"/>
      <c r="V1039" s="794"/>
    </row>
    <row r="1040" spans="1:22" ht="14.5">
      <c r="A1040" s="794"/>
      <c r="B1040" s="799"/>
      <c r="C1040" s="794"/>
      <c r="D1040" s="794"/>
      <c r="E1040" s="794"/>
      <c r="F1040" s="794"/>
      <c r="G1040" s="794"/>
      <c r="H1040" s="794"/>
      <c r="I1040" s="794"/>
      <c r="J1040" s="794"/>
      <c r="K1040" s="794"/>
      <c r="L1040" s="794"/>
      <c r="M1040" s="794"/>
      <c r="N1040" s="794"/>
      <c r="O1040" s="794"/>
      <c r="P1040" s="794"/>
      <c r="Q1040" s="794"/>
      <c r="R1040" s="794"/>
      <c r="S1040" s="794"/>
      <c r="T1040" s="794"/>
      <c r="U1040" s="794"/>
      <c r="V1040" s="794"/>
    </row>
    <row r="1041" spans="1:22" ht="14.5">
      <c r="A1041" s="794"/>
      <c r="B1041" s="799"/>
      <c r="C1041" s="794"/>
      <c r="D1041" s="794"/>
      <c r="E1041" s="794"/>
      <c r="F1041" s="794"/>
      <c r="G1041" s="794"/>
      <c r="H1041" s="794"/>
      <c r="I1041" s="794"/>
      <c r="J1041" s="794"/>
      <c r="K1041" s="794"/>
      <c r="L1041" s="794"/>
      <c r="M1041" s="794"/>
      <c r="N1041" s="794"/>
      <c r="O1041" s="794"/>
      <c r="P1041" s="794"/>
      <c r="Q1041" s="794"/>
      <c r="R1041" s="794"/>
      <c r="S1041" s="794"/>
      <c r="T1041" s="794"/>
      <c r="U1041" s="794"/>
      <c r="V1041" s="794"/>
    </row>
    <row r="1042" spans="1:22" ht="14.5">
      <c r="A1042" s="794"/>
      <c r="B1042" s="799"/>
      <c r="C1042" s="794"/>
      <c r="D1042" s="794"/>
      <c r="E1042" s="794"/>
      <c r="F1042" s="794"/>
      <c r="G1042" s="794"/>
      <c r="H1042" s="794"/>
      <c r="I1042" s="794"/>
      <c r="J1042" s="794"/>
      <c r="K1042" s="794"/>
      <c r="L1042" s="794"/>
      <c r="M1042" s="794"/>
      <c r="N1042" s="794"/>
      <c r="O1042" s="794"/>
      <c r="P1042" s="794"/>
      <c r="Q1042" s="794"/>
      <c r="R1042" s="794"/>
      <c r="S1042" s="794"/>
      <c r="T1042" s="794"/>
      <c r="U1042" s="794"/>
      <c r="V1042" s="794"/>
    </row>
    <row r="1043" spans="1:22" ht="14.5">
      <c r="A1043" s="794"/>
      <c r="B1043" s="799"/>
      <c r="C1043" s="794"/>
      <c r="D1043" s="794"/>
      <c r="E1043" s="794"/>
      <c r="F1043" s="794"/>
      <c r="G1043" s="794"/>
      <c r="H1043" s="794"/>
      <c r="I1043" s="794"/>
      <c r="J1043" s="794"/>
      <c r="K1043" s="794"/>
      <c r="L1043" s="794"/>
      <c r="M1043" s="794"/>
      <c r="N1043" s="794"/>
      <c r="O1043" s="794"/>
      <c r="P1043" s="794"/>
      <c r="Q1043" s="794"/>
      <c r="R1043" s="794"/>
      <c r="S1043" s="794"/>
      <c r="T1043" s="794"/>
      <c r="U1043" s="794"/>
      <c r="V1043" s="794"/>
    </row>
    <row r="1044" spans="1:22" ht="14.5">
      <c r="A1044" s="794"/>
      <c r="B1044" s="799"/>
      <c r="C1044" s="794"/>
      <c r="D1044" s="794"/>
      <c r="E1044" s="794"/>
      <c r="F1044" s="794"/>
      <c r="G1044" s="794"/>
      <c r="H1044" s="794"/>
      <c r="I1044" s="794"/>
      <c r="J1044" s="794"/>
      <c r="K1044" s="794"/>
      <c r="L1044" s="794"/>
      <c r="M1044" s="794"/>
      <c r="N1044" s="794"/>
      <c r="O1044" s="794"/>
      <c r="P1044" s="794"/>
      <c r="Q1044" s="794"/>
      <c r="R1044" s="794"/>
      <c r="S1044" s="794"/>
      <c r="T1044" s="794"/>
      <c r="U1044" s="794"/>
      <c r="V1044" s="794"/>
    </row>
    <row r="1045" spans="1:22" ht="14.5">
      <c r="A1045" s="794"/>
      <c r="B1045" s="799"/>
      <c r="C1045" s="794"/>
      <c r="D1045" s="794"/>
      <c r="E1045" s="794"/>
      <c r="F1045" s="794"/>
      <c r="G1045" s="794"/>
      <c r="H1045" s="794"/>
      <c r="I1045" s="794"/>
      <c r="J1045" s="794"/>
      <c r="K1045" s="794"/>
      <c r="L1045" s="794"/>
      <c r="M1045" s="794"/>
      <c r="N1045" s="794"/>
      <c r="O1045" s="794"/>
      <c r="P1045" s="794"/>
      <c r="Q1045" s="794"/>
      <c r="R1045" s="794"/>
      <c r="S1045" s="794"/>
      <c r="T1045" s="794"/>
      <c r="U1045" s="794"/>
      <c r="V1045" s="794"/>
    </row>
    <row r="1046" spans="1:22" ht="14.5">
      <c r="A1046" s="794"/>
      <c r="B1046" s="799"/>
      <c r="C1046" s="794"/>
      <c r="D1046" s="794"/>
      <c r="E1046" s="794"/>
      <c r="F1046" s="794"/>
      <c r="G1046" s="794"/>
      <c r="H1046" s="794"/>
      <c r="I1046" s="794"/>
      <c r="J1046" s="794"/>
      <c r="K1046" s="794"/>
      <c r="L1046" s="794"/>
      <c r="M1046" s="794"/>
      <c r="N1046" s="794"/>
      <c r="O1046" s="794"/>
      <c r="P1046" s="794"/>
      <c r="Q1046" s="794"/>
      <c r="R1046" s="794"/>
      <c r="S1046" s="794"/>
      <c r="T1046" s="794"/>
      <c r="U1046" s="794"/>
      <c r="V1046" s="794"/>
    </row>
    <row r="1047" spans="1:22" ht="14.5">
      <c r="A1047" s="794"/>
      <c r="B1047" s="799"/>
      <c r="C1047" s="794"/>
      <c r="D1047" s="794"/>
      <c r="E1047" s="794"/>
      <c r="F1047" s="794"/>
      <c r="G1047" s="794"/>
      <c r="H1047" s="794"/>
      <c r="I1047" s="794"/>
      <c r="J1047" s="794"/>
      <c r="K1047" s="794"/>
      <c r="L1047" s="794"/>
      <c r="M1047" s="794"/>
      <c r="N1047" s="794"/>
      <c r="O1047" s="794"/>
      <c r="P1047" s="794"/>
      <c r="Q1047" s="794"/>
      <c r="R1047" s="794"/>
      <c r="S1047" s="794"/>
      <c r="T1047" s="794"/>
      <c r="U1047" s="794"/>
      <c r="V1047" s="794"/>
    </row>
    <row r="1048" spans="1:22" ht="14.5">
      <c r="A1048" s="794"/>
      <c r="B1048" s="799"/>
      <c r="C1048" s="794"/>
      <c r="D1048" s="794"/>
      <c r="E1048" s="794"/>
      <c r="F1048" s="794"/>
      <c r="G1048" s="794"/>
      <c r="H1048" s="794"/>
      <c r="I1048" s="794"/>
      <c r="J1048" s="794"/>
      <c r="K1048" s="794"/>
      <c r="L1048" s="794"/>
      <c r="M1048" s="794"/>
      <c r="N1048" s="794"/>
      <c r="O1048" s="794"/>
      <c r="P1048" s="794"/>
      <c r="Q1048" s="794"/>
      <c r="R1048" s="794"/>
      <c r="S1048" s="794"/>
      <c r="T1048" s="794"/>
      <c r="U1048" s="794"/>
      <c r="V1048" s="794"/>
    </row>
    <row r="1049" spans="1:22" ht="14.5">
      <c r="A1049" s="794"/>
      <c r="B1049" s="799"/>
      <c r="C1049" s="794"/>
      <c r="D1049" s="794"/>
      <c r="E1049" s="794"/>
      <c r="F1049" s="794"/>
      <c r="G1049" s="794"/>
      <c r="H1049" s="794"/>
      <c r="I1049" s="794"/>
      <c r="J1049" s="794"/>
      <c r="K1049" s="794"/>
      <c r="L1049" s="794"/>
      <c r="M1049" s="794"/>
      <c r="N1049" s="794"/>
      <c r="O1049" s="794"/>
      <c r="P1049" s="794"/>
      <c r="Q1049" s="794"/>
      <c r="R1049" s="794"/>
      <c r="S1049" s="794"/>
      <c r="T1049" s="794"/>
      <c r="U1049" s="794"/>
      <c r="V1049" s="794"/>
    </row>
    <row r="1050" spans="1:22" ht="14.5">
      <c r="A1050" s="794"/>
      <c r="B1050" s="799"/>
      <c r="C1050" s="794"/>
      <c r="D1050" s="794"/>
      <c r="E1050" s="794"/>
      <c r="F1050" s="794"/>
      <c r="G1050" s="794"/>
      <c r="H1050" s="794"/>
      <c r="I1050" s="794"/>
      <c r="J1050" s="794"/>
      <c r="K1050" s="794"/>
      <c r="L1050" s="794"/>
      <c r="M1050" s="794"/>
      <c r="N1050" s="794"/>
      <c r="O1050" s="794"/>
      <c r="P1050" s="794"/>
      <c r="Q1050" s="794"/>
      <c r="R1050" s="794"/>
      <c r="S1050" s="794"/>
      <c r="T1050" s="794"/>
      <c r="U1050" s="794"/>
      <c r="V1050" s="794"/>
    </row>
    <row r="1051" spans="1:22" ht="14.5">
      <c r="A1051" s="794"/>
      <c r="B1051" s="799"/>
      <c r="C1051" s="794"/>
      <c r="D1051" s="794"/>
      <c r="E1051" s="794"/>
      <c r="F1051" s="794"/>
      <c r="G1051" s="794"/>
      <c r="H1051" s="794"/>
      <c r="I1051" s="794"/>
      <c r="J1051" s="794"/>
      <c r="K1051" s="794"/>
      <c r="L1051" s="794"/>
      <c r="M1051" s="794"/>
      <c r="N1051" s="794"/>
      <c r="O1051" s="794"/>
      <c r="P1051" s="794"/>
      <c r="Q1051" s="794"/>
      <c r="R1051" s="794"/>
      <c r="S1051" s="794"/>
      <c r="T1051" s="794"/>
      <c r="U1051" s="794"/>
      <c r="V1051" s="794"/>
    </row>
    <row r="1052" spans="1:22" ht="14.5">
      <c r="A1052" s="794"/>
      <c r="B1052" s="799"/>
      <c r="C1052" s="794"/>
      <c r="D1052" s="794"/>
      <c r="E1052" s="794"/>
      <c r="F1052" s="794"/>
      <c r="G1052" s="794"/>
      <c r="H1052" s="794"/>
      <c r="I1052" s="794"/>
      <c r="J1052" s="794"/>
      <c r="K1052" s="794"/>
      <c r="L1052" s="794"/>
      <c r="M1052" s="794"/>
      <c r="N1052" s="794"/>
      <c r="O1052" s="794"/>
      <c r="P1052" s="794"/>
      <c r="Q1052" s="794"/>
      <c r="R1052" s="794"/>
      <c r="S1052" s="794"/>
      <c r="T1052" s="794"/>
      <c r="U1052" s="794"/>
      <c r="V1052" s="794"/>
    </row>
    <row r="1053" spans="1:22" ht="14.5">
      <c r="A1053" s="794"/>
      <c r="B1053" s="799"/>
      <c r="C1053" s="794"/>
      <c r="D1053" s="794"/>
      <c r="E1053" s="794"/>
      <c r="F1053" s="794"/>
      <c r="G1053" s="794"/>
      <c r="H1053" s="794"/>
      <c r="I1053" s="794"/>
      <c r="J1053" s="794"/>
      <c r="K1053" s="794"/>
      <c r="L1053" s="794"/>
      <c r="M1053" s="794"/>
      <c r="N1053" s="794"/>
      <c r="O1053" s="794"/>
      <c r="P1053" s="794"/>
      <c r="Q1053" s="794"/>
      <c r="R1053" s="794"/>
      <c r="S1053" s="794"/>
      <c r="T1053" s="794"/>
      <c r="U1053" s="794"/>
      <c r="V1053" s="794"/>
    </row>
    <row r="1054" spans="1:22" ht="14.5">
      <c r="A1054" s="794"/>
      <c r="B1054" s="799"/>
      <c r="C1054" s="794"/>
      <c r="D1054" s="794"/>
      <c r="E1054" s="794"/>
      <c r="F1054" s="794"/>
      <c r="G1054" s="794"/>
      <c r="H1054" s="794"/>
      <c r="I1054" s="794"/>
      <c r="J1054" s="794"/>
      <c r="K1054" s="794"/>
      <c r="L1054" s="794"/>
      <c r="M1054" s="794"/>
      <c r="N1054" s="794"/>
      <c r="O1054" s="794"/>
      <c r="P1054" s="794"/>
      <c r="Q1054" s="794"/>
      <c r="R1054" s="794"/>
      <c r="S1054" s="794"/>
      <c r="T1054" s="794"/>
      <c r="U1054" s="794"/>
      <c r="V1054" s="794"/>
    </row>
    <row r="1055" spans="1:22" ht="14.5">
      <c r="A1055" s="794"/>
      <c r="B1055" s="799"/>
      <c r="C1055" s="794"/>
      <c r="D1055" s="794"/>
      <c r="E1055" s="794"/>
      <c r="F1055" s="794"/>
      <c r="G1055" s="794"/>
      <c r="H1055" s="794"/>
      <c r="I1055" s="794"/>
      <c r="J1055" s="794"/>
      <c r="K1055" s="794"/>
      <c r="L1055" s="794"/>
      <c r="M1055" s="794"/>
      <c r="N1055" s="794"/>
      <c r="O1055" s="794"/>
      <c r="P1055" s="794"/>
      <c r="Q1055" s="794"/>
      <c r="R1055" s="794"/>
      <c r="S1055" s="794"/>
      <c r="T1055" s="794"/>
      <c r="U1055" s="794"/>
      <c r="V1055" s="794"/>
    </row>
    <row r="1056" spans="1:22" ht="14.5">
      <c r="A1056" s="794"/>
      <c r="B1056" s="799"/>
      <c r="C1056" s="794"/>
      <c r="D1056" s="794"/>
      <c r="E1056" s="794"/>
      <c r="F1056" s="794"/>
      <c r="G1056" s="794"/>
      <c r="H1056" s="794"/>
      <c r="I1056" s="794"/>
      <c r="J1056" s="794"/>
      <c r="K1056" s="794"/>
      <c r="L1056" s="794"/>
      <c r="M1056" s="794"/>
      <c r="N1056" s="794"/>
      <c r="O1056" s="794"/>
      <c r="P1056" s="794"/>
      <c r="Q1056" s="794"/>
      <c r="R1056" s="794"/>
      <c r="S1056" s="794"/>
      <c r="T1056" s="794"/>
      <c r="U1056" s="794"/>
      <c r="V1056" s="794"/>
    </row>
    <row r="1057" spans="1:22" ht="14.5">
      <c r="A1057" s="794"/>
      <c r="B1057" s="799"/>
      <c r="C1057" s="794"/>
      <c r="D1057" s="794"/>
      <c r="E1057" s="794"/>
      <c r="F1057" s="794"/>
      <c r="G1057" s="794"/>
      <c r="H1057" s="794"/>
      <c r="I1057" s="794"/>
      <c r="J1057" s="794"/>
      <c r="K1057" s="794"/>
      <c r="L1057" s="794"/>
      <c r="M1057" s="794"/>
      <c r="N1057" s="794"/>
      <c r="O1057" s="794"/>
      <c r="P1057" s="794"/>
      <c r="Q1057" s="794"/>
      <c r="R1057" s="794"/>
      <c r="S1057" s="794"/>
      <c r="T1057" s="794"/>
      <c r="U1057" s="794"/>
      <c r="V1057" s="794"/>
    </row>
    <row r="1058" spans="1:22" ht="14.5">
      <c r="A1058" s="794"/>
      <c r="B1058" s="799"/>
      <c r="C1058" s="794"/>
      <c r="D1058" s="794"/>
      <c r="E1058" s="794"/>
      <c r="F1058" s="794"/>
      <c r="G1058" s="794"/>
      <c r="H1058" s="794"/>
      <c r="I1058" s="794"/>
      <c r="J1058" s="794"/>
      <c r="K1058" s="794"/>
      <c r="L1058" s="794"/>
      <c r="M1058" s="794"/>
      <c r="N1058" s="794"/>
      <c r="O1058" s="794"/>
      <c r="P1058" s="794"/>
      <c r="Q1058" s="794"/>
      <c r="R1058" s="794"/>
      <c r="S1058" s="794"/>
      <c r="T1058" s="794"/>
      <c r="U1058" s="794"/>
      <c r="V1058" s="794"/>
    </row>
    <row r="1059" spans="1:22" ht="14.5">
      <c r="A1059" s="794"/>
      <c r="B1059" s="799"/>
      <c r="C1059" s="794"/>
      <c r="D1059" s="794"/>
      <c r="E1059" s="794"/>
      <c r="F1059" s="794"/>
      <c r="G1059" s="794"/>
      <c r="H1059" s="794"/>
      <c r="I1059" s="794"/>
      <c r="J1059" s="794"/>
      <c r="K1059" s="794"/>
      <c r="L1059" s="794"/>
      <c r="M1059" s="794"/>
      <c r="N1059" s="794"/>
      <c r="O1059" s="794"/>
      <c r="P1059" s="794"/>
      <c r="Q1059" s="794"/>
      <c r="R1059" s="794"/>
      <c r="S1059" s="794"/>
      <c r="T1059" s="794"/>
      <c r="U1059" s="794"/>
      <c r="V1059" s="794"/>
    </row>
    <row r="1060" spans="1:22" ht="14.5">
      <c r="A1060" s="794"/>
      <c r="B1060" s="799"/>
      <c r="C1060" s="794"/>
      <c r="D1060" s="794"/>
      <c r="E1060" s="794"/>
      <c r="F1060" s="794"/>
      <c r="G1060" s="794"/>
      <c r="H1060" s="794"/>
      <c r="I1060" s="794"/>
      <c r="J1060" s="794"/>
      <c r="K1060" s="794"/>
      <c r="L1060" s="794"/>
      <c r="M1060" s="794"/>
      <c r="N1060" s="794"/>
      <c r="O1060" s="794"/>
      <c r="P1060" s="794"/>
      <c r="Q1060" s="794"/>
      <c r="R1060" s="794"/>
      <c r="S1060" s="794"/>
      <c r="T1060" s="794"/>
      <c r="U1060" s="794"/>
      <c r="V1060" s="794"/>
    </row>
    <row r="1061" spans="1:22" ht="14.5">
      <c r="A1061" s="794"/>
      <c r="B1061" s="799"/>
      <c r="C1061" s="794"/>
      <c r="D1061" s="794"/>
      <c r="E1061" s="794"/>
      <c r="F1061" s="794"/>
      <c r="G1061" s="794"/>
      <c r="H1061" s="794"/>
      <c r="I1061" s="794"/>
      <c r="J1061" s="794"/>
      <c r="K1061" s="794"/>
      <c r="L1061" s="794"/>
      <c r="M1061" s="794"/>
      <c r="N1061" s="794"/>
      <c r="O1061" s="794"/>
      <c r="P1061" s="794"/>
      <c r="Q1061" s="794"/>
      <c r="R1061" s="794"/>
      <c r="S1061" s="794"/>
      <c r="T1061" s="794"/>
      <c r="U1061" s="794"/>
      <c r="V1061" s="794"/>
    </row>
    <row r="1062" spans="1:22" ht="14.5">
      <c r="A1062" s="794"/>
      <c r="B1062" s="799"/>
      <c r="C1062" s="794"/>
      <c r="D1062" s="794"/>
      <c r="E1062" s="794"/>
      <c r="F1062" s="794"/>
      <c r="G1062" s="794"/>
      <c r="H1062" s="794"/>
      <c r="I1062" s="794"/>
      <c r="J1062" s="794"/>
      <c r="K1062" s="794"/>
      <c r="L1062" s="794"/>
      <c r="M1062" s="794"/>
      <c r="N1062" s="794"/>
      <c r="O1062" s="794"/>
      <c r="P1062" s="794"/>
      <c r="Q1062" s="794"/>
      <c r="R1062" s="794"/>
      <c r="S1062" s="794"/>
      <c r="T1062" s="794"/>
      <c r="U1062" s="794"/>
      <c r="V1062" s="794"/>
    </row>
    <row r="1063" spans="1:22" ht="14.5">
      <c r="A1063" s="794"/>
      <c r="B1063" s="799"/>
      <c r="C1063" s="794"/>
      <c r="D1063" s="794"/>
      <c r="E1063" s="794"/>
      <c r="F1063" s="794"/>
      <c r="G1063" s="794"/>
      <c r="H1063" s="794"/>
      <c r="I1063" s="794"/>
      <c r="J1063" s="794"/>
      <c r="K1063" s="794"/>
      <c r="L1063" s="794"/>
      <c r="M1063" s="794"/>
      <c r="N1063" s="794"/>
      <c r="O1063" s="794"/>
      <c r="P1063" s="794"/>
      <c r="Q1063" s="794"/>
      <c r="R1063" s="794"/>
      <c r="S1063" s="794"/>
      <c r="T1063" s="794"/>
      <c r="U1063" s="794"/>
      <c r="V1063" s="794"/>
    </row>
    <row r="1064" spans="1:22" ht="14.5">
      <c r="A1064" s="794"/>
      <c r="B1064" s="799"/>
      <c r="C1064" s="794"/>
      <c r="D1064" s="794"/>
      <c r="E1064" s="794"/>
      <c r="F1064" s="794"/>
      <c r="G1064" s="794"/>
      <c r="H1064" s="794"/>
      <c r="I1064" s="794"/>
      <c r="J1064" s="794"/>
      <c r="K1064" s="794"/>
      <c r="L1064" s="794"/>
      <c r="M1064" s="794"/>
      <c r="N1064" s="794"/>
      <c r="O1064" s="794"/>
      <c r="P1064" s="794"/>
      <c r="Q1064" s="794"/>
      <c r="R1064" s="794"/>
      <c r="S1064" s="794"/>
      <c r="T1064" s="794"/>
      <c r="U1064" s="794"/>
      <c r="V1064" s="794"/>
    </row>
    <row r="1065" spans="1:22" ht="14.5">
      <c r="A1065" s="794"/>
      <c r="B1065" s="799"/>
      <c r="C1065" s="794"/>
      <c r="D1065" s="794"/>
      <c r="E1065" s="794"/>
      <c r="F1065" s="794"/>
      <c r="G1065" s="794"/>
      <c r="H1065" s="794"/>
      <c r="I1065" s="794"/>
      <c r="J1065" s="794"/>
      <c r="K1065" s="794"/>
      <c r="L1065" s="794"/>
      <c r="M1065" s="794"/>
      <c r="N1065" s="794"/>
      <c r="O1065" s="794"/>
      <c r="P1065" s="794"/>
      <c r="Q1065" s="794"/>
      <c r="R1065" s="794"/>
      <c r="S1065" s="794"/>
      <c r="T1065" s="794"/>
      <c r="U1065" s="794"/>
      <c r="V1065" s="794"/>
    </row>
    <row r="1066" spans="1:22" ht="14.5">
      <c r="A1066" s="794"/>
      <c r="B1066" s="799"/>
      <c r="C1066" s="794"/>
      <c r="D1066" s="794"/>
      <c r="E1066" s="794"/>
      <c r="F1066" s="794"/>
      <c r="G1066" s="794"/>
      <c r="H1066" s="794"/>
      <c r="I1066" s="794"/>
      <c r="J1066" s="794"/>
      <c r="K1066" s="794"/>
      <c r="L1066" s="794"/>
      <c r="M1066" s="794"/>
      <c r="N1066" s="794"/>
      <c r="O1066" s="794"/>
      <c r="P1066" s="794"/>
      <c r="Q1066" s="794"/>
      <c r="R1066" s="794"/>
      <c r="S1066" s="794"/>
      <c r="T1066" s="794"/>
      <c r="U1066" s="794"/>
      <c r="V1066" s="794"/>
    </row>
    <row r="1067" spans="1:22" ht="14.5">
      <c r="A1067" s="794"/>
      <c r="B1067" s="799"/>
      <c r="C1067" s="794"/>
      <c r="D1067" s="794"/>
      <c r="E1067" s="794"/>
      <c r="F1067" s="794"/>
      <c r="G1067" s="794"/>
      <c r="H1067" s="794"/>
      <c r="I1067" s="794"/>
      <c r="J1067" s="794"/>
      <c r="K1067" s="794"/>
      <c r="L1067" s="794"/>
      <c r="M1067" s="794"/>
      <c r="N1067" s="794"/>
      <c r="O1067" s="794"/>
      <c r="P1067" s="794"/>
      <c r="Q1067" s="794"/>
      <c r="R1067" s="794"/>
      <c r="S1067" s="794"/>
      <c r="T1067" s="794"/>
      <c r="U1067" s="794"/>
      <c r="V1067" s="794"/>
    </row>
    <row r="1068" spans="1:22" ht="14.5">
      <c r="A1068" s="794"/>
      <c r="B1068" s="799"/>
      <c r="C1068" s="794"/>
      <c r="D1068" s="794"/>
      <c r="E1068" s="794"/>
      <c r="F1068" s="794"/>
      <c r="G1068" s="794"/>
      <c r="H1068" s="794"/>
      <c r="I1068" s="794"/>
      <c r="J1068" s="794"/>
      <c r="K1068" s="794"/>
      <c r="L1068" s="794"/>
      <c r="M1068" s="794"/>
      <c r="N1068" s="794"/>
      <c r="O1068" s="794"/>
      <c r="P1068" s="794"/>
      <c r="Q1068" s="794"/>
      <c r="R1068" s="794"/>
      <c r="S1068" s="794"/>
      <c r="T1068" s="794"/>
      <c r="U1068" s="794"/>
      <c r="V1068" s="794"/>
    </row>
    <row r="1069" spans="1:22" ht="14.5">
      <c r="A1069" s="794"/>
      <c r="B1069" s="799"/>
      <c r="C1069" s="794"/>
      <c r="D1069" s="794"/>
      <c r="E1069" s="794"/>
      <c r="F1069" s="794"/>
      <c r="G1069" s="794"/>
      <c r="H1069" s="794"/>
      <c r="I1069" s="794"/>
      <c r="J1069" s="794"/>
      <c r="K1069" s="794"/>
      <c r="L1069" s="794"/>
      <c r="M1069" s="794"/>
      <c r="N1069" s="794"/>
      <c r="O1069" s="794"/>
      <c r="P1069" s="794"/>
      <c r="Q1069" s="794"/>
      <c r="R1069" s="794"/>
      <c r="S1069" s="794"/>
      <c r="T1069" s="794"/>
      <c r="U1069" s="794"/>
      <c r="V1069" s="794"/>
    </row>
    <row r="1070" spans="1:22" ht="14.5">
      <c r="A1070" s="794"/>
      <c r="B1070" s="799"/>
      <c r="C1070" s="794"/>
      <c r="D1070" s="794"/>
      <c r="E1070" s="794"/>
      <c r="F1070" s="794"/>
      <c r="G1070" s="794"/>
      <c r="H1070" s="794"/>
      <c r="I1070" s="794"/>
      <c r="J1070" s="794"/>
      <c r="K1070" s="794"/>
      <c r="L1070" s="794"/>
      <c r="M1070" s="794"/>
      <c r="N1070" s="794"/>
      <c r="O1070" s="794"/>
      <c r="P1070" s="794"/>
      <c r="Q1070" s="794"/>
      <c r="R1070" s="794"/>
      <c r="S1070" s="794"/>
      <c r="T1070" s="794"/>
      <c r="U1070" s="794"/>
      <c r="V1070" s="794"/>
    </row>
    <row r="1071" spans="1:22" ht="14.5">
      <c r="A1071" s="794"/>
      <c r="B1071" s="799"/>
      <c r="C1071" s="794"/>
      <c r="D1071" s="794"/>
      <c r="E1071" s="794"/>
      <c r="F1071" s="794"/>
      <c r="G1071" s="794"/>
      <c r="H1071" s="794"/>
      <c r="I1071" s="794"/>
      <c r="J1071" s="794"/>
      <c r="K1071" s="794"/>
      <c r="L1071" s="794"/>
      <c r="M1071" s="794"/>
      <c r="N1071" s="794"/>
      <c r="O1071" s="794"/>
      <c r="P1071" s="794"/>
      <c r="Q1071" s="794"/>
      <c r="R1071" s="794"/>
      <c r="S1071" s="794"/>
      <c r="T1071" s="794"/>
      <c r="U1071" s="794"/>
      <c r="V1071" s="794"/>
    </row>
    <row r="1072" spans="1:22" ht="14.5">
      <c r="A1072" s="794"/>
      <c r="B1072" s="799"/>
      <c r="C1072" s="794"/>
      <c r="D1072" s="794"/>
      <c r="E1072" s="794"/>
      <c r="F1072" s="794"/>
      <c r="G1072" s="794"/>
      <c r="H1072" s="794"/>
      <c r="I1072" s="794"/>
      <c r="J1072" s="794"/>
      <c r="K1072" s="794"/>
      <c r="L1072" s="794"/>
      <c r="M1072" s="794"/>
      <c r="N1072" s="794"/>
      <c r="O1072" s="794"/>
      <c r="P1072" s="794"/>
      <c r="Q1072" s="794"/>
      <c r="R1072" s="794"/>
      <c r="S1072" s="794"/>
      <c r="T1072" s="794"/>
      <c r="U1072" s="794"/>
      <c r="V1072" s="794"/>
    </row>
    <row r="1073" spans="1:22" ht="14.5">
      <c r="A1073" s="794"/>
      <c r="B1073" s="799"/>
      <c r="C1073" s="794"/>
      <c r="D1073" s="794"/>
      <c r="E1073" s="794"/>
      <c r="F1073" s="794"/>
      <c r="G1073" s="794"/>
      <c r="H1073" s="794"/>
      <c r="I1073" s="794"/>
      <c r="J1073" s="794"/>
      <c r="K1073" s="794"/>
      <c r="L1073" s="794"/>
      <c r="M1073" s="794"/>
      <c r="N1073" s="794"/>
      <c r="O1073" s="794"/>
      <c r="P1073" s="794"/>
      <c r="Q1073" s="794"/>
      <c r="R1073" s="794"/>
      <c r="S1073" s="794"/>
      <c r="T1073" s="794"/>
      <c r="U1073" s="794"/>
      <c r="V1073" s="794"/>
    </row>
    <row r="1074" spans="1:22" ht="14.5">
      <c r="A1074" s="794"/>
      <c r="B1074" s="799"/>
      <c r="C1074" s="794"/>
      <c r="D1074" s="794"/>
      <c r="E1074" s="794"/>
      <c r="F1074" s="794"/>
      <c r="G1074" s="794"/>
      <c r="H1074" s="794"/>
      <c r="I1074" s="794"/>
      <c r="J1074" s="794"/>
      <c r="K1074" s="794"/>
      <c r="L1074" s="794"/>
      <c r="M1074" s="794"/>
      <c r="N1074" s="794"/>
      <c r="O1074" s="794"/>
      <c r="P1074" s="794"/>
      <c r="Q1074" s="794"/>
      <c r="R1074" s="794"/>
      <c r="S1074" s="794"/>
      <c r="T1074" s="794"/>
      <c r="U1074" s="794"/>
      <c r="V1074" s="794"/>
    </row>
    <row r="1075" spans="1:22" ht="14.5">
      <c r="A1075" s="794"/>
      <c r="B1075" s="799"/>
      <c r="C1075" s="794"/>
      <c r="D1075" s="794"/>
      <c r="E1075" s="794"/>
      <c r="F1075" s="794"/>
      <c r="G1075" s="794"/>
      <c r="H1075" s="794"/>
      <c r="I1075" s="794"/>
      <c r="J1075" s="794"/>
      <c r="K1075" s="794"/>
      <c r="L1075" s="794"/>
      <c r="M1075" s="794"/>
      <c r="N1075" s="794"/>
      <c r="O1075" s="794"/>
      <c r="P1075" s="794"/>
      <c r="Q1075" s="794"/>
      <c r="R1075" s="794"/>
      <c r="S1075" s="794"/>
      <c r="T1075" s="794"/>
      <c r="U1075" s="794"/>
      <c r="V1075" s="794"/>
    </row>
    <row r="1076" spans="1:22" ht="14.5">
      <c r="A1076" s="794"/>
      <c r="B1076" s="799"/>
      <c r="C1076" s="794"/>
      <c r="D1076" s="794"/>
      <c r="E1076" s="794"/>
      <c r="F1076" s="794"/>
      <c r="G1076" s="794"/>
      <c r="H1076" s="794"/>
      <c r="I1076" s="794"/>
      <c r="J1076" s="794"/>
      <c r="K1076" s="794"/>
      <c r="L1076" s="794"/>
      <c r="M1076" s="794"/>
      <c r="N1076" s="794"/>
      <c r="O1076" s="794"/>
      <c r="P1076" s="794"/>
      <c r="Q1076" s="794"/>
      <c r="R1076" s="794"/>
      <c r="S1076" s="794"/>
      <c r="T1076" s="794"/>
      <c r="U1076" s="794"/>
      <c r="V1076" s="794"/>
    </row>
    <row r="1077" spans="1:22" ht="14.5">
      <c r="A1077" s="794"/>
      <c r="B1077" s="799"/>
      <c r="C1077" s="794"/>
      <c r="D1077" s="794"/>
      <c r="E1077" s="794"/>
      <c r="F1077" s="794"/>
      <c r="G1077" s="794"/>
      <c r="H1077" s="794"/>
      <c r="I1077" s="794"/>
      <c r="J1077" s="794"/>
      <c r="K1077" s="794"/>
      <c r="L1077" s="794"/>
      <c r="M1077" s="794"/>
      <c r="N1077" s="794"/>
      <c r="O1077" s="794"/>
      <c r="P1077" s="794"/>
      <c r="Q1077" s="794"/>
      <c r="R1077" s="794"/>
      <c r="S1077" s="794"/>
      <c r="T1077" s="794"/>
      <c r="U1077" s="794"/>
      <c r="V1077" s="794"/>
    </row>
    <row r="1078" spans="1:22" ht="14.5">
      <c r="A1078" s="794"/>
      <c r="B1078" s="799"/>
      <c r="C1078" s="794"/>
      <c r="D1078" s="794"/>
      <c r="E1078" s="794"/>
      <c r="F1078" s="794"/>
      <c r="G1078" s="794"/>
      <c r="H1078" s="794"/>
      <c r="I1078" s="794"/>
      <c r="J1078" s="794"/>
      <c r="K1078" s="794"/>
      <c r="L1078" s="794"/>
      <c r="M1078" s="794"/>
      <c r="N1078" s="794"/>
      <c r="O1078" s="794"/>
      <c r="P1078" s="794"/>
      <c r="Q1078" s="794"/>
      <c r="R1078" s="794"/>
      <c r="S1078" s="794"/>
      <c r="T1078" s="794"/>
      <c r="U1078" s="794"/>
      <c r="V1078" s="794"/>
    </row>
    <row r="1079" spans="1:22" ht="14.5">
      <c r="A1079" s="794"/>
      <c r="B1079" s="799"/>
      <c r="C1079" s="794"/>
      <c r="D1079" s="794"/>
      <c r="E1079" s="794"/>
      <c r="F1079" s="794"/>
      <c r="G1079" s="794"/>
      <c r="H1079" s="794"/>
      <c r="I1079" s="794"/>
      <c r="J1079" s="794"/>
      <c r="K1079" s="794"/>
      <c r="L1079" s="794"/>
      <c r="M1079" s="794"/>
      <c r="N1079" s="794"/>
      <c r="O1079" s="794"/>
      <c r="P1079" s="794"/>
      <c r="Q1079" s="794"/>
      <c r="R1079" s="794"/>
      <c r="S1079" s="794"/>
      <c r="T1079" s="794"/>
      <c r="U1079" s="794"/>
      <c r="V1079" s="794"/>
    </row>
    <row r="1080" spans="1:22" ht="14.5">
      <c r="A1080" s="794"/>
      <c r="B1080" s="799"/>
      <c r="C1080" s="794"/>
      <c r="D1080" s="794"/>
      <c r="E1080" s="794"/>
      <c r="F1080" s="794"/>
      <c r="G1080" s="794"/>
      <c r="H1080" s="794"/>
      <c r="I1080" s="794"/>
      <c r="J1080" s="794"/>
      <c r="K1080" s="794"/>
      <c r="L1080" s="794"/>
      <c r="M1080" s="794"/>
      <c r="N1080" s="794"/>
      <c r="O1080" s="794"/>
      <c r="P1080" s="794"/>
      <c r="Q1080" s="794"/>
      <c r="R1080" s="794"/>
      <c r="S1080" s="794"/>
      <c r="T1080" s="794"/>
      <c r="U1080" s="794"/>
      <c r="V1080" s="794"/>
    </row>
    <row r="1081" spans="1:22" ht="14.5">
      <c r="A1081" s="794"/>
      <c r="B1081" s="799"/>
      <c r="C1081" s="794"/>
      <c r="D1081" s="794"/>
      <c r="E1081" s="794"/>
      <c r="F1081" s="794"/>
      <c r="G1081" s="794"/>
      <c r="H1081" s="794"/>
      <c r="I1081" s="794"/>
      <c r="J1081" s="794"/>
      <c r="K1081" s="794"/>
      <c r="L1081" s="794"/>
      <c r="M1081" s="794"/>
      <c r="N1081" s="794"/>
      <c r="O1081" s="794"/>
      <c r="P1081" s="794"/>
      <c r="Q1081" s="794"/>
      <c r="R1081" s="794"/>
      <c r="S1081" s="794"/>
      <c r="T1081" s="794"/>
      <c r="U1081" s="794"/>
      <c r="V1081" s="794"/>
    </row>
    <row r="1082" spans="1:22" ht="14.5">
      <c r="A1082" s="794"/>
      <c r="B1082" s="799"/>
      <c r="C1082" s="794"/>
      <c r="D1082" s="794"/>
      <c r="E1082" s="794"/>
      <c r="F1082" s="794"/>
      <c r="G1082" s="794"/>
      <c r="H1082" s="794"/>
      <c r="I1082" s="794"/>
      <c r="J1082" s="794"/>
      <c r="K1082" s="794"/>
      <c r="L1082" s="794"/>
      <c r="M1082" s="794"/>
      <c r="N1082" s="794"/>
      <c r="O1082" s="794"/>
      <c r="P1082" s="794"/>
      <c r="Q1082" s="794"/>
      <c r="R1082" s="794"/>
      <c r="S1082" s="794"/>
      <c r="T1082" s="794"/>
      <c r="U1082" s="794"/>
      <c r="V1082" s="794"/>
    </row>
    <row r="1083" spans="1:22" ht="14.5">
      <c r="A1083" s="794"/>
      <c r="B1083" s="799"/>
      <c r="C1083" s="794"/>
      <c r="D1083" s="794"/>
      <c r="E1083" s="794"/>
      <c r="F1083" s="794"/>
      <c r="G1083" s="794"/>
      <c r="H1083" s="794"/>
      <c r="I1083" s="794"/>
      <c r="J1083" s="794"/>
      <c r="K1083" s="794"/>
      <c r="L1083" s="794"/>
      <c r="M1083" s="794"/>
      <c r="N1083" s="794"/>
      <c r="O1083" s="794"/>
      <c r="P1083" s="794"/>
      <c r="Q1083" s="794"/>
      <c r="R1083" s="794"/>
      <c r="S1083" s="794"/>
      <c r="T1083" s="794"/>
      <c r="U1083" s="794"/>
      <c r="V1083" s="794"/>
    </row>
    <row r="1084" spans="1:22" ht="14.5">
      <c r="A1084" s="794"/>
      <c r="B1084" s="799"/>
      <c r="C1084" s="794"/>
      <c r="D1084" s="794"/>
      <c r="E1084" s="794"/>
      <c r="F1084" s="794"/>
      <c r="G1084" s="794"/>
      <c r="H1084" s="794"/>
      <c r="I1084" s="794"/>
      <c r="J1084" s="794"/>
      <c r="K1084" s="794"/>
      <c r="L1084" s="794"/>
      <c r="M1084" s="794"/>
      <c r="N1084" s="794"/>
      <c r="O1084" s="794"/>
      <c r="P1084" s="794"/>
      <c r="Q1084" s="794"/>
      <c r="R1084" s="794"/>
      <c r="S1084" s="794"/>
      <c r="T1084" s="794"/>
      <c r="U1084" s="794"/>
      <c r="V1084" s="794"/>
    </row>
    <row r="1085" spans="1:22" ht="14.5">
      <c r="A1085" s="794"/>
      <c r="B1085" s="799"/>
      <c r="C1085" s="794"/>
      <c r="D1085" s="794"/>
      <c r="E1085" s="794"/>
      <c r="F1085" s="794"/>
      <c r="G1085" s="794"/>
      <c r="H1085" s="794"/>
      <c r="I1085" s="794"/>
      <c r="J1085" s="794"/>
      <c r="K1085" s="794"/>
      <c r="L1085" s="794"/>
      <c r="M1085" s="794"/>
      <c r="N1085" s="794"/>
      <c r="O1085" s="794"/>
      <c r="P1085" s="794"/>
      <c r="Q1085" s="794"/>
      <c r="R1085" s="794"/>
      <c r="S1085" s="794"/>
      <c r="T1085" s="794"/>
      <c r="U1085" s="794"/>
      <c r="V1085" s="794"/>
    </row>
    <row r="1086" spans="1:22" ht="14.5">
      <c r="A1086" s="794"/>
      <c r="B1086" s="799"/>
      <c r="C1086" s="794"/>
      <c r="D1086" s="794"/>
      <c r="E1086" s="794"/>
      <c r="F1086" s="794"/>
      <c r="G1086" s="794"/>
      <c r="H1086" s="794"/>
      <c r="I1086" s="794"/>
      <c r="J1086" s="794"/>
      <c r="K1086" s="794"/>
      <c r="L1086" s="794"/>
      <c r="M1086" s="794"/>
      <c r="N1086" s="794"/>
      <c r="O1086" s="794"/>
      <c r="P1086" s="794"/>
      <c r="Q1086" s="794"/>
      <c r="R1086" s="794"/>
      <c r="S1086" s="794"/>
      <c r="T1086" s="794"/>
      <c r="U1086" s="794"/>
      <c r="V1086" s="794"/>
    </row>
    <row r="1087" spans="1:22" ht="14.5">
      <c r="A1087" s="794"/>
      <c r="B1087" s="799"/>
      <c r="C1087" s="794"/>
      <c r="D1087" s="794"/>
      <c r="E1087" s="794"/>
      <c r="F1087" s="794"/>
      <c r="G1087" s="794"/>
      <c r="H1087" s="794"/>
      <c r="I1087" s="794"/>
      <c r="J1087" s="794"/>
      <c r="K1087" s="794"/>
      <c r="L1087" s="794"/>
      <c r="M1087" s="794"/>
      <c r="N1087" s="794"/>
      <c r="O1087" s="794"/>
      <c r="P1087" s="794"/>
      <c r="Q1087" s="794"/>
      <c r="R1087" s="794"/>
      <c r="S1087" s="794"/>
      <c r="T1087" s="794"/>
      <c r="U1087" s="794"/>
      <c r="V1087" s="794"/>
    </row>
    <row r="1088" spans="1:22" ht="14.5">
      <c r="A1088" s="794"/>
      <c r="B1088" s="799"/>
      <c r="C1088" s="794"/>
      <c r="D1088" s="794"/>
      <c r="E1088" s="794"/>
      <c r="F1088" s="794"/>
      <c r="G1088" s="794"/>
      <c r="H1088" s="794"/>
      <c r="I1088" s="794"/>
      <c r="J1088" s="794"/>
      <c r="K1088" s="794"/>
      <c r="L1088" s="794"/>
      <c r="M1088" s="794"/>
      <c r="N1088" s="794"/>
      <c r="O1088" s="794"/>
      <c r="P1088" s="794"/>
      <c r="Q1088" s="794"/>
      <c r="R1088" s="794"/>
      <c r="S1088" s="794"/>
      <c r="T1088" s="794"/>
      <c r="U1088" s="794"/>
      <c r="V1088" s="794"/>
    </row>
    <row r="1089" spans="1:22" ht="14.5">
      <c r="A1089" s="794"/>
      <c r="B1089" s="799"/>
      <c r="C1089" s="794"/>
      <c r="D1089" s="794"/>
      <c r="E1089" s="794"/>
      <c r="F1089" s="794"/>
      <c r="G1089" s="794"/>
      <c r="H1089" s="794"/>
      <c r="I1089" s="794"/>
      <c r="J1089" s="794"/>
      <c r="K1089" s="794"/>
      <c r="L1089" s="794"/>
      <c r="M1089" s="794"/>
      <c r="N1089" s="794"/>
      <c r="O1089" s="794"/>
      <c r="P1089" s="794"/>
      <c r="Q1089" s="794"/>
      <c r="R1089" s="794"/>
      <c r="S1089" s="794"/>
      <c r="T1089" s="794"/>
      <c r="U1089" s="794"/>
      <c r="V1089" s="794"/>
    </row>
    <row r="1090" spans="1:22" ht="14.5">
      <c r="A1090" s="794"/>
      <c r="B1090" s="799"/>
      <c r="C1090" s="794"/>
      <c r="D1090" s="794"/>
      <c r="E1090" s="794"/>
      <c r="F1090" s="794"/>
      <c r="G1090" s="794"/>
      <c r="H1090" s="794"/>
      <c r="I1090" s="794"/>
      <c r="J1090" s="794"/>
      <c r="K1090" s="794"/>
      <c r="L1090" s="794"/>
      <c r="M1090" s="794"/>
      <c r="N1090" s="794"/>
      <c r="O1090" s="794"/>
      <c r="P1090" s="794"/>
      <c r="Q1090" s="794"/>
      <c r="R1090" s="794"/>
      <c r="S1090" s="794"/>
      <c r="T1090" s="794"/>
      <c r="U1090" s="794"/>
      <c r="V1090" s="794"/>
    </row>
    <row r="1091" spans="1:22" ht="14.5">
      <c r="A1091" s="794"/>
      <c r="B1091" s="799"/>
      <c r="C1091" s="794"/>
      <c r="D1091" s="794"/>
      <c r="E1091" s="794"/>
      <c r="F1091" s="794"/>
      <c r="G1091" s="794"/>
      <c r="H1091" s="794"/>
      <c r="I1091" s="794"/>
      <c r="J1091" s="794"/>
      <c r="K1091" s="794"/>
      <c r="L1091" s="794"/>
      <c r="M1091" s="794"/>
      <c r="N1091" s="794"/>
      <c r="O1091" s="794"/>
      <c r="P1091" s="794"/>
      <c r="Q1091" s="794"/>
      <c r="R1091" s="794"/>
      <c r="S1091" s="794"/>
      <c r="T1091" s="794"/>
      <c r="U1091" s="794"/>
      <c r="V1091" s="794"/>
    </row>
    <row r="1092" spans="1:22" ht="14.5">
      <c r="A1092" s="794"/>
      <c r="B1092" s="799"/>
      <c r="C1092" s="794"/>
      <c r="D1092" s="794"/>
      <c r="E1092" s="794"/>
      <c r="F1092" s="794"/>
      <c r="G1092" s="794"/>
      <c r="H1092" s="794"/>
      <c r="I1092" s="794"/>
      <c r="J1092" s="794"/>
      <c r="K1092" s="794"/>
      <c r="L1092" s="794"/>
      <c r="M1092" s="794"/>
      <c r="N1092" s="794"/>
      <c r="O1092" s="794"/>
      <c r="P1092" s="794"/>
      <c r="Q1092" s="794"/>
      <c r="R1092" s="794"/>
      <c r="S1092" s="794"/>
      <c r="T1092" s="794"/>
      <c r="U1092" s="794"/>
      <c r="V1092" s="794"/>
    </row>
    <row r="1093" spans="1:22" ht="14.5">
      <c r="A1093" s="794"/>
      <c r="B1093" s="799"/>
      <c r="C1093" s="794"/>
      <c r="D1093" s="794"/>
      <c r="E1093" s="794"/>
      <c r="F1093" s="794"/>
      <c r="G1093" s="794"/>
      <c r="H1093" s="794"/>
      <c r="I1093" s="794"/>
      <c r="J1093" s="794"/>
      <c r="K1093" s="794"/>
      <c r="L1093" s="794"/>
      <c r="M1093" s="794"/>
      <c r="N1093" s="794"/>
      <c r="O1093" s="794"/>
      <c r="P1093" s="794"/>
      <c r="Q1093" s="794"/>
      <c r="R1093" s="794"/>
      <c r="S1093" s="794"/>
      <c r="T1093" s="794"/>
      <c r="U1093" s="794"/>
      <c r="V1093" s="794"/>
    </row>
    <row r="1094" spans="1:22" ht="14.5">
      <c r="A1094" s="794"/>
      <c r="B1094" s="799"/>
      <c r="C1094" s="794"/>
      <c r="D1094" s="794"/>
      <c r="E1094" s="794"/>
      <c r="F1094" s="794"/>
      <c r="G1094" s="794"/>
      <c r="H1094" s="794"/>
      <c r="I1094" s="794"/>
      <c r="J1094" s="794"/>
      <c r="K1094" s="794"/>
      <c r="L1094" s="794"/>
      <c r="M1094" s="794"/>
      <c r="N1094" s="794"/>
      <c r="O1094" s="794"/>
      <c r="P1094" s="794"/>
      <c r="Q1094" s="794"/>
      <c r="R1094" s="794"/>
      <c r="S1094" s="794"/>
      <c r="T1094" s="794"/>
      <c r="U1094" s="794"/>
      <c r="V1094" s="794"/>
    </row>
    <row r="1095" spans="1:22" ht="14.5">
      <c r="A1095" s="794"/>
      <c r="B1095" s="799"/>
      <c r="C1095" s="794"/>
      <c r="D1095" s="794"/>
      <c r="E1095" s="794"/>
      <c r="F1095" s="794"/>
      <c r="G1095" s="794"/>
      <c r="H1095" s="794"/>
      <c r="I1095" s="794"/>
      <c r="J1095" s="794"/>
      <c r="K1095" s="794"/>
      <c r="L1095" s="794"/>
      <c r="M1095" s="794"/>
      <c r="N1095" s="794"/>
      <c r="O1095" s="794"/>
      <c r="P1095" s="794"/>
      <c r="Q1095" s="794"/>
      <c r="R1095" s="794"/>
      <c r="S1095" s="794"/>
      <c r="T1095" s="794"/>
      <c r="U1095" s="794"/>
      <c r="V1095" s="794"/>
    </row>
    <row r="1096" spans="1:22" ht="14.5">
      <c r="A1096" s="794"/>
      <c r="B1096" s="799"/>
      <c r="C1096" s="794"/>
      <c r="D1096" s="794"/>
      <c r="E1096" s="794"/>
      <c r="F1096" s="794"/>
      <c r="G1096" s="794"/>
      <c r="H1096" s="794"/>
      <c r="I1096" s="794"/>
      <c r="J1096" s="794"/>
      <c r="K1096" s="794"/>
      <c r="L1096" s="794"/>
      <c r="M1096" s="794"/>
      <c r="N1096" s="794"/>
      <c r="O1096" s="794"/>
      <c r="P1096" s="794"/>
      <c r="Q1096" s="794"/>
      <c r="R1096" s="794"/>
      <c r="S1096" s="794"/>
      <c r="T1096" s="794"/>
      <c r="U1096" s="794"/>
      <c r="V1096" s="794"/>
    </row>
    <row r="1097" spans="1:22" ht="14.5">
      <c r="A1097" s="794"/>
      <c r="B1097" s="799"/>
      <c r="C1097" s="794"/>
      <c r="D1097" s="794"/>
      <c r="E1097" s="794"/>
      <c r="F1097" s="794"/>
      <c r="G1097" s="794"/>
      <c r="H1097" s="794"/>
      <c r="I1097" s="794"/>
      <c r="J1097" s="794"/>
      <c r="K1097" s="794"/>
      <c r="L1097" s="794"/>
      <c r="M1097" s="794"/>
      <c r="N1097" s="794"/>
      <c r="O1097" s="794"/>
      <c r="P1097" s="794"/>
      <c r="Q1097" s="794"/>
      <c r="R1097" s="794"/>
      <c r="S1097" s="794"/>
      <c r="T1097" s="794"/>
      <c r="U1097" s="794"/>
      <c r="V1097" s="794"/>
    </row>
    <row r="1098" spans="1:22" ht="14.5">
      <c r="A1098" s="794"/>
      <c r="B1098" s="799"/>
      <c r="C1098" s="794"/>
      <c r="D1098" s="794"/>
      <c r="E1098" s="794"/>
      <c r="F1098" s="794"/>
      <c r="G1098" s="794"/>
      <c r="H1098" s="794"/>
      <c r="I1098" s="794"/>
      <c r="J1098" s="794"/>
      <c r="K1098" s="794"/>
      <c r="L1098" s="794"/>
      <c r="M1098" s="794"/>
      <c r="N1098" s="794"/>
      <c r="O1098" s="794"/>
      <c r="P1098" s="794"/>
      <c r="Q1098" s="794"/>
      <c r="R1098" s="794"/>
      <c r="S1098" s="794"/>
      <c r="T1098" s="794"/>
      <c r="U1098" s="794"/>
      <c r="V1098" s="794"/>
    </row>
    <row r="1099" spans="1:22" ht="14.5">
      <c r="A1099" s="794"/>
      <c r="B1099" s="799"/>
      <c r="C1099" s="794"/>
      <c r="D1099" s="794"/>
      <c r="E1099" s="794"/>
      <c r="F1099" s="794"/>
      <c r="G1099" s="794"/>
      <c r="H1099" s="794"/>
      <c r="I1099" s="794"/>
      <c r="J1099" s="794"/>
      <c r="K1099" s="794"/>
      <c r="L1099" s="794"/>
      <c r="M1099" s="794"/>
      <c r="N1099" s="794"/>
      <c r="O1099" s="794"/>
      <c r="P1099" s="794"/>
      <c r="Q1099" s="794"/>
      <c r="R1099" s="794"/>
      <c r="S1099" s="794"/>
      <c r="T1099" s="794"/>
      <c r="U1099" s="794"/>
      <c r="V1099" s="794"/>
    </row>
    <row r="1100" spans="1:22" ht="14.5">
      <c r="A1100" s="794"/>
      <c r="B1100" s="799"/>
      <c r="C1100" s="794"/>
      <c r="D1100" s="794"/>
      <c r="E1100" s="794"/>
      <c r="F1100" s="794"/>
      <c r="G1100" s="794"/>
      <c r="H1100" s="794"/>
      <c r="I1100" s="794"/>
      <c r="J1100" s="794"/>
      <c r="K1100" s="794"/>
      <c r="L1100" s="794"/>
      <c r="M1100" s="794"/>
      <c r="N1100" s="794"/>
      <c r="O1100" s="794"/>
      <c r="P1100" s="794"/>
      <c r="Q1100" s="794"/>
      <c r="R1100" s="794"/>
      <c r="S1100" s="794"/>
      <c r="T1100" s="794"/>
      <c r="U1100" s="794"/>
      <c r="V1100" s="794"/>
    </row>
    <row r="1101" spans="1:22" ht="14.5">
      <c r="A1101" s="794"/>
      <c r="B1101" s="799"/>
      <c r="C1101" s="794"/>
      <c r="D1101" s="794"/>
      <c r="E1101" s="794"/>
      <c r="F1101" s="794"/>
      <c r="G1101" s="794"/>
      <c r="H1101" s="794"/>
      <c r="I1101" s="794"/>
      <c r="J1101" s="794"/>
      <c r="K1101" s="794"/>
      <c r="L1101" s="794"/>
      <c r="M1101" s="794"/>
      <c r="N1101" s="794"/>
      <c r="O1101" s="794"/>
      <c r="P1101" s="794"/>
      <c r="Q1101" s="794"/>
      <c r="R1101" s="794"/>
      <c r="S1101" s="794"/>
      <c r="T1101" s="794"/>
      <c r="U1101" s="794"/>
      <c r="V1101" s="794"/>
    </row>
    <row r="1102" spans="1:22" ht="14.5">
      <c r="A1102" s="794"/>
      <c r="B1102" s="799"/>
      <c r="C1102" s="794"/>
      <c r="D1102" s="794"/>
      <c r="E1102" s="794"/>
      <c r="F1102" s="794"/>
      <c r="G1102" s="794"/>
      <c r="H1102" s="794"/>
      <c r="I1102" s="794"/>
      <c r="J1102" s="794"/>
      <c r="K1102" s="794"/>
      <c r="L1102" s="794"/>
      <c r="M1102" s="794"/>
      <c r="N1102" s="794"/>
      <c r="O1102" s="794"/>
      <c r="P1102" s="794"/>
      <c r="Q1102" s="794"/>
      <c r="R1102" s="794"/>
      <c r="S1102" s="794"/>
      <c r="T1102" s="794"/>
      <c r="U1102" s="794"/>
      <c r="V1102" s="794"/>
    </row>
    <row r="1103" spans="1:22" ht="14.5">
      <c r="A1103" s="794"/>
      <c r="B1103" s="799"/>
      <c r="C1103" s="794"/>
      <c r="D1103" s="794"/>
      <c r="E1103" s="794"/>
      <c r="F1103" s="794"/>
      <c r="G1103" s="794"/>
      <c r="H1103" s="794"/>
      <c r="I1103" s="794"/>
      <c r="J1103" s="794"/>
      <c r="K1103" s="794"/>
      <c r="L1103" s="794"/>
      <c r="M1103" s="794"/>
      <c r="N1103" s="794"/>
      <c r="O1103" s="794"/>
      <c r="P1103" s="794"/>
      <c r="Q1103" s="794"/>
      <c r="R1103" s="794"/>
      <c r="S1103" s="794"/>
      <c r="T1103" s="794"/>
      <c r="U1103" s="794"/>
      <c r="V1103" s="794"/>
    </row>
    <row r="1104" spans="1:22" ht="14.5">
      <c r="A1104" s="794"/>
      <c r="B1104" s="799"/>
      <c r="C1104" s="794"/>
      <c r="D1104" s="794"/>
      <c r="E1104" s="794"/>
      <c r="F1104" s="794"/>
      <c r="G1104" s="794"/>
      <c r="H1104" s="794"/>
      <c r="I1104" s="794"/>
      <c r="J1104" s="794"/>
      <c r="K1104" s="794"/>
      <c r="L1104" s="794"/>
      <c r="M1104" s="794"/>
      <c r="N1104" s="794"/>
      <c r="O1104" s="794"/>
      <c r="P1104" s="794"/>
      <c r="Q1104" s="794"/>
      <c r="R1104" s="794"/>
      <c r="S1104" s="794"/>
      <c r="T1104" s="794"/>
      <c r="U1104" s="794"/>
      <c r="V1104" s="794"/>
    </row>
    <row r="1105" spans="1:22" ht="14.5">
      <c r="A1105" s="794"/>
      <c r="B1105" s="799"/>
      <c r="C1105" s="794"/>
      <c r="D1105" s="794"/>
      <c r="E1105" s="794"/>
      <c r="F1105" s="794"/>
      <c r="G1105" s="794"/>
      <c r="H1105" s="794"/>
      <c r="I1105" s="794"/>
      <c r="J1105" s="794"/>
      <c r="K1105" s="794"/>
      <c r="L1105" s="794"/>
      <c r="M1105" s="794"/>
      <c r="N1105" s="794"/>
      <c r="O1105" s="794"/>
      <c r="P1105" s="794"/>
      <c r="Q1105" s="794"/>
      <c r="R1105" s="794"/>
      <c r="S1105" s="794"/>
      <c r="T1105" s="794"/>
      <c r="U1105" s="794"/>
      <c r="V1105" s="794"/>
    </row>
    <row r="1106" spans="1:22" ht="14.5">
      <c r="A1106" s="794"/>
      <c r="B1106" s="799"/>
      <c r="C1106" s="794"/>
      <c r="D1106" s="794"/>
      <c r="E1106" s="794"/>
      <c r="F1106" s="794"/>
      <c r="G1106" s="794"/>
      <c r="H1106" s="794"/>
      <c r="I1106" s="794"/>
      <c r="J1106" s="794"/>
      <c r="K1106" s="794"/>
      <c r="L1106" s="794"/>
      <c r="M1106" s="794"/>
      <c r="N1106" s="794"/>
      <c r="O1106" s="794"/>
      <c r="P1106" s="794"/>
      <c r="Q1106" s="794"/>
      <c r="R1106" s="794"/>
      <c r="S1106" s="794"/>
      <c r="T1106" s="794"/>
      <c r="U1106" s="794"/>
      <c r="V1106" s="794"/>
    </row>
    <row r="1107" spans="1:22" ht="14.5">
      <c r="A1107" s="794"/>
      <c r="B1107" s="799"/>
      <c r="C1107" s="794"/>
      <c r="D1107" s="794"/>
      <c r="E1107" s="794"/>
      <c r="F1107" s="794"/>
      <c r="G1107" s="794"/>
      <c r="H1107" s="794"/>
      <c r="I1107" s="794"/>
      <c r="J1107" s="794"/>
      <c r="K1107" s="794"/>
      <c r="L1107" s="794"/>
      <c r="M1107" s="794"/>
      <c r="N1107" s="794"/>
      <c r="O1107" s="794"/>
      <c r="P1107" s="794"/>
      <c r="Q1107" s="794"/>
      <c r="R1107" s="794"/>
      <c r="S1107" s="794"/>
      <c r="T1107" s="794"/>
      <c r="U1107" s="794"/>
      <c r="V1107" s="794"/>
    </row>
    <row r="1108" spans="1:22" ht="14.5">
      <c r="A1108" s="794"/>
      <c r="B1108" s="799"/>
      <c r="C1108" s="794"/>
      <c r="D1108" s="794"/>
      <c r="E1108" s="794"/>
      <c r="F1108" s="794"/>
      <c r="G1108" s="794"/>
      <c r="H1108" s="794"/>
      <c r="I1108" s="794"/>
      <c r="J1108" s="794"/>
      <c r="K1108" s="794"/>
      <c r="L1108" s="794"/>
      <c r="M1108" s="794"/>
      <c r="N1108" s="794"/>
      <c r="O1108" s="794"/>
      <c r="P1108" s="794"/>
      <c r="Q1108" s="794"/>
      <c r="R1108" s="794"/>
      <c r="S1108" s="794"/>
      <c r="T1108" s="794"/>
      <c r="U1108" s="794"/>
      <c r="V1108" s="794"/>
    </row>
    <row r="1109" spans="1:22" ht="14.5">
      <c r="A1109" s="794"/>
      <c r="B1109" s="799"/>
      <c r="C1109" s="794"/>
      <c r="D1109" s="794"/>
      <c r="E1109" s="794"/>
      <c r="F1109" s="794"/>
      <c r="G1109" s="794"/>
      <c r="H1109" s="794"/>
      <c r="I1109" s="794"/>
      <c r="J1109" s="794"/>
      <c r="K1109" s="794"/>
      <c r="L1109" s="794"/>
      <c r="M1109" s="794"/>
      <c r="N1109" s="794"/>
      <c r="O1109" s="794"/>
      <c r="P1109" s="794"/>
      <c r="Q1109" s="794"/>
      <c r="R1109" s="794"/>
      <c r="S1109" s="794"/>
      <c r="T1109" s="794"/>
      <c r="U1109" s="794"/>
      <c r="V1109" s="794"/>
    </row>
    <row r="1110" spans="1:22" ht="14.5">
      <c r="A1110" s="794"/>
      <c r="B1110" s="799"/>
      <c r="C1110" s="794"/>
      <c r="D1110" s="794"/>
      <c r="E1110" s="794"/>
      <c r="F1110" s="794"/>
      <c r="G1110" s="794"/>
      <c r="H1110" s="794"/>
      <c r="I1110" s="794"/>
      <c r="J1110" s="794"/>
      <c r="K1110" s="794"/>
      <c r="L1110" s="794"/>
      <c r="M1110" s="794"/>
      <c r="N1110" s="794"/>
      <c r="O1110" s="794"/>
      <c r="P1110" s="794"/>
      <c r="Q1110" s="794"/>
      <c r="R1110" s="794"/>
      <c r="S1110" s="794"/>
      <c r="T1110" s="794"/>
      <c r="U1110" s="794"/>
      <c r="V1110" s="794"/>
    </row>
    <row r="1111" spans="1:22" ht="14.5">
      <c r="A1111" s="794"/>
      <c r="B1111" s="799"/>
      <c r="C1111" s="794"/>
      <c r="D1111" s="794"/>
      <c r="E1111" s="794"/>
      <c r="F1111" s="794"/>
      <c r="G1111" s="794"/>
      <c r="H1111" s="794"/>
      <c r="I1111" s="794"/>
      <c r="J1111" s="794"/>
      <c r="K1111" s="794"/>
      <c r="L1111" s="794"/>
      <c r="M1111" s="794"/>
      <c r="N1111" s="794"/>
      <c r="O1111" s="794"/>
      <c r="P1111" s="794"/>
      <c r="Q1111" s="794"/>
      <c r="R1111" s="794"/>
      <c r="S1111" s="794"/>
      <c r="T1111" s="794"/>
      <c r="U1111" s="794"/>
      <c r="V1111" s="794"/>
    </row>
    <row r="1112" spans="1:22" ht="14.5">
      <c r="A1112" s="794"/>
      <c r="B1112" s="799"/>
      <c r="C1112" s="794"/>
      <c r="D1112" s="794"/>
      <c r="E1112" s="794"/>
      <c r="F1112" s="794"/>
      <c r="G1112" s="794"/>
      <c r="H1112" s="794"/>
      <c r="I1112" s="794"/>
      <c r="J1112" s="794"/>
      <c r="K1112" s="794"/>
      <c r="L1112" s="794"/>
      <c r="M1112" s="794"/>
      <c r="N1112" s="794"/>
      <c r="O1112" s="794"/>
      <c r="P1112" s="794"/>
      <c r="Q1112" s="794"/>
      <c r="R1112" s="794"/>
      <c r="S1112" s="794"/>
      <c r="T1112" s="794"/>
      <c r="U1112" s="794"/>
      <c r="V1112" s="794"/>
    </row>
    <row r="1113" spans="1:22" ht="14.5">
      <c r="A1113" s="794"/>
      <c r="B1113" s="799"/>
      <c r="C1113" s="794"/>
      <c r="D1113" s="794"/>
      <c r="E1113" s="794"/>
      <c r="F1113" s="794"/>
      <c r="G1113" s="794"/>
      <c r="H1113" s="794"/>
      <c r="I1113" s="794"/>
      <c r="J1113" s="794"/>
      <c r="K1113" s="794"/>
      <c r="L1113" s="794"/>
      <c r="M1113" s="794"/>
      <c r="N1113" s="794"/>
      <c r="O1113" s="794"/>
      <c r="P1113" s="794"/>
      <c r="Q1113" s="794"/>
      <c r="R1113" s="794"/>
      <c r="S1113" s="794"/>
      <c r="T1113" s="794"/>
      <c r="U1113" s="794"/>
      <c r="V1113" s="794"/>
    </row>
    <row r="1114" spans="1:22" ht="14.5">
      <c r="A1114" s="794"/>
      <c r="B1114" s="799"/>
      <c r="C1114" s="794"/>
      <c r="D1114" s="794"/>
      <c r="E1114" s="794"/>
      <c r="F1114" s="794"/>
      <c r="G1114" s="794"/>
      <c r="H1114" s="794"/>
      <c r="I1114" s="794"/>
      <c r="J1114" s="794"/>
      <c r="K1114" s="794"/>
      <c r="L1114" s="794"/>
      <c r="M1114" s="794"/>
      <c r="N1114" s="794"/>
      <c r="O1114" s="794"/>
      <c r="P1114" s="794"/>
      <c r="Q1114" s="794"/>
      <c r="R1114" s="794"/>
      <c r="S1114" s="794"/>
      <c r="T1114" s="794"/>
      <c r="U1114" s="794"/>
      <c r="V1114" s="794"/>
    </row>
    <row r="1115" spans="1:22" ht="14.5">
      <c r="A1115" s="794"/>
      <c r="B1115" s="799"/>
      <c r="C1115" s="794"/>
      <c r="D1115" s="794"/>
      <c r="E1115" s="794"/>
      <c r="F1115" s="794"/>
      <c r="G1115" s="794"/>
      <c r="H1115" s="794"/>
      <c r="I1115" s="794"/>
      <c r="J1115" s="794"/>
      <c r="K1115" s="794"/>
      <c r="L1115" s="794"/>
      <c r="M1115" s="794"/>
      <c r="N1115" s="794"/>
      <c r="O1115" s="794"/>
      <c r="P1115" s="794"/>
      <c r="Q1115" s="794"/>
      <c r="R1115" s="794"/>
      <c r="S1115" s="794"/>
      <c r="T1115" s="794"/>
      <c r="U1115" s="794"/>
      <c r="V1115" s="794"/>
    </row>
    <row r="1116" spans="1:22" ht="14.5">
      <c r="A1116" s="794"/>
      <c r="B1116" s="799"/>
      <c r="C1116" s="794"/>
      <c r="D1116" s="794"/>
      <c r="E1116" s="794"/>
      <c r="F1116" s="794"/>
      <c r="G1116" s="794"/>
      <c r="H1116" s="794"/>
      <c r="I1116" s="794"/>
      <c r="J1116" s="794"/>
      <c r="K1116" s="794"/>
      <c r="L1116" s="794"/>
      <c r="M1116" s="794"/>
      <c r="N1116" s="794"/>
      <c r="O1116" s="794"/>
      <c r="P1116" s="794"/>
      <c r="Q1116" s="794"/>
      <c r="R1116" s="794"/>
      <c r="S1116" s="794"/>
      <c r="T1116" s="794"/>
      <c r="U1116" s="794"/>
      <c r="V1116" s="794"/>
    </row>
    <row r="1117" spans="1:22" ht="14.5">
      <c r="A1117" s="794"/>
      <c r="B1117" s="799"/>
      <c r="C1117" s="794"/>
      <c r="D1117" s="794"/>
      <c r="E1117" s="794"/>
      <c r="F1117" s="794"/>
      <c r="G1117" s="794"/>
      <c r="H1117" s="794"/>
      <c r="I1117" s="794"/>
      <c r="J1117" s="794"/>
      <c r="K1117" s="794"/>
      <c r="L1117" s="794"/>
      <c r="M1117" s="794"/>
      <c r="N1117" s="794"/>
      <c r="O1117" s="794"/>
      <c r="P1117" s="794"/>
      <c r="Q1117" s="794"/>
      <c r="R1117" s="794"/>
      <c r="S1117" s="794"/>
      <c r="T1117" s="794"/>
      <c r="U1117" s="794"/>
      <c r="V1117" s="794"/>
    </row>
    <row r="1118" spans="1:22" ht="14.5">
      <c r="A1118" s="794"/>
      <c r="B1118" s="799"/>
      <c r="C1118" s="794"/>
      <c r="D1118" s="794"/>
      <c r="E1118" s="794"/>
      <c r="F1118" s="794"/>
      <c r="G1118" s="794"/>
      <c r="H1118" s="794"/>
      <c r="I1118" s="794"/>
      <c r="J1118" s="794"/>
      <c r="K1118" s="794"/>
      <c r="L1118" s="794"/>
      <c r="M1118" s="794"/>
      <c r="N1118" s="794"/>
      <c r="O1118" s="794"/>
      <c r="P1118" s="794"/>
      <c r="Q1118" s="794"/>
      <c r="R1118" s="794"/>
      <c r="S1118" s="794"/>
      <c r="T1118" s="794"/>
      <c r="U1118" s="794"/>
      <c r="V1118" s="794"/>
    </row>
    <row r="1119" spans="1:22" ht="14.5">
      <c r="A1119" s="794"/>
      <c r="B1119" s="799"/>
      <c r="C1119" s="794"/>
      <c r="D1119" s="794"/>
      <c r="E1119" s="794"/>
      <c r="F1119" s="794"/>
      <c r="G1119" s="794"/>
      <c r="H1119" s="794"/>
      <c r="I1119" s="794"/>
      <c r="J1119" s="794"/>
      <c r="K1119" s="794"/>
      <c r="L1119" s="794"/>
      <c r="M1119" s="794"/>
      <c r="N1119" s="794"/>
      <c r="O1119" s="794"/>
      <c r="P1119" s="794"/>
      <c r="Q1119" s="794"/>
      <c r="R1119" s="794"/>
      <c r="S1119" s="794"/>
      <c r="T1119" s="794"/>
      <c r="U1119" s="794"/>
      <c r="V1119" s="794"/>
    </row>
    <row r="1120" spans="1:22" ht="14.5">
      <c r="A1120" s="794"/>
      <c r="B1120" s="799"/>
      <c r="C1120" s="794"/>
      <c r="D1120" s="794"/>
      <c r="E1120" s="794"/>
      <c r="F1120" s="794"/>
      <c r="G1120" s="794"/>
      <c r="H1120" s="794"/>
      <c r="I1120" s="794"/>
      <c r="J1120" s="794"/>
      <c r="K1120" s="794"/>
      <c r="L1120" s="794"/>
      <c r="M1120" s="794"/>
      <c r="N1120" s="794"/>
      <c r="O1120" s="794"/>
      <c r="P1120" s="794"/>
      <c r="Q1120" s="794"/>
      <c r="R1120" s="794"/>
      <c r="S1120" s="794"/>
      <c r="T1120" s="794"/>
      <c r="U1120" s="794"/>
      <c r="V1120" s="794"/>
    </row>
    <row r="1121" spans="1:22" ht="14.5">
      <c r="A1121" s="794"/>
      <c r="B1121" s="799"/>
      <c r="C1121" s="794"/>
      <c r="D1121" s="794"/>
      <c r="E1121" s="794"/>
      <c r="F1121" s="794"/>
      <c r="G1121" s="794"/>
      <c r="H1121" s="794"/>
      <c r="I1121" s="794"/>
      <c r="J1121" s="794"/>
      <c r="K1121" s="794"/>
      <c r="L1121" s="794"/>
      <c r="M1121" s="794"/>
      <c r="N1121" s="794"/>
      <c r="O1121" s="794"/>
      <c r="P1121" s="794"/>
      <c r="Q1121" s="794"/>
      <c r="R1121" s="794"/>
      <c r="S1121" s="794"/>
      <c r="T1121" s="794"/>
      <c r="U1121" s="794"/>
      <c r="V1121" s="794"/>
    </row>
    <row r="1122" spans="1:22" ht="14.5">
      <c r="A1122" s="794"/>
      <c r="B1122" s="799"/>
      <c r="C1122" s="794"/>
      <c r="D1122" s="794"/>
      <c r="E1122" s="794"/>
      <c r="F1122" s="794"/>
      <c r="G1122" s="794"/>
      <c r="H1122" s="794"/>
      <c r="I1122" s="794"/>
      <c r="J1122" s="794"/>
      <c r="K1122" s="794"/>
      <c r="L1122" s="794"/>
      <c r="M1122" s="794"/>
      <c r="N1122" s="794"/>
      <c r="O1122" s="794"/>
      <c r="P1122" s="794"/>
      <c r="Q1122" s="794"/>
      <c r="R1122" s="794"/>
      <c r="S1122" s="794"/>
      <c r="T1122" s="794"/>
      <c r="U1122" s="794"/>
      <c r="V1122" s="794"/>
    </row>
    <row r="1123" spans="1:22" ht="14.5">
      <c r="A1123" s="794"/>
      <c r="B1123" s="799"/>
      <c r="C1123" s="794"/>
      <c r="D1123" s="794"/>
      <c r="E1123" s="794"/>
      <c r="F1123" s="794"/>
      <c r="G1123" s="794"/>
      <c r="H1123" s="794"/>
      <c r="I1123" s="794"/>
      <c r="J1123" s="794"/>
      <c r="K1123" s="794"/>
      <c r="L1123" s="794"/>
      <c r="M1123" s="794"/>
      <c r="N1123" s="794"/>
      <c r="O1123" s="794"/>
      <c r="P1123" s="794"/>
      <c r="Q1123" s="794"/>
      <c r="R1123" s="794"/>
      <c r="S1123" s="794"/>
      <c r="T1123" s="794"/>
      <c r="U1123" s="794"/>
      <c r="V1123" s="794"/>
    </row>
    <row r="1124" spans="1:22" ht="14.5">
      <c r="A1124" s="794"/>
      <c r="B1124" s="799"/>
      <c r="C1124" s="794"/>
      <c r="D1124" s="794"/>
      <c r="E1124" s="794"/>
      <c r="F1124" s="794"/>
      <c r="G1124" s="794"/>
      <c r="H1124" s="794"/>
      <c r="I1124" s="794"/>
      <c r="J1124" s="794"/>
      <c r="K1124" s="794"/>
      <c r="L1124" s="794"/>
      <c r="M1124" s="794"/>
      <c r="N1124" s="794"/>
      <c r="O1124" s="794"/>
      <c r="P1124" s="794"/>
      <c r="Q1124" s="794"/>
      <c r="R1124" s="794"/>
      <c r="S1124" s="794"/>
      <c r="T1124" s="794"/>
      <c r="U1124" s="794"/>
      <c r="V1124" s="794"/>
    </row>
    <row r="1125" spans="1:22" ht="14.5">
      <c r="A1125" s="794"/>
      <c r="B1125" s="799"/>
      <c r="C1125" s="794"/>
      <c r="D1125" s="794"/>
      <c r="E1125" s="794"/>
      <c r="F1125" s="794"/>
      <c r="G1125" s="794"/>
      <c r="H1125" s="794"/>
      <c r="I1125" s="794"/>
      <c r="J1125" s="794"/>
      <c r="K1125" s="794"/>
      <c r="L1125" s="794"/>
      <c r="M1125" s="794"/>
      <c r="N1125" s="794"/>
      <c r="O1125" s="794"/>
      <c r="P1125" s="794"/>
      <c r="Q1125" s="794"/>
      <c r="R1125" s="794"/>
      <c r="S1125" s="794"/>
      <c r="T1125" s="794"/>
      <c r="U1125" s="794"/>
      <c r="V1125" s="794"/>
    </row>
    <row r="1126" spans="1:22" ht="14.5">
      <c r="A1126" s="794"/>
      <c r="B1126" s="799"/>
      <c r="C1126" s="794"/>
      <c r="D1126" s="794"/>
      <c r="E1126" s="794"/>
      <c r="F1126" s="794"/>
      <c r="G1126" s="794"/>
      <c r="H1126" s="794"/>
      <c r="I1126" s="794"/>
      <c r="J1126" s="794"/>
      <c r="K1126" s="794"/>
      <c r="L1126" s="794"/>
      <c r="M1126" s="794"/>
      <c r="N1126" s="794"/>
      <c r="O1126" s="794"/>
      <c r="P1126" s="794"/>
      <c r="Q1126" s="794"/>
      <c r="R1126" s="794"/>
      <c r="S1126" s="794"/>
      <c r="T1126" s="794"/>
      <c r="U1126" s="794"/>
      <c r="V1126" s="794"/>
    </row>
    <row r="1127" spans="1:22" ht="14.5">
      <c r="A1127" s="794"/>
      <c r="B1127" s="799"/>
      <c r="C1127" s="794"/>
      <c r="D1127" s="794"/>
      <c r="E1127" s="794"/>
      <c r="F1127" s="794"/>
      <c r="G1127" s="794"/>
      <c r="H1127" s="794"/>
      <c r="I1127" s="794"/>
      <c r="J1127" s="794"/>
      <c r="K1127" s="794"/>
      <c r="L1127" s="794"/>
      <c r="M1127" s="794"/>
      <c r="N1127" s="794"/>
      <c r="O1127" s="794"/>
      <c r="P1127" s="794"/>
      <c r="Q1127" s="794"/>
      <c r="R1127" s="794"/>
      <c r="S1127" s="794"/>
      <c r="T1127" s="794"/>
      <c r="U1127" s="794"/>
      <c r="V1127" s="794"/>
    </row>
    <row r="1128" spans="1:22" ht="14.5">
      <c r="A1128" s="794"/>
      <c r="B1128" s="799"/>
      <c r="C1128" s="794"/>
      <c r="D1128" s="794"/>
      <c r="E1128" s="794"/>
      <c r="F1128" s="794"/>
      <c r="G1128" s="794"/>
      <c r="H1128" s="794"/>
      <c r="I1128" s="794"/>
      <c r="J1128" s="794"/>
      <c r="K1128" s="794"/>
      <c r="L1128" s="794"/>
      <c r="M1128" s="794"/>
      <c r="N1128" s="794"/>
      <c r="O1128" s="794"/>
      <c r="P1128" s="794"/>
      <c r="Q1128" s="794"/>
      <c r="R1128" s="794"/>
      <c r="S1128" s="794"/>
      <c r="T1128" s="794"/>
      <c r="U1128" s="794"/>
      <c r="V1128" s="794"/>
    </row>
    <row r="1129" spans="1:22" ht="14.5">
      <c r="A1129" s="794"/>
      <c r="B1129" s="799"/>
      <c r="C1129" s="794"/>
      <c r="D1129" s="794"/>
      <c r="E1129" s="794"/>
      <c r="F1129" s="794"/>
      <c r="G1129" s="794"/>
      <c r="H1129" s="794"/>
      <c r="I1129" s="794"/>
      <c r="J1129" s="794"/>
      <c r="K1129" s="794"/>
      <c r="L1129" s="794"/>
      <c r="M1129" s="794"/>
      <c r="N1129" s="794"/>
      <c r="O1129" s="794"/>
      <c r="P1129" s="794"/>
      <c r="Q1129" s="794"/>
      <c r="R1129" s="794"/>
      <c r="S1129" s="794"/>
      <c r="T1129" s="794"/>
      <c r="U1129" s="794"/>
      <c r="V1129" s="794"/>
    </row>
    <row r="1130" spans="1:22" ht="14.5">
      <c r="A1130" s="794"/>
      <c r="B1130" s="799"/>
      <c r="C1130" s="794"/>
      <c r="D1130" s="794"/>
      <c r="E1130" s="794"/>
      <c r="F1130" s="794"/>
      <c r="G1130" s="794"/>
      <c r="H1130" s="794"/>
      <c r="I1130" s="794"/>
      <c r="J1130" s="794"/>
      <c r="K1130" s="794"/>
      <c r="L1130" s="794"/>
      <c r="M1130" s="794"/>
      <c r="N1130" s="794"/>
      <c r="O1130" s="794"/>
      <c r="P1130" s="794"/>
      <c r="Q1130" s="794"/>
      <c r="R1130" s="794"/>
      <c r="S1130" s="794"/>
      <c r="T1130" s="794"/>
      <c r="U1130" s="794"/>
      <c r="V1130" s="794"/>
    </row>
    <row r="1131" spans="1:22" ht="14.5">
      <c r="A1131" s="794"/>
      <c r="B1131" s="799"/>
      <c r="C1131" s="794"/>
      <c r="D1131" s="794"/>
      <c r="E1131" s="794"/>
      <c r="F1131" s="794"/>
      <c r="G1131" s="794"/>
      <c r="H1131" s="794"/>
      <c r="I1131" s="794"/>
      <c r="J1131" s="794"/>
      <c r="K1131" s="794"/>
      <c r="L1131" s="794"/>
      <c r="M1131" s="794"/>
      <c r="N1131" s="794"/>
      <c r="O1131" s="794"/>
      <c r="P1131" s="794"/>
      <c r="Q1131" s="794"/>
      <c r="R1131" s="794"/>
      <c r="S1131" s="794"/>
      <c r="T1131" s="794"/>
      <c r="U1131" s="794"/>
      <c r="V1131" s="794"/>
    </row>
    <row r="1132" spans="1:22" ht="14.5">
      <c r="A1132" s="794"/>
      <c r="B1132" s="799"/>
      <c r="C1132" s="794"/>
      <c r="D1132" s="794"/>
      <c r="E1132" s="794"/>
      <c r="F1132" s="794"/>
      <c r="G1132" s="794"/>
      <c r="H1132" s="794"/>
      <c r="I1132" s="794"/>
      <c r="J1132" s="794"/>
      <c r="K1132" s="794"/>
      <c r="L1132" s="794"/>
      <c r="M1132" s="794"/>
      <c r="N1132" s="794"/>
      <c r="O1132" s="794"/>
      <c r="P1132" s="794"/>
      <c r="Q1132" s="794"/>
      <c r="R1132" s="794"/>
      <c r="S1132" s="794"/>
      <c r="T1132" s="794"/>
      <c r="U1132" s="794"/>
      <c r="V1132" s="794"/>
    </row>
    <row r="1133" spans="1:22" ht="14.5">
      <c r="A1133" s="794"/>
      <c r="B1133" s="799"/>
      <c r="C1133" s="794"/>
      <c r="D1133" s="794"/>
      <c r="E1133" s="794"/>
      <c r="F1133" s="794"/>
      <c r="G1133" s="794"/>
      <c r="H1133" s="794"/>
      <c r="I1133" s="794"/>
      <c r="J1133" s="794"/>
      <c r="K1133" s="794"/>
      <c r="L1133" s="794"/>
      <c r="M1133" s="794"/>
      <c r="N1133" s="794"/>
      <c r="O1133" s="794"/>
      <c r="P1133" s="794"/>
      <c r="Q1133" s="794"/>
      <c r="R1133" s="794"/>
      <c r="S1133" s="794"/>
      <c r="T1133" s="794"/>
      <c r="U1133" s="794"/>
      <c r="V1133" s="794"/>
    </row>
    <row r="1134" spans="1:22" ht="14.5">
      <c r="A1134" s="794"/>
      <c r="B1134" s="799"/>
      <c r="C1134" s="794"/>
      <c r="D1134" s="794"/>
      <c r="E1134" s="794"/>
      <c r="F1134" s="794"/>
      <c r="G1134" s="794"/>
      <c r="H1134" s="794"/>
      <c r="I1134" s="794"/>
      <c r="J1134" s="794"/>
      <c r="K1134" s="794"/>
      <c r="L1134" s="794"/>
      <c r="M1134" s="794"/>
      <c r="N1134" s="794"/>
      <c r="O1134" s="794"/>
      <c r="P1134" s="794"/>
      <c r="Q1134" s="794"/>
      <c r="R1134" s="794"/>
      <c r="S1134" s="794"/>
      <c r="T1134" s="794"/>
      <c r="U1134" s="794"/>
      <c r="V1134" s="794"/>
    </row>
    <row r="1135" spans="1:22" ht="14.5">
      <c r="A1135" s="794"/>
      <c r="B1135" s="799"/>
      <c r="C1135" s="794"/>
      <c r="D1135" s="794"/>
      <c r="E1135" s="794"/>
      <c r="F1135" s="794"/>
      <c r="G1135" s="794"/>
      <c r="H1135" s="794"/>
      <c r="I1135" s="794"/>
      <c r="J1135" s="794"/>
      <c r="K1135" s="794"/>
      <c r="L1135" s="794"/>
      <c r="M1135" s="794"/>
      <c r="N1135" s="794"/>
      <c r="O1135" s="794"/>
      <c r="P1135" s="794"/>
      <c r="Q1135" s="794"/>
      <c r="R1135" s="794"/>
      <c r="S1135" s="794"/>
      <c r="T1135" s="794"/>
      <c r="U1135" s="794"/>
      <c r="V1135" s="794"/>
    </row>
    <row r="1136" spans="1:22" ht="14.5">
      <c r="A1136" s="794"/>
      <c r="B1136" s="799"/>
      <c r="C1136" s="794"/>
      <c r="D1136" s="794"/>
      <c r="E1136" s="794"/>
      <c r="F1136" s="794"/>
      <c r="G1136" s="794"/>
      <c r="H1136" s="794"/>
      <c r="I1136" s="794"/>
      <c r="J1136" s="794"/>
      <c r="K1136" s="794"/>
      <c r="L1136" s="794"/>
      <c r="M1136" s="794"/>
      <c r="N1136" s="794"/>
      <c r="O1136" s="794"/>
      <c r="P1136" s="794"/>
      <c r="Q1136" s="794"/>
      <c r="R1136" s="794"/>
      <c r="S1136" s="794"/>
      <c r="T1136" s="794"/>
      <c r="U1136" s="794"/>
      <c r="V1136" s="794"/>
    </row>
    <row r="1137" spans="1:22" ht="14.5">
      <c r="A1137" s="794"/>
      <c r="B1137" s="799"/>
      <c r="C1137" s="794"/>
      <c r="D1137" s="794"/>
      <c r="E1137" s="794"/>
      <c r="F1137" s="794"/>
      <c r="G1137" s="794"/>
      <c r="H1137" s="794"/>
      <c r="I1137" s="794"/>
      <c r="J1137" s="794"/>
      <c r="K1137" s="794"/>
      <c r="L1137" s="794"/>
      <c r="M1137" s="794"/>
      <c r="N1137" s="794"/>
      <c r="O1137" s="794"/>
      <c r="P1137" s="794"/>
      <c r="Q1137" s="794"/>
      <c r="R1137" s="794"/>
      <c r="S1137" s="794"/>
      <c r="T1137" s="794"/>
      <c r="U1137" s="794"/>
      <c r="V1137" s="794"/>
    </row>
    <row r="1138" spans="1:22" ht="14.5">
      <c r="A1138" s="794"/>
      <c r="B1138" s="799"/>
      <c r="C1138" s="794"/>
      <c r="D1138" s="794"/>
      <c r="E1138" s="794"/>
      <c r="F1138" s="794"/>
      <c r="G1138" s="794"/>
      <c r="H1138" s="794"/>
      <c r="I1138" s="794"/>
      <c r="J1138" s="794"/>
      <c r="K1138" s="794"/>
      <c r="L1138" s="794"/>
      <c r="M1138" s="794"/>
      <c r="N1138" s="794"/>
      <c r="O1138" s="794"/>
      <c r="P1138" s="794"/>
      <c r="Q1138" s="794"/>
      <c r="R1138" s="794"/>
      <c r="S1138" s="794"/>
      <c r="T1138" s="794"/>
      <c r="U1138" s="794"/>
      <c r="V1138" s="794"/>
    </row>
    <row r="1139" spans="1:22" ht="14.5">
      <c r="A1139" s="794"/>
      <c r="B1139" s="799"/>
      <c r="C1139" s="794"/>
      <c r="D1139" s="794"/>
      <c r="E1139" s="794"/>
      <c r="F1139" s="794"/>
      <c r="G1139" s="794"/>
      <c r="H1139" s="794"/>
      <c r="I1139" s="794"/>
      <c r="J1139" s="794"/>
      <c r="K1139" s="794"/>
      <c r="L1139" s="794"/>
      <c r="M1139" s="794"/>
      <c r="N1139" s="794"/>
      <c r="O1139" s="794"/>
      <c r="P1139" s="794"/>
      <c r="Q1139" s="794"/>
      <c r="R1139" s="794"/>
      <c r="S1139" s="794"/>
      <c r="T1139" s="794"/>
      <c r="U1139" s="794"/>
      <c r="V1139" s="794"/>
    </row>
    <row r="1140" spans="1:22" ht="14.5">
      <c r="A1140" s="794"/>
      <c r="B1140" s="799"/>
      <c r="C1140" s="794"/>
      <c r="D1140" s="794"/>
      <c r="E1140" s="794"/>
      <c r="F1140" s="794"/>
      <c r="G1140" s="794"/>
      <c r="H1140" s="794"/>
      <c r="I1140" s="794"/>
      <c r="J1140" s="794"/>
      <c r="K1140" s="794"/>
      <c r="L1140" s="794"/>
      <c r="M1140" s="794"/>
      <c r="N1140" s="794"/>
      <c r="O1140" s="794"/>
      <c r="P1140" s="794"/>
      <c r="Q1140" s="794"/>
      <c r="R1140" s="794"/>
      <c r="S1140" s="794"/>
      <c r="T1140" s="794"/>
      <c r="U1140" s="794"/>
      <c r="V1140" s="794"/>
    </row>
    <row r="1141" spans="1:22" ht="14.5">
      <c r="A1141" s="794"/>
      <c r="B1141" s="799"/>
      <c r="C1141" s="794"/>
      <c r="D1141" s="794"/>
      <c r="E1141" s="794"/>
      <c r="F1141" s="794"/>
      <c r="G1141" s="794"/>
      <c r="H1141" s="794"/>
      <c r="I1141" s="794"/>
      <c r="J1141" s="794"/>
      <c r="K1141" s="794"/>
      <c r="L1141" s="794"/>
      <c r="M1141" s="794"/>
      <c r="N1141" s="794"/>
      <c r="O1141" s="794"/>
      <c r="P1141" s="794"/>
      <c r="Q1141" s="794"/>
      <c r="R1141" s="794"/>
      <c r="S1141" s="794"/>
      <c r="T1141" s="794"/>
      <c r="U1141" s="794"/>
      <c r="V1141" s="794"/>
    </row>
    <row r="1142" spans="1:22" ht="14.5">
      <c r="A1142" s="794"/>
      <c r="B1142" s="799"/>
      <c r="C1142" s="794"/>
      <c r="D1142" s="794"/>
      <c r="E1142" s="794"/>
      <c r="F1142" s="794"/>
      <c r="G1142" s="794"/>
      <c r="H1142" s="794"/>
      <c r="I1142" s="794"/>
      <c r="J1142" s="794"/>
      <c r="K1142" s="794"/>
      <c r="L1142" s="794"/>
      <c r="M1142" s="794"/>
      <c r="N1142" s="794"/>
      <c r="O1142" s="794"/>
      <c r="P1142" s="794"/>
      <c r="Q1142" s="794"/>
      <c r="R1142" s="794"/>
      <c r="S1142" s="794"/>
      <c r="T1142" s="794"/>
      <c r="U1142" s="794"/>
      <c r="V1142" s="794"/>
    </row>
    <row r="1143" spans="1:22" ht="14.5">
      <c r="A1143" s="794"/>
      <c r="B1143" s="799"/>
      <c r="C1143" s="794"/>
      <c r="D1143" s="794"/>
      <c r="E1143" s="794"/>
      <c r="F1143" s="794"/>
      <c r="G1143" s="794"/>
      <c r="H1143" s="794"/>
      <c r="I1143" s="794"/>
      <c r="J1143" s="794"/>
      <c r="K1143" s="794"/>
      <c r="L1143" s="794"/>
      <c r="M1143" s="794"/>
      <c r="N1143" s="794"/>
      <c r="O1143" s="794"/>
      <c r="P1143" s="794"/>
      <c r="Q1143" s="794"/>
      <c r="R1143" s="794"/>
      <c r="S1143" s="794"/>
      <c r="T1143" s="794"/>
      <c r="U1143" s="794"/>
      <c r="V1143" s="794"/>
    </row>
    <row r="1144" spans="1:22" ht="14.5">
      <c r="A1144" s="794"/>
      <c r="B1144" s="799"/>
      <c r="C1144" s="794"/>
      <c r="D1144" s="794"/>
      <c r="E1144" s="794"/>
      <c r="F1144" s="794"/>
      <c r="G1144" s="794"/>
      <c r="H1144" s="794"/>
      <c r="I1144" s="794"/>
      <c r="J1144" s="794"/>
      <c r="K1144" s="794"/>
      <c r="L1144" s="794"/>
      <c r="M1144" s="794"/>
      <c r="N1144" s="794"/>
      <c r="O1144" s="794"/>
      <c r="P1144" s="794"/>
      <c r="Q1144" s="794"/>
      <c r="R1144" s="794"/>
      <c r="S1144" s="794"/>
      <c r="T1144" s="794"/>
      <c r="U1144" s="794"/>
      <c r="V1144" s="794"/>
    </row>
    <row r="1145" spans="1:22" ht="14.5">
      <c r="A1145" s="794"/>
      <c r="B1145" s="799"/>
      <c r="C1145" s="794"/>
      <c r="D1145" s="794"/>
      <c r="E1145" s="794"/>
      <c r="F1145" s="794"/>
      <c r="G1145" s="794"/>
      <c r="H1145" s="794"/>
      <c r="I1145" s="794"/>
      <c r="J1145" s="794"/>
      <c r="K1145" s="794"/>
      <c r="L1145" s="794"/>
      <c r="M1145" s="794"/>
      <c r="N1145" s="794"/>
      <c r="O1145" s="794"/>
      <c r="P1145" s="794"/>
      <c r="Q1145" s="794"/>
      <c r="R1145" s="794"/>
      <c r="S1145" s="794"/>
      <c r="T1145" s="794"/>
      <c r="U1145" s="794"/>
      <c r="V1145" s="794"/>
    </row>
    <row r="1146" spans="1:22" ht="14.5">
      <c r="A1146" s="794"/>
      <c r="B1146" s="799"/>
      <c r="C1146" s="794"/>
      <c r="D1146" s="794"/>
      <c r="E1146" s="794"/>
      <c r="F1146" s="794"/>
      <c r="G1146" s="794"/>
      <c r="H1146" s="794"/>
      <c r="I1146" s="794"/>
      <c r="J1146" s="794"/>
      <c r="K1146" s="794"/>
      <c r="L1146" s="794"/>
      <c r="M1146" s="794"/>
      <c r="N1146" s="794"/>
      <c r="O1146" s="794"/>
      <c r="P1146" s="794"/>
      <c r="Q1146" s="794"/>
      <c r="R1146" s="794"/>
      <c r="S1146" s="794"/>
      <c r="T1146" s="794"/>
      <c r="U1146" s="794"/>
      <c r="V1146" s="794"/>
    </row>
    <row r="1147" spans="1:22" ht="14.5">
      <c r="A1147" s="794"/>
      <c r="B1147" s="799"/>
      <c r="C1147" s="794"/>
      <c r="D1147" s="794"/>
      <c r="E1147" s="794"/>
      <c r="F1147" s="794"/>
      <c r="G1147" s="794"/>
      <c r="H1147" s="794"/>
      <c r="I1147" s="794"/>
      <c r="J1147" s="794"/>
      <c r="K1147" s="794"/>
      <c r="L1147" s="794"/>
      <c r="M1147" s="794"/>
      <c r="N1147" s="794"/>
      <c r="O1147" s="794"/>
      <c r="P1147" s="794"/>
      <c r="Q1147" s="794"/>
      <c r="R1147" s="794"/>
      <c r="S1147" s="794"/>
      <c r="T1147" s="794"/>
      <c r="U1147" s="794"/>
      <c r="V1147" s="794"/>
    </row>
    <row r="1148" spans="1:22" ht="14.5">
      <c r="A1148" s="794"/>
      <c r="B1148" s="799"/>
      <c r="C1148" s="794"/>
      <c r="D1148" s="794"/>
      <c r="E1148" s="794"/>
      <c r="F1148" s="794"/>
      <c r="G1148" s="794"/>
      <c r="H1148" s="794"/>
      <c r="I1148" s="794"/>
      <c r="J1148" s="794"/>
      <c r="K1148" s="794"/>
      <c r="L1148" s="794"/>
      <c r="M1148" s="794"/>
      <c r="N1148" s="794"/>
      <c r="O1148" s="794"/>
      <c r="P1148" s="794"/>
      <c r="Q1148" s="794"/>
      <c r="R1148" s="794"/>
      <c r="S1148" s="794"/>
      <c r="T1148" s="794"/>
      <c r="U1148" s="794"/>
      <c r="V1148" s="794"/>
    </row>
    <row r="1149" spans="1:22" ht="14.5">
      <c r="A1149" s="794"/>
      <c r="B1149" s="799"/>
      <c r="C1149" s="794"/>
      <c r="D1149" s="794"/>
      <c r="E1149" s="794"/>
      <c r="F1149" s="794"/>
      <c r="G1149" s="794"/>
      <c r="H1149" s="794"/>
      <c r="I1149" s="794"/>
      <c r="J1149" s="794"/>
      <c r="K1149" s="794"/>
      <c r="L1149" s="794"/>
      <c r="M1149" s="794"/>
      <c r="N1149" s="794"/>
      <c r="O1149" s="794"/>
      <c r="P1149" s="794"/>
      <c r="Q1149" s="794"/>
      <c r="R1149" s="794"/>
      <c r="S1149" s="794"/>
      <c r="T1149" s="794"/>
      <c r="U1149" s="794"/>
      <c r="V1149" s="794"/>
    </row>
    <row r="1150" spans="1:22" ht="14.5">
      <c r="A1150" s="794"/>
      <c r="B1150" s="799"/>
      <c r="C1150" s="794"/>
      <c r="D1150" s="794"/>
      <c r="E1150" s="794"/>
      <c r="F1150" s="794"/>
      <c r="G1150" s="794"/>
      <c r="H1150" s="794"/>
      <c r="I1150" s="794"/>
      <c r="J1150" s="794"/>
      <c r="K1150" s="794"/>
      <c r="L1150" s="794"/>
      <c r="M1150" s="794"/>
      <c r="N1150" s="794"/>
      <c r="O1150" s="794"/>
      <c r="P1150" s="794"/>
      <c r="Q1150" s="794"/>
      <c r="R1150" s="794"/>
      <c r="S1150" s="794"/>
      <c r="T1150" s="794"/>
      <c r="U1150" s="794"/>
      <c r="V1150" s="794"/>
    </row>
    <row r="1151" spans="1:22" ht="14.5">
      <c r="A1151" s="794"/>
      <c r="B1151" s="799"/>
      <c r="C1151" s="794"/>
      <c r="D1151" s="794"/>
      <c r="E1151" s="794"/>
      <c r="F1151" s="794"/>
      <c r="G1151" s="794"/>
      <c r="H1151" s="794"/>
      <c r="I1151" s="794"/>
      <c r="J1151" s="794"/>
      <c r="K1151" s="794"/>
      <c r="L1151" s="794"/>
      <c r="M1151" s="794"/>
      <c r="N1151" s="794"/>
      <c r="O1151" s="794"/>
      <c r="P1151" s="794"/>
      <c r="Q1151" s="794"/>
      <c r="R1151" s="794"/>
      <c r="S1151" s="794"/>
      <c r="T1151" s="794"/>
      <c r="U1151" s="794"/>
      <c r="V1151" s="794"/>
    </row>
    <row r="1152" spans="1:22" ht="14.5">
      <c r="A1152" s="794"/>
      <c r="B1152" s="799"/>
      <c r="C1152" s="794"/>
      <c r="D1152" s="794"/>
      <c r="E1152" s="794"/>
      <c r="F1152" s="794"/>
      <c r="G1152" s="794"/>
      <c r="H1152" s="794"/>
      <c r="I1152" s="794"/>
      <c r="J1152" s="794"/>
      <c r="K1152" s="794"/>
      <c r="L1152" s="794"/>
      <c r="M1152" s="794"/>
      <c r="N1152" s="794"/>
      <c r="O1152" s="794"/>
      <c r="P1152" s="794"/>
      <c r="Q1152" s="794"/>
      <c r="R1152" s="794"/>
      <c r="S1152" s="794"/>
      <c r="T1152" s="794"/>
      <c r="U1152" s="794"/>
      <c r="V1152" s="794"/>
    </row>
    <row r="1153" spans="1:22" ht="14.5">
      <c r="A1153" s="794"/>
      <c r="B1153" s="799"/>
      <c r="C1153" s="794"/>
      <c r="D1153" s="794"/>
      <c r="E1153" s="794"/>
      <c r="F1153" s="794"/>
      <c r="G1153" s="794"/>
      <c r="H1153" s="794"/>
      <c r="I1153" s="794"/>
      <c r="J1153" s="794"/>
      <c r="K1153" s="794"/>
      <c r="L1153" s="794"/>
      <c r="M1153" s="794"/>
      <c r="N1153" s="794"/>
      <c r="O1153" s="794"/>
      <c r="P1153" s="794"/>
      <c r="Q1153" s="794"/>
      <c r="R1153" s="794"/>
      <c r="S1153" s="794"/>
      <c r="T1153" s="794"/>
      <c r="U1153" s="794"/>
      <c r="V1153" s="794"/>
    </row>
    <row r="1154" spans="1:22" ht="14.5">
      <c r="A1154" s="794"/>
      <c r="B1154" s="799"/>
      <c r="C1154" s="794"/>
      <c r="D1154" s="794"/>
      <c r="E1154" s="794"/>
      <c r="F1154" s="794"/>
      <c r="G1154" s="794"/>
      <c r="H1154" s="794"/>
      <c r="I1154" s="794"/>
      <c r="J1154" s="794"/>
      <c r="K1154" s="794"/>
      <c r="L1154" s="794"/>
      <c r="M1154" s="794"/>
      <c r="N1154" s="794"/>
      <c r="O1154" s="794"/>
      <c r="P1154" s="794"/>
      <c r="Q1154" s="794"/>
      <c r="R1154" s="794"/>
      <c r="S1154" s="794"/>
      <c r="T1154" s="794"/>
      <c r="U1154" s="794"/>
      <c r="V1154" s="794"/>
    </row>
    <row r="1155" spans="1:22" ht="14.5">
      <c r="A1155" s="794"/>
      <c r="B1155" s="799"/>
      <c r="C1155" s="794"/>
      <c r="D1155" s="794"/>
      <c r="E1155" s="794"/>
      <c r="F1155" s="794"/>
      <c r="G1155" s="794"/>
      <c r="H1155" s="794"/>
      <c r="I1155" s="794"/>
      <c r="J1155" s="794"/>
      <c r="K1155" s="794"/>
      <c r="L1155" s="794"/>
      <c r="M1155" s="794"/>
      <c r="N1155" s="794"/>
      <c r="O1155" s="794"/>
      <c r="P1155" s="794"/>
      <c r="Q1155" s="794"/>
      <c r="R1155" s="794"/>
      <c r="S1155" s="794"/>
      <c r="T1155" s="794"/>
      <c r="U1155" s="794"/>
      <c r="V1155" s="794"/>
    </row>
    <row r="1156" spans="1:22" ht="14.5">
      <c r="A1156" s="794"/>
      <c r="B1156" s="799"/>
      <c r="C1156" s="794"/>
      <c r="D1156" s="794"/>
      <c r="E1156" s="794"/>
      <c r="F1156" s="794"/>
      <c r="G1156" s="794"/>
      <c r="H1156" s="794"/>
      <c r="I1156" s="794"/>
      <c r="J1156" s="794"/>
      <c r="K1156" s="794"/>
      <c r="L1156" s="794"/>
      <c r="M1156" s="794"/>
      <c r="N1156" s="794"/>
      <c r="O1156" s="794"/>
      <c r="P1156" s="794"/>
      <c r="Q1156" s="794"/>
      <c r="R1156" s="794"/>
      <c r="S1156" s="794"/>
      <c r="T1156" s="794"/>
      <c r="U1156" s="794"/>
      <c r="V1156" s="794"/>
    </row>
    <row r="1157" spans="1:22" ht="14.5">
      <c r="A1157" s="794"/>
      <c r="B1157" s="799"/>
      <c r="C1157" s="794"/>
      <c r="D1157" s="794"/>
      <c r="E1157" s="794"/>
      <c r="F1157" s="794"/>
      <c r="G1157" s="794"/>
      <c r="H1157" s="794"/>
      <c r="I1157" s="794"/>
      <c r="J1157" s="794"/>
      <c r="K1157" s="794"/>
      <c r="L1157" s="794"/>
      <c r="M1157" s="794"/>
      <c r="N1157" s="794"/>
      <c r="O1157" s="794"/>
      <c r="P1157" s="794"/>
      <c r="Q1157" s="794"/>
      <c r="R1157" s="794"/>
      <c r="S1157" s="794"/>
      <c r="T1157" s="794"/>
      <c r="U1157" s="794"/>
      <c r="V1157" s="794"/>
    </row>
    <row r="1158" spans="1:22" ht="14.5">
      <c r="A1158" s="794"/>
      <c r="B1158" s="799"/>
      <c r="C1158" s="794"/>
      <c r="D1158" s="794"/>
      <c r="E1158" s="794"/>
      <c r="F1158" s="794"/>
      <c r="G1158" s="794"/>
      <c r="H1158" s="794"/>
      <c r="I1158" s="794"/>
      <c r="J1158" s="794"/>
      <c r="K1158" s="794"/>
      <c r="L1158" s="794"/>
      <c r="M1158" s="794"/>
      <c r="N1158" s="794"/>
      <c r="O1158" s="794"/>
      <c r="P1158" s="794"/>
      <c r="Q1158" s="794"/>
      <c r="R1158" s="794"/>
      <c r="S1158" s="794"/>
      <c r="T1158" s="794"/>
      <c r="U1158" s="794"/>
      <c r="V1158" s="794"/>
    </row>
    <row r="1159" spans="1:22" ht="14.5">
      <c r="A1159" s="794"/>
      <c r="B1159" s="799"/>
      <c r="C1159" s="794"/>
      <c r="D1159" s="794"/>
      <c r="E1159" s="794"/>
      <c r="F1159" s="794"/>
      <c r="G1159" s="794"/>
      <c r="H1159" s="794"/>
      <c r="I1159" s="794"/>
      <c r="J1159" s="794"/>
      <c r="K1159" s="794"/>
      <c r="L1159" s="794"/>
      <c r="M1159" s="794"/>
      <c r="N1159" s="794"/>
      <c r="O1159" s="794"/>
      <c r="P1159" s="794"/>
      <c r="Q1159" s="794"/>
      <c r="R1159" s="794"/>
      <c r="S1159" s="794"/>
      <c r="T1159" s="794"/>
      <c r="U1159" s="794"/>
      <c r="V1159" s="794"/>
    </row>
    <row r="1160" spans="1:22" ht="14.5">
      <c r="A1160" s="794"/>
      <c r="B1160" s="799"/>
      <c r="C1160" s="794"/>
      <c r="D1160" s="794"/>
      <c r="E1160" s="794"/>
      <c r="F1160" s="794"/>
      <c r="G1160" s="794"/>
      <c r="H1160" s="794"/>
      <c r="I1160" s="794"/>
      <c r="J1160" s="794"/>
      <c r="K1160" s="794"/>
      <c r="L1160" s="794"/>
      <c r="M1160" s="794"/>
      <c r="N1160" s="794"/>
      <c r="O1160" s="794"/>
      <c r="P1160" s="794"/>
      <c r="Q1160" s="794"/>
      <c r="R1160" s="794"/>
      <c r="S1160" s="794"/>
      <c r="T1160" s="794"/>
      <c r="U1160" s="794"/>
      <c r="V1160" s="794"/>
    </row>
    <row r="1161" spans="1:22" ht="14.5">
      <c r="A1161" s="794"/>
      <c r="B1161" s="799"/>
      <c r="C1161" s="794"/>
      <c r="D1161" s="794"/>
      <c r="E1161" s="794"/>
      <c r="F1161" s="794"/>
      <c r="G1161" s="794"/>
      <c r="H1161" s="794"/>
      <c r="I1161" s="794"/>
      <c r="J1161" s="794"/>
      <c r="K1161" s="794"/>
      <c r="L1161" s="794"/>
      <c r="M1161" s="794"/>
      <c r="N1161" s="794"/>
      <c r="O1161" s="794"/>
      <c r="P1161" s="794"/>
      <c r="Q1161" s="794"/>
      <c r="R1161" s="794"/>
      <c r="S1161" s="794"/>
      <c r="T1161" s="794"/>
      <c r="U1161" s="794"/>
      <c r="V1161" s="794"/>
    </row>
    <row r="1162" spans="1:22" ht="14.5">
      <c r="A1162" s="794"/>
      <c r="B1162" s="799"/>
      <c r="C1162" s="794"/>
      <c r="D1162" s="794"/>
      <c r="E1162" s="794"/>
      <c r="F1162" s="794"/>
      <c r="G1162" s="794"/>
      <c r="H1162" s="794"/>
      <c r="I1162" s="794"/>
      <c r="J1162" s="794"/>
      <c r="K1162" s="794"/>
      <c r="L1162" s="794"/>
      <c r="M1162" s="794"/>
      <c r="N1162" s="794"/>
      <c r="O1162" s="794"/>
      <c r="P1162" s="794"/>
      <c r="Q1162" s="794"/>
      <c r="R1162" s="794"/>
      <c r="S1162" s="794"/>
      <c r="T1162" s="794"/>
      <c r="U1162" s="794"/>
      <c r="V1162" s="794"/>
    </row>
    <row r="1163" spans="1:22" ht="14.5">
      <c r="A1163" s="794"/>
      <c r="B1163" s="799"/>
      <c r="C1163" s="794"/>
      <c r="D1163" s="794"/>
      <c r="E1163" s="794"/>
      <c r="F1163" s="794"/>
      <c r="G1163" s="794"/>
      <c r="H1163" s="794"/>
      <c r="I1163" s="794"/>
      <c r="J1163" s="794"/>
      <c r="K1163" s="794"/>
      <c r="L1163" s="794"/>
      <c r="M1163" s="794"/>
      <c r="N1163" s="794"/>
      <c r="O1163" s="794"/>
      <c r="P1163" s="794"/>
      <c r="Q1163" s="794"/>
      <c r="R1163" s="794"/>
      <c r="S1163" s="794"/>
      <c r="T1163" s="794"/>
      <c r="U1163" s="794"/>
      <c r="V1163" s="794"/>
    </row>
    <row r="1164" spans="1:22" ht="14.5">
      <c r="A1164" s="794"/>
      <c r="B1164" s="799"/>
      <c r="C1164" s="794"/>
      <c r="D1164" s="794"/>
      <c r="E1164" s="794"/>
      <c r="F1164" s="794"/>
      <c r="G1164" s="794"/>
      <c r="H1164" s="794"/>
      <c r="I1164" s="794"/>
      <c r="J1164" s="794"/>
      <c r="K1164" s="794"/>
      <c r="L1164" s="794"/>
      <c r="M1164" s="794"/>
      <c r="N1164" s="794"/>
      <c r="O1164" s="794"/>
      <c r="P1164" s="794"/>
      <c r="Q1164" s="794"/>
      <c r="R1164" s="794"/>
      <c r="S1164" s="794"/>
      <c r="T1164" s="794"/>
      <c r="U1164" s="794"/>
      <c r="V1164" s="794"/>
    </row>
    <row r="1165" spans="1:22" ht="14.5">
      <c r="A1165" s="794"/>
      <c r="B1165" s="799"/>
      <c r="C1165" s="794"/>
      <c r="D1165" s="794"/>
      <c r="E1165" s="794"/>
      <c r="F1165" s="794"/>
      <c r="G1165" s="794"/>
      <c r="H1165" s="794"/>
      <c r="I1165" s="794"/>
      <c r="J1165" s="794"/>
      <c r="K1165" s="794"/>
      <c r="L1165" s="794"/>
      <c r="M1165" s="794"/>
      <c r="N1165" s="794"/>
      <c r="O1165" s="794"/>
      <c r="P1165" s="794"/>
      <c r="Q1165" s="794"/>
      <c r="R1165" s="794"/>
      <c r="S1165" s="794"/>
      <c r="T1165" s="794"/>
      <c r="U1165" s="794"/>
      <c r="V1165" s="794"/>
    </row>
    <row r="1166" spans="1:22" ht="14.5">
      <c r="A1166" s="794"/>
      <c r="B1166" s="799"/>
      <c r="C1166" s="794"/>
      <c r="D1166" s="794"/>
      <c r="E1166" s="794"/>
      <c r="F1166" s="794"/>
      <c r="G1166" s="794"/>
      <c r="H1166" s="794"/>
      <c r="I1166" s="794"/>
      <c r="J1166" s="794"/>
      <c r="K1166" s="794"/>
      <c r="L1166" s="794"/>
      <c r="M1166" s="794"/>
      <c r="N1166" s="794"/>
      <c r="O1166" s="794"/>
      <c r="P1166" s="794"/>
      <c r="Q1166" s="794"/>
      <c r="R1166" s="794"/>
      <c r="S1166" s="794"/>
      <c r="T1166" s="794"/>
      <c r="U1166" s="794"/>
      <c r="V1166" s="794"/>
    </row>
    <row r="1167" spans="1:22" ht="14.5">
      <c r="A1167" s="794"/>
      <c r="B1167" s="799"/>
      <c r="C1167" s="794"/>
      <c r="D1167" s="794"/>
      <c r="E1167" s="794"/>
      <c r="F1167" s="794"/>
      <c r="G1167" s="794"/>
      <c r="H1167" s="794"/>
      <c r="I1167" s="794"/>
      <c r="J1167" s="794"/>
      <c r="K1167" s="794"/>
      <c r="L1167" s="794"/>
      <c r="M1167" s="794"/>
      <c r="N1167" s="794"/>
      <c r="O1167" s="794"/>
      <c r="P1167" s="794"/>
      <c r="Q1167" s="794"/>
      <c r="R1167" s="794"/>
      <c r="S1167" s="794"/>
      <c r="T1167" s="794"/>
      <c r="U1167" s="794"/>
      <c r="V1167" s="794"/>
    </row>
    <row r="1168" spans="1:22" ht="14.5">
      <c r="A1168" s="794"/>
      <c r="B1168" s="799"/>
      <c r="C1168" s="794"/>
      <c r="D1168" s="794"/>
      <c r="E1168" s="794"/>
      <c r="F1168" s="794"/>
      <c r="G1168" s="794"/>
      <c r="H1168" s="794"/>
      <c r="I1168" s="794"/>
      <c r="J1168" s="794"/>
      <c r="K1168" s="794"/>
      <c r="L1168" s="794"/>
      <c r="M1168" s="794"/>
      <c r="N1168" s="794"/>
      <c r="O1168" s="794"/>
      <c r="P1168" s="794"/>
      <c r="Q1168" s="794"/>
      <c r="R1168" s="794"/>
      <c r="S1168" s="794"/>
      <c r="T1168" s="794"/>
      <c r="U1168" s="794"/>
      <c r="V1168" s="794"/>
    </row>
    <row r="1169" spans="1:22" ht="14.5">
      <c r="A1169" s="794"/>
      <c r="B1169" s="799"/>
      <c r="C1169" s="794"/>
      <c r="D1169" s="794"/>
      <c r="E1169" s="794"/>
      <c r="F1169" s="794"/>
      <c r="G1169" s="794"/>
      <c r="H1169" s="794"/>
      <c r="I1169" s="794"/>
      <c r="J1169" s="794"/>
      <c r="K1169" s="794"/>
      <c r="L1169" s="794"/>
      <c r="M1169" s="794"/>
      <c r="N1169" s="794"/>
      <c r="O1169" s="794"/>
      <c r="P1169" s="794"/>
      <c r="Q1169" s="794"/>
      <c r="R1169" s="794"/>
      <c r="S1169" s="794"/>
      <c r="T1169" s="794"/>
      <c r="U1169" s="794"/>
      <c r="V1169" s="794"/>
    </row>
    <row r="1170" spans="1:22" ht="14.5">
      <c r="A1170" s="794"/>
      <c r="B1170" s="799"/>
      <c r="C1170" s="794"/>
      <c r="D1170" s="794"/>
      <c r="E1170" s="794"/>
      <c r="F1170" s="794"/>
      <c r="G1170" s="794"/>
      <c r="H1170" s="794"/>
      <c r="I1170" s="794"/>
      <c r="J1170" s="794"/>
      <c r="K1170" s="794"/>
      <c r="L1170" s="794"/>
      <c r="M1170" s="794"/>
      <c r="N1170" s="794"/>
      <c r="O1170" s="794"/>
      <c r="P1170" s="794"/>
      <c r="Q1170" s="794"/>
      <c r="R1170" s="794"/>
      <c r="S1170" s="794"/>
      <c r="T1170" s="794"/>
      <c r="U1170" s="794"/>
      <c r="V1170" s="794"/>
    </row>
    <row r="1171" spans="1:22" ht="14.5">
      <c r="A1171" s="794"/>
      <c r="B1171" s="799"/>
      <c r="C1171" s="794"/>
      <c r="D1171" s="794"/>
      <c r="E1171" s="794"/>
      <c r="F1171" s="794"/>
      <c r="G1171" s="794"/>
      <c r="H1171" s="794"/>
      <c r="I1171" s="794"/>
      <c r="J1171" s="794"/>
      <c r="K1171" s="794"/>
      <c r="L1171" s="794"/>
      <c r="M1171" s="794"/>
      <c r="N1171" s="794"/>
      <c r="O1171" s="794"/>
      <c r="P1171" s="794"/>
      <c r="Q1171" s="794"/>
      <c r="R1171" s="794"/>
      <c r="S1171" s="794"/>
      <c r="T1171" s="794"/>
      <c r="U1171" s="794"/>
      <c r="V1171" s="794"/>
    </row>
    <row r="1172" spans="1:22" ht="14.5">
      <c r="A1172" s="794"/>
      <c r="B1172" s="799"/>
      <c r="C1172" s="794"/>
      <c r="D1172" s="794"/>
      <c r="E1172" s="794"/>
      <c r="F1172" s="794"/>
      <c r="G1172" s="794"/>
      <c r="H1172" s="794"/>
      <c r="I1172" s="794"/>
      <c r="J1172" s="794"/>
      <c r="K1172" s="794"/>
      <c r="L1172" s="794"/>
      <c r="M1172" s="794"/>
      <c r="N1172" s="794"/>
      <c r="O1172" s="794"/>
      <c r="P1172" s="794"/>
      <c r="Q1172" s="794"/>
      <c r="R1172" s="794"/>
      <c r="S1172" s="794"/>
      <c r="T1172" s="794"/>
      <c r="U1172" s="794"/>
      <c r="V1172" s="794"/>
    </row>
    <row r="1173" spans="1:22" ht="14.5">
      <c r="A1173" s="794"/>
      <c r="B1173" s="799"/>
      <c r="C1173" s="794"/>
      <c r="D1173" s="794"/>
      <c r="E1173" s="794"/>
      <c r="F1173" s="794"/>
      <c r="G1173" s="794"/>
      <c r="H1173" s="794"/>
      <c r="I1173" s="794"/>
      <c r="J1173" s="794"/>
      <c r="K1173" s="794"/>
      <c r="L1173" s="794"/>
      <c r="M1173" s="794"/>
      <c r="N1173" s="794"/>
      <c r="O1173" s="794"/>
      <c r="P1173" s="794"/>
      <c r="Q1173" s="794"/>
      <c r="R1173" s="794"/>
      <c r="S1173" s="794"/>
      <c r="T1173" s="794"/>
      <c r="U1173" s="794"/>
      <c r="V1173" s="794"/>
    </row>
    <row r="1174" spans="1:22" ht="14.5">
      <c r="A1174" s="794"/>
      <c r="B1174" s="799"/>
      <c r="C1174" s="794"/>
      <c r="D1174" s="794"/>
      <c r="E1174" s="794"/>
      <c r="F1174" s="794"/>
      <c r="G1174" s="794"/>
      <c r="H1174" s="794"/>
      <c r="I1174" s="794"/>
      <c r="J1174" s="794"/>
      <c r="K1174" s="794"/>
      <c r="L1174" s="794"/>
      <c r="M1174" s="794"/>
      <c r="N1174" s="794"/>
      <c r="O1174" s="794"/>
      <c r="P1174" s="794"/>
      <c r="Q1174" s="794"/>
      <c r="R1174" s="794"/>
      <c r="S1174" s="794"/>
      <c r="T1174" s="794"/>
      <c r="U1174" s="794"/>
      <c r="V1174" s="794"/>
    </row>
    <row r="1175" spans="1:22" ht="14.5">
      <c r="A1175" s="794"/>
      <c r="B1175" s="799"/>
      <c r="C1175" s="794"/>
      <c r="D1175" s="794"/>
      <c r="E1175" s="794"/>
      <c r="F1175" s="794"/>
      <c r="G1175" s="794"/>
      <c r="H1175" s="794"/>
      <c r="I1175" s="794"/>
      <c r="J1175" s="794"/>
      <c r="K1175" s="794"/>
      <c r="L1175" s="794"/>
      <c r="M1175" s="794"/>
      <c r="N1175" s="794"/>
      <c r="O1175" s="794"/>
      <c r="P1175" s="794"/>
      <c r="Q1175" s="794"/>
      <c r="R1175" s="794"/>
      <c r="S1175" s="794"/>
      <c r="T1175" s="794"/>
      <c r="U1175" s="794"/>
      <c r="V1175" s="794"/>
    </row>
    <row r="1176" spans="1:22" ht="14.5">
      <c r="A1176" s="794"/>
      <c r="B1176" s="799"/>
      <c r="C1176" s="794"/>
      <c r="D1176" s="794"/>
      <c r="E1176" s="794"/>
      <c r="F1176" s="794"/>
      <c r="G1176" s="794"/>
      <c r="H1176" s="794"/>
      <c r="I1176" s="794"/>
      <c r="J1176" s="794"/>
      <c r="K1176" s="794"/>
      <c r="L1176" s="794"/>
      <c r="M1176" s="794"/>
      <c r="N1176" s="794"/>
      <c r="O1176" s="794"/>
      <c r="P1176" s="794"/>
      <c r="Q1176" s="794"/>
      <c r="R1176" s="794"/>
      <c r="S1176" s="794"/>
      <c r="T1176" s="794"/>
      <c r="U1176" s="794"/>
      <c r="V1176" s="794"/>
    </row>
    <row r="1177" spans="1:22" ht="14.5">
      <c r="A1177" s="794"/>
      <c r="B1177" s="799"/>
      <c r="C1177" s="794"/>
      <c r="D1177" s="794"/>
      <c r="E1177" s="794"/>
      <c r="F1177" s="794"/>
      <c r="G1177" s="794"/>
      <c r="H1177" s="794"/>
      <c r="I1177" s="794"/>
      <c r="J1177" s="794"/>
      <c r="K1177" s="794"/>
      <c r="L1177" s="794"/>
      <c r="M1177" s="794"/>
      <c r="N1177" s="794"/>
      <c r="O1177" s="794"/>
      <c r="P1177" s="794"/>
      <c r="Q1177" s="794"/>
      <c r="R1177" s="794"/>
      <c r="S1177" s="794"/>
      <c r="T1177" s="794"/>
      <c r="U1177" s="794"/>
      <c r="V1177" s="794"/>
    </row>
    <row r="1178" spans="1:22" ht="14.5">
      <c r="A1178" s="794"/>
      <c r="B1178" s="799"/>
      <c r="C1178" s="794"/>
      <c r="D1178" s="794"/>
      <c r="E1178" s="794"/>
      <c r="F1178" s="794"/>
      <c r="G1178" s="794"/>
      <c r="H1178" s="794"/>
      <c r="I1178" s="794"/>
      <c r="J1178" s="794"/>
      <c r="K1178" s="794"/>
      <c r="L1178" s="794"/>
      <c r="M1178" s="794"/>
      <c r="N1178" s="794"/>
      <c r="O1178" s="794"/>
      <c r="P1178" s="794"/>
      <c r="Q1178" s="794"/>
      <c r="R1178" s="794"/>
      <c r="S1178" s="794"/>
      <c r="T1178" s="794"/>
      <c r="U1178" s="794"/>
      <c r="V1178" s="794"/>
    </row>
    <row r="1179" spans="1:22" ht="14.5">
      <c r="A1179" s="794"/>
      <c r="B1179" s="799"/>
      <c r="C1179" s="794"/>
      <c r="D1179" s="794"/>
      <c r="E1179" s="794"/>
      <c r="F1179" s="794"/>
      <c r="G1179" s="794"/>
      <c r="H1179" s="794"/>
      <c r="I1179" s="794"/>
      <c r="J1179" s="794"/>
      <c r="K1179" s="794"/>
      <c r="L1179" s="794"/>
      <c r="M1179" s="794"/>
      <c r="N1179" s="794"/>
      <c r="O1179" s="794"/>
      <c r="P1179" s="794"/>
      <c r="Q1179" s="794"/>
      <c r="R1179" s="794"/>
      <c r="S1179" s="794"/>
      <c r="T1179" s="794"/>
      <c r="U1179" s="794"/>
      <c r="V1179" s="794"/>
    </row>
    <row r="1180" spans="1:22" ht="14.5">
      <c r="A1180" s="794"/>
      <c r="B1180" s="799"/>
      <c r="C1180" s="794"/>
      <c r="D1180" s="794"/>
      <c r="E1180" s="794"/>
      <c r="F1180" s="794"/>
      <c r="G1180" s="794"/>
      <c r="H1180" s="794"/>
      <c r="I1180" s="794"/>
      <c r="J1180" s="794"/>
      <c r="K1180" s="794"/>
      <c r="L1180" s="794"/>
      <c r="M1180" s="794"/>
      <c r="N1180" s="794"/>
      <c r="O1180" s="794"/>
      <c r="P1180" s="794"/>
      <c r="Q1180" s="794"/>
      <c r="R1180" s="794"/>
      <c r="S1180" s="794"/>
      <c r="T1180" s="794"/>
      <c r="U1180" s="794"/>
      <c r="V1180" s="794"/>
    </row>
    <row r="1181" spans="1:22" ht="14.5">
      <c r="A1181" s="794"/>
      <c r="B1181" s="799"/>
      <c r="C1181" s="794"/>
      <c r="D1181" s="794"/>
      <c r="E1181" s="794"/>
      <c r="F1181" s="794"/>
      <c r="G1181" s="794"/>
      <c r="H1181" s="794"/>
      <c r="I1181" s="794"/>
      <c r="J1181" s="794"/>
      <c r="K1181" s="794"/>
      <c r="L1181" s="794"/>
      <c r="M1181" s="794"/>
      <c r="N1181" s="794"/>
      <c r="O1181" s="794"/>
      <c r="P1181" s="794"/>
      <c r="Q1181" s="794"/>
      <c r="R1181" s="794"/>
      <c r="S1181" s="794"/>
      <c r="T1181" s="794"/>
      <c r="U1181" s="794"/>
      <c r="V1181" s="794"/>
    </row>
    <row r="1182" spans="1:22" ht="14.5">
      <c r="A1182" s="794"/>
      <c r="B1182" s="799"/>
      <c r="C1182" s="794"/>
      <c r="D1182" s="794"/>
      <c r="E1182" s="794"/>
      <c r="F1182" s="794"/>
      <c r="G1182" s="794"/>
      <c r="H1182" s="794"/>
      <c r="I1182" s="794"/>
      <c r="J1182" s="794"/>
      <c r="K1182" s="794"/>
      <c r="L1182" s="794"/>
      <c r="M1182" s="794"/>
      <c r="N1182" s="794"/>
      <c r="O1182" s="794"/>
      <c r="P1182" s="794"/>
      <c r="Q1182" s="794"/>
      <c r="R1182" s="794"/>
      <c r="S1182" s="794"/>
      <c r="T1182" s="794"/>
      <c r="U1182" s="794"/>
      <c r="V1182" s="794"/>
    </row>
    <row r="1183" spans="1:22" ht="14.5">
      <c r="A1183" s="794"/>
      <c r="B1183" s="799"/>
      <c r="C1183" s="794"/>
      <c r="D1183" s="794"/>
      <c r="E1183" s="794"/>
      <c r="F1183" s="794"/>
      <c r="G1183" s="794"/>
      <c r="H1183" s="794"/>
      <c r="I1183" s="794"/>
      <c r="J1183" s="794"/>
      <c r="K1183" s="794"/>
      <c r="L1183" s="794"/>
      <c r="M1183" s="794"/>
      <c r="N1183" s="794"/>
      <c r="O1183" s="794"/>
      <c r="P1183" s="794"/>
      <c r="Q1183" s="794"/>
      <c r="R1183" s="794"/>
      <c r="S1183" s="794"/>
      <c r="T1183" s="794"/>
      <c r="U1183" s="794"/>
      <c r="V1183" s="794"/>
    </row>
    <row r="1184" spans="1:22" ht="14.5">
      <c r="A1184" s="794"/>
      <c r="B1184" s="799"/>
      <c r="C1184" s="794"/>
      <c r="D1184" s="794"/>
      <c r="E1184" s="794"/>
      <c r="F1184" s="794"/>
      <c r="G1184" s="794"/>
      <c r="H1184" s="794"/>
      <c r="I1184" s="794"/>
      <c r="J1184" s="794"/>
      <c r="K1184" s="794"/>
      <c r="L1184" s="794"/>
      <c r="M1184" s="794"/>
      <c r="N1184" s="794"/>
      <c r="O1184" s="794"/>
      <c r="P1184" s="794"/>
      <c r="Q1184" s="794"/>
      <c r="R1184" s="794"/>
      <c r="S1184" s="794"/>
      <c r="T1184" s="794"/>
      <c r="U1184" s="794"/>
      <c r="V1184" s="794"/>
    </row>
    <row r="1185" spans="1:22" ht="14.5">
      <c r="A1185" s="794"/>
      <c r="B1185" s="799"/>
      <c r="C1185" s="794"/>
      <c r="D1185" s="794"/>
      <c r="E1185" s="794"/>
      <c r="F1185" s="794"/>
      <c r="G1185" s="794"/>
      <c r="H1185" s="794"/>
      <c r="I1185" s="794"/>
      <c r="J1185" s="794"/>
      <c r="K1185" s="794"/>
      <c r="L1185" s="794"/>
      <c r="M1185" s="794"/>
      <c r="N1185" s="794"/>
      <c r="O1185" s="794"/>
      <c r="P1185" s="794"/>
      <c r="Q1185" s="794"/>
      <c r="R1185" s="794"/>
      <c r="S1185" s="794"/>
      <c r="T1185" s="794"/>
      <c r="U1185" s="794"/>
      <c r="V1185" s="794"/>
    </row>
    <row r="1186" spans="1:22" ht="14.5">
      <c r="A1186" s="794"/>
      <c r="B1186" s="799"/>
      <c r="C1186" s="794"/>
      <c r="D1186" s="794"/>
      <c r="E1186" s="794"/>
      <c r="F1186" s="794"/>
      <c r="G1186" s="794"/>
      <c r="H1186" s="794"/>
      <c r="I1186" s="794"/>
      <c r="J1186" s="794"/>
      <c r="K1186" s="794"/>
      <c r="L1186" s="794"/>
      <c r="M1186" s="794"/>
      <c r="N1186" s="794"/>
      <c r="O1186" s="794"/>
      <c r="P1186" s="794"/>
      <c r="Q1186" s="794"/>
      <c r="R1186" s="794"/>
      <c r="S1186" s="794"/>
      <c r="T1186" s="794"/>
      <c r="U1186" s="794"/>
      <c r="V1186" s="794"/>
    </row>
    <row r="1187" spans="1:22" ht="14.5">
      <c r="A1187" s="794"/>
      <c r="B1187" s="799"/>
      <c r="C1187" s="794"/>
      <c r="D1187" s="794"/>
      <c r="E1187" s="794"/>
      <c r="F1187" s="794"/>
      <c r="G1187" s="794"/>
      <c r="H1187" s="794"/>
      <c r="I1187" s="794"/>
      <c r="J1187" s="794"/>
      <c r="K1187" s="794"/>
      <c r="L1187" s="794"/>
      <c r="M1187" s="794"/>
      <c r="N1187" s="794"/>
      <c r="O1187" s="794"/>
      <c r="P1187" s="794"/>
      <c r="Q1187" s="794"/>
      <c r="R1187" s="794"/>
      <c r="S1187" s="794"/>
      <c r="T1187" s="794"/>
      <c r="U1187" s="794"/>
      <c r="V1187" s="794"/>
    </row>
    <row r="1188" spans="1:22" ht="14.5">
      <c r="A1188" s="794"/>
      <c r="B1188" s="799"/>
      <c r="C1188" s="794"/>
      <c r="D1188" s="794"/>
      <c r="E1188" s="794"/>
      <c r="F1188" s="794"/>
      <c r="G1188" s="794"/>
      <c r="H1188" s="794"/>
      <c r="I1188" s="794"/>
      <c r="J1188" s="794"/>
      <c r="K1188" s="794"/>
      <c r="L1188" s="794"/>
      <c r="M1188" s="794"/>
      <c r="N1188" s="794"/>
      <c r="O1188" s="794"/>
      <c r="P1188" s="794"/>
      <c r="Q1188" s="794"/>
      <c r="R1188" s="794"/>
      <c r="S1188" s="794"/>
      <c r="T1188" s="794"/>
      <c r="U1188" s="794"/>
      <c r="V1188" s="794"/>
    </row>
    <row r="1189" spans="1:22" ht="14.5">
      <c r="A1189" s="794"/>
      <c r="B1189" s="799"/>
      <c r="C1189" s="794"/>
      <c r="D1189" s="794"/>
      <c r="E1189" s="794"/>
      <c r="F1189" s="794"/>
      <c r="G1189" s="794"/>
      <c r="H1189" s="794"/>
      <c r="I1189" s="794"/>
      <c r="J1189" s="794"/>
      <c r="K1189" s="794"/>
      <c r="L1189" s="794"/>
      <c r="M1189" s="794"/>
      <c r="N1189" s="794"/>
      <c r="O1189" s="794"/>
      <c r="P1189" s="794"/>
      <c r="Q1189" s="794"/>
      <c r="R1189" s="794"/>
      <c r="S1189" s="794"/>
      <c r="T1189" s="794"/>
      <c r="U1189" s="794"/>
      <c r="V1189" s="794"/>
    </row>
    <row r="1190" spans="1:22" ht="14.5">
      <c r="A1190" s="794"/>
      <c r="B1190" s="799"/>
      <c r="C1190" s="794"/>
      <c r="D1190" s="794"/>
      <c r="E1190" s="794"/>
      <c r="F1190" s="794"/>
      <c r="G1190" s="794"/>
      <c r="H1190" s="794"/>
      <c r="I1190" s="794"/>
      <c r="J1190" s="794"/>
      <c r="K1190" s="794"/>
      <c r="L1190" s="794"/>
      <c r="M1190" s="794"/>
      <c r="N1190" s="794"/>
      <c r="O1190" s="794"/>
      <c r="P1190" s="794"/>
      <c r="Q1190" s="794"/>
      <c r="R1190" s="794"/>
      <c r="S1190" s="794"/>
      <c r="T1190" s="794"/>
      <c r="U1190" s="794"/>
      <c r="V1190" s="794"/>
    </row>
    <row r="1191" spans="1:22" ht="14.5">
      <c r="A1191" s="794"/>
      <c r="B1191" s="799"/>
      <c r="C1191" s="794"/>
      <c r="D1191" s="794"/>
      <c r="E1191" s="794"/>
      <c r="F1191" s="794"/>
      <c r="G1191" s="794"/>
      <c r="H1191" s="794"/>
      <c r="I1191" s="794"/>
      <c r="J1191" s="794"/>
      <c r="K1191" s="794"/>
      <c r="L1191" s="794"/>
      <c r="M1191" s="794"/>
      <c r="N1191" s="794"/>
      <c r="O1191" s="794"/>
      <c r="P1191" s="794"/>
      <c r="Q1191" s="794"/>
      <c r="R1191" s="794"/>
      <c r="S1191" s="794"/>
      <c r="T1191" s="794"/>
      <c r="U1191" s="794"/>
      <c r="V1191" s="794"/>
    </row>
    <row r="1192" spans="1:22" ht="14.5">
      <c r="A1192" s="794"/>
      <c r="B1192" s="799"/>
      <c r="C1192" s="794"/>
      <c r="D1192" s="794"/>
      <c r="E1192" s="794"/>
      <c r="F1192" s="794"/>
      <c r="G1192" s="794"/>
      <c r="H1192" s="794"/>
      <c r="I1192" s="794"/>
      <c r="J1192" s="794"/>
      <c r="K1192" s="794"/>
      <c r="L1192" s="794"/>
      <c r="M1192" s="794"/>
      <c r="N1192" s="794"/>
      <c r="O1192" s="794"/>
      <c r="P1192" s="794"/>
      <c r="Q1192" s="794"/>
      <c r="R1192" s="794"/>
      <c r="S1192" s="794"/>
      <c r="T1192" s="794"/>
      <c r="U1192" s="794"/>
      <c r="V1192" s="794"/>
    </row>
    <row r="1193" spans="1:22" ht="14.5">
      <c r="A1193" s="794"/>
      <c r="B1193" s="799"/>
      <c r="C1193" s="794"/>
      <c r="D1193" s="794"/>
      <c r="E1193" s="794"/>
      <c r="F1193" s="794"/>
      <c r="G1193" s="794"/>
      <c r="H1193" s="794"/>
      <c r="I1193" s="794"/>
      <c r="J1193" s="794"/>
      <c r="K1193" s="794"/>
      <c r="L1193" s="794"/>
      <c r="M1193" s="794"/>
      <c r="N1193" s="794"/>
      <c r="O1193" s="794"/>
      <c r="P1193" s="794"/>
      <c r="Q1193" s="794"/>
      <c r="R1193" s="794"/>
      <c r="S1193" s="794"/>
      <c r="T1193" s="794"/>
      <c r="U1193" s="794"/>
      <c r="V1193" s="794"/>
    </row>
    <row r="1194" spans="1:22" ht="14.5">
      <c r="A1194" s="794"/>
      <c r="B1194" s="799"/>
      <c r="C1194" s="794"/>
      <c r="D1194" s="794"/>
      <c r="E1194" s="794"/>
      <c r="F1194" s="794"/>
      <c r="G1194" s="794"/>
      <c r="H1194" s="794"/>
      <c r="I1194" s="794"/>
      <c r="J1194" s="794"/>
      <c r="K1194" s="794"/>
      <c r="L1194" s="794"/>
      <c r="M1194" s="794"/>
      <c r="N1194" s="794"/>
      <c r="O1194" s="794"/>
      <c r="P1194" s="794"/>
      <c r="Q1194" s="794"/>
      <c r="R1194" s="794"/>
      <c r="S1194" s="794"/>
      <c r="T1194" s="794"/>
      <c r="U1194" s="794"/>
      <c r="V1194" s="794"/>
    </row>
    <row r="1195" spans="1:22" ht="14.5">
      <c r="A1195" s="794"/>
      <c r="B1195" s="799"/>
      <c r="C1195" s="794"/>
      <c r="D1195" s="794"/>
      <c r="E1195" s="794"/>
      <c r="F1195" s="794"/>
      <c r="G1195" s="794"/>
      <c r="H1195" s="794"/>
      <c r="I1195" s="794"/>
      <c r="J1195" s="794"/>
      <c r="K1195" s="794"/>
      <c r="L1195" s="794"/>
      <c r="M1195" s="794"/>
      <c r="N1195" s="794"/>
      <c r="O1195" s="794"/>
      <c r="P1195" s="794"/>
      <c r="Q1195" s="794"/>
      <c r="R1195" s="794"/>
      <c r="S1195" s="794"/>
      <c r="T1195" s="794"/>
      <c r="U1195" s="794"/>
      <c r="V1195" s="794"/>
    </row>
    <row r="1196" spans="1:22" ht="14.5">
      <c r="A1196" s="794"/>
      <c r="B1196" s="799"/>
      <c r="C1196" s="794"/>
      <c r="D1196" s="794"/>
      <c r="E1196" s="794"/>
      <c r="F1196" s="794"/>
      <c r="G1196" s="794"/>
      <c r="H1196" s="794"/>
      <c r="I1196" s="794"/>
      <c r="J1196" s="794"/>
      <c r="K1196" s="794"/>
      <c r="L1196" s="794"/>
      <c r="M1196" s="794"/>
      <c r="N1196" s="794"/>
      <c r="O1196" s="794"/>
      <c r="P1196" s="794"/>
      <c r="Q1196" s="794"/>
      <c r="R1196" s="794"/>
      <c r="S1196" s="794"/>
      <c r="T1196" s="794"/>
      <c r="U1196" s="794"/>
      <c r="V1196" s="794"/>
    </row>
    <row r="1197" spans="1:22" ht="14.5">
      <c r="A1197" s="794"/>
      <c r="B1197" s="799"/>
      <c r="C1197" s="794"/>
      <c r="D1197" s="794"/>
      <c r="E1197" s="794"/>
      <c r="F1197" s="794"/>
      <c r="G1197" s="794"/>
      <c r="H1197" s="794"/>
      <c r="I1197" s="794"/>
      <c r="J1197" s="794"/>
      <c r="K1197" s="794"/>
      <c r="L1197" s="794"/>
      <c r="M1197" s="794"/>
      <c r="N1197" s="794"/>
      <c r="O1197" s="794"/>
      <c r="P1197" s="794"/>
      <c r="Q1197" s="794"/>
      <c r="R1197" s="794"/>
      <c r="S1197" s="794"/>
      <c r="T1197" s="794"/>
      <c r="U1197" s="794"/>
      <c r="V1197" s="794"/>
    </row>
    <row r="1198" spans="1:22" ht="14.5">
      <c r="A1198" s="794"/>
      <c r="B1198" s="799"/>
      <c r="C1198" s="794"/>
      <c r="D1198" s="794"/>
      <c r="E1198" s="794"/>
      <c r="F1198" s="794"/>
      <c r="G1198" s="794"/>
      <c r="H1198" s="794"/>
      <c r="I1198" s="794"/>
      <c r="J1198" s="794"/>
      <c r="K1198" s="794"/>
      <c r="L1198" s="794"/>
      <c r="M1198" s="794"/>
      <c r="N1198" s="794"/>
      <c r="O1198" s="794"/>
      <c r="P1198" s="794"/>
      <c r="Q1198" s="794"/>
      <c r="R1198" s="794"/>
      <c r="S1198" s="794"/>
      <c r="T1198" s="794"/>
      <c r="U1198" s="794"/>
      <c r="V1198" s="794"/>
    </row>
    <row r="1199" spans="1:22" ht="14.5">
      <c r="A1199" s="794"/>
      <c r="B1199" s="799"/>
      <c r="C1199" s="794"/>
      <c r="D1199" s="794"/>
      <c r="E1199" s="794"/>
      <c r="F1199" s="794"/>
      <c r="G1199" s="794"/>
      <c r="H1199" s="794"/>
      <c r="I1199" s="794"/>
      <c r="J1199" s="794"/>
      <c r="K1199" s="794"/>
      <c r="L1199" s="794"/>
      <c r="M1199" s="794"/>
      <c r="N1199" s="794"/>
      <c r="O1199" s="794"/>
      <c r="P1199" s="794"/>
      <c r="Q1199" s="794"/>
      <c r="R1199" s="794"/>
      <c r="S1199" s="794"/>
      <c r="T1199" s="794"/>
      <c r="U1199" s="794"/>
      <c r="V1199" s="794"/>
    </row>
    <row r="1200" spans="1:22" ht="14.5">
      <c r="A1200" s="794"/>
      <c r="B1200" s="799"/>
      <c r="C1200" s="794"/>
      <c r="D1200" s="794"/>
      <c r="E1200" s="794"/>
      <c r="F1200" s="794"/>
      <c r="G1200" s="794"/>
      <c r="H1200" s="794"/>
      <c r="I1200" s="794"/>
      <c r="J1200" s="794"/>
      <c r="K1200" s="794"/>
      <c r="L1200" s="794"/>
      <c r="M1200" s="794"/>
      <c r="N1200" s="794"/>
      <c r="O1200" s="794"/>
      <c r="P1200" s="794"/>
      <c r="Q1200" s="794"/>
      <c r="R1200" s="794"/>
      <c r="S1200" s="794"/>
      <c r="T1200" s="794"/>
      <c r="U1200" s="794"/>
      <c r="V1200" s="794"/>
    </row>
    <row r="1201" spans="1:22" ht="14.5">
      <c r="A1201" s="794"/>
      <c r="B1201" s="799"/>
      <c r="C1201" s="794"/>
      <c r="D1201" s="794"/>
      <c r="E1201" s="794"/>
      <c r="F1201" s="794"/>
      <c r="G1201" s="794"/>
      <c r="H1201" s="794"/>
      <c r="I1201" s="794"/>
      <c r="J1201" s="794"/>
      <c r="K1201" s="794"/>
      <c r="L1201" s="794"/>
      <c r="M1201" s="794"/>
      <c r="N1201" s="794"/>
      <c r="O1201" s="794"/>
      <c r="P1201" s="794"/>
      <c r="Q1201" s="794"/>
      <c r="R1201" s="794"/>
      <c r="S1201" s="794"/>
      <c r="T1201" s="794"/>
      <c r="U1201" s="794"/>
      <c r="V1201" s="794"/>
    </row>
    <row r="1202" spans="1:22" ht="14.5">
      <c r="A1202" s="794"/>
      <c r="B1202" s="799"/>
      <c r="C1202" s="794"/>
      <c r="D1202" s="794"/>
      <c r="E1202" s="794"/>
      <c r="F1202" s="794"/>
      <c r="G1202" s="794"/>
      <c r="H1202" s="794"/>
      <c r="I1202" s="794"/>
      <c r="J1202" s="794"/>
      <c r="K1202" s="794"/>
      <c r="L1202" s="794"/>
      <c r="M1202" s="794"/>
      <c r="N1202" s="794"/>
      <c r="O1202" s="794"/>
      <c r="P1202" s="794"/>
      <c r="Q1202" s="794"/>
      <c r="R1202" s="794"/>
      <c r="S1202" s="794"/>
      <c r="T1202" s="794"/>
      <c r="U1202" s="794"/>
      <c r="V1202" s="794"/>
    </row>
    <row r="1203" spans="1:22" ht="14.5">
      <c r="A1203" s="794"/>
      <c r="B1203" s="799"/>
      <c r="C1203" s="794"/>
      <c r="D1203" s="794"/>
      <c r="E1203" s="794"/>
      <c r="F1203" s="794"/>
      <c r="G1203" s="794"/>
      <c r="H1203" s="794"/>
      <c r="I1203" s="794"/>
      <c r="J1203" s="794"/>
      <c r="K1203" s="794"/>
      <c r="L1203" s="794"/>
      <c r="M1203" s="794"/>
      <c r="N1203" s="794"/>
      <c r="O1203" s="794"/>
      <c r="P1203" s="794"/>
      <c r="Q1203" s="794"/>
      <c r="R1203" s="794"/>
      <c r="S1203" s="794"/>
      <c r="T1203" s="794"/>
      <c r="U1203" s="794"/>
      <c r="V1203" s="794"/>
    </row>
    <row r="1204" spans="1:22" ht="14.5">
      <c r="A1204" s="794"/>
      <c r="B1204" s="799"/>
      <c r="C1204" s="794"/>
      <c r="D1204" s="794"/>
      <c r="E1204" s="794"/>
      <c r="F1204" s="794"/>
      <c r="G1204" s="794"/>
      <c r="H1204" s="794"/>
      <c r="I1204" s="794"/>
      <c r="J1204" s="794"/>
      <c r="K1204" s="794"/>
      <c r="L1204" s="794"/>
      <c r="M1204" s="794"/>
      <c r="N1204" s="794"/>
      <c r="O1204" s="794"/>
      <c r="P1204" s="794"/>
      <c r="Q1204" s="794"/>
      <c r="R1204" s="794"/>
      <c r="S1204" s="794"/>
      <c r="T1204" s="794"/>
      <c r="U1204" s="794"/>
      <c r="V1204" s="794"/>
    </row>
    <row r="1205" spans="1:22" ht="14.5">
      <c r="A1205" s="794"/>
      <c r="B1205" s="799"/>
      <c r="C1205" s="794"/>
      <c r="D1205" s="794"/>
      <c r="E1205" s="794"/>
      <c r="F1205" s="794"/>
      <c r="G1205" s="794"/>
      <c r="H1205" s="794"/>
      <c r="I1205" s="794"/>
      <c r="J1205" s="794"/>
      <c r="K1205" s="794"/>
      <c r="L1205" s="794"/>
      <c r="M1205" s="794"/>
      <c r="N1205" s="794"/>
      <c r="O1205" s="794"/>
      <c r="P1205" s="794"/>
      <c r="Q1205" s="794"/>
      <c r="R1205" s="794"/>
      <c r="S1205" s="794"/>
      <c r="T1205" s="794"/>
      <c r="U1205" s="794"/>
      <c r="V1205" s="794"/>
    </row>
    <row r="1206" spans="1:22" ht="14.5">
      <c r="A1206" s="794"/>
      <c r="B1206" s="799"/>
      <c r="C1206" s="794"/>
      <c r="D1206" s="794"/>
      <c r="E1206" s="794"/>
      <c r="F1206" s="794"/>
      <c r="G1206" s="794"/>
      <c r="H1206" s="794"/>
      <c r="I1206" s="794"/>
      <c r="J1206" s="794"/>
      <c r="K1206" s="794"/>
      <c r="L1206" s="794"/>
      <c r="M1206" s="794"/>
      <c r="N1206" s="794"/>
      <c r="O1206" s="794"/>
      <c r="P1206" s="794"/>
      <c r="Q1206" s="794"/>
      <c r="R1206" s="794"/>
      <c r="S1206" s="794"/>
      <c r="T1206" s="794"/>
      <c r="U1206" s="794"/>
      <c r="V1206" s="794"/>
    </row>
    <row r="1207" spans="1:22" ht="14.5">
      <c r="A1207" s="794"/>
      <c r="B1207" s="799"/>
      <c r="C1207" s="794"/>
      <c r="D1207" s="794"/>
      <c r="E1207" s="794"/>
      <c r="F1207" s="794"/>
      <c r="G1207" s="794"/>
      <c r="H1207" s="794"/>
      <c r="I1207" s="794"/>
      <c r="J1207" s="794"/>
      <c r="K1207" s="794"/>
      <c r="L1207" s="794"/>
      <c r="M1207" s="794"/>
      <c r="N1207" s="794"/>
      <c r="O1207" s="794"/>
      <c r="P1207" s="794"/>
      <c r="Q1207" s="794"/>
      <c r="R1207" s="794"/>
      <c r="S1207" s="794"/>
      <c r="T1207" s="794"/>
      <c r="U1207" s="794"/>
      <c r="V1207" s="794"/>
    </row>
    <row r="1208" spans="1:22" ht="14.5">
      <c r="A1208" s="794"/>
      <c r="B1208" s="799"/>
      <c r="C1208" s="794"/>
      <c r="D1208" s="794"/>
      <c r="E1208" s="794"/>
      <c r="F1208" s="794"/>
      <c r="G1208" s="794"/>
      <c r="H1208" s="794"/>
      <c r="I1208" s="794"/>
      <c r="J1208" s="794"/>
      <c r="K1208" s="794"/>
      <c r="L1208" s="794"/>
      <c r="M1208" s="794"/>
      <c r="N1208" s="794"/>
      <c r="O1208" s="794"/>
      <c r="P1208" s="794"/>
      <c r="Q1208" s="794"/>
      <c r="R1208" s="794"/>
      <c r="S1208" s="794"/>
      <c r="T1208" s="794"/>
      <c r="U1208" s="794"/>
      <c r="V1208" s="794"/>
    </row>
    <row r="1209" spans="1:22" ht="14.5">
      <c r="A1209" s="794"/>
      <c r="B1209" s="799"/>
      <c r="C1209" s="794"/>
      <c r="D1209" s="794"/>
      <c r="E1209" s="794"/>
      <c r="F1209" s="794"/>
      <c r="G1209" s="794"/>
      <c r="H1209" s="794"/>
      <c r="I1209" s="794"/>
      <c r="J1209" s="794"/>
      <c r="K1209" s="794"/>
      <c r="L1209" s="794"/>
      <c r="M1209" s="794"/>
      <c r="N1209" s="794"/>
      <c r="O1209" s="794"/>
      <c r="P1209" s="794"/>
      <c r="Q1209" s="794"/>
      <c r="R1209" s="794"/>
      <c r="S1209" s="794"/>
      <c r="T1209" s="794"/>
      <c r="U1209" s="794"/>
      <c r="V1209" s="794"/>
    </row>
    <row r="1210" spans="1:22" ht="14.5">
      <c r="A1210" s="794"/>
      <c r="B1210" s="799"/>
      <c r="C1210" s="794"/>
      <c r="D1210" s="794"/>
      <c r="E1210" s="794"/>
      <c r="F1210" s="794"/>
      <c r="G1210" s="794"/>
      <c r="H1210" s="794"/>
      <c r="I1210" s="794"/>
      <c r="J1210" s="794"/>
      <c r="K1210" s="794"/>
      <c r="L1210" s="794"/>
      <c r="M1210" s="794"/>
      <c r="N1210" s="794"/>
      <c r="O1210" s="794"/>
      <c r="P1210" s="794"/>
      <c r="Q1210" s="794"/>
      <c r="R1210" s="794"/>
      <c r="S1210" s="794"/>
      <c r="T1210" s="794"/>
      <c r="U1210" s="794"/>
      <c r="V1210" s="794"/>
    </row>
    <row r="1211" spans="1:22" ht="14.5">
      <c r="A1211" s="794"/>
      <c r="B1211" s="799"/>
      <c r="C1211" s="794"/>
      <c r="D1211" s="794"/>
      <c r="E1211" s="794"/>
      <c r="F1211" s="794"/>
      <c r="G1211" s="794"/>
      <c r="H1211" s="794"/>
      <c r="I1211" s="794"/>
      <c r="J1211" s="794"/>
      <c r="K1211" s="794"/>
      <c r="L1211" s="794"/>
      <c r="M1211" s="794"/>
      <c r="N1211" s="794"/>
      <c r="O1211" s="794"/>
      <c r="P1211" s="794"/>
      <c r="Q1211" s="794"/>
      <c r="R1211" s="794"/>
      <c r="S1211" s="794"/>
      <c r="T1211" s="794"/>
      <c r="U1211" s="794"/>
      <c r="V1211" s="794"/>
    </row>
    <row r="1212" spans="1:22" ht="14.5">
      <c r="A1212" s="794"/>
      <c r="B1212" s="799"/>
      <c r="C1212" s="794"/>
      <c r="D1212" s="794"/>
      <c r="E1212" s="794"/>
      <c r="F1212" s="794"/>
      <c r="G1212" s="794"/>
      <c r="H1212" s="794"/>
      <c r="I1212" s="794"/>
      <c r="J1212" s="794"/>
      <c r="K1212" s="794"/>
      <c r="L1212" s="794"/>
      <c r="M1212" s="794"/>
      <c r="N1212" s="794"/>
      <c r="O1212" s="794"/>
      <c r="P1212" s="794"/>
      <c r="Q1212" s="794"/>
      <c r="R1212" s="794"/>
      <c r="S1212" s="794"/>
      <c r="T1212" s="794"/>
      <c r="U1212" s="794"/>
      <c r="V1212" s="794"/>
    </row>
    <row r="1213" spans="1:22" ht="14.5">
      <c r="A1213" s="794"/>
      <c r="B1213" s="799"/>
      <c r="C1213" s="794"/>
      <c r="D1213" s="794"/>
      <c r="E1213" s="794"/>
      <c r="F1213" s="794"/>
      <c r="G1213" s="794"/>
      <c r="H1213" s="794"/>
      <c r="I1213" s="794"/>
      <c r="J1213" s="794"/>
      <c r="K1213" s="794"/>
      <c r="L1213" s="794"/>
      <c r="M1213" s="794"/>
      <c r="N1213" s="794"/>
      <c r="O1213" s="794"/>
      <c r="P1213" s="794"/>
      <c r="Q1213" s="794"/>
      <c r="R1213" s="794"/>
      <c r="S1213" s="794"/>
      <c r="T1213" s="794"/>
      <c r="U1213" s="794"/>
      <c r="V1213" s="794"/>
    </row>
    <row r="1214" spans="1:22" ht="14.5">
      <c r="A1214" s="794"/>
      <c r="B1214" s="799"/>
      <c r="C1214" s="794"/>
      <c r="D1214" s="794"/>
      <c r="E1214" s="794"/>
      <c r="F1214" s="794"/>
      <c r="G1214" s="794"/>
      <c r="H1214" s="794"/>
      <c r="I1214" s="794"/>
      <c r="J1214" s="794"/>
      <c r="K1214" s="794"/>
      <c r="L1214" s="794"/>
      <c r="M1214" s="794"/>
      <c r="N1214" s="794"/>
      <c r="O1214" s="794"/>
      <c r="P1214" s="794"/>
      <c r="Q1214" s="794"/>
      <c r="R1214" s="794"/>
      <c r="S1214" s="794"/>
      <c r="T1214" s="794"/>
      <c r="U1214" s="794"/>
      <c r="V1214" s="794"/>
    </row>
    <row r="1215" spans="1:22" ht="14.5">
      <c r="A1215" s="794"/>
      <c r="B1215" s="799"/>
      <c r="C1215" s="794"/>
      <c r="D1215" s="794"/>
      <c r="E1215" s="794"/>
      <c r="F1215" s="794"/>
      <c r="G1215" s="794"/>
      <c r="H1215" s="794"/>
      <c r="I1215" s="794"/>
      <c r="J1215" s="794"/>
      <c r="K1215" s="794"/>
      <c r="L1215" s="794"/>
      <c r="M1215" s="794"/>
      <c r="N1215" s="794"/>
      <c r="O1215" s="794"/>
      <c r="P1215" s="794"/>
      <c r="Q1215" s="794"/>
      <c r="R1215" s="794"/>
      <c r="S1215" s="794"/>
      <c r="T1215" s="794"/>
      <c r="U1215" s="794"/>
      <c r="V1215" s="794"/>
    </row>
    <row r="1216" spans="1:22" ht="14.5">
      <c r="A1216" s="794"/>
      <c r="B1216" s="799"/>
      <c r="C1216" s="794"/>
      <c r="D1216" s="794"/>
      <c r="E1216" s="794"/>
      <c r="F1216" s="794"/>
      <c r="G1216" s="794"/>
      <c r="H1216" s="794"/>
      <c r="I1216" s="794"/>
      <c r="J1216" s="794"/>
      <c r="K1216" s="794"/>
      <c r="L1216" s="794"/>
      <c r="M1216" s="794"/>
      <c r="N1216" s="794"/>
      <c r="O1216" s="794"/>
      <c r="P1216" s="794"/>
      <c r="Q1216" s="794"/>
      <c r="R1216" s="794"/>
      <c r="S1216" s="794"/>
      <c r="T1216" s="794"/>
      <c r="U1216" s="794"/>
      <c r="V1216" s="794"/>
    </row>
    <row r="1217" spans="1:22" ht="14.5">
      <c r="A1217" s="794"/>
      <c r="B1217" s="799"/>
      <c r="C1217" s="794"/>
      <c r="D1217" s="794"/>
      <c r="E1217" s="794"/>
      <c r="F1217" s="794"/>
      <c r="G1217" s="794"/>
      <c r="H1217" s="794"/>
      <c r="I1217" s="794"/>
      <c r="J1217" s="794"/>
      <c r="K1217" s="794"/>
      <c r="L1217" s="794"/>
      <c r="M1217" s="794"/>
      <c r="N1217" s="794"/>
      <c r="O1217" s="794"/>
      <c r="P1217" s="794"/>
      <c r="Q1217" s="794"/>
      <c r="R1217" s="794"/>
      <c r="S1217" s="794"/>
      <c r="T1217" s="794"/>
      <c r="U1217" s="794"/>
      <c r="V1217" s="794"/>
    </row>
    <row r="1218" spans="1:22" ht="14.5">
      <c r="A1218" s="794"/>
      <c r="B1218" s="799"/>
      <c r="C1218" s="794"/>
      <c r="D1218" s="794"/>
      <c r="E1218" s="794"/>
      <c r="F1218" s="794"/>
      <c r="G1218" s="794"/>
      <c r="H1218" s="794"/>
      <c r="I1218" s="794"/>
      <c r="J1218" s="794"/>
      <c r="K1218" s="794"/>
      <c r="L1218" s="794"/>
      <c r="M1218" s="794"/>
      <c r="N1218" s="794"/>
      <c r="O1218" s="794"/>
      <c r="P1218" s="794"/>
      <c r="Q1218" s="794"/>
      <c r="R1218" s="794"/>
      <c r="S1218" s="794"/>
      <c r="T1218" s="794"/>
      <c r="U1218" s="794"/>
      <c r="V1218" s="794"/>
    </row>
    <row r="1219" spans="1:22" ht="14.5">
      <c r="A1219" s="794"/>
      <c r="B1219" s="799"/>
      <c r="C1219" s="794"/>
      <c r="D1219" s="794"/>
      <c r="E1219" s="794"/>
      <c r="F1219" s="794"/>
      <c r="G1219" s="794"/>
      <c r="H1219" s="794"/>
      <c r="I1219" s="794"/>
      <c r="J1219" s="794"/>
      <c r="K1219" s="794"/>
      <c r="L1219" s="794"/>
      <c r="M1219" s="794"/>
      <c r="N1219" s="794"/>
      <c r="O1219" s="794"/>
      <c r="P1219" s="794"/>
      <c r="Q1219" s="794"/>
      <c r="R1219" s="794"/>
      <c r="S1219" s="794"/>
      <c r="T1219" s="794"/>
      <c r="U1219" s="794"/>
      <c r="V1219" s="794"/>
    </row>
    <row r="1220" spans="1:22" ht="14.5">
      <c r="A1220" s="794"/>
      <c r="B1220" s="799"/>
      <c r="C1220" s="794"/>
      <c r="D1220" s="794"/>
      <c r="E1220" s="794"/>
      <c r="F1220" s="794"/>
      <c r="G1220" s="794"/>
      <c r="H1220" s="794"/>
      <c r="I1220" s="794"/>
      <c r="J1220" s="794"/>
      <c r="K1220" s="794"/>
      <c r="L1220" s="794"/>
      <c r="M1220" s="794"/>
      <c r="N1220" s="794"/>
      <c r="O1220" s="794"/>
      <c r="P1220" s="794"/>
      <c r="Q1220" s="794"/>
      <c r="R1220" s="794"/>
      <c r="S1220" s="794"/>
      <c r="T1220" s="794"/>
      <c r="U1220" s="794"/>
      <c r="V1220" s="794"/>
    </row>
    <row r="1221" spans="1:22" ht="14.5">
      <c r="A1221" s="794"/>
      <c r="B1221" s="799"/>
      <c r="C1221" s="794"/>
      <c r="D1221" s="794"/>
      <c r="E1221" s="794"/>
      <c r="F1221" s="794"/>
      <c r="G1221" s="794"/>
      <c r="H1221" s="794"/>
      <c r="I1221" s="794"/>
      <c r="J1221" s="794"/>
      <c r="K1221" s="794"/>
      <c r="L1221" s="794"/>
      <c r="M1221" s="794"/>
      <c r="N1221" s="794"/>
      <c r="O1221" s="794"/>
      <c r="P1221" s="794"/>
      <c r="Q1221" s="794"/>
      <c r="R1221" s="794"/>
      <c r="S1221" s="794"/>
      <c r="T1221" s="794"/>
      <c r="U1221" s="794"/>
      <c r="V1221" s="794"/>
    </row>
    <row r="1222" spans="1:22" ht="14.5">
      <c r="A1222" s="794"/>
      <c r="B1222" s="799"/>
      <c r="C1222" s="794"/>
      <c r="D1222" s="794"/>
      <c r="E1222" s="794"/>
      <c r="F1222" s="794"/>
      <c r="G1222" s="794"/>
      <c r="H1222" s="794"/>
      <c r="I1222" s="794"/>
      <c r="J1222" s="794"/>
      <c r="K1222" s="794"/>
      <c r="L1222" s="794"/>
      <c r="M1222" s="794"/>
      <c r="N1222" s="794"/>
      <c r="O1222" s="794"/>
      <c r="P1222" s="794"/>
      <c r="Q1222" s="794"/>
      <c r="R1222" s="794"/>
      <c r="S1222" s="794"/>
      <c r="T1222" s="794"/>
      <c r="U1222" s="794"/>
      <c r="V1222" s="794"/>
    </row>
    <row r="1223" spans="1:22" ht="14.5">
      <c r="A1223" s="794"/>
      <c r="B1223" s="799"/>
      <c r="C1223" s="794"/>
      <c r="D1223" s="794"/>
      <c r="E1223" s="794"/>
      <c r="F1223" s="794"/>
      <c r="G1223" s="794"/>
      <c r="H1223" s="794"/>
      <c r="I1223" s="794"/>
      <c r="J1223" s="794"/>
      <c r="K1223" s="794"/>
      <c r="L1223" s="794"/>
      <c r="M1223" s="794"/>
      <c r="N1223" s="794"/>
      <c r="O1223" s="794"/>
      <c r="P1223" s="794"/>
      <c r="Q1223" s="794"/>
      <c r="R1223" s="794"/>
      <c r="S1223" s="794"/>
      <c r="T1223" s="794"/>
      <c r="U1223" s="794"/>
      <c r="V1223" s="794"/>
    </row>
    <row r="1224" spans="1:22" ht="14.5">
      <c r="A1224" s="794"/>
      <c r="B1224" s="799"/>
      <c r="C1224" s="794"/>
      <c r="D1224" s="794"/>
      <c r="E1224" s="794"/>
      <c r="F1224" s="794"/>
      <c r="G1224" s="794"/>
      <c r="H1224" s="794"/>
      <c r="I1224" s="794"/>
      <c r="J1224" s="794"/>
      <c r="K1224" s="794"/>
      <c r="L1224" s="794"/>
      <c r="M1224" s="794"/>
      <c r="N1224" s="794"/>
      <c r="O1224" s="794"/>
      <c r="P1224" s="794"/>
      <c r="Q1224" s="794"/>
      <c r="R1224" s="794"/>
      <c r="S1224" s="794"/>
      <c r="T1224" s="794"/>
      <c r="U1224" s="794"/>
      <c r="V1224" s="794"/>
    </row>
    <row r="1225" spans="1:22" ht="14.5">
      <c r="A1225" s="794"/>
      <c r="B1225" s="799"/>
      <c r="C1225" s="794"/>
      <c r="D1225" s="794"/>
      <c r="E1225" s="794"/>
      <c r="F1225" s="794"/>
      <c r="G1225" s="794"/>
      <c r="H1225" s="794"/>
      <c r="I1225" s="794"/>
      <c r="J1225" s="794"/>
      <c r="K1225" s="794"/>
      <c r="L1225" s="794"/>
      <c r="M1225" s="794"/>
      <c r="N1225" s="794"/>
      <c r="O1225" s="794"/>
      <c r="P1225" s="794"/>
      <c r="Q1225" s="794"/>
      <c r="R1225" s="794"/>
      <c r="S1225" s="794"/>
      <c r="T1225" s="794"/>
      <c r="U1225" s="794"/>
      <c r="V1225" s="794"/>
    </row>
    <row r="1226" spans="1:22" ht="14.5">
      <c r="A1226" s="794"/>
      <c r="B1226" s="799"/>
      <c r="C1226" s="794"/>
      <c r="D1226" s="794"/>
      <c r="E1226" s="794"/>
      <c r="F1226" s="794"/>
      <c r="G1226" s="794"/>
      <c r="H1226" s="794"/>
      <c r="I1226" s="794"/>
      <c r="J1226" s="794"/>
      <c r="K1226" s="794"/>
      <c r="L1226" s="794"/>
      <c r="M1226" s="794"/>
      <c r="N1226" s="794"/>
      <c r="O1226" s="794"/>
      <c r="P1226" s="794"/>
      <c r="Q1226" s="794"/>
      <c r="R1226" s="794"/>
      <c r="S1226" s="794"/>
      <c r="T1226" s="794"/>
      <c r="U1226" s="794"/>
      <c r="V1226" s="794"/>
    </row>
    <row r="1227" spans="1:22" ht="14.5">
      <c r="A1227" s="794"/>
      <c r="B1227" s="799"/>
      <c r="C1227" s="794"/>
      <c r="D1227" s="794"/>
      <c r="E1227" s="794"/>
      <c r="F1227" s="794"/>
      <c r="G1227" s="794"/>
      <c r="H1227" s="794"/>
      <c r="I1227" s="794"/>
      <c r="J1227" s="794"/>
      <c r="K1227" s="794"/>
      <c r="L1227" s="794"/>
      <c r="M1227" s="794"/>
      <c r="N1227" s="794"/>
      <c r="O1227" s="794"/>
      <c r="P1227" s="794"/>
      <c r="Q1227" s="794"/>
      <c r="R1227" s="794"/>
      <c r="S1227" s="794"/>
      <c r="T1227" s="794"/>
      <c r="U1227" s="794"/>
      <c r="V1227" s="794"/>
    </row>
    <row r="1228" spans="1:22" ht="14.5">
      <c r="A1228" s="794"/>
      <c r="B1228" s="799"/>
      <c r="C1228" s="794"/>
      <c r="D1228" s="794"/>
      <c r="E1228" s="794"/>
      <c r="F1228" s="794"/>
      <c r="G1228" s="794"/>
      <c r="H1228" s="794"/>
      <c r="I1228" s="794"/>
      <c r="J1228" s="794"/>
      <c r="K1228" s="794"/>
      <c r="L1228" s="794"/>
      <c r="M1228" s="794"/>
      <c r="N1228" s="794"/>
      <c r="O1228" s="794"/>
      <c r="P1228" s="794"/>
      <c r="Q1228" s="794"/>
      <c r="R1228" s="794"/>
      <c r="S1228" s="794"/>
      <c r="T1228" s="794"/>
      <c r="U1228" s="794"/>
      <c r="V1228" s="794"/>
    </row>
    <row r="1229" spans="1:22" ht="14.5">
      <c r="A1229" s="794"/>
      <c r="B1229" s="799"/>
      <c r="C1229" s="794"/>
      <c r="D1229" s="794"/>
      <c r="E1229" s="794"/>
      <c r="F1229" s="794"/>
      <c r="G1229" s="794"/>
      <c r="H1229" s="794"/>
      <c r="I1229" s="794"/>
      <c r="J1229" s="794"/>
      <c r="K1229" s="794"/>
      <c r="L1229" s="794"/>
      <c r="M1229" s="794"/>
      <c r="N1229" s="794"/>
      <c r="O1229" s="794"/>
      <c r="P1229" s="794"/>
      <c r="Q1229" s="794"/>
      <c r="R1229" s="794"/>
      <c r="S1229" s="794"/>
      <c r="T1229" s="794"/>
      <c r="U1229" s="794"/>
      <c r="V1229" s="794"/>
    </row>
    <row r="1230" spans="1:22" ht="14.5">
      <c r="A1230" s="794"/>
      <c r="B1230" s="799"/>
      <c r="C1230" s="794"/>
      <c r="D1230" s="794"/>
      <c r="E1230" s="794"/>
      <c r="F1230" s="794"/>
      <c r="G1230" s="794"/>
      <c r="H1230" s="794"/>
      <c r="I1230" s="794"/>
      <c r="J1230" s="794"/>
      <c r="K1230" s="794"/>
      <c r="L1230" s="794"/>
      <c r="M1230" s="794"/>
      <c r="N1230" s="794"/>
      <c r="O1230" s="794"/>
      <c r="P1230" s="794"/>
      <c r="Q1230" s="794"/>
      <c r="R1230" s="794"/>
      <c r="S1230" s="794"/>
      <c r="T1230" s="794"/>
      <c r="U1230" s="794"/>
      <c r="V1230" s="794"/>
    </row>
    <row r="1231" spans="1:22" ht="14.5">
      <c r="A1231" s="794"/>
      <c r="B1231" s="799"/>
      <c r="C1231" s="794"/>
      <c r="D1231" s="794"/>
      <c r="E1231" s="794"/>
      <c r="F1231" s="794"/>
      <c r="G1231" s="794"/>
      <c r="H1231" s="794"/>
      <c r="I1231" s="794"/>
      <c r="J1231" s="794"/>
      <c r="K1231" s="794"/>
      <c r="L1231" s="794"/>
      <c r="M1231" s="794"/>
      <c r="N1231" s="794"/>
      <c r="O1231" s="794"/>
      <c r="P1231" s="794"/>
      <c r="Q1231" s="794"/>
      <c r="R1231" s="794"/>
      <c r="S1231" s="794"/>
      <c r="T1231" s="794"/>
      <c r="U1231" s="794"/>
      <c r="V1231" s="794"/>
    </row>
    <row r="1232" spans="1:22" ht="14.5">
      <c r="A1232" s="794"/>
      <c r="B1232" s="799"/>
      <c r="C1232" s="794"/>
      <c r="D1232" s="794"/>
      <c r="E1232" s="794"/>
      <c r="F1232" s="794"/>
      <c r="G1232" s="794"/>
      <c r="H1232" s="794"/>
      <c r="I1232" s="794"/>
      <c r="J1232" s="794"/>
      <c r="K1232" s="794"/>
      <c r="L1232" s="794"/>
      <c r="M1232" s="794"/>
      <c r="N1232" s="794"/>
      <c r="O1232" s="794"/>
      <c r="P1232" s="794"/>
      <c r="Q1232" s="794"/>
      <c r="R1232" s="794"/>
      <c r="S1232" s="794"/>
      <c r="T1232" s="794"/>
      <c r="U1232" s="794"/>
      <c r="V1232" s="794"/>
    </row>
    <row r="1233" spans="1:22" ht="14.5">
      <c r="A1233" s="794"/>
      <c r="B1233" s="799"/>
      <c r="C1233" s="794"/>
      <c r="D1233" s="794"/>
      <c r="E1233" s="794"/>
      <c r="F1233" s="794"/>
      <c r="G1233" s="794"/>
      <c r="H1233" s="794"/>
      <c r="I1233" s="794"/>
      <c r="J1233" s="794"/>
      <c r="K1233" s="794"/>
      <c r="L1233" s="794"/>
      <c r="M1233" s="794"/>
      <c r="N1233" s="794"/>
      <c r="O1233" s="794"/>
      <c r="P1233" s="794"/>
      <c r="Q1233" s="794"/>
      <c r="R1233" s="794"/>
      <c r="S1233" s="794"/>
      <c r="T1233" s="794"/>
      <c r="U1233" s="794"/>
      <c r="V1233" s="794"/>
    </row>
    <row r="1234" spans="1:22" ht="14.5">
      <c r="A1234" s="794"/>
      <c r="B1234" s="799"/>
      <c r="C1234" s="794"/>
      <c r="D1234" s="794"/>
      <c r="E1234" s="794"/>
      <c r="F1234" s="794"/>
      <c r="G1234" s="794"/>
      <c r="H1234" s="794"/>
      <c r="I1234" s="794"/>
      <c r="J1234" s="794"/>
      <c r="K1234" s="794"/>
      <c r="L1234" s="794"/>
      <c r="M1234" s="794"/>
      <c r="N1234" s="794"/>
      <c r="O1234" s="794"/>
      <c r="P1234" s="794"/>
      <c r="Q1234" s="794"/>
      <c r="R1234" s="794"/>
      <c r="S1234" s="794"/>
      <c r="T1234" s="794"/>
      <c r="U1234" s="794"/>
      <c r="V1234" s="794"/>
    </row>
    <row r="1235" spans="1:22" ht="14.5">
      <c r="A1235" s="794"/>
      <c r="B1235" s="799"/>
      <c r="C1235" s="794"/>
      <c r="D1235" s="794"/>
      <c r="E1235" s="794"/>
      <c r="F1235" s="794"/>
      <c r="G1235" s="794"/>
      <c r="H1235" s="794"/>
      <c r="I1235" s="794"/>
      <c r="J1235" s="794"/>
      <c r="K1235" s="794"/>
      <c r="L1235" s="794"/>
      <c r="M1235" s="794"/>
      <c r="N1235" s="794"/>
      <c r="O1235" s="794"/>
      <c r="P1235" s="794"/>
      <c r="Q1235" s="794"/>
      <c r="R1235" s="794"/>
      <c r="S1235" s="794"/>
      <c r="T1235" s="794"/>
      <c r="U1235" s="794"/>
      <c r="V1235" s="794"/>
    </row>
    <row r="1236" spans="1:22" ht="14.5">
      <c r="A1236" s="794"/>
      <c r="B1236" s="799"/>
      <c r="C1236" s="794"/>
      <c r="D1236" s="794"/>
      <c r="E1236" s="794"/>
      <c r="F1236" s="794"/>
      <c r="G1236" s="794"/>
      <c r="H1236" s="794"/>
      <c r="I1236" s="794"/>
      <c r="J1236" s="794"/>
      <c r="K1236" s="794"/>
      <c r="L1236" s="794"/>
      <c r="M1236" s="794"/>
      <c r="N1236" s="794"/>
      <c r="O1236" s="794"/>
      <c r="P1236" s="794"/>
      <c r="Q1236" s="794"/>
      <c r="R1236" s="794"/>
      <c r="S1236" s="794"/>
      <c r="T1236" s="794"/>
      <c r="U1236" s="794"/>
      <c r="V1236" s="794"/>
    </row>
    <row r="1237" spans="1:22" ht="14.5">
      <c r="A1237" s="794"/>
      <c r="B1237" s="799"/>
      <c r="C1237" s="794"/>
      <c r="D1237" s="794"/>
      <c r="E1237" s="794"/>
      <c r="F1237" s="794"/>
      <c r="G1237" s="794"/>
      <c r="H1237" s="794"/>
      <c r="I1237" s="794"/>
      <c r="J1237" s="794"/>
      <c r="K1237" s="794"/>
      <c r="L1237" s="794"/>
      <c r="M1237" s="794"/>
      <c r="N1237" s="794"/>
      <c r="O1237" s="794"/>
      <c r="P1237" s="794"/>
      <c r="Q1237" s="794"/>
      <c r="R1237" s="794"/>
      <c r="S1237" s="794"/>
      <c r="T1237" s="794"/>
      <c r="U1237" s="794"/>
      <c r="V1237" s="794"/>
    </row>
    <row r="1238" spans="1:22" ht="14.5">
      <c r="A1238" s="794"/>
      <c r="B1238" s="799"/>
      <c r="C1238" s="794"/>
      <c r="D1238" s="794"/>
      <c r="E1238" s="794"/>
      <c r="F1238" s="794"/>
      <c r="G1238" s="794"/>
      <c r="H1238" s="794"/>
      <c r="I1238" s="794"/>
      <c r="J1238" s="794"/>
      <c r="K1238" s="794"/>
      <c r="L1238" s="794"/>
      <c r="M1238" s="794"/>
      <c r="N1238" s="794"/>
      <c r="O1238" s="794"/>
      <c r="P1238" s="794"/>
      <c r="Q1238" s="794"/>
      <c r="R1238" s="794"/>
      <c r="S1238" s="794"/>
      <c r="T1238" s="794"/>
      <c r="U1238" s="794"/>
      <c r="V1238" s="794"/>
    </row>
    <row r="1239" spans="1:22" ht="14.5">
      <c r="A1239" s="794"/>
      <c r="B1239" s="799"/>
      <c r="C1239" s="794"/>
      <c r="D1239" s="794"/>
      <c r="E1239" s="794"/>
      <c r="F1239" s="794"/>
      <c r="G1239" s="794"/>
      <c r="H1239" s="794"/>
      <c r="I1239" s="794"/>
      <c r="J1239" s="794"/>
      <c r="K1239" s="794"/>
      <c r="L1239" s="794"/>
      <c r="M1239" s="794"/>
      <c r="N1239" s="794"/>
      <c r="O1239" s="794"/>
      <c r="P1239" s="794"/>
      <c r="Q1239" s="794"/>
      <c r="R1239" s="794"/>
      <c r="S1239" s="794"/>
      <c r="T1239" s="794"/>
      <c r="U1239" s="794"/>
      <c r="V1239" s="794"/>
    </row>
    <row r="1240" spans="1:22" ht="14.5">
      <c r="A1240" s="794"/>
      <c r="B1240" s="799"/>
      <c r="C1240" s="794"/>
      <c r="D1240" s="794"/>
      <c r="E1240" s="794"/>
      <c r="F1240" s="794"/>
      <c r="G1240" s="794"/>
      <c r="H1240" s="794"/>
      <c r="I1240" s="794"/>
      <c r="J1240" s="794"/>
      <c r="K1240" s="794"/>
      <c r="L1240" s="794"/>
      <c r="M1240" s="794"/>
      <c r="N1240" s="794"/>
      <c r="O1240" s="794"/>
      <c r="P1240" s="794"/>
      <c r="Q1240" s="794"/>
      <c r="R1240" s="794"/>
      <c r="S1240" s="794"/>
      <c r="T1240" s="794"/>
      <c r="U1240" s="794"/>
      <c r="V1240" s="794"/>
    </row>
    <row r="1241" spans="1:22" ht="14.5">
      <c r="A1241" s="794"/>
      <c r="B1241" s="799"/>
      <c r="C1241" s="794"/>
      <c r="D1241" s="794"/>
      <c r="E1241" s="794"/>
      <c r="F1241" s="794"/>
      <c r="G1241" s="794"/>
      <c r="H1241" s="794"/>
      <c r="I1241" s="794"/>
      <c r="J1241" s="794"/>
      <c r="K1241" s="794"/>
      <c r="L1241" s="794"/>
      <c r="M1241" s="794"/>
      <c r="N1241" s="794"/>
      <c r="O1241" s="794"/>
      <c r="P1241" s="794"/>
      <c r="Q1241" s="794"/>
      <c r="R1241" s="794"/>
      <c r="S1241" s="794"/>
      <c r="T1241" s="794"/>
      <c r="U1241" s="794"/>
      <c r="V1241" s="794"/>
    </row>
    <row r="1242" spans="1:22" ht="14.5">
      <c r="A1242" s="794"/>
      <c r="B1242" s="799"/>
      <c r="C1242" s="794"/>
      <c r="D1242" s="794"/>
      <c r="E1242" s="794"/>
      <c r="F1242" s="794"/>
      <c r="G1242" s="794"/>
      <c r="H1242" s="794"/>
      <c r="I1242" s="794"/>
      <c r="J1242" s="794"/>
      <c r="K1242" s="794"/>
      <c r="L1242" s="794"/>
      <c r="M1242" s="794"/>
      <c r="N1242" s="794"/>
      <c r="O1242" s="794"/>
      <c r="P1242" s="794"/>
      <c r="Q1242" s="794"/>
      <c r="R1242" s="794"/>
      <c r="S1242" s="794"/>
      <c r="T1242" s="794"/>
      <c r="U1242" s="794"/>
      <c r="V1242" s="794"/>
    </row>
    <row r="1243" spans="1:22" ht="14.5">
      <c r="A1243" s="794"/>
      <c r="B1243" s="799"/>
      <c r="C1243" s="794"/>
      <c r="D1243" s="794"/>
      <c r="E1243" s="794"/>
      <c r="F1243" s="794"/>
      <c r="G1243" s="794"/>
      <c r="H1243" s="794"/>
      <c r="I1243" s="794"/>
      <c r="J1243" s="794"/>
      <c r="K1243" s="794"/>
      <c r="L1243" s="794"/>
      <c r="M1243" s="794"/>
      <c r="N1243" s="794"/>
      <c r="O1243" s="794"/>
      <c r="P1243" s="794"/>
      <c r="Q1243" s="794"/>
      <c r="R1243" s="794"/>
      <c r="S1243" s="794"/>
      <c r="T1243" s="794"/>
      <c r="U1243" s="794"/>
      <c r="V1243" s="794"/>
    </row>
    <row r="1244" spans="1:22" ht="14.5">
      <c r="A1244" s="794"/>
      <c r="B1244" s="799"/>
      <c r="C1244" s="794"/>
      <c r="D1244" s="794"/>
      <c r="E1244" s="794"/>
      <c r="F1244" s="794"/>
      <c r="G1244" s="794"/>
      <c r="H1244" s="794"/>
      <c r="I1244" s="794"/>
      <c r="J1244" s="794"/>
      <c r="K1244" s="794"/>
      <c r="L1244" s="794"/>
      <c r="M1244" s="794"/>
      <c r="N1244" s="794"/>
      <c r="O1244" s="794"/>
      <c r="P1244" s="794"/>
      <c r="Q1244" s="794"/>
      <c r="R1244" s="794"/>
      <c r="S1244" s="794"/>
      <c r="T1244" s="794"/>
      <c r="U1244" s="794"/>
      <c r="V1244" s="794"/>
    </row>
    <row r="1245" spans="1:22" ht="14.5">
      <c r="A1245" s="794"/>
      <c r="B1245" s="799"/>
      <c r="C1245" s="794"/>
      <c r="D1245" s="794"/>
      <c r="E1245" s="794"/>
      <c r="F1245" s="794"/>
      <c r="G1245" s="794"/>
      <c r="H1245" s="794"/>
      <c r="I1245" s="794"/>
      <c r="J1245" s="794"/>
      <c r="K1245" s="794"/>
      <c r="L1245" s="794"/>
      <c r="M1245" s="794"/>
      <c r="N1245" s="794"/>
      <c r="O1245" s="794"/>
      <c r="P1245" s="794"/>
      <c r="Q1245" s="794"/>
      <c r="R1245" s="794"/>
      <c r="S1245" s="794"/>
      <c r="T1245" s="794"/>
      <c r="U1245" s="794"/>
      <c r="V1245" s="794"/>
    </row>
    <row r="1246" spans="1:22" ht="14.5">
      <c r="A1246" s="794"/>
      <c r="B1246" s="799"/>
      <c r="C1246" s="794"/>
      <c r="D1246" s="794"/>
      <c r="E1246" s="794"/>
      <c r="F1246" s="794"/>
      <c r="G1246" s="794"/>
      <c r="H1246" s="794"/>
      <c r="I1246" s="794"/>
      <c r="J1246" s="794"/>
      <c r="K1246" s="794"/>
      <c r="L1246" s="794"/>
      <c r="M1246" s="794"/>
      <c r="N1246" s="794"/>
      <c r="O1246" s="794"/>
      <c r="P1246" s="794"/>
      <c r="Q1246" s="794"/>
      <c r="R1246" s="794"/>
      <c r="S1246" s="794"/>
      <c r="T1246" s="794"/>
      <c r="U1246" s="794"/>
      <c r="V1246" s="794"/>
    </row>
    <row r="1247" spans="1:22" ht="14.5">
      <c r="A1247" s="794"/>
      <c r="B1247" s="799"/>
      <c r="C1247" s="794"/>
      <c r="D1247" s="794"/>
      <c r="E1247" s="794"/>
      <c r="F1247" s="794"/>
      <c r="G1247" s="794"/>
      <c r="H1247" s="794"/>
      <c r="I1247" s="794"/>
      <c r="J1247" s="794"/>
      <c r="K1247" s="794"/>
      <c r="L1247" s="794"/>
      <c r="M1247" s="794"/>
      <c r="N1247" s="794"/>
      <c r="O1247" s="794"/>
      <c r="P1247" s="794"/>
      <c r="Q1247" s="794"/>
      <c r="R1247" s="794"/>
      <c r="S1247" s="794"/>
      <c r="T1247" s="794"/>
      <c r="U1247" s="794"/>
      <c r="V1247" s="794"/>
    </row>
    <row r="1248" spans="1:22" ht="14.5">
      <c r="A1248" s="794"/>
      <c r="B1248" s="799"/>
      <c r="C1248" s="794"/>
      <c r="D1248" s="794"/>
      <c r="E1248" s="794"/>
      <c r="F1248" s="794"/>
      <c r="G1248" s="794"/>
      <c r="H1248" s="794"/>
      <c r="I1248" s="794"/>
      <c r="J1248" s="794"/>
      <c r="K1248" s="794"/>
      <c r="L1248" s="794"/>
      <c r="M1248" s="794"/>
      <c r="N1248" s="794"/>
      <c r="O1248" s="794"/>
      <c r="P1248" s="794"/>
      <c r="Q1248" s="794"/>
      <c r="R1248" s="794"/>
      <c r="S1248" s="794"/>
      <c r="T1248" s="794"/>
      <c r="U1248" s="794"/>
      <c r="V1248" s="794"/>
    </row>
    <row r="1249" spans="1:22" ht="14.5">
      <c r="A1249" s="794"/>
      <c r="B1249" s="799"/>
      <c r="C1249" s="794"/>
      <c r="D1249" s="794"/>
      <c r="E1249" s="794"/>
      <c r="F1249" s="794"/>
      <c r="G1249" s="794"/>
      <c r="H1249" s="794"/>
      <c r="I1249" s="794"/>
      <c r="J1249" s="794"/>
      <c r="K1249" s="794"/>
      <c r="L1249" s="794"/>
      <c r="M1249" s="794"/>
      <c r="N1249" s="794"/>
      <c r="O1249" s="794"/>
      <c r="P1249" s="794"/>
      <c r="Q1249" s="794"/>
      <c r="R1249" s="794"/>
      <c r="S1249" s="794"/>
      <c r="T1249" s="794"/>
      <c r="U1249" s="794"/>
      <c r="V1249" s="794"/>
    </row>
    <row r="1250" spans="1:22" ht="14.5">
      <c r="A1250" s="794"/>
      <c r="B1250" s="799"/>
      <c r="C1250" s="794"/>
      <c r="D1250" s="794"/>
      <c r="E1250" s="794"/>
      <c r="F1250" s="794"/>
      <c r="G1250" s="794"/>
      <c r="H1250" s="794"/>
      <c r="I1250" s="794"/>
      <c r="J1250" s="794"/>
      <c r="K1250" s="794"/>
      <c r="L1250" s="794"/>
      <c r="M1250" s="794"/>
      <c r="N1250" s="794"/>
      <c r="O1250" s="794"/>
      <c r="P1250" s="794"/>
      <c r="Q1250" s="794"/>
      <c r="R1250" s="794"/>
      <c r="S1250" s="794"/>
      <c r="T1250" s="794"/>
      <c r="U1250" s="794"/>
      <c r="V1250" s="794"/>
    </row>
    <row r="1251" spans="1:22" ht="14.5">
      <c r="A1251" s="794"/>
      <c r="B1251" s="799"/>
      <c r="C1251" s="794"/>
      <c r="D1251" s="794"/>
      <c r="E1251" s="794"/>
      <c r="F1251" s="794"/>
      <c r="G1251" s="794"/>
      <c r="H1251" s="794"/>
      <c r="I1251" s="794"/>
      <c r="J1251" s="794"/>
      <c r="K1251" s="794"/>
      <c r="L1251" s="794"/>
      <c r="M1251" s="794"/>
      <c r="N1251" s="794"/>
      <c r="O1251" s="794"/>
      <c r="P1251" s="794"/>
      <c r="Q1251" s="794"/>
      <c r="R1251" s="794"/>
      <c r="S1251" s="794"/>
      <c r="T1251" s="794"/>
      <c r="U1251" s="794"/>
      <c r="V1251" s="794"/>
    </row>
    <row r="1252" spans="1:22" ht="14.5">
      <c r="A1252" s="794"/>
      <c r="B1252" s="799"/>
      <c r="C1252" s="794"/>
      <c r="D1252" s="794"/>
      <c r="E1252" s="794"/>
      <c r="F1252" s="794"/>
      <c r="G1252" s="794"/>
      <c r="H1252" s="794"/>
      <c r="I1252" s="794"/>
      <c r="J1252" s="794"/>
      <c r="K1252" s="794"/>
      <c r="L1252" s="794"/>
      <c r="M1252" s="794"/>
      <c r="N1252" s="794"/>
      <c r="O1252" s="794"/>
      <c r="P1252" s="794"/>
      <c r="Q1252" s="794"/>
      <c r="R1252" s="794"/>
      <c r="S1252" s="794"/>
      <c r="T1252" s="794"/>
      <c r="U1252" s="794"/>
      <c r="V1252" s="794"/>
    </row>
    <row r="1253" spans="1:22" ht="14.5">
      <c r="A1253" s="794"/>
      <c r="B1253" s="799"/>
      <c r="C1253" s="794"/>
      <c r="D1253" s="794"/>
      <c r="E1253" s="794"/>
      <c r="F1253" s="794"/>
      <c r="G1253" s="794"/>
      <c r="H1253" s="794"/>
      <c r="I1253" s="794"/>
      <c r="J1253" s="794"/>
      <c r="K1253" s="794"/>
      <c r="L1253" s="794"/>
      <c r="M1253" s="794"/>
      <c r="N1253" s="794"/>
      <c r="O1253" s="794"/>
      <c r="P1253" s="794"/>
      <c r="Q1253" s="794"/>
      <c r="R1253" s="794"/>
      <c r="S1253" s="794"/>
      <c r="T1253" s="794"/>
      <c r="U1253" s="794"/>
      <c r="V1253" s="794"/>
    </row>
    <row r="1254" spans="1:22" ht="14.5">
      <c r="A1254" s="794"/>
      <c r="B1254" s="799"/>
      <c r="C1254" s="794"/>
      <c r="D1254" s="794"/>
      <c r="E1254" s="794"/>
      <c r="F1254" s="794"/>
      <c r="G1254" s="794"/>
      <c r="H1254" s="794"/>
      <c r="I1254" s="794"/>
      <c r="J1254" s="794"/>
      <c r="K1254" s="794"/>
      <c r="L1254" s="794"/>
      <c r="M1254" s="794"/>
      <c r="N1254" s="794"/>
      <c r="O1254" s="794"/>
      <c r="P1254" s="794"/>
      <c r="Q1254" s="794"/>
      <c r="R1254" s="794"/>
      <c r="S1254" s="794"/>
      <c r="T1254" s="794"/>
      <c r="U1254" s="794"/>
      <c r="V1254" s="794"/>
    </row>
    <row r="1255" spans="1:22" ht="14.5">
      <c r="A1255" s="794"/>
      <c r="B1255" s="799"/>
      <c r="C1255" s="794"/>
      <c r="D1255" s="794"/>
      <c r="E1255" s="794"/>
      <c r="F1255" s="794"/>
      <c r="G1255" s="794"/>
      <c r="H1255" s="794"/>
      <c r="I1255" s="794"/>
      <c r="J1255" s="794"/>
      <c r="K1255" s="794"/>
      <c r="L1255" s="794"/>
      <c r="M1255" s="794"/>
      <c r="N1255" s="794"/>
      <c r="O1255" s="794"/>
      <c r="P1255" s="794"/>
      <c r="Q1255" s="794"/>
      <c r="R1255" s="794"/>
      <c r="S1255" s="794"/>
      <c r="T1255" s="794"/>
      <c r="U1255" s="794"/>
      <c r="V1255" s="794"/>
    </row>
    <row r="1256" spans="1:22" ht="14.5">
      <c r="A1256" s="794"/>
      <c r="B1256" s="799"/>
      <c r="C1256" s="794"/>
      <c r="D1256" s="794"/>
      <c r="E1256" s="794"/>
      <c r="F1256" s="794"/>
      <c r="G1256" s="794"/>
      <c r="H1256" s="794"/>
      <c r="I1256" s="794"/>
      <c r="J1256" s="794"/>
      <c r="K1256" s="794"/>
      <c r="L1256" s="794"/>
      <c r="M1256" s="794"/>
      <c r="N1256" s="794"/>
      <c r="O1256" s="794"/>
      <c r="P1256" s="794"/>
      <c r="Q1256" s="794"/>
      <c r="R1256" s="794"/>
      <c r="S1256" s="794"/>
      <c r="T1256" s="794"/>
      <c r="U1256" s="794"/>
      <c r="V1256" s="794"/>
    </row>
    <row r="1257" spans="1:22" ht="14.5">
      <c r="A1257" s="794"/>
      <c r="B1257" s="799"/>
      <c r="C1257" s="794"/>
      <c r="D1257" s="794"/>
      <c r="E1257" s="794"/>
      <c r="F1257" s="794"/>
      <c r="G1257" s="794"/>
      <c r="H1257" s="794"/>
      <c r="I1257" s="794"/>
      <c r="J1257" s="794"/>
      <c r="K1257" s="794"/>
      <c r="L1257" s="794"/>
      <c r="M1257" s="794"/>
      <c r="N1257" s="794"/>
      <c r="O1257" s="794"/>
      <c r="P1257" s="794"/>
      <c r="Q1257" s="794"/>
      <c r="R1257" s="794"/>
      <c r="S1257" s="794"/>
      <c r="T1257" s="794"/>
      <c r="U1257" s="794"/>
      <c r="V1257" s="794"/>
    </row>
    <row r="1258" spans="1:22" ht="14.5">
      <c r="A1258" s="794"/>
      <c r="B1258" s="799"/>
      <c r="C1258" s="794"/>
      <c r="D1258" s="794"/>
      <c r="E1258" s="794"/>
      <c r="F1258" s="794"/>
      <c r="G1258" s="794"/>
      <c r="H1258" s="794"/>
      <c r="I1258" s="794"/>
      <c r="J1258" s="794"/>
      <c r="K1258" s="794"/>
      <c r="L1258" s="794"/>
      <c r="M1258" s="794"/>
      <c r="N1258" s="794"/>
      <c r="O1258" s="794"/>
      <c r="P1258" s="794"/>
      <c r="Q1258" s="794"/>
      <c r="R1258" s="794"/>
      <c r="S1258" s="794"/>
      <c r="T1258" s="794"/>
      <c r="U1258" s="794"/>
      <c r="V1258" s="794"/>
    </row>
    <row r="1259" spans="1:22" ht="14.5">
      <c r="A1259" s="794"/>
      <c r="B1259" s="799"/>
      <c r="C1259" s="794"/>
      <c r="D1259" s="794"/>
      <c r="E1259" s="794"/>
      <c r="F1259" s="794"/>
      <c r="G1259" s="794"/>
      <c r="H1259" s="794"/>
      <c r="I1259" s="794"/>
      <c r="J1259" s="794"/>
      <c r="K1259" s="794"/>
      <c r="L1259" s="794"/>
      <c r="M1259" s="794"/>
      <c r="N1259" s="794"/>
      <c r="O1259" s="794"/>
      <c r="P1259" s="794"/>
      <c r="Q1259" s="794"/>
      <c r="R1259" s="794"/>
      <c r="S1259" s="794"/>
      <c r="T1259" s="794"/>
      <c r="U1259" s="794"/>
      <c r="V1259" s="794"/>
    </row>
    <row r="1260" spans="1:22" ht="14.5">
      <c r="A1260" s="794"/>
      <c r="B1260" s="799"/>
      <c r="C1260" s="794"/>
      <c r="D1260" s="794"/>
      <c r="E1260" s="794"/>
      <c r="F1260" s="794"/>
      <c r="G1260" s="794"/>
      <c r="H1260" s="794"/>
      <c r="I1260" s="794"/>
      <c r="J1260" s="794"/>
      <c r="K1260" s="794"/>
      <c r="L1260" s="794"/>
      <c r="M1260" s="794"/>
      <c r="N1260" s="794"/>
      <c r="O1260" s="794"/>
      <c r="P1260" s="794"/>
      <c r="Q1260" s="794"/>
      <c r="R1260" s="794"/>
      <c r="S1260" s="794"/>
      <c r="T1260" s="794"/>
      <c r="U1260" s="794"/>
      <c r="V1260" s="794"/>
    </row>
    <row r="1261" spans="1:22" ht="14.5">
      <c r="A1261" s="794"/>
      <c r="B1261" s="799"/>
      <c r="C1261" s="794"/>
      <c r="D1261" s="794"/>
      <c r="E1261" s="794"/>
      <c r="F1261" s="794"/>
      <c r="G1261" s="794"/>
      <c r="H1261" s="794"/>
      <c r="I1261" s="794"/>
      <c r="J1261" s="794"/>
      <c r="K1261" s="794"/>
      <c r="L1261" s="794"/>
      <c r="M1261" s="794"/>
      <c r="N1261" s="794"/>
      <c r="O1261" s="794"/>
      <c r="P1261" s="794"/>
      <c r="Q1261" s="794"/>
      <c r="R1261" s="794"/>
      <c r="S1261" s="794"/>
      <c r="T1261" s="794"/>
      <c r="U1261" s="794"/>
      <c r="V1261" s="794"/>
    </row>
    <row r="1262" spans="1:22" ht="14.5">
      <c r="A1262" s="794"/>
      <c r="B1262" s="799"/>
      <c r="C1262" s="794"/>
      <c r="D1262" s="794"/>
      <c r="E1262" s="794"/>
      <c r="F1262" s="794"/>
      <c r="G1262" s="794"/>
      <c r="H1262" s="794"/>
      <c r="I1262" s="794"/>
      <c r="J1262" s="794"/>
      <c r="K1262" s="794"/>
      <c r="L1262" s="794"/>
      <c r="M1262" s="794"/>
      <c r="N1262" s="794"/>
      <c r="O1262" s="794"/>
      <c r="P1262" s="794"/>
      <c r="Q1262" s="794"/>
      <c r="R1262" s="794"/>
      <c r="S1262" s="794"/>
      <c r="T1262" s="794"/>
      <c r="U1262" s="794"/>
      <c r="V1262" s="794"/>
    </row>
    <row r="1263" spans="1:22" ht="14.5">
      <c r="A1263" s="794"/>
      <c r="B1263" s="799"/>
      <c r="C1263" s="794"/>
      <c r="D1263" s="794"/>
      <c r="E1263" s="794"/>
      <c r="F1263" s="794"/>
      <c r="G1263" s="794"/>
      <c r="H1263" s="794"/>
      <c r="I1263" s="794"/>
      <c r="J1263" s="794"/>
      <c r="K1263" s="794"/>
      <c r="L1263" s="794"/>
      <c r="M1263" s="794"/>
      <c r="N1263" s="794"/>
      <c r="O1263" s="794"/>
      <c r="P1263" s="794"/>
      <c r="Q1263" s="794"/>
      <c r="R1263" s="794"/>
      <c r="S1263" s="794"/>
      <c r="T1263" s="794"/>
      <c r="U1263" s="794"/>
      <c r="V1263" s="794"/>
    </row>
    <row r="1264" spans="1:22" ht="14.5">
      <c r="A1264" s="794"/>
      <c r="B1264" s="799"/>
      <c r="C1264" s="794"/>
      <c r="D1264" s="794"/>
      <c r="E1264" s="794"/>
      <c r="F1264" s="794"/>
      <c r="G1264" s="794"/>
      <c r="H1264" s="794"/>
      <c r="I1264" s="794"/>
      <c r="J1264" s="794"/>
      <c r="K1264" s="794"/>
      <c r="L1264" s="794"/>
      <c r="M1264" s="794"/>
      <c r="N1264" s="794"/>
      <c r="O1264" s="794"/>
      <c r="P1264" s="794"/>
      <c r="Q1264" s="794"/>
      <c r="R1264" s="794"/>
      <c r="S1264" s="794"/>
      <c r="T1264" s="794"/>
      <c r="U1264" s="794"/>
      <c r="V1264" s="794"/>
    </row>
    <row r="1265" spans="1:22" ht="14.5">
      <c r="A1265" s="794"/>
      <c r="B1265" s="799"/>
      <c r="C1265" s="794"/>
      <c r="D1265" s="794"/>
      <c r="E1265" s="794"/>
      <c r="F1265" s="794"/>
      <c r="G1265" s="794"/>
      <c r="H1265" s="794"/>
      <c r="I1265" s="794"/>
      <c r="J1265" s="794"/>
      <c r="K1265" s="794"/>
      <c r="L1265" s="794"/>
      <c r="M1265" s="794"/>
      <c r="N1265" s="794"/>
      <c r="O1265" s="794"/>
      <c r="P1265" s="794"/>
      <c r="Q1265" s="794"/>
      <c r="R1265" s="794"/>
      <c r="S1265" s="794"/>
      <c r="T1265" s="794"/>
      <c r="U1265" s="794"/>
      <c r="V1265" s="794"/>
    </row>
    <row r="1266" spans="1:22" ht="14.5">
      <c r="A1266" s="794"/>
      <c r="B1266" s="799"/>
      <c r="C1266" s="794"/>
      <c r="D1266" s="794"/>
      <c r="E1266" s="794"/>
      <c r="F1266" s="794"/>
      <c r="G1266" s="794"/>
      <c r="H1266" s="794"/>
      <c r="I1266" s="794"/>
      <c r="J1266" s="794"/>
      <c r="K1266" s="794"/>
      <c r="L1266" s="794"/>
      <c r="M1266" s="794"/>
      <c r="N1266" s="794"/>
      <c r="O1266" s="794"/>
      <c r="P1266" s="794"/>
      <c r="Q1266" s="794"/>
      <c r="R1266" s="794"/>
      <c r="S1266" s="794"/>
      <c r="T1266" s="794"/>
      <c r="U1266" s="794"/>
      <c r="V1266" s="794"/>
    </row>
    <row r="1267" spans="1:22" ht="14.5">
      <c r="A1267" s="794"/>
      <c r="B1267" s="799"/>
      <c r="C1267" s="794"/>
      <c r="D1267" s="794"/>
      <c r="E1267" s="794"/>
      <c r="F1267" s="794"/>
      <c r="G1267" s="794"/>
      <c r="H1267" s="794"/>
      <c r="I1267" s="794"/>
      <c r="J1267" s="794"/>
      <c r="K1267" s="794"/>
      <c r="L1267" s="794"/>
      <c r="M1267" s="794"/>
      <c r="N1267" s="794"/>
      <c r="O1267" s="794"/>
      <c r="P1267" s="794"/>
      <c r="Q1267" s="794"/>
      <c r="R1267" s="794"/>
      <c r="S1267" s="794"/>
      <c r="T1267" s="794"/>
      <c r="U1267" s="794"/>
      <c r="V1267" s="794"/>
    </row>
    <row r="1268" spans="1:22" ht="14.5">
      <c r="A1268" s="794"/>
      <c r="B1268" s="799"/>
      <c r="C1268" s="794"/>
      <c r="D1268" s="794"/>
      <c r="E1268" s="794"/>
      <c r="F1268" s="794"/>
      <c r="G1268" s="794"/>
      <c r="H1268" s="794"/>
      <c r="I1268" s="794"/>
      <c r="J1268" s="794"/>
      <c r="K1268" s="794"/>
      <c r="L1268" s="794"/>
      <c r="M1268" s="794"/>
      <c r="N1268" s="794"/>
      <c r="O1268" s="794"/>
      <c r="P1268" s="794"/>
      <c r="Q1268" s="794"/>
      <c r="R1268" s="794"/>
      <c r="S1268" s="794"/>
      <c r="T1268" s="794"/>
      <c r="U1268" s="794"/>
      <c r="V1268" s="794"/>
    </row>
    <row r="1269" spans="1:22" ht="14.5">
      <c r="A1269" s="794"/>
      <c r="B1269" s="799"/>
      <c r="C1269" s="794"/>
      <c r="D1269" s="794"/>
      <c r="E1269" s="794"/>
      <c r="F1269" s="794"/>
      <c r="G1269" s="794"/>
      <c r="H1269" s="794"/>
      <c r="I1269" s="794"/>
      <c r="J1269" s="794"/>
      <c r="K1269" s="794"/>
      <c r="L1269" s="794"/>
      <c r="M1269" s="794"/>
      <c r="N1269" s="794"/>
      <c r="O1269" s="794"/>
      <c r="P1269" s="794"/>
      <c r="Q1269" s="794"/>
      <c r="R1269" s="794"/>
      <c r="S1269" s="794"/>
      <c r="T1269" s="794"/>
      <c r="U1269" s="794"/>
      <c r="V1269" s="794"/>
    </row>
    <row r="1270" spans="1:22" ht="14.5">
      <c r="A1270" s="794"/>
      <c r="B1270" s="799"/>
      <c r="C1270" s="794"/>
      <c r="D1270" s="794"/>
      <c r="E1270" s="794"/>
      <c r="F1270" s="794"/>
      <c r="G1270" s="794"/>
      <c r="H1270" s="794"/>
      <c r="I1270" s="794"/>
      <c r="J1270" s="794"/>
      <c r="K1270" s="794"/>
      <c r="L1270" s="794"/>
      <c r="M1270" s="794"/>
      <c r="N1270" s="794"/>
      <c r="O1270" s="794"/>
      <c r="P1270" s="794"/>
      <c r="Q1270" s="794"/>
      <c r="R1270" s="794"/>
      <c r="S1270" s="794"/>
      <c r="T1270" s="794"/>
      <c r="U1270" s="794"/>
      <c r="V1270" s="794"/>
    </row>
    <row r="1271" spans="1:22" ht="14.5">
      <c r="A1271" s="794"/>
      <c r="B1271" s="799"/>
      <c r="C1271" s="794"/>
      <c r="D1271" s="794"/>
      <c r="E1271" s="794"/>
      <c r="F1271" s="794"/>
      <c r="G1271" s="794"/>
      <c r="H1271" s="794"/>
      <c r="I1271" s="794"/>
      <c r="J1271" s="794"/>
      <c r="K1271" s="794"/>
      <c r="L1271" s="794"/>
      <c r="M1271" s="794"/>
      <c r="N1271" s="794"/>
      <c r="O1271" s="794"/>
      <c r="P1271" s="794"/>
      <c r="Q1271" s="794"/>
      <c r="R1271" s="794"/>
      <c r="S1271" s="794"/>
      <c r="T1271" s="794"/>
      <c r="U1271" s="794"/>
      <c r="V1271" s="794"/>
    </row>
    <row r="1272" spans="1:22" ht="14.5">
      <c r="A1272" s="794"/>
      <c r="B1272" s="799"/>
      <c r="C1272" s="794"/>
      <c r="D1272" s="794"/>
      <c r="E1272" s="794"/>
      <c r="F1272" s="794"/>
      <c r="G1272" s="794"/>
      <c r="H1272" s="794"/>
      <c r="I1272" s="794"/>
      <c r="J1272" s="794"/>
      <c r="K1272" s="794"/>
      <c r="L1272" s="794"/>
      <c r="M1272" s="794"/>
      <c r="N1272" s="794"/>
      <c r="O1272" s="794"/>
      <c r="P1272" s="794"/>
      <c r="Q1272" s="794"/>
      <c r="R1272" s="794"/>
      <c r="S1272" s="794"/>
      <c r="T1272" s="794"/>
      <c r="U1272" s="794"/>
      <c r="V1272" s="794"/>
    </row>
    <row r="1273" spans="1:22" ht="14.5">
      <c r="A1273" s="794"/>
      <c r="B1273" s="799"/>
      <c r="C1273" s="794"/>
      <c r="D1273" s="794"/>
      <c r="E1273" s="794"/>
      <c r="F1273" s="794"/>
      <c r="G1273" s="794"/>
      <c r="H1273" s="794"/>
      <c r="I1273" s="794"/>
      <c r="J1273" s="794"/>
      <c r="K1273" s="794"/>
      <c r="L1273" s="794"/>
      <c r="M1273" s="794"/>
      <c r="N1273" s="794"/>
      <c r="O1273" s="794"/>
      <c r="P1273" s="794"/>
      <c r="Q1273" s="794"/>
      <c r="R1273" s="794"/>
      <c r="S1273" s="794"/>
      <c r="T1273" s="794"/>
      <c r="U1273" s="794"/>
      <c r="V1273" s="794"/>
    </row>
    <row r="1274" spans="1:22" ht="14.5">
      <c r="A1274" s="794"/>
      <c r="B1274" s="799"/>
      <c r="C1274" s="794"/>
      <c r="D1274" s="794"/>
      <c r="E1274" s="794"/>
      <c r="F1274" s="794"/>
      <c r="G1274" s="794"/>
      <c r="H1274" s="794"/>
      <c r="I1274" s="794"/>
      <c r="J1274" s="794"/>
      <c r="K1274" s="794"/>
      <c r="L1274" s="794"/>
      <c r="M1274" s="794"/>
      <c r="N1274" s="794"/>
      <c r="O1274" s="794"/>
      <c r="P1274" s="794"/>
      <c r="Q1274" s="794"/>
      <c r="R1274" s="794"/>
      <c r="S1274" s="794"/>
      <c r="T1274" s="794"/>
      <c r="U1274" s="794"/>
      <c r="V1274" s="794"/>
    </row>
    <row r="1275" spans="1:22" ht="14.5">
      <c r="A1275" s="794"/>
      <c r="B1275" s="799"/>
      <c r="C1275" s="794"/>
      <c r="D1275" s="794"/>
      <c r="E1275" s="794"/>
      <c r="F1275" s="794"/>
      <c r="G1275" s="794"/>
      <c r="H1275" s="794"/>
      <c r="I1275" s="794"/>
      <c r="J1275" s="794"/>
      <c r="K1275" s="794"/>
      <c r="L1275" s="794"/>
      <c r="M1275" s="794"/>
      <c r="N1275" s="794"/>
      <c r="O1275" s="794"/>
      <c r="P1275" s="794"/>
      <c r="Q1275" s="794"/>
      <c r="R1275" s="794"/>
      <c r="S1275" s="794"/>
      <c r="T1275" s="794"/>
      <c r="U1275" s="794"/>
      <c r="V1275" s="794"/>
    </row>
    <row r="1276" spans="1:22" ht="14.5">
      <c r="A1276" s="794"/>
      <c r="B1276" s="799"/>
      <c r="C1276" s="794"/>
      <c r="D1276" s="794"/>
      <c r="E1276" s="794"/>
      <c r="F1276" s="794"/>
      <c r="G1276" s="794"/>
      <c r="H1276" s="794"/>
      <c r="I1276" s="794"/>
      <c r="J1276" s="794"/>
      <c r="K1276" s="794"/>
      <c r="L1276" s="794"/>
      <c r="M1276" s="794"/>
      <c r="N1276" s="794"/>
      <c r="O1276" s="794"/>
      <c r="P1276" s="794"/>
      <c r="Q1276" s="794"/>
      <c r="R1276" s="794"/>
      <c r="S1276" s="794"/>
      <c r="T1276" s="794"/>
      <c r="U1276" s="794"/>
      <c r="V1276" s="794"/>
    </row>
    <row r="1277" spans="1:22" ht="14.5">
      <c r="A1277" s="794"/>
      <c r="B1277" s="799"/>
      <c r="C1277" s="794"/>
      <c r="D1277" s="794"/>
      <c r="E1277" s="794"/>
      <c r="F1277" s="794"/>
      <c r="G1277" s="794"/>
      <c r="H1277" s="794"/>
      <c r="I1277" s="794"/>
      <c r="J1277" s="794"/>
      <c r="K1277" s="794"/>
      <c r="L1277" s="794"/>
      <c r="M1277" s="794"/>
      <c r="N1277" s="794"/>
      <c r="O1277" s="794"/>
      <c r="P1277" s="794"/>
      <c r="Q1277" s="794"/>
      <c r="R1277" s="794"/>
      <c r="S1277" s="794"/>
      <c r="T1277" s="794"/>
      <c r="U1277" s="794"/>
      <c r="V1277" s="794"/>
    </row>
    <row r="1278" spans="1:22" ht="14.5">
      <c r="A1278" s="794"/>
      <c r="B1278" s="799"/>
      <c r="C1278" s="794"/>
      <c r="D1278" s="794"/>
      <c r="E1278" s="794"/>
      <c r="F1278" s="794"/>
      <c r="G1278" s="794"/>
      <c r="H1278" s="794"/>
      <c r="I1278" s="794"/>
      <c r="J1278" s="794"/>
      <c r="K1278" s="794"/>
      <c r="L1278" s="794"/>
      <c r="M1278" s="794"/>
      <c r="N1278" s="794"/>
      <c r="O1278" s="794"/>
      <c r="P1278" s="794"/>
      <c r="Q1278" s="794"/>
      <c r="R1278" s="794"/>
      <c r="S1278" s="794"/>
      <c r="T1278" s="794"/>
      <c r="U1278" s="794"/>
      <c r="V1278" s="794"/>
    </row>
    <row r="1279" spans="1:22" ht="14.5">
      <c r="A1279" s="794"/>
      <c r="B1279" s="799"/>
      <c r="C1279" s="794"/>
      <c r="D1279" s="794"/>
      <c r="E1279" s="794"/>
      <c r="F1279" s="794"/>
      <c r="G1279" s="794"/>
      <c r="H1279" s="794"/>
      <c r="I1279" s="794"/>
      <c r="J1279" s="794"/>
      <c r="K1279" s="794"/>
      <c r="L1279" s="794"/>
      <c r="M1279" s="794"/>
      <c r="N1279" s="794"/>
      <c r="O1279" s="794"/>
      <c r="P1279" s="794"/>
      <c r="Q1279" s="794"/>
      <c r="R1279" s="794"/>
      <c r="S1279" s="794"/>
      <c r="T1279" s="794"/>
      <c r="U1279" s="794"/>
      <c r="V1279" s="794"/>
    </row>
    <row r="1280" spans="1:22" ht="14.5">
      <c r="A1280" s="794"/>
      <c r="B1280" s="799"/>
      <c r="C1280" s="794"/>
      <c r="D1280" s="794"/>
      <c r="E1280" s="794"/>
      <c r="F1280" s="794"/>
      <c r="G1280" s="794"/>
      <c r="H1280" s="794"/>
      <c r="I1280" s="794"/>
      <c r="J1280" s="794"/>
      <c r="K1280" s="794"/>
      <c r="L1280" s="794"/>
      <c r="M1280" s="794"/>
      <c r="N1280" s="794"/>
      <c r="O1280" s="794"/>
      <c r="P1280" s="794"/>
      <c r="Q1280" s="794"/>
      <c r="R1280" s="794"/>
      <c r="S1280" s="794"/>
      <c r="T1280" s="794"/>
      <c r="U1280" s="794"/>
      <c r="V1280" s="794"/>
    </row>
    <row r="1281" spans="1:22" ht="14.5">
      <c r="A1281" s="794"/>
      <c r="B1281" s="799"/>
      <c r="C1281" s="794"/>
      <c r="D1281" s="794"/>
      <c r="E1281" s="794"/>
      <c r="F1281" s="794"/>
      <c r="G1281" s="794"/>
      <c r="H1281" s="794"/>
      <c r="I1281" s="794"/>
      <c r="J1281" s="794"/>
      <c r="K1281" s="794"/>
      <c r="L1281" s="794"/>
      <c r="M1281" s="794"/>
      <c r="N1281" s="794"/>
      <c r="O1281" s="794"/>
      <c r="P1281" s="794"/>
      <c r="Q1281" s="794"/>
      <c r="R1281" s="794"/>
      <c r="S1281" s="794"/>
      <c r="T1281" s="794"/>
      <c r="U1281" s="794"/>
      <c r="V1281" s="794"/>
    </row>
    <row r="1282" spans="1:22" ht="14.5">
      <c r="A1282" s="794"/>
      <c r="B1282" s="799"/>
      <c r="C1282" s="794"/>
      <c r="D1282" s="794"/>
      <c r="E1282" s="794"/>
      <c r="F1282" s="794"/>
      <c r="G1282" s="794"/>
      <c r="H1282" s="794"/>
      <c r="I1282" s="794"/>
      <c r="J1282" s="794"/>
      <c r="K1282" s="794"/>
      <c r="L1282" s="794"/>
      <c r="M1282" s="794"/>
      <c r="N1282" s="794"/>
      <c r="O1282" s="794"/>
      <c r="P1282" s="794"/>
      <c r="Q1282" s="794"/>
      <c r="R1282" s="794"/>
      <c r="S1282" s="794"/>
      <c r="T1282" s="794"/>
      <c r="U1282" s="794"/>
      <c r="V1282" s="794"/>
    </row>
    <row r="1283" spans="1:22" ht="14.5">
      <c r="A1283" s="794"/>
      <c r="B1283" s="799"/>
      <c r="C1283" s="794"/>
      <c r="D1283" s="794"/>
      <c r="E1283" s="794"/>
      <c r="F1283" s="794"/>
      <c r="G1283" s="794"/>
      <c r="H1283" s="794"/>
      <c r="I1283" s="794"/>
      <c r="J1283" s="794"/>
      <c r="K1283" s="794"/>
      <c r="L1283" s="794"/>
      <c r="M1283" s="794"/>
      <c r="N1283" s="794"/>
      <c r="O1283" s="794"/>
      <c r="P1283" s="794"/>
      <c r="Q1283" s="794"/>
      <c r="R1283" s="794"/>
      <c r="S1283" s="794"/>
      <c r="T1283" s="794"/>
      <c r="U1283" s="794"/>
      <c r="V1283" s="794"/>
    </row>
    <row r="1284" spans="1:22" ht="14.5">
      <c r="A1284" s="794"/>
      <c r="B1284" s="799"/>
      <c r="C1284" s="794"/>
      <c r="D1284" s="794"/>
      <c r="E1284" s="794"/>
      <c r="F1284" s="794"/>
      <c r="G1284" s="794"/>
      <c r="H1284" s="794"/>
      <c r="I1284" s="794"/>
      <c r="J1284" s="794"/>
      <c r="K1284" s="794"/>
      <c r="L1284" s="794"/>
      <c r="M1284" s="794"/>
      <c r="N1284" s="794"/>
      <c r="O1284" s="794"/>
      <c r="P1284" s="794"/>
      <c r="Q1284" s="794"/>
      <c r="R1284" s="794"/>
      <c r="S1284" s="794"/>
      <c r="T1284" s="794"/>
      <c r="U1284" s="794"/>
      <c r="V1284" s="794"/>
    </row>
    <row r="1285" spans="1:22" ht="14.5">
      <c r="A1285" s="794"/>
      <c r="B1285" s="799"/>
      <c r="C1285" s="794"/>
      <c r="D1285" s="794"/>
      <c r="E1285" s="794"/>
      <c r="F1285" s="794"/>
      <c r="G1285" s="794"/>
      <c r="H1285" s="794"/>
      <c r="I1285" s="794"/>
      <c r="J1285" s="794"/>
      <c r="K1285" s="794"/>
      <c r="L1285" s="794"/>
      <c r="M1285" s="794"/>
      <c r="N1285" s="794"/>
      <c r="O1285" s="794"/>
      <c r="P1285" s="794"/>
      <c r="Q1285" s="794"/>
      <c r="R1285" s="794"/>
      <c r="S1285" s="794"/>
      <c r="T1285" s="794"/>
      <c r="U1285" s="794"/>
      <c r="V1285" s="794"/>
    </row>
    <row r="1286" spans="1:22" ht="14.5">
      <c r="A1286" s="794"/>
      <c r="B1286" s="799"/>
      <c r="C1286" s="794"/>
      <c r="D1286" s="794"/>
      <c r="E1286" s="794"/>
      <c r="F1286" s="794"/>
      <c r="G1286" s="794"/>
      <c r="H1286" s="794"/>
      <c r="I1286" s="794"/>
      <c r="J1286" s="794"/>
      <c r="K1286" s="794"/>
      <c r="L1286" s="794"/>
      <c r="M1286" s="794"/>
      <c r="N1286" s="794"/>
      <c r="O1286" s="794"/>
      <c r="P1286" s="794"/>
      <c r="Q1286" s="794"/>
      <c r="R1286" s="794"/>
      <c r="S1286" s="794"/>
      <c r="T1286" s="794"/>
      <c r="U1286" s="794"/>
      <c r="V1286" s="794"/>
    </row>
    <row r="1287" spans="1:22" ht="14.5">
      <c r="A1287" s="794"/>
      <c r="B1287" s="799"/>
      <c r="C1287" s="794"/>
      <c r="D1287" s="794"/>
      <c r="E1287" s="794"/>
      <c r="F1287" s="794"/>
      <c r="G1287" s="794"/>
      <c r="H1287" s="794"/>
      <c r="I1287" s="794"/>
      <c r="J1287" s="794"/>
      <c r="K1287" s="794"/>
      <c r="L1287" s="794"/>
      <c r="M1287" s="794"/>
      <c r="N1287" s="794"/>
      <c r="O1287" s="794"/>
      <c r="P1287" s="794"/>
      <c r="Q1287" s="794"/>
      <c r="R1287" s="794"/>
      <c r="S1287" s="794"/>
      <c r="T1287" s="794"/>
      <c r="U1287" s="794"/>
      <c r="V1287" s="794"/>
    </row>
    <row r="1288" spans="1:22" ht="14.5">
      <c r="A1288" s="794"/>
      <c r="B1288" s="799"/>
      <c r="C1288" s="794"/>
      <c r="D1288" s="794"/>
      <c r="E1288" s="794"/>
      <c r="F1288" s="794"/>
      <c r="G1288" s="794"/>
      <c r="H1288" s="794"/>
      <c r="I1288" s="794"/>
      <c r="J1288" s="794"/>
      <c r="K1288" s="794"/>
      <c r="L1288" s="794"/>
      <c r="M1288" s="794"/>
      <c r="N1288" s="794"/>
      <c r="O1288" s="794"/>
      <c r="P1288" s="794"/>
      <c r="Q1288" s="794"/>
      <c r="R1288" s="794"/>
      <c r="S1288" s="794"/>
      <c r="T1288" s="794"/>
      <c r="U1288" s="794"/>
      <c r="V1288" s="794"/>
    </row>
    <row r="1289" spans="1:22" ht="14.5">
      <c r="A1289" s="794"/>
      <c r="B1289" s="799"/>
      <c r="C1289" s="794"/>
      <c r="D1289" s="794"/>
      <c r="E1289" s="794"/>
      <c r="F1289" s="794"/>
      <c r="G1289" s="794"/>
      <c r="H1289" s="794"/>
      <c r="I1289" s="794"/>
      <c r="J1289" s="794"/>
      <c r="K1289" s="794"/>
      <c r="L1289" s="794"/>
      <c r="M1289" s="794"/>
      <c r="N1289" s="794"/>
      <c r="O1289" s="794"/>
      <c r="P1289" s="794"/>
      <c r="Q1289" s="794"/>
      <c r="R1289" s="794"/>
      <c r="S1289" s="794"/>
      <c r="T1289" s="794"/>
      <c r="U1289" s="794"/>
      <c r="V1289" s="794"/>
    </row>
    <row r="1290" spans="1:22" ht="14.5">
      <c r="A1290" s="794"/>
      <c r="B1290" s="799"/>
      <c r="C1290" s="794"/>
      <c r="D1290" s="794"/>
      <c r="E1290" s="794"/>
      <c r="F1290" s="794"/>
      <c r="G1290" s="794"/>
      <c r="H1290" s="794"/>
      <c r="I1290" s="794"/>
      <c r="J1290" s="794"/>
      <c r="K1290" s="794"/>
      <c r="L1290" s="794"/>
      <c r="M1290" s="794"/>
      <c r="N1290" s="794"/>
      <c r="O1290" s="794"/>
      <c r="P1290" s="794"/>
      <c r="Q1290" s="794"/>
      <c r="R1290" s="794"/>
      <c r="S1290" s="794"/>
      <c r="T1290" s="794"/>
      <c r="U1290" s="794"/>
      <c r="V1290" s="794"/>
    </row>
    <row r="1291" spans="1:22" ht="14.5">
      <c r="A1291" s="794"/>
      <c r="B1291" s="799"/>
      <c r="C1291" s="794"/>
      <c r="D1291" s="794"/>
      <c r="E1291" s="794"/>
      <c r="F1291" s="794"/>
      <c r="G1291" s="794"/>
      <c r="H1291" s="794"/>
      <c r="I1291" s="794"/>
      <c r="J1291" s="794"/>
      <c r="K1291" s="794"/>
      <c r="L1291" s="794"/>
      <c r="M1291" s="794"/>
      <c r="N1291" s="794"/>
      <c r="O1291" s="794"/>
      <c r="P1291" s="794"/>
      <c r="Q1291" s="794"/>
      <c r="R1291" s="794"/>
      <c r="S1291" s="794"/>
      <c r="T1291" s="794"/>
      <c r="U1291" s="794"/>
      <c r="V1291" s="794"/>
    </row>
    <row r="1292" spans="1:22" ht="14.5">
      <c r="A1292" s="794"/>
      <c r="B1292" s="799"/>
      <c r="C1292" s="794"/>
      <c r="D1292" s="794"/>
      <c r="E1292" s="794"/>
      <c r="F1292" s="794"/>
      <c r="G1292" s="794"/>
      <c r="H1292" s="794"/>
      <c r="I1292" s="794"/>
      <c r="J1292" s="794"/>
      <c r="K1292" s="794"/>
      <c r="L1292" s="794"/>
      <c r="M1292" s="794"/>
      <c r="N1292" s="794"/>
      <c r="O1292" s="794"/>
      <c r="P1292" s="794"/>
      <c r="Q1292" s="794"/>
      <c r="R1292" s="794"/>
      <c r="S1292" s="794"/>
      <c r="T1292" s="794"/>
      <c r="U1292" s="794"/>
      <c r="V1292" s="794"/>
    </row>
    <row r="1293" spans="1:22" ht="14.5">
      <c r="A1293" s="794"/>
      <c r="B1293" s="799"/>
      <c r="C1293" s="794"/>
      <c r="D1293" s="794"/>
      <c r="E1293" s="794"/>
      <c r="F1293" s="794"/>
      <c r="G1293" s="794"/>
      <c r="H1293" s="794"/>
      <c r="I1293" s="794"/>
      <c r="J1293" s="794"/>
      <c r="K1293" s="794"/>
      <c r="L1293" s="794"/>
      <c r="M1293" s="794"/>
      <c r="N1293" s="794"/>
      <c r="O1293" s="794"/>
      <c r="P1293" s="794"/>
      <c r="Q1293" s="794"/>
      <c r="R1293" s="794"/>
      <c r="S1293" s="794"/>
      <c r="T1293" s="794"/>
      <c r="U1293" s="794"/>
      <c r="V1293" s="794"/>
    </row>
    <row r="1294" spans="1:22" ht="14.5">
      <c r="A1294" s="794"/>
      <c r="B1294" s="799"/>
      <c r="C1294" s="794"/>
      <c r="D1294" s="794"/>
      <c r="E1294" s="794"/>
      <c r="F1294" s="794"/>
      <c r="G1294" s="794"/>
      <c r="H1294" s="794"/>
      <c r="I1294" s="794"/>
      <c r="J1294" s="794"/>
      <c r="K1294" s="794"/>
      <c r="L1294" s="794"/>
      <c r="M1294" s="794"/>
      <c r="N1294" s="794"/>
      <c r="O1294" s="794"/>
      <c r="P1294" s="794"/>
      <c r="Q1294" s="794"/>
      <c r="R1294" s="794"/>
      <c r="S1294" s="794"/>
      <c r="T1294" s="794"/>
      <c r="U1294" s="794"/>
      <c r="V1294" s="794"/>
    </row>
    <row r="1295" spans="1:22" ht="14.5">
      <c r="A1295" s="794"/>
      <c r="B1295" s="799"/>
      <c r="C1295" s="794"/>
      <c r="D1295" s="794"/>
      <c r="E1295" s="794"/>
      <c r="F1295" s="794"/>
      <c r="G1295" s="794"/>
      <c r="H1295" s="794"/>
      <c r="I1295" s="794"/>
      <c r="J1295" s="794"/>
      <c r="K1295" s="794"/>
      <c r="L1295" s="794"/>
      <c r="M1295" s="794"/>
      <c r="N1295" s="794"/>
      <c r="O1295" s="794"/>
      <c r="P1295" s="794"/>
      <c r="Q1295" s="794"/>
      <c r="R1295" s="794"/>
      <c r="S1295" s="794"/>
      <c r="T1295" s="794"/>
      <c r="U1295" s="794"/>
      <c r="V1295" s="794"/>
    </row>
    <row r="1296" spans="1:22" ht="14.5">
      <c r="A1296" s="794"/>
      <c r="B1296" s="799"/>
      <c r="C1296" s="794"/>
      <c r="D1296" s="794"/>
      <c r="E1296" s="794"/>
      <c r="F1296" s="794"/>
      <c r="G1296" s="794"/>
      <c r="H1296" s="794"/>
      <c r="I1296" s="794"/>
      <c r="J1296" s="794"/>
      <c r="K1296" s="794"/>
      <c r="L1296" s="794"/>
      <c r="M1296" s="794"/>
      <c r="N1296" s="794"/>
      <c r="O1296" s="794"/>
      <c r="P1296" s="794"/>
      <c r="Q1296" s="794"/>
      <c r="R1296" s="794"/>
      <c r="S1296" s="794"/>
      <c r="T1296" s="794"/>
      <c r="U1296" s="794"/>
      <c r="V1296" s="794"/>
    </row>
    <row r="1297" spans="1:22" ht="14.5">
      <c r="A1297" s="794"/>
      <c r="B1297" s="799"/>
      <c r="C1297" s="794"/>
      <c r="D1297" s="794"/>
      <c r="E1297" s="794"/>
      <c r="F1297" s="794"/>
      <c r="G1297" s="794"/>
      <c r="H1297" s="794"/>
      <c r="I1297" s="794"/>
      <c r="J1297" s="794"/>
      <c r="K1297" s="794"/>
      <c r="L1297" s="794"/>
      <c r="M1297" s="794"/>
      <c r="N1297" s="794"/>
      <c r="O1297" s="794"/>
      <c r="P1297" s="794"/>
      <c r="Q1297" s="794"/>
      <c r="R1297" s="794"/>
      <c r="S1297" s="794"/>
      <c r="T1297" s="794"/>
      <c r="U1297" s="794"/>
      <c r="V1297" s="794"/>
    </row>
    <row r="1298" spans="1:22" ht="14.5">
      <c r="A1298" s="794"/>
      <c r="B1298" s="799"/>
      <c r="C1298" s="794"/>
      <c r="D1298" s="794"/>
      <c r="E1298" s="794"/>
      <c r="F1298" s="794"/>
      <c r="G1298" s="794"/>
      <c r="H1298" s="794"/>
      <c r="I1298" s="794"/>
      <c r="J1298" s="794"/>
      <c r="K1298" s="794"/>
      <c r="L1298" s="794"/>
      <c r="M1298" s="794"/>
      <c r="N1298" s="794"/>
      <c r="O1298" s="794"/>
      <c r="P1298" s="794"/>
      <c r="Q1298" s="794"/>
      <c r="R1298" s="794"/>
      <c r="S1298" s="794"/>
      <c r="T1298" s="794"/>
      <c r="U1298" s="794"/>
      <c r="V1298" s="794"/>
    </row>
    <row r="1299" spans="1:22" ht="14.5">
      <c r="A1299" s="794"/>
      <c r="B1299" s="799"/>
      <c r="C1299" s="794"/>
      <c r="D1299" s="794"/>
      <c r="E1299" s="794"/>
      <c r="F1299" s="794"/>
      <c r="G1299" s="794"/>
      <c r="H1299" s="794"/>
      <c r="I1299" s="794"/>
      <c r="J1299" s="794"/>
      <c r="K1299" s="794"/>
      <c r="L1299" s="794"/>
      <c r="M1299" s="794"/>
      <c r="N1299" s="794"/>
      <c r="O1299" s="794"/>
      <c r="P1299" s="794"/>
      <c r="Q1299" s="794"/>
      <c r="R1299" s="794"/>
      <c r="S1299" s="794"/>
      <c r="T1299" s="794"/>
      <c r="U1299" s="794"/>
      <c r="V1299" s="794"/>
    </row>
    <row r="1300" spans="1:22" ht="14.5">
      <c r="A1300" s="794"/>
      <c r="B1300" s="799"/>
      <c r="C1300" s="794"/>
      <c r="D1300" s="794"/>
      <c r="E1300" s="794"/>
      <c r="F1300" s="794"/>
      <c r="G1300" s="794"/>
      <c r="H1300" s="794"/>
      <c r="I1300" s="794"/>
      <c r="J1300" s="794"/>
      <c r="K1300" s="794"/>
      <c r="L1300" s="794"/>
      <c r="M1300" s="794"/>
      <c r="N1300" s="794"/>
      <c r="O1300" s="794"/>
      <c r="P1300" s="794"/>
      <c r="Q1300" s="794"/>
      <c r="R1300" s="794"/>
      <c r="S1300" s="794"/>
      <c r="T1300" s="794"/>
      <c r="U1300" s="794"/>
      <c r="V1300" s="794"/>
    </row>
    <row r="1301" spans="1:22" ht="14.5">
      <c r="A1301" s="794"/>
      <c r="B1301" s="799"/>
      <c r="C1301" s="794"/>
      <c r="D1301" s="794"/>
      <c r="E1301" s="794"/>
      <c r="F1301" s="794"/>
      <c r="G1301" s="794"/>
      <c r="H1301" s="794"/>
      <c r="I1301" s="794"/>
      <c r="J1301" s="794"/>
      <c r="K1301" s="794"/>
      <c r="L1301" s="794"/>
      <c r="M1301" s="794"/>
      <c r="N1301" s="794"/>
      <c r="O1301" s="794"/>
      <c r="P1301" s="794"/>
      <c r="Q1301" s="794"/>
      <c r="R1301" s="794"/>
      <c r="S1301" s="794"/>
      <c r="T1301" s="794"/>
      <c r="U1301" s="794"/>
      <c r="V1301" s="794"/>
    </row>
    <row r="1302" spans="1:22" ht="14.5">
      <c r="A1302" s="794"/>
      <c r="B1302" s="799"/>
      <c r="C1302" s="794"/>
      <c r="D1302" s="794"/>
      <c r="E1302" s="794"/>
      <c r="F1302" s="794"/>
      <c r="G1302" s="794"/>
      <c r="H1302" s="794"/>
      <c r="I1302" s="794"/>
      <c r="J1302" s="794"/>
      <c r="K1302" s="794"/>
      <c r="L1302" s="794"/>
      <c r="M1302" s="794"/>
      <c r="N1302" s="794"/>
      <c r="O1302" s="794"/>
      <c r="P1302" s="794"/>
      <c r="Q1302" s="794"/>
      <c r="R1302" s="794"/>
      <c r="S1302" s="794"/>
      <c r="T1302" s="794"/>
      <c r="U1302" s="794"/>
      <c r="V1302" s="794"/>
    </row>
    <row r="1303" spans="1:22" ht="14.5">
      <c r="A1303" s="794"/>
      <c r="B1303" s="799"/>
      <c r="C1303" s="794"/>
      <c r="D1303" s="794"/>
      <c r="E1303" s="794"/>
      <c r="F1303" s="794"/>
      <c r="G1303" s="794"/>
      <c r="H1303" s="794"/>
      <c r="I1303" s="794"/>
      <c r="J1303" s="794"/>
      <c r="K1303" s="794"/>
      <c r="L1303" s="794"/>
      <c r="M1303" s="794"/>
      <c r="N1303" s="794"/>
      <c r="O1303" s="794"/>
      <c r="P1303" s="794"/>
      <c r="Q1303" s="794"/>
      <c r="R1303" s="794"/>
      <c r="S1303" s="794"/>
      <c r="T1303" s="794"/>
      <c r="U1303" s="794"/>
      <c r="V1303" s="794"/>
    </row>
    <row r="1304" spans="1:22" ht="14.5">
      <c r="A1304" s="794"/>
      <c r="B1304" s="799"/>
      <c r="C1304" s="794"/>
      <c r="D1304" s="794"/>
      <c r="E1304" s="794"/>
      <c r="F1304" s="794"/>
      <c r="G1304" s="794"/>
      <c r="H1304" s="794"/>
      <c r="I1304" s="794"/>
      <c r="J1304" s="794"/>
      <c r="K1304" s="794"/>
      <c r="L1304" s="794"/>
      <c r="M1304" s="794"/>
      <c r="N1304" s="794"/>
      <c r="O1304" s="794"/>
      <c r="P1304" s="794"/>
      <c r="Q1304" s="794"/>
      <c r="R1304" s="794"/>
      <c r="S1304" s="794"/>
      <c r="T1304" s="794"/>
      <c r="U1304" s="794"/>
      <c r="V1304" s="794"/>
    </row>
    <row r="1305" spans="1:22" ht="14.5">
      <c r="A1305" s="794"/>
      <c r="B1305" s="799"/>
      <c r="C1305" s="794"/>
      <c r="D1305" s="794"/>
      <c r="E1305" s="794"/>
      <c r="F1305" s="794"/>
      <c r="G1305" s="794"/>
      <c r="H1305" s="794"/>
      <c r="I1305" s="794"/>
      <c r="J1305" s="794"/>
      <c r="K1305" s="794"/>
      <c r="L1305" s="794"/>
      <c r="M1305" s="794"/>
      <c r="N1305" s="794"/>
      <c r="O1305" s="794"/>
      <c r="P1305" s="794"/>
      <c r="Q1305" s="794"/>
      <c r="R1305" s="794"/>
      <c r="S1305" s="794"/>
      <c r="T1305" s="794"/>
      <c r="U1305" s="794"/>
      <c r="V1305" s="794"/>
    </row>
    <row r="1306" spans="1:22" ht="14.5">
      <c r="A1306" s="794"/>
      <c r="B1306" s="799"/>
      <c r="C1306" s="794"/>
      <c r="D1306" s="794"/>
      <c r="E1306" s="794"/>
      <c r="F1306" s="794"/>
      <c r="G1306" s="794"/>
      <c r="H1306" s="794"/>
      <c r="I1306" s="794"/>
      <c r="J1306" s="794"/>
      <c r="K1306" s="794"/>
      <c r="L1306" s="794"/>
      <c r="M1306" s="794"/>
      <c r="N1306" s="794"/>
      <c r="O1306" s="794"/>
      <c r="P1306" s="794"/>
      <c r="Q1306" s="794"/>
      <c r="R1306" s="794"/>
      <c r="S1306" s="794"/>
      <c r="T1306" s="794"/>
      <c r="U1306" s="794"/>
      <c r="V1306" s="794"/>
    </row>
    <row r="1307" spans="1:22" ht="14.5">
      <c r="A1307" s="794"/>
      <c r="B1307" s="799"/>
      <c r="C1307" s="794"/>
      <c r="D1307" s="794"/>
      <c r="E1307" s="794"/>
      <c r="F1307" s="794"/>
      <c r="G1307" s="794"/>
      <c r="H1307" s="794"/>
      <c r="I1307" s="794"/>
      <c r="J1307" s="794"/>
      <c r="K1307" s="794"/>
      <c r="L1307" s="794"/>
      <c r="M1307" s="794"/>
      <c r="N1307" s="794"/>
      <c r="O1307" s="794"/>
      <c r="P1307" s="794"/>
      <c r="Q1307" s="794"/>
      <c r="R1307" s="794"/>
      <c r="S1307" s="794"/>
      <c r="T1307" s="794"/>
      <c r="U1307" s="794"/>
      <c r="V1307" s="794"/>
    </row>
    <row r="1308" spans="1:22" ht="14.5">
      <c r="A1308" s="794"/>
      <c r="B1308" s="799"/>
      <c r="C1308" s="794"/>
      <c r="D1308" s="794"/>
      <c r="E1308" s="794"/>
      <c r="F1308" s="794"/>
      <c r="G1308" s="794"/>
      <c r="H1308" s="794"/>
      <c r="I1308" s="794"/>
      <c r="J1308" s="794"/>
      <c r="K1308" s="794"/>
      <c r="L1308" s="794"/>
      <c r="M1308" s="794"/>
      <c r="N1308" s="794"/>
      <c r="O1308" s="794"/>
      <c r="P1308" s="794"/>
      <c r="Q1308" s="794"/>
      <c r="R1308" s="794"/>
      <c r="S1308" s="794"/>
      <c r="T1308" s="794"/>
      <c r="U1308" s="794"/>
      <c r="V1308" s="794"/>
    </row>
    <row r="1309" spans="1:22" ht="14.5">
      <c r="A1309" s="794"/>
      <c r="B1309" s="799"/>
      <c r="C1309" s="794"/>
      <c r="D1309" s="794"/>
      <c r="E1309" s="794"/>
      <c r="F1309" s="794"/>
      <c r="G1309" s="794"/>
      <c r="H1309" s="794"/>
      <c r="I1309" s="794"/>
      <c r="J1309" s="794"/>
      <c r="K1309" s="794"/>
      <c r="L1309" s="794"/>
      <c r="M1309" s="794"/>
      <c r="N1309" s="794"/>
      <c r="O1309" s="794"/>
      <c r="P1309" s="794"/>
      <c r="Q1309" s="794"/>
      <c r="R1309" s="794"/>
      <c r="S1309" s="794"/>
      <c r="T1309" s="794"/>
      <c r="U1309" s="794"/>
      <c r="V1309" s="794"/>
    </row>
    <row r="1310" spans="1:22" ht="14.5">
      <c r="A1310" s="794"/>
      <c r="B1310" s="799"/>
      <c r="C1310" s="794"/>
      <c r="D1310" s="794"/>
      <c r="E1310" s="794"/>
      <c r="F1310" s="794"/>
      <c r="G1310" s="794"/>
      <c r="H1310" s="794"/>
      <c r="I1310" s="794"/>
      <c r="J1310" s="794"/>
      <c r="K1310" s="794"/>
      <c r="L1310" s="794"/>
      <c r="M1310" s="794"/>
      <c r="N1310" s="794"/>
      <c r="O1310" s="794"/>
      <c r="P1310" s="794"/>
      <c r="Q1310" s="794"/>
      <c r="R1310" s="794"/>
      <c r="S1310" s="794"/>
      <c r="T1310" s="794"/>
      <c r="U1310" s="794"/>
      <c r="V1310" s="794"/>
    </row>
    <row r="1311" spans="1:22" ht="14.5">
      <c r="A1311" s="794"/>
      <c r="B1311" s="799"/>
      <c r="C1311" s="794"/>
      <c r="D1311" s="794"/>
      <c r="E1311" s="794"/>
      <c r="F1311" s="794"/>
      <c r="G1311" s="794"/>
      <c r="H1311" s="794"/>
      <c r="I1311" s="794"/>
      <c r="J1311" s="794"/>
      <c r="K1311" s="794"/>
      <c r="L1311" s="794"/>
      <c r="M1311" s="794"/>
      <c r="N1311" s="794"/>
      <c r="O1311" s="794"/>
      <c r="P1311" s="794"/>
      <c r="Q1311" s="794"/>
      <c r="R1311" s="794"/>
      <c r="S1311" s="794"/>
      <c r="T1311" s="794"/>
      <c r="U1311" s="794"/>
      <c r="V1311" s="794"/>
    </row>
    <row r="1312" spans="1:22" ht="14.5">
      <c r="A1312" s="794"/>
      <c r="B1312" s="799"/>
      <c r="C1312" s="794"/>
      <c r="D1312" s="794"/>
      <c r="E1312" s="794"/>
      <c r="F1312" s="794"/>
      <c r="G1312" s="794"/>
      <c r="H1312" s="794"/>
      <c r="I1312" s="794"/>
      <c r="J1312" s="794"/>
      <c r="K1312" s="794"/>
      <c r="L1312" s="794"/>
      <c r="M1312" s="794"/>
      <c r="N1312" s="794"/>
      <c r="O1312" s="794"/>
      <c r="P1312" s="794"/>
      <c r="Q1312" s="794"/>
      <c r="R1312" s="794"/>
      <c r="S1312" s="794"/>
      <c r="T1312" s="794"/>
      <c r="U1312" s="794"/>
      <c r="V1312" s="794"/>
    </row>
    <row r="1313" spans="1:22" ht="14.5">
      <c r="A1313" s="794"/>
      <c r="B1313" s="799"/>
      <c r="C1313" s="794"/>
      <c r="D1313" s="794"/>
      <c r="E1313" s="794"/>
      <c r="F1313" s="794"/>
      <c r="G1313" s="794"/>
      <c r="H1313" s="794"/>
      <c r="I1313" s="794"/>
      <c r="J1313" s="794"/>
      <c r="K1313" s="794"/>
      <c r="L1313" s="794"/>
      <c r="M1313" s="794"/>
      <c r="N1313" s="794"/>
      <c r="O1313" s="794"/>
      <c r="P1313" s="794"/>
      <c r="Q1313" s="794"/>
      <c r="R1313" s="794"/>
      <c r="S1313" s="794"/>
      <c r="T1313" s="794"/>
      <c r="U1313" s="794"/>
      <c r="V1313" s="794"/>
    </row>
    <row r="1314" spans="1:22" ht="14.5">
      <c r="A1314" s="794"/>
      <c r="B1314" s="799"/>
      <c r="C1314" s="794"/>
      <c r="D1314" s="794"/>
      <c r="E1314" s="794"/>
      <c r="F1314" s="794"/>
      <c r="G1314" s="794"/>
      <c r="H1314" s="794"/>
      <c r="I1314" s="794"/>
      <c r="J1314" s="794"/>
      <c r="K1314" s="794"/>
      <c r="L1314" s="794"/>
      <c r="M1314" s="794"/>
      <c r="N1314" s="794"/>
      <c r="O1314" s="794"/>
      <c r="P1314" s="794"/>
      <c r="Q1314" s="794"/>
      <c r="R1314" s="794"/>
      <c r="S1314" s="794"/>
      <c r="T1314" s="794"/>
      <c r="U1314" s="794"/>
      <c r="V1314" s="794"/>
    </row>
    <row r="1315" spans="1:22" ht="14.5">
      <c r="A1315" s="794"/>
      <c r="B1315" s="799"/>
      <c r="C1315" s="794"/>
      <c r="D1315" s="794"/>
      <c r="E1315" s="794"/>
      <c r="F1315" s="794"/>
      <c r="G1315" s="794"/>
      <c r="H1315" s="794"/>
      <c r="I1315" s="794"/>
      <c r="J1315" s="794"/>
      <c r="K1315" s="794"/>
      <c r="L1315" s="794"/>
      <c r="M1315" s="794"/>
      <c r="N1315" s="794"/>
      <c r="O1315" s="794"/>
      <c r="P1315" s="794"/>
      <c r="Q1315" s="794"/>
      <c r="R1315" s="794"/>
      <c r="S1315" s="794"/>
      <c r="T1315" s="794"/>
      <c r="U1315" s="794"/>
      <c r="V1315" s="794"/>
    </row>
    <row r="1316" spans="1:22" ht="14.5">
      <c r="A1316" s="794"/>
      <c r="B1316" s="799"/>
      <c r="C1316" s="794"/>
      <c r="D1316" s="794"/>
      <c r="E1316" s="794"/>
      <c r="F1316" s="794"/>
      <c r="G1316" s="794"/>
      <c r="H1316" s="794"/>
      <c r="I1316" s="794"/>
      <c r="J1316" s="794"/>
      <c r="K1316" s="794"/>
      <c r="L1316" s="794"/>
      <c r="M1316" s="794"/>
      <c r="N1316" s="794"/>
      <c r="O1316" s="794"/>
      <c r="P1316" s="794"/>
      <c r="Q1316" s="794"/>
      <c r="R1316" s="794"/>
      <c r="S1316" s="794"/>
      <c r="T1316" s="794"/>
      <c r="U1316" s="794"/>
      <c r="V1316" s="794"/>
    </row>
    <row r="1317" spans="1:22" ht="14.5">
      <c r="A1317" s="794"/>
      <c r="B1317" s="799"/>
      <c r="C1317" s="794"/>
      <c r="D1317" s="794"/>
      <c r="E1317" s="794"/>
      <c r="F1317" s="794"/>
      <c r="G1317" s="794"/>
      <c r="H1317" s="794"/>
      <c r="I1317" s="794"/>
      <c r="J1317" s="794"/>
      <c r="K1317" s="794"/>
      <c r="L1317" s="794"/>
      <c r="M1317" s="794"/>
      <c r="N1317" s="794"/>
      <c r="O1317" s="794"/>
      <c r="P1317" s="794"/>
      <c r="Q1317" s="794"/>
      <c r="R1317" s="794"/>
      <c r="S1317" s="794"/>
      <c r="T1317" s="794"/>
      <c r="U1317" s="794"/>
      <c r="V1317" s="794"/>
    </row>
    <row r="1318" spans="1:22" ht="14.5">
      <c r="A1318" s="794"/>
      <c r="B1318" s="799"/>
      <c r="C1318" s="794"/>
      <c r="D1318" s="794"/>
      <c r="E1318" s="794"/>
      <c r="F1318" s="794"/>
      <c r="G1318" s="794"/>
      <c r="H1318" s="794"/>
      <c r="I1318" s="794"/>
      <c r="J1318" s="794"/>
      <c r="K1318" s="794"/>
      <c r="L1318" s="794"/>
      <c r="M1318" s="794"/>
      <c r="N1318" s="794"/>
      <c r="O1318" s="794"/>
      <c r="P1318" s="794"/>
      <c r="Q1318" s="794"/>
      <c r="R1318" s="794"/>
      <c r="S1318" s="794"/>
      <c r="T1318" s="794"/>
      <c r="U1318" s="794"/>
      <c r="V1318" s="794"/>
    </row>
    <row r="1319" spans="1:22" ht="14.5">
      <c r="A1319" s="794"/>
      <c r="B1319" s="799"/>
      <c r="C1319" s="794"/>
      <c r="D1319" s="794"/>
      <c r="E1319" s="794"/>
      <c r="F1319" s="794"/>
      <c r="G1319" s="794"/>
      <c r="H1319" s="794"/>
      <c r="I1319" s="794"/>
      <c r="J1319" s="794"/>
      <c r="K1319" s="794"/>
      <c r="L1319" s="794"/>
      <c r="M1319" s="794"/>
      <c r="N1319" s="794"/>
      <c r="O1319" s="794"/>
      <c r="P1319" s="794"/>
      <c r="Q1319" s="794"/>
      <c r="R1319" s="794"/>
      <c r="S1319" s="794"/>
      <c r="T1319" s="794"/>
      <c r="U1319" s="794"/>
      <c r="V1319" s="794"/>
    </row>
    <row r="1320" spans="1:22" ht="14.5">
      <c r="A1320" s="794"/>
      <c r="B1320" s="799"/>
      <c r="C1320" s="794"/>
      <c r="D1320" s="794"/>
      <c r="E1320" s="794"/>
      <c r="F1320" s="794"/>
      <c r="G1320" s="794"/>
      <c r="H1320" s="794"/>
      <c r="I1320" s="794"/>
      <c r="J1320" s="794"/>
      <c r="K1320" s="794"/>
      <c r="L1320" s="794"/>
      <c r="M1320" s="794"/>
      <c r="N1320" s="794"/>
      <c r="O1320" s="794"/>
      <c r="P1320" s="794"/>
      <c r="Q1320" s="794"/>
      <c r="R1320" s="794"/>
      <c r="S1320" s="794"/>
      <c r="T1320" s="794"/>
      <c r="U1320" s="794"/>
      <c r="V1320" s="794"/>
    </row>
    <row r="1321" spans="1:22" ht="14.5">
      <c r="A1321" s="794"/>
      <c r="B1321" s="799"/>
      <c r="C1321" s="794"/>
      <c r="D1321" s="794"/>
      <c r="E1321" s="794"/>
      <c r="F1321" s="794"/>
      <c r="G1321" s="794"/>
      <c r="H1321" s="794"/>
      <c r="I1321" s="794"/>
      <c r="J1321" s="794"/>
      <c r="K1321" s="794"/>
      <c r="L1321" s="794"/>
      <c r="M1321" s="794"/>
      <c r="N1321" s="794"/>
      <c r="O1321" s="794"/>
      <c r="P1321" s="794"/>
      <c r="Q1321" s="794"/>
      <c r="R1321" s="794"/>
      <c r="S1321" s="794"/>
      <c r="T1321" s="794"/>
      <c r="U1321" s="794"/>
      <c r="V1321" s="794"/>
    </row>
    <row r="1322" spans="1:22" ht="14.5">
      <c r="A1322" s="794"/>
      <c r="B1322" s="799"/>
      <c r="C1322" s="794"/>
      <c r="D1322" s="794"/>
      <c r="E1322" s="794"/>
      <c r="F1322" s="794"/>
      <c r="G1322" s="794"/>
      <c r="H1322" s="794"/>
      <c r="I1322" s="794"/>
      <c r="J1322" s="794"/>
      <c r="K1322" s="794"/>
      <c r="L1322" s="794"/>
      <c r="M1322" s="794"/>
      <c r="N1322" s="794"/>
      <c r="O1322" s="794"/>
      <c r="P1322" s="794"/>
      <c r="Q1322" s="794"/>
      <c r="R1322" s="794"/>
      <c r="S1322" s="794"/>
      <c r="T1322" s="794"/>
      <c r="U1322" s="794"/>
      <c r="V1322" s="794"/>
    </row>
    <row r="1323" spans="1:22" ht="14.5">
      <c r="A1323" s="794"/>
      <c r="B1323" s="799"/>
      <c r="C1323" s="794"/>
      <c r="D1323" s="794"/>
      <c r="E1323" s="794"/>
      <c r="F1323" s="794"/>
      <c r="G1323" s="794"/>
      <c r="H1323" s="794"/>
      <c r="I1323" s="794"/>
      <c r="J1323" s="794"/>
      <c r="K1323" s="794"/>
      <c r="L1323" s="794"/>
      <c r="M1323" s="794"/>
      <c r="N1323" s="794"/>
      <c r="O1323" s="794"/>
      <c r="P1323" s="794"/>
      <c r="Q1323" s="794"/>
      <c r="R1323" s="794"/>
      <c r="S1323" s="794"/>
      <c r="T1323" s="794"/>
      <c r="U1323" s="794"/>
      <c r="V1323" s="794"/>
    </row>
    <row r="1324" spans="1:22" ht="14.5">
      <c r="A1324" s="794"/>
      <c r="B1324" s="799"/>
      <c r="C1324" s="794"/>
      <c r="D1324" s="794"/>
      <c r="E1324" s="794"/>
      <c r="F1324" s="794"/>
      <c r="G1324" s="794"/>
      <c r="H1324" s="794"/>
      <c r="I1324" s="794"/>
      <c r="J1324" s="794"/>
      <c r="K1324" s="794"/>
      <c r="L1324" s="794"/>
      <c r="M1324" s="794"/>
      <c r="N1324" s="794"/>
      <c r="O1324" s="794"/>
      <c r="P1324" s="794"/>
      <c r="Q1324" s="794"/>
      <c r="R1324" s="794"/>
      <c r="S1324" s="794"/>
      <c r="T1324" s="794"/>
      <c r="U1324" s="794"/>
      <c r="V1324" s="794"/>
    </row>
    <row r="1325" spans="1:22" ht="14.5">
      <c r="A1325" s="794"/>
      <c r="B1325" s="799"/>
      <c r="C1325" s="794"/>
      <c r="D1325" s="794"/>
      <c r="E1325" s="794"/>
      <c r="F1325" s="794"/>
      <c r="G1325" s="794"/>
      <c r="H1325" s="794"/>
      <c r="I1325" s="794"/>
      <c r="J1325" s="794"/>
      <c r="K1325" s="794"/>
      <c r="L1325" s="794"/>
      <c r="M1325" s="794"/>
      <c r="N1325" s="794"/>
      <c r="O1325" s="794"/>
      <c r="P1325" s="794"/>
      <c r="Q1325" s="794"/>
      <c r="R1325" s="794"/>
      <c r="S1325" s="794"/>
      <c r="T1325" s="794"/>
      <c r="U1325" s="794"/>
      <c r="V1325" s="794"/>
    </row>
    <row r="1326" spans="1:22" ht="14.5">
      <c r="A1326" s="794"/>
      <c r="B1326" s="799"/>
      <c r="C1326" s="794"/>
      <c r="D1326" s="794"/>
      <c r="E1326" s="794"/>
      <c r="F1326" s="794"/>
      <c r="G1326" s="794"/>
      <c r="H1326" s="794"/>
      <c r="I1326" s="794"/>
      <c r="J1326" s="794"/>
      <c r="K1326" s="794"/>
      <c r="L1326" s="794"/>
      <c r="M1326" s="794"/>
      <c r="N1326" s="794"/>
      <c r="O1326" s="794"/>
      <c r="P1326" s="794"/>
      <c r="Q1326" s="794"/>
      <c r="R1326" s="794"/>
      <c r="S1326" s="794"/>
      <c r="T1326" s="794"/>
      <c r="U1326" s="794"/>
      <c r="V1326" s="794"/>
    </row>
    <row r="1327" spans="1:22" ht="14.5">
      <c r="A1327" s="794"/>
      <c r="B1327" s="799"/>
      <c r="C1327" s="794"/>
      <c r="D1327" s="794"/>
      <c r="E1327" s="794"/>
      <c r="F1327" s="794"/>
      <c r="G1327" s="794"/>
      <c r="H1327" s="794"/>
      <c r="I1327" s="794"/>
      <c r="J1327" s="794"/>
      <c r="K1327" s="794"/>
      <c r="L1327" s="794"/>
      <c r="M1327" s="794"/>
      <c r="N1327" s="794"/>
      <c r="O1327" s="794"/>
      <c r="P1327" s="794"/>
      <c r="Q1327" s="794"/>
      <c r="R1327" s="794"/>
      <c r="S1327" s="794"/>
      <c r="T1327" s="794"/>
      <c r="U1327" s="794"/>
      <c r="V1327" s="794"/>
    </row>
    <row r="1328" spans="1:22" ht="14.5">
      <c r="A1328" s="794"/>
      <c r="B1328" s="799"/>
      <c r="C1328" s="794"/>
      <c r="D1328" s="794"/>
      <c r="E1328" s="794"/>
      <c r="F1328" s="794"/>
      <c r="G1328" s="794"/>
      <c r="H1328" s="794"/>
      <c r="I1328" s="794"/>
      <c r="J1328" s="794"/>
      <c r="K1328" s="794"/>
      <c r="L1328" s="794"/>
      <c r="M1328" s="794"/>
      <c r="N1328" s="794"/>
      <c r="O1328" s="794"/>
      <c r="P1328" s="794"/>
      <c r="Q1328" s="794"/>
      <c r="R1328" s="794"/>
      <c r="S1328" s="794"/>
      <c r="T1328" s="794"/>
      <c r="U1328" s="794"/>
      <c r="V1328" s="794"/>
    </row>
    <row r="1329" spans="1:22" ht="14.5">
      <c r="A1329" s="794"/>
      <c r="B1329" s="799"/>
      <c r="C1329" s="794"/>
      <c r="D1329" s="794"/>
      <c r="E1329" s="794"/>
      <c r="F1329" s="794"/>
      <c r="G1329" s="794"/>
      <c r="H1329" s="794"/>
      <c r="I1329" s="794"/>
      <c r="J1329" s="794"/>
      <c r="K1329" s="794"/>
      <c r="L1329" s="794"/>
      <c r="M1329" s="794"/>
      <c r="N1329" s="794"/>
      <c r="O1329" s="794"/>
      <c r="P1329" s="794"/>
      <c r="Q1329" s="794"/>
      <c r="R1329" s="794"/>
      <c r="S1329" s="794"/>
      <c r="T1329" s="794"/>
      <c r="U1329" s="794"/>
      <c r="V1329" s="794"/>
    </row>
    <row r="1330" spans="1:22" ht="14.5">
      <c r="A1330" s="794"/>
      <c r="B1330" s="799"/>
      <c r="C1330" s="794"/>
      <c r="D1330" s="794"/>
      <c r="E1330" s="794"/>
      <c r="F1330" s="794"/>
      <c r="G1330" s="794"/>
      <c r="H1330" s="794"/>
      <c r="I1330" s="794"/>
      <c r="J1330" s="794"/>
      <c r="K1330" s="794"/>
      <c r="L1330" s="794"/>
      <c r="M1330" s="794"/>
      <c r="N1330" s="794"/>
      <c r="O1330" s="794"/>
      <c r="P1330" s="794"/>
      <c r="Q1330" s="794"/>
      <c r="R1330" s="794"/>
      <c r="S1330" s="794"/>
      <c r="T1330" s="794"/>
      <c r="U1330" s="794"/>
      <c r="V1330" s="794"/>
    </row>
    <row r="1331" spans="1:22" ht="14.5">
      <c r="A1331" s="794"/>
      <c r="B1331" s="799"/>
      <c r="C1331" s="794"/>
      <c r="D1331" s="794"/>
      <c r="E1331" s="794"/>
      <c r="F1331" s="794"/>
      <c r="G1331" s="794"/>
      <c r="H1331" s="794"/>
      <c r="I1331" s="794"/>
      <c r="J1331" s="794"/>
      <c r="K1331" s="794"/>
      <c r="L1331" s="794"/>
      <c r="M1331" s="794"/>
      <c r="N1331" s="794"/>
      <c r="O1331" s="794"/>
      <c r="P1331" s="794"/>
      <c r="Q1331" s="794"/>
      <c r="R1331" s="794"/>
      <c r="S1331" s="794"/>
      <c r="T1331" s="794"/>
      <c r="U1331" s="794"/>
      <c r="V1331" s="794"/>
    </row>
    <row r="1332" spans="1:22" ht="14.5">
      <c r="A1332" s="794"/>
      <c r="B1332" s="799"/>
      <c r="C1332" s="794"/>
      <c r="D1332" s="794"/>
      <c r="E1332" s="794"/>
      <c r="F1332" s="794"/>
      <c r="G1332" s="794"/>
      <c r="H1332" s="794"/>
      <c r="I1332" s="794"/>
      <c r="J1332" s="794"/>
      <c r="K1332" s="794"/>
      <c r="L1332" s="794"/>
      <c r="M1332" s="794"/>
      <c r="N1332" s="794"/>
      <c r="O1332" s="794"/>
      <c r="P1332" s="794"/>
      <c r="Q1332" s="794"/>
      <c r="R1332" s="794"/>
      <c r="S1332" s="794"/>
      <c r="T1332" s="794"/>
      <c r="U1332" s="794"/>
      <c r="V1332" s="794"/>
    </row>
    <row r="1333" spans="1:22" ht="14.5">
      <c r="A1333" s="794"/>
      <c r="B1333" s="799"/>
      <c r="C1333" s="794"/>
      <c r="D1333" s="794"/>
      <c r="E1333" s="794"/>
      <c r="F1333" s="794"/>
      <c r="G1333" s="794"/>
      <c r="H1333" s="794"/>
      <c r="I1333" s="794"/>
      <c r="J1333" s="794"/>
      <c r="K1333" s="794"/>
      <c r="L1333" s="794"/>
      <c r="M1333" s="794"/>
      <c r="N1333" s="794"/>
      <c r="O1333" s="794"/>
      <c r="P1333" s="794"/>
      <c r="Q1333" s="794"/>
      <c r="R1333" s="794"/>
      <c r="S1333" s="794"/>
      <c r="T1333" s="794"/>
      <c r="U1333" s="794"/>
      <c r="V1333" s="794"/>
    </row>
    <row r="1334" spans="1:22" ht="14.5">
      <c r="A1334" s="794"/>
      <c r="B1334" s="799"/>
      <c r="C1334" s="794"/>
      <c r="D1334" s="794"/>
      <c r="E1334" s="794"/>
      <c r="F1334" s="794"/>
      <c r="G1334" s="794"/>
      <c r="H1334" s="794"/>
      <c r="I1334" s="794"/>
      <c r="J1334" s="794"/>
      <c r="K1334" s="794"/>
      <c r="L1334" s="794"/>
      <c r="M1334" s="794"/>
      <c r="N1334" s="794"/>
      <c r="O1334" s="794"/>
      <c r="P1334" s="794"/>
      <c r="Q1334" s="794"/>
      <c r="R1334" s="794"/>
      <c r="S1334" s="794"/>
      <c r="T1334" s="794"/>
      <c r="U1334" s="794"/>
      <c r="V1334" s="794"/>
    </row>
    <row r="1335" spans="1:22" ht="14.5">
      <c r="A1335" s="794"/>
      <c r="B1335" s="799"/>
      <c r="C1335" s="794"/>
      <c r="D1335" s="794"/>
      <c r="E1335" s="794"/>
      <c r="F1335" s="794"/>
      <c r="G1335" s="794"/>
      <c r="H1335" s="794"/>
      <c r="I1335" s="794"/>
      <c r="J1335" s="794"/>
      <c r="K1335" s="794"/>
      <c r="L1335" s="794"/>
      <c r="M1335" s="794"/>
      <c r="N1335" s="794"/>
      <c r="O1335" s="794"/>
      <c r="P1335" s="794"/>
      <c r="Q1335" s="794"/>
      <c r="R1335" s="794"/>
      <c r="S1335" s="794"/>
      <c r="T1335" s="794"/>
      <c r="U1335" s="794"/>
      <c r="V1335" s="794"/>
    </row>
    <row r="1336" spans="1:22" ht="14.5">
      <c r="A1336" s="794"/>
      <c r="B1336" s="799"/>
      <c r="C1336" s="794"/>
      <c r="D1336" s="794"/>
      <c r="E1336" s="794"/>
      <c r="F1336" s="794"/>
      <c r="G1336" s="794"/>
      <c r="H1336" s="794"/>
      <c r="I1336" s="794"/>
      <c r="J1336" s="794"/>
      <c r="K1336" s="794"/>
      <c r="L1336" s="794"/>
      <c r="M1336" s="794"/>
      <c r="N1336" s="794"/>
      <c r="O1336" s="794"/>
      <c r="P1336" s="794"/>
      <c r="Q1336" s="794"/>
      <c r="R1336" s="794"/>
      <c r="S1336" s="794"/>
      <c r="T1336" s="794"/>
      <c r="U1336" s="794"/>
      <c r="V1336" s="794"/>
    </row>
    <row r="1337" spans="1:22" ht="14.5">
      <c r="A1337" s="794"/>
      <c r="B1337" s="799"/>
      <c r="C1337" s="794"/>
      <c r="D1337" s="794"/>
      <c r="E1337" s="794"/>
      <c r="F1337" s="794"/>
      <c r="G1337" s="794"/>
      <c r="H1337" s="794"/>
      <c r="I1337" s="794"/>
      <c r="J1337" s="794"/>
      <c r="K1337" s="794"/>
      <c r="L1337" s="794"/>
      <c r="M1337" s="794"/>
      <c r="N1337" s="794"/>
      <c r="O1337" s="794"/>
      <c r="P1337" s="794"/>
      <c r="Q1337" s="794"/>
      <c r="R1337" s="794"/>
      <c r="S1337" s="794"/>
      <c r="T1337" s="794"/>
      <c r="U1337" s="794"/>
      <c r="V1337" s="794"/>
    </row>
    <row r="1338" spans="1:22" ht="14.5">
      <c r="A1338" s="794"/>
      <c r="B1338" s="799"/>
      <c r="C1338" s="794"/>
      <c r="D1338" s="794"/>
      <c r="E1338" s="794"/>
      <c r="F1338" s="794"/>
      <c r="G1338" s="794"/>
      <c r="H1338" s="794"/>
      <c r="I1338" s="794"/>
      <c r="J1338" s="794"/>
      <c r="K1338" s="794"/>
      <c r="L1338" s="794"/>
      <c r="M1338" s="794"/>
      <c r="N1338" s="794"/>
      <c r="O1338" s="794"/>
      <c r="P1338" s="794"/>
      <c r="Q1338" s="794"/>
      <c r="R1338" s="794"/>
      <c r="S1338" s="794"/>
      <c r="T1338" s="794"/>
      <c r="U1338" s="794"/>
      <c r="V1338" s="794"/>
    </row>
    <row r="1339" spans="1:22" ht="14.5">
      <c r="A1339" s="794"/>
      <c r="B1339" s="799"/>
      <c r="C1339" s="794"/>
      <c r="D1339" s="794"/>
      <c r="E1339" s="794"/>
      <c r="F1339" s="794"/>
      <c r="G1339" s="794"/>
      <c r="H1339" s="794"/>
      <c r="I1339" s="794"/>
      <c r="J1339" s="794"/>
      <c r="K1339" s="794"/>
      <c r="L1339" s="794"/>
      <c r="M1339" s="794"/>
      <c r="N1339" s="794"/>
      <c r="O1339" s="794"/>
      <c r="P1339" s="794"/>
      <c r="Q1339" s="794"/>
      <c r="R1339" s="794"/>
      <c r="S1339" s="794"/>
      <c r="T1339" s="794"/>
      <c r="U1339" s="794"/>
      <c r="V1339" s="794"/>
    </row>
    <row r="1340" spans="1:22" ht="14.5">
      <c r="A1340" s="794"/>
      <c r="B1340" s="799"/>
      <c r="C1340" s="794"/>
      <c r="D1340" s="794"/>
      <c r="E1340" s="794"/>
      <c r="F1340" s="794"/>
      <c r="G1340" s="794"/>
      <c r="H1340" s="794"/>
      <c r="I1340" s="794"/>
      <c r="J1340" s="794"/>
      <c r="K1340" s="794"/>
      <c r="L1340" s="794"/>
      <c r="M1340" s="794"/>
      <c r="N1340" s="794"/>
      <c r="O1340" s="794"/>
      <c r="P1340" s="794"/>
      <c r="Q1340" s="794"/>
      <c r="R1340" s="794"/>
      <c r="S1340" s="794"/>
      <c r="T1340" s="794"/>
      <c r="U1340" s="794"/>
      <c r="V1340" s="794"/>
    </row>
    <row r="1341" spans="1:22" ht="14.5">
      <c r="A1341" s="794"/>
      <c r="B1341" s="799"/>
      <c r="C1341" s="794"/>
      <c r="D1341" s="794"/>
      <c r="E1341" s="794"/>
      <c r="F1341" s="794"/>
      <c r="G1341" s="794"/>
      <c r="H1341" s="794"/>
      <c r="I1341" s="794"/>
      <c r="J1341" s="794"/>
      <c r="K1341" s="794"/>
      <c r="L1341" s="794"/>
      <c r="M1341" s="794"/>
      <c r="N1341" s="794"/>
      <c r="O1341" s="794"/>
      <c r="P1341" s="794"/>
      <c r="Q1341" s="794"/>
      <c r="R1341" s="794"/>
      <c r="S1341" s="794"/>
      <c r="T1341" s="794"/>
      <c r="U1341" s="794"/>
      <c r="V1341" s="794"/>
    </row>
    <row r="1342" spans="1:22" ht="14.5">
      <c r="A1342" s="794"/>
      <c r="B1342" s="799"/>
      <c r="C1342" s="794"/>
      <c r="D1342" s="794"/>
      <c r="E1342" s="794"/>
      <c r="F1342" s="794"/>
      <c r="G1342" s="794"/>
      <c r="H1342" s="794"/>
      <c r="I1342" s="794"/>
      <c r="J1342" s="794"/>
      <c r="K1342" s="794"/>
      <c r="L1342" s="794"/>
      <c r="M1342" s="794"/>
      <c r="N1342" s="794"/>
      <c r="O1342" s="794"/>
      <c r="P1342" s="794"/>
      <c r="Q1342" s="794"/>
      <c r="R1342" s="794"/>
      <c r="S1342" s="794"/>
      <c r="T1342" s="794"/>
      <c r="U1342" s="794"/>
      <c r="V1342" s="794"/>
    </row>
    <row r="1343" spans="1:22" ht="14.5">
      <c r="A1343" s="794"/>
      <c r="B1343" s="799"/>
      <c r="C1343" s="794"/>
      <c r="D1343" s="794"/>
      <c r="E1343" s="794"/>
      <c r="F1343" s="794"/>
      <c r="G1343" s="794"/>
      <c r="H1343" s="794"/>
      <c r="I1343" s="794"/>
      <c r="J1343" s="794"/>
      <c r="K1343" s="794"/>
      <c r="L1343" s="794"/>
      <c r="M1343" s="794"/>
      <c r="N1343" s="794"/>
      <c r="O1343" s="794"/>
      <c r="P1343" s="794"/>
      <c r="Q1343" s="794"/>
      <c r="R1343" s="794"/>
      <c r="S1343" s="794"/>
      <c r="T1343" s="794"/>
      <c r="U1343" s="794"/>
      <c r="V1343" s="794"/>
    </row>
    <row r="1344" spans="1:22" ht="14.5">
      <c r="A1344" s="794"/>
      <c r="B1344" s="799"/>
      <c r="C1344" s="794"/>
      <c r="D1344" s="794"/>
      <c r="E1344" s="794"/>
      <c r="F1344" s="794"/>
      <c r="G1344" s="794"/>
      <c r="H1344" s="794"/>
      <c r="I1344" s="794"/>
      <c r="J1344" s="794"/>
      <c r="K1344" s="794"/>
      <c r="L1344" s="794"/>
      <c r="M1344" s="794"/>
      <c r="N1344" s="794"/>
      <c r="O1344" s="794"/>
      <c r="P1344" s="794"/>
      <c r="Q1344" s="794"/>
      <c r="R1344" s="794"/>
      <c r="S1344" s="794"/>
      <c r="T1344" s="794"/>
      <c r="U1344" s="794"/>
      <c r="V1344" s="794"/>
    </row>
    <row r="1345" spans="1:22" ht="14.5">
      <c r="A1345" s="794"/>
      <c r="B1345" s="799"/>
      <c r="C1345" s="794"/>
      <c r="D1345" s="794"/>
      <c r="E1345" s="794"/>
      <c r="F1345" s="794"/>
      <c r="G1345" s="794"/>
      <c r="H1345" s="794"/>
      <c r="I1345" s="794"/>
      <c r="J1345" s="794"/>
      <c r="K1345" s="794"/>
      <c r="L1345" s="794"/>
      <c r="M1345" s="794"/>
      <c r="N1345" s="794"/>
      <c r="O1345" s="794"/>
      <c r="P1345" s="794"/>
      <c r="Q1345" s="794"/>
      <c r="R1345" s="794"/>
      <c r="S1345" s="794"/>
      <c r="T1345" s="794"/>
      <c r="U1345" s="794"/>
      <c r="V1345" s="794"/>
    </row>
    <row r="1346" spans="1:22" ht="14.5">
      <c r="A1346" s="794"/>
      <c r="B1346" s="799"/>
      <c r="C1346" s="794"/>
      <c r="D1346" s="794"/>
      <c r="E1346" s="794"/>
      <c r="F1346" s="794"/>
      <c r="G1346" s="794"/>
      <c r="H1346" s="794"/>
      <c r="I1346" s="794"/>
      <c r="J1346" s="794"/>
      <c r="K1346" s="794"/>
      <c r="L1346" s="794"/>
      <c r="M1346" s="794"/>
      <c r="N1346" s="794"/>
      <c r="O1346" s="794"/>
      <c r="P1346" s="794"/>
      <c r="Q1346" s="794"/>
      <c r="R1346" s="794"/>
      <c r="S1346" s="794"/>
      <c r="T1346" s="794"/>
      <c r="U1346" s="794"/>
      <c r="V1346" s="794"/>
    </row>
    <row r="1347" spans="1:22" ht="14.5">
      <c r="A1347" s="794"/>
      <c r="B1347" s="799"/>
      <c r="C1347" s="794"/>
      <c r="D1347" s="794"/>
      <c r="E1347" s="794"/>
      <c r="F1347" s="794"/>
      <c r="G1347" s="794"/>
      <c r="H1347" s="794"/>
      <c r="I1347" s="794"/>
      <c r="J1347" s="794"/>
      <c r="K1347" s="794"/>
      <c r="L1347" s="794"/>
      <c r="M1347" s="794"/>
      <c r="N1347" s="794"/>
      <c r="O1347" s="794"/>
      <c r="P1347" s="794"/>
      <c r="Q1347" s="794"/>
      <c r="R1347" s="794"/>
      <c r="S1347" s="794"/>
      <c r="T1347" s="794"/>
      <c r="U1347" s="794"/>
      <c r="V1347" s="794"/>
    </row>
    <row r="1348" spans="1:22" ht="14.5">
      <c r="A1348" s="794"/>
      <c r="B1348" s="799"/>
      <c r="C1348" s="794"/>
      <c r="D1348" s="794"/>
      <c r="E1348" s="794"/>
      <c r="F1348" s="794"/>
      <c r="G1348" s="794"/>
      <c r="H1348" s="794"/>
      <c r="I1348" s="794"/>
      <c r="J1348" s="794"/>
      <c r="K1348" s="794"/>
      <c r="L1348" s="794"/>
      <c r="M1348" s="794"/>
      <c r="N1348" s="794"/>
      <c r="O1348" s="794"/>
      <c r="P1348" s="794"/>
      <c r="Q1348" s="794"/>
      <c r="R1348" s="794"/>
      <c r="S1348" s="794"/>
      <c r="T1348" s="794"/>
      <c r="U1348" s="794"/>
      <c r="V1348" s="794"/>
    </row>
    <row r="1349" spans="1:22" ht="14.5">
      <c r="A1349" s="794"/>
      <c r="B1349" s="799"/>
      <c r="C1349" s="794"/>
      <c r="D1349" s="794"/>
      <c r="E1349" s="794"/>
      <c r="F1349" s="794"/>
      <c r="G1349" s="794"/>
      <c r="H1349" s="794"/>
      <c r="I1349" s="794"/>
      <c r="J1349" s="794"/>
      <c r="K1349" s="794"/>
      <c r="L1349" s="794"/>
      <c r="M1349" s="794"/>
      <c r="N1349" s="794"/>
      <c r="O1349" s="794"/>
      <c r="P1349" s="794"/>
      <c r="Q1349" s="794"/>
      <c r="R1349" s="794"/>
      <c r="S1349" s="794"/>
      <c r="T1349" s="794"/>
      <c r="U1349" s="794"/>
      <c r="V1349" s="794"/>
    </row>
    <row r="1350" spans="1:22" ht="14.5">
      <c r="A1350" s="794"/>
      <c r="B1350" s="799"/>
      <c r="C1350" s="794"/>
      <c r="D1350" s="794"/>
      <c r="E1350" s="794"/>
      <c r="F1350" s="794"/>
      <c r="G1350" s="794"/>
      <c r="H1350" s="794"/>
      <c r="I1350" s="794"/>
      <c r="J1350" s="794"/>
      <c r="K1350" s="794"/>
      <c r="L1350" s="794"/>
      <c r="M1350" s="794"/>
      <c r="N1350" s="794"/>
      <c r="O1350" s="794"/>
      <c r="P1350" s="794"/>
      <c r="Q1350" s="794"/>
      <c r="R1350" s="794"/>
      <c r="S1350" s="794"/>
      <c r="T1350" s="794"/>
      <c r="U1350" s="794"/>
      <c r="V1350" s="794"/>
    </row>
    <row r="1351" spans="1:22" ht="14.5">
      <c r="A1351" s="794"/>
      <c r="B1351" s="799"/>
      <c r="C1351" s="794"/>
      <c r="D1351" s="794"/>
      <c r="E1351" s="794"/>
      <c r="F1351" s="794"/>
      <c r="G1351" s="794"/>
      <c r="H1351" s="794"/>
      <c r="I1351" s="794"/>
      <c r="J1351" s="794"/>
      <c r="K1351" s="794"/>
      <c r="L1351" s="794"/>
      <c r="M1351" s="794"/>
      <c r="N1351" s="794"/>
      <c r="O1351" s="794"/>
      <c r="P1351" s="794"/>
      <c r="Q1351" s="794"/>
      <c r="R1351" s="794"/>
      <c r="S1351" s="794"/>
      <c r="T1351" s="794"/>
      <c r="U1351" s="794"/>
      <c r="V1351" s="794"/>
    </row>
    <row r="1352" spans="1:22" ht="14.5">
      <c r="A1352" s="794"/>
      <c r="B1352" s="799"/>
      <c r="C1352" s="794"/>
      <c r="D1352" s="794"/>
      <c r="E1352" s="794"/>
      <c r="F1352" s="794"/>
      <c r="G1352" s="794"/>
      <c r="H1352" s="794"/>
      <c r="I1352" s="794"/>
      <c r="J1352" s="794"/>
      <c r="K1352" s="794"/>
      <c r="L1352" s="794"/>
      <c r="M1352" s="794"/>
      <c r="N1352" s="794"/>
      <c r="O1352" s="794"/>
      <c r="P1352" s="794"/>
      <c r="Q1352" s="794"/>
      <c r="R1352" s="794"/>
      <c r="S1352" s="794"/>
      <c r="T1352" s="794"/>
      <c r="U1352" s="794"/>
      <c r="V1352" s="794"/>
    </row>
    <row r="1353" spans="1:22" ht="14.5">
      <c r="A1353" s="794"/>
      <c r="B1353" s="799"/>
      <c r="C1353" s="794"/>
      <c r="D1353" s="794"/>
      <c r="E1353" s="794"/>
      <c r="F1353" s="794"/>
      <c r="G1353" s="794"/>
      <c r="H1353" s="794"/>
      <c r="I1353" s="794"/>
      <c r="J1353" s="794"/>
      <c r="K1353" s="794"/>
      <c r="L1353" s="794"/>
      <c r="M1353" s="794"/>
      <c r="N1353" s="794"/>
      <c r="O1353" s="794"/>
      <c r="P1353" s="794"/>
      <c r="Q1353" s="794"/>
      <c r="R1353" s="794"/>
      <c r="S1353" s="794"/>
      <c r="T1353" s="794"/>
      <c r="U1353" s="794"/>
      <c r="V1353" s="794"/>
    </row>
    <row r="1354" spans="1:22" ht="14.5">
      <c r="A1354" s="794"/>
      <c r="B1354" s="799"/>
      <c r="C1354" s="794"/>
      <c r="D1354" s="794"/>
      <c r="E1354" s="794"/>
      <c r="F1354" s="794"/>
      <c r="G1354" s="794"/>
      <c r="H1354" s="794"/>
      <c r="I1354" s="794"/>
      <c r="J1354" s="794"/>
      <c r="K1354" s="794"/>
      <c r="L1354" s="794"/>
      <c r="M1354" s="794"/>
      <c r="N1354" s="794"/>
      <c r="O1354" s="794"/>
      <c r="P1354" s="794"/>
      <c r="Q1354" s="794"/>
      <c r="R1354" s="794"/>
      <c r="S1354" s="794"/>
      <c r="T1354" s="794"/>
      <c r="U1354" s="794"/>
      <c r="V1354" s="794"/>
    </row>
    <row r="1355" spans="1:22" ht="14.5">
      <c r="A1355" s="794"/>
      <c r="B1355" s="799"/>
      <c r="C1355" s="794"/>
      <c r="D1355" s="794"/>
      <c r="E1355" s="794"/>
      <c r="F1355" s="794"/>
      <c r="G1355" s="794"/>
      <c r="H1355" s="794"/>
      <c r="I1355" s="794"/>
      <c r="J1355" s="794"/>
      <c r="K1355" s="794"/>
      <c r="L1355" s="794"/>
      <c r="M1355" s="794"/>
      <c r="N1355" s="794"/>
      <c r="O1355" s="794"/>
      <c r="P1355" s="794"/>
      <c r="Q1355" s="794"/>
      <c r="R1355" s="794"/>
      <c r="S1355" s="794"/>
      <c r="T1355" s="794"/>
      <c r="U1355" s="794"/>
      <c r="V1355" s="794"/>
    </row>
    <row r="1356" spans="1:22" ht="14.5">
      <c r="A1356" s="794"/>
      <c r="B1356" s="799"/>
      <c r="C1356" s="794"/>
      <c r="D1356" s="794"/>
      <c r="E1356" s="794"/>
      <c r="F1356" s="794"/>
      <c r="G1356" s="794"/>
      <c r="H1356" s="794"/>
      <c r="I1356" s="794"/>
      <c r="J1356" s="794"/>
      <c r="K1356" s="794"/>
      <c r="L1356" s="794"/>
      <c r="M1356" s="794"/>
      <c r="N1356" s="794"/>
      <c r="O1356" s="794"/>
      <c r="P1356" s="794"/>
      <c r="Q1356" s="794"/>
      <c r="R1356" s="794"/>
      <c r="S1356" s="794"/>
      <c r="T1356" s="794"/>
      <c r="U1356" s="794"/>
      <c r="V1356" s="794"/>
    </row>
    <row r="1357" spans="1:22" ht="14.5">
      <c r="A1357" s="794"/>
      <c r="B1357" s="799"/>
      <c r="C1357" s="794"/>
      <c r="D1357" s="794"/>
      <c r="E1357" s="794"/>
      <c r="F1357" s="794"/>
      <c r="G1357" s="794"/>
      <c r="H1357" s="794"/>
      <c r="I1357" s="794"/>
      <c r="J1357" s="794"/>
      <c r="K1357" s="794"/>
      <c r="L1357" s="794"/>
      <c r="M1357" s="794"/>
      <c r="N1357" s="794"/>
      <c r="O1357" s="794"/>
      <c r="P1357" s="794"/>
      <c r="Q1357" s="794"/>
      <c r="R1357" s="794"/>
      <c r="S1357" s="794"/>
      <c r="T1357" s="794"/>
      <c r="U1357" s="794"/>
      <c r="V1357" s="794"/>
    </row>
    <row r="1358" spans="1:22" ht="14.5">
      <c r="A1358" s="794"/>
      <c r="B1358" s="799"/>
      <c r="C1358" s="794"/>
      <c r="D1358" s="794"/>
      <c r="E1358" s="794"/>
      <c r="F1358" s="794"/>
      <c r="G1358" s="794"/>
      <c r="H1358" s="794"/>
      <c r="I1358" s="794"/>
      <c r="J1358" s="794"/>
      <c r="K1358" s="794"/>
      <c r="L1358" s="794"/>
      <c r="M1358" s="794"/>
      <c r="N1358" s="794"/>
      <c r="O1358" s="794"/>
      <c r="P1358" s="794"/>
      <c r="Q1358" s="794"/>
      <c r="R1358" s="794"/>
      <c r="S1358" s="794"/>
      <c r="T1358" s="794"/>
      <c r="U1358" s="794"/>
      <c r="V1358" s="794"/>
    </row>
    <row r="1359" spans="1:22" ht="14.5">
      <c r="A1359" s="794"/>
      <c r="B1359" s="799"/>
      <c r="C1359" s="794"/>
      <c r="D1359" s="794"/>
      <c r="E1359" s="794"/>
      <c r="F1359" s="794"/>
      <c r="G1359" s="794"/>
      <c r="H1359" s="794"/>
      <c r="I1359" s="794"/>
      <c r="J1359" s="794"/>
      <c r="K1359" s="794"/>
      <c r="L1359" s="794"/>
      <c r="M1359" s="794"/>
      <c r="N1359" s="794"/>
      <c r="O1359" s="794"/>
      <c r="P1359" s="794"/>
      <c r="Q1359" s="794"/>
      <c r="R1359" s="794"/>
      <c r="S1359" s="794"/>
      <c r="T1359" s="794"/>
      <c r="U1359" s="794"/>
      <c r="V1359" s="794"/>
    </row>
    <row r="1360" spans="1:22" ht="14.5">
      <c r="A1360" s="794"/>
      <c r="B1360" s="799"/>
      <c r="C1360" s="794"/>
      <c r="D1360" s="794"/>
      <c r="E1360" s="794"/>
      <c r="F1360" s="794"/>
      <c r="G1360" s="794"/>
      <c r="H1360" s="794"/>
      <c r="I1360" s="794"/>
      <c r="J1360" s="794"/>
      <c r="K1360" s="794"/>
      <c r="L1360" s="794"/>
      <c r="M1360" s="794"/>
      <c r="N1360" s="794"/>
      <c r="O1360" s="794"/>
      <c r="P1360" s="794"/>
      <c r="Q1360" s="794"/>
      <c r="R1360" s="794"/>
      <c r="S1360" s="794"/>
      <c r="T1360" s="794"/>
      <c r="U1360" s="794"/>
      <c r="V1360" s="794"/>
    </row>
    <row r="1361" spans="1:22" ht="14.5">
      <c r="A1361" s="794"/>
      <c r="B1361" s="799"/>
      <c r="C1361" s="794"/>
      <c r="D1361" s="794"/>
      <c r="E1361" s="794"/>
      <c r="F1361" s="794"/>
      <c r="G1361" s="794"/>
      <c r="H1361" s="794"/>
      <c r="I1361" s="794"/>
      <c r="J1361" s="794"/>
      <c r="K1361" s="794"/>
      <c r="L1361" s="794"/>
      <c r="M1361" s="794"/>
      <c r="N1361" s="794"/>
      <c r="O1361" s="794"/>
      <c r="P1361" s="794"/>
      <c r="Q1361" s="794"/>
      <c r="R1361" s="794"/>
      <c r="S1361" s="794"/>
      <c r="T1361" s="794"/>
      <c r="U1361" s="794"/>
      <c r="V1361" s="794"/>
    </row>
    <row r="1362" spans="1:22" ht="14.5">
      <c r="A1362" s="794"/>
      <c r="B1362" s="799"/>
      <c r="C1362" s="794"/>
      <c r="D1362" s="794"/>
      <c r="E1362" s="794"/>
      <c r="F1362" s="794"/>
      <c r="G1362" s="794"/>
      <c r="H1362" s="794"/>
      <c r="I1362" s="794"/>
      <c r="J1362" s="794"/>
      <c r="K1362" s="794"/>
      <c r="L1362" s="794"/>
      <c r="M1362" s="794"/>
      <c r="N1362" s="794"/>
      <c r="O1362" s="794"/>
      <c r="P1362" s="794"/>
      <c r="Q1362" s="794"/>
      <c r="R1362" s="794"/>
      <c r="S1362" s="794"/>
      <c r="T1362" s="794"/>
      <c r="U1362" s="794"/>
      <c r="V1362" s="794"/>
    </row>
    <row r="1363" spans="1:22" ht="14.5">
      <c r="A1363" s="794"/>
      <c r="B1363" s="799"/>
      <c r="C1363" s="794"/>
      <c r="D1363" s="794"/>
      <c r="E1363" s="794"/>
      <c r="F1363" s="794"/>
      <c r="G1363" s="794"/>
      <c r="H1363" s="794"/>
      <c r="I1363" s="794"/>
      <c r="J1363" s="794"/>
      <c r="K1363" s="794"/>
      <c r="L1363" s="794"/>
      <c r="M1363" s="794"/>
      <c r="N1363" s="794"/>
      <c r="O1363" s="794"/>
      <c r="P1363" s="794"/>
      <c r="Q1363" s="794"/>
      <c r="R1363" s="794"/>
      <c r="S1363" s="794"/>
      <c r="T1363" s="794"/>
      <c r="U1363" s="794"/>
      <c r="V1363" s="794"/>
    </row>
    <row r="1364" spans="1:22" ht="14.5">
      <c r="A1364" s="794"/>
      <c r="B1364" s="799"/>
      <c r="C1364" s="794"/>
      <c r="D1364" s="794"/>
      <c r="E1364" s="794"/>
      <c r="F1364" s="794"/>
      <c r="G1364" s="794"/>
      <c r="H1364" s="794"/>
      <c r="I1364" s="794"/>
      <c r="J1364" s="794"/>
      <c r="K1364" s="794"/>
      <c r="L1364" s="794"/>
      <c r="M1364" s="794"/>
      <c r="N1364" s="794"/>
      <c r="O1364" s="794"/>
      <c r="P1364" s="794"/>
      <c r="Q1364" s="794"/>
      <c r="R1364" s="794"/>
      <c r="S1364" s="794"/>
      <c r="T1364" s="794"/>
      <c r="U1364" s="794"/>
      <c r="V1364" s="794"/>
    </row>
    <row r="1365" spans="1:22" ht="14.5">
      <c r="A1365" s="794"/>
      <c r="B1365" s="799"/>
      <c r="C1365" s="794"/>
      <c r="D1365" s="794"/>
      <c r="E1365" s="794"/>
      <c r="F1365" s="794"/>
      <c r="G1365" s="794"/>
      <c r="H1365" s="794"/>
      <c r="I1365" s="794"/>
      <c r="J1365" s="794"/>
      <c r="K1365" s="794"/>
      <c r="L1365" s="794"/>
      <c r="M1365" s="794"/>
      <c r="N1365" s="794"/>
      <c r="O1365" s="794"/>
      <c r="P1365" s="794"/>
      <c r="Q1365" s="794"/>
      <c r="R1365" s="794"/>
      <c r="S1365" s="794"/>
      <c r="T1365" s="794"/>
      <c r="U1365" s="794"/>
      <c r="V1365" s="794"/>
    </row>
    <row r="1366" spans="1:22" ht="14.5">
      <c r="A1366" s="794"/>
      <c r="B1366" s="799"/>
      <c r="C1366" s="794"/>
      <c r="D1366" s="794"/>
      <c r="E1366" s="794"/>
      <c r="F1366" s="794"/>
      <c r="G1366" s="794"/>
      <c r="H1366" s="794"/>
      <c r="I1366" s="794"/>
      <c r="J1366" s="794"/>
      <c r="K1366" s="794"/>
      <c r="L1366" s="794"/>
      <c r="M1366" s="794"/>
      <c r="N1366" s="794"/>
      <c r="O1366" s="794"/>
      <c r="P1366" s="794"/>
      <c r="Q1366" s="794"/>
      <c r="R1366" s="794"/>
      <c r="S1366" s="794"/>
      <c r="T1366" s="794"/>
      <c r="U1366" s="794"/>
      <c r="V1366" s="794"/>
    </row>
    <row r="1367" spans="1:22" ht="14.5">
      <c r="A1367" s="794"/>
      <c r="B1367" s="799"/>
      <c r="C1367" s="794"/>
      <c r="D1367" s="794"/>
      <c r="E1367" s="794"/>
      <c r="F1367" s="794"/>
      <c r="G1367" s="794"/>
      <c r="H1367" s="794"/>
      <c r="I1367" s="794"/>
      <c r="J1367" s="794"/>
      <c r="K1367" s="794"/>
      <c r="L1367" s="794"/>
      <c r="M1367" s="794"/>
      <c r="N1367" s="794"/>
      <c r="O1367" s="794"/>
      <c r="P1367" s="794"/>
      <c r="Q1367" s="794"/>
      <c r="R1367" s="794"/>
      <c r="S1367" s="794"/>
      <c r="T1367" s="794"/>
      <c r="U1367" s="794"/>
      <c r="V1367" s="794"/>
    </row>
    <row r="1368" spans="1:22" ht="14.5">
      <c r="A1368" s="794"/>
      <c r="B1368" s="799"/>
      <c r="C1368" s="794"/>
      <c r="D1368" s="794"/>
      <c r="E1368" s="794"/>
      <c r="F1368" s="794"/>
      <c r="G1368" s="794"/>
      <c r="H1368" s="794"/>
      <c r="I1368" s="794"/>
      <c r="J1368" s="794"/>
      <c r="K1368" s="794"/>
      <c r="L1368" s="794"/>
      <c r="M1368" s="794"/>
      <c r="N1368" s="794"/>
      <c r="O1368" s="794"/>
      <c r="P1368" s="794"/>
      <c r="Q1368" s="794"/>
      <c r="R1368" s="794"/>
      <c r="S1368" s="794"/>
      <c r="T1368" s="794"/>
      <c r="U1368" s="794"/>
      <c r="V1368" s="794"/>
    </row>
    <row r="1369" spans="1:22" ht="14.5">
      <c r="A1369" s="794"/>
      <c r="B1369" s="799"/>
      <c r="C1369" s="794"/>
      <c r="D1369" s="794"/>
      <c r="E1369" s="794"/>
      <c r="F1369" s="794"/>
      <c r="G1369" s="794"/>
      <c r="H1369" s="794"/>
      <c r="I1369" s="794"/>
      <c r="J1369" s="794"/>
      <c r="K1369" s="794"/>
      <c r="L1369" s="794"/>
      <c r="M1369" s="794"/>
      <c r="N1369" s="794"/>
      <c r="O1369" s="794"/>
      <c r="P1369" s="794"/>
      <c r="Q1369" s="794"/>
      <c r="R1369" s="794"/>
      <c r="S1369" s="794"/>
      <c r="T1369" s="794"/>
      <c r="U1369" s="794"/>
      <c r="V1369" s="794"/>
    </row>
    <row r="1370" spans="1:22" ht="14.5">
      <c r="A1370" s="794"/>
      <c r="B1370" s="799"/>
      <c r="C1370" s="794"/>
      <c r="D1370" s="794"/>
      <c r="E1370" s="794"/>
      <c r="F1370" s="794"/>
      <c r="G1370" s="794"/>
      <c r="H1370" s="794"/>
      <c r="I1370" s="794"/>
      <c r="J1370" s="794"/>
      <c r="K1370" s="794"/>
      <c r="L1370" s="794"/>
      <c r="M1370" s="794"/>
      <c r="N1370" s="794"/>
      <c r="O1370" s="794"/>
      <c r="P1370" s="794"/>
      <c r="Q1370" s="794"/>
      <c r="R1370" s="794"/>
      <c r="S1370" s="794"/>
      <c r="T1370" s="794"/>
      <c r="U1370" s="794"/>
      <c r="V1370" s="794"/>
    </row>
    <row r="1371" spans="1:22" ht="14.5">
      <c r="A1371" s="794"/>
      <c r="B1371" s="799"/>
      <c r="C1371" s="794"/>
      <c r="D1371" s="794"/>
      <c r="E1371" s="794"/>
      <c r="F1371" s="794"/>
      <c r="G1371" s="794"/>
      <c r="H1371" s="794"/>
      <c r="I1371" s="794"/>
      <c r="J1371" s="794"/>
      <c r="K1371" s="794"/>
      <c r="L1371" s="794"/>
      <c r="M1371" s="794"/>
      <c r="N1371" s="794"/>
      <c r="O1371" s="794"/>
      <c r="P1371" s="794"/>
      <c r="Q1371" s="794"/>
      <c r="R1371" s="794"/>
      <c r="S1371" s="794"/>
      <c r="T1371" s="794"/>
      <c r="U1371" s="794"/>
      <c r="V1371" s="794"/>
    </row>
    <row r="1372" spans="1:22" ht="14.5">
      <c r="A1372" s="794"/>
      <c r="B1372" s="799"/>
      <c r="C1372" s="794"/>
      <c r="D1372" s="794"/>
      <c r="E1372" s="794"/>
      <c r="F1372" s="794"/>
      <c r="G1372" s="794"/>
      <c r="H1372" s="794"/>
      <c r="I1372" s="794"/>
      <c r="J1372" s="794"/>
      <c r="K1372" s="794"/>
      <c r="L1372" s="794"/>
      <c r="M1372" s="794"/>
      <c r="N1372" s="794"/>
      <c r="O1372" s="794"/>
      <c r="P1372" s="794"/>
      <c r="Q1372" s="794"/>
      <c r="R1372" s="794"/>
      <c r="S1372" s="794"/>
      <c r="T1372" s="794"/>
      <c r="U1372" s="794"/>
      <c r="V1372" s="794"/>
    </row>
    <row r="1373" spans="1:22" ht="14.5">
      <c r="A1373" s="794"/>
      <c r="B1373" s="799"/>
      <c r="C1373" s="794"/>
      <c r="D1373" s="794"/>
      <c r="E1373" s="794"/>
      <c r="F1373" s="794"/>
      <c r="G1373" s="794"/>
      <c r="H1373" s="794"/>
      <c r="I1373" s="794"/>
      <c r="J1373" s="794"/>
      <c r="K1373" s="794"/>
      <c r="L1373" s="794"/>
      <c r="M1373" s="794"/>
      <c r="N1373" s="794"/>
      <c r="O1373" s="794"/>
      <c r="P1373" s="794"/>
      <c r="Q1373" s="794"/>
      <c r="R1373" s="794"/>
      <c r="S1373" s="794"/>
      <c r="T1373" s="794"/>
      <c r="U1373" s="794"/>
      <c r="V1373" s="794"/>
    </row>
    <row r="1374" spans="1:22" ht="14.5">
      <c r="A1374" s="794"/>
      <c r="B1374" s="799"/>
      <c r="C1374" s="794"/>
      <c r="D1374" s="794"/>
      <c r="E1374" s="794"/>
      <c r="F1374" s="794"/>
      <c r="G1374" s="794"/>
      <c r="H1374" s="794"/>
      <c r="I1374" s="794"/>
      <c r="J1374" s="794"/>
      <c r="K1374" s="794"/>
      <c r="L1374" s="794"/>
      <c r="M1374" s="794"/>
      <c r="N1374" s="794"/>
      <c r="O1374" s="794"/>
      <c r="P1374" s="794"/>
      <c r="Q1374" s="794"/>
      <c r="R1374" s="794"/>
      <c r="S1374" s="794"/>
      <c r="T1374" s="794"/>
      <c r="U1374" s="794"/>
      <c r="V1374" s="794"/>
    </row>
    <row r="1375" spans="1:22" ht="14.5">
      <c r="A1375" s="794"/>
      <c r="B1375" s="799"/>
      <c r="C1375" s="794"/>
      <c r="D1375" s="794"/>
      <c r="E1375" s="794"/>
      <c r="F1375" s="794"/>
      <c r="G1375" s="794"/>
      <c r="H1375" s="794"/>
      <c r="I1375" s="794"/>
      <c r="J1375" s="794"/>
      <c r="K1375" s="794"/>
      <c r="L1375" s="794"/>
      <c r="M1375" s="794"/>
      <c r="N1375" s="794"/>
      <c r="O1375" s="794"/>
      <c r="P1375" s="794"/>
      <c r="Q1375" s="794"/>
      <c r="R1375" s="794"/>
      <c r="S1375" s="794"/>
      <c r="T1375" s="794"/>
      <c r="U1375" s="794"/>
      <c r="V1375" s="794"/>
    </row>
    <row r="1376" spans="1:22" ht="14.5">
      <c r="A1376" s="794"/>
      <c r="B1376" s="799"/>
      <c r="C1376" s="794"/>
      <c r="D1376" s="794"/>
      <c r="E1376" s="794"/>
      <c r="F1376" s="794"/>
      <c r="G1376" s="794"/>
      <c r="H1376" s="794"/>
      <c r="I1376" s="794"/>
      <c r="J1376" s="794"/>
      <c r="K1376" s="794"/>
      <c r="L1376" s="794"/>
      <c r="M1376" s="794"/>
      <c r="N1376" s="794"/>
      <c r="O1376" s="794"/>
      <c r="P1376" s="794"/>
      <c r="Q1376" s="794"/>
      <c r="R1376" s="794"/>
      <c r="S1376" s="794"/>
      <c r="T1376" s="794"/>
      <c r="U1376" s="794"/>
      <c r="V1376" s="794"/>
    </row>
    <row r="1377" spans="1:22" ht="14.5">
      <c r="A1377" s="794"/>
      <c r="B1377" s="799"/>
      <c r="C1377" s="794"/>
      <c r="D1377" s="794"/>
      <c r="E1377" s="794"/>
      <c r="F1377" s="794"/>
      <c r="G1377" s="794"/>
      <c r="H1377" s="794"/>
      <c r="I1377" s="794"/>
      <c r="J1377" s="794"/>
      <c r="K1377" s="794"/>
      <c r="L1377" s="794"/>
      <c r="M1377" s="794"/>
      <c r="N1377" s="794"/>
      <c r="O1377" s="794"/>
      <c r="P1377" s="794"/>
      <c r="Q1377" s="794"/>
      <c r="R1377" s="794"/>
      <c r="S1377" s="794"/>
      <c r="T1377" s="794"/>
      <c r="U1377" s="794"/>
      <c r="V1377" s="794"/>
    </row>
    <row r="1378" spans="1:22" ht="14.5">
      <c r="A1378" s="794"/>
      <c r="B1378" s="799"/>
      <c r="C1378" s="794"/>
      <c r="D1378" s="794"/>
      <c r="E1378" s="794"/>
      <c r="F1378" s="794"/>
      <c r="G1378" s="794"/>
      <c r="H1378" s="794"/>
      <c r="I1378" s="794"/>
      <c r="J1378" s="794"/>
      <c r="K1378" s="794"/>
      <c r="L1378" s="794"/>
      <c r="M1378" s="794"/>
      <c r="N1378" s="794"/>
      <c r="O1378" s="794"/>
      <c r="P1378" s="794"/>
      <c r="Q1378" s="794"/>
      <c r="R1378" s="794"/>
      <c r="S1378" s="794"/>
      <c r="T1378" s="794"/>
      <c r="U1378" s="794"/>
      <c r="V1378" s="794"/>
    </row>
    <row r="1379" spans="1:22" ht="14.5">
      <c r="A1379" s="794"/>
      <c r="B1379" s="799"/>
      <c r="C1379" s="794"/>
      <c r="D1379" s="794"/>
      <c r="E1379" s="794"/>
      <c r="F1379" s="794"/>
      <c r="G1379" s="794"/>
      <c r="H1379" s="794"/>
      <c r="I1379" s="794"/>
      <c r="J1379" s="794"/>
      <c r="K1379" s="794"/>
      <c r="L1379" s="794"/>
      <c r="M1379" s="794"/>
      <c r="N1379" s="794"/>
      <c r="O1379" s="794"/>
      <c r="P1379" s="794"/>
      <c r="Q1379" s="794"/>
      <c r="R1379" s="794"/>
      <c r="S1379" s="794"/>
      <c r="T1379" s="794"/>
      <c r="U1379" s="794"/>
      <c r="V1379" s="794"/>
    </row>
    <row r="1380" spans="1:22" ht="14.5">
      <c r="A1380" s="794"/>
      <c r="B1380" s="799"/>
      <c r="C1380" s="794"/>
      <c r="D1380" s="794"/>
      <c r="E1380" s="794"/>
      <c r="F1380" s="794"/>
      <c r="G1380" s="794"/>
      <c r="H1380" s="794"/>
      <c r="I1380" s="794"/>
      <c r="J1380" s="794"/>
      <c r="K1380" s="794"/>
      <c r="L1380" s="794"/>
      <c r="M1380" s="794"/>
      <c r="N1380" s="794"/>
      <c r="O1380" s="794"/>
      <c r="P1380" s="794"/>
      <c r="Q1380" s="794"/>
      <c r="R1380" s="794"/>
      <c r="S1380" s="794"/>
      <c r="T1380" s="794"/>
      <c r="U1380" s="794"/>
      <c r="V1380" s="794"/>
    </row>
    <row r="1381" spans="1:22" ht="14.5">
      <c r="A1381" s="794"/>
      <c r="B1381" s="799"/>
      <c r="C1381" s="794"/>
      <c r="D1381" s="794"/>
      <c r="E1381" s="794"/>
      <c r="F1381" s="794"/>
      <c r="G1381" s="794"/>
      <c r="H1381" s="794"/>
      <c r="I1381" s="794"/>
      <c r="J1381" s="794"/>
      <c r="K1381" s="794"/>
      <c r="L1381" s="794"/>
      <c r="M1381" s="794"/>
      <c r="N1381" s="794"/>
      <c r="O1381" s="794"/>
      <c r="P1381" s="794"/>
      <c r="Q1381" s="794"/>
      <c r="R1381" s="794"/>
      <c r="S1381" s="794"/>
      <c r="T1381" s="794"/>
      <c r="U1381" s="794"/>
      <c r="V1381" s="794"/>
    </row>
    <row r="1382" spans="1:22" ht="14.5">
      <c r="A1382" s="794"/>
      <c r="B1382" s="799"/>
      <c r="C1382" s="794"/>
      <c r="D1382" s="794"/>
      <c r="E1382" s="794"/>
      <c r="F1382" s="794"/>
      <c r="G1382" s="794"/>
      <c r="H1382" s="794"/>
      <c r="I1382" s="794"/>
      <c r="J1382" s="794"/>
      <c r="K1382" s="794"/>
      <c r="L1382" s="794"/>
      <c r="M1382" s="794"/>
      <c r="N1382" s="794"/>
      <c r="O1382" s="794"/>
      <c r="P1382" s="794"/>
      <c r="Q1382" s="794"/>
      <c r="R1382" s="794"/>
      <c r="S1382" s="794"/>
      <c r="T1382" s="794"/>
      <c r="U1382" s="794"/>
      <c r="V1382" s="794"/>
    </row>
    <row r="1383" spans="1:22" ht="14.5">
      <c r="A1383" s="794"/>
      <c r="B1383" s="799"/>
      <c r="C1383" s="794"/>
      <c r="D1383" s="794"/>
      <c r="E1383" s="794"/>
      <c r="F1383" s="794"/>
      <c r="G1383" s="794"/>
      <c r="H1383" s="794"/>
      <c r="I1383" s="794"/>
      <c r="J1383" s="794"/>
      <c r="K1383" s="794"/>
      <c r="L1383" s="794"/>
      <c r="M1383" s="794"/>
      <c r="N1383" s="794"/>
      <c r="O1383" s="794"/>
      <c r="P1383" s="794"/>
      <c r="Q1383" s="794"/>
      <c r="R1383" s="794"/>
      <c r="S1383" s="794"/>
      <c r="T1383" s="794"/>
      <c r="U1383" s="794"/>
      <c r="V1383" s="794"/>
    </row>
    <row r="1384" spans="1:22" ht="14.5">
      <c r="A1384" s="794"/>
      <c r="B1384" s="799"/>
      <c r="C1384" s="794"/>
      <c r="D1384" s="794"/>
      <c r="E1384" s="794"/>
      <c r="F1384" s="794"/>
      <c r="G1384" s="794"/>
      <c r="H1384" s="794"/>
      <c r="I1384" s="794"/>
      <c r="J1384" s="794"/>
      <c r="K1384" s="794"/>
      <c r="L1384" s="794"/>
      <c r="M1384" s="794"/>
      <c r="N1384" s="794"/>
      <c r="O1384" s="794"/>
      <c r="P1384" s="794"/>
      <c r="Q1384" s="794"/>
      <c r="R1384" s="794"/>
      <c r="S1384" s="794"/>
      <c r="T1384" s="794"/>
      <c r="U1384" s="794"/>
      <c r="V1384" s="794"/>
    </row>
    <row r="1385" spans="1:22" ht="14.5">
      <c r="A1385" s="794"/>
      <c r="B1385" s="799"/>
      <c r="C1385" s="794"/>
      <c r="D1385" s="794"/>
      <c r="E1385" s="794"/>
      <c r="F1385" s="794"/>
      <c r="G1385" s="794"/>
      <c r="H1385" s="794"/>
      <c r="I1385" s="794"/>
      <c r="J1385" s="794"/>
      <c r="K1385" s="794"/>
      <c r="L1385" s="794"/>
      <c r="M1385" s="794"/>
      <c r="N1385" s="794"/>
      <c r="O1385" s="794"/>
      <c r="P1385" s="794"/>
      <c r="Q1385" s="794"/>
      <c r="R1385" s="794"/>
      <c r="S1385" s="794"/>
      <c r="T1385" s="794"/>
      <c r="U1385" s="794"/>
      <c r="V1385" s="794"/>
    </row>
    <row r="1386" spans="1:22" ht="14.5">
      <c r="A1386" s="794"/>
      <c r="B1386" s="799"/>
      <c r="C1386" s="794"/>
      <c r="D1386" s="794"/>
      <c r="E1386" s="794"/>
      <c r="F1386" s="794"/>
      <c r="G1386" s="794"/>
      <c r="H1386" s="794"/>
      <c r="I1386" s="794"/>
      <c r="J1386" s="794"/>
      <c r="K1386" s="794"/>
      <c r="L1386" s="794"/>
      <c r="M1386" s="794"/>
      <c r="N1386" s="794"/>
      <c r="O1386" s="794"/>
      <c r="P1386" s="794"/>
      <c r="Q1386" s="794"/>
      <c r="R1386" s="794"/>
      <c r="S1386" s="794"/>
      <c r="T1386" s="794"/>
      <c r="U1386" s="794"/>
      <c r="V1386" s="794"/>
    </row>
    <row r="1387" spans="1:22" ht="14.5">
      <c r="A1387" s="794"/>
      <c r="B1387" s="799"/>
      <c r="C1387" s="794"/>
      <c r="D1387" s="794"/>
      <c r="E1387" s="794"/>
      <c r="F1387" s="794"/>
      <c r="G1387" s="794"/>
      <c r="H1387" s="794"/>
      <c r="I1387" s="794"/>
      <c r="J1387" s="794"/>
      <c r="K1387" s="794"/>
      <c r="L1387" s="794"/>
      <c r="M1387" s="794"/>
      <c r="N1387" s="794"/>
      <c r="O1387" s="794"/>
      <c r="P1387" s="794"/>
      <c r="Q1387" s="794"/>
      <c r="R1387" s="794"/>
      <c r="S1387" s="794"/>
      <c r="T1387" s="794"/>
      <c r="U1387" s="794"/>
      <c r="V1387" s="794"/>
    </row>
    <row r="1388" spans="1:22" ht="14.5">
      <c r="A1388" s="794"/>
      <c r="B1388" s="799"/>
      <c r="C1388" s="794"/>
      <c r="D1388" s="794"/>
      <c r="E1388" s="794"/>
      <c r="F1388" s="794"/>
      <c r="G1388" s="794"/>
      <c r="H1388" s="794"/>
      <c r="I1388" s="794"/>
      <c r="J1388" s="794"/>
      <c r="K1388" s="794"/>
      <c r="L1388" s="794"/>
      <c r="M1388" s="794"/>
      <c r="N1388" s="794"/>
      <c r="O1388" s="794"/>
      <c r="P1388" s="794"/>
      <c r="Q1388" s="794"/>
      <c r="R1388" s="794"/>
      <c r="S1388" s="794"/>
      <c r="T1388" s="794"/>
      <c r="U1388" s="794"/>
      <c r="V1388" s="794"/>
    </row>
    <row r="1389" spans="1:22" ht="14.5">
      <c r="A1389" s="794"/>
      <c r="B1389" s="799"/>
      <c r="C1389" s="794"/>
      <c r="D1389" s="794"/>
      <c r="E1389" s="794"/>
      <c r="F1389" s="794"/>
      <c r="G1389" s="794"/>
      <c r="H1389" s="794"/>
      <c r="I1389" s="794"/>
      <c r="J1389" s="794"/>
      <c r="K1389" s="794"/>
      <c r="L1389" s="794"/>
      <c r="M1389" s="794"/>
      <c r="N1389" s="794"/>
      <c r="O1389" s="794"/>
      <c r="P1389" s="794"/>
      <c r="Q1389" s="794"/>
      <c r="R1389" s="794"/>
      <c r="S1389" s="794"/>
      <c r="T1389" s="794"/>
      <c r="U1389" s="794"/>
      <c r="V1389" s="794"/>
    </row>
    <row r="1390" spans="1:22" ht="14.5">
      <c r="A1390" s="794"/>
      <c r="B1390" s="799"/>
      <c r="C1390" s="794"/>
      <c r="D1390" s="794"/>
      <c r="E1390" s="794"/>
      <c r="F1390" s="794"/>
      <c r="G1390" s="794"/>
      <c r="H1390" s="794"/>
      <c r="I1390" s="794"/>
      <c r="J1390" s="794"/>
      <c r="K1390" s="794"/>
      <c r="L1390" s="794"/>
      <c r="M1390" s="794"/>
      <c r="N1390" s="794"/>
      <c r="O1390" s="794"/>
      <c r="P1390" s="794"/>
      <c r="Q1390" s="794"/>
      <c r="R1390" s="794"/>
      <c r="S1390" s="794"/>
      <c r="T1390" s="794"/>
      <c r="U1390" s="794"/>
      <c r="V1390" s="794"/>
    </row>
    <row r="1391" spans="1:22" ht="14.5">
      <c r="A1391" s="794"/>
      <c r="B1391" s="799"/>
      <c r="C1391" s="794"/>
      <c r="D1391" s="794"/>
      <c r="E1391" s="794"/>
      <c r="F1391" s="794"/>
      <c r="G1391" s="794"/>
      <c r="H1391" s="794"/>
      <c r="I1391" s="794"/>
      <c r="J1391" s="794"/>
      <c r="K1391" s="794"/>
      <c r="L1391" s="794"/>
      <c r="M1391" s="794"/>
      <c r="N1391" s="794"/>
      <c r="O1391" s="794"/>
      <c r="P1391" s="794"/>
      <c r="Q1391" s="794"/>
      <c r="R1391" s="794"/>
      <c r="S1391" s="794"/>
      <c r="T1391" s="794"/>
      <c r="U1391" s="794"/>
      <c r="V1391" s="794"/>
    </row>
    <row r="1392" spans="1:22" ht="14.5">
      <c r="A1392" s="794"/>
      <c r="B1392" s="799"/>
      <c r="C1392" s="794"/>
      <c r="D1392" s="794"/>
      <c r="E1392" s="794"/>
      <c r="F1392" s="794"/>
      <c r="G1392" s="794"/>
      <c r="H1392" s="794"/>
      <c r="I1392" s="794"/>
      <c r="J1392" s="794"/>
      <c r="K1392" s="794"/>
      <c r="L1392" s="794"/>
      <c r="M1392" s="794"/>
      <c r="N1392" s="794"/>
      <c r="O1392" s="794"/>
      <c r="P1392" s="794"/>
      <c r="Q1392" s="794"/>
      <c r="R1392" s="794"/>
      <c r="S1392" s="794"/>
      <c r="T1392" s="794"/>
      <c r="U1392" s="794"/>
      <c r="V1392" s="794"/>
    </row>
    <row r="1393" spans="1:22" ht="14.5">
      <c r="A1393" s="794"/>
      <c r="B1393" s="799"/>
      <c r="C1393" s="794"/>
      <c r="D1393" s="794"/>
      <c r="E1393" s="794"/>
      <c r="F1393" s="794"/>
      <c r="G1393" s="794"/>
      <c r="H1393" s="794"/>
      <c r="I1393" s="794"/>
      <c r="J1393" s="794"/>
      <c r="K1393" s="794"/>
      <c r="L1393" s="794"/>
      <c r="M1393" s="794"/>
      <c r="N1393" s="794"/>
      <c r="O1393" s="794"/>
      <c r="P1393" s="794"/>
      <c r="Q1393" s="794"/>
      <c r="R1393" s="794"/>
      <c r="S1393" s="794"/>
      <c r="T1393" s="794"/>
      <c r="U1393" s="794"/>
      <c r="V1393" s="794"/>
    </row>
    <row r="1394" spans="1:22" ht="14.5">
      <c r="A1394" s="794"/>
      <c r="B1394" s="799"/>
      <c r="C1394" s="794"/>
      <c r="D1394" s="794"/>
      <c r="E1394" s="794"/>
      <c r="F1394" s="794"/>
      <c r="G1394" s="794"/>
      <c r="H1394" s="794"/>
      <c r="I1394" s="794"/>
      <c r="J1394" s="794"/>
      <c r="K1394" s="794"/>
      <c r="L1394" s="794"/>
      <c r="M1394" s="794"/>
      <c r="N1394" s="794"/>
      <c r="O1394" s="794"/>
      <c r="P1394" s="794"/>
      <c r="Q1394" s="794"/>
      <c r="R1394" s="794"/>
      <c r="S1394" s="794"/>
      <c r="T1394" s="794"/>
      <c r="U1394" s="794"/>
      <c r="V1394" s="794"/>
    </row>
    <row r="1395" spans="1:22" ht="14.5">
      <c r="A1395" s="794"/>
      <c r="B1395" s="799"/>
      <c r="C1395" s="794"/>
      <c r="D1395" s="794"/>
      <c r="E1395" s="794"/>
      <c r="F1395" s="794"/>
      <c r="G1395" s="794"/>
      <c r="H1395" s="794"/>
      <c r="I1395" s="794"/>
      <c r="J1395" s="794"/>
      <c r="K1395" s="794"/>
      <c r="L1395" s="794"/>
      <c r="M1395" s="794"/>
      <c r="N1395" s="794"/>
      <c r="O1395" s="794"/>
      <c r="P1395" s="794"/>
      <c r="Q1395" s="794"/>
      <c r="R1395" s="794"/>
      <c r="S1395" s="794"/>
      <c r="T1395" s="794"/>
      <c r="U1395" s="794"/>
      <c r="V1395" s="794"/>
    </row>
    <row r="1396" spans="1:22" ht="14.5">
      <c r="A1396" s="794"/>
      <c r="B1396" s="799"/>
      <c r="C1396" s="794"/>
      <c r="D1396" s="794"/>
      <c r="E1396" s="794"/>
      <c r="F1396" s="794"/>
      <c r="G1396" s="794"/>
      <c r="H1396" s="794"/>
      <c r="I1396" s="794"/>
      <c r="J1396" s="794"/>
      <c r="K1396" s="794"/>
      <c r="L1396" s="794"/>
      <c r="M1396" s="794"/>
      <c r="N1396" s="794"/>
      <c r="O1396" s="794"/>
      <c r="P1396" s="794"/>
      <c r="Q1396" s="794"/>
      <c r="R1396" s="794"/>
      <c r="S1396" s="794"/>
      <c r="T1396" s="794"/>
      <c r="U1396" s="794"/>
      <c r="V1396" s="794"/>
    </row>
    <row r="1397" spans="1:22" ht="14.5">
      <c r="A1397" s="794"/>
      <c r="B1397" s="799"/>
      <c r="C1397" s="794"/>
      <c r="D1397" s="794"/>
      <c r="E1397" s="794"/>
      <c r="F1397" s="794"/>
      <c r="G1397" s="794"/>
      <c r="H1397" s="794"/>
      <c r="I1397" s="794"/>
      <c r="J1397" s="794"/>
      <c r="K1397" s="794"/>
      <c r="L1397" s="794"/>
      <c r="M1397" s="794"/>
      <c r="N1397" s="794"/>
      <c r="O1397" s="794"/>
      <c r="P1397" s="794"/>
      <c r="Q1397" s="794"/>
      <c r="R1397" s="794"/>
      <c r="S1397" s="794"/>
      <c r="T1397" s="794"/>
      <c r="U1397" s="794"/>
      <c r="V1397" s="794"/>
    </row>
    <row r="1398" spans="1:22" ht="14.5">
      <c r="A1398" s="794"/>
      <c r="B1398" s="799"/>
      <c r="C1398" s="794"/>
      <c r="D1398" s="794"/>
      <c r="E1398" s="794"/>
      <c r="F1398" s="794"/>
      <c r="G1398" s="794"/>
      <c r="H1398" s="794"/>
      <c r="I1398" s="794"/>
      <c r="J1398" s="794"/>
      <c r="K1398" s="794"/>
      <c r="L1398" s="794"/>
      <c r="M1398" s="794"/>
      <c r="N1398" s="794"/>
      <c r="O1398" s="794"/>
      <c r="P1398" s="794"/>
      <c r="Q1398" s="794"/>
      <c r="R1398" s="794"/>
      <c r="S1398" s="794"/>
      <c r="T1398" s="794"/>
      <c r="U1398" s="794"/>
      <c r="V1398" s="794"/>
    </row>
    <row r="1399" spans="1:22" ht="14.5">
      <c r="A1399" s="794"/>
      <c r="B1399" s="799"/>
      <c r="C1399" s="794"/>
      <c r="D1399" s="794"/>
      <c r="E1399" s="794"/>
      <c r="F1399" s="794"/>
      <c r="G1399" s="794"/>
      <c r="H1399" s="794"/>
      <c r="I1399" s="794"/>
      <c r="J1399" s="794"/>
      <c r="K1399" s="794"/>
      <c r="L1399" s="794"/>
      <c r="M1399" s="794"/>
      <c r="N1399" s="794"/>
      <c r="O1399" s="794"/>
      <c r="P1399" s="794"/>
      <c r="Q1399" s="794"/>
      <c r="R1399" s="794"/>
      <c r="S1399" s="794"/>
      <c r="T1399" s="794"/>
      <c r="U1399" s="794"/>
      <c r="V1399" s="794"/>
    </row>
    <row r="1400" spans="1:22" ht="14.5">
      <c r="A1400" s="794"/>
      <c r="B1400" s="799"/>
      <c r="C1400" s="794"/>
      <c r="D1400" s="794"/>
      <c r="E1400" s="794"/>
      <c r="F1400" s="794"/>
      <c r="G1400" s="794"/>
      <c r="H1400" s="794"/>
      <c r="I1400" s="794"/>
      <c r="J1400" s="794"/>
      <c r="K1400" s="794"/>
      <c r="L1400" s="794"/>
      <c r="M1400" s="794"/>
      <c r="N1400" s="794"/>
      <c r="O1400" s="794"/>
      <c r="P1400" s="794"/>
      <c r="Q1400" s="794"/>
      <c r="R1400" s="794"/>
      <c r="S1400" s="794"/>
      <c r="T1400" s="794"/>
      <c r="U1400" s="794"/>
      <c r="V1400" s="794"/>
    </row>
    <row r="1401" spans="1:22" ht="14.5">
      <c r="A1401" s="794"/>
      <c r="B1401" s="799"/>
      <c r="C1401" s="794"/>
      <c r="D1401" s="794"/>
      <c r="E1401" s="794"/>
      <c r="F1401" s="794"/>
      <c r="G1401" s="794"/>
      <c r="H1401" s="794"/>
      <c r="I1401" s="794"/>
      <c r="J1401" s="794"/>
      <c r="K1401" s="794"/>
      <c r="L1401" s="794"/>
      <c r="M1401" s="794"/>
      <c r="N1401" s="794"/>
      <c r="O1401" s="794"/>
      <c r="P1401" s="794"/>
      <c r="Q1401" s="794"/>
      <c r="R1401" s="794"/>
      <c r="S1401" s="794"/>
      <c r="T1401" s="794"/>
      <c r="U1401" s="794"/>
      <c r="V1401" s="794"/>
    </row>
    <row r="1402" spans="1:22" ht="14.5">
      <c r="A1402" s="794"/>
      <c r="B1402" s="799"/>
      <c r="C1402" s="794"/>
      <c r="D1402" s="794"/>
      <c r="E1402" s="794"/>
      <c r="F1402" s="794"/>
      <c r="G1402" s="794"/>
      <c r="H1402" s="794"/>
      <c r="I1402" s="794"/>
      <c r="J1402" s="794"/>
      <c r="K1402" s="794"/>
      <c r="L1402" s="794"/>
      <c r="M1402" s="794"/>
      <c r="N1402" s="794"/>
      <c r="O1402" s="794"/>
      <c r="P1402" s="794"/>
      <c r="Q1402" s="794"/>
      <c r="R1402" s="794"/>
      <c r="S1402" s="794"/>
      <c r="T1402" s="794"/>
      <c r="U1402" s="794"/>
      <c r="V1402" s="794"/>
    </row>
    <row r="1403" spans="1:22" ht="14.5">
      <c r="A1403" s="794"/>
      <c r="B1403" s="799"/>
      <c r="C1403" s="794"/>
      <c r="D1403" s="794"/>
      <c r="E1403" s="794"/>
      <c r="F1403" s="794"/>
      <c r="G1403" s="794"/>
      <c r="H1403" s="794"/>
      <c r="I1403" s="794"/>
      <c r="J1403" s="794"/>
      <c r="K1403" s="794"/>
      <c r="L1403" s="794"/>
      <c r="M1403" s="794"/>
      <c r="N1403" s="794"/>
      <c r="O1403" s="794"/>
      <c r="P1403" s="794"/>
      <c r="Q1403" s="794"/>
      <c r="R1403" s="794"/>
      <c r="S1403" s="794"/>
      <c r="T1403" s="794"/>
      <c r="U1403" s="794"/>
      <c r="V1403" s="794"/>
    </row>
    <row r="1404" spans="1:22" ht="14.5">
      <c r="A1404" s="794"/>
      <c r="B1404" s="799"/>
      <c r="C1404" s="794"/>
      <c r="D1404" s="794"/>
      <c r="E1404" s="794"/>
      <c r="F1404" s="794"/>
      <c r="G1404" s="794"/>
      <c r="H1404" s="794"/>
      <c r="I1404" s="794"/>
      <c r="J1404" s="794"/>
      <c r="K1404" s="794"/>
      <c r="L1404" s="794"/>
      <c r="M1404" s="794"/>
      <c r="N1404" s="794"/>
      <c r="O1404" s="794"/>
      <c r="P1404" s="794"/>
      <c r="Q1404" s="794"/>
      <c r="R1404" s="794"/>
      <c r="S1404" s="794"/>
      <c r="T1404" s="794"/>
      <c r="U1404" s="794"/>
      <c r="V1404" s="794"/>
    </row>
    <row r="1405" spans="1:22" ht="14.5">
      <c r="A1405" s="794"/>
      <c r="B1405" s="799"/>
      <c r="C1405" s="794"/>
      <c r="D1405" s="794"/>
      <c r="E1405" s="794"/>
      <c r="F1405" s="794"/>
      <c r="G1405" s="794"/>
      <c r="H1405" s="794"/>
      <c r="I1405" s="794"/>
      <c r="J1405" s="794"/>
      <c r="K1405" s="794"/>
      <c r="L1405" s="794"/>
      <c r="M1405" s="794"/>
      <c r="N1405" s="794"/>
      <c r="O1405" s="794"/>
      <c r="P1405" s="794"/>
      <c r="Q1405" s="794"/>
      <c r="R1405" s="794"/>
      <c r="S1405" s="794"/>
      <c r="T1405" s="794"/>
      <c r="U1405" s="794"/>
      <c r="V1405" s="794"/>
    </row>
    <row r="1406" spans="1:22" ht="14.5">
      <c r="A1406" s="794"/>
      <c r="B1406" s="799"/>
      <c r="C1406" s="794"/>
      <c r="D1406" s="794"/>
      <c r="E1406" s="794"/>
      <c r="F1406" s="794"/>
      <c r="G1406" s="794"/>
      <c r="H1406" s="794"/>
      <c r="I1406" s="794"/>
      <c r="J1406" s="794"/>
      <c r="K1406" s="794"/>
      <c r="L1406" s="794"/>
      <c r="M1406" s="794"/>
      <c r="N1406" s="794"/>
      <c r="O1406" s="794"/>
      <c r="P1406" s="794"/>
      <c r="Q1406" s="794"/>
      <c r="R1406" s="794"/>
      <c r="S1406" s="794"/>
      <c r="T1406" s="794"/>
      <c r="U1406" s="794"/>
      <c r="V1406" s="794"/>
    </row>
    <row r="1407" spans="1:22" ht="14.5">
      <c r="A1407" s="794"/>
      <c r="B1407" s="799"/>
      <c r="C1407" s="794"/>
      <c r="D1407" s="794"/>
      <c r="E1407" s="794"/>
      <c r="F1407" s="794"/>
      <c r="G1407" s="794"/>
      <c r="H1407" s="794"/>
      <c r="I1407" s="794"/>
      <c r="J1407" s="794"/>
      <c r="K1407" s="794"/>
      <c r="L1407" s="794"/>
      <c r="M1407" s="794"/>
      <c r="N1407" s="794"/>
      <c r="O1407" s="794"/>
      <c r="P1407" s="794"/>
      <c r="Q1407" s="794"/>
      <c r="R1407" s="794"/>
      <c r="S1407" s="794"/>
      <c r="T1407" s="794"/>
      <c r="U1407" s="794"/>
      <c r="V1407" s="794"/>
    </row>
    <row r="1408" spans="1:22" ht="14.5">
      <c r="A1408" s="794"/>
      <c r="B1408" s="799"/>
      <c r="C1408" s="794"/>
      <c r="D1408" s="794"/>
      <c r="E1408" s="794"/>
      <c r="F1408" s="794"/>
      <c r="G1408" s="794"/>
      <c r="H1408" s="794"/>
      <c r="I1408" s="794"/>
      <c r="J1408" s="794"/>
      <c r="K1408" s="794"/>
      <c r="L1408" s="794"/>
      <c r="M1408" s="794"/>
      <c r="N1408" s="794"/>
      <c r="O1408" s="794"/>
      <c r="P1408" s="794"/>
      <c r="Q1408" s="794"/>
      <c r="R1408" s="794"/>
      <c r="S1408" s="794"/>
      <c r="T1408" s="794"/>
      <c r="U1408" s="794"/>
      <c r="V1408" s="794"/>
    </row>
    <row r="1409" spans="1:22" ht="14.5">
      <c r="A1409" s="794"/>
      <c r="B1409" s="799"/>
      <c r="C1409" s="794"/>
      <c r="D1409" s="794"/>
      <c r="E1409" s="794"/>
      <c r="F1409" s="794"/>
      <c r="G1409" s="794"/>
      <c r="H1409" s="794"/>
      <c r="I1409" s="794"/>
      <c r="J1409" s="794"/>
      <c r="K1409" s="794"/>
      <c r="L1409" s="794"/>
      <c r="M1409" s="794"/>
      <c r="N1409" s="794"/>
      <c r="O1409" s="794"/>
      <c r="P1409" s="794"/>
      <c r="Q1409" s="794"/>
      <c r="R1409" s="794"/>
      <c r="S1409" s="794"/>
      <c r="T1409" s="794"/>
      <c r="U1409" s="794"/>
      <c r="V1409" s="794"/>
    </row>
    <row r="1410" spans="1:22" ht="14.5">
      <c r="A1410" s="794"/>
      <c r="B1410" s="799"/>
      <c r="C1410" s="794"/>
      <c r="D1410" s="794"/>
      <c r="E1410" s="794"/>
      <c r="F1410" s="794"/>
      <c r="G1410" s="794"/>
      <c r="H1410" s="794"/>
      <c r="I1410" s="794"/>
      <c r="J1410" s="794"/>
      <c r="K1410" s="794"/>
      <c r="L1410" s="794"/>
      <c r="M1410" s="794"/>
      <c r="N1410" s="794"/>
      <c r="O1410" s="794"/>
      <c r="P1410" s="794"/>
      <c r="Q1410" s="794"/>
      <c r="R1410" s="794"/>
      <c r="S1410" s="794"/>
      <c r="T1410" s="794"/>
      <c r="U1410" s="794"/>
      <c r="V1410" s="794"/>
    </row>
    <row r="1411" spans="1:22" ht="14.5">
      <c r="A1411" s="794"/>
      <c r="B1411" s="799"/>
      <c r="C1411" s="794"/>
      <c r="D1411" s="794"/>
      <c r="E1411" s="794"/>
      <c r="F1411" s="794"/>
      <c r="G1411" s="794"/>
      <c r="H1411" s="794"/>
      <c r="I1411" s="794"/>
      <c r="J1411" s="794"/>
      <c r="K1411" s="794"/>
      <c r="L1411" s="794"/>
      <c r="M1411" s="794"/>
      <c r="N1411" s="794"/>
      <c r="O1411" s="794"/>
      <c r="P1411" s="794"/>
      <c r="Q1411" s="794"/>
      <c r="R1411" s="794"/>
      <c r="S1411" s="794"/>
      <c r="T1411" s="794"/>
      <c r="U1411" s="794"/>
      <c r="V1411" s="794"/>
    </row>
    <row r="1412" spans="1:22" ht="14.5">
      <c r="A1412" s="794"/>
      <c r="B1412" s="799"/>
      <c r="C1412" s="794"/>
      <c r="D1412" s="794"/>
      <c r="E1412" s="794"/>
      <c r="F1412" s="794"/>
      <c r="G1412" s="794"/>
      <c r="H1412" s="794"/>
      <c r="I1412" s="794"/>
      <c r="J1412" s="794"/>
      <c r="K1412" s="794"/>
      <c r="L1412" s="794"/>
      <c r="M1412" s="794"/>
      <c r="N1412" s="794"/>
      <c r="O1412" s="794"/>
      <c r="P1412" s="794"/>
      <c r="Q1412" s="794"/>
      <c r="R1412" s="794"/>
      <c r="S1412" s="794"/>
      <c r="T1412" s="794"/>
      <c r="U1412" s="794"/>
      <c r="V1412" s="794"/>
    </row>
    <row r="1413" spans="1:22" ht="14.5">
      <c r="A1413" s="794"/>
      <c r="B1413" s="799"/>
      <c r="C1413" s="794"/>
      <c r="D1413" s="794"/>
      <c r="E1413" s="794"/>
      <c r="F1413" s="794"/>
      <c r="G1413" s="794"/>
      <c r="H1413" s="794"/>
      <c r="I1413" s="794"/>
      <c r="J1413" s="794"/>
      <c r="K1413" s="794"/>
      <c r="L1413" s="794"/>
      <c r="M1413" s="794"/>
      <c r="N1413" s="794"/>
      <c r="O1413" s="794"/>
      <c r="P1413" s="794"/>
      <c r="Q1413" s="794"/>
      <c r="R1413" s="794"/>
      <c r="S1413" s="794"/>
      <c r="T1413" s="794"/>
      <c r="U1413" s="794"/>
      <c r="V1413" s="794"/>
    </row>
    <row r="1414" spans="1:22" ht="14.5">
      <c r="A1414" s="794"/>
      <c r="B1414" s="799"/>
      <c r="C1414" s="794"/>
      <c r="D1414" s="794"/>
      <c r="E1414" s="794"/>
      <c r="F1414" s="794"/>
      <c r="G1414" s="794"/>
      <c r="H1414" s="794"/>
      <c r="I1414" s="794"/>
      <c r="J1414" s="794"/>
      <c r="K1414" s="794"/>
      <c r="L1414" s="794"/>
      <c r="M1414" s="794"/>
      <c r="N1414" s="794"/>
      <c r="O1414" s="794"/>
      <c r="P1414" s="794"/>
      <c r="Q1414" s="794"/>
      <c r="R1414" s="794"/>
      <c r="S1414" s="794"/>
      <c r="T1414" s="794"/>
      <c r="U1414" s="794"/>
      <c r="V1414" s="794"/>
    </row>
    <row r="1415" spans="1:22" ht="14.5">
      <c r="A1415" s="794"/>
      <c r="B1415" s="799"/>
      <c r="C1415" s="794"/>
      <c r="D1415" s="794"/>
      <c r="E1415" s="794"/>
      <c r="F1415" s="794"/>
      <c r="G1415" s="794"/>
      <c r="H1415" s="794"/>
      <c r="I1415" s="794"/>
      <c r="J1415" s="794"/>
      <c r="K1415" s="794"/>
      <c r="L1415" s="794"/>
      <c r="M1415" s="794"/>
      <c r="N1415" s="794"/>
      <c r="O1415" s="794"/>
      <c r="P1415" s="794"/>
      <c r="Q1415" s="794"/>
      <c r="R1415" s="794"/>
      <c r="S1415" s="794"/>
      <c r="T1415" s="794"/>
      <c r="U1415" s="794"/>
      <c r="V1415" s="794"/>
    </row>
    <row r="1416" spans="1:22" ht="14.5">
      <c r="A1416" s="794"/>
      <c r="B1416" s="799"/>
      <c r="C1416" s="794"/>
      <c r="D1416" s="794"/>
      <c r="E1416" s="794"/>
      <c r="F1416" s="794"/>
      <c r="G1416" s="794"/>
      <c r="H1416" s="794"/>
      <c r="I1416" s="794"/>
      <c r="J1416" s="794"/>
      <c r="K1416" s="794"/>
      <c r="L1416" s="794"/>
      <c r="M1416" s="794"/>
      <c r="N1416" s="794"/>
      <c r="O1416" s="794"/>
      <c r="P1416" s="794"/>
      <c r="Q1416" s="794"/>
      <c r="R1416" s="794"/>
      <c r="S1416" s="794"/>
      <c r="T1416" s="794"/>
      <c r="U1416" s="794"/>
      <c r="V1416" s="794"/>
    </row>
    <row r="1417" spans="1:22" ht="14.5">
      <c r="A1417" s="794"/>
      <c r="B1417" s="799"/>
      <c r="C1417" s="794"/>
      <c r="D1417" s="794"/>
      <c r="E1417" s="794"/>
      <c r="F1417" s="794"/>
      <c r="G1417" s="794"/>
      <c r="H1417" s="794"/>
      <c r="I1417" s="794"/>
      <c r="J1417" s="794"/>
      <c r="K1417" s="794"/>
      <c r="L1417" s="794"/>
      <c r="M1417" s="794"/>
      <c r="N1417" s="794"/>
      <c r="O1417" s="794"/>
      <c r="P1417" s="794"/>
      <c r="Q1417" s="794"/>
      <c r="R1417" s="794"/>
      <c r="S1417" s="794"/>
      <c r="T1417" s="794"/>
      <c r="U1417" s="794"/>
      <c r="V1417" s="794"/>
    </row>
    <row r="1418" spans="1:22" ht="14.5">
      <c r="A1418" s="794"/>
      <c r="B1418" s="799"/>
      <c r="C1418" s="794"/>
      <c r="D1418" s="794"/>
      <c r="E1418" s="794"/>
      <c r="F1418" s="794"/>
      <c r="G1418" s="794"/>
      <c r="H1418" s="794"/>
      <c r="I1418" s="794"/>
      <c r="J1418" s="794"/>
      <c r="K1418" s="794"/>
      <c r="L1418" s="794"/>
      <c r="M1418" s="794"/>
      <c r="N1418" s="794"/>
      <c r="O1418" s="794"/>
      <c r="P1418" s="794"/>
      <c r="Q1418" s="794"/>
      <c r="R1418" s="794"/>
      <c r="S1418" s="794"/>
      <c r="T1418" s="794"/>
      <c r="U1418" s="794"/>
      <c r="V1418" s="794"/>
    </row>
  </sheetData>
  <phoneticPr fontId="135"/>
  <conditionalFormatting sqref="A39:D39">
    <cfRule type="expression" dxfId="47" priority="49">
      <formula>$AB39="退職"</formula>
    </cfRule>
  </conditionalFormatting>
  <conditionalFormatting sqref="A45:D45 B72:C77 B91:B92 C99:C100 C102 C105 B109:C113 C116 C126 C131 C138:C139 C143 C157 C161 C165:C166 C195 C202:C208 C212 C217:C223 C226:C228 C231:C232 C234 C237 C251:C252 C260:C261 C279:C280 C284 C297:C300 C305:C310 C322 C340:C351 C362 C391 C403 C457 C461:C462 C496 C500 C518:C521 C527:C544 C547:C553 C555:C557 C560:C566 C577:C579 C591:C593 C595 C598 C610:C611 C615:C617 C620:C625 C628 C630:C631 C634:C635 C639 C642 C644 C646:C660 C663 C671:C672 C674">
    <cfRule type="expression" dxfId="46" priority="40">
      <formula>#REF!="退職"</formula>
    </cfRule>
  </conditionalFormatting>
  <conditionalFormatting sqref="B31 D31:E31 B41 D41:E41 B47:B48 D47:E48">
    <cfRule type="expression" dxfId="45" priority="36">
      <formula>$AD31="退職"</formula>
    </cfRule>
  </conditionalFormatting>
  <conditionalFormatting sqref="B91 B139 E139 B231:B232 B238 E238 E248 B251:B252 E255 B261 D261:E261 B265 E265 B269 E269 B272 E272 S272 B275 E275 B279:B280 D279:E280 D295 B305:B306 D305:E306 B309:B310 D309:E310 B318 B321 B323:B324 B326 B359 B366 E366 B394 D394:E394 B396:B397 D396:E397 B400 D400:E400 B413 D413:E413 B426 B458:B459 D458:E459 B585:B587 D585:E587 D603:D604 B631 D631:E631 D636:D637">
    <cfRule type="expression" dxfId="44" priority="35">
      <formula>$AH91="退職"</formula>
    </cfRule>
  </conditionalFormatting>
  <conditionalFormatting sqref="B258 B269 B272 B281 B287 B309:B310 D309:E310 B317 B323:B324 B366 B396 D396:E396 B398:B400 D398:E400 B413 B425 D603:D604 D636:D637">
    <cfRule type="expression" dxfId="43" priority="13">
      <formula>$AG258="退職"</formula>
    </cfRule>
  </conditionalFormatting>
  <conditionalFormatting sqref="B10:C14 A12:A14 A30:D30 A39:C39 A45:C45 B72:C77 B91:B92 C99:C100 C102 C105 B109:C113">
    <cfRule type="expression" dxfId="42" priority="43">
      <formula>$AC1="退職"</formula>
    </cfRule>
    <cfRule type="expression" dxfId="41" priority="44">
      <formula>$AB1="退職"</formula>
    </cfRule>
  </conditionalFormatting>
  <conditionalFormatting sqref="C116 C126 C131 C138:C139 C143 C157 C161 C165:C166">
    <cfRule type="expression" dxfId="40" priority="14">
      <formula>$AC106="退職"</formula>
    </cfRule>
    <cfRule type="expression" dxfId="39" priority="16">
      <formula>$AB106="退職"</formula>
    </cfRule>
  </conditionalFormatting>
  <conditionalFormatting sqref="C181:C183 C292:C294">
    <cfRule type="expression" dxfId="38" priority="29">
      <formula>#REF!="退職"</formula>
    </cfRule>
  </conditionalFormatting>
  <conditionalFormatting sqref="C182 C260:C261 C279:C280 C284 C297">
    <cfRule type="expression" dxfId="37" priority="25">
      <formula>$AB182="退職"</formula>
    </cfRule>
    <cfRule type="expression" dxfId="36" priority="23">
      <formula>$AC182="退職"</formula>
    </cfRule>
  </conditionalFormatting>
  <conditionalFormatting sqref="C183 C195 C202:C208 C212 C217:C223 C226:C228 C284 C299:C300">
    <cfRule type="expression" dxfId="35" priority="34">
      <formula>$AB185="退職"</formula>
    </cfRule>
    <cfRule type="expression" dxfId="34" priority="32">
      <formula>$AC185="退職"</formula>
    </cfRule>
  </conditionalFormatting>
  <conditionalFormatting sqref="C231:C232 C234 C237 C251:C252 C298">
    <cfRule type="expression" dxfId="33" priority="28">
      <formula>$AB239="退職"</formula>
    </cfRule>
    <cfRule type="expression" dxfId="32" priority="26">
      <formula>$AC239="退職"</formula>
    </cfRule>
  </conditionalFormatting>
  <conditionalFormatting sqref="C292:C293 C305:C310 C322 C346 C362 C403">
    <cfRule type="expression" dxfId="31" priority="20">
      <formula>$AC291="退職"</formula>
    </cfRule>
    <cfRule type="expression" dxfId="30" priority="22">
      <formula>$AB291="退職"</formula>
    </cfRule>
  </conditionalFormatting>
  <conditionalFormatting sqref="C340:C351 C391 C457 C461:C462 C496 C500 C518:C521 C527:C544 C547:C553 C555:C557 C560:C566 C577:C579 C591:C593 C595 C598 C610:C611 C615:C617 C620:C625 C642 C644">
    <cfRule type="expression" dxfId="29" priority="19">
      <formula>$AB311="退職"</formula>
    </cfRule>
    <cfRule type="expression" dxfId="28" priority="17">
      <formula>$AC311="退職"</formula>
    </cfRule>
  </conditionalFormatting>
  <conditionalFormatting sqref="C601:C602 C605:C606">
    <cfRule type="expression" dxfId="27" priority="7">
      <formula>#REF!="退職"</formula>
    </cfRule>
  </conditionalFormatting>
  <conditionalFormatting sqref="C601:C602">
    <cfRule type="expression" dxfId="26" priority="4">
      <formula>$AC569="退職"</formula>
    </cfRule>
    <cfRule type="expression" dxfId="25" priority="6">
      <formula>$AB569="退職"</formula>
    </cfRule>
  </conditionalFormatting>
  <conditionalFormatting sqref="C610 C615 C628 C630:C631 C634:C635 C639 C663 C671:C672 C674">
    <cfRule type="expression" dxfId="24" priority="12">
      <formula>$AB545="退職"</formula>
    </cfRule>
    <cfRule type="expression" dxfId="23" priority="10">
      <formula>$AC545="退職"</formula>
    </cfRule>
  </conditionalFormatting>
  <conditionalFormatting sqref="C646:C660">
    <cfRule type="expression" dxfId="22" priority="2">
      <formula>$AC589="退職"</formula>
    </cfRule>
    <cfRule type="expression" dxfId="21" priority="1">
      <formula>$AB589="退職"</formula>
    </cfRule>
  </conditionalFormatting>
  <conditionalFormatting sqref="D13:D14 E14">
    <cfRule type="expression" dxfId="20" priority="38">
      <formula>$AE13="退職"</formula>
    </cfRule>
  </conditionalFormatting>
  <conditionalFormatting sqref="D18 D29">
    <cfRule type="expression" dxfId="19" priority="46">
      <formula>$AC2="退職"</formula>
    </cfRule>
  </conditionalFormatting>
  <conditionalFormatting sqref="D37 A39:D39">
    <cfRule type="expression" dxfId="18" priority="47">
      <formula>$AC37="退職"</formula>
    </cfRule>
  </conditionalFormatting>
  <conditionalFormatting sqref="D43">
    <cfRule type="expression" dxfId="17" priority="39">
      <formula>#REF!="退職"</formula>
    </cfRule>
  </conditionalFormatting>
  <conditionalFormatting sqref="D83:E83 D85:E86 D88:E88">
    <cfRule type="expression" dxfId="16" priority="37">
      <formula>#REF!="退職"</formula>
    </cfRule>
  </conditionalFormatting>
  <printOptions horizontalCentered="1" gridLines="1"/>
  <pageMargins left="0.25" right="0.25" top="0.75" bottom="0.75" header="0" footer="0"/>
  <pageSetup paperSize="9" pageOrder="overThenDown" orientation="portrait"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W42"/>
  <sheetViews>
    <sheetView workbookViewId="0"/>
  </sheetViews>
  <sheetFormatPr defaultColWidth="12.6328125" defaultRowHeight="15" customHeight="1"/>
  <cols>
    <col min="1" max="1" width="4.6328125" customWidth="1"/>
    <col min="2" max="2" width="3.7265625" customWidth="1"/>
    <col min="3" max="4" width="8.36328125" customWidth="1"/>
    <col min="5" max="5" width="10.08984375" customWidth="1"/>
    <col min="6" max="6" width="48.08984375" customWidth="1"/>
    <col min="7" max="7" width="39.08984375" customWidth="1"/>
    <col min="8" max="8" width="32.08984375" customWidth="1"/>
    <col min="9" max="9" width="12" customWidth="1"/>
    <col min="10" max="10" width="4.6328125" customWidth="1"/>
    <col min="11" max="11" width="9.90625" customWidth="1"/>
    <col min="12" max="12" width="4.6328125" customWidth="1"/>
    <col min="13" max="13" width="6.453125" customWidth="1"/>
    <col min="14" max="14" width="12" customWidth="1"/>
    <col min="15" max="15" width="24.26953125" customWidth="1"/>
    <col min="16" max="16" width="8.36328125" customWidth="1"/>
    <col min="17" max="17" width="12" customWidth="1"/>
    <col min="18" max="18" width="35.26953125" customWidth="1"/>
    <col min="19" max="19" width="10.08984375" customWidth="1"/>
    <col min="20" max="20" width="8.36328125" customWidth="1"/>
    <col min="21" max="21" width="10.08984375" customWidth="1"/>
    <col min="22" max="22" width="13.90625" customWidth="1"/>
    <col min="23" max="23" width="17.7265625" customWidth="1"/>
    <col min="24" max="25" width="10.08984375" customWidth="1"/>
    <col min="26" max="26" width="12" customWidth="1"/>
    <col min="27" max="27" width="12.08984375" customWidth="1"/>
    <col min="28" max="28" width="12" customWidth="1"/>
    <col min="29" max="29" width="10.08984375" customWidth="1"/>
    <col min="30" max="30" width="12.26953125" customWidth="1"/>
    <col min="31" max="31" width="10" customWidth="1"/>
    <col min="32" max="32" width="9.90625" customWidth="1"/>
    <col min="33" max="33" width="10.08984375" customWidth="1"/>
    <col min="34" max="34" width="9.90625" customWidth="1"/>
    <col min="35" max="35" width="15.6328125" customWidth="1"/>
    <col min="36" max="36" width="56.90625" customWidth="1"/>
    <col min="37" max="37" width="6.453125" customWidth="1"/>
  </cols>
  <sheetData>
    <row r="1" spans="1:49" ht="14.5">
      <c r="A1" s="595" t="s">
        <v>100</v>
      </c>
    </row>
    <row r="3" spans="1:49" ht="14.5">
      <c r="A3" s="899" t="str">
        <f ca="1">IFERROR(__xludf.DUMMYFUNCTION("query('管理表'!A:AP,""select * where (C = '本社' or C = '協同本社') and not(AH = '退職')"",1)"),"区")</f>
        <v>区</v>
      </c>
      <c r="B3" s="899" t="str">
        <f ca="1">IFERROR(__xludf.DUMMYFUNCTION("""COMPUTED_VALUE"""),"No")</f>
        <v>No</v>
      </c>
      <c r="C3" s="899" t="str">
        <f ca="1">IFERROR(__xludf.DUMMYFUNCTION("""COMPUTED_VALUE"""),"勤務地")</f>
        <v>勤務地</v>
      </c>
      <c r="D3" s="899" t="str">
        <f ca="1">IFERROR(__xludf.DUMMYFUNCTION("""COMPUTED_VALUE"""),"国籍")</f>
        <v>国籍</v>
      </c>
      <c r="E3" s="899" t="str">
        <f ca="1">IFERROR(__xludf.DUMMYFUNCTION("""COMPUTED_VALUE"""),"社員コード")</f>
        <v>社員コード</v>
      </c>
      <c r="F3" s="899" t="str">
        <f ca="1">IFERROR(__xludf.DUMMYFUNCTION("""COMPUTED_VALUE"""),"写真")</f>
        <v>写真</v>
      </c>
      <c r="G3" s="899" t="str">
        <f ca="1">IFERROR(__xludf.DUMMYFUNCTION("""COMPUTED_VALUE"""),"フリガナ")</f>
        <v>フリガナ</v>
      </c>
      <c r="H3" s="899" t="str">
        <f ca="1">IFERROR(__xludf.DUMMYFUNCTION("""COMPUTED_VALUE"""),"氏名")</f>
        <v>氏名</v>
      </c>
      <c r="I3" s="899" t="str">
        <f ca="1">IFERROR(__xludf.DUMMYFUNCTION("""COMPUTED_VALUE"""),"呼名")</f>
        <v>呼名</v>
      </c>
      <c r="J3" s="899" t="str">
        <f ca="1">IFERROR(__xludf.DUMMYFUNCTION("""COMPUTED_VALUE"""),"性別")</f>
        <v>性別</v>
      </c>
      <c r="K3" s="899" t="str">
        <f ca="1">IFERROR(__xludf.DUMMYFUNCTION("""COMPUTED_VALUE"""),"生年月日")</f>
        <v>生年月日</v>
      </c>
      <c r="L3" s="899" t="str">
        <f ca="1">IFERROR(__xludf.DUMMYFUNCTION("""COMPUTED_VALUE"""),"年齢")</f>
        <v>年齢</v>
      </c>
      <c r="M3" s="899" t="str">
        <f ca="1">IFERROR(__xludf.DUMMYFUNCTION("""COMPUTED_VALUE"""),"配偶者")</f>
        <v>配偶者</v>
      </c>
      <c r="N3" s="899" t="str">
        <f ca="1">IFERROR(__xludf.DUMMYFUNCTION("""COMPUTED_VALUE"""),"登録支援機関")</f>
        <v>登録支援機関</v>
      </c>
      <c r="O3" s="899" t="str">
        <f ca="1">IFERROR(__xludf.DUMMYFUNCTION("""COMPUTED_VALUE"""),"入社日")</f>
        <v>入社日</v>
      </c>
      <c r="P3" s="899" t="str">
        <f ca="1">IFERROR(__xludf.DUMMYFUNCTION("""COMPUTED_VALUE"""),"帰国予定")</f>
        <v>帰国予定</v>
      </c>
      <c r="Q3" s="899" t="str">
        <f ca="1">IFERROR(__xludf.DUMMYFUNCTION("""COMPUTED_VALUE"""),"実習区分")</f>
        <v>実習区分</v>
      </c>
      <c r="R3" s="899" t="str">
        <f ca="1">IFERROR(__xludf.DUMMYFUNCTION("""COMPUTED_VALUE"""),"住所")</f>
        <v>住所</v>
      </c>
      <c r="S3" s="899" t="str">
        <f ca="1">IFERROR(__xludf.DUMMYFUNCTION("""COMPUTED_VALUE"""),"個・相部屋")</f>
        <v>個・相部屋</v>
      </c>
      <c r="T3" s="899" t="str">
        <f ca="1">IFERROR(__xludf.DUMMYFUNCTION("""COMPUTED_VALUE"""),"家賃負担")</f>
        <v>家賃負担</v>
      </c>
      <c r="U3" s="899" t="str">
        <f ca="1">IFERROR(__xludf.DUMMYFUNCTION("""COMPUTED_VALUE"""),"雇用条件書")</f>
        <v>雇用条件書</v>
      </c>
      <c r="V3" s="899" t="str">
        <f ca="1">IFERROR(__xludf.DUMMYFUNCTION("""COMPUTED_VALUE"""),"カード期限")</f>
        <v>カード期限</v>
      </c>
      <c r="W3" s="899" t="str">
        <f ca="1">IFERROR(__xludf.DUMMYFUNCTION("""COMPUTED_VALUE"""),"在留カード番号")</f>
        <v>在留カード番号</v>
      </c>
      <c r="X3" s="899" t="str">
        <f ca="1">IFERROR(__xludf.DUMMYFUNCTION("""COMPUTED_VALUE"""),"雇用保険番号")</f>
        <v>雇用保険番号</v>
      </c>
      <c r="Y3" s="899" t="str">
        <f ca="1">IFERROR(__xludf.DUMMYFUNCTION("""COMPUTED_VALUE"""),"自転車渡日")</f>
        <v>自転車渡日</v>
      </c>
      <c r="Z3" s="899" t="str">
        <f ca="1">IFERROR(__xludf.DUMMYFUNCTION("""COMPUTED_VALUE"""),"自転車No-防犯")</f>
        <v>自転車No-防犯</v>
      </c>
      <c r="AA3" s="899" t="str">
        <f ca="1">IFERROR(__xludf.DUMMYFUNCTION("""COMPUTED_VALUE"""),"自転車回収日")</f>
        <v>自転車回収日</v>
      </c>
      <c r="AB3" s="899" t="str">
        <f ca="1">IFERROR(__xludf.DUMMYFUNCTION("""COMPUTED_VALUE"""),"日本語検定")</f>
        <v>日本語検定</v>
      </c>
      <c r="AC3" s="899" t="str">
        <f ca="1">IFERROR(__xludf.DUMMYFUNCTION("""COMPUTED_VALUE"""),"試験資格")</f>
        <v>試験資格</v>
      </c>
      <c r="AD3" s="899" t="str">
        <f ca="1">IFERROR(__xludf.DUMMYFUNCTION("""COMPUTED_VALUE"""),"一時退職日")</f>
        <v>一時退職日</v>
      </c>
      <c r="AE3" s="899" t="str">
        <f ca="1">IFERROR(__xludf.DUMMYFUNCTION("""COMPUTED_VALUE"""),"一時帰国From")</f>
        <v>一時帰国From</v>
      </c>
      <c r="AF3" s="899" t="str">
        <f ca="1">IFERROR(__xludf.DUMMYFUNCTION("""COMPUTED_VALUE"""),"一時帰国To")</f>
        <v>一時帰国To</v>
      </c>
      <c r="AG3" s="899" t="str">
        <f ca="1">IFERROR(__xludf.DUMMYFUNCTION("""COMPUTED_VALUE"""),"再入社")</f>
        <v>再入社</v>
      </c>
      <c r="AH3" s="899" t="str">
        <f ca="1">IFERROR(__xludf.DUMMYFUNCTION("""COMPUTED_VALUE"""),"退職区分")</f>
        <v>退職区分</v>
      </c>
      <c r="AI3" s="899" t="str">
        <f ca="1">IFERROR(__xludf.DUMMYFUNCTION("""COMPUTED_VALUE"""),"退職日")</f>
        <v>退職日</v>
      </c>
      <c r="AJ3" s="899" t="str">
        <f ca="1">IFERROR(__xludf.DUMMYFUNCTION("""COMPUTED_VALUE"""),"帰国費用")</f>
        <v>帰国費用</v>
      </c>
      <c r="AK3" s="595" t="str">
        <f ca="1">IFERROR(__xludf.DUMMYFUNCTION("""COMPUTED_VALUE"""),"部署長")</f>
        <v>部署長</v>
      </c>
      <c r="AL3" s="595" t="str">
        <f ca="1">IFERROR(__xludf.DUMMYFUNCTION("""COMPUTED_VALUE"""),"特定1号
保険加入")</f>
        <v>特定1号
保険加入</v>
      </c>
      <c r="AM3" s="595" t="str">
        <f ca="1">IFERROR(__xludf.DUMMYFUNCTION("""COMPUTED_VALUE"""),"特定1号
入国日")</f>
        <v>特定1号
入国日</v>
      </c>
      <c r="AN3" s="595" t="str">
        <f ca="1">IFERROR(__xludf.DUMMYFUNCTION("""COMPUTED_VALUE"""),"特定1号保険期間")</f>
        <v>特定1号保険期間</v>
      </c>
      <c r="AO3" s="595" t="str">
        <f ca="1">IFERROR(__xludf.DUMMYFUNCTION("""COMPUTED_VALUE"""),"給与口座")</f>
        <v>給与口座</v>
      </c>
      <c r="AP3" s="595" t="str">
        <f ca="1">IFERROR(__xludf.DUMMYFUNCTION("""COMPUTED_VALUE"""),"備考")</f>
        <v>備考</v>
      </c>
    </row>
    <row r="4" spans="1:49" ht="14.5">
      <c r="A4" s="595"/>
      <c r="B4" s="595">
        <f ca="1">IFERROR(__xludf.DUMMYFUNCTION("""COMPUTED_VALUE"""),9)</f>
        <v>9</v>
      </c>
      <c r="C4" s="595" t="str">
        <f ca="1">IFERROR(__xludf.DUMMYFUNCTION("""COMPUTED_VALUE"""),"本社")</f>
        <v>本社</v>
      </c>
      <c r="D4" s="595" t="str">
        <f ca="1">IFERROR(__xludf.DUMMYFUNCTION("""COMPUTED_VALUE"""),"ベトナム")</f>
        <v>ベトナム</v>
      </c>
      <c r="E4" s="595" t="str">
        <f ca="1">IFERROR(__xludf.DUMMYFUNCTION("""COMPUTED_VALUE"""),"07001611")</f>
        <v>07001611</v>
      </c>
      <c r="F4" s="595" t="str">
        <f ca="1">IFERROR(__xludf.DUMMYFUNCTION("""COMPUTED_VALUE"""),"/appsheet/photograph/小栗_ミン_20240424.jpg")</f>
        <v>/appsheet/photograph/小栗_ミン_20240424.jpg</v>
      </c>
      <c r="G4" s="595" t="str">
        <f ca="1">IFERROR(__xludf.DUMMYFUNCTION("""COMPUTED_VALUE"""),"ブイ ティ ミン")</f>
        <v>ブイ ティ ミン</v>
      </c>
      <c r="H4" s="595" t="str">
        <f ca="1">IFERROR(__xludf.DUMMYFUNCTION("""COMPUTED_VALUE"""),"BUI THI MINH")</f>
        <v>BUI THI MINH</v>
      </c>
      <c r="I4" s="595" t="str">
        <f ca="1">IFERROR(__xludf.DUMMYFUNCTION("""COMPUTED_VALUE"""),"ミン")</f>
        <v>ミン</v>
      </c>
      <c r="J4" s="595" t="str">
        <f ca="1">IFERROR(__xludf.DUMMYFUNCTION("""COMPUTED_VALUE"""),"女")</f>
        <v>女</v>
      </c>
      <c r="K4" s="600">
        <f ca="1">IFERROR(__xludf.DUMMYFUNCTION("""COMPUTED_VALUE"""),36245)</f>
        <v>36245</v>
      </c>
      <c r="L4" s="595">
        <f ca="1">IFERROR(__xludf.DUMMYFUNCTION("""COMPUTED_VALUE"""),27)</f>
        <v>27</v>
      </c>
      <c r="M4" s="595" t="str">
        <f ca="1">IFERROR(__xludf.DUMMYFUNCTION("""COMPUTED_VALUE"""),"夫婦")</f>
        <v>夫婦</v>
      </c>
      <c r="N4" s="595" t="str">
        <f ca="1">IFERROR(__xludf.DUMMYFUNCTION("""COMPUTED_VALUE"""),"中四国")</f>
        <v>中四国</v>
      </c>
      <c r="O4" s="900">
        <f ca="1">IFERROR(__xludf.DUMMYFUNCTION("""COMPUTED_VALUE"""),43435)</f>
        <v>43435</v>
      </c>
      <c r="P4" s="595" t="str">
        <f ca="1">IFERROR(__xludf.DUMMYFUNCTION("""COMPUTED_VALUE"""),"2025/09")</f>
        <v>2025/09</v>
      </c>
      <c r="Q4" s="595" t="str">
        <f ca="1">IFERROR(__xludf.DUMMYFUNCTION("""COMPUTED_VALUE"""),"特定技能１号")</f>
        <v>特定技能１号</v>
      </c>
      <c r="R4" s="595" t="str">
        <f ca="1">IFERROR(__xludf.DUMMYFUNCTION("""COMPUTED_VALUE"""),"和泉北1-20-28アトムスカイマンション305")</f>
        <v>和泉北1-20-28アトムスカイマンション305</v>
      </c>
      <c r="S4" s="595" t="str">
        <f ca="1">IFERROR(__xludf.DUMMYFUNCTION("""COMPUTED_VALUE"""),"夫婦")</f>
        <v>夫婦</v>
      </c>
      <c r="T4" s="901">
        <f ca="1">IFERROR(__xludf.DUMMYFUNCTION("""COMPUTED_VALUE"""),20000)</f>
        <v>20000</v>
      </c>
      <c r="U4" s="600">
        <f ca="1">IFERROR(__xludf.DUMMYFUNCTION("""COMPUTED_VALUE"""),45870)</f>
        <v>45870</v>
      </c>
      <c r="V4" s="600">
        <f ca="1">IFERROR(__xludf.DUMMYFUNCTION("""COMPUTED_VALUE"""),46294)</f>
        <v>46294</v>
      </c>
      <c r="W4" s="595" t="str">
        <f ca="1">IFERROR(__xludf.DUMMYFUNCTION("""COMPUTED_VALUE"""),"UH54552117PC")</f>
        <v>UH54552117PC</v>
      </c>
      <c r="X4" s="595" t="str">
        <f ca="1">IFERROR(__xludf.DUMMYFUNCTION("""COMPUTED_VALUE"""),"5103-260929-6")</f>
        <v>5103-260929-6</v>
      </c>
      <c r="Y4" s="596"/>
      <c r="Z4" s="595" t="str">
        <f ca="1">IFERROR(__xludf.DUMMYFUNCTION("""COMPUTED_VALUE"""),"返却済
宮内工場長の自転車を乗っている")</f>
        <v>返却済
宮内工場長の自転車を乗っている</v>
      </c>
      <c r="AA4" s="595"/>
      <c r="AB4" s="595" t="str">
        <f ca="1">IFERROR(__xludf.DUMMYFUNCTION("""COMPUTED_VALUE"""),"N4
2024/07/07")</f>
        <v>N4
2024/07/07</v>
      </c>
      <c r="AC4" s="595"/>
      <c r="AD4" s="600"/>
      <c r="AE4" s="600">
        <f ca="1">IFERROR(__xludf.DUMMYFUNCTION("""COMPUTED_VALUE"""),45271)</f>
        <v>45271</v>
      </c>
      <c r="AF4" s="600">
        <f ca="1">IFERROR(__xludf.DUMMYFUNCTION("""COMPUTED_VALUE"""),45311)</f>
        <v>45311</v>
      </c>
      <c r="AG4" s="600"/>
      <c r="AH4" s="595"/>
      <c r="AI4" s="600"/>
      <c r="AJ4" s="595"/>
      <c r="AK4" s="595"/>
      <c r="AL4" s="595" t="str">
        <f ca="1">IFERROR(__xludf.DUMMYFUNCTION("""COMPUTED_VALUE"""),"〇")</f>
        <v>〇</v>
      </c>
      <c r="AM4" s="596"/>
      <c r="AN4" s="595" t="str">
        <f ca="1">IFERROR(__xludf.DUMMYFUNCTION("""COMPUTED_VALUE"""),"2025/8/1～2029/9/30")</f>
        <v>2025/8/1～2029/9/30</v>
      </c>
      <c r="AO4" s="595" t="str">
        <f ca="1">IFERROR(__xludf.DUMMYFUNCTION("""COMPUTED_VALUE"""),"伊予銀")</f>
        <v>伊予銀</v>
      </c>
      <c r="AP4" s="595" t="str">
        <f ca="1">IFERROR(__xludf.DUMMYFUNCTION("""COMPUTED_VALUE"""),"※特定技能申請の為、ﾊﾟｽﾎﾟｰﾄと在留ｶｰﾄﾞは中四国預かり（6/13朴さんより）
2024.6.12～社員コード変わる済（特定活動になるため）
2024.6.12～9.12実習3号→特定活動　9/12～特定技能へ
※特定活動（6ヵ月）申請しその期間に特定技能へ変更予定。
2026/5/4出産予定日　一時帰国し出産予定。2026/3/24～6/29産休　6/30～2027/5/3育休")</f>
        <v>※特定技能申請の為、ﾊﾟｽﾎﾟｰﾄと在留ｶｰﾄﾞは中四国預かり（6/13朴さんより）
2024.6.12～社員コード変わる済（特定活動になるため）
2024.6.12～9.12実習3号→特定活動　9/12～特定技能へ
※特定活動（6ヵ月）申請しその期間に特定技能へ変更予定。
2026/5/4出産予定日　一時帰国し出産予定。2026/3/24～6/29産休　6/30～2027/5/3育休</v>
      </c>
    </row>
    <row r="5" spans="1:49" ht="14.5">
      <c r="A5" s="595"/>
      <c r="B5" s="595">
        <f ca="1">IFERROR(__xludf.DUMMYFUNCTION("""COMPUTED_VALUE"""),10)</f>
        <v>10</v>
      </c>
      <c r="C5" s="595" t="str">
        <f ca="1">IFERROR(__xludf.DUMMYFUNCTION("""COMPUTED_VALUE"""),"本社")</f>
        <v>本社</v>
      </c>
      <c r="D5" s="595" t="str">
        <f ca="1">IFERROR(__xludf.DUMMYFUNCTION("""COMPUTED_VALUE"""),"ベトナム")</f>
        <v>ベトナム</v>
      </c>
      <c r="E5" s="595" t="str">
        <f ca="1">IFERROR(__xludf.DUMMYFUNCTION("""COMPUTED_VALUE"""),"07001613")</f>
        <v>07001613</v>
      </c>
      <c r="F5" s="595" t="str">
        <f ca="1">IFERROR(__xludf.DUMMYFUNCTION("""COMPUTED_VALUE"""),"/appsheet/photograph/10.写真.032947.jpg")</f>
        <v>/appsheet/photograph/10.写真.032947.jpg</v>
      </c>
      <c r="G5" s="595" t="str">
        <f ca="1">IFERROR(__xludf.DUMMYFUNCTION("""COMPUTED_VALUE"""),"グエン ティ ロアン")</f>
        <v>グエン ティ ロアン</v>
      </c>
      <c r="H5" s="595" t="str">
        <f ca="1">IFERROR(__xludf.DUMMYFUNCTION("""COMPUTED_VALUE"""),"NGUYEN THI LOAN")</f>
        <v>NGUYEN THI LOAN</v>
      </c>
      <c r="I5" s="595" t="str">
        <f ca="1">IFERROR(__xludf.DUMMYFUNCTION("""COMPUTED_VALUE"""),"ロアン")</f>
        <v>ロアン</v>
      </c>
      <c r="J5" s="595" t="str">
        <f ca="1">IFERROR(__xludf.DUMMYFUNCTION("""COMPUTED_VALUE"""),"女")</f>
        <v>女</v>
      </c>
      <c r="K5" s="600">
        <f ca="1">IFERROR(__xludf.DUMMYFUNCTION("""COMPUTED_VALUE"""),31701)</f>
        <v>31701</v>
      </c>
      <c r="L5" s="595">
        <f ca="1">IFERROR(__xludf.DUMMYFUNCTION("""COMPUTED_VALUE"""),39)</f>
        <v>39</v>
      </c>
      <c r="M5" s="595" t="str">
        <f ca="1">IFERROR(__xludf.DUMMYFUNCTION("""COMPUTED_VALUE"""),"有")</f>
        <v>有</v>
      </c>
      <c r="N5" s="595" t="str">
        <f ca="1">IFERROR(__xludf.DUMMYFUNCTION("""COMPUTED_VALUE"""),"中四国")</f>
        <v>中四国</v>
      </c>
      <c r="O5" s="900">
        <f ca="1">IFERROR(__xludf.DUMMYFUNCTION("""COMPUTED_VALUE"""),43435)</f>
        <v>43435</v>
      </c>
      <c r="P5" s="595" t="str">
        <f ca="1">IFERROR(__xludf.DUMMYFUNCTION("""COMPUTED_VALUE"""),"2025/09")</f>
        <v>2025/09</v>
      </c>
      <c r="Q5" s="595" t="str">
        <f ca="1">IFERROR(__xludf.DUMMYFUNCTION("""COMPUTED_VALUE"""),"特定技能１号")</f>
        <v>特定技能１号</v>
      </c>
      <c r="R5" s="595" t="str">
        <f ca="1">IFERROR(__xludf.DUMMYFUNCTION("""COMPUTED_VALUE"""),"和泉北1-20-28アトムスカイマンション403")</f>
        <v>和泉北1-20-28アトムスカイマンション403</v>
      </c>
      <c r="S5" s="595" t="str">
        <f ca="1">IFERROR(__xludf.DUMMYFUNCTION("""COMPUTED_VALUE"""),"個1")</f>
        <v>個1</v>
      </c>
      <c r="T5" s="901">
        <f ca="1">IFERROR(__xludf.DUMMYFUNCTION("""COMPUTED_VALUE"""),20000)</f>
        <v>20000</v>
      </c>
      <c r="U5" s="600">
        <f ca="1">IFERROR(__xludf.DUMMYFUNCTION("""COMPUTED_VALUE"""),45870)</f>
        <v>45870</v>
      </c>
      <c r="V5" s="600">
        <f ca="1">IFERROR(__xludf.DUMMYFUNCTION("""COMPUTED_VALUE"""),46294)</f>
        <v>46294</v>
      </c>
      <c r="W5" s="595" t="str">
        <f ca="1">IFERROR(__xludf.DUMMYFUNCTION("""COMPUTED_VALUE"""),"UH51964624PC")</f>
        <v>UH51964624PC</v>
      </c>
      <c r="X5" s="595" t="str">
        <f ca="1">IFERROR(__xludf.DUMMYFUNCTION("""COMPUTED_VALUE"""),"5103-260926-8")</f>
        <v>5103-260926-8</v>
      </c>
      <c r="Y5" s="596"/>
      <c r="Z5" s="595" t="str">
        <f ca="1">IFERROR(__xludf.DUMMYFUNCTION("""COMPUTED_VALUE"""),"1968-B-0091968
2024/08/27自転車変更
7912(1596)赤へ
2025/08/27変更
B-0246665-1008")</f>
        <v>1968-B-0091968
2024/08/27自転車変更
7912(1596)赤へ
2025/08/27変更
B-0246665-1008</v>
      </c>
      <c r="AA5" s="595"/>
      <c r="AB5" s="595"/>
      <c r="AC5" s="595"/>
      <c r="AD5" s="600">
        <f ca="1">IFERROR(__xludf.DUMMYFUNCTION("""COMPUTED_VALUE"""),45317)</f>
        <v>45317</v>
      </c>
      <c r="AE5" s="600"/>
      <c r="AF5" s="600"/>
      <c r="AG5" s="600">
        <f ca="1">IFERROR(__xludf.DUMMYFUNCTION("""COMPUTED_VALUE"""),45350)</f>
        <v>45350</v>
      </c>
      <c r="AH5" s="595"/>
      <c r="AI5" s="600"/>
      <c r="AJ5" s="595"/>
      <c r="AK5" s="595"/>
      <c r="AL5" s="595" t="str">
        <f ca="1">IFERROR(__xludf.DUMMYFUNCTION("""COMPUTED_VALUE"""),"〇")</f>
        <v>〇</v>
      </c>
      <c r="AM5" s="596">
        <f ca="1">IFERROR(__xludf.DUMMYFUNCTION("""COMPUTED_VALUE"""),43403)</f>
        <v>43403</v>
      </c>
      <c r="AN5" s="595" t="str">
        <f ca="1">IFERROR(__xludf.DUMMYFUNCTION("""COMPUTED_VALUE"""),"2025/8/1～2029/5/31")</f>
        <v>2025/8/1～2029/5/31</v>
      </c>
      <c r="AO5" s="595" t="str">
        <f ca="1">IFERROR(__xludf.DUMMYFUNCTION("""COMPUTED_VALUE"""),"伊予銀
湊町支店")</f>
        <v>伊予銀
湊町支店</v>
      </c>
      <c r="AP5" s="595" t="str">
        <f ca="1">IFERROR(__xludf.DUMMYFUNCTION("""COMPUTED_VALUE"""),"※特定技能申請の為、ﾊﾟｽﾎﾟｰﾄと在留ｶｰﾄﾞは中四国預かり（6/13朴さんより）
2024.6.12～社員コード変わる済（特定活動になるため）
2024.6.12～9/152実習3号→特定活動　9/12～特定技能へ
※特定活動（6ヵ月）申請しその期間に特定技能へ変更予定。
2022.7.18一時退職8/9～一時帰国　2024.1.26一時退職
2025/10/4　2～3年前から週に5日程下痢が続いているため、窪田クリニックを受診。便検査の結果、病原性大腸菌O-18が見つかり、ベロ毒素の検査結果は陰性。"&amp;"（陽性であれば保健所に届け出が必要とのこと）。除菌のため、抗生物質の薬を5日服用し、5日後に再度便検査を病院でする予定。")</f>
        <v>※特定技能申請の為、ﾊﾟｽﾎﾟｰﾄと在留ｶｰﾄﾞは中四国預かり（6/13朴さんより）
2024.6.12～社員コード変わる済（特定活動になるため）
2024.6.12～9/152実習3号→特定活動　9/12～特定技能へ
※特定活動（6ヵ月）申請しその期間に特定技能へ変更予定。
2022.7.18一時退職8/9～一時帰国　2024.1.26一時退職
2025/10/4　2～3年前から週に5日程下痢が続いているため、窪田クリニックを受診。便検査の結果、病原性大腸菌O-18が見つかり、ベロ毒素の検査結果は陰性。（陽性であれば保健所に届け出が必要とのこと）。除菌のため、抗生物質の薬を5日服用し、5日後に再度便検査を病院でする予定。</v>
      </c>
    </row>
    <row r="6" spans="1:49" ht="14.5">
      <c r="A6" s="595"/>
      <c r="B6" s="595">
        <f ca="1">IFERROR(__xludf.DUMMYFUNCTION("""COMPUTED_VALUE"""),12)</f>
        <v>12</v>
      </c>
      <c r="C6" s="595" t="str">
        <f ca="1">IFERROR(__xludf.DUMMYFUNCTION("""COMPUTED_VALUE"""),"本社")</f>
        <v>本社</v>
      </c>
      <c r="D6" s="595" t="str">
        <f ca="1">IFERROR(__xludf.DUMMYFUNCTION("""COMPUTED_VALUE"""),"ベトナム")</f>
        <v>ベトナム</v>
      </c>
      <c r="E6" s="595" t="str">
        <f ca="1">IFERROR(__xludf.DUMMYFUNCTION("""COMPUTED_VALUE"""),"07001614")</f>
        <v>07001614</v>
      </c>
      <c r="F6" s="595" t="str">
        <f ca="1">IFERROR(__xludf.DUMMYFUNCTION("""COMPUTED_VALUE"""),"/appsheet/photograph/12.写真.224547.jpg")</f>
        <v>/appsheet/photograph/12.写真.224547.jpg</v>
      </c>
      <c r="G6" s="595" t="str">
        <f ca="1">IFERROR(__xludf.DUMMYFUNCTION("""COMPUTED_VALUE"""),"ホアン ティ チャン")</f>
        <v>ホアン ティ チャン</v>
      </c>
      <c r="H6" s="595" t="str">
        <f ca="1">IFERROR(__xludf.DUMMYFUNCTION("""COMPUTED_VALUE""")," HOANG THI TRANG")</f>
        <v xml:space="preserve"> HOANG THI TRANG</v>
      </c>
      <c r="I6" s="595" t="str">
        <f ca="1">IFERROR(__xludf.DUMMYFUNCTION("""COMPUTED_VALUE"""),"チャン")</f>
        <v>チャン</v>
      </c>
      <c r="J6" s="595" t="str">
        <f ca="1">IFERROR(__xludf.DUMMYFUNCTION("""COMPUTED_VALUE"""),"女")</f>
        <v>女</v>
      </c>
      <c r="K6" s="600">
        <f ca="1">IFERROR(__xludf.DUMMYFUNCTION("""COMPUTED_VALUE"""),34922)</f>
        <v>34922</v>
      </c>
      <c r="L6" s="595">
        <f ca="1">IFERROR(__xludf.DUMMYFUNCTION("""COMPUTED_VALUE"""),30)</f>
        <v>30</v>
      </c>
      <c r="M6" s="595"/>
      <c r="N6" s="595" t="str">
        <f ca="1">IFERROR(__xludf.DUMMYFUNCTION("""COMPUTED_VALUE"""),"中四国")</f>
        <v>中四国</v>
      </c>
      <c r="O6" s="900">
        <f ca="1">IFERROR(__xludf.DUMMYFUNCTION("""COMPUTED_VALUE"""),43627)</f>
        <v>43627</v>
      </c>
      <c r="P6" s="595" t="str">
        <f ca="1">IFERROR(__xludf.DUMMYFUNCTION("""COMPUTED_VALUE"""),"2025/09")</f>
        <v>2025/09</v>
      </c>
      <c r="Q6" s="595" t="str">
        <f ca="1">IFERROR(__xludf.DUMMYFUNCTION("""COMPUTED_VALUE"""),"特定技能１号")</f>
        <v>特定技能１号</v>
      </c>
      <c r="R6" s="595" t="str">
        <f ca="1">IFERROR(__xludf.DUMMYFUNCTION("""COMPUTED_VALUE"""),"和泉北1-20-28アトムスカイマンション403")</f>
        <v>和泉北1-20-28アトムスカイマンション403</v>
      </c>
      <c r="S6" s="595" t="str">
        <f ca="1">IFERROR(__xludf.DUMMYFUNCTION("""COMPUTED_VALUE"""),"個2")</f>
        <v>個2</v>
      </c>
      <c r="T6" s="901">
        <f ca="1">IFERROR(__xludf.DUMMYFUNCTION("""COMPUTED_VALUE"""),20000)</f>
        <v>20000</v>
      </c>
      <c r="U6" s="600">
        <f ca="1">IFERROR(__xludf.DUMMYFUNCTION("""COMPUTED_VALUE"""),45870)</f>
        <v>45870</v>
      </c>
      <c r="V6" s="600">
        <f ca="1">IFERROR(__xludf.DUMMYFUNCTION("""COMPUTED_VALUE"""),46294)</f>
        <v>46294</v>
      </c>
      <c r="W6" s="595" t="str">
        <f ca="1">IFERROR(__xludf.DUMMYFUNCTION("""COMPUTED_VALUE"""),"UH80838380PC")</f>
        <v>UH80838380PC</v>
      </c>
      <c r="X6" s="595" t="str">
        <f ca="1">IFERROR(__xludf.DUMMYFUNCTION("""COMPUTED_VALUE"""),"5105-142112-5")</f>
        <v>5105-142112-5</v>
      </c>
      <c r="Y6" s="596"/>
      <c r="Z6" s="595" t="str">
        <f ca="1">IFERROR(__xludf.DUMMYFUNCTION("""COMPUTED_VALUE"""),"2021/01購入
なし-B-0188562")</f>
        <v>2021/01購入
なし-B-0188562</v>
      </c>
      <c r="AA6" s="595"/>
      <c r="AB6" s="595"/>
      <c r="AC6" s="595"/>
      <c r="AD6" s="600"/>
      <c r="AE6" s="600">
        <f ca="1">IFERROR(__xludf.DUMMYFUNCTION("""COMPUTED_VALUE"""),44760)</f>
        <v>44760</v>
      </c>
      <c r="AF6" s="600">
        <f ca="1">IFERROR(__xludf.DUMMYFUNCTION("""COMPUTED_VALUE"""),44803)</f>
        <v>44803</v>
      </c>
      <c r="AG6" s="600"/>
      <c r="AH6" s="595"/>
      <c r="AI6" s="600"/>
      <c r="AJ6" s="595"/>
      <c r="AK6" s="595"/>
      <c r="AL6" s="595" t="str">
        <f ca="1">IFERROR(__xludf.DUMMYFUNCTION("""COMPUTED_VALUE"""),"〇")</f>
        <v>〇</v>
      </c>
      <c r="AM6" s="596">
        <f ca="1">IFERROR(__xludf.DUMMYFUNCTION("""COMPUTED_VALUE"""),43594)</f>
        <v>43594</v>
      </c>
      <c r="AN6" s="595" t="str">
        <f ca="1">IFERROR(__xludf.DUMMYFUNCTION("""COMPUTED_VALUE"""),"2025/8/1～2029/5/31")</f>
        <v>2025/8/1～2029/5/31</v>
      </c>
      <c r="AO6" s="595" t="str">
        <f ca="1">IFERROR(__xludf.DUMMYFUNCTION("""COMPUTED_VALUE"""),"伊予銀")</f>
        <v>伊予銀</v>
      </c>
      <c r="AP6" s="595" t="str">
        <f ca="1">IFERROR(__xludf.DUMMYFUNCTION("""COMPUTED_VALUE"""),"※特定技能申請の為、ﾊﾟｽﾎﾟｰﾄと在留ｶｰﾄﾞは中四国預かり（6/13朴さんより）
2024.6.12～9/12　実習3号→特定活動　9/12～特定技能へ
※特定活動（6ヵ月）申請しその期間に特定技能へ変更予定。
2024.6.12～（協同→中温へ転籍）")</f>
        <v>※特定技能申請の為、ﾊﾟｽﾎﾟｰﾄと在留ｶｰﾄﾞは中四国預かり（6/13朴さんより）
2024.6.12～9/12　実習3号→特定活動　9/12～特定技能へ
※特定活動（6ヵ月）申請しその期間に特定技能へ変更予定。
2024.6.12～（協同→中温へ転籍）</v>
      </c>
    </row>
    <row r="7" spans="1:49" ht="14.5">
      <c r="A7" s="595"/>
      <c r="B7" s="595">
        <f ca="1">IFERROR(__xludf.DUMMYFUNCTION("""COMPUTED_VALUE"""),29)</f>
        <v>29</v>
      </c>
      <c r="C7" s="595" t="str">
        <f ca="1">IFERROR(__xludf.DUMMYFUNCTION("""COMPUTED_VALUE"""),"本社")</f>
        <v>本社</v>
      </c>
      <c r="D7" s="595" t="str">
        <f ca="1">IFERROR(__xludf.DUMMYFUNCTION("""COMPUTED_VALUE"""),"ベトナム")</f>
        <v>ベトナム</v>
      </c>
      <c r="E7" s="595" t="str">
        <f ca="1">IFERROR(__xludf.DUMMYFUNCTION("""COMPUTED_VALUE"""),"07001629")</f>
        <v>07001629</v>
      </c>
      <c r="F7" s="595" t="str">
        <f ca="1">IFERROR(__xludf.DUMMYFUNCTION("""COMPUTED_VALUE"""),"/appsheet/photograph/IDPhoto_20240711_ヴィエット.jpg")</f>
        <v>/appsheet/photograph/IDPhoto_20240711_ヴィエット.jpg</v>
      </c>
      <c r="G7" s="595" t="str">
        <f ca="1">IFERROR(__xludf.DUMMYFUNCTION("""COMPUTED_VALUE"""),"チャン ヴァン ヴィエット")</f>
        <v>チャン ヴァン ヴィエット</v>
      </c>
      <c r="H7" s="595" t="str">
        <f ca="1">IFERROR(__xludf.DUMMYFUNCTION("""COMPUTED_VALUE"""),"TRAN VAN VIET")</f>
        <v>TRAN VAN VIET</v>
      </c>
      <c r="I7" s="595" t="str">
        <f ca="1">IFERROR(__xludf.DUMMYFUNCTION("""COMPUTED_VALUE"""),"ヴィエット")</f>
        <v>ヴィエット</v>
      </c>
      <c r="J7" s="595" t="str">
        <f ca="1">IFERROR(__xludf.DUMMYFUNCTION("""COMPUTED_VALUE"""),"男")</f>
        <v>男</v>
      </c>
      <c r="K7" s="600">
        <f ca="1">IFERROR(__xludf.DUMMYFUNCTION("""COMPUTED_VALUE"""),32955)</f>
        <v>32955</v>
      </c>
      <c r="L7" s="595">
        <f ca="1">IFERROR(__xludf.DUMMYFUNCTION("""COMPUTED_VALUE"""),36)</f>
        <v>36</v>
      </c>
      <c r="M7" s="595"/>
      <c r="N7" s="595" t="str">
        <f ca="1">IFERROR(__xludf.DUMMYFUNCTION("""COMPUTED_VALUE"""),"中四国")</f>
        <v>中四国</v>
      </c>
      <c r="O7" s="900">
        <f ca="1">IFERROR(__xludf.DUMMYFUNCTION("""COMPUTED_VALUE"""),44119)</f>
        <v>44119</v>
      </c>
      <c r="P7" s="595" t="str">
        <f ca="1">IFERROR(__xludf.DUMMYFUNCTION("""COMPUTED_VALUE"""),"2028/08")</f>
        <v>2028/08</v>
      </c>
      <c r="Q7" s="595" t="str">
        <f ca="1">IFERROR(__xludf.DUMMYFUNCTION("""COMPUTED_VALUE"""),"特定技能１号")</f>
        <v>特定技能１号</v>
      </c>
      <c r="R7" s="595" t="str">
        <f ca="1">IFERROR(__xludf.DUMMYFUNCTION("""COMPUTED_VALUE"""),"和泉北1-20-28アトムスカイマンション504")</f>
        <v>和泉北1-20-28アトムスカイマンション504</v>
      </c>
      <c r="S7" s="595" t="str">
        <f ca="1">IFERROR(__xludf.DUMMYFUNCTION("""COMPUTED_VALUE"""),"相1")</f>
        <v>相1</v>
      </c>
      <c r="T7" s="901">
        <f ca="1">IFERROR(__xludf.DUMMYFUNCTION("""COMPUTED_VALUE"""),20000)</f>
        <v>20000</v>
      </c>
      <c r="U7" s="600"/>
      <c r="V7" s="600">
        <f ca="1">IFERROR(__xludf.DUMMYFUNCTION("""COMPUTED_VALUE"""),46294)</f>
        <v>46294</v>
      </c>
      <c r="W7" s="595" t="str">
        <f ca="1">IFERROR(__xludf.DUMMYFUNCTION("""COMPUTED_VALUE"""),"UH63950753PC")</f>
        <v>UH63950753PC</v>
      </c>
      <c r="X7" s="595" t="str">
        <f ca="1">IFERROR(__xludf.DUMMYFUNCTION("""COMPUTED_VALUE"""),"5109-022666-1")</f>
        <v>5109-022666-1</v>
      </c>
      <c r="Y7" s="596"/>
      <c r="Z7" s="595" t="str">
        <f ca="1">IFERROR(__xludf.DUMMYFUNCTION("""COMPUTED_VALUE"""),"2020/10購入 紛失17000002-B-0177519 新888-B-0143840-1653")</f>
        <v>2020/10購入 紛失17000002-B-0177519 新888-B-0143840-1653</v>
      </c>
      <c r="AA7" s="595" t="str">
        <f ca="1">IFERROR(__xludf.DUMMYFUNCTION("""COMPUTED_VALUE"""),"5/30立花駅にて盗難
6/3市駅前交番届出")</f>
        <v>5/30立花駅にて盗難
6/3市駅前交番届出</v>
      </c>
      <c r="AB7" s="595"/>
      <c r="AC7" s="595"/>
      <c r="AD7" s="600">
        <f ca="1">IFERROR(__xludf.DUMMYFUNCTION("""COMPUTED_VALUE"""),46015)</f>
        <v>46015</v>
      </c>
      <c r="AE7" s="600">
        <f ca="1">IFERROR(__xludf.DUMMYFUNCTION("""COMPUTED_VALUE"""),46016)</f>
        <v>46016</v>
      </c>
      <c r="AF7" s="600">
        <f ca="1">IFERROR(__xludf.DUMMYFUNCTION("""COMPUTED_VALUE"""),46055)</f>
        <v>46055</v>
      </c>
      <c r="AG7" s="600">
        <f ca="1">IFERROR(__xludf.DUMMYFUNCTION("""COMPUTED_VALUE"""),46056)</f>
        <v>46056</v>
      </c>
      <c r="AH7" s="595"/>
      <c r="AI7" s="600"/>
      <c r="AJ7" s="595" t="str">
        <f ca="1">IFERROR(__xludf.DUMMYFUNCTION("""COMPUTED_VALUE"""),"2025/12/25-2026/2/2 関西国際空港⇔ハノイ　115,800円")</f>
        <v>2025/12/25-2026/2/2 関西国際空港⇔ハノイ　115,800円</v>
      </c>
      <c r="AK7" s="595"/>
      <c r="AL7" s="595" t="str">
        <f ca="1">IFERROR(__xludf.DUMMYFUNCTION("""COMPUTED_VALUE"""),"―")</f>
        <v>―</v>
      </c>
      <c r="AM7" s="596"/>
      <c r="AN7" s="595" t="str">
        <f ca="1">IFERROR(__xludf.DUMMYFUNCTION("""COMPUTED_VALUE"""),"自転車保険 2026/09/15")</f>
        <v>自転車保険 2026/09/15</v>
      </c>
      <c r="AO7" s="595" t="str">
        <f ca="1">IFERROR(__xludf.DUMMYFUNCTION("""COMPUTED_VALUE"""),"伊予銀
三津浜支店")</f>
        <v>伊予銀
三津浜支店</v>
      </c>
      <c r="AP7" s="595" t="str">
        <f ca="1">IFERROR(__xludf.DUMMYFUNCTION("""COMPUTED_VALUE"""),"特定技能1号期間更新中　24.7.11 6/3 10:01受理　市駅前交番にて　5/30自転車盗難の申出。鍵が故障により施錠しておらずとの申し出。6/3組合に5,000円徴収依頼　　6/4￥5000支払済 2025/10/8伊予銀　三津浜支店　ワタナベさんより連絡あり。在留ｶｰﾄﾞ更新後のコピーの提出がまだ。10/17
2025/12/25～2026/02/02一時帰国希望（宮内工場長より）
2025/12/24一時退職　12/25～2026/2/2一時帰国　2026/2/3再入社
社員ｺｰﾄﾞ変更済")</f>
        <v>特定技能1号期間更新中　24.7.11 6/3 10:01受理　市駅前交番にて　5/30自転車盗難の申出。鍵が故障により施錠しておらずとの申し出。6/3組合に5,000円徴収依頼　　6/4￥5000支払済 2025/10/8伊予銀　三津浜支店　ワタナベさんより連絡あり。在留ｶｰﾄﾞ更新後のコピーの提出がまだ。10/17
2025/12/25～2026/02/02一時帰国希望（宮内工場長より）
2025/12/24一時退職　12/25～2026/2/2一時帰国　2026/2/3再入社
社員ｺｰﾄﾞ変更済</v>
      </c>
    </row>
    <row r="8" spans="1:49" ht="14.5">
      <c r="A8" s="595"/>
      <c r="B8" s="595">
        <f ca="1">IFERROR(__xludf.DUMMYFUNCTION("""COMPUTED_VALUE"""),30)</f>
        <v>30</v>
      </c>
      <c r="C8" s="595" t="str">
        <f ca="1">IFERROR(__xludf.DUMMYFUNCTION("""COMPUTED_VALUE"""),"本社")</f>
        <v>本社</v>
      </c>
      <c r="D8" s="595" t="str">
        <f ca="1">IFERROR(__xludf.DUMMYFUNCTION("""COMPUTED_VALUE"""),"ベトナム")</f>
        <v>ベトナム</v>
      </c>
      <c r="E8" s="595" t="str">
        <f ca="1">IFERROR(__xludf.DUMMYFUNCTION("""COMPUTED_VALUE"""),"07001610")</f>
        <v>07001610</v>
      </c>
      <c r="F8" s="595" t="str">
        <f ca="1">IFERROR(__xludf.DUMMYFUNCTION("""COMPUTED_VALUE"""),"/appsheet/photograph/IDPhoto_20240711_ダット.jpg")</f>
        <v>/appsheet/photograph/IDPhoto_20240711_ダット.jpg</v>
      </c>
      <c r="G8" s="595" t="str">
        <f ca="1">IFERROR(__xludf.DUMMYFUNCTION("""COMPUTED_VALUE"""),"グエン ヒュー タイン ダット")</f>
        <v>グエン ヒュー タイン ダット</v>
      </c>
      <c r="H8" s="595" t="str">
        <f ca="1">IFERROR(__xludf.DUMMYFUNCTION("""COMPUTED_VALUE"""),"NGUYEN HUU THANH DAT")</f>
        <v>NGUYEN HUU THANH DAT</v>
      </c>
      <c r="I8" s="595" t="str">
        <f ca="1">IFERROR(__xludf.DUMMYFUNCTION("""COMPUTED_VALUE"""),"ダット")</f>
        <v>ダット</v>
      </c>
      <c r="J8" s="595" t="str">
        <f ca="1">IFERROR(__xludf.DUMMYFUNCTION("""COMPUTED_VALUE"""),"男")</f>
        <v>男</v>
      </c>
      <c r="K8" s="600">
        <f ca="1">IFERROR(__xludf.DUMMYFUNCTION("""COMPUTED_VALUE"""),37255)</f>
        <v>37255</v>
      </c>
      <c r="L8" s="595">
        <f ca="1">IFERROR(__xludf.DUMMYFUNCTION("""COMPUTED_VALUE"""),24)</f>
        <v>24</v>
      </c>
      <c r="M8" s="595" t="str">
        <f ca="1">IFERROR(__xludf.DUMMYFUNCTION("""COMPUTED_VALUE"""),"夫婦")</f>
        <v>夫婦</v>
      </c>
      <c r="N8" s="595" t="str">
        <f ca="1">IFERROR(__xludf.DUMMYFUNCTION("""COMPUTED_VALUE"""),"中四国")</f>
        <v>中四国</v>
      </c>
      <c r="O8" s="900">
        <f ca="1">IFERROR(__xludf.DUMMYFUNCTION("""COMPUTED_VALUE"""),44119)</f>
        <v>44119</v>
      </c>
      <c r="P8" s="595" t="str">
        <f ca="1">IFERROR(__xludf.DUMMYFUNCTION("""COMPUTED_VALUE"""),"2028/08")</f>
        <v>2028/08</v>
      </c>
      <c r="Q8" s="595" t="str">
        <f ca="1">IFERROR(__xludf.DUMMYFUNCTION("""COMPUTED_VALUE"""),"特定技能１号")</f>
        <v>特定技能１号</v>
      </c>
      <c r="R8" s="595" t="str">
        <f ca="1">IFERROR(__xludf.DUMMYFUNCTION("""COMPUTED_VALUE"""),"松山市末広町5-14三和ﾏﾝｼｮﾝ末広201")</f>
        <v>松山市末広町5-14三和ﾏﾝｼｮﾝ末広201</v>
      </c>
      <c r="S8" s="595" t="str">
        <f ca="1">IFERROR(__xludf.DUMMYFUNCTION("""COMPUTED_VALUE"""),"夫婦")</f>
        <v>夫婦</v>
      </c>
      <c r="T8" s="901">
        <f ca="1">IFERROR(__xludf.DUMMYFUNCTION("""COMPUTED_VALUE"""),21500)</f>
        <v>21500</v>
      </c>
      <c r="U8" s="600">
        <f ca="1">IFERROR(__xludf.DUMMYFUNCTION("""COMPUTED_VALUE"""),46082)</f>
        <v>46082</v>
      </c>
      <c r="V8" s="600">
        <f ca="1">IFERROR(__xludf.DUMMYFUNCTION("""COMPUTED_VALUE"""),46294)</f>
        <v>46294</v>
      </c>
      <c r="W8" s="595" t="str">
        <f ca="1">IFERROR(__xludf.DUMMYFUNCTION("""COMPUTED_VALUE"""),"UH42724630PC")</f>
        <v>UH42724630PC</v>
      </c>
      <c r="X8" s="595" t="str">
        <f ca="1">IFERROR(__xludf.DUMMYFUNCTION("""COMPUTED_VALUE"""),"5109-022610-8")</f>
        <v>5109-022610-8</v>
      </c>
      <c r="Y8" s="596"/>
      <c r="Z8" s="595" t="str">
        <f ca="1">IFERROR(__xludf.DUMMYFUNCTION("""COMPUTED_VALUE"""),"2020/10購入
17000003 B-0177520")</f>
        <v>2020/10購入
17000003 B-0177520</v>
      </c>
      <c r="AA8" s="595"/>
      <c r="AB8" s="595" t="str">
        <f ca="1">IFERROR(__xludf.DUMMYFUNCTION("""COMPUTED_VALUE"""),"N3
2024/12/01")</f>
        <v>N3
2024/12/01</v>
      </c>
      <c r="AC8" s="595"/>
      <c r="AD8" s="600">
        <f ca="1">IFERROR(__xludf.DUMMYFUNCTION("""COMPUTED_VALUE"""),45306)</f>
        <v>45306</v>
      </c>
      <c r="AE8" s="600">
        <f ca="1">IFERROR(__xludf.DUMMYFUNCTION("""COMPUTED_VALUE"""),45306)</f>
        <v>45306</v>
      </c>
      <c r="AF8" s="600">
        <f ca="1">IFERROR(__xludf.DUMMYFUNCTION("""COMPUTED_VALUE"""),45352)</f>
        <v>45352</v>
      </c>
      <c r="AG8" s="600">
        <f ca="1">IFERROR(__xludf.DUMMYFUNCTION("""COMPUTED_VALUE"""),45355)</f>
        <v>45355</v>
      </c>
      <c r="AH8" s="595"/>
      <c r="AI8" s="600"/>
      <c r="AJ8" s="595"/>
      <c r="AK8" s="595"/>
      <c r="AL8" s="594" t="str">
        <f ca="1">IFERROR(__xludf.DUMMYFUNCTION("""COMPUTED_VALUE"""),"〇")</f>
        <v>〇</v>
      </c>
      <c r="AM8" s="902">
        <f ca="1">IFERROR(__xludf.DUMMYFUNCTION("""COMPUTED_VALUE"""),45181)</f>
        <v>45181</v>
      </c>
      <c r="AN8" s="594" t="str">
        <f ca="1">IFERROR(__xludf.DUMMYFUNCTION("""COMPUTED_VALUE"""),"2025/8/1～2028/8/31")</f>
        <v>2025/8/1～2028/8/31</v>
      </c>
      <c r="AO8" s="594" t="str">
        <f ca="1">IFERROR(__xludf.DUMMYFUNCTION("""COMPUTED_VALUE"""),"伊予銀")</f>
        <v>伊予銀</v>
      </c>
      <c r="AP8" s="594" t="str">
        <f ca="1">IFERROR(__xludf.DUMMYFUNCTION("""COMPUTED_VALUE"""),"特定技能1号期間更新中　24.7.11
2024.6.21～ｱﾄﾑ504→三和ﾏﾝｼｮﾝ末広201へ引越
6/26住所変更済（中四国で）
家賃￥21500/人。家具家電は会社負担
奥さんｱｲﾝと一緒に住む
2025/7/24一時帰国から戻ってから在留ｶｰﾄﾞ更新予定⇒済9/29
2026.1月　特定2号受験予定")</f>
        <v>特定技能1号期間更新中　24.7.11
2024.6.21～ｱﾄﾑ504→三和ﾏﾝｼｮﾝ末広201へ引越
6/26住所変更済（中四国で）
家賃￥21500/人。家具家電は会社負担
奥さんｱｲﾝと一緒に住む
2025/7/24一時帰国から戻ってから在留ｶｰﾄﾞ更新予定⇒済9/29
2026.1月　特定2号受験予定</v>
      </c>
      <c r="AQ8" s="594"/>
      <c r="AR8" s="594"/>
      <c r="AS8" s="594"/>
      <c r="AT8" s="594"/>
      <c r="AU8" s="594"/>
      <c r="AV8" s="594"/>
      <c r="AW8" s="594"/>
    </row>
    <row r="9" spans="1:49" ht="47.25" customHeight="1">
      <c r="A9" s="595"/>
      <c r="B9" s="595">
        <f ca="1">IFERROR(__xludf.DUMMYFUNCTION("""COMPUTED_VALUE"""),36)</f>
        <v>36</v>
      </c>
      <c r="C9" s="595" t="str">
        <f ca="1">IFERROR(__xludf.DUMMYFUNCTION("""COMPUTED_VALUE"""),"本社")</f>
        <v>本社</v>
      </c>
      <c r="D9" s="595" t="str">
        <f ca="1">IFERROR(__xludf.DUMMYFUNCTION("""COMPUTED_VALUE"""),"ベトナム")</f>
        <v>ベトナム</v>
      </c>
      <c r="E9" s="595" t="str">
        <f ca="1">IFERROR(__xludf.DUMMYFUNCTION("""COMPUTED_VALUE"""),"07001617")</f>
        <v>07001617</v>
      </c>
      <c r="F9" s="595" t="str">
        <f ca="1">IFERROR(__xludf.DUMMYFUNCTION("""COMPUTED_VALUE"""),"/appsheet/photograph/36.写真.225148.jpg")</f>
        <v>/appsheet/photograph/36.写真.225148.jpg</v>
      </c>
      <c r="G9" s="595" t="str">
        <f ca="1">IFERROR(__xludf.DUMMYFUNCTION("""COMPUTED_VALUE"""),"グエン タイン ド―")</f>
        <v>グエン タイン ド―</v>
      </c>
      <c r="H9" s="595" t="str">
        <f ca="1">IFERROR(__xludf.DUMMYFUNCTION("""COMPUTED_VALUE"""),"NGUYEN THANH DO")</f>
        <v>NGUYEN THANH DO</v>
      </c>
      <c r="I9" s="595" t="str">
        <f ca="1">IFERROR(__xludf.DUMMYFUNCTION("""COMPUTED_VALUE"""),"ドー")</f>
        <v>ドー</v>
      </c>
      <c r="J9" s="595" t="str">
        <f ca="1">IFERROR(__xludf.DUMMYFUNCTION("""COMPUTED_VALUE"""),"男")</f>
        <v>男</v>
      </c>
      <c r="K9" s="600">
        <f ca="1">IFERROR(__xludf.DUMMYFUNCTION("""COMPUTED_VALUE"""),33529)</f>
        <v>33529</v>
      </c>
      <c r="L9" s="595">
        <f ca="1">IFERROR(__xludf.DUMMYFUNCTION("""COMPUTED_VALUE"""),34)</f>
        <v>34</v>
      </c>
      <c r="M9" s="595" t="str">
        <f ca="1">IFERROR(__xludf.DUMMYFUNCTION("""COMPUTED_VALUE"""),"有")</f>
        <v>有</v>
      </c>
      <c r="N9" s="595" t="str">
        <f ca="1">IFERROR(__xludf.DUMMYFUNCTION("""COMPUTED_VALUE"""),"中四国")</f>
        <v>中四国</v>
      </c>
      <c r="O9" s="900">
        <f ca="1">IFERROR(__xludf.DUMMYFUNCTION("""COMPUTED_VALUE"""),44221)</f>
        <v>44221</v>
      </c>
      <c r="P9" s="595" t="str">
        <f ca="1">IFERROR(__xludf.DUMMYFUNCTION("""COMPUTED_VALUE"""),"2028/12")</f>
        <v>2028/12</v>
      </c>
      <c r="Q9" s="595" t="str">
        <f ca="1">IFERROR(__xludf.DUMMYFUNCTION("""COMPUTED_VALUE"""),"特定技能１号")</f>
        <v>特定技能１号</v>
      </c>
      <c r="R9" s="595" t="str">
        <f ca="1">IFERROR(__xludf.DUMMYFUNCTION("""COMPUTED_VALUE"""),"和泉北1-20-28アトムスカイマンション504")</f>
        <v>和泉北1-20-28アトムスカイマンション504</v>
      </c>
      <c r="S9" s="595" t="str">
        <f ca="1">IFERROR(__xludf.DUMMYFUNCTION("""COMPUTED_VALUE"""),"相2")</f>
        <v>相2</v>
      </c>
      <c r="T9" s="901">
        <f ca="1">IFERROR(__xludf.DUMMYFUNCTION("""COMPUTED_VALUE"""),20000)</f>
        <v>20000</v>
      </c>
      <c r="U9" s="600">
        <f ca="1">IFERROR(__xludf.DUMMYFUNCTION("""COMPUTED_VALUE"""),45912)</f>
        <v>45912</v>
      </c>
      <c r="V9" s="600">
        <f ca="1">IFERROR(__xludf.DUMMYFUNCTION("""COMPUTED_VALUE"""),46377)</f>
        <v>46377</v>
      </c>
      <c r="W9" s="595" t="str">
        <f ca="1">IFERROR(__xludf.DUMMYFUNCTION("""COMPUTED_VALUE"""),"UH64477231PC")</f>
        <v>UH64477231PC</v>
      </c>
      <c r="X9" s="595" t="str">
        <f ca="1">IFERROR(__xludf.DUMMYFUNCTION("""COMPUTED_VALUE"""),"5109-504178-2")</f>
        <v>5109-504178-2</v>
      </c>
      <c r="Y9" s="596"/>
      <c r="Z9" s="595" t="str">
        <f ca="1">IFERROR(__xludf.DUMMYFUNCTION("""COMPUTED_VALUE"""),"2021/01購入
8561
B-0188561-1188")</f>
        <v>2021/01購入
8561
B-0188561-1188</v>
      </c>
      <c r="AA9" s="595"/>
      <c r="AB9" s="595"/>
      <c r="AC9" s="595"/>
      <c r="AD9" s="600"/>
      <c r="AE9" s="600">
        <f ca="1">IFERROR(__xludf.DUMMYFUNCTION("""COMPUTED_VALUE"""),45677)</f>
        <v>45677</v>
      </c>
      <c r="AF9" s="600">
        <f ca="1">IFERROR(__xludf.DUMMYFUNCTION("""COMPUTED_VALUE"""),45721)</f>
        <v>45721</v>
      </c>
      <c r="AG9" s="600">
        <f ca="1">IFERROR(__xludf.DUMMYFUNCTION("""COMPUTED_VALUE"""),45723)</f>
        <v>45723</v>
      </c>
      <c r="AH9" s="595"/>
      <c r="AI9" s="600"/>
      <c r="AJ9" s="595" t="str">
        <f ca="1">IFERROR(__xludf.DUMMYFUNCTION("""COMPUTED_VALUE"""),"関空⇔ハノイ
98,300-会社負担")</f>
        <v>関空⇔ハノイ
98,300-会社負担</v>
      </c>
      <c r="AK9" s="595"/>
      <c r="AL9" s="595" t="str">
        <f ca="1">IFERROR(__xludf.DUMMYFUNCTION("""COMPUTED_VALUE"""),"―")</f>
        <v>―</v>
      </c>
      <c r="AM9" s="596"/>
      <c r="AN9" s="595" t="str">
        <f ca="1">IFERROR(__xludf.DUMMYFUNCTION("""COMPUTED_VALUE"""),"―
自転車保険加入済
2026/2/1～2027/2/1　1年間")</f>
        <v>―
自転車保険加入済
2026/2/1～2027/2/1　1年間</v>
      </c>
      <c r="AO9" s="595"/>
      <c r="AP9" s="595"/>
    </row>
    <row r="10" spans="1:49" ht="39.75" customHeight="1">
      <c r="A10" s="595"/>
      <c r="B10" s="595">
        <f ca="1">IFERROR(__xludf.DUMMYFUNCTION("""COMPUTED_VALUE"""),131)</f>
        <v>131</v>
      </c>
      <c r="C10" s="595" t="str">
        <f ca="1">IFERROR(__xludf.DUMMYFUNCTION("""COMPUTED_VALUE"""),"本社")</f>
        <v>本社</v>
      </c>
      <c r="D10" s="595" t="str">
        <f ca="1">IFERROR(__xludf.DUMMYFUNCTION("""COMPUTED_VALUE"""),"ベトナム")</f>
        <v>ベトナム</v>
      </c>
      <c r="E10" s="595" t="str">
        <f ca="1">IFERROR(__xludf.DUMMYFUNCTION("""COMPUTED_VALUE"""),"07001618")</f>
        <v>07001618</v>
      </c>
      <c r="F10" s="595" t="str">
        <f ca="1">IFERROR(__xludf.DUMMYFUNCTION("""COMPUTED_VALUE"""),"/appsheet/photograph/131.写真.225308.jpg")</f>
        <v>/appsheet/photograph/131.写真.225308.jpg</v>
      </c>
      <c r="G10" s="595" t="str">
        <f ca="1">IFERROR(__xludf.DUMMYFUNCTION("""COMPUTED_VALUE"""),"グエン タン ロン")</f>
        <v>グエン タン ロン</v>
      </c>
      <c r="H10" s="595" t="str">
        <f ca="1">IFERROR(__xludf.DUMMYFUNCTION("""COMPUTED_VALUE"""),"NGUYEN THANG LONG")</f>
        <v>NGUYEN THANG LONG</v>
      </c>
      <c r="I10" s="595" t="str">
        <f ca="1">IFERROR(__xludf.DUMMYFUNCTION("""COMPUTED_VALUE"""),"ロン")</f>
        <v>ロン</v>
      </c>
      <c r="J10" s="595" t="str">
        <f ca="1">IFERROR(__xludf.DUMMYFUNCTION("""COMPUTED_VALUE"""),"男")</f>
        <v>男</v>
      </c>
      <c r="K10" s="600">
        <f ca="1">IFERROR(__xludf.DUMMYFUNCTION("""COMPUTED_VALUE"""),36864)</f>
        <v>36864</v>
      </c>
      <c r="L10" s="595">
        <f ca="1">IFERROR(__xludf.DUMMYFUNCTION("""COMPUTED_VALUE"""),25)</f>
        <v>25</v>
      </c>
      <c r="M10" s="595" t="str">
        <f ca="1">IFERROR(__xludf.DUMMYFUNCTION("""COMPUTED_VALUE"""),"無")</f>
        <v>無</v>
      </c>
      <c r="N10" s="595" t="str">
        <f ca="1">IFERROR(__xludf.DUMMYFUNCTION("""COMPUTED_VALUE"""),"中四国")</f>
        <v>中四国</v>
      </c>
      <c r="O10" s="900">
        <f ca="1">IFERROR(__xludf.DUMMYFUNCTION("""COMPUTED_VALUE"""),44699)</f>
        <v>44699</v>
      </c>
      <c r="P10" s="595" t="str">
        <f ca="1">IFERROR(__xludf.DUMMYFUNCTION("""COMPUTED_VALUE"""),"2030/04")</f>
        <v>2030/04</v>
      </c>
      <c r="Q10" s="595" t="str">
        <f ca="1">IFERROR(__xludf.DUMMYFUNCTION("""COMPUTED_VALUE"""),"特定技能１号")</f>
        <v>特定技能１号</v>
      </c>
      <c r="R10" s="595" t="str">
        <f ca="1">IFERROR(__xludf.DUMMYFUNCTION("""COMPUTED_VALUE"""),"和泉北1-20-28アトムスカイマンション404")</f>
        <v>和泉北1-20-28アトムスカイマンション404</v>
      </c>
      <c r="S10" s="595" t="str">
        <f ca="1">IFERROR(__xludf.DUMMYFUNCTION("""COMPUTED_VALUE"""),"個1")</f>
        <v>個1</v>
      </c>
      <c r="T10" s="901">
        <f ca="1">IFERROR(__xludf.DUMMYFUNCTION("""COMPUTED_VALUE"""),20000)</f>
        <v>20000</v>
      </c>
      <c r="U10" s="600">
        <f ca="1">IFERROR(__xludf.DUMMYFUNCTION("""COMPUTED_VALUE"""),46082)</f>
        <v>46082</v>
      </c>
      <c r="V10" s="600">
        <f ca="1">IFERROR(__xludf.DUMMYFUNCTION("""COMPUTED_VALUE"""),46171)</f>
        <v>46171</v>
      </c>
      <c r="W10" s="595" t="str">
        <f ca="1">IFERROR(__xludf.DUMMYFUNCTION("""COMPUTED_VALUE"""),"UH94536849PA")</f>
        <v>UH94536849PA</v>
      </c>
      <c r="X10" s="595"/>
      <c r="Y10" s="596">
        <f ca="1">IFERROR(__xludf.DUMMYFUNCTION("""COMPUTED_VALUE"""),45978)</f>
        <v>45978</v>
      </c>
      <c r="Z10" s="595" t="str">
        <f ca="1">IFERROR(__xludf.DUMMYFUNCTION("""COMPUTED_VALUE"""),"7909-202511盗難届済
B-0247909-1593鍵回収
代替B-0246656-1610
2026.4.3　代替自転車も盗難された")</f>
        <v>7909-202511盗難届済
B-0247909-1593鍵回収
代替B-0246656-1610
2026.4.3　代替自転車も盗難された</v>
      </c>
      <c r="AA10" s="595"/>
      <c r="AB10" s="595"/>
      <c r="AC10" s="595" t="str">
        <f ca="1">IFERROR(__xludf.DUMMYFUNCTION("""COMPUTED_VALUE"""),"缶詰巻締専門
2024/09/12")</f>
        <v>缶詰巻締専門
2024/09/12</v>
      </c>
      <c r="AD10" s="600"/>
      <c r="AE10" s="600"/>
      <c r="AF10" s="600"/>
      <c r="AG10" s="600"/>
      <c r="AH10" s="595"/>
      <c r="AI10" s="600"/>
      <c r="AJ10" s="595" t="str">
        <f ca="1">IFERROR(__xludf.DUMMYFUNCTION("""COMPUTED_VALUE"""),"4/15広島→ハノイ
42,000-会社負担
実習終了帰国")</f>
        <v>4/15広島→ハノイ
42,000-会社負担
実習終了帰国</v>
      </c>
      <c r="AK10" s="595"/>
      <c r="AL10" s="595" t="str">
        <f ca="1">IFERROR(__xludf.DUMMYFUNCTION("""COMPUTED_VALUE"""),"―")</f>
        <v>―</v>
      </c>
      <c r="AM10" s="596"/>
      <c r="AN10" s="595" t="str">
        <f ca="1">IFERROR(__xludf.DUMMYFUNCTION("""COMPUTED_VALUE"""),"―")</f>
        <v>―</v>
      </c>
      <c r="AO10" s="595"/>
      <c r="AP10" s="595" t="str">
        <f ca="1">IFERROR(__xludf.DUMMYFUNCTION("""COMPUTED_VALUE"""),"転職希望（大阪へ）×　中温残る
実習終了→特定技能申請中（2025.5）
2025.4.15～5.19一時帰国
2025.5.28～特定技能1号へ　社員ｺｰﾄﾞ変わる
2025/8/21～家賃20,000-")</f>
        <v>転職希望（大阪へ）×　中温残る
実習終了→特定技能申請中（2025.5）
2025.4.15～5.19一時帰国
2025.5.28～特定技能1号へ　社員ｺｰﾄﾞ変わる
2025/8/21～家賃20,000-</v>
      </c>
    </row>
    <row r="11" spans="1:49" ht="14.5">
      <c r="A11" s="595"/>
      <c r="B11" s="595">
        <f ca="1">IFERROR(__xludf.DUMMYFUNCTION("""COMPUTED_VALUE"""),132)</f>
        <v>132</v>
      </c>
      <c r="C11" s="595" t="str">
        <f ca="1">IFERROR(__xludf.DUMMYFUNCTION("""COMPUTED_VALUE"""),"本社")</f>
        <v>本社</v>
      </c>
      <c r="D11" s="595" t="str">
        <f ca="1">IFERROR(__xludf.DUMMYFUNCTION("""COMPUTED_VALUE"""),"ベトナム")</f>
        <v>ベトナム</v>
      </c>
      <c r="E11" s="595" t="str">
        <f ca="1">IFERROR(__xludf.DUMMYFUNCTION("""COMPUTED_VALUE"""),"07001619")</f>
        <v>07001619</v>
      </c>
      <c r="F11" s="595" t="str">
        <f ca="1">IFERROR(__xludf.DUMMYFUNCTION("""COMPUTED_VALUE"""),"/appsheet/photograph/132.写真.225249.jpg")</f>
        <v>/appsheet/photograph/132.写真.225249.jpg</v>
      </c>
      <c r="G11" s="595" t="str">
        <f ca="1">IFERROR(__xludf.DUMMYFUNCTION("""COMPUTED_VALUE"""),"ダオ ヴァン ゴック")</f>
        <v>ダオ ヴァン ゴック</v>
      </c>
      <c r="H11" s="595" t="str">
        <f ca="1">IFERROR(__xludf.DUMMYFUNCTION("""COMPUTED_VALUE"""),"DAO VAN NGOC")</f>
        <v>DAO VAN NGOC</v>
      </c>
      <c r="I11" s="595" t="str">
        <f ca="1">IFERROR(__xludf.DUMMYFUNCTION("""COMPUTED_VALUE"""),"ゴック")</f>
        <v>ゴック</v>
      </c>
      <c r="J11" s="595" t="str">
        <f ca="1">IFERROR(__xludf.DUMMYFUNCTION("""COMPUTED_VALUE"""),"男")</f>
        <v>男</v>
      </c>
      <c r="K11" s="600">
        <f ca="1">IFERROR(__xludf.DUMMYFUNCTION("""COMPUTED_VALUE"""),36313)</f>
        <v>36313</v>
      </c>
      <c r="L11" s="595">
        <f ca="1">IFERROR(__xludf.DUMMYFUNCTION("""COMPUTED_VALUE"""),26)</f>
        <v>26</v>
      </c>
      <c r="M11" s="595" t="str">
        <f ca="1">IFERROR(__xludf.DUMMYFUNCTION("""COMPUTED_VALUE"""),"夫婦")</f>
        <v>夫婦</v>
      </c>
      <c r="N11" s="595" t="str">
        <f ca="1">IFERROR(__xludf.DUMMYFUNCTION("""COMPUTED_VALUE"""),"中四国")</f>
        <v>中四国</v>
      </c>
      <c r="O11" s="900">
        <f ca="1">IFERROR(__xludf.DUMMYFUNCTION("""COMPUTED_VALUE"""),44699)</f>
        <v>44699</v>
      </c>
      <c r="P11" s="595" t="str">
        <f ca="1">IFERROR(__xludf.DUMMYFUNCTION("""COMPUTED_VALUE"""),"2030/04")</f>
        <v>2030/04</v>
      </c>
      <c r="Q11" s="595" t="str">
        <f ca="1">IFERROR(__xludf.DUMMYFUNCTION("""COMPUTED_VALUE"""),"特定技能１号")</f>
        <v>特定技能１号</v>
      </c>
      <c r="R11" s="595" t="str">
        <f ca="1">IFERROR(__xludf.DUMMYFUNCTION("""COMPUTED_VALUE"""),"和泉北1-20-28アトムスカイマンション406")</f>
        <v>和泉北1-20-28アトムスカイマンション406</v>
      </c>
      <c r="S11" s="595" t="str">
        <f ca="1">IFERROR(__xludf.DUMMYFUNCTION("""COMPUTED_VALUE"""),"夫婦")</f>
        <v>夫婦</v>
      </c>
      <c r="T11" s="901">
        <f ca="1">IFERROR(__xludf.DUMMYFUNCTION("""COMPUTED_VALUE"""),22500)</f>
        <v>22500</v>
      </c>
      <c r="U11" s="600">
        <f ca="1">IFERROR(__xludf.DUMMYFUNCTION("""COMPUTED_VALUE"""),46047)</f>
        <v>46047</v>
      </c>
      <c r="V11" s="600">
        <f ca="1">IFERROR(__xludf.DUMMYFUNCTION("""COMPUTED_VALUE"""),47223)</f>
        <v>47223</v>
      </c>
      <c r="W11" s="595" t="str">
        <f ca="1">IFERROR(__xludf.DUMMYFUNCTION("""COMPUTED_VALUE"""),"LJ20876296PC")</f>
        <v>LJ20876296PC</v>
      </c>
      <c r="X11" s="595"/>
      <c r="Y11" s="596"/>
      <c r="Z11" s="595" t="str">
        <f ca="1">IFERROR(__xludf.DUMMYFUNCTION("""COMPUTED_VALUE"""),"7910
B-0247910-1610")</f>
        <v>7910
B-0247910-1610</v>
      </c>
      <c r="AA11" s="595"/>
      <c r="AB11" s="595" t="str">
        <f ca="1">IFERROR(__xludf.DUMMYFUNCTION("""COMPUTED_VALUE"""),"N4
2024/12/01")</f>
        <v>N4
2024/12/01</v>
      </c>
      <c r="AC11" s="595" t="str">
        <f ca="1">IFERROR(__xludf.DUMMYFUNCTION("""COMPUTED_VALUE"""),"缶詰巻締専門
2024/09/12")</f>
        <v>缶詰巻締専門
2024/09/12</v>
      </c>
      <c r="AD11" s="600"/>
      <c r="AE11" s="600">
        <f ca="1">IFERROR(__xludf.DUMMYFUNCTION("""COMPUTED_VALUE"""),45772)</f>
        <v>45772</v>
      </c>
      <c r="AF11" s="600">
        <f ca="1">IFERROR(__xludf.DUMMYFUNCTION("""COMPUTED_VALUE"""),45818)</f>
        <v>45818</v>
      </c>
      <c r="AG11" s="600"/>
      <c r="AH11" s="595"/>
      <c r="AI11" s="600"/>
      <c r="AJ11" s="595"/>
      <c r="AK11" s="595"/>
      <c r="AL11" s="595" t="str">
        <f ca="1">IFERROR(__xludf.DUMMYFUNCTION("""COMPUTED_VALUE"""),"―")</f>
        <v>―</v>
      </c>
      <c r="AM11" s="596">
        <f ca="1">IFERROR(__xludf.DUMMYFUNCTION("""COMPUTED_VALUE"""),45762)</f>
        <v>45762</v>
      </c>
      <c r="AN11" s="595" t="str">
        <f ca="1">IFERROR(__xludf.DUMMYFUNCTION("""COMPUTED_VALUE"""),"―")</f>
        <v>―</v>
      </c>
      <c r="AO11" s="595" t="str">
        <f ca="1">IFERROR(__xludf.DUMMYFUNCTION("""COMPUTED_VALUE"""),"ひめぎん
末広町支店")</f>
        <v>ひめぎん
末広町支店</v>
      </c>
      <c r="AP11" s="595" t="str">
        <f ca="1">IFERROR(__xludf.DUMMYFUNCTION("""COMPUTED_VALUE"""),"2025.4/25～6/10一時帰国、2025.6.11～出社
技能実習２号終了→特定技能１号　中温残る
実習終了後、一時帰国希望　時給1,050以上希望i出産帰国中のタオさんと２人で生活希望(アトムで)
今回の更新については、最低1,000円＋日本語検定2025/8/21～家賃20,000-
2026.1.21引越アトム404→アトム406へ　奥さんタオの入社に合わせて一緒に住む予定
家賃￥22500へ
ゴックの妹が入寮したら、ゴックとタオの家賃を要相談")</f>
        <v>2025.4/25～6/10一時帰国、2025.6.11～出社
技能実習２号終了→特定技能１号　中温残る
実習終了後、一時帰国希望　時給1,050以上希望i出産帰国中のタオさんと２人で生活希望(アトムで)
今回の更新については、最低1,000円＋日本語検定2025/8/21～家賃20,000-
2026.1.21引越アトム404→アトム406へ　奥さんタオの入社に合わせて一緒に住む予定
家賃￥22500へ
ゴックの妹が入寮したら、ゴックとタオの家賃を要相談</v>
      </c>
    </row>
    <row r="12" spans="1:49" ht="14.5">
      <c r="A12" s="595"/>
      <c r="B12" s="595">
        <f ca="1">IFERROR(__xludf.DUMMYFUNCTION("""COMPUTED_VALUE"""),133)</f>
        <v>133</v>
      </c>
      <c r="C12" s="595" t="str">
        <f ca="1">IFERROR(__xludf.DUMMYFUNCTION("""COMPUTED_VALUE"""),"本社")</f>
        <v>本社</v>
      </c>
      <c r="D12" s="595" t="str">
        <f ca="1">IFERROR(__xludf.DUMMYFUNCTION("""COMPUTED_VALUE"""),"ベトナム")</f>
        <v>ベトナム</v>
      </c>
      <c r="E12" s="595" t="str">
        <f ca="1">IFERROR(__xludf.DUMMYFUNCTION("""COMPUTED_VALUE"""),"07001620")</f>
        <v>07001620</v>
      </c>
      <c r="F12" s="595" t="str">
        <f ca="1">IFERROR(__xludf.DUMMYFUNCTION("""COMPUTED_VALUE"""),"/appsheet/photograph/133.写真.034935.jpg")</f>
        <v>/appsheet/photograph/133.写真.034935.jpg</v>
      </c>
      <c r="G12" s="595" t="str">
        <f ca="1">IFERROR(__xludf.DUMMYFUNCTION("""COMPUTED_VALUE"""),"ルオン トゥアン リン")</f>
        <v>ルオン トゥアン リン</v>
      </c>
      <c r="H12" s="595" t="str">
        <f ca="1">IFERROR(__xludf.DUMMYFUNCTION("""COMPUTED_VALUE"""),"LUONG TUAN LINH")</f>
        <v>LUONG TUAN LINH</v>
      </c>
      <c r="I12" s="595" t="str">
        <f ca="1">IFERROR(__xludf.DUMMYFUNCTION("""COMPUTED_VALUE"""),"ルオン")</f>
        <v>ルオン</v>
      </c>
      <c r="J12" s="595" t="str">
        <f ca="1">IFERROR(__xludf.DUMMYFUNCTION("""COMPUTED_VALUE"""),"男")</f>
        <v>男</v>
      </c>
      <c r="K12" s="600">
        <f ca="1">IFERROR(__xludf.DUMMYFUNCTION("""COMPUTED_VALUE"""),34672)</f>
        <v>34672</v>
      </c>
      <c r="L12" s="595">
        <f ca="1">IFERROR(__xludf.DUMMYFUNCTION("""COMPUTED_VALUE"""),31)</f>
        <v>31</v>
      </c>
      <c r="M12" s="595" t="str">
        <f ca="1">IFERROR(__xludf.DUMMYFUNCTION("""COMPUTED_VALUE"""),"夫婦")</f>
        <v>夫婦</v>
      </c>
      <c r="N12" s="595" t="str">
        <f ca="1">IFERROR(__xludf.DUMMYFUNCTION("""COMPUTED_VALUE"""),"中四国")</f>
        <v>中四国</v>
      </c>
      <c r="O12" s="900">
        <f ca="1">IFERROR(__xludf.DUMMYFUNCTION("""COMPUTED_VALUE"""),44699)</f>
        <v>44699</v>
      </c>
      <c r="P12" s="595" t="str">
        <f ca="1">IFERROR(__xludf.DUMMYFUNCTION("""COMPUTED_VALUE"""),"2030/04")</f>
        <v>2030/04</v>
      </c>
      <c r="Q12" s="595" t="str">
        <f ca="1">IFERROR(__xludf.DUMMYFUNCTION("""COMPUTED_VALUE"""),"特定技能１号")</f>
        <v>特定技能１号</v>
      </c>
      <c r="R12" s="595" t="str">
        <f ca="1">IFERROR(__xludf.DUMMYFUNCTION("""COMPUTED_VALUE"""),"和泉北1-20-28アトムスカイマンション506")</f>
        <v>和泉北1-20-28アトムスカイマンション506</v>
      </c>
      <c r="S12" s="595" t="str">
        <f ca="1">IFERROR(__xludf.DUMMYFUNCTION("""COMPUTED_VALUE"""),"夫婦")</f>
        <v>夫婦</v>
      </c>
      <c r="T12" s="901">
        <f ca="1">IFERROR(__xludf.DUMMYFUNCTION("""COMPUTED_VALUE"""),22500)</f>
        <v>22500</v>
      </c>
      <c r="U12" s="600">
        <f ca="1">IFERROR(__xludf.DUMMYFUNCTION("""COMPUTED_VALUE"""),46047)</f>
        <v>46047</v>
      </c>
      <c r="V12" s="600">
        <f ca="1">IFERROR(__xludf.DUMMYFUNCTION("""COMPUTED_VALUE"""),47223)</f>
        <v>47223</v>
      </c>
      <c r="W12" s="595" t="str">
        <f ca="1">IFERROR(__xludf.DUMMYFUNCTION("""COMPUTED_VALUE"""),"LJ78088029PC")</f>
        <v>LJ78088029PC</v>
      </c>
      <c r="X12" s="595"/>
      <c r="Y12" s="596"/>
      <c r="Z12" s="595" t="str">
        <f ca="1">IFERROR(__xludf.DUMMYFUNCTION("""COMPUTED_VALUE"""),"7911
B-0247911-1115")</f>
        <v>7911
B-0247911-1115</v>
      </c>
      <c r="AA12" s="595"/>
      <c r="AB12" s="595" t="str">
        <f ca="1">IFERROR(__xludf.DUMMYFUNCTION("""COMPUTED_VALUE"""),"N4
2024/07/07")</f>
        <v>N4
2024/07/07</v>
      </c>
      <c r="AC12" s="595" t="str">
        <f ca="1">IFERROR(__xludf.DUMMYFUNCTION("""COMPUTED_VALUE"""),"缶詰巻締専門
2024/09/12")</f>
        <v>缶詰巻締専門
2024/09/12</v>
      </c>
      <c r="AD12" s="600"/>
      <c r="AE12" s="600">
        <f ca="1">IFERROR(__xludf.DUMMYFUNCTION("""COMPUTED_VALUE"""),45855)</f>
        <v>45855</v>
      </c>
      <c r="AF12" s="600">
        <f ca="1">IFERROR(__xludf.DUMMYFUNCTION("""COMPUTED_VALUE"""),45886)</f>
        <v>45886</v>
      </c>
      <c r="AG12" s="600"/>
      <c r="AH12" s="595"/>
      <c r="AI12" s="600"/>
      <c r="AJ12" s="595"/>
      <c r="AK12" s="595"/>
      <c r="AL12" s="595" t="str">
        <f ca="1">IFERROR(__xludf.DUMMYFUNCTION("""COMPUTED_VALUE"""),"〇")</f>
        <v>〇</v>
      </c>
      <c r="AM12" s="596">
        <f ca="1">IFERROR(__xludf.DUMMYFUNCTION("""COMPUTED_VALUE"""),45762)</f>
        <v>45762</v>
      </c>
      <c r="AN12" s="595" t="str">
        <f ca="1">IFERROR(__xludf.DUMMYFUNCTION("""COMPUTED_VALUE"""),"2025/9/15-2030/4/14")</f>
        <v>2025/9/15-2030/4/14</v>
      </c>
      <c r="AO12" s="595" t="str">
        <f ca="1">IFERROR(__xludf.DUMMYFUNCTION("""COMPUTED_VALUE"""),"ひめぎん
末広町支店")</f>
        <v>ひめぎん
末広町支店</v>
      </c>
      <c r="AP12" s="595" t="str">
        <f ca="1">IFERROR(__xludf.DUMMYFUNCTION("""COMPUTED_VALUE"""),"技能実習２号終了→特定技能１号　中温残る
実習終了後、一時帰国希望 残業増やしたい
時給1,060以上希望 １人部屋or１人暮希望
ゴックがいる間は2人でOK
ハー ティ タイン アンと結婚
2025/8　一時帰国後、アンと一緒に住む予定（ｱﾄﾑ404→ｱﾄﾑ506へ）8/21～家賃￥22500")</f>
        <v>技能実習２号終了→特定技能１号　中温残る
実習終了後、一時帰国希望 残業増やしたい
時給1,060以上希望 １人部屋or１人暮希望
ゴックがいる間は2人でOK
ハー ティ タイン アンと結婚
2025/8　一時帰国後、アンと一緒に住む予定（ｱﾄﾑ404→ｱﾄﾑ506へ）8/21～家賃￥22500</v>
      </c>
    </row>
    <row r="13" spans="1:49" ht="14.5">
      <c r="A13" s="595"/>
      <c r="B13" s="595">
        <f ca="1">IFERROR(__xludf.DUMMYFUNCTION("""COMPUTED_VALUE"""),137)</f>
        <v>137</v>
      </c>
      <c r="C13" s="595" t="str">
        <f ca="1">IFERROR(__xludf.DUMMYFUNCTION("""COMPUTED_VALUE"""),"本社")</f>
        <v>本社</v>
      </c>
      <c r="D13" s="595" t="str">
        <f ca="1">IFERROR(__xludf.DUMMYFUNCTION("""COMPUTED_VALUE"""),"ベトナム")</f>
        <v>ベトナム</v>
      </c>
      <c r="E13" s="595" t="str">
        <f ca="1">IFERROR(__xludf.DUMMYFUNCTION("""COMPUTED_VALUE"""),"07001622")</f>
        <v>07001622</v>
      </c>
      <c r="F13" s="595" t="str">
        <f ca="1">IFERROR(__xludf.DUMMYFUNCTION("""COMPUTED_VALUE"""),"/appsheet/photograph/137.写真.035239.jpg")</f>
        <v>/appsheet/photograph/137.写真.035239.jpg</v>
      </c>
      <c r="G13" s="595" t="str">
        <f ca="1">IFERROR(__xludf.DUMMYFUNCTION("""COMPUTED_VALUE"""),"ハー ティ タイン アン")</f>
        <v>ハー ティ タイン アン</v>
      </c>
      <c r="H13" s="595" t="str">
        <f ca="1">IFERROR(__xludf.DUMMYFUNCTION("""COMPUTED_VALUE"""),"HA THI THANH AN")</f>
        <v>HA THI THANH AN</v>
      </c>
      <c r="I13" s="595" t="str">
        <f ca="1">IFERROR(__xludf.DUMMYFUNCTION("""COMPUTED_VALUE"""),"アン")</f>
        <v>アン</v>
      </c>
      <c r="J13" s="595" t="str">
        <f ca="1">IFERROR(__xludf.DUMMYFUNCTION("""COMPUTED_VALUE"""),"女")</f>
        <v>女</v>
      </c>
      <c r="K13" s="600">
        <f ca="1">IFERROR(__xludf.DUMMYFUNCTION("""COMPUTED_VALUE"""),36759)</f>
        <v>36759</v>
      </c>
      <c r="L13" s="595">
        <f ca="1">IFERROR(__xludf.DUMMYFUNCTION("""COMPUTED_VALUE"""),25)</f>
        <v>25</v>
      </c>
      <c r="M13" s="595" t="str">
        <f ca="1">IFERROR(__xludf.DUMMYFUNCTION("""COMPUTED_VALUE"""),"夫婦")</f>
        <v>夫婦</v>
      </c>
      <c r="N13" s="595" t="str">
        <f ca="1">IFERROR(__xludf.DUMMYFUNCTION("""COMPUTED_VALUE"""),"中四国")</f>
        <v>中四国</v>
      </c>
      <c r="O13" s="900">
        <f ca="1">IFERROR(__xludf.DUMMYFUNCTION("""COMPUTED_VALUE"""),44699)</f>
        <v>44699</v>
      </c>
      <c r="P13" s="595" t="str">
        <f ca="1">IFERROR(__xludf.DUMMYFUNCTION("""COMPUTED_VALUE"""),"2030/04")</f>
        <v>2030/04</v>
      </c>
      <c r="Q13" s="595" t="str">
        <f ca="1">IFERROR(__xludf.DUMMYFUNCTION("""COMPUTED_VALUE"""),"特定技能１号")</f>
        <v>特定技能１号</v>
      </c>
      <c r="R13" s="595" t="str">
        <f ca="1">IFERROR(__xludf.DUMMYFUNCTION("""COMPUTED_VALUE"""),"和泉北1-20-28アトムスカイマンション506")</f>
        <v>和泉北1-20-28アトムスカイマンション506</v>
      </c>
      <c r="S13" s="595" t="str">
        <f ca="1">IFERROR(__xludf.DUMMYFUNCTION("""COMPUTED_VALUE"""),"夫婦")</f>
        <v>夫婦</v>
      </c>
      <c r="T13" s="901">
        <f ca="1">IFERROR(__xludf.DUMMYFUNCTION("""COMPUTED_VALUE"""),22500)</f>
        <v>22500</v>
      </c>
      <c r="U13" s="600">
        <f ca="1">IFERROR(__xludf.DUMMYFUNCTION("""COMPUTED_VALUE"""),46047)</f>
        <v>46047</v>
      </c>
      <c r="V13" s="600">
        <f ca="1">IFERROR(__xludf.DUMMYFUNCTION("""COMPUTED_VALUE"""),47223)</f>
        <v>47223</v>
      </c>
      <c r="W13" s="595" t="str">
        <f ca="1">IFERROR(__xludf.DUMMYFUNCTION("""COMPUTED_VALUE"""),"LJ28117156PC")</f>
        <v>LJ28117156PC</v>
      </c>
      <c r="X13" s="595"/>
      <c r="Y13" s="596"/>
      <c r="Z13" s="595" t="str">
        <f ca="1">IFERROR(__xludf.DUMMYFUNCTION("""COMPUTED_VALUE"""),"7915
B-0247915-1075")</f>
        <v>7915
B-0247915-1075</v>
      </c>
      <c r="AA13" s="595"/>
      <c r="AB13" s="595"/>
      <c r="AC13" s="595" t="str">
        <f ca="1">IFERROR(__xludf.DUMMYFUNCTION("""COMPUTED_VALUE"""),"缶詰巻締専門
2024/09/12")</f>
        <v>缶詰巻締専門
2024/09/12</v>
      </c>
      <c r="AD13" s="600"/>
      <c r="AE13" s="600">
        <f ca="1">IFERROR(__xludf.DUMMYFUNCTION("""COMPUTED_VALUE"""),45855)</f>
        <v>45855</v>
      </c>
      <c r="AF13" s="600">
        <f ca="1">IFERROR(__xludf.DUMMYFUNCTION("""COMPUTED_VALUE"""),45886)</f>
        <v>45886</v>
      </c>
      <c r="AG13" s="600"/>
      <c r="AH13" s="595"/>
      <c r="AI13" s="600"/>
      <c r="AJ13" s="595"/>
      <c r="AK13" s="595"/>
      <c r="AL13" s="595" t="str">
        <f ca="1">IFERROR(__xludf.DUMMYFUNCTION("""COMPUTED_VALUE"""),"〇")</f>
        <v>〇</v>
      </c>
      <c r="AM13" s="596">
        <f ca="1">IFERROR(__xludf.DUMMYFUNCTION("""COMPUTED_VALUE"""),45762)</f>
        <v>45762</v>
      </c>
      <c r="AN13" s="595" t="str">
        <f ca="1">IFERROR(__xludf.DUMMYFUNCTION("""COMPUTED_VALUE"""),"2025/9/15-2030/4/14")</f>
        <v>2025/9/15-2030/4/14</v>
      </c>
      <c r="AO13" s="595" t="str">
        <f ca="1">IFERROR(__xludf.DUMMYFUNCTION("""COMPUTED_VALUE"""),"ひめぎん
末広町支店")</f>
        <v>ひめぎん
末広町支店</v>
      </c>
      <c r="AP13" s="595" t="str">
        <f ca="1">IFERROR(__xludf.DUMMYFUNCTION("""COMPUTED_VALUE"""),"技能実習２号終了→特定技能１号　中温残る
一時帰国予定なし
１人部屋希望
ルオン トゥアン リンと結婚
2025/8　一時帰国後、ルオンと一緒に住む予定（ｱﾄﾑ402→ｱﾄﾑ506へ）8/21～家賃￥22500")</f>
        <v>技能実習２号終了→特定技能１号　中温残る
一時帰国予定なし
１人部屋希望
ルオン トゥアン リンと結婚
2025/8　一時帰国後、ルオンと一緒に住む予定（ｱﾄﾑ402→ｱﾄﾑ506へ）8/21～家賃￥22500</v>
      </c>
    </row>
    <row r="14" spans="1:49" ht="14.5">
      <c r="A14" s="595"/>
      <c r="B14" s="595">
        <f ca="1">IFERROR(__xludf.DUMMYFUNCTION("""COMPUTED_VALUE"""),138)</f>
        <v>138</v>
      </c>
      <c r="C14" s="595" t="str">
        <f ca="1">IFERROR(__xludf.DUMMYFUNCTION("""COMPUTED_VALUE"""),"本社")</f>
        <v>本社</v>
      </c>
      <c r="D14" s="595" t="str">
        <f ca="1">IFERROR(__xludf.DUMMYFUNCTION("""COMPUTED_VALUE"""),"ベトナム")</f>
        <v>ベトナム</v>
      </c>
      <c r="E14" s="595" t="str">
        <f ca="1">IFERROR(__xludf.DUMMYFUNCTION("""COMPUTED_VALUE"""),"07001623")</f>
        <v>07001623</v>
      </c>
      <c r="F14" s="595" t="str">
        <f ca="1">IFERROR(__xludf.DUMMYFUNCTION("""COMPUTED_VALUE"""),"/appsheet/photograph/138.写真.224956.jpg")</f>
        <v>/appsheet/photograph/138.写真.224956.jpg</v>
      </c>
      <c r="G14" s="595" t="str">
        <f ca="1">IFERROR(__xludf.DUMMYFUNCTION("""COMPUTED_VALUE"""),"レー ティ ダオ")</f>
        <v>レー ティ ダオ</v>
      </c>
      <c r="H14" s="595" t="str">
        <f ca="1">IFERROR(__xludf.DUMMYFUNCTION("""COMPUTED_VALUE"""),"LE THI DAO")</f>
        <v>LE THI DAO</v>
      </c>
      <c r="I14" s="595" t="str">
        <f ca="1">IFERROR(__xludf.DUMMYFUNCTION("""COMPUTED_VALUE"""),"ダオ")</f>
        <v>ダオ</v>
      </c>
      <c r="J14" s="595" t="str">
        <f ca="1">IFERROR(__xludf.DUMMYFUNCTION("""COMPUTED_VALUE"""),"女")</f>
        <v>女</v>
      </c>
      <c r="K14" s="600">
        <f ca="1">IFERROR(__xludf.DUMMYFUNCTION("""COMPUTED_VALUE"""),31894)</f>
        <v>31894</v>
      </c>
      <c r="L14" s="595">
        <f ca="1">IFERROR(__xludf.DUMMYFUNCTION("""COMPUTED_VALUE"""),38)</f>
        <v>38</v>
      </c>
      <c r="M14" s="595" t="str">
        <f ca="1">IFERROR(__xludf.DUMMYFUNCTION("""COMPUTED_VALUE"""),"有")</f>
        <v>有</v>
      </c>
      <c r="N14" s="595" t="str">
        <f ca="1">IFERROR(__xludf.DUMMYFUNCTION("""COMPUTED_VALUE"""),"中四国")</f>
        <v>中四国</v>
      </c>
      <c r="O14" s="900">
        <f ca="1">IFERROR(__xludf.DUMMYFUNCTION("""COMPUTED_VALUE"""),44699)</f>
        <v>44699</v>
      </c>
      <c r="P14" s="595" t="str">
        <f ca="1">IFERROR(__xludf.DUMMYFUNCTION("""COMPUTED_VALUE"""),"2030/04")</f>
        <v>2030/04</v>
      </c>
      <c r="Q14" s="595" t="str">
        <f ca="1">IFERROR(__xludf.DUMMYFUNCTION("""COMPUTED_VALUE"""),"特定技能１号")</f>
        <v>特定技能１号</v>
      </c>
      <c r="R14" s="595" t="str">
        <f ca="1">IFERROR(__xludf.DUMMYFUNCTION("""COMPUTED_VALUE"""),"和泉北1-20-28アトムスカイマンション402")</f>
        <v>和泉北1-20-28アトムスカイマンション402</v>
      </c>
      <c r="S14" s="595" t="str">
        <f ca="1">IFERROR(__xludf.DUMMYFUNCTION("""COMPUTED_VALUE"""),"個2")</f>
        <v>個2</v>
      </c>
      <c r="T14" s="901">
        <f ca="1">IFERROR(__xludf.DUMMYFUNCTION("""COMPUTED_VALUE"""),20000)</f>
        <v>20000</v>
      </c>
      <c r="U14" s="600">
        <f ca="1">IFERROR(__xludf.DUMMYFUNCTION("""COMPUTED_VALUE"""),46047)</f>
        <v>46047</v>
      </c>
      <c r="V14" s="600">
        <f ca="1">IFERROR(__xludf.DUMMYFUNCTION("""COMPUTED_VALUE"""),47223)</f>
        <v>47223</v>
      </c>
      <c r="W14" s="595" t="str">
        <f ca="1">IFERROR(__xludf.DUMMYFUNCTION("""COMPUTED_VALUE"""),"LJ48606238PC")</f>
        <v>LJ48606238PC</v>
      </c>
      <c r="X14" s="595"/>
      <c r="Y14" s="596"/>
      <c r="Z14" s="595" t="str">
        <f ca="1">IFERROR(__xludf.DUMMYFUNCTION("""COMPUTED_VALUE"""),"7916
B-0247916-1113")</f>
        <v>7916
B-0247916-1113</v>
      </c>
      <c r="AA14" s="595"/>
      <c r="AB14" s="595" t="str">
        <f ca="1">IFERROR(__xludf.DUMMYFUNCTION("""COMPUTED_VALUE"""),"N3
2024/12/01")</f>
        <v>N3
2024/12/01</v>
      </c>
      <c r="AC14" s="595" t="str">
        <f ca="1">IFERROR(__xludf.DUMMYFUNCTION("""COMPUTED_VALUE"""),"缶詰巻締専門
2024/09/12")</f>
        <v>缶詰巻締専門
2024/09/12</v>
      </c>
      <c r="AD14" s="600"/>
      <c r="AE14" s="600">
        <f ca="1">IFERROR(__xludf.DUMMYFUNCTION("""COMPUTED_VALUE"""),45846)</f>
        <v>45846</v>
      </c>
      <c r="AF14" s="600">
        <f ca="1">IFERROR(__xludf.DUMMYFUNCTION("""COMPUTED_VALUE"""),45873)</f>
        <v>45873</v>
      </c>
      <c r="AG14" s="600"/>
      <c r="AH14" s="595"/>
      <c r="AI14" s="600"/>
      <c r="AJ14" s="595"/>
      <c r="AK14" s="595"/>
      <c r="AL14" s="595" t="str">
        <f ca="1">IFERROR(__xludf.DUMMYFUNCTION("""COMPUTED_VALUE"""),"〇")</f>
        <v>〇</v>
      </c>
      <c r="AM14" s="596">
        <f ca="1">IFERROR(__xludf.DUMMYFUNCTION("""COMPUTED_VALUE"""),45762)</f>
        <v>45762</v>
      </c>
      <c r="AN14" s="595" t="str">
        <f ca="1">IFERROR(__xludf.DUMMYFUNCTION("""COMPUTED_VALUE"""),"2025/9/15-2030/4/14")</f>
        <v>2025/9/15-2030/4/14</v>
      </c>
      <c r="AO14" s="595" t="str">
        <f ca="1">IFERROR(__xludf.DUMMYFUNCTION("""COMPUTED_VALUE"""),"ひめぎん
末広町支店")</f>
        <v>ひめぎん
末広町支店</v>
      </c>
      <c r="AP14" s="595" t="str">
        <f ca="1">IFERROR(__xludf.DUMMYFUNCTION("""COMPUTED_VALUE"""),"技能実習２号終了→特定技能１号　中温残る
実習終了後、一時帰国希望
夫：今治で勤務 2025/8/21～家賃20,000-")</f>
        <v>技能実習２号終了→特定技能１号　中温残る
実習終了後、一時帰国希望
夫：今治で勤務 2025/8/21～家賃20,000-</v>
      </c>
    </row>
    <row r="15" spans="1:49" ht="14.5">
      <c r="A15" s="595"/>
      <c r="B15" s="595">
        <f ca="1">IFERROR(__xludf.DUMMYFUNCTION("""COMPUTED_VALUE"""),139)</f>
        <v>139</v>
      </c>
      <c r="C15" s="595" t="str">
        <f ca="1">IFERROR(__xludf.DUMMYFUNCTION("""COMPUTED_VALUE"""),"本社")</f>
        <v>本社</v>
      </c>
      <c r="D15" s="595" t="str">
        <f ca="1">IFERROR(__xludf.DUMMYFUNCTION("""COMPUTED_VALUE"""),"ベトナム")</f>
        <v>ベトナム</v>
      </c>
      <c r="E15" s="595" t="str">
        <f ca="1">IFERROR(__xludf.DUMMYFUNCTION("""COMPUTED_VALUE"""),"07001624")</f>
        <v>07001624</v>
      </c>
      <c r="F15" s="595" t="str">
        <f ca="1">IFERROR(__xludf.DUMMYFUNCTION("""COMPUTED_VALUE"""),"/appsheet/photograph/139.写真.035301.jpg")</f>
        <v>/appsheet/photograph/139.写真.035301.jpg</v>
      </c>
      <c r="G15" s="595" t="str">
        <f ca="1">IFERROR(__xludf.DUMMYFUNCTION("""COMPUTED_VALUE"""),"チャン ティ タイン タム")</f>
        <v>チャン ティ タイン タム</v>
      </c>
      <c r="H15" s="594" t="str">
        <f ca="1">IFERROR(__xludf.DUMMYFUNCTION("""COMPUTED_VALUE"""),"TRAN THI THANH TAM")</f>
        <v>TRAN THI THANH TAM</v>
      </c>
      <c r="I15" s="595" t="str">
        <f ca="1">IFERROR(__xludf.DUMMYFUNCTION("""COMPUTED_VALUE"""),"タインタム")</f>
        <v>タインタム</v>
      </c>
      <c r="J15" s="595" t="str">
        <f ca="1">IFERROR(__xludf.DUMMYFUNCTION("""COMPUTED_VALUE"""),"女")</f>
        <v>女</v>
      </c>
      <c r="K15" s="600">
        <f ca="1">IFERROR(__xludf.DUMMYFUNCTION("""COMPUTED_VALUE"""),37576)</f>
        <v>37576</v>
      </c>
      <c r="L15" s="595">
        <f ca="1">IFERROR(__xludf.DUMMYFUNCTION("""COMPUTED_VALUE"""),23)</f>
        <v>23</v>
      </c>
      <c r="M15" s="595"/>
      <c r="N15" s="595" t="str">
        <f ca="1">IFERROR(__xludf.DUMMYFUNCTION("""COMPUTED_VALUE"""),"中四国")</f>
        <v>中四国</v>
      </c>
      <c r="O15" s="900">
        <f ca="1">IFERROR(__xludf.DUMMYFUNCTION("""COMPUTED_VALUE"""),44699)</f>
        <v>44699</v>
      </c>
      <c r="P15" s="595" t="str">
        <f ca="1">IFERROR(__xludf.DUMMYFUNCTION("""COMPUTED_VALUE"""),"2030/04")</f>
        <v>2030/04</v>
      </c>
      <c r="Q15" s="595" t="str">
        <f ca="1">IFERROR(__xludf.DUMMYFUNCTION("""COMPUTED_VALUE"""),"特定技能１号")</f>
        <v>特定技能１号</v>
      </c>
      <c r="R15" s="595" t="str">
        <f ca="1">IFERROR(__xludf.DUMMYFUNCTION("""COMPUTED_VALUE"""),"和泉北1-20-28アトムスカイマンション402")</f>
        <v>和泉北1-20-28アトムスカイマンション402</v>
      </c>
      <c r="S15" s="595" t="str">
        <f ca="1">IFERROR(__xludf.DUMMYFUNCTION("""COMPUTED_VALUE"""),"個1")</f>
        <v>個1</v>
      </c>
      <c r="T15" s="901">
        <f ca="1">IFERROR(__xludf.DUMMYFUNCTION("""COMPUTED_VALUE"""),20000)</f>
        <v>20000</v>
      </c>
      <c r="U15" s="600">
        <f ca="1">IFERROR(__xludf.DUMMYFUNCTION("""COMPUTED_VALUE"""),46047)</f>
        <v>46047</v>
      </c>
      <c r="V15" s="600">
        <f ca="1">IFERROR(__xludf.DUMMYFUNCTION("""COMPUTED_VALUE"""),47223)</f>
        <v>47223</v>
      </c>
      <c r="W15" s="595" t="str">
        <f ca="1">IFERROR(__xludf.DUMMYFUNCTION("""COMPUTED_VALUE"""),"LJ85935256PC")</f>
        <v>LJ85935256PC</v>
      </c>
      <c r="X15" s="595"/>
      <c r="Y15" s="596"/>
      <c r="Z15" s="595" t="str">
        <f ca="1">IFERROR(__xludf.DUMMYFUNCTION("""COMPUTED_VALUE"""),"7917
B-0247917-1618")</f>
        <v>7917
B-0247917-1618</v>
      </c>
      <c r="AA15" s="595"/>
      <c r="AB15" s="595"/>
      <c r="AC15" s="595" t="str">
        <f ca="1">IFERROR(__xludf.DUMMYFUNCTION("""COMPUTED_VALUE"""),"缶詰巻締専門
2024/09/12")</f>
        <v>缶詰巻締専門
2024/09/12</v>
      </c>
      <c r="AD15" s="600"/>
      <c r="AE15" s="600">
        <f ca="1">IFERROR(__xludf.DUMMYFUNCTION("""COMPUTED_VALUE"""),45846)</f>
        <v>45846</v>
      </c>
      <c r="AF15" s="600">
        <f ca="1">IFERROR(__xludf.DUMMYFUNCTION("""COMPUTED_VALUE"""),45883)</f>
        <v>45883</v>
      </c>
      <c r="AG15" s="600"/>
      <c r="AH15" s="595"/>
      <c r="AI15" s="600"/>
      <c r="AJ15" s="595"/>
      <c r="AK15" s="595"/>
      <c r="AL15" s="595" t="str">
        <f ca="1">IFERROR(__xludf.DUMMYFUNCTION("""COMPUTED_VALUE"""),"〇")</f>
        <v>〇</v>
      </c>
      <c r="AM15" s="596">
        <f ca="1">IFERROR(__xludf.DUMMYFUNCTION("""COMPUTED_VALUE"""),45762)</f>
        <v>45762</v>
      </c>
      <c r="AN15" s="595" t="str">
        <f ca="1">IFERROR(__xludf.DUMMYFUNCTION("""COMPUTED_VALUE"""),"2025/9/15-2030/4/14")</f>
        <v>2025/9/15-2030/4/14</v>
      </c>
      <c r="AO15" s="595"/>
      <c r="AP15" s="595" t="str">
        <f ca="1">IFERROR(__xludf.DUMMYFUNCTION("""COMPUTED_VALUE"""),"技能実習２号終了→特定技能１号　中温残る
実習終了後、一時帰国希望
2025/8/21～家賃20,000-
")</f>
        <v xml:space="preserve">技能実習２号終了→特定技能１号　中温残る
実習終了後、一時帰国希望
2025/8/21～家賃20,000-
</v>
      </c>
    </row>
    <row r="16" spans="1:49" ht="14.5">
      <c r="A16" s="595"/>
      <c r="B16" s="595">
        <f ca="1">IFERROR(__xludf.DUMMYFUNCTION("""COMPUTED_VALUE"""),143)</f>
        <v>143</v>
      </c>
      <c r="C16" s="595" t="str">
        <f ca="1">IFERROR(__xludf.DUMMYFUNCTION("""COMPUTED_VALUE"""),"本社")</f>
        <v>本社</v>
      </c>
      <c r="D16" s="595" t="str">
        <f ca="1">IFERROR(__xludf.DUMMYFUNCTION("""COMPUTED_VALUE"""),"ベトナム")</f>
        <v>ベトナム</v>
      </c>
      <c r="E16" s="595" t="str">
        <f ca="1">IFERROR(__xludf.DUMMYFUNCTION("""COMPUTED_VALUE"""),"07001626")</f>
        <v>07001626</v>
      </c>
      <c r="F16" s="595" t="str">
        <f ca="1">IFERROR(__xludf.DUMMYFUNCTION("""COMPUTED_VALUE"""),"/appsheet/photograph/143.写真.035108.jpg")</f>
        <v>/appsheet/photograph/143.写真.035108.jpg</v>
      </c>
      <c r="G16" s="595" t="str">
        <f ca="1">IFERROR(__xludf.DUMMYFUNCTION("""COMPUTED_VALUE"""),"グエン ティ ホン")</f>
        <v>グエン ティ ホン</v>
      </c>
      <c r="H16" s="595" t="str">
        <f ca="1">IFERROR(__xludf.DUMMYFUNCTION("""COMPUTED_VALUE"""),"NGUYEN THI HONG")</f>
        <v>NGUYEN THI HONG</v>
      </c>
      <c r="I16" s="595" t="str">
        <f ca="1">IFERROR(__xludf.DUMMYFUNCTION("""COMPUTED_VALUE"""),"ホン")</f>
        <v>ホン</v>
      </c>
      <c r="J16" s="594" t="str">
        <f ca="1">IFERROR(__xludf.DUMMYFUNCTION("""COMPUTED_VALUE"""),"女")</f>
        <v>女</v>
      </c>
      <c r="K16" s="600">
        <f ca="1">IFERROR(__xludf.DUMMYFUNCTION("""COMPUTED_VALUE"""),32623)</f>
        <v>32623</v>
      </c>
      <c r="L16" s="595">
        <f ca="1">IFERROR(__xludf.DUMMYFUNCTION("""COMPUTED_VALUE"""),36)</f>
        <v>36</v>
      </c>
      <c r="M16" s="595" t="str">
        <f ca="1">IFERROR(__xludf.DUMMYFUNCTION("""COMPUTED_VALUE"""),"有")</f>
        <v>有</v>
      </c>
      <c r="N16" s="595" t="str">
        <f ca="1">IFERROR(__xludf.DUMMYFUNCTION("""COMPUTED_VALUE"""),"中四国")</f>
        <v>中四国</v>
      </c>
      <c r="O16" s="900">
        <f ca="1">IFERROR(__xludf.DUMMYFUNCTION("""COMPUTED_VALUE"""),44706)</f>
        <v>44706</v>
      </c>
      <c r="P16" s="595" t="str">
        <f ca="1">IFERROR(__xludf.DUMMYFUNCTION("""COMPUTED_VALUE"""),"2030/04")</f>
        <v>2030/04</v>
      </c>
      <c r="Q16" s="595" t="str">
        <f ca="1">IFERROR(__xludf.DUMMYFUNCTION("""COMPUTED_VALUE"""),"特定技能１号")</f>
        <v>特定技能１号</v>
      </c>
      <c r="R16" s="595" t="str">
        <f ca="1">IFERROR(__xludf.DUMMYFUNCTION("""COMPUTED_VALUE"""),"和泉北1-20-28アトムスカイマンション401")</f>
        <v>和泉北1-20-28アトムスカイマンション401</v>
      </c>
      <c r="S16" s="595" t="str">
        <f ca="1">IFERROR(__xludf.DUMMYFUNCTION("""COMPUTED_VALUE"""),"相2")</f>
        <v>相2</v>
      </c>
      <c r="T16" s="901">
        <f ca="1">IFERROR(__xludf.DUMMYFUNCTION("""COMPUTED_VALUE"""),10000)</f>
        <v>10000</v>
      </c>
      <c r="U16" s="600">
        <f ca="1">IFERROR(__xludf.DUMMYFUNCTION("""COMPUTED_VALUE"""),46047)</f>
        <v>46047</v>
      </c>
      <c r="V16" s="600">
        <f ca="1">IFERROR(__xludf.DUMMYFUNCTION("""COMPUTED_VALUE"""),47229)</f>
        <v>47229</v>
      </c>
      <c r="W16" s="595" t="str">
        <f ca="1">IFERROR(__xludf.DUMMYFUNCTION("""COMPUTED_VALUE"""),"LJ30488010PC")</f>
        <v>LJ30488010PC</v>
      </c>
      <c r="X16" s="595"/>
      <c r="Y16" s="596"/>
      <c r="Z16" s="595" t="str">
        <f ca="1">IFERROR(__xludf.DUMMYFUNCTION("""COMPUTED_VALUE"""),"7918
B-0247918-1761")</f>
        <v>7918
B-0247918-1761</v>
      </c>
      <c r="AA16" s="595"/>
      <c r="AB16" s="595"/>
      <c r="AC16" s="595" t="str">
        <f ca="1">IFERROR(__xludf.DUMMYFUNCTION("""COMPUTED_VALUE"""),"缶詰巻締専門
2024/09/12")</f>
        <v>缶詰巻締専門
2024/09/12</v>
      </c>
      <c r="AD16" s="600"/>
      <c r="AE16" s="600">
        <f ca="1">IFERROR(__xludf.DUMMYFUNCTION("""COMPUTED_VALUE"""),45848)</f>
        <v>45848</v>
      </c>
      <c r="AF16" s="600">
        <f ca="1">IFERROR(__xludf.DUMMYFUNCTION("""COMPUTED_VALUE"""),45887)</f>
        <v>45887</v>
      </c>
      <c r="AG16" s="600"/>
      <c r="AH16" s="595"/>
      <c r="AI16" s="600"/>
      <c r="AJ16" s="595"/>
      <c r="AK16" s="595"/>
      <c r="AL16" s="595" t="str">
        <f ca="1">IFERROR(__xludf.DUMMYFUNCTION("""COMPUTED_VALUE"""),"〇")</f>
        <v>〇</v>
      </c>
      <c r="AM16" s="596">
        <f ca="1">IFERROR(__xludf.DUMMYFUNCTION("""COMPUTED_VALUE"""),45768)</f>
        <v>45768</v>
      </c>
      <c r="AN16" s="595" t="str">
        <f ca="1">IFERROR(__xludf.DUMMYFUNCTION("""COMPUTED_VALUE"""),"2025/9/15-2030/4/14")</f>
        <v>2025/9/15-2030/4/14</v>
      </c>
      <c r="AO16" s="595" t="str">
        <f ca="1">IFERROR(__xludf.DUMMYFUNCTION("""COMPUTED_VALUE"""),"ひめぎん
末広町支店")</f>
        <v>ひめぎん
末広町支店</v>
      </c>
      <c r="AP16" s="595" t="str">
        <f ca="1">IFERROR(__xludf.DUMMYFUNCTION("""COMPUTED_VALUE"""),"2025.4.21技能実習２号終了→特定技能１号　中温残る
実習終了後、一時帰国希望
ホーチミン　有給使用
協同物産→中温へ転籍")</f>
        <v>2025.4.21技能実習２号終了→特定技能１号　中温残る
実習終了後、一時帰国希望
ホーチミン　有給使用
協同物産→中温へ転籍</v>
      </c>
    </row>
    <row r="17" spans="1:42" ht="14.5">
      <c r="A17" s="595"/>
      <c r="B17" s="595">
        <f ca="1">IFERROR(__xludf.DUMMYFUNCTION("""COMPUTED_VALUE"""),145)</f>
        <v>145</v>
      </c>
      <c r="C17" s="595" t="str">
        <f ca="1">IFERROR(__xludf.DUMMYFUNCTION("""COMPUTED_VALUE"""),"本社")</f>
        <v>本社</v>
      </c>
      <c r="D17" s="595" t="str">
        <f ca="1">IFERROR(__xludf.DUMMYFUNCTION("""COMPUTED_VALUE"""),"ベトナム")</f>
        <v>ベトナム</v>
      </c>
      <c r="E17" s="595" t="str">
        <f ca="1">IFERROR(__xludf.DUMMYFUNCTION("""COMPUTED_VALUE"""),"07001625")</f>
        <v>07001625</v>
      </c>
      <c r="F17" s="595" t="str">
        <f ca="1">IFERROR(__xludf.DUMMYFUNCTION("""COMPUTED_VALUE"""),"/appsheet/photograph/145.写真.224740.jpg")</f>
        <v>/appsheet/photograph/145.写真.224740.jpg</v>
      </c>
      <c r="G17" s="595" t="str">
        <f ca="1">IFERROR(__xludf.DUMMYFUNCTION("""COMPUTED_VALUE"""),"クアン ティ ハー")</f>
        <v>クアン ティ ハー</v>
      </c>
      <c r="H17" s="595" t="str">
        <f ca="1">IFERROR(__xludf.DUMMYFUNCTION("""COMPUTED_VALUE"""),"QUAN THI HA")</f>
        <v>QUAN THI HA</v>
      </c>
      <c r="I17" s="595" t="str">
        <f ca="1">IFERROR(__xludf.DUMMYFUNCTION("""COMPUTED_VALUE"""),"ハー")</f>
        <v>ハー</v>
      </c>
      <c r="J17" s="595" t="str">
        <f ca="1">IFERROR(__xludf.DUMMYFUNCTION("""COMPUTED_VALUE"""),"女")</f>
        <v>女</v>
      </c>
      <c r="K17" s="600">
        <f ca="1">IFERROR(__xludf.DUMMYFUNCTION("""COMPUTED_VALUE"""),33172)</f>
        <v>33172</v>
      </c>
      <c r="L17" s="595">
        <f ca="1">IFERROR(__xludf.DUMMYFUNCTION("""COMPUTED_VALUE"""),35)</f>
        <v>35</v>
      </c>
      <c r="M17" s="595"/>
      <c r="N17" s="595" t="str">
        <f ca="1">IFERROR(__xludf.DUMMYFUNCTION("""COMPUTED_VALUE"""),"中四国")</f>
        <v>中四国</v>
      </c>
      <c r="O17" s="900">
        <f ca="1">IFERROR(__xludf.DUMMYFUNCTION("""COMPUTED_VALUE"""),44706)</f>
        <v>44706</v>
      </c>
      <c r="P17" s="595" t="str">
        <f ca="1">IFERROR(__xludf.DUMMYFUNCTION("""COMPUTED_VALUE"""),"2030/04")</f>
        <v>2030/04</v>
      </c>
      <c r="Q17" s="595" t="str">
        <f ca="1">IFERROR(__xludf.DUMMYFUNCTION("""COMPUTED_VALUE"""),"特定技能１号")</f>
        <v>特定技能１号</v>
      </c>
      <c r="R17" s="595" t="str">
        <f ca="1">IFERROR(__xludf.DUMMYFUNCTION("""COMPUTED_VALUE"""),"和泉北1-20-28アトムスカイマンション401")</f>
        <v>和泉北1-20-28アトムスカイマンション401</v>
      </c>
      <c r="S17" s="595" t="str">
        <f ca="1">IFERROR(__xludf.DUMMYFUNCTION("""COMPUTED_VALUE"""),"相3")</f>
        <v>相3</v>
      </c>
      <c r="T17" s="901">
        <f ca="1">IFERROR(__xludf.DUMMYFUNCTION("""COMPUTED_VALUE"""),10000)</f>
        <v>10000</v>
      </c>
      <c r="U17" s="600">
        <f ca="1">IFERROR(__xludf.DUMMYFUNCTION("""COMPUTED_VALUE"""),46047)</f>
        <v>46047</v>
      </c>
      <c r="V17" s="600">
        <f ca="1">IFERROR(__xludf.DUMMYFUNCTION("""COMPUTED_VALUE"""),47229)</f>
        <v>47229</v>
      </c>
      <c r="W17" s="595" t="str">
        <f ca="1">IFERROR(__xludf.DUMMYFUNCTION("""COMPUTED_VALUE"""),"LJ12119790PC")</f>
        <v>LJ12119790PC</v>
      </c>
      <c r="X17" s="595"/>
      <c r="Y17" s="596"/>
      <c r="Z17" s="595" t="str">
        <f ca="1">IFERROR(__xludf.DUMMYFUNCTION("""COMPUTED_VALUE"""),"7920
B-0247920-1767")</f>
        <v>7920
B-0247920-1767</v>
      </c>
      <c r="AA17" s="595"/>
      <c r="AB17" s="595"/>
      <c r="AC17" s="595" t="str">
        <f ca="1">IFERROR(__xludf.DUMMYFUNCTION("""COMPUTED_VALUE"""),"缶詰巻締専門
2024/09/12")</f>
        <v>缶詰巻締専門
2024/09/12</v>
      </c>
      <c r="AD17" s="600"/>
      <c r="AE17" s="600"/>
      <c r="AF17" s="600"/>
      <c r="AG17" s="600"/>
      <c r="AH17" s="595" t="str">
        <f ca="1">IFERROR(__xludf.DUMMYFUNCTION("""COMPUTED_VALUE"""),"一時帰国")</f>
        <v>一時帰国</v>
      </c>
      <c r="AI17" s="600"/>
      <c r="AJ17" s="595"/>
      <c r="AK17" s="595"/>
      <c r="AL17" s="595" t="str">
        <f ca="1">IFERROR(__xludf.DUMMYFUNCTION("""COMPUTED_VALUE"""),"〇")</f>
        <v>〇</v>
      </c>
      <c r="AM17" s="596">
        <f ca="1">IFERROR(__xludf.DUMMYFUNCTION("""COMPUTED_VALUE"""),45768)</f>
        <v>45768</v>
      </c>
      <c r="AN17" s="595" t="str">
        <f ca="1">IFERROR(__xludf.DUMMYFUNCTION("""COMPUTED_VALUE"""),"2025/8/1～2030/3/31")</f>
        <v>2025/8/1～2030/3/31</v>
      </c>
      <c r="AO17" s="595" t="str">
        <f ca="1">IFERROR(__xludf.DUMMYFUNCTION("""COMPUTED_VALUE"""),"ひめぎん
末広町支店")</f>
        <v>ひめぎん
末広町支店</v>
      </c>
      <c r="AP17" s="595" t="str">
        <f ca="1">IFERROR(__xludf.DUMMYFUNCTION("""COMPUTED_VALUE"""),"2025.4.21技能実習２号終了→特定技能１号　中温残る
実習終了後、一時帰国希望
協同物産→中温へ転籍")</f>
        <v>2025.4.21技能実習２号終了→特定技能１号　中温残る
実習終了後、一時帰国希望
協同物産→中温へ転籍</v>
      </c>
    </row>
    <row r="18" spans="1:42" ht="14.5">
      <c r="A18" s="595"/>
      <c r="B18" s="595">
        <f ca="1">IFERROR(__xludf.DUMMYFUNCTION("""COMPUTED_VALUE"""),146)</f>
        <v>146</v>
      </c>
      <c r="C18" s="595" t="str">
        <f ca="1">IFERROR(__xludf.DUMMYFUNCTION("""COMPUTED_VALUE"""),"本社")</f>
        <v>本社</v>
      </c>
      <c r="D18" s="595" t="str">
        <f ca="1">IFERROR(__xludf.DUMMYFUNCTION("""COMPUTED_VALUE"""),"ベトナム")</f>
        <v>ベトナム</v>
      </c>
      <c r="E18" s="595" t="str">
        <f ca="1">IFERROR(__xludf.DUMMYFUNCTION("""COMPUTED_VALUE"""),"08004401")</f>
        <v>08004401</v>
      </c>
      <c r="F18" s="595" t="str">
        <f ca="1">IFERROR(__xludf.DUMMYFUNCTION("""COMPUTED_VALUE"""),"/appsheet/photograph/146.写真.035436.jpg")</f>
        <v>/appsheet/photograph/146.写真.035436.jpg</v>
      </c>
      <c r="G18" s="595" t="str">
        <f ca="1">IFERROR(__xludf.DUMMYFUNCTION("""COMPUTED_VALUE"""),"チン グエン ザー ハン")</f>
        <v>チン グエン ザー ハン</v>
      </c>
      <c r="H18" s="595" t="str">
        <f ca="1">IFERROR(__xludf.DUMMYFUNCTION("""COMPUTED_VALUE"""),"TRINH NGUYEN GIA HAN")</f>
        <v>TRINH NGUYEN GIA HAN</v>
      </c>
      <c r="I18" s="595" t="str">
        <f ca="1">IFERROR(__xludf.DUMMYFUNCTION("""COMPUTED_VALUE"""),"グエン")</f>
        <v>グエン</v>
      </c>
      <c r="J18" s="595" t="str">
        <f ca="1">IFERROR(__xludf.DUMMYFUNCTION("""COMPUTED_VALUE"""),"女")</f>
        <v>女</v>
      </c>
      <c r="K18" s="600">
        <f ca="1">IFERROR(__xludf.DUMMYFUNCTION("""COMPUTED_VALUE"""),38293)</f>
        <v>38293</v>
      </c>
      <c r="L18" s="595">
        <f ca="1">IFERROR(__xludf.DUMMYFUNCTION("""COMPUTED_VALUE"""),21)</f>
        <v>21</v>
      </c>
      <c r="M18" s="595" t="str">
        <f ca="1">IFERROR(__xludf.DUMMYFUNCTION("""COMPUTED_VALUE"""),"無")</f>
        <v>無</v>
      </c>
      <c r="N18" s="595" t="str">
        <f ca="1">IFERROR(__xludf.DUMMYFUNCTION("""COMPUTED_VALUE"""),"関東食肉")</f>
        <v>関東食肉</v>
      </c>
      <c r="O18" s="900">
        <f ca="1">IFERROR(__xludf.DUMMYFUNCTION("""COMPUTED_VALUE"""),45086)</f>
        <v>45086</v>
      </c>
      <c r="P18" s="595" t="str">
        <f ca="1">IFERROR(__xludf.DUMMYFUNCTION("""COMPUTED_VALUE"""),"2026/05")</f>
        <v>2026/05</v>
      </c>
      <c r="Q18" s="595" t="str">
        <f ca="1">IFERROR(__xludf.DUMMYFUNCTION("""COMPUTED_VALUE"""),"技能実習2号")</f>
        <v>技能実習2号</v>
      </c>
      <c r="R18" s="595" t="str">
        <f ca="1">IFERROR(__xludf.DUMMYFUNCTION("""COMPUTED_VALUE"""),"和泉北1-20-28アトムスカイマンション602")</f>
        <v>和泉北1-20-28アトムスカイマンション602</v>
      </c>
      <c r="S18" s="595" t="str">
        <f ca="1">IFERROR(__xludf.DUMMYFUNCTION("""COMPUTED_VALUE"""),"相1")</f>
        <v>相1</v>
      </c>
      <c r="T18" s="901">
        <f ca="1">IFERROR(__xludf.DUMMYFUNCTION("""COMPUTED_VALUE"""),10000)</f>
        <v>10000</v>
      </c>
      <c r="U18" s="600">
        <f ca="1">IFERROR(__xludf.DUMMYFUNCTION("""COMPUTED_VALUE"""),44876)</f>
        <v>44876</v>
      </c>
      <c r="V18" s="600">
        <f ca="1">IFERROR(__xludf.DUMMYFUNCTION("""COMPUTED_VALUE"""),46172)</f>
        <v>46172</v>
      </c>
      <c r="W18" s="595" t="str">
        <f ca="1">IFERROR(__xludf.DUMMYFUNCTION("""COMPUTED_VALUE"""),"UH53838943PC")</f>
        <v>UH53838943PC</v>
      </c>
      <c r="X18" s="595"/>
      <c r="Y18" s="596"/>
      <c r="Z18" s="595" t="str">
        <f ca="1">IFERROR(__xludf.DUMMYFUNCTION("""COMPUTED_VALUE"""),"2319
B-029656-X199")</f>
        <v>2319
B-029656-X199</v>
      </c>
      <c r="AA18" s="595"/>
      <c r="AB18" s="595"/>
      <c r="AC18" s="595"/>
      <c r="AD18" s="600"/>
      <c r="AE18" s="600"/>
      <c r="AF18" s="600"/>
      <c r="AG18" s="600"/>
      <c r="AH18" s="595" t="str">
        <f ca="1">IFERROR(__xludf.DUMMYFUNCTION("""COMPUTED_VALUE"""),"退職予定")</f>
        <v>退職予定</v>
      </c>
      <c r="AI18" s="600">
        <f ca="1">IFERROR(__xludf.DUMMYFUNCTION("""COMPUTED_VALUE"""),46151)</f>
        <v>46151</v>
      </c>
      <c r="AJ18" s="595" t="str">
        <f ca="1">IFERROR(__xludf.DUMMYFUNCTION("""COMPUTED_VALUE"""),"実習2号終了で
転職")</f>
        <v>実習2号終了で
転職</v>
      </c>
      <c r="AK18" s="595"/>
      <c r="AL18" s="595"/>
      <c r="AM18" s="596"/>
      <c r="AN18" s="595" t="str">
        <f ca="1">IFERROR(__xludf.DUMMYFUNCTION("""COMPUTED_VALUE"""),"―")</f>
        <v>―</v>
      </c>
      <c r="AO18" s="595"/>
      <c r="AP18" s="595" t="str">
        <f ca="1">IFERROR(__xludf.DUMMYFUNCTION("""COMPUTED_VALUE"""),"2024.5.9～実習2号へ")</f>
        <v>2024.5.9～実習2号へ</v>
      </c>
    </row>
    <row r="19" spans="1:42" ht="14.5">
      <c r="A19" s="595"/>
      <c r="B19" s="595">
        <f ca="1">IFERROR(__xludf.DUMMYFUNCTION("""COMPUTED_VALUE"""),147)</f>
        <v>147</v>
      </c>
      <c r="C19" s="595" t="str">
        <f ca="1">IFERROR(__xludf.DUMMYFUNCTION("""COMPUTED_VALUE"""),"本社")</f>
        <v>本社</v>
      </c>
      <c r="D19" s="595" t="str">
        <f ca="1">IFERROR(__xludf.DUMMYFUNCTION("""COMPUTED_VALUE"""),"ベトナム")</f>
        <v>ベトナム</v>
      </c>
      <c r="E19" s="595" t="str">
        <f ca="1">IFERROR(__xludf.DUMMYFUNCTION("""COMPUTED_VALUE"""),"08004402")</f>
        <v>08004402</v>
      </c>
      <c r="F19" s="595" t="str">
        <f ca="1">IFERROR(__xludf.DUMMYFUNCTION("""COMPUTED_VALUE"""),"/appsheet/photograph/147.写真.035209.jpg")</f>
        <v>/appsheet/photograph/147.写真.035209.jpg</v>
      </c>
      <c r="G19" s="595" t="str">
        <f ca="1">IFERROR(__xludf.DUMMYFUNCTION("""COMPUTED_VALUE"""),"グエン タオ ヴァン")</f>
        <v>グエン タオ ヴァン</v>
      </c>
      <c r="H19" s="595" t="str">
        <f ca="1">IFERROR(__xludf.DUMMYFUNCTION("""COMPUTED_VALUE"""),"NGUYEN THAO VAN")</f>
        <v>NGUYEN THAO VAN</v>
      </c>
      <c r="I19" s="595" t="str">
        <f ca="1">IFERROR(__xludf.DUMMYFUNCTION("""COMPUTED_VALUE"""),"ヴァン")</f>
        <v>ヴァン</v>
      </c>
      <c r="J19" s="595" t="str">
        <f ca="1">IFERROR(__xludf.DUMMYFUNCTION("""COMPUTED_VALUE"""),"女")</f>
        <v>女</v>
      </c>
      <c r="K19" s="600">
        <f ca="1">IFERROR(__xludf.DUMMYFUNCTION("""COMPUTED_VALUE"""),38043)</f>
        <v>38043</v>
      </c>
      <c r="L19" s="595">
        <f ca="1">IFERROR(__xludf.DUMMYFUNCTION("""COMPUTED_VALUE"""),22)</f>
        <v>22</v>
      </c>
      <c r="M19" s="595" t="str">
        <f ca="1">IFERROR(__xludf.DUMMYFUNCTION("""COMPUTED_VALUE"""),"無")</f>
        <v>無</v>
      </c>
      <c r="N19" s="595" t="str">
        <f ca="1">IFERROR(__xludf.DUMMYFUNCTION("""COMPUTED_VALUE"""),"関東食肉")</f>
        <v>関東食肉</v>
      </c>
      <c r="O19" s="900">
        <f ca="1">IFERROR(__xludf.DUMMYFUNCTION("""COMPUTED_VALUE"""),45086)</f>
        <v>45086</v>
      </c>
      <c r="P19" s="595" t="str">
        <f ca="1">IFERROR(__xludf.DUMMYFUNCTION("""COMPUTED_VALUE"""),"2026/05")</f>
        <v>2026/05</v>
      </c>
      <c r="Q19" s="595" t="str">
        <f ca="1">IFERROR(__xludf.DUMMYFUNCTION("""COMPUTED_VALUE"""),"技能実習2号")</f>
        <v>技能実習2号</v>
      </c>
      <c r="R19" s="595" t="str">
        <f ca="1">IFERROR(__xludf.DUMMYFUNCTION("""COMPUTED_VALUE"""),"和泉北1-20-28アトムスカイマンション602")</f>
        <v>和泉北1-20-28アトムスカイマンション602</v>
      </c>
      <c r="S19" s="595" t="str">
        <f ca="1">IFERROR(__xludf.DUMMYFUNCTION("""COMPUTED_VALUE"""),"相1")</f>
        <v>相1</v>
      </c>
      <c r="T19" s="901">
        <f ca="1">IFERROR(__xludf.DUMMYFUNCTION("""COMPUTED_VALUE"""),10000)</f>
        <v>10000</v>
      </c>
      <c r="U19" s="600">
        <f ca="1">IFERROR(__xludf.DUMMYFUNCTION("""COMPUTED_VALUE"""),44876)</f>
        <v>44876</v>
      </c>
      <c r="V19" s="600">
        <f ca="1">IFERROR(__xludf.DUMMYFUNCTION("""COMPUTED_VALUE"""),46172)</f>
        <v>46172</v>
      </c>
      <c r="W19" s="595" t="str">
        <f ca="1">IFERROR(__xludf.DUMMYFUNCTION("""COMPUTED_VALUE"""),"UH17624448PC")</f>
        <v>UH17624448PC</v>
      </c>
      <c r="X19" s="595"/>
      <c r="Y19" s="596"/>
      <c r="Z19" s="595" t="str">
        <f ca="1">IFERROR(__xludf.DUMMYFUNCTION("""COMPUTED_VALUE"""),"2320
B-0296569-X020")</f>
        <v>2320
B-0296569-X020</v>
      </c>
      <c r="AA19" s="595"/>
      <c r="AB19" s="595"/>
      <c r="AC19" s="595"/>
      <c r="AD19" s="600"/>
      <c r="AE19" s="600">
        <f ca="1">IFERROR(__xludf.DUMMYFUNCTION("""COMPUTED_VALUE"""),46224)</f>
        <v>46224</v>
      </c>
      <c r="AF19" s="600">
        <f ca="1">IFERROR(__xludf.DUMMYFUNCTION("""COMPUTED_VALUE"""),46266)</f>
        <v>46266</v>
      </c>
      <c r="AG19" s="600"/>
      <c r="AH19" s="595" t="str">
        <f ca="1">IFERROR(__xludf.DUMMYFUNCTION("""COMPUTED_VALUE"""),"一時帰国予定")</f>
        <v>一時帰国予定</v>
      </c>
      <c r="AI19" s="600"/>
      <c r="AJ19" s="595" t="str">
        <f ca="1">IFERROR(__xludf.DUMMYFUNCTION("""COMPUTED_VALUE"""),"実習終了に伴う
一時帰国71,965
広島＝ハノイ")</f>
        <v>実習終了に伴う
一時帰国71,965
広島＝ハノイ</v>
      </c>
      <c r="AK19" s="595"/>
      <c r="AL19" s="595"/>
      <c r="AM19" s="596"/>
      <c r="AN19" s="595" t="str">
        <f ca="1">IFERROR(__xludf.DUMMYFUNCTION("""COMPUTED_VALUE"""),"―")</f>
        <v>―</v>
      </c>
      <c r="AO19" s="595"/>
      <c r="AP19" s="595" t="str">
        <f ca="1">IFERROR(__xludf.DUMMYFUNCTION("""COMPUTED_VALUE"""),"2024.5.9～実習2号へ")</f>
        <v>2024.5.9～実習2号へ</v>
      </c>
    </row>
    <row r="20" spans="1:42" ht="14.5">
      <c r="A20" s="595"/>
      <c r="B20" s="595">
        <f ca="1">IFERROR(__xludf.DUMMYFUNCTION("""COMPUTED_VALUE"""),148)</f>
        <v>148</v>
      </c>
      <c r="C20" s="595" t="str">
        <f ca="1">IFERROR(__xludf.DUMMYFUNCTION("""COMPUTED_VALUE"""),"本社")</f>
        <v>本社</v>
      </c>
      <c r="D20" s="595" t="str">
        <f ca="1">IFERROR(__xludf.DUMMYFUNCTION("""COMPUTED_VALUE"""),"ベトナム")</f>
        <v>ベトナム</v>
      </c>
      <c r="E20" s="595" t="str">
        <f ca="1">IFERROR(__xludf.DUMMYFUNCTION("""COMPUTED_VALUE"""),"08004403")</f>
        <v>08004403</v>
      </c>
      <c r="F20" s="595" t="str">
        <f ca="1">IFERROR(__xludf.DUMMYFUNCTION("""COMPUTED_VALUE"""),"/appsheet/photograph/148.写真.234804.jpg")</f>
        <v>/appsheet/photograph/148.写真.234804.jpg</v>
      </c>
      <c r="G20" s="595" t="str">
        <f ca="1">IFERROR(__xludf.DUMMYFUNCTION("""COMPUTED_VALUE"""),"グエン ティ チュク アイン")</f>
        <v>グエン ティ チュク アイン</v>
      </c>
      <c r="H20" s="595" t="str">
        <f ca="1">IFERROR(__xludf.DUMMYFUNCTION("""COMPUTED_VALUE"""),"NGUYEN THI CHUC ANH")</f>
        <v>NGUYEN THI CHUC ANH</v>
      </c>
      <c r="I20" s="595" t="str">
        <f ca="1">IFERROR(__xludf.DUMMYFUNCTION("""COMPUTED_VALUE"""),"アイン")</f>
        <v>アイン</v>
      </c>
      <c r="J20" s="595" t="str">
        <f ca="1">IFERROR(__xludf.DUMMYFUNCTION("""COMPUTED_VALUE"""),"女")</f>
        <v>女</v>
      </c>
      <c r="K20" s="600">
        <f ca="1">IFERROR(__xludf.DUMMYFUNCTION("""COMPUTED_VALUE"""),38206)</f>
        <v>38206</v>
      </c>
      <c r="L20" s="595">
        <f ca="1">IFERROR(__xludf.DUMMYFUNCTION("""COMPUTED_VALUE"""),21)</f>
        <v>21</v>
      </c>
      <c r="M20" s="595" t="str">
        <f ca="1">IFERROR(__xludf.DUMMYFUNCTION("""COMPUTED_VALUE"""),"無")</f>
        <v>無</v>
      </c>
      <c r="N20" s="595" t="str">
        <f ca="1">IFERROR(__xludf.DUMMYFUNCTION("""COMPUTED_VALUE"""),"関東食肉")</f>
        <v>関東食肉</v>
      </c>
      <c r="O20" s="900">
        <f ca="1">IFERROR(__xludf.DUMMYFUNCTION("""COMPUTED_VALUE"""),45086)</f>
        <v>45086</v>
      </c>
      <c r="P20" s="595" t="str">
        <f ca="1">IFERROR(__xludf.DUMMYFUNCTION("""COMPUTED_VALUE"""),"2026/05")</f>
        <v>2026/05</v>
      </c>
      <c r="Q20" s="595" t="str">
        <f ca="1">IFERROR(__xludf.DUMMYFUNCTION("""COMPUTED_VALUE"""),"技能実習2号")</f>
        <v>技能実習2号</v>
      </c>
      <c r="R20" s="595" t="str">
        <f ca="1">IFERROR(__xludf.DUMMYFUNCTION("""COMPUTED_VALUE"""),"和泉北1-20-28アトムスカイマンション602")</f>
        <v>和泉北1-20-28アトムスカイマンション602</v>
      </c>
      <c r="S20" s="595" t="str">
        <f ca="1">IFERROR(__xludf.DUMMYFUNCTION("""COMPUTED_VALUE"""),"相2")</f>
        <v>相2</v>
      </c>
      <c r="T20" s="901">
        <f ca="1">IFERROR(__xludf.DUMMYFUNCTION("""COMPUTED_VALUE"""),10000)</f>
        <v>10000</v>
      </c>
      <c r="U20" s="600">
        <f ca="1">IFERROR(__xludf.DUMMYFUNCTION("""COMPUTED_VALUE"""),44876)</f>
        <v>44876</v>
      </c>
      <c r="V20" s="600">
        <f ca="1">IFERROR(__xludf.DUMMYFUNCTION("""COMPUTED_VALUE"""),46172)</f>
        <v>46172</v>
      </c>
      <c r="W20" s="595" t="str">
        <f ca="1">IFERROR(__xludf.DUMMYFUNCTION("""COMPUTED_VALUE"""),"UH57268708PC")</f>
        <v>UH57268708PC</v>
      </c>
      <c r="X20" s="595"/>
      <c r="Y20" s="596"/>
      <c r="Z20" s="595" t="str">
        <f ca="1">IFERROR(__xludf.DUMMYFUNCTION("""COMPUTED_VALUE"""),"2321
B-0296571-X136")</f>
        <v>2321
B-0296571-X136</v>
      </c>
      <c r="AA20" s="595"/>
      <c r="AB20" s="595"/>
      <c r="AC20" s="595"/>
      <c r="AD20" s="600"/>
      <c r="AE20" s="600">
        <f ca="1">IFERROR(__xludf.DUMMYFUNCTION("""COMPUTED_VALUE"""),46156)</f>
        <v>46156</v>
      </c>
      <c r="AF20" s="600">
        <f ca="1">IFERROR(__xludf.DUMMYFUNCTION("""COMPUTED_VALUE"""),46198)</f>
        <v>46198</v>
      </c>
      <c r="AG20" s="600"/>
      <c r="AH20" s="595"/>
      <c r="AI20" s="600"/>
      <c r="AJ20" s="595" t="str">
        <f ca="1">IFERROR(__xludf.DUMMYFUNCTION("""COMPUTED_VALUE"""),"帰国費用　広島⇔ハノイ　72,317-")</f>
        <v>帰国費用　広島⇔ハノイ　72,317-</v>
      </c>
      <c r="AK20" s="595"/>
      <c r="AL20" s="595"/>
      <c r="AM20" s="596"/>
      <c r="AN20" s="595" t="str">
        <f ca="1">IFERROR(__xludf.DUMMYFUNCTION("""COMPUTED_VALUE"""),"―")</f>
        <v>―</v>
      </c>
      <c r="AO20" s="595"/>
      <c r="AP20" s="595" t="str">
        <f ca="1">IFERROR(__xludf.DUMMYFUNCTION("""COMPUTED_VALUE"""),"2024.5.9～実習2号へ")</f>
        <v>2024.5.9～実習2号へ</v>
      </c>
    </row>
    <row r="21" spans="1:42" ht="14.5">
      <c r="A21" s="595"/>
      <c r="B21" s="595">
        <f ca="1">IFERROR(__xludf.DUMMYFUNCTION("""COMPUTED_VALUE"""),149)</f>
        <v>149</v>
      </c>
      <c r="C21" s="595" t="str">
        <f ca="1">IFERROR(__xludf.DUMMYFUNCTION("""COMPUTED_VALUE"""),"本社")</f>
        <v>本社</v>
      </c>
      <c r="D21" s="595" t="str">
        <f ca="1">IFERROR(__xludf.DUMMYFUNCTION("""COMPUTED_VALUE"""),"ベトナム")</f>
        <v>ベトナム</v>
      </c>
      <c r="E21" s="595" t="str">
        <f ca="1">IFERROR(__xludf.DUMMYFUNCTION("""COMPUTED_VALUE"""),"08004404")</f>
        <v>08004404</v>
      </c>
      <c r="F21" s="595" t="str">
        <f ca="1">IFERROR(__xludf.DUMMYFUNCTION("""COMPUTED_VALUE"""),"/appsheet/photograph/149.写真.235041.jpg")</f>
        <v>/appsheet/photograph/149.写真.235041.jpg</v>
      </c>
      <c r="G21" s="595" t="str">
        <f ca="1">IFERROR(__xludf.DUMMYFUNCTION("""COMPUTED_VALUE"""),"チン ホアイ チャン")</f>
        <v>チン ホアイ チャン</v>
      </c>
      <c r="H21" s="595" t="str">
        <f ca="1">IFERROR(__xludf.DUMMYFUNCTION("""COMPUTED_VALUE"""),"TRINH HOAI TRANG")</f>
        <v>TRINH HOAI TRANG</v>
      </c>
      <c r="I21" s="595" t="str">
        <f ca="1">IFERROR(__xludf.DUMMYFUNCTION("""COMPUTED_VALUE"""),"ホアイ")</f>
        <v>ホアイ</v>
      </c>
      <c r="J21" s="595" t="str">
        <f ca="1">IFERROR(__xludf.DUMMYFUNCTION("""COMPUTED_VALUE"""),"女")</f>
        <v>女</v>
      </c>
      <c r="K21" s="600">
        <f ca="1">IFERROR(__xludf.DUMMYFUNCTION("""COMPUTED_VALUE"""),37960)</f>
        <v>37960</v>
      </c>
      <c r="L21" s="595">
        <f ca="1">IFERROR(__xludf.DUMMYFUNCTION("""COMPUTED_VALUE"""),22)</f>
        <v>22</v>
      </c>
      <c r="M21" s="595" t="str">
        <f ca="1">IFERROR(__xludf.DUMMYFUNCTION("""COMPUTED_VALUE"""),"無")</f>
        <v>無</v>
      </c>
      <c r="N21" s="595" t="str">
        <f ca="1">IFERROR(__xludf.DUMMYFUNCTION("""COMPUTED_VALUE"""),"関東食肉")</f>
        <v>関東食肉</v>
      </c>
      <c r="O21" s="900">
        <f ca="1">IFERROR(__xludf.DUMMYFUNCTION("""COMPUTED_VALUE"""),45086)</f>
        <v>45086</v>
      </c>
      <c r="P21" s="595" t="str">
        <f ca="1">IFERROR(__xludf.DUMMYFUNCTION("""COMPUTED_VALUE"""),"2026/05")</f>
        <v>2026/05</v>
      </c>
      <c r="Q21" s="595" t="str">
        <f ca="1">IFERROR(__xludf.DUMMYFUNCTION("""COMPUTED_VALUE"""),"技能実習2号")</f>
        <v>技能実習2号</v>
      </c>
      <c r="R21" s="595" t="str">
        <f ca="1">IFERROR(__xludf.DUMMYFUNCTION("""COMPUTED_VALUE"""),"和泉北1-20-28アトムスカイマンション602")</f>
        <v>和泉北1-20-28アトムスカイマンション602</v>
      </c>
      <c r="S21" s="595" t="str">
        <f ca="1">IFERROR(__xludf.DUMMYFUNCTION("""COMPUTED_VALUE"""),"相2")</f>
        <v>相2</v>
      </c>
      <c r="T21" s="901">
        <f ca="1">IFERROR(__xludf.DUMMYFUNCTION("""COMPUTED_VALUE"""),10000)</f>
        <v>10000</v>
      </c>
      <c r="U21" s="600">
        <f ca="1">IFERROR(__xludf.DUMMYFUNCTION("""COMPUTED_VALUE"""),44876)</f>
        <v>44876</v>
      </c>
      <c r="V21" s="600">
        <f ca="1">IFERROR(__xludf.DUMMYFUNCTION("""COMPUTED_VALUE"""),46172)</f>
        <v>46172</v>
      </c>
      <c r="W21" s="595" t="str">
        <f ca="1">IFERROR(__xludf.DUMMYFUNCTION("""COMPUTED_VALUE"""),"UH49506118PC")</f>
        <v>UH49506118PC</v>
      </c>
      <c r="X21" s="595"/>
      <c r="Y21" s="596"/>
      <c r="Z21" s="595" t="str">
        <f ca="1">IFERROR(__xludf.DUMMYFUNCTION("""COMPUTED_VALUE"""),"2322
B-0296569-X027")</f>
        <v>2322
B-0296569-X027</v>
      </c>
      <c r="AA21" s="595"/>
      <c r="AB21" s="595"/>
      <c r="AC21" s="595"/>
      <c r="AD21" s="600"/>
      <c r="AE21" s="600"/>
      <c r="AF21" s="600"/>
      <c r="AG21" s="600"/>
      <c r="AH21" s="595"/>
      <c r="AI21" s="600"/>
      <c r="AJ21" s="595" t="str">
        <f ca="1">IFERROR(__xludf.DUMMYFUNCTION("""COMPUTED_VALUE"""),"関空→ダナン5/18発 86,810円")</f>
        <v>関空→ダナン5/18発 86,810円</v>
      </c>
      <c r="AK21" s="595"/>
      <c r="AL21" s="595"/>
      <c r="AM21" s="596"/>
      <c r="AN21" s="595" t="str">
        <f ca="1">IFERROR(__xludf.DUMMYFUNCTION("""COMPUTED_VALUE"""),"―")</f>
        <v>―</v>
      </c>
      <c r="AO21" s="595"/>
      <c r="AP21" s="595" t="str">
        <f ca="1">IFERROR(__xludf.DUMMYFUNCTION("""COMPUTED_VALUE"""),"2024.5.9～実習2号へ")</f>
        <v>2024.5.9～実習2号へ</v>
      </c>
    </row>
    <row r="22" spans="1:42" ht="14.5">
      <c r="A22" s="595"/>
      <c r="B22" s="595">
        <f ca="1">IFERROR(__xludf.DUMMYFUNCTION("""COMPUTED_VALUE"""),150)</f>
        <v>150</v>
      </c>
      <c r="C22" s="595" t="str">
        <f ca="1">IFERROR(__xludf.DUMMYFUNCTION("""COMPUTED_VALUE"""),"本社")</f>
        <v>本社</v>
      </c>
      <c r="D22" s="595" t="str">
        <f ca="1">IFERROR(__xludf.DUMMYFUNCTION("""COMPUTED_VALUE"""),"ベトナム")</f>
        <v>ベトナム</v>
      </c>
      <c r="E22" s="595" t="str">
        <f ca="1">IFERROR(__xludf.DUMMYFUNCTION("""COMPUTED_VALUE"""),"08004405")</f>
        <v>08004405</v>
      </c>
      <c r="F22" s="595" t="str">
        <f ca="1">IFERROR(__xludf.DUMMYFUNCTION("""COMPUTED_VALUE"""),"/appsheet/photograph/150.写真.235006.jpg")</f>
        <v>/appsheet/photograph/150.写真.235006.jpg</v>
      </c>
      <c r="G22" s="595" t="str">
        <f ca="1">IFERROR(__xludf.DUMMYFUNCTION("""COMPUTED_VALUE"""),"ファム ターイ フォン ウエン")</f>
        <v>ファム ターイ フォン ウエン</v>
      </c>
      <c r="H22" s="595" t="str">
        <f ca="1">IFERROR(__xludf.DUMMYFUNCTION("""COMPUTED_VALUE"""),"PHAM THAI PHUONG UYEN")</f>
        <v>PHAM THAI PHUONG UYEN</v>
      </c>
      <c r="I22" s="595" t="str">
        <f ca="1">IFERROR(__xludf.DUMMYFUNCTION("""COMPUTED_VALUE"""),"ウエン")</f>
        <v>ウエン</v>
      </c>
      <c r="J22" s="595" t="str">
        <f ca="1">IFERROR(__xludf.DUMMYFUNCTION("""COMPUTED_VALUE"""),"女")</f>
        <v>女</v>
      </c>
      <c r="K22" s="600">
        <f ca="1">IFERROR(__xludf.DUMMYFUNCTION("""COMPUTED_VALUE"""),37935)</f>
        <v>37935</v>
      </c>
      <c r="L22" s="595">
        <f ca="1">IFERROR(__xludf.DUMMYFUNCTION("""COMPUTED_VALUE"""),22)</f>
        <v>22</v>
      </c>
      <c r="M22" s="595" t="str">
        <f ca="1">IFERROR(__xludf.DUMMYFUNCTION("""COMPUTED_VALUE"""),"無")</f>
        <v>無</v>
      </c>
      <c r="N22" s="595" t="str">
        <f ca="1">IFERROR(__xludf.DUMMYFUNCTION("""COMPUTED_VALUE"""),"関東食肉")</f>
        <v>関東食肉</v>
      </c>
      <c r="O22" s="900">
        <f ca="1">IFERROR(__xludf.DUMMYFUNCTION("""COMPUTED_VALUE"""),45086)</f>
        <v>45086</v>
      </c>
      <c r="P22" s="595" t="str">
        <f ca="1">IFERROR(__xludf.DUMMYFUNCTION("""COMPUTED_VALUE"""),"2026/05")</f>
        <v>2026/05</v>
      </c>
      <c r="Q22" s="595" t="str">
        <f ca="1">IFERROR(__xludf.DUMMYFUNCTION("""COMPUTED_VALUE"""),"技能実習2号")</f>
        <v>技能実習2号</v>
      </c>
      <c r="R22" s="595" t="str">
        <f ca="1">IFERROR(__xludf.DUMMYFUNCTION("""COMPUTED_VALUE"""),"和泉北1-20-28アトムスカイマンション602")</f>
        <v>和泉北1-20-28アトムスカイマンション602</v>
      </c>
      <c r="S22" s="595" t="str">
        <f ca="1">IFERROR(__xludf.DUMMYFUNCTION("""COMPUTED_VALUE"""),"相3")</f>
        <v>相3</v>
      </c>
      <c r="T22" s="901">
        <f ca="1">IFERROR(__xludf.DUMMYFUNCTION("""COMPUTED_VALUE"""),10000)</f>
        <v>10000</v>
      </c>
      <c r="U22" s="600">
        <f ca="1">IFERROR(__xludf.DUMMYFUNCTION("""COMPUTED_VALUE"""),44876)</f>
        <v>44876</v>
      </c>
      <c r="V22" s="600">
        <f ca="1">IFERROR(__xludf.DUMMYFUNCTION("""COMPUTED_VALUE"""),46172)</f>
        <v>46172</v>
      </c>
      <c r="W22" s="595" t="str">
        <f ca="1">IFERROR(__xludf.DUMMYFUNCTION("""COMPUTED_VALUE"""),"UH45355402PC")</f>
        <v>UH45355402PC</v>
      </c>
      <c r="X22" s="595"/>
      <c r="Y22" s="596"/>
      <c r="Z22" s="595" t="str">
        <f ca="1">IFERROR(__xludf.DUMMYFUNCTION("""COMPUTED_VALUE"""),"2323
B-0296573-V126")</f>
        <v>2323
B-0296573-V126</v>
      </c>
      <c r="AA22" s="595"/>
      <c r="AB22" s="595"/>
      <c r="AC22" s="595"/>
      <c r="AD22" s="600"/>
      <c r="AE22" s="600">
        <f ca="1">IFERROR(__xludf.DUMMYFUNCTION("""COMPUTED_VALUE"""),46194)</f>
        <v>46194</v>
      </c>
      <c r="AF22" s="600">
        <f ca="1">IFERROR(__xludf.DUMMYFUNCTION("""COMPUTED_VALUE"""),46238)</f>
        <v>46238</v>
      </c>
      <c r="AG22" s="600"/>
      <c r="AH22" s="595" t="str">
        <f ca="1">IFERROR(__xludf.DUMMYFUNCTION("""COMPUTED_VALUE"""),"一時帰国予定")</f>
        <v>一時帰国予定</v>
      </c>
      <c r="AI22" s="600"/>
      <c r="AJ22" s="595" t="str">
        <f ca="1">IFERROR(__xludf.DUMMYFUNCTION("""COMPUTED_VALUE"""),"広島　⇔ハノイ　68,114- ベトジェット")</f>
        <v>広島　⇔ハノイ　68,114- ベトジェット</v>
      </c>
      <c r="AK22" s="595"/>
      <c r="AL22" s="595"/>
      <c r="AM22" s="596"/>
      <c r="AN22" s="595" t="str">
        <f ca="1">IFERROR(__xludf.DUMMYFUNCTION("""COMPUTED_VALUE"""),"―")</f>
        <v>―</v>
      </c>
      <c r="AO22" s="595"/>
      <c r="AP22" s="595" t="str">
        <f ca="1">IFERROR(__xludf.DUMMYFUNCTION("""COMPUTED_VALUE"""),"2024.5.9～実習2号へ")</f>
        <v>2024.5.9～実習2号へ</v>
      </c>
    </row>
    <row r="23" spans="1:42" ht="14.5">
      <c r="A23" s="595"/>
      <c r="B23" s="595">
        <f ca="1">IFERROR(__xludf.DUMMYFUNCTION("""COMPUTED_VALUE"""),151)</f>
        <v>151</v>
      </c>
      <c r="C23" s="595" t="str">
        <f ca="1">IFERROR(__xludf.DUMMYFUNCTION("""COMPUTED_VALUE"""),"本社")</f>
        <v>本社</v>
      </c>
      <c r="D23" s="595" t="str">
        <f ca="1">IFERROR(__xludf.DUMMYFUNCTION("""COMPUTED_VALUE"""),"ベトナム")</f>
        <v>ベトナム</v>
      </c>
      <c r="E23" s="595" t="str">
        <f ca="1">IFERROR(__xludf.DUMMYFUNCTION("""COMPUTED_VALUE"""),"08004406")</f>
        <v>08004406</v>
      </c>
      <c r="F23" s="595" t="str">
        <f ca="1">IFERROR(__xludf.DUMMYFUNCTION("""COMPUTED_VALUE"""),"/appsheet/photograph/151.写真.235007.jpg")</f>
        <v>/appsheet/photograph/151.写真.235007.jpg</v>
      </c>
      <c r="G23" s="595" t="str">
        <f ca="1">IFERROR(__xludf.DUMMYFUNCTION("""COMPUTED_VALUE"""),"カオ ティ チャン")</f>
        <v>カオ ティ チャン</v>
      </c>
      <c r="H23" s="595" t="str">
        <f ca="1">IFERROR(__xludf.DUMMYFUNCTION("""COMPUTED_VALUE"""),"CAO THI TRANG")</f>
        <v>CAO THI TRANG</v>
      </c>
      <c r="I23" s="595" t="str">
        <f ca="1">IFERROR(__xludf.DUMMYFUNCTION("""COMPUTED_VALUE"""),"カオ")</f>
        <v>カオ</v>
      </c>
      <c r="J23" s="595" t="str">
        <f ca="1">IFERROR(__xludf.DUMMYFUNCTION("""COMPUTED_VALUE"""),"女")</f>
        <v>女</v>
      </c>
      <c r="K23" s="600">
        <f ca="1">IFERROR(__xludf.DUMMYFUNCTION("""COMPUTED_VALUE"""),31735)</f>
        <v>31735</v>
      </c>
      <c r="L23" s="595">
        <f ca="1">IFERROR(__xludf.DUMMYFUNCTION("""COMPUTED_VALUE"""),39)</f>
        <v>39</v>
      </c>
      <c r="M23" s="595" t="str">
        <f ca="1">IFERROR(__xludf.DUMMYFUNCTION("""COMPUTED_VALUE"""),"無")</f>
        <v>無</v>
      </c>
      <c r="N23" s="595" t="str">
        <f ca="1">IFERROR(__xludf.DUMMYFUNCTION("""COMPUTED_VALUE"""),"関東食肉")</f>
        <v>関東食肉</v>
      </c>
      <c r="O23" s="900">
        <f ca="1">IFERROR(__xludf.DUMMYFUNCTION("""COMPUTED_VALUE"""),45086)</f>
        <v>45086</v>
      </c>
      <c r="P23" s="595" t="str">
        <f ca="1">IFERROR(__xludf.DUMMYFUNCTION("""COMPUTED_VALUE"""),"2026/05")</f>
        <v>2026/05</v>
      </c>
      <c r="Q23" s="595" t="str">
        <f ca="1">IFERROR(__xludf.DUMMYFUNCTION("""COMPUTED_VALUE"""),"技能実習2号")</f>
        <v>技能実習2号</v>
      </c>
      <c r="R23" s="595" t="str">
        <f ca="1">IFERROR(__xludf.DUMMYFUNCTION("""COMPUTED_VALUE"""),"和泉北1-20-28アトムスカイマンション602")</f>
        <v>和泉北1-20-28アトムスカイマンション602</v>
      </c>
      <c r="S23" s="595" t="str">
        <f ca="1">IFERROR(__xludf.DUMMYFUNCTION("""COMPUTED_VALUE"""),"相3")</f>
        <v>相3</v>
      </c>
      <c r="T23" s="901">
        <f ca="1">IFERROR(__xludf.DUMMYFUNCTION("""COMPUTED_VALUE"""),10000)</f>
        <v>10000</v>
      </c>
      <c r="U23" s="600">
        <f ca="1">IFERROR(__xludf.DUMMYFUNCTION("""COMPUTED_VALUE"""),44876)</f>
        <v>44876</v>
      </c>
      <c r="V23" s="600">
        <f ca="1">IFERROR(__xludf.DUMMYFUNCTION("""COMPUTED_VALUE"""),46172)</f>
        <v>46172</v>
      </c>
      <c r="W23" s="595" t="str">
        <f ca="1">IFERROR(__xludf.DUMMYFUNCTION("""COMPUTED_VALUE"""),"UH94767631PC")</f>
        <v>UH94767631PC</v>
      </c>
      <c r="X23" s="595"/>
      <c r="Y23" s="596"/>
      <c r="Z23" s="595" t="str">
        <f ca="1">IFERROR(__xludf.DUMMYFUNCTION("""COMPUTED_VALUE"""),"2324パンクにより回収
B-0296570-X079
2025/12/25変更
B-0287451-V177")</f>
        <v>2324パンクにより回収
B-0296570-X079
2025/12/25変更
B-0287451-V177</v>
      </c>
      <c r="AA23" s="595"/>
      <c r="AB23" s="595" t="str">
        <f ca="1">IFERROR(__xludf.DUMMYFUNCTION("""COMPUTED_VALUE"""),"N4
2025.8.12合格")</f>
        <v>N4
2025.8.12合格</v>
      </c>
      <c r="AC23" s="595"/>
      <c r="AD23" s="600"/>
      <c r="AE23" s="600">
        <f ca="1">IFERROR(__xludf.DUMMYFUNCTION("""COMPUTED_VALUE"""),46245)</f>
        <v>46245</v>
      </c>
      <c r="AF23" s="600">
        <f ca="1">IFERROR(__xludf.DUMMYFUNCTION("""COMPUTED_VALUE"""),46289)</f>
        <v>46289</v>
      </c>
      <c r="AG23" s="600"/>
      <c r="AH23" s="595" t="str">
        <f ca="1">IFERROR(__xludf.DUMMYFUNCTION("""COMPUTED_VALUE"""),"一時帰国予定")</f>
        <v>一時帰国予定</v>
      </c>
      <c r="AI23" s="600"/>
      <c r="AJ23" s="595"/>
      <c r="AK23" s="595"/>
      <c r="AL23" s="595"/>
      <c r="AM23" s="596"/>
      <c r="AN23" s="595" t="str">
        <f ca="1">IFERROR(__xludf.DUMMYFUNCTION("""COMPUTED_VALUE"""),"―")</f>
        <v>―</v>
      </c>
      <c r="AO23" s="595"/>
      <c r="AP23" s="595" t="str">
        <f ca="1">IFERROR(__xludf.DUMMYFUNCTION("""COMPUTED_VALUE"""),"2024.5.9～実習2号へ 実習終了に伴う一時帰国2026/08/11～9/24広島⇔ハノイ75,816-")</f>
        <v>2024.5.9～実習2号へ 実習終了に伴う一時帰国2026/08/11～9/24広島⇔ハノイ75,816-</v>
      </c>
    </row>
    <row r="24" spans="1:42" ht="14.5">
      <c r="A24" s="595"/>
      <c r="B24" s="595">
        <f ca="1">IFERROR(__xludf.DUMMYFUNCTION("""COMPUTED_VALUE"""),152)</f>
        <v>152</v>
      </c>
      <c r="C24" s="595" t="str">
        <f ca="1">IFERROR(__xludf.DUMMYFUNCTION("""COMPUTED_VALUE"""),"協同本社")</f>
        <v>協同本社</v>
      </c>
      <c r="D24" s="595" t="str">
        <f ca="1">IFERROR(__xludf.DUMMYFUNCTION("""COMPUTED_VALUE"""),"ベトナム")</f>
        <v>ベトナム</v>
      </c>
      <c r="E24" s="595" t="str">
        <f ca="1">IFERROR(__xludf.DUMMYFUNCTION("""COMPUTED_VALUE"""),"18001401")</f>
        <v>18001401</v>
      </c>
      <c r="F24" s="595" t="str">
        <f ca="1">IFERROR(__xludf.DUMMYFUNCTION("""COMPUTED_VALUE"""),"/appsheet/photograph/小栗_ズエン_20240426.jpg")</f>
        <v>/appsheet/photograph/小栗_ズエン_20240426.jpg</v>
      </c>
      <c r="G24" s="595" t="str">
        <f ca="1">IFERROR(__xludf.DUMMYFUNCTION("""COMPUTED_VALUE"""),"グエン ティ ホン ズエン")</f>
        <v>グエン ティ ホン ズエン</v>
      </c>
      <c r="H24" s="595" t="str">
        <f ca="1">IFERROR(__xludf.DUMMYFUNCTION("""COMPUTED_VALUE"""),"NGUYEN THI HONG DUYEN")</f>
        <v>NGUYEN THI HONG DUYEN</v>
      </c>
      <c r="I24" s="595" t="str">
        <f ca="1">IFERROR(__xludf.DUMMYFUNCTION("""COMPUTED_VALUE"""),"ズエン")</f>
        <v>ズエン</v>
      </c>
      <c r="J24" s="595" t="str">
        <f ca="1">IFERROR(__xludf.DUMMYFUNCTION("""COMPUTED_VALUE"""),"女")</f>
        <v>女</v>
      </c>
      <c r="K24" s="600">
        <f ca="1">IFERROR(__xludf.DUMMYFUNCTION("""COMPUTED_VALUE"""),37596)</f>
        <v>37596</v>
      </c>
      <c r="L24" s="595">
        <f ca="1">IFERROR(__xludf.DUMMYFUNCTION("""COMPUTED_VALUE"""),23)</f>
        <v>23</v>
      </c>
      <c r="M24" s="595"/>
      <c r="N24" s="595" t="str">
        <f ca="1">IFERROR(__xludf.DUMMYFUNCTION("""COMPUTED_VALUE"""),"中四国")</f>
        <v>中四国</v>
      </c>
      <c r="O24" s="900">
        <f ca="1">IFERROR(__xludf.DUMMYFUNCTION("""COMPUTED_VALUE"""),45159)</f>
        <v>45159</v>
      </c>
      <c r="P24" s="595" t="str">
        <f ca="1">IFERROR(__xludf.DUMMYFUNCTION("""COMPUTED_VALUE"""),"2026/07")</f>
        <v>2026/07</v>
      </c>
      <c r="Q24" s="595" t="str">
        <f ca="1">IFERROR(__xludf.DUMMYFUNCTION("""COMPUTED_VALUE"""),"技能実習2号")</f>
        <v>技能実習2号</v>
      </c>
      <c r="R24" s="595" t="str">
        <f ca="1">IFERROR(__xludf.DUMMYFUNCTION("""COMPUTED_VALUE"""),"和泉北1-20-28アトムスカイマンション304")</f>
        <v>和泉北1-20-28アトムスカイマンション304</v>
      </c>
      <c r="S24" s="595" t="str">
        <f ca="1">IFERROR(__xludf.DUMMYFUNCTION("""COMPUTED_VALUE"""),"相2")</f>
        <v>相2</v>
      </c>
      <c r="T24" s="901">
        <f ca="1">IFERROR(__xludf.DUMMYFUNCTION("""COMPUTED_VALUE"""),10000)</f>
        <v>10000</v>
      </c>
      <c r="U24" s="600">
        <f ca="1">IFERROR(__xludf.DUMMYFUNCTION("""COMPUTED_VALUE"""),44986)</f>
        <v>44986</v>
      </c>
      <c r="V24" s="600">
        <f ca="1">IFERROR(__xludf.DUMMYFUNCTION("""COMPUTED_VALUE"""),46225)</f>
        <v>46225</v>
      </c>
      <c r="W24" s="595" t="str">
        <f ca="1">IFERROR(__xludf.DUMMYFUNCTION("""COMPUTED_VALUE"""),"UH52998254EA")</f>
        <v>UH52998254EA</v>
      </c>
      <c r="X24" s="595"/>
      <c r="Y24" s="596"/>
      <c r="Z24" s="595" t="str">
        <f ca="1">IFERROR(__xludf.DUMMYFUNCTION("""COMPUTED_VALUE"""),"2326-B-0302681")</f>
        <v>2326-B-0302681</v>
      </c>
      <c r="AA24" s="595"/>
      <c r="AB24" s="595"/>
      <c r="AC24" s="595" t="str">
        <f ca="1">IFERROR(__xludf.DUMMYFUNCTION("""COMPUTED_VALUE"""),"缶詰巻締初級
2024.3.7")</f>
        <v>缶詰巻締初級
2024.3.7</v>
      </c>
      <c r="AD24" s="600"/>
      <c r="AE24" s="600"/>
      <c r="AF24" s="600"/>
      <c r="AG24" s="600"/>
      <c r="AH24" s="595" t="str">
        <f ca="1">IFERROR(__xludf.DUMMYFUNCTION("""COMPUTED_VALUE"""),"退職予定")</f>
        <v>退職予定</v>
      </c>
      <c r="AI24" s="600"/>
      <c r="AJ24" s="595"/>
      <c r="AK24" s="595"/>
      <c r="AL24" s="595"/>
      <c r="AM24" s="596"/>
      <c r="AN24" s="595" t="str">
        <f ca="1">IFERROR(__xludf.DUMMYFUNCTION("""COMPUTED_VALUE"""),"―")</f>
        <v>―</v>
      </c>
      <c r="AO24" s="595"/>
      <c r="AP24" s="595" t="str">
        <f ca="1">IFERROR(__xludf.DUMMYFUNCTION("""COMPUTED_VALUE"""),"2024.7.21～実習1号→2号へ
パスポートと在留カード中四国預かり2025.5.16
2026.7月の実習2号終了で退職（帰国）予定
1ヶ月前に帰国を希望")</f>
        <v>2024.7.21～実習1号→2号へ
パスポートと在留カード中四国預かり2025.5.16
2026.7月の実習2号終了で退職（帰国）予定
1ヶ月前に帰国を希望</v>
      </c>
    </row>
    <row r="25" spans="1:42" ht="14.5">
      <c r="A25" s="595"/>
      <c r="B25" s="595">
        <f ca="1">IFERROR(__xludf.DUMMYFUNCTION("""COMPUTED_VALUE"""),153)</f>
        <v>153</v>
      </c>
      <c r="C25" s="595" t="str">
        <f ca="1">IFERROR(__xludf.DUMMYFUNCTION("""COMPUTED_VALUE"""),"協同本社")</f>
        <v>協同本社</v>
      </c>
      <c r="D25" s="595" t="str">
        <f ca="1">IFERROR(__xludf.DUMMYFUNCTION("""COMPUTED_VALUE"""),"ベトナム")</f>
        <v>ベトナム</v>
      </c>
      <c r="E25" s="595" t="str">
        <f ca="1">IFERROR(__xludf.DUMMYFUNCTION("""COMPUTED_VALUE"""),"18001402")</f>
        <v>18001402</v>
      </c>
      <c r="F25" s="595" t="str">
        <f ca="1">IFERROR(__xludf.DUMMYFUNCTION("""COMPUTED_VALUE"""),"/appsheet/photograph/小栗_フオン_20240426.jpg")</f>
        <v>/appsheet/photograph/小栗_フオン_20240426.jpg</v>
      </c>
      <c r="G25" s="595" t="str">
        <f ca="1">IFERROR(__xludf.DUMMYFUNCTION("""COMPUTED_VALUE"""),"グエン ティ フオン")</f>
        <v>グエン ティ フオン</v>
      </c>
      <c r="H25" s="595" t="str">
        <f ca="1">IFERROR(__xludf.DUMMYFUNCTION("""COMPUTED_VALUE"""),"NGUYEN THI HUONG ")</f>
        <v xml:space="preserve">NGUYEN THI HUONG </v>
      </c>
      <c r="I25" s="595" t="str">
        <f ca="1">IFERROR(__xludf.DUMMYFUNCTION("""COMPUTED_VALUE"""),"フオン")</f>
        <v>フオン</v>
      </c>
      <c r="J25" s="595" t="str">
        <f ca="1">IFERROR(__xludf.DUMMYFUNCTION("""COMPUTED_VALUE"""),"女")</f>
        <v>女</v>
      </c>
      <c r="K25" s="600">
        <f ca="1">IFERROR(__xludf.DUMMYFUNCTION("""COMPUTED_VALUE"""),32899)</f>
        <v>32899</v>
      </c>
      <c r="L25" s="595">
        <f ca="1">IFERROR(__xludf.DUMMYFUNCTION("""COMPUTED_VALUE"""),36)</f>
        <v>36</v>
      </c>
      <c r="M25" s="595" t="str">
        <f ca="1">IFERROR(__xludf.DUMMYFUNCTION("""COMPUTED_VALUE"""),"有")</f>
        <v>有</v>
      </c>
      <c r="N25" s="595" t="str">
        <f ca="1">IFERROR(__xludf.DUMMYFUNCTION("""COMPUTED_VALUE"""),"中四国")</f>
        <v>中四国</v>
      </c>
      <c r="O25" s="900">
        <f ca="1">IFERROR(__xludf.DUMMYFUNCTION("""COMPUTED_VALUE"""),45159)</f>
        <v>45159</v>
      </c>
      <c r="P25" s="595" t="str">
        <f ca="1">IFERROR(__xludf.DUMMYFUNCTION("""COMPUTED_VALUE"""),"2026/07")</f>
        <v>2026/07</v>
      </c>
      <c r="Q25" s="595" t="str">
        <f ca="1">IFERROR(__xludf.DUMMYFUNCTION("""COMPUTED_VALUE"""),"技能実習2号")</f>
        <v>技能実習2号</v>
      </c>
      <c r="R25" s="595" t="str">
        <f ca="1">IFERROR(__xludf.DUMMYFUNCTION("""COMPUTED_VALUE"""),"和泉北1-20-28アトムスカイマンション304")</f>
        <v>和泉北1-20-28アトムスカイマンション304</v>
      </c>
      <c r="S25" s="595" t="str">
        <f ca="1">IFERROR(__xludf.DUMMYFUNCTION("""COMPUTED_VALUE"""),"相2")</f>
        <v>相2</v>
      </c>
      <c r="T25" s="901">
        <f ca="1">IFERROR(__xludf.DUMMYFUNCTION("""COMPUTED_VALUE"""),10000)</f>
        <v>10000</v>
      </c>
      <c r="U25" s="600">
        <f ca="1">IFERROR(__xludf.DUMMYFUNCTION("""COMPUTED_VALUE"""),44986)</f>
        <v>44986</v>
      </c>
      <c r="V25" s="600">
        <f ca="1">IFERROR(__xludf.DUMMYFUNCTION("""COMPUTED_VALUE"""),46225)</f>
        <v>46225</v>
      </c>
      <c r="W25" s="595" t="str">
        <f ca="1">IFERROR(__xludf.DUMMYFUNCTION("""COMPUTED_VALUE"""),"UH07639317EA")</f>
        <v>UH07639317EA</v>
      </c>
      <c r="X25" s="595"/>
      <c r="Y25" s="596"/>
      <c r="Z25" s="595" t="str">
        <f ca="1">IFERROR(__xludf.DUMMYFUNCTION("""COMPUTED_VALUE"""),"2327-B-0302680")</f>
        <v>2327-B-0302680</v>
      </c>
      <c r="AA25" s="595"/>
      <c r="AB25" s="595"/>
      <c r="AC25" s="595" t="str">
        <f ca="1">IFERROR(__xludf.DUMMYFUNCTION("""COMPUTED_VALUE"""),"缶詰巻締初級
2024.3.7")</f>
        <v>缶詰巻締初級
2024.3.7</v>
      </c>
      <c r="AD25" s="600"/>
      <c r="AE25" s="600">
        <f ca="1">IFERROR(__xludf.DUMMYFUNCTION("""COMPUTED_VALUE"""),46224)</f>
        <v>46224</v>
      </c>
      <c r="AF25" s="600">
        <f ca="1">IFERROR(__xludf.DUMMYFUNCTION("""COMPUTED_VALUE"""),46266)</f>
        <v>46266</v>
      </c>
      <c r="AG25" s="600"/>
      <c r="AH25" s="595" t="str">
        <f ca="1">IFERROR(__xludf.DUMMYFUNCTION("""COMPUTED_VALUE"""),"一時帰国予定")</f>
        <v>一時帰国予定</v>
      </c>
      <c r="AI25" s="600"/>
      <c r="AJ25" s="595" t="str">
        <f ca="1">IFERROR(__xludf.DUMMYFUNCTION("""COMPUTED_VALUE"""),"実習終了に伴う
一時帰国71,965
広島＝ハノイ")</f>
        <v>実習終了に伴う
一時帰国71,965
広島＝ハノイ</v>
      </c>
      <c r="AK25" s="595"/>
      <c r="AL25" s="595"/>
      <c r="AM25" s="596"/>
      <c r="AN25" s="595" t="str">
        <f ca="1">IFERROR(__xludf.DUMMYFUNCTION("""COMPUTED_VALUE"""),"―")</f>
        <v>―</v>
      </c>
      <c r="AO25" s="595"/>
      <c r="AP25" s="595" t="str">
        <f ca="1">IFERROR(__xludf.DUMMYFUNCTION("""COMPUTED_VALUE"""),"2024.7.21～実習1号→2号へ
パスポートと在留カード中四国預かり2025.5.16")</f>
        <v>2024.7.21～実習1号→2号へ
パスポートと在留カード中四国預かり2025.5.16</v>
      </c>
    </row>
    <row r="26" spans="1:42" ht="14.5">
      <c r="A26" s="595"/>
      <c r="B26" s="595">
        <f ca="1">IFERROR(__xludf.DUMMYFUNCTION("""COMPUTED_VALUE"""),154)</f>
        <v>154</v>
      </c>
      <c r="C26" s="595" t="str">
        <f ca="1">IFERROR(__xludf.DUMMYFUNCTION("""COMPUTED_VALUE"""),"本社")</f>
        <v>本社</v>
      </c>
      <c r="D26" s="595" t="str">
        <f ca="1">IFERROR(__xludf.DUMMYFUNCTION("""COMPUTED_VALUE"""),"ベトナム")</f>
        <v>ベトナム</v>
      </c>
      <c r="E26" s="595" t="str">
        <f ca="1">IFERROR(__xludf.DUMMYFUNCTION("""COMPUTED_VALUE"""),"07001608
07007700")</f>
        <v>07001608
07007700</v>
      </c>
      <c r="F26" s="595" t="str">
        <f ca="1">IFERROR(__xludf.DUMMYFUNCTION("""COMPUTED_VALUE"""),"/appsheet/photograph/154.写真.225227.jpg")</f>
        <v>/appsheet/photograph/154.写真.225227.jpg</v>
      </c>
      <c r="G26" s="595" t="str">
        <f ca="1">IFERROR(__xludf.DUMMYFUNCTION("""COMPUTED_VALUE"""),"グエン タイン チュン")</f>
        <v>グエン タイン チュン</v>
      </c>
      <c r="H26" s="595" t="str">
        <f ca="1">IFERROR(__xludf.DUMMYFUNCTION("""COMPUTED_VALUE"""),"NGUYEN THANH TRUNG")</f>
        <v>NGUYEN THANH TRUNG</v>
      </c>
      <c r="I26" s="595" t="str">
        <f ca="1">IFERROR(__xludf.DUMMYFUNCTION("""COMPUTED_VALUE"""),"チュン")</f>
        <v>チュン</v>
      </c>
      <c r="J26" s="595" t="str">
        <f ca="1">IFERROR(__xludf.DUMMYFUNCTION("""COMPUTED_VALUE"""),"男")</f>
        <v>男</v>
      </c>
      <c r="K26" s="600">
        <f ca="1">IFERROR(__xludf.DUMMYFUNCTION("""COMPUTED_VALUE"""),35191)</f>
        <v>35191</v>
      </c>
      <c r="L26" s="595">
        <f ca="1">IFERROR(__xludf.DUMMYFUNCTION("""COMPUTED_VALUE"""),29)</f>
        <v>29</v>
      </c>
      <c r="M26" s="595" t="str">
        <f ca="1">IFERROR(__xludf.DUMMYFUNCTION("""COMPUTED_VALUE"""),"夫婦")</f>
        <v>夫婦</v>
      </c>
      <c r="N26" s="595" t="str">
        <f ca="1">IFERROR(__xludf.DUMMYFUNCTION("""COMPUTED_VALUE"""),"中四国")</f>
        <v>中四国</v>
      </c>
      <c r="O26" s="900">
        <f ca="1">IFERROR(__xludf.DUMMYFUNCTION("""COMPUTED_VALUE"""),45159)</f>
        <v>45159</v>
      </c>
      <c r="P26" s="595" t="str">
        <f ca="1">IFERROR(__xludf.DUMMYFUNCTION("""COMPUTED_VALUE"""),"2026/01")</f>
        <v>2026/01</v>
      </c>
      <c r="Q26" s="595" t="str">
        <f ca="1">IFERROR(__xludf.DUMMYFUNCTION("""COMPUTED_VALUE"""),"特定技能２号")</f>
        <v>特定技能２号</v>
      </c>
      <c r="R26" s="595" t="str">
        <f ca="1">IFERROR(__xludf.DUMMYFUNCTION("""COMPUTED_VALUE"""),"和泉北1-20-28アトムスカイマンション305")</f>
        <v>和泉北1-20-28アトムスカイマンション305</v>
      </c>
      <c r="S26" s="595" t="str">
        <f ca="1">IFERROR(__xludf.DUMMYFUNCTION("""COMPUTED_VALUE"""),"夫婦")</f>
        <v>夫婦</v>
      </c>
      <c r="T26" s="901">
        <f ca="1">IFERROR(__xludf.DUMMYFUNCTION("""COMPUTED_VALUE"""),20000)</f>
        <v>20000</v>
      </c>
      <c r="U26" s="600">
        <f ca="1">IFERROR(__xludf.DUMMYFUNCTION("""COMPUTED_VALUE"""),45962)</f>
        <v>45962</v>
      </c>
      <c r="V26" s="600">
        <f ca="1">IFERROR(__xludf.DUMMYFUNCTION("""COMPUTED_VALUE"""),47102)</f>
        <v>47102</v>
      </c>
      <c r="W26" s="595" t="str">
        <f ca="1">IFERROR(__xludf.DUMMYFUNCTION("""COMPUTED_VALUE"""),"UH75026157PC")</f>
        <v>UH75026157PC</v>
      </c>
      <c r="X26" s="595"/>
      <c r="Y26" s="596"/>
      <c r="Z26" s="595" t="str">
        <f ca="1">IFERROR(__xludf.DUMMYFUNCTION("""COMPUTED_VALUE"""),"2325-B-0302682")</f>
        <v>2325-B-0302682</v>
      </c>
      <c r="AA26" s="595"/>
      <c r="AB26" s="595" t="str">
        <f ca="1">IFERROR(__xludf.DUMMYFUNCTION("""COMPUTED_VALUE"""),"N3
2024/07/07")</f>
        <v>N3
2024/07/07</v>
      </c>
      <c r="AC26" s="595" t="str">
        <f ca="1">IFERROR(__xludf.DUMMYFUNCTION("""COMPUTED_VALUE"""),"源泉徴収")</f>
        <v>源泉徴収</v>
      </c>
      <c r="AD26" s="600">
        <f ca="1">IFERROR(__xludf.DUMMYFUNCTION("""COMPUTED_VALUE"""),45271)</f>
        <v>45271</v>
      </c>
      <c r="AE26" s="600"/>
      <c r="AF26" s="600"/>
      <c r="AG26" s="600">
        <f ca="1">IFERROR(__xludf.DUMMYFUNCTION("""COMPUTED_VALUE"""),45313)</f>
        <v>45313</v>
      </c>
      <c r="AH26" s="595" t="str">
        <f ca="1">IFERROR(__xludf.DUMMYFUNCTION("""COMPUTED_VALUE"""),"一時帰国予定")</f>
        <v>一時帰国予定</v>
      </c>
      <c r="AI26" s="600"/>
      <c r="AJ26" s="595"/>
      <c r="AK26" s="595"/>
      <c r="AL26" s="595" t="str">
        <f ca="1">IFERROR(__xludf.DUMMYFUNCTION("""COMPUTED_VALUE"""),"―")</f>
        <v>―</v>
      </c>
      <c r="AM26" s="596">
        <f ca="1">IFERROR(__xludf.DUMMYFUNCTION("""COMPUTED_VALUE"""),43117)</f>
        <v>43117</v>
      </c>
      <c r="AN26" s="595" t="str">
        <f ca="1">IFERROR(__xludf.DUMMYFUNCTION("""COMPUTED_VALUE"""),"2025/8/1～2025/12/31
　　2号移行時解約済")</f>
        <v>2025/8/1～2025/12/31
　　2号移行時解約済</v>
      </c>
      <c r="AO26" s="595" t="str">
        <f ca="1">IFERROR(__xludf.DUMMYFUNCTION("""COMPUTED_VALUE"""),"伊予銀")</f>
        <v>伊予銀</v>
      </c>
      <c r="AP26" s="595" t="str">
        <f ca="1">IFERROR(__xludf.DUMMYFUNCTION("""COMPUTED_VALUE"""),"特定技能1号期間更新中　24.7.11
23.12/11一時退職　23.12/11～1/20一時帰国
2025/09/11～特定技能１号
特定2号を受験する場合、1号を1年間延長可能。
2025/12/21～特定2号へ資格変更予定
2025/12/15　特定2号へ移行完了
2026/4/22～6/10一時帰国（育休）")</f>
        <v>特定技能1号期間更新中　24.7.11
23.12/11一時退職　23.12/11～1/20一時帰国
2025/09/11～特定技能１号
特定2号を受験する場合、1号を1年間延長可能。
2025/12/21～特定2号へ資格変更予定
2025/12/15　特定2号へ移行完了
2026/4/22～6/10一時帰国（育休）</v>
      </c>
    </row>
    <row r="27" spans="1:42" ht="14.5">
      <c r="A27" s="595"/>
      <c r="B27" s="595">
        <f ca="1">IFERROR(__xludf.DUMMYFUNCTION("""COMPUTED_VALUE"""),165)</f>
        <v>165</v>
      </c>
      <c r="C27" s="595" t="str">
        <f ca="1">IFERROR(__xludf.DUMMYFUNCTION("""COMPUTED_VALUE"""),"本社")</f>
        <v>本社</v>
      </c>
      <c r="D27" s="595" t="str">
        <f ca="1">IFERROR(__xludf.DUMMYFUNCTION("""COMPUTED_VALUE"""),"ベトナム")</f>
        <v>ベトナム</v>
      </c>
      <c r="E27" s="595" t="str">
        <f ca="1">IFERROR(__xludf.DUMMYFUNCTION("""COMPUTED_VALUE"""),"07001615")</f>
        <v>07001615</v>
      </c>
      <c r="F27" s="595" t="str">
        <f ca="1">IFERROR(__xludf.DUMMYFUNCTION("""COMPUTED_VALUE"""),"/appsheet/photograph/165.写真.033056.jpg")</f>
        <v>/appsheet/photograph/165.写真.033056.jpg</v>
      </c>
      <c r="G27" s="595" t="str">
        <f ca="1">IFERROR(__xludf.DUMMYFUNCTION("""COMPUTED_VALUE"""),"チャン ティ アイン")</f>
        <v>チャン ティ アイン</v>
      </c>
      <c r="H27" s="595" t="str">
        <f ca="1">IFERROR(__xludf.DUMMYFUNCTION("""COMPUTED_VALUE"""),"TRAN THI ANH")</f>
        <v>TRAN THI ANH</v>
      </c>
      <c r="I27" s="595" t="str">
        <f ca="1">IFERROR(__xludf.DUMMYFUNCTION("""COMPUTED_VALUE"""),"チャンアイン")</f>
        <v>チャンアイン</v>
      </c>
      <c r="J27" s="595" t="str">
        <f ca="1">IFERROR(__xludf.DUMMYFUNCTION("""COMPUTED_VALUE"""),"女")</f>
        <v>女</v>
      </c>
      <c r="K27" s="600">
        <f ca="1">IFERROR(__xludf.DUMMYFUNCTION("""COMPUTED_VALUE"""),36709)</f>
        <v>36709</v>
      </c>
      <c r="L27" s="595">
        <f ca="1">IFERROR(__xludf.DUMMYFUNCTION("""COMPUTED_VALUE"""),25)</f>
        <v>25</v>
      </c>
      <c r="M27" s="595" t="str">
        <f ca="1">IFERROR(__xludf.DUMMYFUNCTION("""COMPUTED_VALUE"""),"夫婦")</f>
        <v>夫婦</v>
      </c>
      <c r="N27" s="595" t="str">
        <f ca="1">IFERROR(__xludf.DUMMYFUNCTION("""COMPUTED_VALUE"""),"中四国")</f>
        <v>中四国</v>
      </c>
      <c r="O27" s="900">
        <f ca="1">IFERROR(__xludf.DUMMYFUNCTION("""COMPUTED_VALUE"""),45470)</f>
        <v>45470</v>
      </c>
      <c r="P27" s="595" t="str">
        <f ca="1">IFERROR(__xludf.DUMMYFUNCTION("""COMPUTED_VALUE"""),"2029/05")</f>
        <v>2029/05</v>
      </c>
      <c r="Q27" s="595" t="str">
        <f ca="1">IFERROR(__xludf.DUMMYFUNCTION("""COMPUTED_VALUE"""),"特定技能１号")</f>
        <v>特定技能１号</v>
      </c>
      <c r="R27" s="595" t="str">
        <f ca="1">IFERROR(__xludf.DUMMYFUNCTION("""COMPUTED_VALUE"""),"松山市末広町5-14三和ﾏﾝｼｮﾝ末広201")</f>
        <v>松山市末広町5-14三和ﾏﾝｼｮﾝ末広201</v>
      </c>
      <c r="S27" s="595" t="str">
        <f ca="1">IFERROR(__xludf.DUMMYFUNCTION("""COMPUTED_VALUE"""),"夫婦")</f>
        <v>夫婦</v>
      </c>
      <c r="T27" s="901">
        <f ca="1">IFERROR(__xludf.DUMMYFUNCTION("""COMPUTED_VALUE"""),21500)</f>
        <v>21500</v>
      </c>
      <c r="U27" s="600">
        <f ca="1">IFERROR(__xludf.DUMMYFUNCTION("""COMPUTED_VALUE"""),46106)</f>
        <v>46106</v>
      </c>
      <c r="V27" s="600">
        <f ca="1">IFERROR(__xludf.DUMMYFUNCTION("""COMPUTED_VALUE"""),46198)</f>
        <v>46198</v>
      </c>
      <c r="W27" s="595" t="str">
        <f ca="1">IFERROR(__xludf.DUMMYFUNCTION("""COMPUTED_VALUE"""),"UH01995596PA")</f>
        <v>UH01995596PA</v>
      </c>
      <c r="X27" s="595"/>
      <c r="Y27" s="596">
        <f ca="1">IFERROR(__xludf.DUMMYFUNCTION("""COMPUTED_VALUE"""),45468)</f>
        <v>45468</v>
      </c>
      <c r="Z27" s="595" t="str">
        <f ca="1">IFERROR(__xludf.DUMMYFUNCTION("""COMPUTED_VALUE"""),"C2406-愛媛県B-0337625
2024/09/09合鍵渡す（在庫0)")</f>
        <v>C2406-愛媛県B-0337625
2024/09/09合鍵渡す（在庫0)</v>
      </c>
      <c r="AA27" s="595"/>
      <c r="AB27" s="595" t="str">
        <f ca="1">IFERROR(__xludf.DUMMYFUNCTION("""COMPUTED_VALUE"""),"N4
2024/12/01")</f>
        <v>N4
2024/12/01</v>
      </c>
      <c r="AC27" s="595"/>
      <c r="AD27" s="600"/>
      <c r="AE27" s="600">
        <f ca="1">IFERROR(__xludf.DUMMYFUNCTION("""COMPUTED_VALUE"""),45832)</f>
        <v>45832</v>
      </c>
      <c r="AF27" s="600">
        <f ca="1">IFERROR(__xludf.DUMMYFUNCTION("""COMPUTED_VALUE"""),45862)</f>
        <v>45862</v>
      </c>
      <c r="AG27" s="600"/>
      <c r="AH27" s="595"/>
      <c r="AI27" s="600"/>
      <c r="AJ27" s="595"/>
      <c r="AK27" s="595"/>
      <c r="AL27" s="595" t="str">
        <f ca="1">IFERROR(__xludf.DUMMYFUNCTION("""COMPUTED_VALUE"""),"〇")</f>
        <v>〇</v>
      </c>
      <c r="AM27" s="596">
        <f ca="1">IFERROR(__xludf.DUMMYFUNCTION("""COMPUTED_VALUE"""),45468)</f>
        <v>45468</v>
      </c>
      <c r="AN27" s="595" t="str">
        <f ca="1">IFERROR(__xludf.DUMMYFUNCTION("""COMPUTED_VALUE"""),"2025/8/1～2029/5/31")</f>
        <v>2025/8/1～2029/5/31</v>
      </c>
      <c r="AO27" s="595" t="str">
        <f ca="1">IFERROR(__xludf.DUMMYFUNCTION("""COMPUTED_VALUE"""),"ひめぎん
末広町支店")</f>
        <v>ひめぎん
末広町支店</v>
      </c>
      <c r="AP27" s="595" t="str">
        <f ca="1">IFERROR(__xludf.DUMMYFUNCTION("""COMPUTED_VALUE"""),"2024.6.25入寮　ダットの奥さん　夫婦で一緒に住む")</f>
        <v>2024.6.25入寮　ダットの奥さん　夫婦で一緒に住む</v>
      </c>
    </row>
    <row r="28" spans="1:42" ht="14.5">
      <c r="A28" s="595"/>
      <c r="B28" s="595">
        <f ca="1">IFERROR(__xludf.DUMMYFUNCTION("""COMPUTED_VALUE"""),190)</f>
        <v>190</v>
      </c>
      <c r="C28" s="595" t="str">
        <f ca="1">IFERROR(__xludf.DUMMYFUNCTION("""COMPUTED_VALUE"""),"本社")</f>
        <v>本社</v>
      </c>
      <c r="D28" s="595" t="str">
        <f ca="1">IFERROR(__xludf.DUMMYFUNCTION("""COMPUTED_VALUE"""),"ベトナム")</f>
        <v>ベトナム</v>
      </c>
      <c r="E28" s="595" t="str">
        <f ca="1">IFERROR(__xludf.DUMMYFUNCTION("""COMPUTED_VALUE"""),"08001401")</f>
        <v>08001401</v>
      </c>
      <c r="F28" s="595" t="str">
        <f ca="1">IFERROR(__xludf.DUMMYFUNCTION("""COMPUTED_VALUE"""),"/appsheet/photograph/190.写真.225103.jpg")</f>
        <v>/appsheet/photograph/190.写真.225103.jpg</v>
      </c>
      <c r="G28" s="595" t="str">
        <f ca="1">IFERROR(__xludf.DUMMYFUNCTION("""COMPUTED_VALUE"""),"ボー グエン ホアイ ナム")</f>
        <v>ボー グエン ホアイ ナム</v>
      </c>
      <c r="H28" s="595" t="str">
        <f ca="1">IFERROR(__xludf.DUMMYFUNCTION("""COMPUTED_VALUE"""),"VO NGUYEN HOAI NAM")</f>
        <v>VO NGUYEN HOAI NAM</v>
      </c>
      <c r="I28" s="595" t="str">
        <f ca="1">IFERROR(__xludf.DUMMYFUNCTION("""COMPUTED_VALUE"""),"ナム")</f>
        <v>ナム</v>
      </c>
      <c r="J28" s="595" t="str">
        <f ca="1">IFERROR(__xludf.DUMMYFUNCTION("""COMPUTED_VALUE"""),"男")</f>
        <v>男</v>
      </c>
      <c r="K28" s="600">
        <f ca="1">IFERROR(__xludf.DUMMYFUNCTION("""COMPUTED_VALUE"""),38676)</f>
        <v>38676</v>
      </c>
      <c r="L28" s="595">
        <f ca="1">IFERROR(__xludf.DUMMYFUNCTION("""COMPUTED_VALUE"""),20)</f>
        <v>20</v>
      </c>
      <c r="M28" s="595" t="str">
        <f ca="1">IFERROR(__xludf.DUMMYFUNCTION("""COMPUTED_VALUE"""),"無")</f>
        <v>無</v>
      </c>
      <c r="N28" s="595" t="str">
        <f ca="1">IFERROR(__xludf.DUMMYFUNCTION("""COMPUTED_VALUE"""),"中四国")</f>
        <v>中四国</v>
      </c>
      <c r="O28" s="900">
        <f ca="1">IFERROR(__xludf.DUMMYFUNCTION("""COMPUTED_VALUE"""),45581)</f>
        <v>45581</v>
      </c>
      <c r="P28" s="595" t="str">
        <f ca="1">IFERROR(__xludf.DUMMYFUNCTION("""COMPUTED_VALUE"""),"2027/9")</f>
        <v>2027/9</v>
      </c>
      <c r="Q28" s="595" t="str">
        <f ca="1">IFERROR(__xludf.DUMMYFUNCTION("""COMPUTED_VALUE"""),"技能実習2号")</f>
        <v>技能実習2号</v>
      </c>
      <c r="R28" s="595" t="str">
        <f ca="1">IFERROR(__xludf.DUMMYFUNCTION("""COMPUTED_VALUE"""),"和泉北1-20-28アトムスカイマンション604")</f>
        <v>和泉北1-20-28アトムスカイマンション604</v>
      </c>
      <c r="S28" s="595" t="str">
        <f ca="1">IFERROR(__xludf.DUMMYFUNCTION("""COMPUTED_VALUE"""),"相1")</f>
        <v>相1</v>
      </c>
      <c r="T28" s="901">
        <f ca="1">IFERROR(__xludf.DUMMYFUNCTION("""COMPUTED_VALUE"""),10000)</f>
        <v>10000</v>
      </c>
      <c r="U28" s="600">
        <f ca="1">IFERROR(__xludf.DUMMYFUNCTION("""COMPUTED_VALUE"""),45439)</f>
        <v>45439</v>
      </c>
      <c r="V28" s="600">
        <f ca="1">IFERROR(__xludf.DUMMYFUNCTION("""COMPUTED_VALUE"""),46281)</f>
        <v>46281</v>
      </c>
      <c r="W28" s="595" t="str">
        <f ca="1">IFERROR(__xludf.DUMMYFUNCTION("""COMPUTED_VALUE"""),"UH94681581EA")</f>
        <v>UH94681581EA</v>
      </c>
      <c r="X28" s="595"/>
      <c r="Y28" s="596">
        <f ca="1">IFERROR(__xludf.DUMMYFUNCTION("""COMPUTED_VALUE"""),45580)</f>
        <v>45580</v>
      </c>
      <c r="Z28" s="595" t="str">
        <f ca="1">IFERROR(__xludf.DUMMYFUNCTION("""COMPUTED_VALUE"""),"202409購入
26シルバー
B-0343710-X208")</f>
        <v>202409購入
26シルバー
B-0343710-X208</v>
      </c>
      <c r="AA28" s="595"/>
      <c r="AB28" s="595"/>
      <c r="AC28" s="595" t="str">
        <f ca="1">IFERROR(__xludf.DUMMYFUNCTION("""COMPUTED_VALUE"""),"20250306-BS-4491
缶詰巻締初級合格")</f>
        <v>20250306-BS-4491
缶詰巻締初級合格</v>
      </c>
      <c r="AD28" s="600"/>
      <c r="AE28" s="600"/>
      <c r="AF28" s="600"/>
      <c r="AG28" s="600"/>
      <c r="AH28" s="595"/>
      <c r="AI28" s="600"/>
      <c r="AJ28" s="595"/>
      <c r="AK28" s="595"/>
      <c r="AL28" s="595"/>
      <c r="AM28" s="596"/>
      <c r="AN28" s="595" t="str">
        <f ca="1">IFERROR(__xludf.DUMMYFUNCTION("""COMPUTED_VALUE"""),"―")</f>
        <v>―</v>
      </c>
      <c r="AO28" s="595" t="str">
        <f ca="1">IFERROR(__xludf.DUMMYFUNCTION("""COMPUTED_VALUE"""),"ひめぎん
末広町支店")</f>
        <v>ひめぎん
末広町支店</v>
      </c>
      <c r="AP28" s="595" t="str">
        <f ca="1">IFERROR(__xludf.DUMMYFUNCTION("""COMPUTED_VALUE"""),"2024/4/25面接　合格
2024/10/15入寮")</f>
        <v>2024/4/25面接　合格
2024/10/15入寮</v>
      </c>
    </row>
    <row r="29" spans="1:42" ht="14.5">
      <c r="A29" s="595"/>
      <c r="B29" s="595">
        <f ca="1">IFERROR(__xludf.DUMMYFUNCTION("""COMPUTED_VALUE"""),191)</f>
        <v>191</v>
      </c>
      <c r="C29" s="595" t="str">
        <f ca="1">IFERROR(__xludf.DUMMYFUNCTION("""COMPUTED_VALUE"""),"本社")</f>
        <v>本社</v>
      </c>
      <c r="D29" s="595" t="str">
        <f ca="1">IFERROR(__xludf.DUMMYFUNCTION("""COMPUTED_VALUE"""),"ベトナム")</f>
        <v>ベトナム</v>
      </c>
      <c r="E29" s="595" t="str">
        <f ca="1">IFERROR(__xludf.DUMMYFUNCTION("""COMPUTED_VALUE"""),"08001402")</f>
        <v>08001402</v>
      </c>
      <c r="F29" s="595" t="str">
        <f ca="1">IFERROR(__xludf.DUMMYFUNCTION("""COMPUTED_VALUE"""),"/appsheet/photograph/191.写真.225124.jpg")</f>
        <v>/appsheet/photograph/191.写真.225124.jpg</v>
      </c>
      <c r="G29" s="595" t="str">
        <f ca="1">IFERROR(__xludf.DUMMYFUNCTION("""COMPUTED_VALUE"""),"ファム ヒュー タン")</f>
        <v>ファム ヒュー タン</v>
      </c>
      <c r="H29" s="595" t="str">
        <f ca="1">IFERROR(__xludf.DUMMYFUNCTION("""COMPUTED_VALUE"""),"PHAM HUU THANG")</f>
        <v>PHAM HUU THANG</v>
      </c>
      <c r="I29" s="595" t="str">
        <f ca="1">IFERROR(__xludf.DUMMYFUNCTION("""COMPUTED_VALUE"""),"タン")</f>
        <v>タン</v>
      </c>
      <c r="J29" s="595" t="str">
        <f ca="1">IFERROR(__xludf.DUMMYFUNCTION("""COMPUTED_VALUE"""),"男")</f>
        <v>男</v>
      </c>
      <c r="K29" s="600">
        <f ca="1">IFERROR(__xludf.DUMMYFUNCTION("""COMPUTED_VALUE"""),38231)</f>
        <v>38231</v>
      </c>
      <c r="L29" s="595">
        <f ca="1">IFERROR(__xludf.DUMMYFUNCTION("""COMPUTED_VALUE"""),21)</f>
        <v>21</v>
      </c>
      <c r="M29" s="595" t="str">
        <f ca="1">IFERROR(__xludf.DUMMYFUNCTION("""COMPUTED_VALUE"""),"無")</f>
        <v>無</v>
      </c>
      <c r="N29" s="595" t="str">
        <f ca="1">IFERROR(__xludf.DUMMYFUNCTION("""COMPUTED_VALUE"""),"中四国")</f>
        <v>中四国</v>
      </c>
      <c r="O29" s="900">
        <f ca="1">IFERROR(__xludf.DUMMYFUNCTION("""COMPUTED_VALUE"""),45581)</f>
        <v>45581</v>
      </c>
      <c r="P29" s="595" t="str">
        <f ca="1">IFERROR(__xludf.DUMMYFUNCTION("""COMPUTED_VALUE"""),"2027/9")</f>
        <v>2027/9</v>
      </c>
      <c r="Q29" s="595" t="str">
        <f ca="1">IFERROR(__xludf.DUMMYFUNCTION("""COMPUTED_VALUE"""),"技能実習2号")</f>
        <v>技能実習2号</v>
      </c>
      <c r="R29" s="595" t="str">
        <f ca="1">IFERROR(__xludf.DUMMYFUNCTION("""COMPUTED_VALUE"""),"和泉北1-20-28アトムスカイマンション404")</f>
        <v>和泉北1-20-28アトムスカイマンション404</v>
      </c>
      <c r="S29" s="595" t="str">
        <f ca="1">IFERROR(__xludf.DUMMYFUNCTION("""COMPUTED_VALUE"""),"個2")</f>
        <v>個2</v>
      </c>
      <c r="T29" s="901">
        <f ca="1">IFERROR(__xludf.DUMMYFUNCTION("""COMPUTED_VALUE"""),20000)</f>
        <v>20000</v>
      </c>
      <c r="U29" s="600">
        <f ca="1">IFERROR(__xludf.DUMMYFUNCTION("""COMPUTED_VALUE"""),45439)</f>
        <v>45439</v>
      </c>
      <c r="V29" s="600">
        <f ca="1">IFERROR(__xludf.DUMMYFUNCTION("""COMPUTED_VALUE"""),46281)</f>
        <v>46281</v>
      </c>
      <c r="W29" s="595" t="str">
        <f ca="1">IFERROR(__xludf.DUMMYFUNCTION("""COMPUTED_VALUE"""),"UH90621287EA")</f>
        <v>UH90621287EA</v>
      </c>
      <c r="X29" s="595"/>
      <c r="Y29" s="596">
        <f ca="1">IFERROR(__xludf.DUMMYFUNCTION("""COMPUTED_VALUE"""),45580)</f>
        <v>45580</v>
      </c>
      <c r="Z29" s="595" t="str">
        <f ca="1">IFERROR(__xludf.DUMMYFUNCTION("""COMPUTED_VALUE"""),"202409購入
26シルバー
B-0343711-V182")</f>
        <v>202409購入
26シルバー
B-0343711-V182</v>
      </c>
      <c r="AA29" s="595"/>
      <c r="AB29" s="595"/>
      <c r="AC29" s="595" t="str">
        <f ca="1">IFERROR(__xludf.DUMMYFUNCTION("""COMPUTED_VALUE"""),"20250306-BS-4492
缶詰巻締初級合格")</f>
        <v>20250306-BS-4492
缶詰巻締初級合格</v>
      </c>
      <c r="AD29" s="600"/>
      <c r="AE29" s="600"/>
      <c r="AF29" s="600"/>
      <c r="AG29" s="600"/>
      <c r="AH29" s="595"/>
      <c r="AI29" s="600"/>
      <c r="AJ29" s="595"/>
      <c r="AK29" s="595"/>
      <c r="AL29" s="595"/>
      <c r="AM29" s="596"/>
      <c r="AN29" s="595" t="str">
        <f ca="1">IFERROR(__xludf.DUMMYFUNCTION("""COMPUTED_VALUE"""),"―")</f>
        <v>―</v>
      </c>
      <c r="AO29" s="595"/>
      <c r="AP29" s="595" t="str">
        <f ca="1">IFERROR(__xludf.DUMMYFUNCTION("""COMPUTED_VALUE"""),"2024/4/25面接　合格
2024/10/15入寮
2026/1/21引越。
アトム604→アトム404へ。家賃￥20000へ
中四国へ確認し、本人が1人部屋を希望し、
家賃が変更となる旨、軽微変更届を提出すればOKとの確認済")</f>
        <v>2024/4/25面接　合格
2024/10/15入寮
2026/1/21引越。
アトム604→アトム404へ。家賃￥20000へ
中四国へ確認し、本人が1人部屋を希望し、
家賃が変更となる旨、軽微変更届を提出すればOKとの確認済</v>
      </c>
    </row>
    <row r="30" spans="1:42" ht="14.5">
      <c r="A30" s="595"/>
      <c r="B30" s="595">
        <f ca="1">IFERROR(__xludf.DUMMYFUNCTION("""COMPUTED_VALUE"""),192)</f>
        <v>192</v>
      </c>
      <c r="C30" s="595" t="str">
        <f ca="1">IFERROR(__xludf.DUMMYFUNCTION("""COMPUTED_VALUE"""),"本社")</f>
        <v>本社</v>
      </c>
      <c r="D30" s="595" t="str">
        <f ca="1">IFERROR(__xludf.DUMMYFUNCTION("""COMPUTED_VALUE"""),"ベトナム")</f>
        <v>ベトナム</v>
      </c>
      <c r="E30" s="595" t="str">
        <f ca="1">IFERROR(__xludf.DUMMYFUNCTION("""COMPUTED_VALUE"""),"08001403")</f>
        <v>08001403</v>
      </c>
      <c r="F30" s="595" t="str">
        <f ca="1">IFERROR(__xludf.DUMMYFUNCTION("""COMPUTED_VALUE"""),"/appsheet/photograph/192.写真.034834.jpg")</f>
        <v>/appsheet/photograph/192.写真.034834.jpg</v>
      </c>
      <c r="G30" s="595" t="str">
        <f ca="1">IFERROR(__xludf.DUMMYFUNCTION("""COMPUTED_VALUE"""),"ホー ティ ニュン")</f>
        <v>ホー ティ ニュン</v>
      </c>
      <c r="H30" s="595" t="str">
        <f ca="1">IFERROR(__xludf.DUMMYFUNCTION("""COMPUTED_VALUE"""),"HO THI NHUNG")</f>
        <v>HO THI NHUNG</v>
      </c>
      <c r="I30" s="595" t="str">
        <f ca="1">IFERROR(__xludf.DUMMYFUNCTION("""COMPUTED_VALUE"""),"ニュン")</f>
        <v>ニュン</v>
      </c>
      <c r="J30" s="595" t="str">
        <f ca="1">IFERROR(__xludf.DUMMYFUNCTION("""COMPUTED_VALUE"""),"女")</f>
        <v>女</v>
      </c>
      <c r="K30" s="600">
        <f ca="1">IFERROR(__xludf.DUMMYFUNCTION("""COMPUTED_VALUE"""),34556)</f>
        <v>34556</v>
      </c>
      <c r="L30" s="595">
        <f ca="1">IFERROR(__xludf.DUMMYFUNCTION("""COMPUTED_VALUE"""),31)</f>
        <v>31</v>
      </c>
      <c r="M30" s="595" t="str">
        <f ca="1">IFERROR(__xludf.DUMMYFUNCTION("""COMPUTED_VALUE"""),"有")</f>
        <v>有</v>
      </c>
      <c r="N30" s="595" t="str">
        <f ca="1">IFERROR(__xludf.DUMMYFUNCTION("""COMPUTED_VALUE"""),"中四国")</f>
        <v>中四国</v>
      </c>
      <c r="O30" s="900">
        <f ca="1">IFERROR(__xludf.DUMMYFUNCTION("""COMPUTED_VALUE"""),45581)</f>
        <v>45581</v>
      </c>
      <c r="P30" s="595" t="str">
        <f ca="1">IFERROR(__xludf.DUMMYFUNCTION("""COMPUTED_VALUE"""),"2027/9")</f>
        <v>2027/9</v>
      </c>
      <c r="Q30" s="595" t="str">
        <f ca="1">IFERROR(__xludf.DUMMYFUNCTION("""COMPUTED_VALUE"""),"技能実習2号")</f>
        <v>技能実習2号</v>
      </c>
      <c r="R30" s="595" t="str">
        <f ca="1">IFERROR(__xludf.DUMMYFUNCTION("""COMPUTED_VALUE"""),"和泉北1-20-28アトムスカイマンション401")</f>
        <v>和泉北1-20-28アトムスカイマンション401</v>
      </c>
      <c r="S30" s="595" t="str">
        <f ca="1">IFERROR(__xludf.DUMMYFUNCTION("""COMPUTED_VALUE"""),"相1")</f>
        <v>相1</v>
      </c>
      <c r="T30" s="901">
        <f ca="1">IFERROR(__xludf.DUMMYFUNCTION("""COMPUTED_VALUE"""),10000)</f>
        <v>10000</v>
      </c>
      <c r="U30" s="600">
        <f ca="1">IFERROR(__xludf.DUMMYFUNCTION("""COMPUTED_VALUE"""),45439)</f>
        <v>45439</v>
      </c>
      <c r="V30" s="600">
        <f ca="1">IFERROR(__xludf.DUMMYFUNCTION("""COMPUTED_VALUE"""),46281)</f>
        <v>46281</v>
      </c>
      <c r="W30" s="595" t="str">
        <f ca="1">IFERROR(__xludf.DUMMYFUNCTION("""COMPUTED_VALUE"""),"UH78850007EA")</f>
        <v>UH78850007EA</v>
      </c>
      <c r="X30" s="595"/>
      <c r="Y30" s="596">
        <f ca="1">IFERROR(__xludf.DUMMYFUNCTION("""COMPUTED_VALUE"""),45580)</f>
        <v>45580</v>
      </c>
      <c r="Z30" s="595" t="str">
        <f ca="1">IFERROR(__xludf.DUMMYFUNCTION("""COMPUTED_VALUE"""),"202409購入
26シルバー
B-0343712-V209")</f>
        <v>202409購入
26シルバー
B-0343712-V209</v>
      </c>
      <c r="AA30" s="595"/>
      <c r="AB30" s="595"/>
      <c r="AC30" s="595" t="str">
        <f ca="1">IFERROR(__xludf.DUMMYFUNCTION("""COMPUTED_VALUE"""),"20250306-BS-4493
缶詰巻締初級合格")</f>
        <v>20250306-BS-4493
缶詰巻締初級合格</v>
      </c>
      <c r="AD30" s="600"/>
      <c r="AE30" s="600"/>
      <c r="AF30" s="600"/>
      <c r="AG30" s="600"/>
      <c r="AH30" s="595"/>
      <c r="AI30" s="600"/>
      <c r="AJ30" s="595"/>
      <c r="AK30" s="595"/>
      <c r="AL30" s="595"/>
      <c r="AM30" s="596"/>
      <c r="AN30" s="595" t="str">
        <f ca="1">IFERROR(__xludf.DUMMYFUNCTION("""COMPUTED_VALUE"""),"―")</f>
        <v>―</v>
      </c>
      <c r="AO30" s="595"/>
      <c r="AP30" s="595" t="str">
        <f ca="1">IFERROR(__xludf.DUMMYFUNCTION("""COMPUTED_VALUE"""),"2024/4/25面接　合格
2024/10/15入寮")</f>
        <v>2024/4/25面接　合格
2024/10/15入寮</v>
      </c>
    </row>
    <row r="31" spans="1:42" ht="14.5">
      <c r="A31" s="595" t="str">
        <f ca="1">IFERROR(__xludf.DUMMYFUNCTION("""COMPUTED_VALUE"""),"　")</f>
        <v>　</v>
      </c>
      <c r="B31" s="595">
        <f ca="1">IFERROR(__xludf.DUMMYFUNCTION("""COMPUTED_VALUE"""),193)</f>
        <v>193</v>
      </c>
      <c r="C31" s="595" t="str">
        <f ca="1">IFERROR(__xludf.DUMMYFUNCTION("""COMPUTED_VALUE"""),"本社")</f>
        <v>本社</v>
      </c>
      <c r="D31" s="595" t="str">
        <f ca="1">IFERROR(__xludf.DUMMYFUNCTION("""COMPUTED_VALUE"""),"ベトナム")</f>
        <v>ベトナム</v>
      </c>
      <c r="E31" s="595" t="str">
        <f ca="1">IFERROR(__xludf.DUMMYFUNCTION("""COMPUTED_VALUE"""),"08001404")</f>
        <v>08001404</v>
      </c>
      <c r="F31" s="595" t="str">
        <f ca="1">IFERROR(__xludf.DUMMYFUNCTION("""COMPUTED_VALUE"""),"/appsheet/photograph/193.写真.034754.jpg")</f>
        <v>/appsheet/photograph/193.写真.034754.jpg</v>
      </c>
      <c r="G31" s="595" t="str">
        <f ca="1">IFERROR(__xludf.DUMMYFUNCTION("""COMPUTED_VALUE"""),"グエン ティ リエウ")</f>
        <v>グエン ティ リエウ</v>
      </c>
      <c r="H31" s="595" t="str">
        <f ca="1">IFERROR(__xludf.DUMMYFUNCTION("""COMPUTED_VALUE"""),"NGUYEN THI LIEU")</f>
        <v>NGUYEN THI LIEU</v>
      </c>
      <c r="I31" s="595" t="str">
        <f ca="1">IFERROR(__xludf.DUMMYFUNCTION("""COMPUTED_VALUE"""),"リエウ")</f>
        <v>リエウ</v>
      </c>
      <c r="J31" s="595" t="str">
        <f ca="1">IFERROR(__xludf.DUMMYFUNCTION("""COMPUTED_VALUE"""),"女")</f>
        <v>女</v>
      </c>
      <c r="K31" s="600">
        <f ca="1">IFERROR(__xludf.DUMMYFUNCTION("""COMPUTED_VALUE"""),34223)</f>
        <v>34223</v>
      </c>
      <c r="L31" s="595">
        <f ca="1">IFERROR(__xludf.DUMMYFUNCTION("""COMPUTED_VALUE"""),32)</f>
        <v>32</v>
      </c>
      <c r="M31" s="595" t="str">
        <f ca="1">IFERROR(__xludf.DUMMYFUNCTION("""COMPUTED_VALUE"""),"有")</f>
        <v>有</v>
      </c>
      <c r="N31" s="595" t="str">
        <f ca="1">IFERROR(__xludf.DUMMYFUNCTION("""COMPUTED_VALUE"""),"中四国")</f>
        <v>中四国</v>
      </c>
      <c r="O31" s="900">
        <f ca="1">IFERROR(__xludf.DUMMYFUNCTION("""COMPUTED_VALUE"""),45581)</f>
        <v>45581</v>
      </c>
      <c r="P31" s="595" t="str">
        <f ca="1">IFERROR(__xludf.DUMMYFUNCTION("""COMPUTED_VALUE"""),"2027/9")</f>
        <v>2027/9</v>
      </c>
      <c r="Q31" s="595" t="str">
        <f ca="1">IFERROR(__xludf.DUMMYFUNCTION("""COMPUTED_VALUE"""),"技能実習2号")</f>
        <v>技能実習2号</v>
      </c>
      <c r="R31" s="595" t="str">
        <f ca="1">IFERROR(__xludf.DUMMYFUNCTION("""COMPUTED_VALUE"""),"和泉北1-20-28アトムスカイマンション401")</f>
        <v>和泉北1-20-28アトムスカイマンション401</v>
      </c>
      <c r="S31" s="595" t="str">
        <f ca="1">IFERROR(__xludf.DUMMYFUNCTION("""COMPUTED_VALUE"""),"相2")</f>
        <v>相2</v>
      </c>
      <c r="T31" s="901">
        <f ca="1">IFERROR(__xludf.DUMMYFUNCTION("""COMPUTED_VALUE"""),10000)</f>
        <v>10000</v>
      </c>
      <c r="U31" s="600">
        <f ca="1">IFERROR(__xludf.DUMMYFUNCTION("""COMPUTED_VALUE"""),45439)</f>
        <v>45439</v>
      </c>
      <c r="V31" s="600">
        <f ca="1">IFERROR(__xludf.DUMMYFUNCTION("""COMPUTED_VALUE"""),46281)</f>
        <v>46281</v>
      </c>
      <c r="W31" s="595" t="str">
        <f ca="1">IFERROR(__xludf.DUMMYFUNCTION("""COMPUTED_VALUE"""),"UH71184870EA")</f>
        <v>UH71184870EA</v>
      </c>
      <c r="X31" s="595"/>
      <c r="Y31" s="596">
        <f ca="1">IFERROR(__xludf.DUMMYFUNCTION("""COMPUTED_VALUE"""),45580)</f>
        <v>45580</v>
      </c>
      <c r="Z31" s="595" t="str">
        <f ca="1">IFERROR(__xludf.DUMMYFUNCTION("""COMPUTED_VALUE"""),"202409購入
26シルバー
B-0343713-V239")</f>
        <v>202409購入
26シルバー
B-0343713-V239</v>
      </c>
      <c r="AA31" s="595"/>
      <c r="AB31" s="595"/>
      <c r="AC31" s="595" t="str">
        <f ca="1">IFERROR(__xludf.DUMMYFUNCTION("""COMPUTED_VALUE"""),"20250306-BS-4494
缶詰巻締初級合格")</f>
        <v>20250306-BS-4494
缶詰巻締初級合格</v>
      </c>
      <c r="AD31" s="600"/>
      <c r="AE31" s="600"/>
      <c r="AF31" s="600"/>
      <c r="AG31" s="600"/>
      <c r="AH31" s="595"/>
      <c r="AI31" s="600"/>
      <c r="AJ31" s="595"/>
      <c r="AK31" s="595"/>
      <c r="AL31" s="595"/>
      <c r="AM31" s="596"/>
      <c r="AN31" s="595" t="str">
        <f ca="1">IFERROR(__xludf.DUMMYFUNCTION("""COMPUTED_VALUE"""),"―")</f>
        <v>―</v>
      </c>
      <c r="AO31" s="595"/>
      <c r="AP31" s="595" t="str">
        <f ca="1">IFERROR(__xludf.DUMMYFUNCTION("""COMPUTED_VALUE"""),"2024/4/25面接　合格
2024/10/15入寮")</f>
        <v>2024/4/25面接　合格
2024/10/15入寮</v>
      </c>
    </row>
    <row r="32" spans="1:42" ht="14.5">
      <c r="A32" s="595"/>
      <c r="B32" s="595">
        <f ca="1">IFERROR(__xludf.DUMMYFUNCTION("""COMPUTED_VALUE"""),194)</f>
        <v>194</v>
      </c>
      <c r="C32" s="595" t="str">
        <f ca="1">IFERROR(__xludf.DUMMYFUNCTION("""COMPUTED_VALUE"""),"本社")</f>
        <v>本社</v>
      </c>
      <c r="D32" s="595" t="str">
        <f ca="1">IFERROR(__xludf.DUMMYFUNCTION("""COMPUTED_VALUE"""),"ベトナム")</f>
        <v>ベトナム</v>
      </c>
      <c r="E32" s="595" t="str">
        <f ca="1">IFERROR(__xludf.DUMMYFUNCTION("""COMPUTED_VALUE"""),"08001405")</f>
        <v>08001405</v>
      </c>
      <c r="F32" s="595" t="str">
        <f ca="1">IFERROR(__xludf.DUMMYFUNCTION("""COMPUTED_VALUE"""),"/appsheet/photograph/194.写真.234937.jpg")</f>
        <v>/appsheet/photograph/194.写真.234937.jpg</v>
      </c>
      <c r="G32" s="595" t="str">
        <f ca="1">IFERROR(__xludf.DUMMYFUNCTION("""COMPUTED_VALUE"""),"ディン ティ タオ グエン")</f>
        <v>ディン ティ タオ グエン</v>
      </c>
      <c r="H32" s="595" t="str">
        <f ca="1">IFERROR(__xludf.DUMMYFUNCTION("""COMPUTED_VALUE"""),"DINH THI THAO NGUYEN")</f>
        <v>DINH THI THAO NGUYEN</v>
      </c>
      <c r="I32" s="595" t="str">
        <f ca="1">IFERROR(__xludf.DUMMYFUNCTION("""COMPUTED_VALUE"""),"ディン")</f>
        <v>ディン</v>
      </c>
      <c r="J32" s="595" t="str">
        <f ca="1">IFERROR(__xludf.DUMMYFUNCTION("""COMPUTED_VALUE"""),"女")</f>
        <v>女</v>
      </c>
      <c r="K32" s="600">
        <f ca="1">IFERROR(__xludf.DUMMYFUNCTION("""COMPUTED_VALUE"""),37901)</f>
        <v>37901</v>
      </c>
      <c r="L32" s="595">
        <f ca="1">IFERROR(__xludf.DUMMYFUNCTION("""COMPUTED_VALUE"""),22)</f>
        <v>22</v>
      </c>
      <c r="M32" s="595" t="str">
        <f ca="1">IFERROR(__xludf.DUMMYFUNCTION("""COMPUTED_VALUE"""),"無")</f>
        <v>無</v>
      </c>
      <c r="N32" s="595" t="str">
        <f ca="1">IFERROR(__xludf.DUMMYFUNCTION("""COMPUTED_VALUE"""),"中四国")</f>
        <v>中四国</v>
      </c>
      <c r="O32" s="900">
        <f ca="1">IFERROR(__xludf.DUMMYFUNCTION("""COMPUTED_VALUE"""),45581)</f>
        <v>45581</v>
      </c>
      <c r="P32" s="595" t="str">
        <f ca="1">IFERROR(__xludf.DUMMYFUNCTION("""COMPUTED_VALUE"""),"2027/9")</f>
        <v>2027/9</v>
      </c>
      <c r="Q32" s="595" t="str">
        <f ca="1">IFERROR(__xludf.DUMMYFUNCTION("""COMPUTED_VALUE"""),"技能実習2号")</f>
        <v>技能実習2号</v>
      </c>
      <c r="R32" s="595" t="str">
        <f ca="1">IFERROR(__xludf.DUMMYFUNCTION("""COMPUTED_VALUE"""),"和泉北1-20-28アトムスカイマンション401")</f>
        <v>和泉北1-20-28アトムスカイマンション401</v>
      </c>
      <c r="S32" s="595" t="str">
        <f ca="1">IFERROR(__xludf.DUMMYFUNCTION("""COMPUTED_VALUE"""),"相3")</f>
        <v>相3</v>
      </c>
      <c r="T32" s="901">
        <f ca="1">IFERROR(__xludf.DUMMYFUNCTION("""COMPUTED_VALUE"""),10000)</f>
        <v>10000</v>
      </c>
      <c r="U32" s="600">
        <f ca="1">IFERROR(__xludf.DUMMYFUNCTION("""COMPUTED_VALUE"""),45439)</f>
        <v>45439</v>
      </c>
      <c r="V32" s="600">
        <f ca="1">IFERROR(__xludf.DUMMYFUNCTION("""COMPUTED_VALUE"""),46281)</f>
        <v>46281</v>
      </c>
      <c r="W32" s="595" t="str">
        <f ca="1">IFERROR(__xludf.DUMMYFUNCTION("""COMPUTED_VALUE"""),"UH75420369EA")</f>
        <v>UH75420369EA</v>
      </c>
      <c r="X32" s="595"/>
      <c r="Y32" s="596">
        <f ca="1">IFERROR(__xludf.DUMMYFUNCTION("""COMPUTED_VALUE"""),45580)</f>
        <v>45580</v>
      </c>
      <c r="Z32" s="595" t="str">
        <f ca="1">IFERROR(__xludf.DUMMYFUNCTION("""COMPUTED_VALUE"""),"202410購入
26シルバー
B-0344083-X221")</f>
        <v>202410購入
26シルバー
B-0344083-X221</v>
      </c>
      <c r="AA32" s="595"/>
      <c r="AB32" s="595"/>
      <c r="AC32" s="595" t="str">
        <f ca="1">IFERROR(__xludf.DUMMYFUNCTION("""COMPUTED_VALUE"""),"20250306-BS-4495
缶詰巻締初級合格")</f>
        <v>20250306-BS-4495
缶詰巻締初級合格</v>
      </c>
      <c r="AD32" s="600"/>
      <c r="AE32" s="600"/>
      <c r="AF32" s="600"/>
      <c r="AG32" s="600"/>
      <c r="AH32" s="595"/>
      <c r="AI32" s="600"/>
      <c r="AJ32" s="595"/>
      <c r="AK32" s="595"/>
      <c r="AL32" s="595"/>
      <c r="AM32" s="596"/>
      <c r="AN32" s="595" t="str">
        <f ca="1">IFERROR(__xludf.DUMMYFUNCTION("""COMPUTED_VALUE"""),"―")</f>
        <v>―</v>
      </c>
      <c r="AO32" s="595"/>
      <c r="AP32" s="595" t="str">
        <f ca="1">IFERROR(__xludf.DUMMYFUNCTION("""COMPUTED_VALUE"""),"2024/4/25面接　合格 2024/10/15入寮 2025/11/6生理が4ヶ月こないため、11/18中四国 から病院へ行く予定。2025/11/14藤原副工場長より、寝込んでいるようなので様子を見て来てほしいとのこと。→確認に行ったところ、生理痛で腹痛がひどいとのこと。明日11/15（土）の午前中まで休んで午後から出勤しますとのこと。藤原副工場長へも伝え済。連絡なしで休んでいるため、連絡するように同部屋の人に伝えておくとのこと。")</f>
        <v>2024/4/25面接　合格 2024/10/15入寮 2025/11/6生理が4ヶ月こないため、11/18中四国 から病院へ行く予定。2025/11/14藤原副工場長より、寝込んでいるようなので様子を見て来てほしいとのこと。→確認に行ったところ、生理痛で腹痛がひどいとのこと。明日11/15（土）の午前中まで休んで午後から出勤しますとのこと。藤原副工場長へも伝え済。連絡なしで休んでいるため、連絡するように同部屋の人に伝えておくとのこと。</v>
      </c>
    </row>
    <row r="33" spans="1:42" ht="14.5">
      <c r="A33" s="595"/>
      <c r="B33" s="595">
        <f ca="1">IFERROR(__xludf.DUMMYFUNCTION("""COMPUTED_VALUE"""),195)</f>
        <v>195</v>
      </c>
      <c r="C33" s="595" t="str">
        <f ca="1">IFERROR(__xludf.DUMMYFUNCTION("""COMPUTED_VALUE"""),"本社")</f>
        <v>本社</v>
      </c>
      <c r="D33" s="595" t="str">
        <f ca="1">IFERROR(__xludf.DUMMYFUNCTION("""COMPUTED_VALUE"""),"ベトナム")</f>
        <v>ベトナム</v>
      </c>
      <c r="E33" s="595" t="str">
        <f ca="1">IFERROR(__xludf.DUMMYFUNCTION("""COMPUTED_VALUE"""),"08004407")</f>
        <v>08004407</v>
      </c>
      <c r="F33" s="595" t="str">
        <f ca="1">IFERROR(__xludf.DUMMYFUNCTION("""COMPUTED_VALUE"""),"/appsheet/photograph/195.写真.224859.jpg")</f>
        <v>/appsheet/photograph/195.写真.224859.jpg</v>
      </c>
      <c r="G33" s="595" t="str">
        <f ca="1">IFERROR(__xludf.DUMMYFUNCTION("""COMPUTED_VALUE"""),"チャン ヴァン チュン")</f>
        <v>チャン ヴァン チュン</v>
      </c>
      <c r="H33" s="595" t="str">
        <f ca="1">IFERROR(__xludf.DUMMYFUNCTION("""COMPUTED_VALUE"""),"TRAN VAN CHUNG")</f>
        <v>TRAN VAN CHUNG</v>
      </c>
      <c r="I33" s="595" t="str">
        <f ca="1">IFERROR(__xludf.DUMMYFUNCTION("""COMPUTED_VALUE"""),"チャンチュン")</f>
        <v>チャンチュン</v>
      </c>
      <c r="J33" s="595" t="str">
        <f ca="1">IFERROR(__xludf.DUMMYFUNCTION("""COMPUTED_VALUE"""),"男")</f>
        <v>男</v>
      </c>
      <c r="K33" s="600">
        <f ca="1">IFERROR(__xludf.DUMMYFUNCTION("""COMPUTED_VALUE"""),38705)</f>
        <v>38705</v>
      </c>
      <c r="L33" s="595">
        <f ca="1">IFERROR(__xludf.DUMMYFUNCTION("""COMPUTED_VALUE"""),20)</f>
        <v>20</v>
      </c>
      <c r="M33" s="595" t="str">
        <f ca="1">IFERROR(__xludf.DUMMYFUNCTION("""COMPUTED_VALUE"""),"無")</f>
        <v>無</v>
      </c>
      <c r="N33" s="595" t="str">
        <f ca="1">IFERROR(__xludf.DUMMYFUNCTION("""COMPUTED_VALUE"""),"関東食肉")</f>
        <v>関東食肉</v>
      </c>
      <c r="O33" s="900">
        <f ca="1">IFERROR(__xludf.DUMMYFUNCTION("""COMPUTED_VALUE"""),45667)</f>
        <v>45667</v>
      </c>
      <c r="P33" s="595" t="str">
        <f ca="1">IFERROR(__xludf.DUMMYFUNCTION("""COMPUTED_VALUE"""),"2027/12")</f>
        <v>2027/12</v>
      </c>
      <c r="Q33" s="595" t="str">
        <f ca="1">IFERROR(__xludf.DUMMYFUNCTION("""COMPUTED_VALUE"""),"技能実習2号")</f>
        <v>技能実習2号</v>
      </c>
      <c r="R33" s="595" t="str">
        <f ca="1">IFERROR(__xludf.DUMMYFUNCTION("""COMPUTED_VALUE"""),"和泉北1-20-28アトムスカイマンション604")</f>
        <v>和泉北1-20-28アトムスカイマンション604</v>
      </c>
      <c r="S33" s="595" t="str">
        <f ca="1">IFERROR(__xludf.DUMMYFUNCTION("""COMPUTED_VALUE"""),"相2")</f>
        <v>相2</v>
      </c>
      <c r="T33" s="901">
        <f ca="1">IFERROR(__xludf.DUMMYFUNCTION("""COMPUTED_VALUE"""),10000)</f>
        <v>10000</v>
      </c>
      <c r="U33" s="600">
        <f ca="1">IFERROR(__xludf.DUMMYFUNCTION("""COMPUTED_VALUE"""),45522)</f>
        <v>45522</v>
      </c>
      <c r="V33" s="600">
        <f ca="1">IFERROR(__xludf.DUMMYFUNCTION("""COMPUTED_VALUE"""),46416)</f>
        <v>46416</v>
      </c>
      <c r="W33" s="595" t="str">
        <f ca="1">IFERROR(__xludf.DUMMYFUNCTION("""COMPUTED_VALUE"""),"LJ56119282PC")</f>
        <v>LJ56119282PC</v>
      </c>
      <c r="X33" s="595"/>
      <c r="Y33" s="596"/>
      <c r="Z33" s="595" t="str">
        <f ca="1">IFERROR(__xludf.DUMMYFUNCTION("""COMPUTED_VALUE"""),"旧7913　195
B-0247913-1610")</f>
        <v>旧7913　195
B-0247913-1610</v>
      </c>
      <c r="AA33" s="595"/>
      <c r="AB33" s="595"/>
      <c r="AC33" s="595"/>
      <c r="AD33" s="600"/>
      <c r="AE33" s="600"/>
      <c r="AF33" s="600"/>
      <c r="AG33" s="600"/>
      <c r="AH33" s="595"/>
      <c r="AI33" s="600"/>
      <c r="AJ33" s="595"/>
      <c r="AK33" s="595"/>
      <c r="AL33" s="595"/>
      <c r="AM33" s="596"/>
      <c r="AN33" s="595" t="str">
        <f ca="1">IFERROR(__xludf.DUMMYFUNCTION("""COMPUTED_VALUE"""),"―")</f>
        <v>―</v>
      </c>
      <c r="AO33" s="595"/>
      <c r="AP33" s="595" t="str">
        <f ca="1">IFERROR(__xludf.DUMMYFUNCTION("""COMPUTED_VALUE"""),"2024/5/30面接合格　2024/12/02入国 
2025/01/09入寮 1/10入社")</f>
        <v>2024/5/30面接合格　2024/12/02入国 
2025/01/09入寮 1/10入社</v>
      </c>
    </row>
    <row r="34" spans="1:42" ht="14.5">
      <c r="A34" s="595"/>
      <c r="B34" s="595">
        <f ca="1">IFERROR(__xludf.DUMMYFUNCTION("""COMPUTED_VALUE"""),196)</f>
        <v>196</v>
      </c>
      <c r="C34" s="595" t="str">
        <f ca="1">IFERROR(__xludf.DUMMYFUNCTION("""COMPUTED_VALUE"""),"本社")</f>
        <v>本社</v>
      </c>
      <c r="D34" s="595" t="str">
        <f ca="1">IFERROR(__xludf.DUMMYFUNCTION("""COMPUTED_VALUE"""),"ベトナム")</f>
        <v>ベトナム</v>
      </c>
      <c r="E34" s="595" t="str">
        <f ca="1">IFERROR(__xludf.DUMMYFUNCTION("""COMPUTED_VALUE"""),"08004408")</f>
        <v>08004408</v>
      </c>
      <c r="F34" s="595" t="str">
        <f ca="1">IFERROR(__xludf.DUMMYFUNCTION("""COMPUTED_VALUE"""),"/appsheet/photograph/196.写真.224807.jpg")</f>
        <v>/appsheet/photograph/196.写真.224807.jpg</v>
      </c>
      <c r="G34" s="595" t="str">
        <f ca="1">IFERROR(__xludf.DUMMYFUNCTION("""COMPUTED_VALUE"""),"ブイ ヴァン ライ")</f>
        <v>ブイ ヴァン ライ</v>
      </c>
      <c r="H34" s="595" t="str">
        <f ca="1">IFERROR(__xludf.DUMMYFUNCTION("""COMPUTED_VALUE"""),"BUI VAN LAI")</f>
        <v>BUI VAN LAI</v>
      </c>
      <c r="I34" s="595" t="str">
        <f ca="1">IFERROR(__xludf.DUMMYFUNCTION("""COMPUTED_VALUE"""),"ライ")</f>
        <v>ライ</v>
      </c>
      <c r="J34" s="595" t="str">
        <f ca="1">IFERROR(__xludf.DUMMYFUNCTION("""COMPUTED_VALUE"""),"男")</f>
        <v>男</v>
      </c>
      <c r="K34" s="600">
        <f ca="1">IFERROR(__xludf.DUMMYFUNCTION("""COMPUTED_VALUE"""),36488)</f>
        <v>36488</v>
      </c>
      <c r="L34" s="595">
        <f ca="1">IFERROR(__xludf.DUMMYFUNCTION("""COMPUTED_VALUE"""),26)</f>
        <v>26</v>
      </c>
      <c r="M34" s="595" t="str">
        <f ca="1">IFERROR(__xludf.DUMMYFUNCTION("""COMPUTED_VALUE"""),"有")</f>
        <v>有</v>
      </c>
      <c r="N34" s="595" t="str">
        <f ca="1">IFERROR(__xludf.DUMMYFUNCTION("""COMPUTED_VALUE"""),"関東食肉")</f>
        <v>関東食肉</v>
      </c>
      <c r="O34" s="900">
        <f ca="1">IFERROR(__xludf.DUMMYFUNCTION("""COMPUTED_VALUE"""),45667)</f>
        <v>45667</v>
      </c>
      <c r="P34" s="595" t="str">
        <f ca="1">IFERROR(__xludf.DUMMYFUNCTION("""COMPUTED_VALUE"""),"2027/12")</f>
        <v>2027/12</v>
      </c>
      <c r="Q34" s="595" t="str">
        <f ca="1">IFERROR(__xludf.DUMMYFUNCTION("""COMPUTED_VALUE"""),"技能実習2号")</f>
        <v>技能実習2号</v>
      </c>
      <c r="R34" s="595" t="str">
        <f ca="1">IFERROR(__xludf.DUMMYFUNCTION("""COMPUTED_VALUE"""),"和泉北1-20-28アトムスカイマンション604")</f>
        <v>和泉北1-20-28アトムスカイマンション604</v>
      </c>
      <c r="S34" s="595" t="str">
        <f ca="1">IFERROR(__xludf.DUMMYFUNCTION("""COMPUTED_VALUE"""),"相2")</f>
        <v>相2</v>
      </c>
      <c r="T34" s="901">
        <f ca="1">IFERROR(__xludf.DUMMYFUNCTION("""COMPUTED_VALUE"""),10000)</f>
        <v>10000</v>
      </c>
      <c r="U34" s="600">
        <f ca="1">IFERROR(__xludf.DUMMYFUNCTION("""COMPUTED_VALUE"""),45522)</f>
        <v>45522</v>
      </c>
      <c r="V34" s="600">
        <f ca="1">IFERROR(__xludf.DUMMYFUNCTION("""COMPUTED_VALUE"""),46416)</f>
        <v>46416</v>
      </c>
      <c r="W34" s="595" t="str">
        <f ca="1">IFERROR(__xludf.DUMMYFUNCTION("""COMPUTED_VALUE"""),"LJ05065975PC")</f>
        <v>LJ05065975PC</v>
      </c>
      <c r="X34" s="595"/>
      <c r="Y34" s="596"/>
      <c r="Z34" s="595" t="str">
        <f ca="1">IFERROR(__xludf.DUMMYFUNCTION("""COMPUTED_VALUE"""),"旧6666　196
B-0246666-1656")</f>
        <v>旧6666　196
B-0246666-1656</v>
      </c>
      <c r="AA34" s="595"/>
      <c r="AB34" s="595"/>
      <c r="AC34" s="595"/>
      <c r="AD34" s="600"/>
      <c r="AE34" s="600"/>
      <c r="AF34" s="600"/>
      <c r="AG34" s="600"/>
      <c r="AH34" s="595"/>
      <c r="AI34" s="600"/>
      <c r="AJ34" s="595"/>
      <c r="AK34" s="595"/>
      <c r="AL34" s="595"/>
      <c r="AM34" s="596"/>
      <c r="AN34" s="595" t="str">
        <f ca="1">IFERROR(__xludf.DUMMYFUNCTION("""COMPUTED_VALUE"""),"―")</f>
        <v>―</v>
      </c>
      <c r="AO34" s="595"/>
      <c r="AP34" s="595" t="str">
        <f ca="1">IFERROR(__xludf.DUMMYFUNCTION("""COMPUTED_VALUE"""),"2024/5/30面接合格　2024/12/02入国 
2025/01/09入寮 1/10入社")</f>
        <v>2024/5/30面接合格　2024/12/02入国 
2025/01/09入寮 1/10入社</v>
      </c>
    </row>
    <row r="35" spans="1:42" ht="14.5">
      <c r="A35" s="595"/>
      <c r="B35" s="595">
        <f ca="1">IFERROR(__xludf.DUMMYFUNCTION("""COMPUTED_VALUE"""),197)</f>
        <v>197</v>
      </c>
      <c r="C35" s="595" t="str">
        <f ca="1">IFERROR(__xludf.DUMMYFUNCTION("""COMPUTED_VALUE"""),"本社")</f>
        <v>本社</v>
      </c>
      <c r="D35" s="595" t="str">
        <f ca="1">IFERROR(__xludf.DUMMYFUNCTION("""COMPUTED_VALUE"""),"ベトナム")</f>
        <v>ベトナム</v>
      </c>
      <c r="E35" s="595" t="str">
        <f ca="1">IFERROR(__xludf.DUMMYFUNCTION("""COMPUTED_VALUE"""),"07001616")</f>
        <v>07001616</v>
      </c>
      <c r="F35" s="595" t="str">
        <f ca="1">IFERROR(__xludf.DUMMYFUNCTION("""COMPUTED_VALUE"""),"/appsheet/photograph/197.写真.000636.jpg")</f>
        <v>/appsheet/photograph/197.写真.000636.jpg</v>
      </c>
      <c r="G35" s="595" t="str">
        <f ca="1">IFERROR(__xludf.DUMMYFUNCTION("""COMPUTED_VALUE"""),"チャン ティ トゥー ヒエン")</f>
        <v>チャン ティ トゥー ヒエン</v>
      </c>
      <c r="H35" s="595" t="str">
        <f ca="1">IFERROR(__xludf.DUMMYFUNCTION("""COMPUTED_VALUE"""),"TRAN THI THU HIEN")</f>
        <v>TRAN THI THU HIEN</v>
      </c>
      <c r="I35" s="595" t="str">
        <f ca="1">IFERROR(__xludf.DUMMYFUNCTION("""COMPUTED_VALUE"""),"ヒエン")</f>
        <v>ヒエン</v>
      </c>
      <c r="J35" s="595" t="str">
        <f ca="1">IFERROR(__xludf.DUMMYFUNCTION("""COMPUTED_VALUE"""),"女")</f>
        <v>女</v>
      </c>
      <c r="K35" s="600">
        <f ca="1">IFERROR(__xludf.DUMMYFUNCTION("""COMPUTED_VALUE"""),33673)</f>
        <v>33673</v>
      </c>
      <c r="L35" s="595">
        <f ca="1">IFERROR(__xludf.DUMMYFUNCTION("""COMPUTED_VALUE"""),34)</f>
        <v>34</v>
      </c>
      <c r="M35" s="595" t="str">
        <f ca="1">IFERROR(__xludf.DUMMYFUNCTION("""COMPUTED_VALUE"""),"有")</f>
        <v>有</v>
      </c>
      <c r="N35" s="595" t="str">
        <f ca="1">IFERROR(__xludf.DUMMYFUNCTION("""COMPUTED_VALUE"""),"中四国")</f>
        <v>中四国</v>
      </c>
      <c r="O35" s="900">
        <f ca="1">IFERROR(__xludf.DUMMYFUNCTION("""COMPUTED_VALUE"""),45714)</f>
        <v>45714</v>
      </c>
      <c r="P35" s="595" t="str">
        <f ca="1">IFERROR(__xludf.DUMMYFUNCTION("""COMPUTED_VALUE"""),"2030/01")</f>
        <v>2030/01</v>
      </c>
      <c r="Q35" s="595" t="str">
        <f ca="1">IFERROR(__xludf.DUMMYFUNCTION("""COMPUTED_VALUE"""),"特定技能１号")</f>
        <v>特定技能１号</v>
      </c>
      <c r="R35" s="595" t="str">
        <f ca="1">IFERROR(__xludf.DUMMYFUNCTION("""COMPUTED_VALUE"""),"和泉北1-20-28アトムスカイマンション705")</f>
        <v>和泉北1-20-28アトムスカイマンション705</v>
      </c>
      <c r="S35" s="595" t="str">
        <f ca="1">IFERROR(__xludf.DUMMYFUNCTION("""COMPUTED_VALUE"""),"夫婦")</f>
        <v>夫婦</v>
      </c>
      <c r="T35" s="901">
        <f ca="1">IFERROR(__xludf.DUMMYFUNCTION("""COMPUTED_VALUE"""),45000)</f>
        <v>45000</v>
      </c>
      <c r="U35" s="600">
        <f ca="1">IFERROR(__xludf.DUMMYFUNCTION("""COMPUTED_VALUE"""),45986)</f>
        <v>45986</v>
      </c>
      <c r="V35" s="600">
        <f ca="1">IFERROR(__xludf.DUMMYFUNCTION("""COMPUTED_VALUE"""),46439)</f>
        <v>46439</v>
      </c>
      <c r="W35" s="595" t="str">
        <f ca="1">IFERROR(__xludf.DUMMYFUNCTION("""COMPUTED_VALUE"""),"LJ18084808PC")</f>
        <v>LJ18084808PC</v>
      </c>
      <c r="X35" s="595"/>
      <c r="Y35" s="596">
        <f ca="1">IFERROR(__xludf.DUMMYFUNCTION("""COMPUTED_VALUE"""),45791)</f>
        <v>45791</v>
      </c>
      <c r="Z35" s="595" t="str">
        <f ca="1">IFERROR(__xludf.DUMMYFUNCTION("""COMPUTED_VALUE"""),"26 シルバー旧2316
B-0296115-V187")</f>
        <v>26 シルバー旧2316
B-0296115-V187</v>
      </c>
      <c r="AA35" s="595"/>
      <c r="AB35" s="595"/>
      <c r="AC35" s="595"/>
      <c r="AD35" s="600">
        <f ca="1">IFERROR(__xludf.DUMMYFUNCTION("""COMPUTED_VALUE"""),45066)</f>
        <v>45066</v>
      </c>
      <c r="AE35" s="600"/>
      <c r="AF35" s="600"/>
      <c r="AG35" s="600"/>
      <c r="AH35" s="595"/>
      <c r="AI35" s="600"/>
      <c r="AJ35" s="595"/>
      <c r="AK35" s="595"/>
      <c r="AL35" s="595" t="str">
        <f ca="1">IFERROR(__xludf.DUMMYFUNCTION("""COMPUTED_VALUE"""),"〇")</f>
        <v>〇</v>
      </c>
      <c r="AM35" s="596"/>
      <c r="AN35" s="595" t="str">
        <f ca="1">IFERROR(__xludf.DUMMYFUNCTION("""COMPUTED_VALUE"""),"2025/8/1～2030/1/31")</f>
        <v>2025/8/1～2030/1/31</v>
      </c>
      <c r="AO35" s="595"/>
      <c r="AP35" s="595" t="str">
        <f ca="1">IFERROR(__xludf.DUMMYFUNCTION("""COMPUTED_VALUE"""),"12/9朴さんよりTELでwifi設置依頼
2/21入国 2/25衛生講習9:00 2/26入社
妹チャンティトゥー2025/11/19入寮予定　同部屋
家賃、光熱費はヒエンが全額支払い")</f>
        <v>12/9朴さんよりTELでwifi設置依頼
2/21入国 2/25衛生講習9:00 2/26入社
妹チャンティトゥー2025/11/19入寮予定　同部屋
家賃、光熱費はヒエンが全額支払い</v>
      </c>
    </row>
    <row r="36" spans="1:42" ht="14.5">
      <c r="A36" s="595"/>
      <c r="B36" s="595">
        <f ca="1">IFERROR(__xludf.DUMMYFUNCTION("""COMPUTED_VALUE"""),200)</f>
        <v>200</v>
      </c>
      <c r="C36" s="595" t="str">
        <f ca="1">IFERROR(__xludf.DUMMYFUNCTION("""COMPUTED_VALUE"""),"協同本社")</f>
        <v>協同本社</v>
      </c>
      <c r="D36" s="595" t="str">
        <f ca="1">IFERROR(__xludf.DUMMYFUNCTION("""COMPUTED_VALUE"""),"ベトナム")</f>
        <v>ベトナム</v>
      </c>
      <c r="E36" s="595" t="str">
        <f ca="1">IFERROR(__xludf.DUMMYFUNCTION("""COMPUTED_VALUE"""),"18001403")</f>
        <v>18001403</v>
      </c>
      <c r="F36" s="595" t="str">
        <f ca="1">IFERROR(__xludf.DUMMYFUNCTION("""COMPUTED_VALUE"""),"/appsheet/photograph/200.写真.224048.jpg")</f>
        <v>/appsheet/photograph/200.写真.224048.jpg</v>
      </c>
      <c r="G36" s="595" t="str">
        <f ca="1">IFERROR(__xludf.DUMMYFUNCTION("""COMPUTED_VALUE"""),"グエン シー マイン")</f>
        <v>グエン シー マイン</v>
      </c>
      <c r="H36" s="595" t="str">
        <f ca="1">IFERROR(__xludf.DUMMYFUNCTION("""COMPUTED_VALUE"""),"NGUYEN SY MANH")</f>
        <v>NGUYEN SY MANH</v>
      </c>
      <c r="I36" s="595" t="str">
        <f ca="1">IFERROR(__xludf.DUMMYFUNCTION("""COMPUTED_VALUE"""),"シー")</f>
        <v>シー</v>
      </c>
      <c r="J36" s="595" t="str">
        <f ca="1">IFERROR(__xludf.DUMMYFUNCTION("""COMPUTED_VALUE"""),"男")</f>
        <v>男</v>
      </c>
      <c r="K36" s="600">
        <f ca="1">IFERROR(__xludf.DUMMYFUNCTION("""COMPUTED_VALUE"""),38672)</f>
        <v>38672</v>
      </c>
      <c r="L36" s="595">
        <f ca="1">IFERROR(__xludf.DUMMYFUNCTION("""COMPUTED_VALUE"""),20)</f>
        <v>20</v>
      </c>
      <c r="M36" s="595" t="str">
        <f ca="1">IFERROR(__xludf.DUMMYFUNCTION("""COMPUTED_VALUE"""),"無")</f>
        <v>無</v>
      </c>
      <c r="N36" s="595" t="str">
        <f ca="1">IFERROR(__xludf.DUMMYFUNCTION("""COMPUTED_VALUE"""),"中四国")</f>
        <v>中四国</v>
      </c>
      <c r="O36" s="900">
        <f ca="1">IFERROR(__xludf.DUMMYFUNCTION("""COMPUTED_VALUE"""),45778)</f>
        <v>45778</v>
      </c>
      <c r="P36" s="595" t="str">
        <f ca="1">IFERROR(__xludf.DUMMYFUNCTION("""COMPUTED_VALUE"""),"2028/04")</f>
        <v>2028/04</v>
      </c>
      <c r="Q36" s="595" t="str">
        <f ca="1">IFERROR(__xludf.DUMMYFUNCTION("""COMPUTED_VALUE"""),"技能実習1号")</f>
        <v>技能実習1号</v>
      </c>
      <c r="R36" s="595" t="str">
        <f ca="1">IFERROR(__xludf.DUMMYFUNCTION("""COMPUTED_VALUE"""),"和泉北1-20-28アトムスカイマンション605")</f>
        <v>和泉北1-20-28アトムスカイマンション605</v>
      </c>
      <c r="S36" s="595" t="str">
        <f ca="1">IFERROR(__xludf.DUMMYFUNCTION("""COMPUTED_VALUE"""),"相1")</f>
        <v>相1</v>
      </c>
      <c r="T36" s="901">
        <f ca="1">IFERROR(__xludf.DUMMYFUNCTION("""COMPUTED_VALUE"""),10000)</f>
        <v>10000</v>
      </c>
      <c r="U36" s="600">
        <f ca="1">IFERROR(__xludf.DUMMYFUNCTION("""COMPUTED_VALUE"""),45758)</f>
        <v>45758</v>
      </c>
      <c r="V36" s="600">
        <f ca="1">IFERROR(__xludf.DUMMYFUNCTION("""COMPUTED_VALUE"""),46108)</f>
        <v>46108</v>
      </c>
      <c r="W36" s="595" t="str">
        <f ca="1">IFERROR(__xludf.DUMMYFUNCTION("""COMPUTED_VALUE"""),"UH05987589FA")</f>
        <v>UH05987589FA</v>
      </c>
      <c r="X36" s="595"/>
      <c r="Y36" s="596">
        <f ca="1">IFERROR(__xludf.DUMMYFUNCTION("""COMPUTED_VALUE"""),45777)</f>
        <v>45777</v>
      </c>
      <c r="Z36" s="595" t="str">
        <f ca="1">IFERROR(__xludf.DUMMYFUNCTION("""COMPUTED_VALUE"""),"鍵付替 白-26
B-0128655-V088
事故により交換2025/12/23
B-0343698-X132")</f>
        <v>鍵付替 白-26
B-0128655-V088
事故により交換2025/12/23
B-0343698-X132</v>
      </c>
      <c r="AA36" s="595"/>
      <c r="AB36" s="595"/>
      <c r="AC36" s="595"/>
      <c r="AD36" s="600"/>
      <c r="AE36" s="600"/>
      <c r="AF36" s="600"/>
      <c r="AG36" s="600"/>
      <c r="AH36" s="595"/>
      <c r="AI36" s="600"/>
      <c r="AJ36" s="595"/>
      <c r="AK36" s="595"/>
      <c r="AL36" s="595"/>
      <c r="AM36" s="596"/>
      <c r="AN36" s="595" t="str">
        <f ca="1">IFERROR(__xludf.DUMMYFUNCTION("""COMPUTED_VALUE"""),"―")</f>
        <v>―</v>
      </c>
      <c r="AO36" s="595"/>
      <c r="AP36" s="595" t="str">
        <f ca="1">IFERROR(__xludf.DUMMYFUNCTION("""COMPUTED_VALUE"""),"2/28面接　合格
岩手からの紹介
2025/12/21自転車で事故（相手自転車）")</f>
        <v>2/28面接　合格
岩手からの紹介
2025/12/21自転車で事故（相手自転車）</v>
      </c>
    </row>
    <row r="37" spans="1:42" ht="14.5">
      <c r="A37" s="595"/>
      <c r="B37" s="595">
        <f ca="1">IFERROR(__xludf.DUMMYFUNCTION("""COMPUTED_VALUE"""),201)</f>
        <v>201</v>
      </c>
      <c r="C37" s="595" t="str">
        <f ca="1">IFERROR(__xludf.DUMMYFUNCTION("""COMPUTED_VALUE"""),"協同本社")</f>
        <v>協同本社</v>
      </c>
      <c r="D37" s="595" t="str">
        <f ca="1">IFERROR(__xludf.DUMMYFUNCTION("""COMPUTED_VALUE"""),"ベトナム")</f>
        <v>ベトナム</v>
      </c>
      <c r="E37" s="595" t="str">
        <f ca="1">IFERROR(__xludf.DUMMYFUNCTION("""COMPUTED_VALUE"""),"18001404")</f>
        <v>18001404</v>
      </c>
      <c r="F37" s="595" t="str">
        <f ca="1">IFERROR(__xludf.DUMMYFUNCTION("""COMPUTED_VALUE"""),"/appsheet/photograph/201.写真.224018.jpg")</f>
        <v>/appsheet/photograph/201.写真.224018.jpg</v>
      </c>
      <c r="G37" s="595" t="str">
        <f ca="1">IFERROR(__xludf.DUMMYFUNCTION("""COMPUTED_VALUE"""),"チン バン タイン")</f>
        <v>チン バン タイン</v>
      </c>
      <c r="H37" s="595" t="str">
        <f ca="1">IFERROR(__xludf.DUMMYFUNCTION("""COMPUTED_VALUE"""),"TRINH VAN THANH")</f>
        <v>TRINH VAN THANH</v>
      </c>
      <c r="I37" s="595" t="str">
        <f ca="1">IFERROR(__xludf.DUMMYFUNCTION("""COMPUTED_VALUE"""),"チン")</f>
        <v>チン</v>
      </c>
      <c r="J37" s="595" t="str">
        <f ca="1">IFERROR(__xludf.DUMMYFUNCTION("""COMPUTED_VALUE"""),"男")</f>
        <v>男</v>
      </c>
      <c r="K37" s="600">
        <f ca="1">IFERROR(__xludf.DUMMYFUNCTION("""COMPUTED_VALUE"""),36460)</f>
        <v>36460</v>
      </c>
      <c r="L37" s="595">
        <f ca="1">IFERROR(__xludf.DUMMYFUNCTION("""COMPUTED_VALUE"""),26)</f>
        <v>26</v>
      </c>
      <c r="M37" s="595" t="str">
        <f ca="1">IFERROR(__xludf.DUMMYFUNCTION("""COMPUTED_VALUE"""),"有")</f>
        <v>有</v>
      </c>
      <c r="N37" s="595" t="str">
        <f ca="1">IFERROR(__xludf.DUMMYFUNCTION("""COMPUTED_VALUE"""),"中四国")</f>
        <v>中四国</v>
      </c>
      <c r="O37" s="900">
        <f ca="1">IFERROR(__xludf.DUMMYFUNCTION("""COMPUTED_VALUE"""),45778)</f>
        <v>45778</v>
      </c>
      <c r="P37" s="595" t="str">
        <f ca="1">IFERROR(__xludf.DUMMYFUNCTION("""COMPUTED_VALUE"""),"2028/04")</f>
        <v>2028/04</v>
      </c>
      <c r="Q37" s="595" t="str">
        <f ca="1">IFERROR(__xludf.DUMMYFUNCTION("""COMPUTED_VALUE"""),"技能実習1号")</f>
        <v>技能実習1号</v>
      </c>
      <c r="R37" s="595" t="str">
        <f ca="1">IFERROR(__xludf.DUMMYFUNCTION("""COMPUTED_VALUE"""),"和泉北1-20-28アトムスカイマンション605")</f>
        <v>和泉北1-20-28アトムスカイマンション605</v>
      </c>
      <c r="S37" s="595" t="str">
        <f ca="1">IFERROR(__xludf.DUMMYFUNCTION("""COMPUTED_VALUE"""),"相2")</f>
        <v>相2</v>
      </c>
      <c r="T37" s="901">
        <f ca="1">IFERROR(__xludf.DUMMYFUNCTION("""COMPUTED_VALUE"""),10000)</f>
        <v>10000</v>
      </c>
      <c r="U37" s="600">
        <f ca="1">IFERROR(__xludf.DUMMYFUNCTION("""COMPUTED_VALUE"""),45758)</f>
        <v>45758</v>
      </c>
      <c r="V37" s="600">
        <f ca="1">IFERROR(__xludf.DUMMYFUNCTION("""COMPUTED_VALUE"""),46108)</f>
        <v>46108</v>
      </c>
      <c r="W37" s="595" t="str">
        <f ca="1">IFERROR(__xludf.DUMMYFUNCTION("""COMPUTED_VALUE"""),"UH75130225FA")</f>
        <v>UH75130225FA</v>
      </c>
      <c r="X37" s="595"/>
      <c r="Y37" s="596">
        <f ca="1">IFERROR(__xludf.DUMMYFUNCTION("""COMPUTED_VALUE"""),45777)</f>
        <v>45777</v>
      </c>
      <c r="Z37" s="595" t="str">
        <f ca="1">IFERROR(__xludf.DUMMYFUNCTION("""COMPUTED_VALUE"""),"旧ガン シルバー26
B-0247912-1155")</f>
        <v>旧ガン シルバー26
B-0247912-1155</v>
      </c>
      <c r="AA37" s="595"/>
      <c r="AB37" s="595"/>
      <c r="AC37" s="595"/>
      <c r="AD37" s="600"/>
      <c r="AE37" s="600"/>
      <c r="AF37" s="600"/>
      <c r="AG37" s="600"/>
      <c r="AH37" s="595"/>
      <c r="AI37" s="600"/>
      <c r="AJ37" s="595"/>
      <c r="AK37" s="595"/>
      <c r="AL37" s="595"/>
      <c r="AM37" s="596"/>
      <c r="AN37" s="595" t="str">
        <f ca="1">IFERROR(__xludf.DUMMYFUNCTION("""COMPUTED_VALUE"""),"―")</f>
        <v>―</v>
      </c>
      <c r="AO37" s="595"/>
      <c r="AP37" s="595" t="str">
        <f ca="1">IFERROR(__xludf.DUMMYFUNCTION("""COMPUTED_VALUE"""),"2/28面接　合格
岩手からの紹介
2025/10　腰痛　労災")</f>
        <v>2/28面接　合格
岩手からの紹介
2025/10　腰痛　労災</v>
      </c>
    </row>
    <row r="38" spans="1:42" ht="14.5">
      <c r="A38" s="595"/>
      <c r="B38" s="595">
        <f ca="1">IFERROR(__xludf.DUMMYFUNCTION("""COMPUTED_VALUE"""),207)</f>
        <v>207</v>
      </c>
      <c r="C38" s="595" t="str">
        <f ca="1">IFERROR(__xludf.DUMMYFUNCTION("""COMPUTED_VALUE"""),"本社")</f>
        <v>本社</v>
      </c>
      <c r="D38" s="595" t="str">
        <f ca="1">IFERROR(__xludf.DUMMYFUNCTION("""COMPUTED_VALUE"""),"ベトナム")</f>
        <v>ベトナム</v>
      </c>
      <c r="E38" s="595" t="str">
        <f ca="1">IFERROR(__xludf.DUMMYFUNCTION("""COMPUTED_VALUE"""),"07001628")</f>
        <v>07001628</v>
      </c>
      <c r="F38" s="595" t="str">
        <f ca="1">IFERROR(__xludf.DUMMYFUNCTION("""COMPUTED_VALUE"""),"/appsheet/photograph/207.写真.084711.jpg")</f>
        <v>/appsheet/photograph/207.写真.084711.jpg</v>
      </c>
      <c r="G38" s="595" t="str">
        <f ca="1">IFERROR(__xludf.DUMMYFUNCTION("""COMPUTED_VALUE"""),"チャン ティ ヌー")</f>
        <v>チャン ティ ヌー</v>
      </c>
      <c r="H38" s="595" t="str">
        <f ca="1">IFERROR(__xludf.DUMMYFUNCTION("""COMPUTED_VALUE"""),"TRAN THI NU")</f>
        <v>TRAN THI NU</v>
      </c>
      <c r="I38" s="595" t="str">
        <f ca="1">IFERROR(__xludf.DUMMYFUNCTION("""COMPUTED_VALUE"""),"ヌー")</f>
        <v>ヌー</v>
      </c>
      <c r="J38" s="595" t="str">
        <f ca="1">IFERROR(__xludf.DUMMYFUNCTION("""COMPUTED_VALUE"""),"女")</f>
        <v>女</v>
      </c>
      <c r="K38" s="600">
        <f ca="1">IFERROR(__xludf.DUMMYFUNCTION("""COMPUTED_VALUE"""),35882)</f>
        <v>35882</v>
      </c>
      <c r="L38" s="595">
        <f ca="1">IFERROR(__xludf.DUMMYFUNCTION("""COMPUTED_VALUE"""),28)</f>
        <v>28</v>
      </c>
      <c r="M38" s="595" t="str">
        <f ca="1">IFERROR(__xludf.DUMMYFUNCTION("""COMPUTED_VALUE"""),"有")</f>
        <v>有</v>
      </c>
      <c r="N38" s="595" t="str">
        <f ca="1">IFERROR(__xludf.DUMMYFUNCTION("""COMPUTED_VALUE"""),"中四国")</f>
        <v>中四国</v>
      </c>
      <c r="O38" s="900">
        <f ca="1">IFERROR(__xludf.DUMMYFUNCTION("""COMPUTED_VALUE"""),45890)</f>
        <v>45890</v>
      </c>
      <c r="P38" s="595" t="str">
        <f ca="1">IFERROR(__xludf.DUMMYFUNCTION("""COMPUTED_VALUE"""),"2030/07")</f>
        <v>2030/07</v>
      </c>
      <c r="Q38" s="595" t="str">
        <f ca="1">IFERROR(__xludf.DUMMYFUNCTION("""COMPUTED_VALUE"""),"特定技能１号")</f>
        <v>特定技能１号</v>
      </c>
      <c r="R38" s="595" t="str">
        <f ca="1">IFERROR(__xludf.DUMMYFUNCTION("""COMPUTED_VALUE"""),"和泉北1-20-28アトムスカイマンション402")</f>
        <v>和泉北1-20-28アトムスカイマンション402</v>
      </c>
      <c r="S38" s="595" t="str">
        <f ca="1">IFERROR(__xludf.DUMMYFUNCTION("""COMPUTED_VALUE"""),"個3")</f>
        <v>個3</v>
      </c>
      <c r="T38" s="901">
        <f ca="1">IFERROR(__xludf.DUMMYFUNCTION("""COMPUTED_VALUE"""),20000)</f>
        <v>20000</v>
      </c>
      <c r="U38" s="600">
        <f ca="1">IFERROR(__xludf.DUMMYFUNCTION("""COMPUTED_VALUE"""),45772)</f>
        <v>45772</v>
      </c>
      <c r="V38" s="600">
        <f ca="1">IFERROR(__xludf.DUMMYFUNCTION("""COMPUTED_VALUE"""),46254)</f>
        <v>46254</v>
      </c>
      <c r="W38" s="595" t="str">
        <f ca="1">IFERROR(__xludf.DUMMYFUNCTION("""COMPUTED_VALUE"""),"UH65617663FA")</f>
        <v>UH65617663FA</v>
      </c>
      <c r="X38" s="595"/>
      <c r="Y38" s="596">
        <f ca="1">IFERROR(__xludf.DUMMYFUNCTION("""COMPUTED_VALUE"""),45889)</f>
        <v>45889</v>
      </c>
      <c r="Z38" s="595" t="str">
        <f ca="1">IFERROR(__xludf.DUMMYFUNCTION("""COMPUTED_VALUE"""),"B-0247914-1017")</f>
        <v>B-0247914-1017</v>
      </c>
      <c r="AA38" s="595"/>
      <c r="AB38" s="595"/>
      <c r="AC38" s="595"/>
      <c r="AD38" s="600"/>
      <c r="AE38" s="600"/>
      <c r="AF38" s="600"/>
      <c r="AG38" s="600"/>
      <c r="AH38" s="595" t="str">
        <f ca="1">IFERROR(__xludf.DUMMYFUNCTION("""COMPUTED_VALUE"""),"一時帰国")</f>
        <v>一時帰国</v>
      </c>
      <c r="AI38" s="600"/>
      <c r="AJ38" s="595"/>
      <c r="AK38" s="595"/>
      <c r="AL38" s="595" t="str">
        <f ca="1">IFERROR(__xludf.DUMMYFUNCTION("""COMPUTED_VALUE"""),"〇")</f>
        <v>〇</v>
      </c>
      <c r="AM38" s="596">
        <f ca="1">IFERROR(__xludf.DUMMYFUNCTION("""COMPUTED_VALUE"""),45889)</f>
        <v>45889</v>
      </c>
      <c r="AN38" s="595" t="str">
        <f ca="1">IFERROR(__xludf.DUMMYFUNCTION("""COMPUTED_VALUE"""),"2025/9/15-2030/8/14")</f>
        <v>2025/9/15-2030/8/14</v>
      </c>
      <c r="AO38" s="595" t="str">
        <f ca="1">IFERROR(__xludf.DUMMYFUNCTION("""COMPUTED_VALUE"""),"伊予銀
大街道支店")</f>
        <v>伊予銀
大街道支店</v>
      </c>
      <c r="AP38" s="595" t="str">
        <f ca="1">IFERROR(__xludf.DUMMYFUNCTION("""COMPUTED_VALUE"""),"2025/3/27　合格
実習生2号修了者
2025.8.20入国、入寮・8/21入社
中四国は入国時のチケット手配まで（10万まで）
→9/1中温へ切替予定
2026.6/15～7/30一時帰国希望（宮内工場長より2025/12/19）")</f>
        <v>2025/3/27　合格
実習生2号修了者
2025.8.20入国、入寮・8/21入社
中四国は入国時のチケット手配まで（10万まで）
→9/1中温へ切替予定
2026.6/15～7/30一時帰国希望（宮内工場長より2025/12/19）</v>
      </c>
    </row>
    <row r="39" spans="1:42" ht="14.5">
      <c r="A39" s="595"/>
      <c r="B39" s="595">
        <f ca="1">IFERROR(__xludf.DUMMYFUNCTION("""COMPUTED_VALUE"""),236)</f>
        <v>236</v>
      </c>
      <c r="C39" s="595" t="str">
        <f ca="1">IFERROR(__xludf.DUMMYFUNCTION("""COMPUTED_VALUE"""),"本社")</f>
        <v>本社</v>
      </c>
      <c r="D39" s="595" t="str">
        <f ca="1">IFERROR(__xludf.DUMMYFUNCTION("""COMPUTED_VALUE"""),"ベトナム")</f>
        <v>ベトナム</v>
      </c>
      <c r="E39" s="595" t="str">
        <f ca="1">IFERROR(__xludf.DUMMYFUNCTION("""COMPUTED_VALUE"""),"08001406")</f>
        <v>08001406</v>
      </c>
      <c r="F39" s="595" t="str">
        <f ca="1">IFERROR(__xludf.DUMMYFUNCTION("""COMPUTED_VALUE"""),"/appsheet/photograph/07001424.写真.224706.jpg")</f>
        <v>/appsheet/photograph/07001424.写真.224706.jpg</v>
      </c>
      <c r="G39" s="595" t="str">
        <f ca="1">IFERROR(__xludf.DUMMYFUNCTION("""COMPUTED_VALUE"""),"チャン ティ トゥー")</f>
        <v>チャン ティ トゥー</v>
      </c>
      <c r="H39" s="595" t="str">
        <f ca="1">IFERROR(__xludf.DUMMYFUNCTION("""COMPUTED_VALUE"""),"TRAN THI THU")</f>
        <v>TRAN THI THU</v>
      </c>
      <c r="I39" s="595" t="str">
        <f ca="1">IFERROR(__xludf.DUMMYFUNCTION("""COMPUTED_VALUE"""),"トゥー")</f>
        <v>トゥー</v>
      </c>
      <c r="J39" s="595" t="str">
        <f ca="1">IFERROR(__xludf.DUMMYFUNCTION("""COMPUTED_VALUE"""),"女")</f>
        <v>女</v>
      </c>
      <c r="K39" s="600">
        <f ca="1">IFERROR(__xludf.DUMMYFUNCTION("""COMPUTED_VALUE"""),34343)</f>
        <v>34343</v>
      </c>
      <c r="L39" s="595">
        <f ca="1">IFERROR(__xludf.DUMMYFUNCTION("""COMPUTED_VALUE"""),32)</f>
        <v>32</v>
      </c>
      <c r="M39" s="595" t="str">
        <f ca="1">IFERROR(__xludf.DUMMYFUNCTION("""COMPUTED_VALUE"""),"有")</f>
        <v>有</v>
      </c>
      <c r="N39" s="595" t="str">
        <f ca="1">IFERROR(__xludf.DUMMYFUNCTION("""COMPUTED_VALUE"""),"中四国")</f>
        <v>中四国</v>
      </c>
      <c r="O39" s="900">
        <f ca="1">IFERROR(__xludf.DUMMYFUNCTION("""COMPUTED_VALUE"""),45982)</f>
        <v>45982</v>
      </c>
      <c r="P39" s="595" t="str">
        <f ca="1">IFERROR(__xludf.DUMMYFUNCTION("""COMPUTED_VALUE"""),"2028/10")</f>
        <v>2028/10</v>
      </c>
      <c r="Q39" s="595" t="str">
        <f ca="1">IFERROR(__xludf.DUMMYFUNCTION("""COMPUTED_VALUE"""),"技能実習1号")</f>
        <v>技能実習1号</v>
      </c>
      <c r="R39" s="595" t="str">
        <f ca="1">IFERROR(__xludf.DUMMYFUNCTION("""COMPUTED_VALUE"""),"和泉北1-20-28アトムスカイマンション705")</f>
        <v>和泉北1-20-28アトムスカイマンション705</v>
      </c>
      <c r="S39" s="595" t="str">
        <f ca="1">IFERROR(__xludf.DUMMYFUNCTION("""COMPUTED_VALUE"""),"相")</f>
        <v>相</v>
      </c>
      <c r="T39" s="901">
        <f ca="1">IFERROR(__xludf.DUMMYFUNCTION("""COMPUTED_VALUE"""),0)</f>
        <v>0</v>
      </c>
      <c r="U39" s="600">
        <f ca="1">IFERROR(__xludf.DUMMYFUNCTION("""COMPUTED_VALUE"""),45819)</f>
        <v>45819</v>
      </c>
      <c r="V39" s="600">
        <f ca="1">IFERROR(__xludf.DUMMYFUNCTION("""COMPUTED_VALUE"""),46315)</f>
        <v>46315</v>
      </c>
      <c r="W39" s="595" t="str">
        <f ca="1">IFERROR(__xludf.DUMMYFUNCTION("""COMPUTED_VALUE"""),"UH24579676FA")</f>
        <v>UH24579676FA</v>
      </c>
      <c r="X39" s="595"/>
      <c r="Y39" s="596">
        <f ca="1">IFERROR(__xludf.DUMMYFUNCTION("""COMPUTED_VALUE"""),45981)</f>
        <v>45981</v>
      </c>
      <c r="Z39" s="595" t="str">
        <f ca="1">IFERROR(__xludf.DUMMYFUNCTION("""COMPUTED_VALUE"""),"アベリア　茶
B-0357435-V-111")</f>
        <v>アベリア　茶
B-0357435-V-111</v>
      </c>
      <c r="AA39" s="595"/>
      <c r="AB39" s="595"/>
      <c r="AC39" s="595"/>
      <c r="AD39" s="600"/>
      <c r="AE39" s="600"/>
      <c r="AF39" s="600"/>
      <c r="AG39" s="600"/>
      <c r="AH39" s="595"/>
      <c r="AI39" s="600"/>
      <c r="AJ39" s="595"/>
      <c r="AK39" s="595"/>
      <c r="AL39" s="595" t="str">
        <f ca="1">IFERROR(__xludf.DUMMYFUNCTION("""COMPUTED_VALUE"""),"―")</f>
        <v>―</v>
      </c>
      <c r="AM39" s="596">
        <f ca="1">IFERROR(__xludf.DUMMYFUNCTION("""COMPUTED_VALUE"""),45979)</f>
        <v>45979</v>
      </c>
      <c r="AN39" s="595" t="str">
        <f ca="1">IFERROR(__xludf.DUMMYFUNCTION("""COMPUTED_VALUE"""),"―")</f>
        <v>―</v>
      </c>
      <c r="AO39" s="595" t="str">
        <f ca="1">IFERROR(__xludf.DUMMYFUNCTION("""COMPUTED_VALUE"""),"伊予銀
三津浜支店")</f>
        <v>伊予銀
三津浜支店</v>
      </c>
      <c r="AP39" s="595" t="str">
        <f ca="1">IFERROR(__xludf.DUMMYFUNCTION("""COMPUTED_VALUE"""),"2025/6/16面接　合格
ヒエンの妹　ヒエンと同部屋予定
2025/10/20入国・11/19入寮・11/21入社
家賃、光熱費はヒエン（姉）が全額支払う予定
雇用契約書上は問題ないか中四国　朴さん
へ問合せ中（工場長より10/23渡部）
→問題ないとのこと。")</f>
        <v>2025/6/16面接　合格
ヒエンの妹　ヒエンと同部屋予定
2025/10/20入国・11/19入寮・11/21入社
家賃、光熱費はヒエン（姉）が全額支払う予定
雇用契約書上は問題ないか中四国　朴さん
へ問合せ中（工場長より10/23渡部）
→問題ないとのこと。</v>
      </c>
    </row>
    <row r="40" spans="1:42" ht="14.5">
      <c r="A40" s="595"/>
      <c r="B40" s="595">
        <f ca="1">IFERROR(__xludf.DUMMYFUNCTION("""COMPUTED_VALUE"""),238)</f>
        <v>238</v>
      </c>
      <c r="C40" s="595" t="str">
        <f ca="1">IFERROR(__xludf.DUMMYFUNCTION("""COMPUTED_VALUE"""),"本社")</f>
        <v>本社</v>
      </c>
      <c r="D40" s="595" t="str">
        <f ca="1">IFERROR(__xludf.DUMMYFUNCTION("""COMPUTED_VALUE"""),"ベトナム")</f>
        <v>ベトナム</v>
      </c>
      <c r="E40" s="595" t="str">
        <f ca="1">IFERROR(__xludf.DUMMYFUNCTION("""COMPUTED_VALUE"""),"08001407")</f>
        <v>08001407</v>
      </c>
      <c r="F40" s="595" t="str">
        <f ca="1">IFERROR(__xludf.DUMMYFUNCTION("""COMPUTED_VALUE"""),"/appsheet/photograph/00000000.写真.232024.jpg")</f>
        <v>/appsheet/photograph/00000000.写真.232024.jpg</v>
      </c>
      <c r="G40" s="595" t="str">
        <f ca="1">IFERROR(__xludf.DUMMYFUNCTION("""COMPUTED_VALUE"""),"ヴー ティ タオ")</f>
        <v>ヴー ティ タオ</v>
      </c>
      <c r="H40" s="595" t="str">
        <f ca="1">IFERROR(__xludf.DUMMYFUNCTION("""COMPUTED_VALUE"""),"VU THI THAO")</f>
        <v>VU THI THAO</v>
      </c>
      <c r="I40" s="595" t="str">
        <f ca="1">IFERROR(__xludf.DUMMYFUNCTION("""COMPUTED_VALUE"""),"ヴータオ")</f>
        <v>ヴータオ</v>
      </c>
      <c r="J40" s="595" t="str">
        <f ca="1">IFERROR(__xludf.DUMMYFUNCTION("""COMPUTED_VALUE"""),"女")</f>
        <v>女</v>
      </c>
      <c r="K40" s="600">
        <f ca="1">IFERROR(__xludf.DUMMYFUNCTION("""COMPUTED_VALUE"""),36452)</f>
        <v>36452</v>
      </c>
      <c r="L40" s="595">
        <f ca="1">IFERROR(__xludf.DUMMYFUNCTION("""COMPUTED_VALUE"""),26)</f>
        <v>26</v>
      </c>
      <c r="M40" s="595" t="str">
        <f ca="1">IFERROR(__xludf.DUMMYFUNCTION("""COMPUTED_VALUE"""),"有")</f>
        <v>有</v>
      </c>
      <c r="N40" s="595" t="str">
        <f ca="1">IFERROR(__xludf.DUMMYFUNCTION("""COMPUTED_VALUE"""),"中四国")</f>
        <v>中四国</v>
      </c>
      <c r="O40" s="900">
        <f ca="1">IFERROR(__xludf.DUMMYFUNCTION("""COMPUTED_VALUE"""),46056)</f>
        <v>46056</v>
      </c>
      <c r="P40" s="595" t="str">
        <f ca="1">IFERROR(__xludf.DUMMYFUNCTION("""COMPUTED_VALUE"""),"2026/07")</f>
        <v>2026/07</v>
      </c>
      <c r="Q40" s="595" t="str">
        <f ca="1">IFERROR(__xludf.DUMMYFUNCTION("""COMPUTED_VALUE"""),"技能実習2号")</f>
        <v>技能実習2号</v>
      </c>
      <c r="R40" s="595" t="str">
        <f ca="1">IFERROR(__xludf.DUMMYFUNCTION("""COMPUTED_VALUE"""),"和泉北1-20-28アトムスカイマンション406")</f>
        <v>和泉北1-20-28アトムスカイマンション406</v>
      </c>
      <c r="S40" s="595" t="str">
        <f ca="1">IFERROR(__xludf.DUMMYFUNCTION("""COMPUTED_VALUE"""),"夫婦")</f>
        <v>夫婦</v>
      </c>
      <c r="T40" s="901">
        <f ca="1">IFERROR(__xludf.DUMMYFUNCTION("""COMPUTED_VALUE"""),22500)</f>
        <v>22500</v>
      </c>
      <c r="U40" s="600">
        <f ca="1">IFERROR(__xludf.DUMMYFUNCTION("""COMPUTED_VALUE"""),46055)</f>
        <v>46055</v>
      </c>
      <c r="V40" s="600">
        <f ca="1">IFERROR(__xludf.DUMMYFUNCTION("""COMPUTED_VALUE"""),46233)</f>
        <v>46233</v>
      </c>
      <c r="W40" s="595" t="str">
        <f ca="1">IFERROR(__xludf.DUMMYFUNCTION("""COMPUTED_VALUE"""),"LJ00763243FA")</f>
        <v>LJ00763243FA</v>
      </c>
      <c r="X40" s="595"/>
      <c r="Y40" s="596">
        <f ca="1">IFERROR(__xludf.DUMMYFUNCTION("""COMPUTED_VALUE"""),46052)</f>
        <v>46052</v>
      </c>
      <c r="Z40" s="595" t="str">
        <f ca="1">IFERROR(__xludf.DUMMYFUNCTION("""COMPUTED_VALUE"""),"B-0304391-V134")</f>
        <v>B-0304391-V134</v>
      </c>
      <c r="AA40" s="595"/>
      <c r="AB40" s="595"/>
      <c r="AC40" s="595" t="str">
        <f ca="1">IFERROR(__xludf.DUMMYFUNCTION("""COMPUTED_VALUE"""),"缶詰巻締専門
2024/09/12")</f>
        <v>缶詰巻締専門
2024/09/12</v>
      </c>
      <c r="AD40" s="600"/>
      <c r="AE40" s="600"/>
      <c r="AF40" s="600"/>
      <c r="AG40" s="600"/>
      <c r="AH40" s="595"/>
      <c r="AI40" s="600"/>
      <c r="AJ40" s="595"/>
      <c r="AK40" s="595"/>
      <c r="AL40" s="595" t="str">
        <f ca="1">IFERROR(__xludf.DUMMYFUNCTION("""COMPUTED_VALUE"""),"―")</f>
        <v>―</v>
      </c>
      <c r="AM40" s="596"/>
      <c r="AN40" s="595" t="str">
        <f ca="1">IFERROR(__xludf.DUMMYFUNCTION("""COMPUTED_VALUE"""),"―")</f>
        <v>―</v>
      </c>
      <c r="AO40" s="595"/>
      <c r="AP40" s="595" t="str">
        <f ca="1">IFERROR(__xludf.DUMMYFUNCTION("""COMPUTED_VALUE"""),"夫ゴック。出産予定2025/02/25頃
2026/01/30入寮、2/3入社
")</f>
        <v xml:space="preserve">夫ゴック。出産予定2025/02/25頃
2026/01/30入寮、2/3入社
</v>
      </c>
    </row>
    <row r="41" spans="1:42" ht="14.5">
      <c r="A41" s="595"/>
      <c r="B41" s="595">
        <f ca="1">IFERROR(__xludf.DUMMYFUNCTION("""COMPUTED_VALUE"""),243)</f>
        <v>243</v>
      </c>
      <c r="C41" s="595" t="str">
        <f ca="1">IFERROR(__xludf.DUMMYFUNCTION("""COMPUTED_VALUE"""),"本社")</f>
        <v>本社</v>
      </c>
      <c r="D41" s="595" t="str">
        <f ca="1">IFERROR(__xludf.DUMMYFUNCTION("""COMPUTED_VALUE"""),"ベトナム")</f>
        <v>ベトナム</v>
      </c>
      <c r="E41" s="595" t="str">
        <f ca="1">IFERROR(__xludf.DUMMYFUNCTION("""COMPUTED_VALUE"""),"00000002")</f>
        <v>00000002</v>
      </c>
      <c r="F41" s="595"/>
      <c r="G41" s="595" t="str">
        <f ca="1">IFERROR(__xludf.DUMMYFUNCTION("""COMPUTED_VALUE"""),"バン　ティ　タム")</f>
        <v>バン　ティ　タム</v>
      </c>
      <c r="H41" s="595" t="str">
        <f ca="1">IFERROR(__xludf.DUMMYFUNCTION("""COMPUTED_VALUE"""),"BANG　THI　TAM")</f>
        <v>BANG　THI　TAM</v>
      </c>
      <c r="I41" s="595" t="str">
        <f ca="1">IFERROR(__xludf.DUMMYFUNCTION("""COMPUTED_VALUE"""),"バン")</f>
        <v>バン</v>
      </c>
      <c r="J41" s="595" t="str">
        <f ca="1">IFERROR(__xludf.DUMMYFUNCTION("""COMPUTED_VALUE"""),"女")</f>
        <v>女</v>
      </c>
      <c r="K41" s="600">
        <f ca="1">IFERROR(__xludf.DUMMYFUNCTION("""COMPUTED_VALUE"""),37885)</f>
        <v>37885</v>
      </c>
      <c r="L41" s="595">
        <f ca="1">IFERROR(__xludf.DUMMYFUNCTION("""COMPUTED_VALUE"""),22)</f>
        <v>22</v>
      </c>
      <c r="M41" s="595" t="str">
        <f ca="1">IFERROR(__xludf.DUMMYFUNCTION("""COMPUTED_VALUE"""),"有")</f>
        <v>有</v>
      </c>
      <c r="N41" s="595" t="str">
        <f ca="1">IFERROR(__xludf.DUMMYFUNCTION("""COMPUTED_VALUE"""),"中四国")</f>
        <v>中四国</v>
      </c>
      <c r="O41" s="900">
        <f ca="1">IFERROR(__xludf.DUMMYFUNCTION("""COMPUTED_VALUE"""),46143)</f>
        <v>46143</v>
      </c>
      <c r="P41" s="595"/>
      <c r="Q41" s="595" t="str">
        <f ca="1">IFERROR(__xludf.DUMMYFUNCTION("""COMPUTED_VALUE"""),"技能実習1号")</f>
        <v>技能実習1号</v>
      </c>
      <c r="R41" s="595" t="str">
        <f ca="1">IFERROR(__xludf.DUMMYFUNCTION("""COMPUTED_VALUE"""),"アトム401")</f>
        <v>アトム401</v>
      </c>
      <c r="S41" s="595" t="str">
        <f ca="1">IFERROR(__xludf.DUMMYFUNCTION("""COMPUTED_VALUE"""),"相")</f>
        <v>相</v>
      </c>
      <c r="T41" s="901">
        <f ca="1">IFERROR(__xludf.DUMMYFUNCTION("""COMPUTED_VALUE"""),10000)</f>
        <v>10000</v>
      </c>
      <c r="U41" s="600"/>
      <c r="V41" s="600"/>
      <c r="W41" s="595"/>
      <c r="X41" s="595"/>
      <c r="Y41" s="596"/>
      <c r="Z41" s="595" t="str">
        <f ca="1">IFERROR(__xludf.DUMMYFUNCTION("""COMPUTED_VALUE"""),"6667
Ｂ－0246667-1158")</f>
        <v>6667
Ｂ－0246667-1158</v>
      </c>
      <c r="AA41" s="595"/>
      <c r="AB41" s="595"/>
      <c r="AC41" s="595"/>
      <c r="AD41" s="600"/>
      <c r="AE41" s="600"/>
      <c r="AF41" s="600"/>
      <c r="AG41" s="600"/>
      <c r="AH41" s="595"/>
      <c r="AI41" s="600"/>
      <c r="AJ41" s="595"/>
      <c r="AK41" s="595"/>
      <c r="AL41" s="595"/>
      <c r="AM41" s="596"/>
      <c r="AN41" s="595"/>
      <c r="AO41" s="595" t="str">
        <f ca="1">IFERROR(__xludf.DUMMYFUNCTION("""COMPUTED_VALUE"""),"伊予銀
三津浜支店")</f>
        <v>伊予銀
三津浜支店</v>
      </c>
      <c r="AP41" s="595" t="str">
        <f ca="1">IFERROR(__xludf.DUMMYFUNCTION("""COMPUTED_VALUE"""),"2025/9/22面接　合格")</f>
        <v>2025/9/22面接　合格</v>
      </c>
    </row>
    <row r="42" spans="1:42" ht="14.5">
      <c r="A42" s="595"/>
      <c r="B42" s="595">
        <f ca="1">IFERROR(__xludf.DUMMYFUNCTION("""COMPUTED_VALUE"""),245)</f>
        <v>245</v>
      </c>
      <c r="C42" s="595" t="str">
        <f ca="1">IFERROR(__xludf.DUMMYFUNCTION("""COMPUTED_VALUE"""),"本社")</f>
        <v>本社</v>
      </c>
      <c r="D42" s="595" t="str">
        <f ca="1">IFERROR(__xludf.DUMMYFUNCTION("""COMPUTED_VALUE"""),"ベトナム")</f>
        <v>ベトナム</v>
      </c>
      <c r="E42" s="595" t="str">
        <f ca="1">IFERROR(__xludf.DUMMYFUNCTION("""COMPUTED_VALUE"""),"00000004")</f>
        <v>00000004</v>
      </c>
      <c r="F42" s="595"/>
      <c r="G42" s="595" t="str">
        <f ca="1">IFERROR(__xludf.DUMMYFUNCTION("""COMPUTED_VALUE"""),"チャン ティ シン")</f>
        <v>チャン ティ シン</v>
      </c>
      <c r="H42" s="595" t="str">
        <f ca="1">IFERROR(__xludf.DUMMYFUNCTION("""COMPUTED_VALUE"""),"TRAN THI SINH")</f>
        <v>TRAN THI SINH</v>
      </c>
      <c r="I42" s="595"/>
      <c r="J42" s="595" t="str">
        <f ca="1">IFERROR(__xludf.DUMMYFUNCTION("""COMPUTED_VALUE"""),"女")</f>
        <v>女</v>
      </c>
      <c r="K42" s="600">
        <f ca="1">IFERROR(__xludf.DUMMYFUNCTION("""COMPUTED_VALUE"""),36088)</f>
        <v>36088</v>
      </c>
      <c r="L42" s="595">
        <f ca="1">IFERROR(__xludf.DUMMYFUNCTION("""COMPUTED_VALUE"""),27)</f>
        <v>27</v>
      </c>
      <c r="M42" s="595" t="str">
        <f ca="1">IFERROR(__xludf.DUMMYFUNCTION("""COMPUTED_VALUE"""),"夫婦")</f>
        <v>夫婦</v>
      </c>
      <c r="N42" s="595" t="str">
        <f ca="1">IFERROR(__xludf.DUMMYFUNCTION("""COMPUTED_VALUE"""),"関東食肉")</f>
        <v>関東食肉</v>
      </c>
      <c r="O42" s="900"/>
      <c r="P42" s="595" t="str">
        <f ca="1">IFERROR(__xludf.DUMMYFUNCTION("""COMPUTED_VALUE"""),"ライの妻")</f>
        <v>ライの妻</v>
      </c>
      <c r="Q42" s="595" t="str">
        <f ca="1">IFERROR(__xludf.DUMMYFUNCTION("""COMPUTED_VALUE"""),"技能実習1号")</f>
        <v>技能実習1号</v>
      </c>
      <c r="R42" s="595" t="str">
        <f ca="1">IFERROR(__xludf.DUMMYFUNCTION("""COMPUTED_VALUE"""),"和泉北1-20-28アトムスカイマンション304")</f>
        <v>和泉北1-20-28アトムスカイマンション304</v>
      </c>
      <c r="S42" s="595" t="str">
        <f ca="1">IFERROR(__xludf.DUMMYFUNCTION("""COMPUTED_VALUE"""),"相")</f>
        <v>相</v>
      </c>
      <c r="T42" s="901">
        <f ca="1">IFERROR(__xludf.DUMMYFUNCTION("""COMPUTED_VALUE"""),10000)</f>
        <v>10000</v>
      </c>
      <c r="U42" s="600">
        <f ca="1">IFERROR(__xludf.DUMMYFUNCTION("""COMPUTED_VALUE"""),45726)</f>
        <v>45726</v>
      </c>
      <c r="V42" s="600"/>
      <c r="W42" s="595"/>
      <c r="X42" s="595"/>
      <c r="Y42" s="596"/>
      <c r="Z42" s="595" t="str">
        <f ca="1">IFERROR(__xludf.DUMMYFUNCTION("""COMPUTED_VALUE"""),"6667
Ｂ－0246667-1173")</f>
        <v>6667
Ｂ－0246667-1173</v>
      </c>
      <c r="AA42" s="595"/>
      <c r="AB42" s="595"/>
      <c r="AC42" s="595"/>
      <c r="AD42" s="600"/>
      <c r="AE42" s="600"/>
      <c r="AF42" s="600"/>
      <c r="AG42" s="600"/>
      <c r="AH42" s="595"/>
      <c r="AI42" s="600"/>
      <c r="AJ42" s="595"/>
      <c r="AK42" s="595"/>
      <c r="AL42" s="595"/>
      <c r="AM42" s="596"/>
      <c r="AN42" s="595"/>
      <c r="AO42" s="595"/>
      <c r="AP42" s="595" t="str">
        <f ca="1">IFERROR(__xludf.DUMMYFUNCTION("""COMPUTED_VALUE"""),"2/18面接　合格
ライの奥さん")</f>
        <v>2/18面接　合格
ライの奥さん</v>
      </c>
    </row>
  </sheetData>
  <phoneticPr fontId="135"/>
  <printOptions horizontalCentered="1" gridLines="1"/>
  <pageMargins left="0.7" right="0.7" top="0.75" bottom="0.75" header="0" footer="0"/>
  <pageSetup paperSize="9" pageOrder="overThenDown" orientation="portrait"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P112"/>
  <sheetViews>
    <sheetView zoomScale="25" workbookViewId="0"/>
  </sheetViews>
  <sheetFormatPr defaultColWidth="12.6328125" defaultRowHeight="15" customHeight="1"/>
  <cols>
    <col min="1" max="1" width="4.6328125" customWidth="1"/>
    <col min="2" max="2" width="3.7265625" customWidth="1"/>
    <col min="3" max="3" width="6.453125" customWidth="1"/>
    <col min="4" max="4" width="12" customWidth="1"/>
    <col min="5" max="5" width="10.08984375" customWidth="1"/>
    <col min="6" max="6" width="4.6328125" customWidth="1"/>
    <col min="7" max="7" width="41.36328125" customWidth="1"/>
    <col min="8" max="8" width="29.26953125" customWidth="1"/>
    <col min="9" max="9" width="12" customWidth="1"/>
    <col min="10" max="10" width="4.6328125" customWidth="1"/>
    <col min="11" max="11" width="9.90625" customWidth="1"/>
    <col min="12" max="12" width="4.6328125" customWidth="1"/>
    <col min="13" max="13" width="6.453125" customWidth="1"/>
    <col min="14" max="14" width="12" customWidth="1"/>
    <col min="15" max="15" width="18.26953125" customWidth="1"/>
    <col min="16" max="16" width="8.36328125" customWidth="1"/>
    <col min="17" max="17" width="12" customWidth="1"/>
    <col min="18" max="18" width="39.26953125" customWidth="1"/>
    <col min="19" max="19" width="10.08984375" customWidth="1"/>
    <col min="20" max="20" width="8.36328125" customWidth="1"/>
    <col min="21" max="21" width="10.08984375" customWidth="1"/>
    <col min="22" max="22" width="15.7265625" customWidth="1"/>
    <col min="23" max="23" width="17.7265625" customWidth="1"/>
    <col min="24" max="24" width="10.08984375" customWidth="1"/>
    <col min="25" max="25" width="12.90625" customWidth="1"/>
    <col min="26" max="26" width="22.90625" customWidth="1"/>
    <col min="27" max="27" width="20.6328125" customWidth="1"/>
    <col min="28" max="28" width="8.36328125" customWidth="1"/>
    <col min="29" max="29" width="10.08984375" customWidth="1"/>
    <col min="30" max="30" width="12.26953125" customWidth="1"/>
    <col min="31" max="31" width="10" customWidth="1"/>
    <col min="32" max="32" width="9.90625" customWidth="1"/>
    <col min="33" max="33" width="12" customWidth="1"/>
    <col min="34" max="34" width="9.90625" customWidth="1"/>
    <col min="35" max="35" width="8.36328125" customWidth="1"/>
    <col min="36" max="36" width="25.7265625" customWidth="1"/>
    <col min="37" max="37" width="14.36328125" customWidth="1"/>
    <col min="38" max="49" width="14.26953125" customWidth="1"/>
  </cols>
  <sheetData>
    <row r="1" spans="1:42" ht="15" customHeight="1">
      <c r="A1" s="595" t="s">
        <v>54</v>
      </c>
      <c r="F1" s="903"/>
    </row>
    <row r="3" spans="1:42">
      <c r="A3" s="904" t="str">
        <f ca="1">IFERROR(__xludf.DUMMYFUNCTION("query('管理表'!A:AP,""select * where C = '津吉' and not(AH = '退職')"",1)"),"区")</f>
        <v>区</v>
      </c>
      <c r="B3" s="601" t="str">
        <f ca="1">IFERROR(__xludf.DUMMYFUNCTION("""COMPUTED_VALUE"""),"No")</f>
        <v>No</v>
      </c>
      <c r="C3" s="601" t="str">
        <f ca="1">IFERROR(__xludf.DUMMYFUNCTION("""COMPUTED_VALUE"""),"勤務地")</f>
        <v>勤務地</v>
      </c>
      <c r="D3" s="601" t="str">
        <f ca="1">IFERROR(__xludf.DUMMYFUNCTION("""COMPUTED_VALUE"""),"国籍")</f>
        <v>国籍</v>
      </c>
      <c r="E3" s="601" t="str">
        <f ca="1">IFERROR(__xludf.DUMMYFUNCTION("""COMPUTED_VALUE"""),"社員コード")</f>
        <v>社員コード</v>
      </c>
      <c r="F3" s="601" t="str">
        <f ca="1">IFERROR(__xludf.DUMMYFUNCTION("""COMPUTED_VALUE"""),"写真")</f>
        <v>写真</v>
      </c>
      <c r="G3" s="601" t="str">
        <f ca="1">IFERROR(__xludf.DUMMYFUNCTION("""COMPUTED_VALUE"""),"フリガナ")</f>
        <v>フリガナ</v>
      </c>
      <c r="H3" s="601" t="str">
        <f ca="1">IFERROR(__xludf.DUMMYFUNCTION("""COMPUTED_VALUE"""),"氏名")</f>
        <v>氏名</v>
      </c>
      <c r="I3" s="601" t="str">
        <f ca="1">IFERROR(__xludf.DUMMYFUNCTION("""COMPUTED_VALUE"""),"呼名")</f>
        <v>呼名</v>
      </c>
      <c r="J3" s="601" t="str">
        <f ca="1">IFERROR(__xludf.DUMMYFUNCTION("""COMPUTED_VALUE"""),"性別")</f>
        <v>性別</v>
      </c>
      <c r="K3" s="601" t="str">
        <f ca="1">IFERROR(__xludf.DUMMYFUNCTION("""COMPUTED_VALUE"""),"生年月日")</f>
        <v>生年月日</v>
      </c>
      <c r="L3" s="601" t="str">
        <f ca="1">IFERROR(__xludf.DUMMYFUNCTION("""COMPUTED_VALUE"""),"年齢")</f>
        <v>年齢</v>
      </c>
      <c r="M3" s="601" t="str">
        <f ca="1">IFERROR(__xludf.DUMMYFUNCTION("""COMPUTED_VALUE"""),"配偶者")</f>
        <v>配偶者</v>
      </c>
      <c r="N3" s="601" t="str">
        <f ca="1">IFERROR(__xludf.DUMMYFUNCTION("""COMPUTED_VALUE"""),"登録支援機関")</f>
        <v>登録支援機関</v>
      </c>
      <c r="O3" s="601" t="str">
        <f ca="1">IFERROR(__xludf.DUMMYFUNCTION("""COMPUTED_VALUE"""),"入社日")</f>
        <v>入社日</v>
      </c>
      <c r="P3" s="601" t="str">
        <f ca="1">IFERROR(__xludf.DUMMYFUNCTION("""COMPUTED_VALUE"""),"帰国予定")</f>
        <v>帰国予定</v>
      </c>
      <c r="Q3" s="601" t="str">
        <f ca="1">IFERROR(__xludf.DUMMYFUNCTION("""COMPUTED_VALUE"""),"実習区分")</f>
        <v>実習区分</v>
      </c>
      <c r="R3" s="601" t="str">
        <f ca="1">IFERROR(__xludf.DUMMYFUNCTION("""COMPUTED_VALUE"""),"住所")</f>
        <v>住所</v>
      </c>
      <c r="S3" s="601" t="str">
        <f ca="1">IFERROR(__xludf.DUMMYFUNCTION("""COMPUTED_VALUE"""),"個・相部屋")</f>
        <v>個・相部屋</v>
      </c>
      <c r="T3" s="601" t="str">
        <f ca="1">IFERROR(__xludf.DUMMYFUNCTION("""COMPUTED_VALUE"""),"家賃負担")</f>
        <v>家賃負担</v>
      </c>
      <c r="U3" s="601" t="str">
        <f ca="1">IFERROR(__xludf.DUMMYFUNCTION("""COMPUTED_VALUE"""),"雇用条件書")</f>
        <v>雇用条件書</v>
      </c>
      <c r="V3" s="601" t="str">
        <f ca="1">IFERROR(__xludf.DUMMYFUNCTION("""COMPUTED_VALUE"""),"カード期限")</f>
        <v>カード期限</v>
      </c>
      <c r="W3" s="601" t="str">
        <f ca="1">IFERROR(__xludf.DUMMYFUNCTION("""COMPUTED_VALUE"""),"在留カード番号")</f>
        <v>在留カード番号</v>
      </c>
      <c r="X3" s="601" t="str">
        <f ca="1">IFERROR(__xludf.DUMMYFUNCTION("""COMPUTED_VALUE"""),"雇用保険番号")</f>
        <v>雇用保険番号</v>
      </c>
      <c r="Y3" s="601" t="str">
        <f ca="1">IFERROR(__xludf.DUMMYFUNCTION("""COMPUTED_VALUE"""),"自転車渡日")</f>
        <v>自転車渡日</v>
      </c>
      <c r="Z3" s="601" t="str">
        <f ca="1">IFERROR(__xludf.DUMMYFUNCTION("""COMPUTED_VALUE"""),"自転車No-防犯")</f>
        <v>自転車No-防犯</v>
      </c>
      <c r="AA3" s="601" t="str">
        <f ca="1">IFERROR(__xludf.DUMMYFUNCTION("""COMPUTED_VALUE"""),"自転車回収日")</f>
        <v>自転車回収日</v>
      </c>
      <c r="AB3" s="899" t="str">
        <f ca="1">IFERROR(__xludf.DUMMYFUNCTION("""COMPUTED_VALUE"""),"日本語検定")</f>
        <v>日本語検定</v>
      </c>
      <c r="AC3" s="899" t="str">
        <f ca="1">IFERROR(__xludf.DUMMYFUNCTION("""COMPUTED_VALUE"""),"試験資格")</f>
        <v>試験資格</v>
      </c>
      <c r="AD3" s="899" t="str">
        <f ca="1">IFERROR(__xludf.DUMMYFUNCTION("""COMPUTED_VALUE"""),"一時退職日")</f>
        <v>一時退職日</v>
      </c>
      <c r="AE3" s="899" t="str">
        <f ca="1">IFERROR(__xludf.DUMMYFUNCTION("""COMPUTED_VALUE"""),"一時帰国From")</f>
        <v>一時帰国From</v>
      </c>
      <c r="AF3" s="899" t="str">
        <f ca="1">IFERROR(__xludf.DUMMYFUNCTION("""COMPUTED_VALUE"""),"一時帰国To")</f>
        <v>一時帰国To</v>
      </c>
      <c r="AG3" s="899" t="str">
        <f ca="1">IFERROR(__xludf.DUMMYFUNCTION("""COMPUTED_VALUE"""),"再入社")</f>
        <v>再入社</v>
      </c>
      <c r="AH3" s="899" t="str">
        <f ca="1">IFERROR(__xludf.DUMMYFUNCTION("""COMPUTED_VALUE"""),"退職区分")</f>
        <v>退職区分</v>
      </c>
      <c r="AI3" s="899" t="str">
        <f ca="1">IFERROR(__xludf.DUMMYFUNCTION("""COMPUTED_VALUE"""),"退職日")</f>
        <v>退職日</v>
      </c>
      <c r="AJ3" s="899" t="str">
        <f ca="1">IFERROR(__xludf.DUMMYFUNCTION("""COMPUTED_VALUE"""),"帰国費用")</f>
        <v>帰国費用</v>
      </c>
      <c r="AK3" s="595" t="str">
        <f ca="1">IFERROR(__xludf.DUMMYFUNCTION("""COMPUTED_VALUE"""),"部署長")</f>
        <v>部署長</v>
      </c>
      <c r="AL3" s="595" t="str">
        <f ca="1">IFERROR(__xludf.DUMMYFUNCTION("""COMPUTED_VALUE"""),"特定1号
保険加入")</f>
        <v>特定1号
保険加入</v>
      </c>
      <c r="AM3" s="595" t="str">
        <f ca="1">IFERROR(__xludf.DUMMYFUNCTION("""COMPUTED_VALUE"""),"特定1号
入国日")</f>
        <v>特定1号
入国日</v>
      </c>
      <c r="AN3" s="595" t="str">
        <f ca="1">IFERROR(__xludf.DUMMYFUNCTION("""COMPUTED_VALUE"""),"特定1号保険期間")</f>
        <v>特定1号保険期間</v>
      </c>
      <c r="AO3" s="595" t="str">
        <f ca="1">IFERROR(__xludf.DUMMYFUNCTION("""COMPUTED_VALUE"""),"給与口座")</f>
        <v>給与口座</v>
      </c>
      <c r="AP3" s="595" t="str">
        <f ca="1">IFERROR(__xludf.DUMMYFUNCTION("""COMPUTED_VALUE"""),"備考")</f>
        <v>備考</v>
      </c>
    </row>
    <row r="4" spans="1:42">
      <c r="A4" s="595"/>
      <c r="B4" s="595">
        <f ca="1">IFERROR(__xludf.DUMMYFUNCTION("""COMPUTED_VALUE"""),19)</f>
        <v>19</v>
      </c>
      <c r="C4" s="595" t="str">
        <f ca="1">IFERROR(__xludf.DUMMYFUNCTION("""COMPUTED_VALUE"""),"津吉")</f>
        <v>津吉</v>
      </c>
      <c r="D4" s="595" t="str">
        <f ca="1">IFERROR(__xludf.DUMMYFUNCTION("""COMPUTED_VALUE"""),"ベトナム")</f>
        <v>ベトナム</v>
      </c>
      <c r="E4" s="595" t="str">
        <f ca="1">IFERROR(__xludf.DUMMYFUNCTION("""COMPUTED_VALUE"""),"07011613")</f>
        <v>07011613</v>
      </c>
      <c r="F4" s="595" t="str">
        <f ca="1">IFERROR(__xludf.DUMMYFUNCTION("""COMPUTED_VALUE"""),"/appsheet/photograph/19.写真.032434.jpg")</f>
        <v>/appsheet/photograph/19.写真.032434.jpg</v>
      </c>
      <c r="G4" s="595" t="str">
        <f ca="1">IFERROR(__xludf.DUMMYFUNCTION("""COMPUTED_VALUE"""),"ファム ティ チン")</f>
        <v>ファム ティ チン</v>
      </c>
      <c r="H4" s="595" t="str">
        <f ca="1">IFERROR(__xludf.DUMMYFUNCTION("""COMPUTED_VALUE"""),"PHAM THI CHINH ")</f>
        <v xml:space="preserve">PHAM THI CHINH </v>
      </c>
      <c r="I4" s="595" t="str">
        <f ca="1">IFERROR(__xludf.DUMMYFUNCTION("""COMPUTED_VALUE"""),"チン")</f>
        <v>チン</v>
      </c>
      <c r="J4" s="595" t="str">
        <f ca="1">IFERROR(__xludf.DUMMYFUNCTION("""COMPUTED_VALUE"""),"女")</f>
        <v>女</v>
      </c>
      <c r="K4" s="600">
        <f ca="1">IFERROR(__xludf.DUMMYFUNCTION("""COMPUTED_VALUE"""),33243)</f>
        <v>33243</v>
      </c>
      <c r="L4" s="595">
        <f ca="1">IFERROR(__xludf.DUMMYFUNCTION("""COMPUTED_VALUE"""),35)</f>
        <v>35</v>
      </c>
      <c r="M4" s="595" t="str">
        <f ca="1">IFERROR(__xludf.DUMMYFUNCTION("""COMPUTED_VALUE"""),"夫婦")</f>
        <v>夫婦</v>
      </c>
      <c r="N4" s="595" t="str">
        <f ca="1">IFERROR(__xludf.DUMMYFUNCTION("""COMPUTED_VALUE"""),"中四国")</f>
        <v>中四国</v>
      </c>
      <c r="O4" s="900">
        <f ca="1">IFERROR(__xludf.DUMMYFUNCTION("""COMPUTED_VALUE"""),43729)</f>
        <v>43729</v>
      </c>
      <c r="P4" s="595" t="str">
        <f ca="1">IFERROR(__xludf.DUMMYFUNCTION("""COMPUTED_VALUE"""),"2029/08")</f>
        <v>2029/08</v>
      </c>
      <c r="Q4" s="595" t="str">
        <f ca="1">IFERROR(__xludf.DUMMYFUNCTION("""COMPUTED_VALUE"""),"特定技能１号")</f>
        <v>特定技能１号</v>
      </c>
      <c r="R4" s="595" t="str">
        <f ca="1">IFERROR(__xludf.DUMMYFUNCTION("""COMPUTED_VALUE"""),"松山市上野町774番地ビレッジハウス松山上野1-303")</f>
        <v>松山市上野町774番地ビレッジハウス松山上野1-303</v>
      </c>
      <c r="S4" s="595" t="str">
        <f ca="1">IFERROR(__xludf.DUMMYFUNCTION("""COMPUTED_VALUE"""),"夫婦")</f>
        <v>夫婦</v>
      </c>
      <c r="T4" s="901">
        <f ca="1">IFERROR(__xludf.DUMMYFUNCTION("""COMPUTED_VALUE"""),0)</f>
        <v>0</v>
      </c>
      <c r="U4" s="600">
        <f ca="1">IFERROR(__xludf.DUMMYFUNCTION("""COMPUTED_VALUE"""),45912)</f>
        <v>45912</v>
      </c>
      <c r="V4" s="600">
        <f ca="1">IFERROR(__xludf.DUMMYFUNCTION("""COMPUTED_VALUE"""),46360)</f>
        <v>46360</v>
      </c>
      <c r="W4" s="595" t="str">
        <f ca="1">IFERROR(__xludf.DUMMYFUNCTION("""COMPUTED_VALUE"""),"UH90854712PC")</f>
        <v>UH90854712PC</v>
      </c>
      <c r="X4" s="595" t="str">
        <f ca="1">IFERROR(__xludf.DUMMYFUNCTION("""COMPUTED_VALUE"""),"5105-743701-1")</f>
        <v>5105-743701-1</v>
      </c>
      <c r="Y4" s="596"/>
      <c r="Z4" s="595" t="str">
        <f ca="1">IFERROR(__xludf.DUMMYFUNCTION("""COMPUTED_VALUE"""),"ご主人のバイクで通勤
会社支給　管理番号なし
B-0128654　白26ｲﾝﾁ")</f>
        <v>ご主人のバイクで通勤
会社支給　管理番号なし
B-0128654　白26ｲﾝﾁ</v>
      </c>
      <c r="AA4" s="595" t="str">
        <f ca="1">IFERROR(__xludf.DUMMYFUNCTION("""COMPUTED_VALUE"""),"通勤方法確認書
には通勤、買い物も
会社の自転車使用
と記載あり")</f>
        <v>通勤方法確認書
には通勤、買い物も
会社の自転車使用
と記載あり</v>
      </c>
      <c r="AB4" s="595"/>
      <c r="AC4" s="595"/>
      <c r="AD4" s="600"/>
      <c r="AE4" s="600">
        <f ca="1">IFERROR(__xludf.DUMMYFUNCTION("""COMPUTED_VALUE"""),45707)</f>
        <v>45707</v>
      </c>
      <c r="AF4" s="600">
        <f ca="1">IFERROR(__xludf.DUMMYFUNCTION("""COMPUTED_VALUE"""),45707)</f>
        <v>45707</v>
      </c>
      <c r="AG4" s="600"/>
      <c r="AH4" s="595" t="str">
        <f ca="1">IFERROR(__xludf.DUMMYFUNCTION("""COMPUTED_VALUE"""),"育児休暇中")</f>
        <v>育児休暇中</v>
      </c>
      <c r="AI4" s="600"/>
      <c r="AJ4" s="595" t="str">
        <f ca="1">IFERROR(__xludf.DUMMYFUNCTION("""COMPUTED_VALUE"""),"2025/03/11帰国費用
広島⇔ハノイ74,300円
半額負担し、特定終了後は
負担しない")</f>
        <v>2025/03/11帰国費用
広島⇔ハノイ74,300円
半額負担し、特定終了後は
負担しない</v>
      </c>
      <c r="AK4" s="595"/>
      <c r="AL4" s="595" t="str">
        <f ca="1">IFERROR(__xludf.DUMMYFUNCTION("""COMPUTED_VALUE"""),"×")</f>
        <v>×</v>
      </c>
      <c r="AM4" s="596"/>
      <c r="AN4" s="595" t="str">
        <f ca="1">IFERROR(__xludf.DUMMYFUNCTION("""COMPUTED_VALUE"""),"自転車保険 2026/09/15")</f>
        <v>自転車保険 2026/09/15</v>
      </c>
      <c r="AO4" s="595"/>
      <c r="AP4" s="595" t="str">
        <f ca="1">IFERROR(__xludf.DUMMYFUNCTION("""COMPUTED_VALUE"""),"ビレッジハウス　個人で契約するとのこと
妊娠のため2025.9月末頃？～産休（予定日11/7）2025.5.30出産で9月頃退職後一時帰国予定。（子供が1才になるまで）再度中温へ戻りたいとの希望あり。→中四国朴さんより、日本で出産すると本人が言っているとのこと。寮は次が確定しているため、再度確認依頼済。
2024/12/04～特定技能
2024/10/04～特定活動
2024.10.20　実習3号終了予定
130ズオンデタオが夫
2024/09/18 特定技能へ申請手続き
2024/09/25コーポ津吉1"&amp;"-6よりビレッジ2-503へ引越→通勤届済
2025.9.5引越　ビレッジ1-303へ（チン名義で借りる）
2025.9.27～育児休暇　2026/10/20までは確定
2025.11.4帝王切開予定
2025.10/31出産")</f>
        <v>ビレッジハウス　個人で契約するとのこと
妊娠のため2025.9月末頃？～産休（予定日11/7）2025.5.30出産で9月頃退職後一時帰国予定。（子供が1才になるまで）再度中温へ戻りたいとの希望あり。→中四国朴さんより、日本で出産すると本人が言っているとのこと。寮は次が確定しているため、再度確認依頼済。
2024/12/04～特定技能
2024/10/04～特定活動
2024.10.20　実習3号終了予定
130ズオンデタオが夫
2024/09/18 特定技能へ申請手続き
2024/09/25コーポ津吉1-6よりビレッジ2-503へ引越→通勤届済
2025.9.5引越　ビレッジ1-303へ（チン名義で借りる）
2025.9.27～育児休暇　2026/10/20までは確定
2025.11.4帝王切開予定
2025.10/31出産</v>
      </c>
    </row>
    <row r="5" spans="1:42">
      <c r="A5" s="595"/>
      <c r="B5" s="595">
        <f ca="1">IFERROR(__xludf.DUMMYFUNCTION("""COMPUTED_VALUE"""),26)</f>
        <v>26</v>
      </c>
      <c r="C5" s="595" t="str">
        <f ca="1">IFERROR(__xludf.DUMMYFUNCTION("""COMPUTED_VALUE"""),"津吉")</f>
        <v>津吉</v>
      </c>
      <c r="D5" s="595" t="str">
        <f ca="1">IFERROR(__xludf.DUMMYFUNCTION("""COMPUTED_VALUE"""),"ベトナム")</f>
        <v>ベトナム</v>
      </c>
      <c r="E5" s="595" t="str">
        <f ca="1">IFERROR(__xludf.DUMMYFUNCTION("""COMPUTED_VALUE"""),"07011606")</f>
        <v>07011606</v>
      </c>
      <c r="F5" s="595" t="str">
        <f ca="1">IFERROR(__xludf.DUMMYFUNCTION("""COMPUTED_VALUE"""),"/appsheet/photograph/26.写真.001347.jpg")</f>
        <v>/appsheet/photograph/26.写真.001347.jpg</v>
      </c>
      <c r="G5" s="595" t="str">
        <f ca="1">IFERROR(__xludf.DUMMYFUNCTION("""COMPUTED_VALUE"""),"ヴー ティ ホアン")</f>
        <v>ヴー ティ ホアン</v>
      </c>
      <c r="H5" s="595" t="str">
        <f ca="1">IFERROR(__xludf.DUMMYFUNCTION("""COMPUTED_VALUE"""),"VU THI HOAN")</f>
        <v>VU THI HOAN</v>
      </c>
      <c r="I5" s="595" t="str">
        <f ca="1">IFERROR(__xludf.DUMMYFUNCTION("""COMPUTED_VALUE"""),"ホアン")</f>
        <v>ホアン</v>
      </c>
      <c r="J5" s="595" t="str">
        <f ca="1">IFERROR(__xludf.DUMMYFUNCTION("""COMPUTED_VALUE"""),"女")</f>
        <v>女</v>
      </c>
      <c r="K5" s="600">
        <f ca="1">IFERROR(__xludf.DUMMYFUNCTION("""COMPUTED_VALUE"""),32353)</f>
        <v>32353</v>
      </c>
      <c r="L5" s="595">
        <f ca="1">IFERROR(__xludf.DUMMYFUNCTION("""COMPUTED_VALUE"""),37)</f>
        <v>37</v>
      </c>
      <c r="M5" s="595" t="str">
        <f ca="1">IFERROR(__xludf.DUMMYFUNCTION("""COMPUTED_VALUE"""),"有")</f>
        <v>有</v>
      </c>
      <c r="N5" s="595" t="str">
        <f ca="1">IFERROR(__xludf.DUMMYFUNCTION("""COMPUTED_VALUE"""),"中四国")</f>
        <v>中四国</v>
      </c>
      <c r="O5" s="900">
        <f ca="1">IFERROR(__xludf.DUMMYFUNCTION("""COMPUTED_VALUE"""),45111)</f>
        <v>45111</v>
      </c>
      <c r="P5" s="595" t="str">
        <f ca="1">IFERROR(__xludf.DUMMYFUNCTION("""COMPUTED_VALUE"""),"2028/06")</f>
        <v>2028/06</v>
      </c>
      <c r="Q5" s="595" t="str">
        <f ca="1">IFERROR(__xludf.DUMMYFUNCTION("""COMPUTED_VALUE"""),"特定技能１号")</f>
        <v>特定技能１号</v>
      </c>
      <c r="R5" s="595" t="str">
        <f ca="1">IFERROR(__xludf.DUMMYFUNCTION("""COMPUTED_VALUE"""),"松山市津吉町535-1コーポ津吉1-2")</f>
        <v>松山市津吉町535-1コーポ津吉1-2</v>
      </c>
      <c r="S5" s="595" t="str">
        <f ca="1">IFERROR(__xludf.DUMMYFUNCTION("""COMPUTED_VALUE"""),"個")</f>
        <v>個</v>
      </c>
      <c r="T5" s="901">
        <f ca="1">IFERROR(__xludf.DUMMYFUNCTION("""COMPUTED_VALUE"""),20000)</f>
        <v>20000</v>
      </c>
      <c r="U5" s="600">
        <f ca="1">IFERROR(__xludf.DUMMYFUNCTION("""COMPUTED_VALUE"""),45734)</f>
        <v>45734</v>
      </c>
      <c r="V5" s="600">
        <f ca="1">IFERROR(__xludf.DUMMYFUNCTION("""COMPUTED_VALUE"""),46206)</f>
        <v>46206</v>
      </c>
      <c r="W5" s="595" t="str">
        <f ca="1">IFERROR(__xludf.DUMMYFUNCTION("""COMPUTED_VALUE"""),"UH16081560PA")</f>
        <v>UH16081560PA</v>
      </c>
      <c r="X5" s="595"/>
      <c r="Y5" s="596"/>
      <c r="Z5" s="595" t="str">
        <f ca="1">IFERROR(__xludf.DUMMYFUNCTION("""COMPUTED_VALUE"""),"2104
通勤、買い物も会社
支給の自転車使用")</f>
        <v>2104
通勤、買い物も会社
支給の自転車使用</v>
      </c>
      <c r="AA5" s="595"/>
      <c r="AB5" s="595"/>
      <c r="AC5" s="595" t="str">
        <f ca="1">IFERROR(__xludf.DUMMYFUNCTION("""COMPUTED_VALUE"""),"2026/1月２号試験希望_統括より")</f>
        <v>2026/1月２号試験希望_統括より</v>
      </c>
      <c r="AD5" s="600">
        <f ca="1">IFERROR(__xludf.DUMMYFUNCTION("""COMPUTED_VALUE"""),46101)</f>
        <v>46101</v>
      </c>
      <c r="AE5" s="600"/>
      <c r="AF5" s="600"/>
      <c r="AG5" s="600"/>
      <c r="AH5" s="595" t="str">
        <f ca="1">IFERROR(__xludf.DUMMYFUNCTION("""COMPUTED_VALUE"""),"一時退職")</f>
        <v>一時退職</v>
      </c>
      <c r="AI5" s="600"/>
      <c r="AJ5" s="595"/>
      <c r="AK5" s="595"/>
      <c r="AL5" s="595" t="str">
        <f ca="1">IFERROR(__xludf.DUMMYFUNCTION("""COMPUTED_VALUE"""),"〇")</f>
        <v>〇</v>
      </c>
      <c r="AM5" s="596">
        <f ca="1">IFERROR(__xludf.DUMMYFUNCTION("""COMPUTED_VALUE"""),45110)</f>
        <v>45110</v>
      </c>
      <c r="AN5" s="595" t="str">
        <f ca="1">IFERROR(__xludf.DUMMYFUNCTION("""COMPUTED_VALUE"""),"2025/8/1～2028/6/30")</f>
        <v>2025/8/1～2028/6/30</v>
      </c>
      <c r="AO5" s="595"/>
      <c r="AP5" s="595" t="str">
        <f ca="1">IFERROR(__xludf.DUMMYFUNCTION("""COMPUTED_VALUE"""),"24.7/3頃～8/5頃一時帰国　新開工場長へ申請あり4/24　→中四国
からの日程の連絡待ち。→6/30～7/31確定（6/19中四国より）
本人からの休暇届けは7/1～8/1一時帰国（全て有給申請）となって
いるため、中四国廣瀬さんへ確認依頼済（6/28中に）
一時帰国後8/6以降順風会で健診予定
24.4月分～ﾎｱﾝﾃｨﾊﾝが入寮したら家賃2万→1万へ
2026.1月　特定2号受験予定
2025/11/7特定2号試験終了後、２月初めから、２ヶ月一時帰国したい申し出あり。水沼さん了承。")</f>
        <v>24.7/3頃～8/5頃一時帰国　新開工場長へ申請あり4/24　→中四国
からの日程の連絡待ち。→6/30～7/31確定（6/19中四国より）
本人からの休暇届けは7/1～8/1一時帰国（全て有給申請）となって
いるため、中四国廣瀬さんへ確認依頼済（6/28中に）
一時帰国後8/6以降順風会で健診予定
24.4月分～ﾎｱﾝﾃｨﾊﾝが入寮したら家賃2万→1万へ
2026.1月　特定2号受験予定
2025/11/7特定2号試験終了後、２月初めから、２ヶ月一時帰国したい申し出あり。水沼さん了承。</v>
      </c>
    </row>
    <row r="6" spans="1:42">
      <c r="A6" s="595"/>
      <c r="B6" s="595">
        <f ca="1">IFERROR(__xludf.DUMMYFUNCTION("""COMPUTED_VALUE"""),50)</f>
        <v>50</v>
      </c>
      <c r="C6" s="595" t="str">
        <f ca="1">IFERROR(__xludf.DUMMYFUNCTION("""COMPUTED_VALUE"""),"津吉")</f>
        <v>津吉</v>
      </c>
      <c r="D6" s="595" t="str">
        <f ca="1">IFERROR(__xludf.DUMMYFUNCTION("""COMPUTED_VALUE"""),"ベトナム")</f>
        <v>ベトナム</v>
      </c>
      <c r="E6" s="595" t="str">
        <f ca="1">IFERROR(__xludf.DUMMYFUNCTION("""COMPUTED_VALUE"""),"07012625
07017701")</f>
        <v>07012625
07017701</v>
      </c>
      <c r="F6" s="595" t="str">
        <f ca="1">IFERROR(__xludf.DUMMYFUNCTION("""COMPUTED_VALUE"""),"/appsheet/photograph/50.写真.031439.jpg")</f>
        <v>/appsheet/photograph/50.写真.031439.jpg</v>
      </c>
      <c r="G6" s="595" t="str">
        <f ca="1">IFERROR(__xludf.DUMMYFUNCTION("""COMPUTED_VALUE"""),"チャン ティー トゥータオ")</f>
        <v>チャン ティー トゥータオ</v>
      </c>
      <c r="H6" s="595" t="str">
        <f ca="1">IFERROR(__xludf.DUMMYFUNCTION("""COMPUTED_VALUE"""),"TRAN THI THU THAO")</f>
        <v>TRAN THI THU THAO</v>
      </c>
      <c r="I6" s="595" t="str">
        <f ca="1">IFERROR(__xludf.DUMMYFUNCTION("""COMPUTED_VALUE"""),"タオ")</f>
        <v>タオ</v>
      </c>
      <c r="J6" s="595" t="str">
        <f ca="1">IFERROR(__xludf.DUMMYFUNCTION("""COMPUTED_VALUE"""),"女")</f>
        <v>女</v>
      </c>
      <c r="K6" s="600">
        <f ca="1">IFERROR(__xludf.DUMMYFUNCTION("""COMPUTED_VALUE"""),35807)</f>
        <v>35807</v>
      </c>
      <c r="L6" s="595">
        <f ca="1">IFERROR(__xludf.DUMMYFUNCTION("""COMPUTED_VALUE"""),28)</f>
        <v>28</v>
      </c>
      <c r="M6" s="595" t="str">
        <f ca="1">IFERROR(__xludf.DUMMYFUNCTION("""COMPUTED_VALUE"""),"夫婦")</f>
        <v>夫婦</v>
      </c>
      <c r="N6" s="595" t="str">
        <f ca="1">IFERROR(__xludf.DUMMYFUNCTION("""COMPUTED_VALUE"""),"デルタ四国")</f>
        <v>デルタ四国</v>
      </c>
      <c r="O6" s="900">
        <f ca="1">IFERROR(__xludf.DUMMYFUNCTION("""COMPUTED_VALUE"""),44566)</f>
        <v>44566</v>
      </c>
      <c r="P6" s="595" t="str">
        <f ca="1">IFERROR(__xludf.DUMMYFUNCTION("""COMPUTED_VALUE"""),"2026/12")</f>
        <v>2026/12</v>
      </c>
      <c r="Q6" s="595" t="str">
        <f ca="1">IFERROR(__xludf.DUMMYFUNCTION("""COMPUTED_VALUE"""),"特定技能２号")</f>
        <v>特定技能２号</v>
      </c>
      <c r="R6" s="595" t="str">
        <f ca="1">IFERROR(__xludf.DUMMYFUNCTION("""COMPUTED_VALUE"""),"松山市上野町774番地ビレッジハウス松山上野2-507")</f>
        <v>松山市上野町774番地ビレッジハウス松山上野2-507</v>
      </c>
      <c r="S6" s="595" t="str">
        <f ca="1">IFERROR(__xludf.DUMMYFUNCTION("""COMPUTED_VALUE"""),"個")</f>
        <v>個</v>
      </c>
      <c r="T6" s="901">
        <f ca="1">IFERROR(__xludf.DUMMYFUNCTION("""COMPUTED_VALUE"""),20000)</f>
        <v>20000</v>
      </c>
      <c r="U6" s="600">
        <f ca="1">IFERROR(__xludf.DUMMYFUNCTION("""COMPUTED_VALUE"""),45962)</f>
        <v>45962</v>
      </c>
      <c r="V6" s="600">
        <f ca="1">IFERROR(__xludf.DUMMYFUNCTION("""COMPUTED_VALUE"""),47102)</f>
        <v>47102</v>
      </c>
      <c r="W6" s="595" t="str">
        <f ca="1">IFERROR(__xludf.DUMMYFUNCTION("""COMPUTED_VALUE"""),"UH79100289PC")</f>
        <v>UH79100289PC</v>
      </c>
      <c r="X6" s="595" t="str">
        <f ca="1">IFERROR(__xludf.DUMMYFUNCTION("""COMPUTED_VALUE"""),"5099-602786-1")</f>
        <v>5099-602786-1</v>
      </c>
      <c r="Y6" s="596"/>
      <c r="Z6" s="595"/>
      <c r="AA6" s="595"/>
      <c r="AB6" s="595"/>
      <c r="AC6" s="595"/>
      <c r="AD6" s="600">
        <f ca="1">IFERROR(__xludf.DUMMYFUNCTION("""COMPUTED_VALUE"""),45756)</f>
        <v>45756</v>
      </c>
      <c r="AE6" s="600">
        <f ca="1">IFERROR(__xludf.DUMMYFUNCTION("""COMPUTED_VALUE"""),45756)</f>
        <v>45756</v>
      </c>
      <c r="AF6" s="600">
        <f ca="1">IFERROR(__xludf.DUMMYFUNCTION("""COMPUTED_VALUE"""),45794)</f>
        <v>45794</v>
      </c>
      <c r="AG6" s="600">
        <f ca="1">IFERROR(__xludf.DUMMYFUNCTION("""COMPUTED_VALUE"""),45796)</f>
        <v>45796</v>
      </c>
      <c r="AH6" s="595"/>
      <c r="AI6" s="600"/>
      <c r="AJ6" s="595"/>
      <c r="AK6" s="595"/>
      <c r="AL6" s="595" t="str">
        <f ca="1">IFERROR(__xludf.DUMMYFUNCTION("""COMPUTED_VALUE"""),"―")</f>
        <v>―</v>
      </c>
      <c r="AM6" s="596"/>
      <c r="AN6" s="595"/>
      <c r="AO6" s="595" t="str">
        <f ca="1">IFERROR(__xludf.DUMMYFUNCTION("""COMPUTED_VALUE"""),"ひめぎん
末広町支店")</f>
        <v>ひめぎん
末広町支店</v>
      </c>
      <c r="AP6" s="595" t="str">
        <f ca="1">IFERROR(__xludf.DUMMYFUNCTION("""COMPUTED_VALUE"""),"自身の結婚の為一時帰国　勤務再開2025/5/19
一時退職のため、社員ｺｰﾄﾞ変更予定
2025.7.24給与口座を伊予銀行→ひめぎんへ変更したいとのこと。中温経由であれば一時的なことではなく、給与振込口座として作成するのであれば可能とのひめぎんより回答あり。
9月分の給料よりひめぎんへ変更。
在留ｶｰﾄﾞ更新申請中。更新後の在留ｶｰﾄﾞをひめぎんへ提出（ﾃﾞﾙﾀ・松岡さんへ伝え済8月末～9月頃予定）
伊予銀口座解約⇒仕事が忙しく休みが取れない為、年末までには銀行へ行く予定
2025/10　特定2号試験"&amp;"合格。早急に2号に移行したいとの回答。2号移行後は弊社の自社支援となる（ﾃﾞﾙﾀ松岡さんより10/27）
2025/12/21～特定2号へ移行予定
2025/11/12昨日、病院へ行って妊娠４週ぐらい。まだ小さいため、安定したら再度話す。新開工場長へは連絡済み
2025/12/15　特定2号へ移行完了
ブイよりタオが妊娠。出産予定9月。西条工場へ夫婦で行く予定のため、病院で迷っている。現在つばきウィメンズクリニック。後日相談")</f>
        <v>自身の結婚の為一時帰国　勤務再開2025/5/19
一時退職のため、社員ｺｰﾄﾞ変更予定
2025.7.24給与口座を伊予銀行→ひめぎんへ変更したいとのこと。中温経由であれば一時的なことではなく、給与振込口座として作成するのであれば可能とのひめぎんより回答あり。
9月分の給料よりひめぎんへ変更。
在留ｶｰﾄﾞ更新申請中。更新後の在留ｶｰﾄﾞをひめぎんへ提出（ﾃﾞﾙﾀ・松岡さんへ伝え済8月末～9月頃予定）
伊予銀口座解約⇒仕事が忙しく休みが取れない為、年末までには銀行へ行く予定
2025/10　特定2号試験合格。早急に2号に移行したいとの回答。2号移行後は弊社の自社支援となる（ﾃﾞﾙﾀ松岡さんより10/27）
2025/12/21～特定2号へ移行予定
2025/11/12昨日、病院へ行って妊娠４週ぐらい。まだ小さいため、安定したら再度話す。新開工場長へは連絡済み
2025/12/15　特定2号へ移行完了
ブイよりタオが妊娠。出産予定9月。西条工場へ夫婦で行く予定のため、病院で迷っている。現在つばきウィメンズクリニック。後日相談</v>
      </c>
    </row>
    <row r="7" spans="1:42">
      <c r="A7" s="595"/>
      <c r="B7" s="595">
        <f ca="1">IFERROR(__xludf.DUMMYFUNCTION("""COMPUTED_VALUE"""),51)</f>
        <v>51</v>
      </c>
      <c r="C7" s="595" t="str">
        <f ca="1">IFERROR(__xludf.DUMMYFUNCTION("""COMPUTED_VALUE"""),"津吉")</f>
        <v>津吉</v>
      </c>
      <c r="D7" s="595" t="str">
        <f ca="1">IFERROR(__xludf.DUMMYFUNCTION("""COMPUTED_VALUE"""),"ベトナム")</f>
        <v>ベトナム</v>
      </c>
      <c r="E7" s="595" t="str">
        <f ca="1">IFERROR(__xludf.DUMMYFUNCTION("""COMPUTED_VALUE"""),"07012624
07017700")</f>
        <v>07012624
07017700</v>
      </c>
      <c r="F7" s="595" t="str">
        <f ca="1">IFERROR(__xludf.DUMMYFUNCTION("""COMPUTED_VALUE"""),"/appsheet/photograph/51.写真.031458.jpg")</f>
        <v>/appsheet/photograph/51.写真.031458.jpg</v>
      </c>
      <c r="G7" s="595" t="str">
        <f ca="1">IFERROR(__xludf.DUMMYFUNCTION("""COMPUTED_VALUE"""),"ブイ ヒウ フン")</f>
        <v>ブイ ヒウ フン</v>
      </c>
      <c r="H7" s="595" t="str">
        <f ca="1">IFERROR(__xludf.DUMMYFUNCTION("""COMPUTED_VALUE"""),"BUI HUU HUNG")</f>
        <v>BUI HUU HUNG</v>
      </c>
      <c r="I7" s="595" t="str">
        <f ca="1">IFERROR(__xludf.DUMMYFUNCTION("""COMPUTED_VALUE"""),"ブイ")</f>
        <v>ブイ</v>
      </c>
      <c r="J7" s="595" t="str">
        <f ca="1">IFERROR(__xludf.DUMMYFUNCTION("""COMPUTED_VALUE"""),"男")</f>
        <v>男</v>
      </c>
      <c r="K7" s="600">
        <f ca="1">IFERROR(__xludf.DUMMYFUNCTION("""COMPUTED_VALUE"""),35127)</f>
        <v>35127</v>
      </c>
      <c r="L7" s="595">
        <f ca="1">IFERROR(__xludf.DUMMYFUNCTION("""COMPUTED_VALUE"""),30)</f>
        <v>30</v>
      </c>
      <c r="M7" s="595" t="str">
        <f ca="1">IFERROR(__xludf.DUMMYFUNCTION("""COMPUTED_VALUE"""),"夫婦")</f>
        <v>夫婦</v>
      </c>
      <c r="N7" s="595" t="str">
        <f ca="1">IFERROR(__xludf.DUMMYFUNCTION("""COMPUTED_VALUE"""),"デルタ四国")</f>
        <v>デルタ四国</v>
      </c>
      <c r="O7" s="900">
        <f ca="1">IFERROR(__xludf.DUMMYFUNCTION("""COMPUTED_VALUE"""),44566)</f>
        <v>44566</v>
      </c>
      <c r="P7" s="595" t="str">
        <f ca="1">IFERROR(__xludf.DUMMYFUNCTION("""COMPUTED_VALUE"""),"2026/12")</f>
        <v>2026/12</v>
      </c>
      <c r="Q7" s="595" t="str">
        <f ca="1">IFERROR(__xludf.DUMMYFUNCTION("""COMPUTED_VALUE"""),"特定技能２号")</f>
        <v>特定技能２号</v>
      </c>
      <c r="R7" s="595" t="str">
        <f ca="1">IFERROR(__xludf.DUMMYFUNCTION("""COMPUTED_VALUE"""),"松山市上野町774番地ビレッジハウス松山上野2-507")</f>
        <v>松山市上野町774番地ビレッジハウス松山上野2-507</v>
      </c>
      <c r="S7" s="595" t="str">
        <f ca="1">IFERROR(__xludf.DUMMYFUNCTION("""COMPUTED_VALUE"""),"個")</f>
        <v>個</v>
      </c>
      <c r="T7" s="901">
        <f ca="1">IFERROR(__xludf.DUMMYFUNCTION("""COMPUTED_VALUE"""),20000)</f>
        <v>20000</v>
      </c>
      <c r="U7" s="600">
        <f ca="1">IFERROR(__xludf.DUMMYFUNCTION("""COMPUTED_VALUE"""),45962)</f>
        <v>45962</v>
      </c>
      <c r="V7" s="600">
        <f ca="1">IFERROR(__xludf.DUMMYFUNCTION("""COMPUTED_VALUE"""),47102)</f>
        <v>47102</v>
      </c>
      <c r="W7" s="595" t="str">
        <f ca="1">IFERROR(__xludf.DUMMYFUNCTION("""COMPUTED_VALUE"""),"UH13080122PC")</f>
        <v>UH13080122PC</v>
      </c>
      <c r="X7" s="595" t="str">
        <f ca="1">IFERROR(__xludf.DUMMYFUNCTION("""COMPUTED_VALUE"""),"5097-305748-7")</f>
        <v>5097-305748-7</v>
      </c>
      <c r="Y7" s="596"/>
      <c r="Z7" s="595" t="str">
        <f ca="1">IFERROR(__xludf.DUMMYFUNCTION("""COMPUTED_VALUE"""),"ﾊﾞｲｸ通勤
2024.3.21～")</f>
        <v>ﾊﾞｲｸ通勤
2024.3.21～</v>
      </c>
      <c r="AA7" s="595"/>
      <c r="AB7" s="595"/>
      <c r="AC7" s="595"/>
      <c r="AD7" s="600">
        <f ca="1">IFERROR(__xludf.DUMMYFUNCTION("""COMPUTED_VALUE"""),45756)</f>
        <v>45756</v>
      </c>
      <c r="AE7" s="600">
        <f ca="1">IFERROR(__xludf.DUMMYFUNCTION("""COMPUTED_VALUE"""),45756)</f>
        <v>45756</v>
      </c>
      <c r="AF7" s="600">
        <f ca="1">IFERROR(__xludf.DUMMYFUNCTION("""COMPUTED_VALUE"""),45794)</f>
        <v>45794</v>
      </c>
      <c r="AG7" s="600">
        <f ca="1">IFERROR(__xludf.DUMMYFUNCTION("""COMPUTED_VALUE"""),45796)</f>
        <v>45796</v>
      </c>
      <c r="AH7" s="595"/>
      <c r="AI7" s="600"/>
      <c r="AJ7" s="595"/>
      <c r="AK7" s="595"/>
      <c r="AL7" s="595" t="str">
        <f ca="1">IFERROR(__xludf.DUMMYFUNCTION("""COMPUTED_VALUE"""),"―")</f>
        <v>―</v>
      </c>
      <c r="AM7" s="596"/>
      <c r="AN7" s="595"/>
      <c r="AO7" s="595" t="str">
        <f ca="1">IFERROR(__xludf.DUMMYFUNCTION("""COMPUTED_VALUE"""),"ひめぎん
末広町支店")</f>
        <v>ひめぎん
末広町支店</v>
      </c>
      <c r="AP7" s="595" t="str">
        <f ca="1">IFERROR(__xludf.DUMMYFUNCTION("""COMPUTED_VALUE"""),"24.3.8頃～原付通勤　通勤届書類提出済3/17
4月分の給料から通勤手当変更
自身の結婚の為一時帰国　勤務再開2025/5/19
一時退職のため、社員ｺｰﾄﾞ変更予定
2025.7.24給与口座を伊予銀行→ひめぎんへ変更したいとのこと。中温経由であれば一時的なことではなく、給与振込口座として作成するのであれば可能とのひめぎんより回答あり。
9月分の給料よりひめぎんへ変更。
在留ｶｰﾄﾞ更新申請中。更新後の在留ｶｰﾄﾞをひめぎんへ提出（ﾃﾞﾙﾀ・松岡さんへ伝え済8月末～9月頃予定）
伊予銀口座解約⇒仕事"&amp;"が忙しく休みが取れない為、年末までには銀行へ行く予定
2025/10　特定2号試験合格。早急に2号に移行したいとの回答。2号移行後は弊社の自社支援となる（ﾃﾞﾙﾀ松岡さんより10/27）
2025/12/21～特定2号へ移行予定
2025/12/15　特定2号へ移行完了")</f>
        <v>24.3.8頃～原付通勤　通勤届書類提出済3/17
4月分の給料から通勤手当変更
自身の結婚の為一時帰国　勤務再開2025/5/19
一時退職のため、社員ｺｰﾄﾞ変更予定
2025.7.24給与口座を伊予銀行→ひめぎんへ変更したいとのこと。中温経由であれば一時的なことではなく、給与振込口座として作成するのであれば可能とのひめぎんより回答あり。
9月分の給料よりひめぎんへ変更。
在留ｶｰﾄﾞ更新申請中。更新後の在留ｶｰﾄﾞをひめぎんへ提出（ﾃﾞﾙﾀ・松岡さんへ伝え済8月末～9月頃予定）
伊予銀口座解約⇒仕事が忙しく休みが取れない為、年末までには銀行へ行く予定
2025/10　特定2号試験合格。早急に2号に移行したいとの回答。2号移行後は弊社の自社支援となる（ﾃﾞﾙﾀ松岡さんより10/27）
2025/12/21～特定2号へ移行予定
2025/12/15　特定2号へ移行完了</v>
      </c>
    </row>
    <row r="8" spans="1:42">
      <c r="A8" s="595" t="str">
        <f ca="1">IFERROR(__xludf.DUMMYFUNCTION("""COMPUTED_VALUE"""),"出荷")</f>
        <v>出荷</v>
      </c>
      <c r="B8" s="595">
        <f ca="1">IFERROR(__xludf.DUMMYFUNCTION("""COMPUTED_VALUE"""),65)</f>
        <v>65</v>
      </c>
      <c r="C8" s="595" t="str">
        <f ca="1">IFERROR(__xludf.DUMMYFUNCTION("""COMPUTED_VALUE"""),"津吉")</f>
        <v>津吉</v>
      </c>
      <c r="D8" s="595" t="str">
        <f ca="1">IFERROR(__xludf.DUMMYFUNCTION("""COMPUTED_VALUE"""),"インドネシア")</f>
        <v>インドネシア</v>
      </c>
      <c r="E8" s="595" t="str">
        <f ca="1">IFERROR(__xludf.DUMMYFUNCTION("""COMPUTED_VALUE"""),"07013629")</f>
        <v>07013629</v>
      </c>
      <c r="F8" s="595" t="str">
        <f ca="1">IFERROR(__xludf.DUMMYFUNCTION("""COMPUTED_VALUE"""),"/appsheet/photograph/65.写真.033201.jpg")</f>
        <v>/appsheet/photograph/65.写真.033201.jpg</v>
      </c>
      <c r="G8" s="595" t="str">
        <f ca="1">IFERROR(__xludf.DUMMYFUNCTION("""COMPUTED_VALUE"""),"ククー ヌル ハンドヨ")</f>
        <v>ククー ヌル ハンドヨ</v>
      </c>
      <c r="H8" s="595" t="str">
        <f ca="1">IFERROR(__xludf.DUMMYFUNCTION("""COMPUTED_VALUE"""),"KUKUH NUR HANDOYO")</f>
        <v>KUKUH NUR HANDOYO</v>
      </c>
      <c r="I8" s="595" t="str">
        <f ca="1">IFERROR(__xludf.DUMMYFUNCTION("""COMPUTED_VALUE"""),"クク")</f>
        <v>クク</v>
      </c>
      <c r="J8" s="595" t="str">
        <f ca="1">IFERROR(__xludf.DUMMYFUNCTION("""COMPUTED_VALUE"""),"男")</f>
        <v>男</v>
      </c>
      <c r="K8" s="600">
        <f ca="1">IFERROR(__xludf.DUMMYFUNCTION("""COMPUTED_VALUE"""),35333)</f>
        <v>35333</v>
      </c>
      <c r="L8" s="595">
        <f ca="1">IFERROR(__xludf.DUMMYFUNCTION("""COMPUTED_VALUE"""),29)</f>
        <v>29</v>
      </c>
      <c r="M8" s="595" t="str">
        <f ca="1">IFERROR(__xludf.DUMMYFUNCTION("""COMPUTED_VALUE"""),"有")</f>
        <v>有</v>
      </c>
      <c r="N8" s="595" t="str">
        <f ca="1">IFERROR(__xludf.DUMMYFUNCTION("""COMPUTED_VALUE"""),"H&amp;C")</f>
        <v>H&amp;C</v>
      </c>
      <c r="O8" s="900">
        <f ca="1">IFERROR(__xludf.DUMMYFUNCTION("""COMPUTED_VALUE"""),45027)</f>
        <v>45027</v>
      </c>
      <c r="P8" s="595" t="str">
        <f ca="1">IFERROR(__xludf.DUMMYFUNCTION("""COMPUTED_VALUE"""),"2028/03")</f>
        <v>2028/03</v>
      </c>
      <c r="Q8" s="595" t="str">
        <f ca="1">IFERROR(__xludf.DUMMYFUNCTION("""COMPUTED_VALUE"""),"特定技能１号")</f>
        <v>特定技能１号</v>
      </c>
      <c r="R8" s="595" t="str">
        <f ca="1">IFERROR(__xludf.DUMMYFUNCTION("""COMPUTED_VALUE"""),"松山市上野町774番地ビレッジハウス松山上野3-508")</f>
        <v>松山市上野町774番地ビレッジハウス松山上野3-508</v>
      </c>
      <c r="S8" s="595" t="str">
        <f ca="1">IFERROR(__xludf.DUMMYFUNCTION("""COMPUTED_VALUE"""),"個")</f>
        <v>個</v>
      </c>
      <c r="T8" s="901">
        <f ca="1">IFERROR(__xludf.DUMMYFUNCTION("""COMPUTED_VALUE"""),15000)</f>
        <v>15000</v>
      </c>
      <c r="U8" s="600">
        <f ca="1">IFERROR(__xludf.DUMMYFUNCTION("""COMPUTED_VALUE"""),46082)</f>
        <v>46082</v>
      </c>
      <c r="V8" s="600">
        <f ca="1">IFERROR(__xludf.DUMMYFUNCTION("""COMPUTED_VALUE"""),46172)</f>
        <v>46172</v>
      </c>
      <c r="W8" s="595" t="str">
        <f ca="1">IFERROR(__xludf.DUMMYFUNCTION("""COMPUTED_VALUE"""),"UH69112519PC")</f>
        <v>UH69112519PC</v>
      </c>
      <c r="X8" s="595"/>
      <c r="Y8" s="596"/>
      <c r="Z8" s="595" t="str">
        <f ca="1">IFERROR(__xludf.DUMMYFUNCTION("""COMPUTED_VALUE"""),"2301-V065")</f>
        <v>2301-V065</v>
      </c>
      <c r="AA8" s="595"/>
      <c r="AB8" s="595"/>
      <c r="AC8" s="595"/>
      <c r="AD8" s="600"/>
      <c r="AE8" s="600">
        <f ca="1">IFERROR(__xludf.DUMMYFUNCTION("""COMPUTED_VALUE"""),45506)</f>
        <v>45506</v>
      </c>
      <c r="AF8" s="600">
        <f ca="1">IFERROR(__xludf.DUMMYFUNCTION("""COMPUTED_VALUE"""),45525)</f>
        <v>45525</v>
      </c>
      <c r="AG8" s="600"/>
      <c r="AH8" s="595"/>
      <c r="AI8" s="600"/>
      <c r="AJ8" s="595"/>
      <c r="AK8" s="595" t="str">
        <f ca="1">IFERROR(__xludf.DUMMYFUNCTION("""COMPUTED_VALUE"""),"垂水主任")</f>
        <v>垂水主任</v>
      </c>
      <c r="AL8" s="595" t="str">
        <f ca="1">IFERROR(__xludf.DUMMYFUNCTION("""COMPUTED_VALUE"""),"〇")</f>
        <v>〇</v>
      </c>
      <c r="AM8" s="596">
        <f ca="1">IFERROR(__xludf.DUMMYFUNCTION("""COMPUTED_VALUE"""),45024)</f>
        <v>45024</v>
      </c>
      <c r="AN8" s="595" t="str">
        <f ca="1">IFERROR(__xludf.DUMMYFUNCTION("""COMPUTED_VALUE"""),"2025/6/１～2028/4/30")</f>
        <v>2025/6/１～2028/4/30</v>
      </c>
      <c r="AO8" s="595"/>
      <c r="AP8" s="595" t="str">
        <f ca="1">IFERROR(__xludf.DUMMYFUNCTION("""COMPUTED_VALUE"""),"24.7/10保険証紛失（H&amp;Cへ伝え済）
8/5～8/9有給使用予定（7/5H＆C古谷さんより）
2024.8月に3週間程一時帰国希望。（6/14H&amp;C三好さんより）新開工場長了承済。
有休残日数と次回の付与日で時季を再検討とのこと
（24.4.23H&amp;C三好さんより）
2025.10.24奥さんが中温で働きたいとのこと。特定1号取得、食料品の資格も取得済。（尾崎さんから新開工場長へ伝えるとのこと）
")</f>
        <v xml:space="preserve">24.7/10保険証紛失（H&amp;Cへ伝え済）
8/5～8/9有給使用予定（7/5H＆C古谷さんより）
2024.8月に3週間程一時帰国希望。（6/14H&amp;C三好さんより）新開工場長了承済。
有休残日数と次回の付与日で時季を再検討とのこと
（24.4.23H&amp;C三好さんより）
2025.10.24奥さんが中温で働きたいとのこと。特定1号取得、食料品の資格も取得済。（尾崎さんから新開工場長へ伝えるとのこと）
</v>
      </c>
    </row>
    <row r="9" spans="1:42">
      <c r="A9" s="595" t="str">
        <f ca="1">IFERROR(__xludf.DUMMYFUNCTION("""COMPUTED_VALUE"""),"四課")</f>
        <v>四課</v>
      </c>
      <c r="B9" s="595">
        <f ca="1">IFERROR(__xludf.DUMMYFUNCTION("""COMPUTED_VALUE"""),69)</f>
        <v>69</v>
      </c>
      <c r="C9" s="595" t="str">
        <f ca="1">IFERROR(__xludf.DUMMYFUNCTION("""COMPUTED_VALUE"""),"津吉")</f>
        <v>津吉</v>
      </c>
      <c r="D9" s="595" t="str">
        <f ca="1">IFERROR(__xludf.DUMMYFUNCTION("""COMPUTED_VALUE"""),"インドネシア")</f>
        <v>インドネシア</v>
      </c>
      <c r="E9" s="595" t="str">
        <f ca="1">IFERROR(__xludf.DUMMYFUNCTION("""COMPUTED_VALUE"""),"07013630")</f>
        <v>07013630</v>
      </c>
      <c r="F9" s="595" t="str">
        <f ca="1">IFERROR(__xludf.DUMMYFUNCTION("""COMPUTED_VALUE"""),"/appsheet/photograph/69.写真.025352.jpg")</f>
        <v>/appsheet/photograph/69.写真.025352.jpg</v>
      </c>
      <c r="G9" s="595" t="str">
        <f ca="1">IFERROR(__xludf.DUMMYFUNCTION("""COMPUTED_VALUE"""),"ムハマッド ヒダヤット ヌロフマン")</f>
        <v>ムハマッド ヒダヤット ヌロフマン</v>
      </c>
      <c r="H9" s="595" t="str">
        <f ca="1">IFERROR(__xludf.DUMMYFUNCTION("""COMPUTED_VALUE"""),"MUHAMMAD HIDAYAT NUROHMAN")</f>
        <v>MUHAMMAD HIDAYAT NUROHMAN</v>
      </c>
      <c r="I9" s="595"/>
      <c r="J9" s="595" t="str">
        <f ca="1">IFERROR(__xludf.DUMMYFUNCTION("""COMPUTED_VALUE"""),"男")</f>
        <v>男</v>
      </c>
      <c r="K9" s="600">
        <f ca="1">IFERROR(__xludf.DUMMYFUNCTION("""COMPUTED_VALUE"""),36053)</f>
        <v>36053</v>
      </c>
      <c r="L9" s="595">
        <f ca="1">IFERROR(__xludf.DUMMYFUNCTION("""COMPUTED_VALUE"""),27)</f>
        <v>27</v>
      </c>
      <c r="M9" s="595" t="str">
        <f ca="1">IFERROR(__xludf.DUMMYFUNCTION("""COMPUTED_VALUE"""),"無")</f>
        <v>無</v>
      </c>
      <c r="N9" s="595" t="str">
        <f ca="1">IFERROR(__xludf.DUMMYFUNCTION("""COMPUTED_VALUE"""),"H&amp;C")</f>
        <v>H&amp;C</v>
      </c>
      <c r="O9" s="900">
        <f ca="1">IFERROR(__xludf.DUMMYFUNCTION("""COMPUTED_VALUE"""),45027)</f>
        <v>45027</v>
      </c>
      <c r="P9" s="595" t="str">
        <f ca="1">IFERROR(__xludf.DUMMYFUNCTION("""COMPUTED_VALUE"""),"2028/03")</f>
        <v>2028/03</v>
      </c>
      <c r="Q9" s="595" t="str">
        <f ca="1">IFERROR(__xludf.DUMMYFUNCTION("""COMPUTED_VALUE"""),"特定技能１号")</f>
        <v>特定技能１号</v>
      </c>
      <c r="R9" s="595" t="str">
        <f ca="1">IFERROR(__xludf.DUMMYFUNCTION("""COMPUTED_VALUE"""),"松山市上野町774番地ビレッジハウス松山上野3-508")</f>
        <v>松山市上野町774番地ビレッジハウス松山上野3-508</v>
      </c>
      <c r="S9" s="595" t="str">
        <f ca="1">IFERROR(__xludf.DUMMYFUNCTION("""COMPUTED_VALUE"""),"個")</f>
        <v>個</v>
      </c>
      <c r="T9" s="901">
        <f ca="1">IFERROR(__xludf.DUMMYFUNCTION("""COMPUTED_VALUE"""),15000)</f>
        <v>15000</v>
      </c>
      <c r="U9" s="600">
        <f ca="1">IFERROR(__xludf.DUMMYFUNCTION("""COMPUTED_VALUE"""),46082)</f>
        <v>46082</v>
      </c>
      <c r="V9" s="600">
        <f ca="1">IFERROR(__xludf.DUMMYFUNCTION("""COMPUTED_VALUE"""),46172)</f>
        <v>46172</v>
      </c>
      <c r="W9" s="595" t="str">
        <f ca="1">IFERROR(__xludf.DUMMYFUNCTION("""COMPUTED_VALUE"""),"UH67756555PC")</f>
        <v>UH67756555PC</v>
      </c>
      <c r="X9" s="595"/>
      <c r="Y9" s="596"/>
      <c r="Z9" s="595" t="str">
        <f ca="1">IFERROR(__xludf.DUMMYFUNCTION("""COMPUTED_VALUE"""),"自身で購入
元2302　シルバー
B-0287298-V208")</f>
        <v>自身で購入
元2302　シルバー
B-0287298-V208</v>
      </c>
      <c r="AA9" s="595"/>
      <c r="AB9" s="595"/>
      <c r="AC9" s="595"/>
      <c r="AD9" s="600"/>
      <c r="AE9" s="600"/>
      <c r="AF9" s="600"/>
      <c r="AG9" s="600"/>
      <c r="AH9" s="595"/>
      <c r="AI9" s="600"/>
      <c r="AJ9" s="595"/>
      <c r="AK9" s="595" t="str">
        <f ca="1">IFERROR(__xludf.DUMMYFUNCTION("""COMPUTED_VALUE"""),"大西係長")</f>
        <v>大西係長</v>
      </c>
      <c r="AL9" s="595" t="str">
        <f ca="1">IFERROR(__xludf.DUMMYFUNCTION("""COMPUTED_VALUE"""),"―")</f>
        <v>―</v>
      </c>
      <c r="AM9" s="596">
        <f ca="1">IFERROR(__xludf.DUMMYFUNCTION("""COMPUTED_VALUE"""),45024)</f>
        <v>45024</v>
      </c>
      <c r="AN9" s="595" t="str">
        <f ca="1">IFERROR(__xludf.DUMMYFUNCTION("""COMPUTED_VALUE"""),"―")</f>
        <v>―</v>
      </c>
      <c r="AO9" s="595"/>
      <c r="AP9" s="595" t="str">
        <f ca="1">IFERROR(__xludf.DUMMYFUNCTION("""COMPUTED_VALUE"""),"2024.5.8引越ﾋﾞﾚｯｼﾞﾊｳｽ3-508→ﾋﾞﾚｯｼﾞﾊｳｽ4-507へ
2026.1.14寮の契約終了の為、引越予定
2026/1/21ﾋﾞﾚｯｼﾞ4-507→3-508へ引越（契約終了の為）")</f>
        <v>2024.5.8引越ﾋﾞﾚｯｼﾞﾊｳｽ3-508→ﾋﾞﾚｯｼﾞﾊｳｽ4-507へ
2026.1.14寮の契約終了の為、引越予定
2026/1/21ﾋﾞﾚｯｼﾞ4-507→3-508へ引越（契約終了の為）</v>
      </c>
    </row>
    <row r="10" spans="1:42">
      <c r="A10" s="595" t="str">
        <f ca="1">IFERROR(__xludf.DUMMYFUNCTION("""COMPUTED_VALUE"""),"四課")</f>
        <v>四課</v>
      </c>
      <c r="B10" s="595">
        <f ca="1">IFERROR(__xludf.DUMMYFUNCTION("""COMPUTED_VALUE"""),70)</f>
        <v>70</v>
      </c>
      <c r="C10" s="595" t="str">
        <f ca="1">IFERROR(__xludf.DUMMYFUNCTION("""COMPUTED_VALUE"""),"津吉")</f>
        <v>津吉</v>
      </c>
      <c r="D10" s="595" t="str">
        <f ca="1">IFERROR(__xludf.DUMMYFUNCTION("""COMPUTED_VALUE"""),"インドネシア")</f>
        <v>インドネシア</v>
      </c>
      <c r="E10" s="595" t="str">
        <f ca="1">IFERROR(__xludf.DUMMYFUNCTION("""COMPUTED_VALUE"""),"07013631")</f>
        <v>07013631</v>
      </c>
      <c r="F10" s="595" t="str">
        <f ca="1">IFERROR(__xludf.DUMMYFUNCTION("""COMPUTED_VALUE"""),"/appsheet/photograph/70.写真.025447.jpg")</f>
        <v>/appsheet/photograph/70.写真.025447.jpg</v>
      </c>
      <c r="G10" s="595" t="str">
        <f ca="1">IFERROR(__xludf.DUMMYFUNCTION("""COMPUTED_VALUE"""),"レザ アルヤ ヌグラハ")</f>
        <v>レザ アルヤ ヌグラハ</v>
      </c>
      <c r="H10" s="595" t="str">
        <f ca="1">IFERROR(__xludf.DUMMYFUNCTION("""COMPUTED_VALUE"""),"REZA ARYA NUGRAHA")</f>
        <v>REZA ARYA NUGRAHA</v>
      </c>
      <c r="I10" s="595" t="str">
        <f ca="1">IFERROR(__xludf.DUMMYFUNCTION("""COMPUTED_VALUE"""),"レザ")</f>
        <v>レザ</v>
      </c>
      <c r="J10" s="595" t="str">
        <f ca="1">IFERROR(__xludf.DUMMYFUNCTION("""COMPUTED_VALUE"""),"男")</f>
        <v>男</v>
      </c>
      <c r="K10" s="600">
        <f ca="1">IFERROR(__xludf.DUMMYFUNCTION("""COMPUTED_VALUE"""),37958)</f>
        <v>37958</v>
      </c>
      <c r="L10" s="595">
        <f ca="1">IFERROR(__xludf.DUMMYFUNCTION("""COMPUTED_VALUE"""),22)</f>
        <v>22</v>
      </c>
      <c r="M10" s="595" t="str">
        <f ca="1">IFERROR(__xludf.DUMMYFUNCTION("""COMPUTED_VALUE"""),"無")</f>
        <v>無</v>
      </c>
      <c r="N10" s="595" t="str">
        <f ca="1">IFERROR(__xludf.DUMMYFUNCTION("""COMPUTED_VALUE"""),"H&amp;C")</f>
        <v>H&amp;C</v>
      </c>
      <c r="O10" s="900">
        <f ca="1">IFERROR(__xludf.DUMMYFUNCTION("""COMPUTED_VALUE"""),45027)</f>
        <v>45027</v>
      </c>
      <c r="P10" s="595" t="str">
        <f ca="1">IFERROR(__xludf.DUMMYFUNCTION("""COMPUTED_VALUE"""),"2028/03")</f>
        <v>2028/03</v>
      </c>
      <c r="Q10" s="595" t="str">
        <f ca="1">IFERROR(__xludf.DUMMYFUNCTION("""COMPUTED_VALUE"""),"特定技能１号")</f>
        <v>特定技能１号</v>
      </c>
      <c r="R10" s="595" t="str">
        <f ca="1">IFERROR(__xludf.DUMMYFUNCTION("""COMPUTED_VALUE"""),"松山市上野町774番地ビレッジハウス松山上野3-507")</f>
        <v>松山市上野町774番地ビレッジハウス松山上野3-507</v>
      </c>
      <c r="S10" s="595" t="str">
        <f ca="1">IFERROR(__xludf.DUMMYFUNCTION("""COMPUTED_VALUE"""),"個")</f>
        <v>個</v>
      </c>
      <c r="T10" s="901">
        <f ca="1">IFERROR(__xludf.DUMMYFUNCTION("""COMPUTED_VALUE"""),15000)</f>
        <v>15000</v>
      </c>
      <c r="U10" s="600">
        <f ca="1">IFERROR(__xludf.DUMMYFUNCTION("""COMPUTED_VALUE"""),46082)</f>
        <v>46082</v>
      </c>
      <c r="V10" s="600">
        <f ca="1">IFERROR(__xludf.DUMMYFUNCTION("""COMPUTED_VALUE"""),46172)</f>
        <v>46172</v>
      </c>
      <c r="W10" s="595" t="str">
        <f ca="1">IFERROR(__xludf.DUMMYFUNCTION("""COMPUTED_VALUE"""),"UH91062732PC")</f>
        <v>UH91062732PC</v>
      </c>
      <c r="X10" s="595" t="str">
        <f ca="1">IFERROR(__xludf.DUMMYFUNCTION("""COMPUTED_VALUE"""),"寮23.5/21～")</f>
        <v>寮23.5/21～</v>
      </c>
      <c r="Y10" s="596"/>
      <c r="Z10" s="595" t="str">
        <f ca="1">IFERROR(__xludf.DUMMYFUNCTION("""COMPUTED_VALUE"""),"2303　鍵付き
B-0287297-V138")</f>
        <v>2303　鍵付き
B-0287297-V138</v>
      </c>
      <c r="AA10" s="595" t="str">
        <f ca="1">IFERROR(__xludf.DUMMYFUNCTION("""COMPUTED_VALUE"""),"2026/03/04")</f>
        <v>2026/03/04</v>
      </c>
      <c r="AB10" s="595"/>
      <c r="AC10" s="595"/>
      <c r="AD10" s="600"/>
      <c r="AE10" s="600"/>
      <c r="AF10" s="600"/>
      <c r="AG10" s="600"/>
      <c r="AH10" s="595"/>
      <c r="AI10" s="600"/>
      <c r="AJ10" s="595"/>
      <c r="AK10" s="595" t="str">
        <f ca="1">IFERROR(__xludf.DUMMYFUNCTION("""COMPUTED_VALUE"""),"大西係長")</f>
        <v>大西係長</v>
      </c>
      <c r="AL10" s="595" t="str">
        <f ca="1">IFERROR(__xludf.DUMMYFUNCTION("""COMPUTED_VALUE"""),"〇")</f>
        <v>〇</v>
      </c>
      <c r="AM10" s="596">
        <f ca="1">IFERROR(__xludf.DUMMYFUNCTION("""COMPUTED_VALUE"""),45024)</f>
        <v>45024</v>
      </c>
      <c r="AN10" s="595" t="str">
        <f ca="1">IFERROR(__xludf.DUMMYFUNCTION("""COMPUTED_VALUE"""),"2025/6/１～2028/4/30")</f>
        <v>2025/6/１～2028/4/30</v>
      </c>
      <c r="AO10" s="595"/>
      <c r="AP10" s="595" t="str">
        <f ca="1">IFERROR(__xludf.DUMMYFUNCTION("""COMPUTED_VALUE"""),"2025/5/9 11:30自宅にて休みがちのため指導訪問 2025/6/24　2週間前から喉の痛みあり、1、2日目は38度の熱あり。よしおか内科へ⇒特定技能保険請求予定")</f>
        <v>2025/5/9 11:30自宅にて休みがちのため指導訪問 2025/6/24　2週間前から喉の痛みあり、1、2日目は38度の熱あり。よしおか内科へ⇒特定技能保険請求予定</v>
      </c>
    </row>
    <row r="11" spans="1:42">
      <c r="A11" s="595" t="str">
        <f ca="1">IFERROR(__xludf.DUMMYFUNCTION("""COMPUTED_VALUE"""),"一課")</f>
        <v>一課</v>
      </c>
      <c r="B11" s="595">
        <f ca="1">IFERROR(__xludf.DUMMYFUNCTION("""COMPUTED_VALUE"""),71)</f>
        <v>71</v>
      </c>
      <c r="C11" s="595" t="str">
        <f ca="1">IFERROR(__xludf.DUMMYFUNCTION("""COMPUTED_VALUE"""),"津吉")</f>
        <v>津吉</v>
      </c>
      <c r="D11" s="595" t="str">
        <f ca="1">IFERROR(__xludf.DUMMYFUNCTION("""COMPUTED_VALUE"""),"インドネシア")</f>
        <v>インドネシア</v>
      </c>
      <c r="E11" s="595" t="str">
        <f ca="1">IFERROR(__xludf.DUMMYFUNCTION("""COMPUTED_VALUE"""),"07013632")</f>
        <v>07013632</v>
      </c>
      <c r="F11" s="595" t="str">
        <f ca="1">IFERROR(__xludf.DUMMYFUNCTION("""COMPUTED_VALUE"""),"/appsheet/photograph/71.写真.020439.jpg")</f>
        <v>/appsheet/photograph/71.写真.020439.jpg</v>
      </c>
      <c r="G11" s="595" t="str">
        <f ca="1">IFERROR(__xludf.DUMMYFUNCTION("""COMPUTED_VALUE"""),"ファルハン ファティ ラマダンシャー")</f>
        <v>ファルハン ファティ ラマダンシャー</v>
      </c>
      <c r="H11" s="595" t="str">
        <f ca="1">IFERROR(__xludf.DUMMYFUNCTION("""COMPUTED_VALUE"""),"FARHAN FATHI RAMADHANSYAH")</f>
        <v>FARHAN FATHI RAMADHANSYAH</v>
      </c>
      <c r="I11" s="595"/>
      <c r="J11" s="595" t="str">
        <f ca="1">IFERROR(__xludf.DUMMYFUNCTION("""COMPUTED_VALUE"""),"男")</f>
        <v>男</v>
      </c>
      <c r="K11" s="600">
        <f ca="1">IFERROR(__xludf.DUMMYFUNCTION("""COMPUTED_VALUE"""),37928)</f>
        <v>37928</v>
      </c>
      <c r="L11" s="595">
        <f ca="1">IFERROR(__xludf.DUMMYFUNCTION("""COMPUTED_VALUE"""),22)</f>
        <v>22</v>
      </c>
      <c r="M11" s="595" t="str">
        <f ca="1">IFERROR(__xludf.DUMMYFUNCTION("""COMPUTED_VALUE"""),"無")</f>
        <v>無</v>
      </c>
      <c r="N11" s="595" t="str">
        <f ca="1">IFERROR(__xludf.DUMMYFUNCTION("""COMPUTED_VALUE"""),"H&amp;C")</f>
        <v>H&amp;C</v>
      </c>
      <c r="O11" s="900">
        <f ca="1">IFERROR(__xludf.DUMMYFUNCTION("""COMPUTED_VALUE"""),45027)</f>
        <v>45027</v>
      </c>
      <c r="P11" s="595" t="str">
        <f ca="1">IFERROR(__xludf.DUMMYFUNCTION("""COMPUTED_VALUE"""),"2028/03")</f>
        <v>2028/03</v>
      </c>
      <c r="Q11" s="595" t="str">
        <f ca="1">IFERROR(__xludf.DUMMYFUNCTION("""COMPUTED_VALUE"""),"特定技能１号")</f>
        <v>特定技能１号</v>
      </c>
      <c r="R11" s="595" t="str">
        <f ca="1">IFERROR(__xludf.DUMMYFUNCTION("""COMPUTED_VALUE"""),"松山市上野町774番地ビレッジハウス松山上野4-501")</f>
        <v>松山市上野町774番地ビレッジハウス松山上野4-501</v>
      </c>
      <c r="S11" s="595" t="str">
        <f ca="1">IFERROR(__xludf.DUMMYFUNCTION("""COMPUTED_VALUE"""),"個")</f>
        <v>個</v>
      </c>
      <c r="T11" s="901">
        <f ca="1">IFERROR(__xludf.DUMMYFUNCTION("""COMPUTED_VALUE"""),15000)</f>
        <v>15000</v>
      </c>
      <c r="U11" s="600">
        <f ca="1">IFERROR(__xludf.DUMMYFUNCTION("""COMPUTED_VALUE"""),46082)</f>
        <v>46082</v>
      </c>
      <c r="V11" s="600">
        <f ca="1">IFERROR(__xludf.DUMMYFUNCTION("""COMPUTED_VALUE"""),46172)</f>
        <v>46172</v>
      </c>
      <c r="W11" s="595" t="str">
        <f ca="1">IFERROR(__xludf.DUMMYFUNCTION("""COMPUTED_VALUE"""),"UH58397878PC")</f>
        <v>UH58397878PC</v>
      </c>
      <c r="X11" s="595"/>
      <c r="Y11" s="596"/>
      <c r="Z11" s="595" t="str">
        <f ca="1">IFERROR(__xludf.DUMMYFUNCTION("""COMPUTED_VALUE"""),"2304
B-0287295-V088
")</f>
        <v xml:space="preserve">2304
B-0287295-V088
</v>
      </c>
      <c r="AA11" s="595" t="str">
        <f ca="1">IFERROR(__xludf.DUMMYFUNCTION("""COMPUTED_VALUE"""),"2025/02/27")</f>
        <v>2025/02/27</v>
      </c>
      <c r="AB11" s="595"/>
      <c r="AC11" s="595"/>
      <c r="AD11" s="600"/>
      <c r="AE11" s="600">
        <f ca="1">IFERROR(__xludf.DUMMYFUNCTION("""COMPUTED_VALUE"""),46091)</f>
        <v>46091</v>
      </c>
      <c r="AF11" s="600">
        <f ca="1">IFERROR(__xludf.DUMMYFUNCTION("""COMPUTED_VALUE"""),46164)</f>
        <v>46164</v>
      </c>
      <c r="AG11" s="600"/>
      <c r="AH11" s="595"/>
      <c r="AI11" s="600"/>
      <c r="AJ11" s="595"/>
      <c r="AK11" s="595" t="str">
        <f ca="1">IFERROR(__xludf.DUMMYFUNCTION("""COMPUTED_VALUE"""),"小林主任")</f>
        <v>小林主任</v>
      </c>
      <c r="AL11" s="595" t="str">
        <f ca="1">IFERROR(__xludf.DUMMYFUNCTION("""COMPUTED_VALUE"""),"―")</f>
        <v>―</v>
      </c>
      <c r="AM11" s="596">
        <f ca="1">IFERROR(__xludf.DUMMYFUNCTION("""COMPUTED_VALUE"""),45024)</f>
        <v>45024</v>
      </c>
      <c r="AN11" s="595" t="str">
        <f ca="1">IFERROR(__xludf.DUMMYFUNCTION("""COMPUTED_VALUE"""),"―")</f>
        <v>―</v>
      </c>
      <c r="AO11" s="595"/>
      <c r="AP11" s="595" t="str">
        <f ca="1">IFERROR(__xludf.DUMMYFUNCTION("""COMPUTED_VALUE"""),"自転車改造中で放置のため、管理人さんよりｸﾚｰﾑ
H&amp;Cより本人へ伝えてもらう現状復帰もしくは￥5000　3/27
2025/04/14処分　2025/2/21V2-405→V4-501へ引越
2025/5/9 11:00自宅にてGWに入り休んでいるので指導
2025/7/25中野クリニック受診予定　腰痛、眠れないので欠勤が続いているため")</f>
        <v>自転車改造中で放置のため、管理人さんよりｸﾚｰﾑ
H&amp;Cより本人へ伝えてもらう現状復帰もしくは￥5000　3/27
2025/04/14処分　2025/2/21V2-405→V4-501へ引越
2025/5/9 11:00自宅にてGWに入り休んでいるので指導
2025/7/25中野クリニック受診予定　腰痛、眠れないので欠勤が続いているため</v>
      </c>
    </row>
    <row r="12" spans="1:42">
      <c r="A12" s="595" t="str">
        <f ca="1">IFERROR(__xludf.DUMMYFUNCTION("""COMPUTED_VALUE"""),"箱入れ")</f>
        <v>箱入れ</v>
      </c>
      <c r="B12" s="595">
        <f ca="1">IFERROR(__xludf.DUMMYFUNCTION("""COMPUTED_VALUE"""),72)</f>
        <v>72</v>
      </c>
      <c r="C12" s="595" t="str">
        <f ca="1">IFERROR(__xludf.DUMMYFUNCTION("""COMPUTED_VALUE"""),"津吉")</f>
        <v>津吉</v>
      </c>
      <c r="D12" s="595" t="str">
        <f ca="1">IFERROR(__xludf.DUMMYFUNCTION("""COMPUTED_VALUE"""),"インドネシア")</f>
        <v>インドネシア</v>
      </c>
      <c r="E12" s="595" t="str">
        <f ca="1">IFERROR(__xludf.DUMMYFUNCTION("""COMPUTED_VALUE"""),"07013633")</f>
        <v>07013633</v>
      </c>
      <c r="F12" s="595" t="str">
        <f ca="1">IFERROR(__xludf.DUMMYFUNCTION("""COMPUTED_VALUE"""),"/appsheet/photograph/72.写真.031751.jpg")</f>
        <v>/appsheet/photograph/72.写真.031751.jpg</v>
      </c>
      <c r="G12" s="595" t="str">
        <f ca="1">IFERROR(__xludf.DUMMYFUNCTION("""COMPUTED_VALUE"""),"ナナ マルディアナ")</f>
        <v>ナナ マルディアナ</v>
      </c>
      <c r="H12" s="595" t="str">
        <f ca="1">IFERROR(__xludf.DUMMYFUNCTION("""COMPUTED_VALUE"""),"NANA MARDIANA")</f>
        <v>NANA MARDIANA</v>
      </c>
      <c r="I12" s="595"/>
      <c r="J12" s="595" t="str">
        <f ca="1">IFERROR(__xludf.DUMMYFUNCTION("""COMPUTED_VALUE"""),"男")</f>
        <v>男</v>
      </c>
      <c r="K12" s="600">
        <f ca="1">IFERROR(__xludf.DUMMYFUNCTION("""COMPUTED_VALUE"""),37994)</f>
        <v>37994</v>
      </c>
      <c r="L12" s="595">
        <f ca="1">IFERROR(__xludf.DUMMYFUNCTION("""COMPUTED_VALUE"""),22)</f>
        <v>22</v>
      </c>
      <c r="M12" s="595" t="str">
        <f ca="1">IFERROR(__xludf.DUMMYFUNCTION("""COMPUTED_VALUE"""),"無")</f>
        <v>無</v>
      </c>
      <c r="N12" s="595" t="str">
        <f ca="1">IFERROR(__xludf.DUMMYFUNCTION("""COMPUTED_VALUE"""),"H&amp;C")</f>
        <v>H&amp;C</v>
      </c>
      <c r="O12" s="900">
        <f ca="1">IFERROR(__xludf.DUMMYFUNCTION("""COMPUTED_VALUE"""),45027)</f>
        <v>45027</v>
      </c>
      <c r="P12" s="595" t="str">
        <f ca="1">IFERROR(__xludf.DUMMYFUNCTION("""COMPUTED_VALUE"""),"2028/03")</f>
        <v>2028/03</v>
      </c>
      <c r="Q12" s="595" t="str">
        <f ca="1">IFERROR(__xludf.DUMMYFUNCTION("""COMPUTED_VALUE"""),"特定技能１号")</f>
        <v>特定技能１号</v>
      </c>
      <c r="R12" s="595" t="str">
        <f ca="1">IFERROR(__xludf.DUMMYFUNCTION("""COMPUTED_VALUE"""),"松山市上野町774番地ビレッジハウス松山上野3-507")</f>
        <v>松山市上野町774番地ビレッジハウス松山上野3-507</v>
      </c>
      <c r="S12" s="595" t="str">
        <f ca="1">IFERROR(__xludf.DUMMYFUNCTION("""COMPUTED_VALUE"""),"個")</f>
        <v>個</v>
      </c>
      <c r="T12" s="901">
        <f ca="1">IFERROR(__xludf.DUMMYFUNCTION("""COMPUTED_VALUE"""),15000)</f>
        <v>15000</v>
      </c>
      <c r="U12" s="600">
        <f ca="1">IFERROR(__xludf.DUMMYFUNCTION("""COMPUTED_VALUE"""),46082)</f>
        <v>46082</v>
      </c>
      <c r="V12" s="600">
        <f ca="1">IFERROR(__xludf.DUMMYFUNCTION("""COMPUTED_VALUE"""),46172)</f>
        <v>46172</v>
      </c>
      <c r="W12" s="595" t="str">
        <f ca="1">IFERROR(__xludf.DUMMYFUNCTION("""COMPUTED_VALUE"""),"UH92389157PC")</f>
        <v>UH92389157PC</v>
      </c>
      <c r="X12" s="595"/>
      <c r="Y12" s="596"/>
      <c r="Z12" s="595" t="str">
        <f ca="1">IFERROR(__xludf.DUMMYFUNCTION("""COMPUTED_VALUE"""),"自身で購入
元2305-V084")</f>
        <v>自身で購入
元2305-V084</v>
      </c>
      <c r="AA12" s="595"/>
      <c r="AB12" s="595"/>
      <c r="AC12" s="595"/>
      <c r="AD12" s="600"/>
      <c r="AE12" s="600">
        <f ca="1">IFERROR(__xludf.DUMMYFUNCTION("""COMPUTED_VALUE"""),46221)</f>
        <v>46221</v>
      </c>
      <c r="AF12" s="600">
        <f ca="1">IFERROR(__xludf.DUMMYFUNCTION("""COMPUTED_VALUE"""),46269)</f>
        <v>46269</v>
      </c>
      <c r="AG12" s="600"/>
      <c r="AH12" s="595" t="str">
        <f ca="1">IFERROR(__xludf.DUMMYFUNCTION("""COMPUTED_VALUE"""),"一時帰国予定")</f>
        <v>一時帰国予定</v>
      </c>
      <c r="AI12" s="600"/>
      <c r="AJ12" s="595"/>
      <c r="AK12" s="595" t="str">
        <f ca="1">IFERROR(__xludf.DUMMYFUNCTION("""COMPUTED_VALUE"""),"水沼主任")</f>
        <v>水沼主任</v>
      </c>
      <c r="AL12" s="595" t="str">
        <f ca="1">IFERROR(__xludf.DUMMYFUNCTION("""COMPUTED_VALUE"""),"〇")</f>
        <v>〇</v>
      </c>
      <c r="AM12" s="596">
        <f ca="1">IFERROR(__xludf.DUMMYFUNCTION("""COMPUTED_VALUE"""),45024)</f>
        <v>45024</v>
      </c>
      <c r="AN12" s="595" t="str">
        <f ca="1">IFERROR(__xludf.DUMMYFUNCTION("""COMPUTED_VALUE"""),"2025/6/１～2028/4/30")</f>
        <v>2025/6/１～2028/4/30</v>
      </c>
      <c r="AO12" s="595"/>
      <c r="AP12" s="595" t="str">
        <f ca="1">IFERROR(__xludf.DUMMYFUNCTION("""COMPUTED_VALUE"""),"2024/11/09 ビレッジハウス上野2-405⇒3-507へ移動
2025/11/25ナナより、デウィマシトと来年結婚する。
2026/7/18～9/4まで帰国結婚、中温で２人で住居したい申出。
日程については、新開工場長と相談済。")</f>
        <v>2024/11/09 ビレッジハウス上野2-405⇒3-507へ移動
2025/11/25ナナより、デウィマシトと来年結婚する。
2026/7/18～9/4まで帰国結婚、中温で２人で住居したい申出。
日程については、新開工場長と相談済。</v>
      </c>
    </row>
    <row r="13" spans="1:42">
      <c r="A13" s="595" t="str">
        <f ca="1">IFERROR(__xludf.DUMMYFUNCTION("""COMPUTED_VALUE"""),"四課")</f>
        <v>四課</v>
      </c>
      <c r="B13" s="595">
        <f ca="1">IFERROR(__xludf.DUMMYFUNCTION("""COMPUTED_VALUE"""),73)</f>
        <v>73</v>
      </c>
      <c r="C13" s="595" t="str">
        <f ca="1">IFERROR(__xludf.DUMMYFUNCTION("""COMPUTED_VALUE"""),"津吉")</f>
        <v>津吉</v>
      </c>
      <c r="D13" s="595" t="str">
        <f ca="1">IFERROR(__xludf.DUMMYFUNCTION("""COMPUTED_VALUE"""),"インドネシア")</f>
        <v>インドネシア</v>
      </c>
      <c r="E13" s="595" t="str">
        <f ca="1">IFERROR(__xludf.DUMMYFUNCTION("""COMPUTED_VALUE"""),"07013634")</f>
        <v>07013634</v>
      </c>
      <c r="F13" s="595" t="str">
        <f ca="1">IFERROR(__xludf.DUMMYFUNCTION("""COMPUTED_VALUE"""),"/appsheet/photograph/73.写真.031810.jpg")</f>
        <v>/appsheet/photograph/73.写真.031810.jpg</v>
      </c>
      <c r="G13" s="595" t="str">
        <f ca="1">IFERROR(__xludf.DUMMYFUNCTION("""COMPUTED_VALUE"""),"シャールル ムアリフ")</f>
        <v>シャールル ムアリフ</v>
      </c>
      <c r="H13" s="595" t="str">
        <f ca="1">IFERROR(__xludf.DUMMYFUNCTION("""COMPUTED_VALUE"""),"SYAHRUL MUARIF")</f>
        <v>SYAHRUL MUARIF</v>
      </c>
      <c r="I13" s="595" t="str">
        <f ca="1">IFERROR(__xludf.DUMMYFUNCTION("""COMPUTED_VALUE"""),"アルル")</f>
        <v>アルル</v>
      </c>
      <c r="J13" s="595" t="str">
        <f ca="1">IFERROR(__xludf.DUMMYFUNCTION("""COMPUTED_VALUE"""),"男")</f>
        <v>男</v>
      </c>
      <c r="K13" s="600">
        <f ca="1">IFERROR(__xludf.DUMMYFUNCTION("""COMPUTED_VALUE"""),38053)</f>
        <v>38053</v>
      </c>
      <c r="L13" s="595">
        <f ca="1">IFERROR(__xludf.DUMMYFUNCTION("""COMPUTED_VALUE"""),22)</f>
        <v>22</v>
      </c>
      <c r="M13" s="595"/>
      <c r="N13" s="595" t="str">
        <f ca="1">IFERROR(__xludf.DUMMYFUNCTION("""COMPUTED_VALUE"""),"H&amp;C")</f>
        <v>H&amp;C</v>
      </c>
      <c r="O13" s="900">
        <f ca="1">IFERROR(__xludf.DUMMYFUNCTION("""COMPUTED_VALUE"""),45027)</f>
        <v>45027</v>
      </c>
      <c r="P13" s="595" t="str">
        <f ca="1">IFERROR(__xludf.DUMMYFUNCTION("""COMPUTED_VALUE"""),"2028/03")</f>
        <v>2028/03</v>
      </c>
      <c r="Q13" s="595" t="str">
        <f ca="1">IFERROR(__xludf.DUMMYFUNCTION("""COMPUTED_VALUE"""),"特定技能１号")</f>
        <v>特定技能１号</v>
      </c>
      <c r="R13" s="595" t="str">
        <f ca="1">IFERROR(__xludf.DUMMYFUNCTION("""COMPUTED_VALUE"""),"松山市上野町774番地ビレッジハウス松山上野3-103")</f>
        <v>松山市上野町774番地ビレッジハウス松山上野3-103</v>
      </c>
      <c r="S13" s="595" t="str">
        <f ca="1">IFERROR(__xludf.DUMMYFUNCTION("""COMPUTED_VALUE"""),"個")</f>
        <v>個</v>
      </c>
      <c r="T13" s="901">
        <f ca="1">IFERROR(__xludf.DUMMYFUNCTION("""COMPUTED_VALUE"""),15000)</f>
        <v>15000</v>
      </c>
      <c r="U13" s="600">
        <f ca="1">IFERROR(__xludf.DUMMYFUNCTION("""COMPUTED_VALUE"""),46082)</f>
        <v>46082</v>
      </c>
      <c r="V13" s="600">
        <f ca="1">IFERROR(__xludf.DUMMYFUNCTION("""COMPUTED_VALUE"""),46172)</f>
        <v>46172</v>
      </c>
      <c r="W13" s="595" t="str">
        <f ca="1">IFERROR(__xludf.DUMMYFUNCTION("""COMPUTED_VALUE"""),"UH07197758PC")</f>
        <v>UH07197758PC</v>
      </c>
      <c r="X13" s="595"/>
      <c r="Y13" s="596"/>
      <c r="Z13" s="595" t="str">
        <f ca="1">IFERROR(__xludf.DUMMYFUNCTION("""COMPUTED_VALUE"""),"2306　鍵付き
B-0287299-V054")</f>
        <v>2306　鍵付き
B-0287299-V054</v>
      </c>
      <c r="AA13" s="595"/>
      <c r="AB13" s="595"/>
      <c r="AC13" s="595"/>
      <c r="AD13" s="600"/>
      <c r="AE13" s="600"/>
      <c r="AF13" s="600"/>
      <c r="AG13" s="600"/>
      <c r="AH13" s="595"/>
      <c r="AI13" s="600"/>
      <c r="AJ13" s="595"/>
      <c r="AK13" s="595" t="str">
        <f ca="1">IFERROR(__xludf.DUMMYFUNCTION("""COMPUTED_VALUE"""),"大西係長")</f>
        <v>大西係長</v>
      </c>
      <c r="AL13" s="595" t="str">
        <f ca="1">IFERROR(__xludf.DUMMYFUNCTION("""COMPUTED_VALUE"""),"〇")</f>
        <v>〇</v>
      </c>
      <c r="AM13" s="596">
        <f ca="1">IFERROR(__xludf.DUMMYFUNCTION("""COMPUTED_VALUE"""),45024)</f>
        <v>45024</v>
      </c>
      <c r="AN13" s="595" t="str">
        <f ca="1">IFERROR(__xludf.DUMMYFUNCTION("""COMPUTED_VALUE"""),"2025/6/１～2028/4/30")</f>
        <v>2025/6/１～2028/4/30</v>
      </c>
      <c r="AO13" s="595"/>
      <c r="AP13" s="595" t="str">
        <f ca="1">IFERROR(__xludf.DUMMYFUNCTION("""COMPUTED_VALUE"""),"自転車故障で欠勤24.7？
2025/2/21V2-405→V3-103へ引越")</f>
        <v>自転車故障で欠勤24.7？
2025/2/21V2-405→V3-103へ引越</v>
      </c>
    </row>
    <row r="14" spans="1:42">
      <c r="A14" s="595" t="str">
        <f ca="1">IFERROR(__xludf.DUMMYFUNCTION("""COMPUTED_VALUE"""),"四課")</f>
        <v>四課</v>
      </c>
      <c r="B14" s="595">
        <f ca="1">IFERROR(__xludf.DUMMYFUNCTION("""COMPUTED_VALUE"""),75)</f>
        <v>75</v>
      </c>
      <c r="C14" s="595" t="str">
        <f ca="1">IFERROR(__xludf.DUMMYFUNCTION("""COMPUTED_VALUE"""),"津吉")</f>
        <v>津吉</v>
      </c>
      <c r="D14" s="595" t="str">
        <f ca="1">IFERROR(__xludf.DUMMYFUNCTION("""COMPUTED_VALUE"""),"インドネシア")</f>
        <v>インドネシア</v>
      </c>
      <c r="E14" s="595" t="str">
        <f ca="1">IFERROR(__xludf.DUMMYFUNCTION("""COMPUTED_VALUE"""),"07013635")</f>
        <v>07013635</v>
      </c>
      <c r="F14" s="595" t="str">
        <f ca="1">IFERROR(__xludf.DUMMYFUNCTION("""COMPUTED_VALUE"""),"/appsheet/photograph/75.写真.031619.jpg")</f>
        <v>/appsheet/photograph/75.写真.031619.jpg</v>
      </c>
      <c r="G14" s="595" t="str">
        <f ca="1">IFERROR(__xludf.DUMMYFUNCTION("""COMPUTED_VALUE"""),"レイハン アリ サハシカ ザカリ")</f>
        <v>レイハン アリ サハシカ ザカリ</v>
      </c>
      <c r="H14" s="595" t="str">
        <f ca="1">IFERROR(__xludf.DUMMYFUNCTION("""COMPUTED_VALUE"""),"REYHAN ALI SAHASIKA ZACKARY")</f>
        <v>REYHAN ALI SAHASIKA ZACKARY</v>
      </c>
      <c r="I14" s="595" t="str">
        <f ca="1">IFERROR(__xludf.DUMMYFUNCTION("""COMPUTED_VALUE"""),"レイハン")</f>
        <v>レイハン</v>
      </c>
      <c r="J14" s="595" t="str">
        <f ca="1">IFERROR(__xludf.DUMMYFUNCTION("""COMPUTED_VALUE"""),"男")</f>
        <v>男</v>
      </c>
      <c r="K14" s="600">
        <f ca="1">IFERROR(__xludf.DUMMYFUNCTION("""COMPUTED_VALUE"""),37989)</f>
        <v>37989</v>
      </c>
      <c r="L14" s="595">
        <f ca="1">IFERROR(__xludf.DUMMYFUNCTION("""COMPUTED_VALUE"""),22)</f>
        <v>22</v>
      </c>
      <c r="M14" s="595"/>
      <c r="N14" s="595" t="str">
        <f ca="1">IFERROR(__xludf.DUMMYFUNCTION("""COMPUTED_VALUE"""),"H&amp;C")</f>
        <v>H&amp;C</v>
      </c>
      <c r="O14" s="900">
        <f ca="1">IFERROR(__xludf.DUMMYFUNCTION("""COMPUTED_VALUE"""),45027)</f>
        <v>45027</v>
      </c>
      <c r="P14" s="595" t="str">
        <f ca="1">IFERROR(__xludf.DUMMYFUNCTION("""COMPUTED_VALUE"""),"2028/03")</f>
        <v>2028/03</v>
      </c>
      <c r="Q14" s="595" t="str">
        <f ca="1">IFERROR(__xludf.DUMMYFUNCTION("""COMPUTED_VALUE"""),"特定技能１号")</f>
        <v>特定技能１号</v>
      </c>
      <c r="R14" s="595" t="str">
        <f ca="1">IFERROR(__xludf.DUMMYFUNCTION("""COMPUTED_VALUE"""),"松山市上野町774番地ビレッジハウス松山上野3-103")</f>
        <v>松山市上野町774番地ビレッジハウス松山上野3-103</v>
      </c>
      <c r="S14" s="595" t="str">
        <f ca="1">IFERROR(__xludf.DUMMYFUNCTION("""COMPUTED_VALUE"""),"個")</f>
        <v>個</v>
      </c>
      <c r="T14" s="901">
        <f ca="1">IFERROR(__xludf.DUMMYFUNCTION("""COMPUTED_VALUE"""),15000)</f>
        <v>15000</v>
      </c>
      <c r="U14" s="600">
        <f ca="1">IFERROR(__xludf.DUMMYFUNCTION("""COMPUTED_VALUE"""),46082)</f>
        <v>46082</v>
      </c>
      <c r="V14" s="600">
        <f ca="1">IFERROR(__xludf.DUMMYFUNCTION("""COMPUTED_VALUE"""),46172)</f>
        <v>46172</v>
      </c>
      <c r="W14" s="595" t="str">
        <f ca="1">IFERROR(__xludf.DUMMYFUNCTION("""COMPUTED_VALUE"""),"UH59875474PC")</f>
        <v>UH59875474PC</v>
      </c>
      <c r="X14" s="595"/>
      <c r="Y14" s="596"/>
      <c r="Z14" s="595" t="str">
        <f ca="1">IFERROR(__xludf.DUMMYFUNCTION("""COMPUTED_VALUE"""),"2307　鍵付き
B-0287293-V053")</f>
        <v>2307　鍵付き
B-0287293-V053</v>
      </c>
      <c r="AA14" s="595"/>
      <c r="AB14" s="595"/>
      <c r="AC14" s="595"/>
      <c r="AD14" s="600"/>
      <c r="AE14" s="600"/>
      <c r="AF14" s="600"/>
      <c r="AG14" s="600"/>
      <c r="AH14" s="595"/>
      <c r="AI14" s="600"/>
      <c r="AJ14" s="595"/>
      <c r="AK14" s="595" t="str">
        <f ca="1">IFERROR(__xludf.DUMMYFUNCTION("""COMPUTED_VALUE"""),"大西係長")</f>
        <v>大西係長</v>
      </c>
      <c r="AL14" s="595" t="str">
        <f ca="1">IFERROR(__xludf.DUMMYFUNCTION("""COMPUTED_VALUE"""),"〇")</f>
        <v>〇</v>
      </c>
      <c r="AM14" s="596">
        <f ca="1">IFERROR(__xludf.DUMMYFUNCTION("""COMPUTED_VALUE"""),45024)</f>
        <v>45024</v>
      </c>
      <c r="AN14" s="595" t="str">
        <f ca="1">IFERROR(__xludf.DUMMYFUNCTION("""COMPUTED_VALUE"""),"2025/6/１～2028/4/30")</f>
        <v>2025/6/１～2028/4/30</v>
      </c>
      <c r="AO14" s="595" t="str">
        <f ca="1">IFERROR(__xludf.DUMMYFUNCTION("""COMPUTED_VALUE"""),"ひめぎん
末広町支店")</f>
        <v>ひめぎん
末広町支店</v>
      </c>
      <c r="AP14" s="595" t="str">
        <f ca="1">IFERROR(__xludf.DUMMYFUNCTION("""COMPUTED_VALUE"""),"2024.7.24労災　手を切って5針縫った。しばらく休み")</f>
        <v>2024.7.24労災　手を切って5針縫った。しばらく休み</v>
      </c>
    </row>
    <row r="15" spans="1:42">
      <c r="A15" s="595" t="str">
        <f ca="1">IFERROR(__xludf.DUMMYFUNCTION("""COMPUTED_VALUE"""),"一課")</f>
        <v>一課</v>
      </c>
      <c r="B15" s="595">
        <f ca="1">IFERROR(__xludf.DUMMYFUNCTION("""COMPUTED_VALUE"""),77)</f>
        <v>77</v>
      </c>
      <c r="C15" s="595" t="str">
        <f ca="1">IFERROR(__xludf.DUMMYFUNCTION("""COMPUTED_VALUE"""),"津吉")</f>
        <v>津吉</v>
      </c>
      <c r="D15" s="595" t="str">
        <f ca="1">IFERROR(__xludf.DUMMYFUNCTION("""COMPUTED_VALUE"""),"インドネシア")</f>
        <v>インドネシア</v>
      </c>
      <c r="E15" s="595" t="str">
        <f ca="1">IFERROR(__xludf.DUMMYFUNCTION("""COMPUTED_VALUE"""),"07013637")</f>
        <v>07013637</v>
      </c>
      <c r="F15" s="595" t="str">
        <f ca="1">IFERROR(__xludf.DUMMYFUNCTION("""COMPUTED_VALUE"""),"/appsheet/photograph/77.写真.033328.jpg")</f>
        <v>/appsheet/photograph/77.写真.033328.jpg</v>
      </c>
      <c r="G15" s="595" t="str">
        <f ca="1">IFERROR(__xludf.DUMMYFUNCTION("""COMPUTED_VALUE"""),"カデック アデリア ウィディアニタ レスタリ")</f>
        <v>カデック アデリア ウィディアニタ レスタリ</v>
      </c>
      <c r="H15" s="595" t="str">
        <f ca="1">IFERROR(__xludf.DUMMYFUNCTION("""COMPUTED_VALUE"""),"KADEK　ADELIA　WIDYANITA　LESTARI")</f>
        <v>KADEK　ADELIA　WIDYANITA　LESTARI</v>
      </c>
      <c r="I15" s="595"/>
      <c r="J15" s="595" t="str">
        <f ca="1">IFERROR(__xludf.DUMMYFUNCTION("""COMPUTED_VALUE"""),"女")</f>
        <v>女</v>
      </c>
      <c r="K15" s="600">
        <f ca="1">IFERROR(__xludf.DUMMYFUNCTION("""COMPUTED_VALUE"""),35772)</f>
        <v>35772</v>
      </c>
      <c r="L15" s="595">
        <f ca="1">IFERROR(__xludf.DUMMYFUNCTION("""COMPUTED_VALUE"""),28)</f>
        <v>28</v>
      </c>
      <c r="M15" s="595"/>
      <c r="N15" s="595" t="str">
        <f ca="1">IFERROR(__xludf.DUMMYFUNCTION("""COMPUTED_VALUE"""),"H&amp;C")</f>
        <v>H&amp;C</v>
      </c>
      <c r="O15" s="900">
        <f ca="1">IFERROR(__xludf.DUMMYFUNCTION("""COMPUTED_VALUE"""),45027)</f>
        <v>45027</v>
      </c>
      <c r="P15" s="595" t="str">
        <f ca="1">IFERROR(__xludf.DUMMYFUNCTION("""COMPUTED_VALUE"""),"2028/03")</f>
        <v>2028/03</v>
      </c>
      <c r="Q15" s="595" t="str">
        <f ca="1">IFERROR(__xludf.DUMMYFUNCTION("""COMPUTED_VALUE"""),"特定技能１号")</f>
        <v>特定技能１号</v>
      </c>
      <c r="R15" s="595" t="str">
        <f ca="1">IFERROR(__xludf.DUMMYFUNCTION("""COMPUTED_VALUE"""),"松山市上野町774番地ビレッジハウス松山上野4-505")</f>
        <v>松山市上野町774番地ビレッジハウス松山上野4-505</v>
      </c>
      <c r="S15" s="595" t="str">
        <f ca="1">IFERROR(__xludf.DUMMYFUNCTION("""COMPUTED_VALUE"""),"個")</f>
        <v>個</v>
      </c>
      <c r="T15" s="901">
        <f ca="1">IFERROR(__xludf.DUMMYFUNCTION("""COMPUTED_VALUE"""),15000)</f>
        <v>15000</v>
      </c>
      <c r="U15" s="600">
        <f ca="1">IFERROR(__xludf.DUMMYFUNCTION("""COMPUTED_VALUE"""),46082)</f>
        <v>46082</v>
      </c>
      <c r="V15" s="600">
        <f ca="1">IFERROR(__xludf.DUMMYFUNCTION("""COMPUTED_VALUE"""),46172)</f>
        <v>46172</v>
      </c>
      <c r="W15" s="595" t="str">
        <f ca="1">IFERROR(__xludf.DUMMYFUNCTION("""COMPUTED_VALUE"""),"UH41395173PC")</f>
        <v>UH41395173PC</v>
      </c>
      <c r="X15" s="595"/>
      <c r="Y15" s="596"/>
      <c r="Z15" s="595" t="str">
        <f ca="1">IFERROR(__xludf.DUMMYFUNCTION("""COMPUTED_VALUE"""),"自身で購入")</f>
        <v>自身で購入</v>
      </c>
      <c r="AA15" s="595"/>
      <c r="AB15" s="595"/>
      <c r="AC15" s="595"/>
      <c r="AD15" s="600"/>
      <c r="AE15" s="600">
        <f ca="1">IFERROR(__xludf.DUMMYFUNCTION("""COMPUTED_VALUE"""),45542)</f>
        <v>45542</v>
      </c>
      <c r="AF15" s="600">
        <f ca="1">IFERROR(__xludf.DUMMYFUNCTION("""COMPUTED_VALUE"""),45563)</f>
        <v>45563</v>
      </c>
      <c r="AG15" s="600"/>
      <c r="AH15" s="595"/>
      <c r="AI15" s="600"/>
      <c r="AJ15" s="595"/>
      <c r="AK15" s="595" t="str">
        <f ca="1">IFERROR(__xludf.DUMMYFUNCTION("""COMPUTED_VALUE"""),"小林主任")</f>
        <v>小林主任</v>
      </c>
      <c r="AL15" s="595" t="str">
        <f ca="1">IFERROR(__xludf.DUMMYFUNCTION("""COMPUTED_VALUE"""),"―")</f>
        <v>―</v>
      </c>
      <c r="AM15" s="596">
        <f ca="1">IFERROR(__xludf.DUMMYFUNCTION("""COMPUTED_VALUE"""),45024)</f>
        <v>45024</v>
      </c>
      <c r="AN15" s="595" t="str">
        <f ca="1">IFERROR(__xludf.DUMMYFUNCTION("""COMPUTED_VALUE"""),"―")</f>
        <v>―</v>
      </c>
      <c r="AO15" s="595"/>
      <c r="AP15" s="595" t="str">
        <f ca="1">IFERROR(__xludf.DUMMYFUNCTION("""COMPUTED_VALUE"""),"2024.8月末からもしくは9月初めから2～3週間程
お姉さんの結婚式で一時帰国希望（6/17H&amp;C三好さんより）
新開工場長了承済6/28")</f>
        <v>2024.8月末からもしくは9月初めから2～3週間程
お姉さんの結婚式で一時帰国希望（6/17H&amp;C三好さんより）
新開工場長了承済6/28</v>
      </c>
    </row>
    <row r="16" spans="1:42">
      <c r="A16" s="595" t="str">
        <f ca="1">IFERROR(__xludf.DUMMYFUNCTION("""COMPUTED_VALUE"""),"四課")</f>
        <v>四課</v>
      </c>
      <c r="B16" s="595">
        <f ca="1">IFERROR(__xludf.DUMMYFUNCTION("""COMPUTED_VALUE"""),78)</f>
        <v>78</v>
      </c>
      <c r="C16" s="595" t="str">
        <f ca="1">IFERROR(__xludf.DUMMYFUNCTION("""COMPUTED_VALUE"""),"津吉")</f>
        <v>津吉</v>
      </c>
      <c r="D16" s="595" t="str">
        <f ca="1">IFERROR(__xludf.DUMMYFUNCTION("""COMPUTED_VALUE"""),"インドネシア")</f>
        <v>インドネシア</v>
      </c>
      <c r="E16" s="595" t="str">
        <f ca="1">IFERROR(__xludf.DUMMYFUNCTION("""COMPUTED_VALUE"""),"07013601")</f>
        <v>07013601</v>
      </c>
      <c r="F16" s="595" t="str">
        <f ca="1">IFERROR(__xludf.DUMMYFUNCTION("""COMPUTED_VALUE"""),"/appsheet/photograph/IDPhoto_20250328_78_トリ ユニ.jpg")</f>
        <v>/appsheet/photograph/IDPhoto_20250328_78_トリ ユニ.jpg</v>
      </c>
      <c r="G16" s="595" t="str">
        <f ca="1">IFERROR(__xludf.DUMMYFUNCTION("""COMPUTED_VALUE"""),"トリ ユニ")</f>
        <v>トリ ユニ</v>
      </c>
      <c r="H16" s="595" t="str">
        <f ca="1">IFERROR(__xludf.DUMMYFUNCTION("""COMPUTED_VALUE"""),"TRI YUNI")</f>
        <v>TRI YUNI</v>
      </c>
      <c r="I16" s="595" t="str">
        <f ca="1">IFERROR(__xludf.DUMMYFUNCTION("""COMPUTED_VALUE"""),"ユニ")</f>
        <v>ユニ</v>
      </c>
      <c r="J16" s="595" t="str">
        <f ca="1">IFERROR(__xludf.DUMMYFUNCTION("""COMPUTED_VALUE"""),"女")</f>
        <v>女</v>
      </c>
      <c r="K16" s="600">
        <f ca="1">IFERROR(__xludf.DUMMYFUNCTION("""COMPUTED_VALUE"""),36257)</f>
        <v>36257</v>
      </c>
      <c r="L16" s="595">
        <f ca="1">IFERROR(__xludf.DUMMYFUNCTION("""COMPUTED_VALUE"""),27)</f>
        <v>27</v>
      </c>
      <c r="M16" s="595"/>
      <c r="N16" s="595" t="str">
        <f ca="1">IFERROR(__xludf.DUMMYFUNCTION("""COMPUTED_VALUE"""),"H&amp;C")</f>
        <v>H&amp;C</v>
      </c>
      <c r="O16" s="900">
        <f ca="1">IFERROR(__xludf.DUMMYFUNCTION("""COMPUTED_VALUE"""),44669)</f>
        <v>44669</v>
      </c>
      <c r="P16" s="595" t="str">
        <f ca="1">IFERROR(__xludf.DUMMYFUNCTION("""COMPUTED_VALUE"""),"2027/03")</f>
        <v>2027/03</v>
      </c>
      <c r="Q16" s="595" t="str">
        <f ca="1">IFERROR(__xludf.DUMMYFUNCTION("""COMPUTED_VALUE"""),"特定技能１号")</f>
        <v>特定技能１号</v>
      </c>
      <c r="R16" s="595" t="str">
        <f ca="1">IFERROR(__xludf.DUMMYFUNCTION("""COMPUTED_VALUE"""),"松山市上野町774番地ビレッジハウス松山上野4-505")</f>
        <v>松山市上野町774番地ビレッジハウス松山上野4-505</v>
      </c>
      <c r="S16" s="595" t="str">
        <f ca="1">IFERROR(__xludf.DUMMYFUNCTION("""COMPUTED_VALUE"""),"個")</f>
        <v>個</v>
      </c>
      <c r="T16" s="901">
        <f ca="1">IFERROR(__xludf.DUMMYFUNCTION("""COMPUTED_VALUE"""),15000)</f>
        <v>15000</v>
      </c>
      <c r="U16" s="600">
        <f ca="1">IFERROR(__xludf.DUMMYFUNCTION("""COMPUTED_VALUE"""),46106)</f>
        <v>46106</v>
      </c>
      <c r="V16" s="600">
        <f ca="1">IFERROR(__xludf.DUMMYFUNCTION("""COMPUTED_VALUE"""),46184)</f>
        <v>46184</v>
      </c>
      <c r="W16" s="595" t="str">
        <f ca="1">IFERROR(__xludf.DUMMYFUNCTION("""COMPUTED_VALUE"""),"UH33566452PC")</f>
        <v>UH33566452PC</v>
      </c>
      <c r="X16" s="595"/>
      <c r="Y16" s="596"/>
      <c r="Z16" s="595" t="str">
        <f ca="1">IFERROR(__xludf.DUMMYFUNCTION("""COMPUTED_VALUE"""),"自身で購入")</f>
        <v>自身で購入</v>
      </c>
      <c r="AA16" s="595"/>
      <c r="AB16" s="595"/>
      <c r="AC16" s="595"/>
      <c r="AD16" s="600"/>
      <c r="AE16" s="600">
        <f ca="1">IFERROR(__xludf.DUMMYFUNCTION("""COMPUTED_VALUE"""),45853)</f>
        <v>45853</v>
      </c>
      <c r="AF16" s="600">
        <f ca="1">IFERROR(__xludf.DUMMYFUNCTION("""COMPUTED_VALUE"""),45890)</f>
        <v>45890</v>
      </c>
      <c r="AG16" s="600"/>
      <c r="AH16" s="595"/>
      <c r="AI16" s="600"/>
      <c r="AJ16" s="595"/>
      <c r="AK16" s="595" t="str">
        <f ca="1">IFERROR(__xludf.DUMMYFUNCTION("""COMPUTED_VALUE"""),"大西係長")</f>
        <v>大西係長</v>
      </c>
      <c r="AL16" s="595" t="str">
        <f ca="1">IFERROR(__xludf.DUMMYFUNCTION("""COMPUTED_VALUE"""),"〇")</f>
        <v>〇</v>
      </c>
      <c r="AM16" s="596">
        <f ca="1">IFERROR(__xludf.DUMMYFUNCTION("""COMPUTED_VALUE"""),44661)</f>
        <v>44661</v>
      </c>
      <c r="AN16" s="595" t="str">
        <f ca="1">IFERROR(__xludf.DUMMYFUNCTION("""COMPUTED_VALUE"""),"2025/6/１～2027/4/30")</f>
        <v>2025/6/１～2027/4/30</v>
      </c>
      <c r="AO16" s="595"/>
      <c r="AP16" s="595" t="str">
        <f ca="1">IFERROR(__xludf.DUMMYFUNCTION("""COMPUTED_VALUE"""),"2025.3/5親の調子が悪いため一時帰国予定
2025.7.15～8/21　8/24より勤務")</f>
        <v>2025.3/5親の調子が悪いため一時帰国予定
2025.7.15～8/21　8/24より勤務</v>
      </c>
    </row>
    <row r="17" spans="1:42">
      <c r="A17" s="595" t="str">
        <f ca="1">IFERROR(__xludf.DUMMYFUNCTION("""COMPUTED_VALUE"""),"四課")</f>
        <v>四課</v>
      </c>
      <c r="B17" s="595">
        <f ca="1">IFERROR(__xludf.DUMMYFUNCTION("""COMPUTED_VALUE"""),79)</f>
        <v>79</v>
      </c>
      <c r="C17" s="595" t="str">
        <f ca="1">IFERROR(__xludf.DUMMYFUNCTION("""COMPUTED_VALUE"""),"津吉")</f>
        <v>津吉</v>
      </c>
      <c r="D17" s="595" t="str">
        <f ca="1">IFERROR(__xludf.DUMMYFUNCTION("""COMPUTED_VALUE"""),"インドネシア")</f>
        <v>インドネシア</v>
      </c>
      <c r="E17" s="595" t="str">
        <f ca="1">IFERROR(__xludf.DUMMYFUNCTION("""COMPUTED_VALUE"""),"07013605
07018700")</f>
        <v>07013605
07018700</v>
      </c>
      <c r="F17" s="595" t="str">
        <f ca="1">IFERROR(__xludf.DUMMYFUNCTION("""COMPUTED_VALUE"""),"/appsheet/photograph/IDPhoto_20250328_79_エヴィ ラハユ.jpg")</f>
        <v>/appsheet/photograph/IDPhoto_20250328_79_エヴィ ラハユ.jpg</v>
      </c>
      <c r="G17" s="595" t="str">
        <f ca="1">IFERROR(__xludf.DUMMYFUNCTION("""COMPUTED_VALUE"""),"エヴィ ラハユ")</f>
        <v>エヴィ ラハユ</v>
      </c>
      <c r="H17" s="595" t="str">
        <f ca="1">IFERROR(__xludf.DUMMYFUNCTION("""COMPUTED_VALUE"""),"EVI RAHAYU")</f>
        <v>EVI RAHAYU</v>
      </c>
      <c r="I17" s="595" t="str">
        <f ca="1">IFERROR(__xludf.DUMMYFUNCTION("""COMPUTED_VALUE"""),"エヴィ")</f>
        <v>エヴィ</v>
      </c>
      <c r="J17" s="595" t="str">
        <f ca="1">IFERROR(__xludf.DUMMYFUNCTION("""COMPUTED_VALUE"""),"女")</f>
        <v>女</v>
      </c>
      <c r="K17" s="600">
        <f ca="1">IFERROR(__xludf.DUMMYFUNCTION("""COMPUTED_VALUE"""),36638)</f>
        <v>36638</v>
      </c>
      <c r="L17" s="595">
        <f ca="1">IFERROR(__xludf.DUMMYFUNCTION("""COMPUTED_VALUE"""),25)</f>
        <v>25</v>
      </c>
      <c r="M17" s="595" t="str">
        <f ca="1">IFERROR(__xludf.DUMMYFUNCTION("""COMPUTED_VALUE"""),"有")</f>
        <v>有</v>
      </c>
      <c r="N17" s="595" t="str">
        <f ca="1">IFERROR(__xludf.DUMMYFUNCTION("""COMPUTED_VALUE"""),"H&amp;C")</f>
        <v>H&amp;C</v>
      </c>
      <c r="O17" s="900">
        <f ca="1">IFERROR(__xludf.DUMMYFUNCTION("""COMPUTED_VALUE"""),44669)</f>
        <v>44669</v>
      </c>
      <c r="P17" s="595" t="str">
        <f ca="1">IFERROR(__xludf.DUMMYFUNCTION("""COMPUTED_VALUE"""),"2027/03")</f>
        <v>2027/03</v>
      </c>
      <c r="Q17" s="595" t="str">
        <f ca="1">IFERROR(__xludf.DUMMYFUNCTION("""COMPUTED_VALUE"""),"特定技能２号")</f>
        <v>特定技能２号</v>
      </c>
      <c r="R17" s="595" t="str">
        <f ca="1">IFERROR(__xludf.DUMMYFUNCTION("""COMPUTED_VALUE"""),"松山市上野町774番地ビレッジハウス松山上野4-205")</f>
        <v>松山市上野町774番地ビレッジハウス松山上野4-205</v>
      </c>
      <c r="S17" s="595" t="str">
        <f ca="1">IFERROR(__xludf.DUMMYFUNCTION("""COMPUTED_VALUE"""),"個")</f>
        <v>個</v>
      </c>
      <c r="T17" s="901">
        <f ca="1">IFERROR(__xludf.DUMMYFUNCTION("""COMPUTED_VALUE"""),15000)</f>
        <v>15000</v>
      </c>
      <c r="U17" s="600">
        <f ca="1">IFERROR(__xludf.DUMMYFUNCTION("""COMPUTED_VALUE"""),45962)</f>
        <v>45962</v>
      </c>
      <c r="V17" s="600">
        <f ca="1">IFERROR(__xludf.DUMMYFUNCTION("""COMPUTED_VALUE"""),47102)</f>
        <v>47102</v>
      </c>
      <c r="W17" s="595" t="str">
        <f ca="1">IFERROR(__xludf.DUMMYFUNCTION("""COMPUTED_VALUE"""),"UH82099732PC")</f>
        <v>UH82099732PC</v>
      </c>
      <c r="X17" s="595" t="str">
        <f ca="1">IFERROR(__xludf.DUMMYFUNCTION("""COMPUTED_VALUE"""),"寮23.5/21～")</f>
        <v>寮23.5/21～</v>
      </c>
      <c r="Y17" s="596"/>
      <c r="Z17" s="595" t="str">
        <f ca="1">IFERROR(__xludf.DUMMYFUNCTION("""COMPUTED_VALUE"""),"6668-故障のため
Ｂ－0246668-1635
2333代替
Ｂ－0304388-V212")</f>
        <v>6668-故障のため
Ｂ－0246668-1635
2333代替
Ｂ－0304388-V212</v>
      </c>
      <c r="AA17" s="595"/>
      <c r="AB17" s="595" t="str">
        <f ca="1">IFERROR(__xludf.DUMMYFUNCTION("""COMPUTED_VALUE"""),"N3
 2025/07")</f>
        <v>N3
 2025/07</v>
      </c>
      <c r="AC17" s="595"/>
      <c r="AD17" s="600"/>
      <c r="AE17" s="600">
        <f ca="1">IFERROR(__xludf.DUMMYFUNCTION("""COMPUTED_VALUE"""),45623)</f>
        <v>45623</v>
      </c>
      <c r="AF17" s="600">
        <f ca="1">IFERROR(__xludf.DUMMYFUNCTION("""COMPUTED_VALUE"""),45660)</f>
        <v>45660</v>
      </c>
      <c r="AG17" s="600"/>
      <c r="AH17" s="595"/>
      <c r="AI17" s="600"/>
      <c r="AJ17" s="595"/>
      <c r="AK17" s="595" t="str">
        <f ca="1">IFERROR(__xludf.DUMMYFUNCTION("""COMPUTED_VALUE"""),"大西係長")</f>
        <v>大西係長</v>
      </c>
      <c r="AL17" s="595" t="str">
        <f ca="1">IFERROR(__xludf.DUMMYFUNCTION("""COMPUTED_VALUE"""),"―")</f>
        <v>―</v>
      </c>
      <c r="AM17" s="596"/>
      <c r="AN17" s="595" t="str">
        <f ca="1">IFERROR(__xludf.DUMMYFUNCTION("""COMPUTED_VALUE"""),"2025/6/１～2027/4/30
2号移行時解約済")</f>
        <v>2025/6/１～2027/4/30
2号移行時解約済</v>
      </c>
      <c r="AO17" s="595"/>
      <c r="AP17" s="595" t="str">
        <f ca="1">IFERROR(__xludf.DUMMYFUNCTION("""COMPUTED_VALUE"""),"2024/11/27～2025/01/03自身の結婚の為一時帰国
2025.8.18自転車故障。（自転車は津吉工場の自転車置き場に有り）代替自転車渡す
2025/12/21～特定2号へ資格変更予定
2025/12/15　特定2号へ移行完了")</f>
        <v>2024/11/27～2025/01/03自身の結婚の為一時帰国
2025.8.18自転車故障。（自転車は津吉工場の自転車置き場に有り）代替自転車渡す
2025/12/21～特定2号へ資格変更予定
2025/12/15　特定2号へ移行完了</v>
      </c>
    </row>
    <row r="18" spans="1:42">
      <c r="A18" s="595" t="str">
        <f ca="1">IFERROR(__xludf.DUMMYFUNCTION("""COMPUTED_VALUE"""),"一課")</f>
        <v>一課</v>
      </c>
      <c r="B18" s="595">
        <f ca="1">IFERROR(__xludf.DUMMYFUNCTION("""COMPUTED_VALUE"""),80)</f>
        <v>80</v>
      </c>
      <c r="C18" s="595" t="str">
        <f ca="1">IFERROR(__xludf.DUMMYFUNCTION("""COMPUTED_VALUE"""),"津吉")</f>
        <v>津吉</v>
      </c>
      <c r="D18" s="595" t="str">
        <f ca="1">IFERROR(__xludf.DUMMYFUNCTION("""COMPUTED_VALUE"""),"インドネシア")</f>
        <v>インドネシア</v>
      </c>
      <c r="E18" s="595" t="str">
        <f ca="1">IFERROR(__xludf.DUMMYFUNCTION("""COMPUTED_VALUE"""),"07013606")</f>
        <v>07013606</v>
      </c>
      <c r="F18" s="595" t="str">
        <f ca="1">IFERROR(__xludf.DUMMYFUNCTION("""COMPUTED_VALUE"""),"/appsheet/photograph/IDPhoto_20250328_80_アユサ ヌル フィトリヤニ.jpg")</f>
        <v>/appsheet/photograph/IDPhoto_20250328_80_アユサ ヌル フィトリヤニ.jpg</v>
      </c>
      <c r="G18" s="595" t="str">
        <f ca="1">IFERROR(__xludf.DUMMYFUNCTION("""COMPUTED_VALUE"""),"アユサ ヌル フィトリヤニ")</f>
        <v>アユサ ヌル フィトリヤニ</v>
      </c>
      <c r="H18" s="595" t="str">
        <f ca="1">IFERROR(__xludf.DUMMYFUNCTION("""COMPUTED_VALUE"""),"AYUSA NUR FITRIYANI")</f>
        <v>AYUSA NUR FITRIYANI</v>
      </c>
      <c r="I18" s="595"/>
      <c r="J18" s="595" t="str">
        <f ca="1">IFERROR(__xludf.DUMMYFUNCTION("""COMPUTED_VALUE"""),"女")</f>
        <v>女</v>
      </c>
      <c r="K18" s="600">
        <f ca="1">IFERROR(__xludf.DUMMYFUNCTION("""COMPUTED_VALUE"""),36870)</f>
        <v>36870</v>
      </c>
      <c r="L18" s="595">
        <f ca="1">IFERROR(__xludf.DUMMYFUNCTION("""COMPUTED_VALUE"""),25)</f>
        <v>25</v>
      </c>
      <c r="M18" s="595"/>
      <c r="N18" s="595" t="str">
        <f ca="1">IFERROR(__xludf.DUMMYFUNCTION("""COMPUTED_VALUE"""),"H&amp;C")</f>
        <v>H&amp;C</v>
      </c>
      <c r="O18" s="900">
        <f ca="1">IFERROR(__xludf.DUMMYFUNCTION("""COMPUTED_VALUE"""),44669)</f>
        <v>44669</v>
      </c>
      <c r="P18" s="595" t="str">
        <f ca="1">IFERROR(__xludf.DUMMYFUNCTION("""COMPUTED_VALUE"""),"2027/03")</f>
        <v>2027/03</v>
      </c>
      <c r="Q18" s="595" t="str">
        <f ca="1">IFERROR(__xludf.DUMMYFUNCTION("""COMPUTED_VALUE"""),"特定技能１号")</f>
        <v>特定技能１号</v>
      </c>
      <c r="R18" s="595" t="str">
        <f ca="1">IFERROR(__xludf.DUMMYFUNCTION("""COMPUTED_VALUE"""),"松山市上野町774番地ビレッジハウス松山上野2-405")</f>
        <v>松山市上野町774番地ビレッジハウス松山上野2-405</v>
      </c>
      <c r="S18" s="595" t="str">
        <f ca="1">IFERROR(__xludf.DUMMYFUNCTION("""COMPUTED_VALUE"""),"個")</f>
        <v>個</v>
      </c>
      <c r="T18" s="901">
        <f ca="1">IFERROR(__xludf.DUMMYFUNCTION("""COMPUTED_VALUE"""),15000)</f>
        <v>15000</v>
      </c>
      <c r="U18" s="600">
        <f ca="1">IFERROR(__xludf.DUMMYFUNCTION("""COMPUTED_VALUE"""),46106)</f>
        <v>46106</v>
      </c>
      <c r="V18" s="600">
        <f ca="1">IFERROR(__xludf.DUMMYFUNCTION("""COMPUTED_VALUE"""),46184)</f>
        <v>46184</v>
      </c>
      <c r="W18" s="595" t="str">
        <f ca="1">IFERROR(__xludf.DUMMYFUNCTION("""COMPUTED_VALUE"""),"UH11298219PC")</f>
        <v>UH11298219PC</v>
      </c>
      <c r="X18" s="595"/>
      <c r="Y18" s="596"/>
      <c r="Z18" s="595" t="str">
        <f ca="1">IFERROR(__xludf.DUMMYFUNCTION("""COMPUTED_VALUE"""),"6671
Ｂ－0246671-1146")</f>
        <v>6671
Ｂ－0246671-1146</v>
      </c>
      <c r="AA18" s="595"/>
      <c r="AB18" s="595"/>
      <c r="AC18" s="595"/>
      <c r="AD18" s="600"/>
      <c r="AE18" s="600"/>
      <c r="AF18" s="600"/>
      <c r="AG18" s="600"/>
      <c r="AH18" s="595"/>
      <c r="AI18" s="600"/>
      <c r="AJ18" s="595"/>
      <c r="AK18" s="595" t="str">
        <f ca="1">IFERROR(__xludf.DUMMYFUNCTION("""COMPUTED_VALUE"""),"小林主任")</f>
        <v>小林主任</v>
      </c>
      <c r="AL18" s="595" t="str">
        <f ca="1">IFERROR(__xludf.DUMMYFUNCTION("""COMPUTED_VALUE"""),"〇")</f>
        <v>〇</v>
      </c>
      <c r="AM18" s="596"/>
      <c r="AN18" s="595" t="str">
        <f ca="1">IFERROR(__xludf.DUMMYFUNCTION("""COMPUTED_VALUE"""),"2025/6/１～2027/4/30
")</f>
        <v xml:space="preserve">2025/6/１～2027/4/30
</v>
      </c>
      <c r="AO18" s="595"/>
      <c r="AP18" s="595" t="str">
        <f ca="1">IFERROR(__xludf.DUMMYFUNCTION("""COMPUTED_VALUE"""),"2025/3/8牛渕1号館→ビレッジ4-502へ引越")</f>
        <v>2025/3/8牛渕1号館→ビレッジ4-502へ引越</v>
      </c>
    </row>
    <row r="19" spans="1:42">
      <c r="A19" s="595" t="str">
        <f ca="1">IFERROR(__xludf.DUMMYFUNCTION("""COMPUTED_VALUE"""),"四課")</f>
        <v>四課</v>
      </c>
      <c r="B19" s="595">
        <f ca="1">IFERROR(__xludf.DUMMYFUNCTION("""COMPUTED_VALUE"""),85)</f>
        <v>85</v>
      </c>
      <c r="C19" s="595" t="str">
        <f ca="1">IFERROR(__xludf.DUMMYFUNCTION("""COMPUTED_VALUE"""),"津吉")</f>
        <v>津吉</v>
      </c>
      <c r="D19" s="595" t="str">
        <f ca="1">IFERROR(__xludf.DUMMYFUNCTION("""COMPUTED_VALUE"""),"インドネシア")</f>
        <v>インドネシア</v>
      </c>
      <c r="E19" s="595" t="str">
        <f ca="1">IFERROR(__xludf.DUMMYFUNCTION("""COMPUTED_VALUE"""),"07013614")</f>
        <v>07013614</v>
      </c>
      <c r="F19" s="595" t="str">
        <f ca="1">IFERROR(__xludf.DUMMYFUNCTION("""COMPUTED_VALUE"""),"/appsheet/photograph/IDPhoto_20250328_85_コフィファー ヌル コエリヤー.jpg")</f>
        <v>/appsheet/photograph/IDPhoto_20250328_85_コフィファー ヌル コエリヤー.jpg</v>
      </c>
      <c r="G19" s="595" t="str">
        <f ca="1">IFERROR(__xludf.DUMMYFUNCTION("""COMPUTED_VALUE"""),"コフィファー ヌル コエリヤー")</f>
        <v>コフィファー ヌル コエリヤー</v>
      </c>
      <c r="H19" s="595" t="str">
        <f ca="1">IFERROR(__xludf.DUMMYFUNCTION("""COMPUTED_VALUE"""),"KHOFIFAH NUR KHOERIYAH")</f>
        <v>KHOFIFAH NUR KHOERIYAH</v>
      </c>
      <c r="I19" s="595" t="str">
        <f ca="1">IFERROR(__xludf.DUMMYFUNCTION("""COMPUTED_VALUE"""),"コフィ")</f>
        <v>コフィ</v>
      </c>
      <c r="J19" s="595" t="str">
        <f ca="1">IFERROR(__xludf.DUMMYFUNCTION("""COMPUTED_VALUE"""),"女")</f>
        <v>女</v>
      </c>
      <c r="K19" s="600">
        <f ca="1">IFERROR(__xludf.DUMMYFUNCTION("""COMPUTED_VALUE"""),36874)</f>
        <v>36874</v>
      </c>
      <c r="L19" s="595">
        <f ca="1">IFERROR(__xludf.DUMMYFUNCTION("""COMPUTED_VALUE"""),25)</f>
        <v>25</v>
      </c>
      <c r="M19" s="595" t="str">
        <f ca="1">IFERROR(__xludf.DUMMYFUNCTION("""COMPUTED_VALUE"""),"無")</f>
        <v>無</v>
      </c>
      <c r="N19" s="595" t="str">
        <f ca="1">IFERROR(__xludf.DUMMYFUNCTION("""COMPUTED_VALUE"""),"H&amp;C")</f>
        <v>H&amp;C</v>
      </c>
      <c r="O19" s="900">
        <f ca="1">IFERROR(__xludf.DUMMYFUNCTION("""COMPUTED_VALUE"""),44669)</f>
        <v>44669</v>
      </c>
      <c r="P19" s="595" t="str">
        <f ca="1">IFERROR(__xludf.DUMMYFUNCTION("""COMPUTED_VALUE"""),"2027/03")</f>
        <v>2027/03</v>
      </c>
      <c r="Q19" s="595" t="str">
        <f ca="1">IFERROR(__xludf.DUMMYFUNCTION("""COMPUTED_VALUE"""),"特定技能１号")</f>
        <v>特定技能１号</v>
      </c>
      <c r="R19" s="595" t="str">
        <f ca="1">IFERROR(__xludf.DUMMYFUNCTION("""COMPUTED_VALUE"""),"松山市上野町774番地ビレッジハウス松山上野4-502")</f>
        <v>松山市上野町774番地ビレッジハウス松山上野4-502</v>
      </c>
      <c r="S19" s="595" t="str">
        <f ca="1">IFERROR(__xludf.DUMMYFUNCTION("""COMPUTED_VALUE"""),"個")</f>
        <v>個</v>
      </c>
      <c r="T19" s="901">
        <f ca="1">IFERROR(__xludf.DUMMYFUNCTION("""COMPUTED_VALUE"""),15000)</f>
        <v>15000</v>
      </c>
      <c r="U19" s="600">
        <f ca="1">IFERROR(__xludf.DUMMYFUNCTION("""COMPUTED_VALUE"""),46093)</f>
        <v>46093</v>
      </c>
      <c r="V19" s="600">
        <f ca="1">IFERROR(__xludf.DUMMYFUNCTION("""COMPUTED_VALUE"""),46184)</f>
        <v>46184</v>
      </c>
      <c r="W19" s="595" t="str">
        <f ca="1">IFERROR(__xludf.DUMMYFUNCTION("""COMPUTED_VALUE"""),"UH31691579PC一時帰国前、申請済")</f>
        <v>UH31691579PC一時帰国前、申請済</v>
      </c>
      <c r="X19" s="595"/>
      <c r="Y19" s="596"/>
      <c r="Z19" s="595" t="str">
        <f ca="1">IFERROR(__xludf.DUMMYFUNCTION("""COMPUTED_VALUE"""),"自身で購入")</f>
        <v>自身で購入</v>
      </c>
      <c r="AA19" s="595"/>
      <c r="AB19" s="595"/>
      <c r="AC19" s="595"/>
      <c r="AD19" s="600"/>
      <c r="AE19" s="600"/>
      <c r="AF19" s="600"/>
      <c r="AG19" s="600"/>
      <c r="AH19" s="595" t="str">
        <f ca="1">IFERROR(__xludf.DUMMYFUNCTION("""COMPUTED_VALUE"""),"一時帰国予定")</f>
        <v>一時帰国予定</v>
      </c>
      <c r="AI19" s="600"/>
      <c r="AJ19" s="595"/>
      <c r="AK19" s="595" t="str">
        <f ca="1">IFERROR(__xludf.DUMMYFUNCTION("""COMPUTED_VALUE"""),"大西係長")</f>
        <v>大西係長</v>
      </c>
      <c r="AL19" s="595"/>
      <c r="AM19" s="596">
        <f ca="1">IFERROR(__xludf.DUMMYFUNCTION("""COMPUTED_VALUE"""),44661)</f>
        <v>44661</v>
      </c>
      <c r="AN19" s="595" t="str">
        <f ca="1">IFERROR(__xludf.DUMMYFUNCTION("""COMPUTED_VALUE"""),"2022/04/10-2027/04/09")</f>
        <v>2022/04/10-2027/04/09</v>
      </c>
      <c r="AO19" s="595"/>
      <c r="AP19" s="595" t="str">
        <f ca="1">IFERROR(__xludf.DUMMYFUNCTION("""COMPUTED_VALUE"""),"最終出勤日1/30 2025/1/31～3/3一時帰国
1/21～1/30まで勤務の為控除無し及びH&amp;C管理住宅
自身の結婚のため、2026/04/20～6/3まで一時帰国希望
（新開工場長より2025/12/23）
※在留カード（6/11期限）帰国前に更新申請
2026年5月もしくは6月の特定2号の試験も申し出ありとのこと")</f>
        <v>最終出勤日1/30 2025/1/31～3/3一時帰国
1/21～1/30まで勤務の為控除無し及びH&amp;C管理住宅
自身の結婚のため、2026/04/20～6/3まで一時帰国希望
（新開工場長より2025/12/23）
※在留カード（6/11期限）帰国前に更新申請
2026年5月もしくは6月の特定2号の試験も申し出ありとのこと</v>
      </c>
    </row>
    <row r="20" spans="1:42">
      <c r="A20" s="595" t="str">
        <f ca="1">IFERROR(__xludf.DUMMYFUNCTION("""COMPUTED_VALUE"""),"　")</f>
        <v>　</v>
      </c>
      <c r="B20" s="595">
        <f ca="1">IFERROR(__xludf.DUMMYFUNCTION("""COMPUTED_VALUE"""),88)</f>
        <v>88</v>
      </c>
      <c r="C20" s="595" t="str">
        <f ca="1">IFERROR(__xludf.DUMMYFUNCTION("""COMPUTED_VALUE"""),"津吉")</f>
        <v>津吉</v>
      </c>
      <c r="D20" s="595" t="str">
        <f ca="1">IFERROR(__xludf.DUMMYFUNCTION("""COMPUTED_VALUE"""),"インドネシア")</f>
        <v>インドネシア</v>
      </c>
      <c r="E20" s="595" t="str">
        <f ca="1">IFERROR(__xludf.DUMMYFUNCTION("""COMPUTED_VALUE"""),"07013615")</f>
        <v>07013615</v>
      </c>
      <c r="F20" s="595" t="str">
        <f ca="1">IFERROR(__xludf.DUMMYFUNCTION("""COMPUTED_VALUE"""),"/appsheet/photograph/IDPhoto_20250328_88_ウフィク ルフィアナ.jpg")</f>
        <v>/appsheet/photograph/IDPhoto_20250328_88_ウフィク ルフィアナ.jpg</v>
      </c>
      <c r="G20" s="595" t="str">
        <f ca="1">IFERROR(__xludf.DUMMYFUNCTION("""COMPUTED_VALUE"""),"ウフィク ルフィアナ")</f>
        <v>ウフィク ルフィアナ</v>
      </c>
      <c r="H20" s="595" t="str">
        <f ca="1">IFERROR(__xludf.DUMMYFUNCTION("""COMPUTED_VALUE"""),"UFIK LUFIANA")</f>
        <v>UFIK LUFIANA</v>
      </c>
      <c r="I20" s="595"/>
      <c r="J20" s="595" t="str">
        <f ca="1">IFERROR(__xludf.DUMMYFUNCTION("""COMPUTED_VALUE"""),"女")</f>
        <v>女</v>
      </c>
      <c r="K20" s="600">
        <f ca="1">IFERROR(__xludf.DUMMYFUNCTION("""COMPUTED_VALUE"""),36553)</f>
        <v>36553</v>
      </c>
      <c r="L20" s="595">
        <f ca="1">IFERROR(__xludf.DUMMYFUNCTION("""COMPUTED_VALUE"""),26)</f>
        <v>26</v>
      </c>
      <c r="M20" s="595" t="str">
        <f ca="1">IFERROR(__xludf.DUMMYFUNCTION("""COMPUTED_VALUE"""),"有")</f>
        <v>有</v>
      </c>
      <c r="N20" s="595" t="str">
        <f ca="1">IFERROR(__xludf.DUMMYFUNCTION("""COMPUTED_VALUE"""),"H&amp;C")</f>
        <v>H&amp;C</v>
      </c>
      <c r="O20" s="900">
        <f ca="1">IFERROR(__xludf.DUMMYFUNCTION("""COMPUTED_VALUE"""),44669)</f>
        <v>44669</v>
      </c>
      <c r="P20" s="595" t="str">
        <f ca="1">IFERROR(__xludf.DUMMYFUNCTION("""COMPUTED_VALUE"""),"2027/03")</f>
        <v>2027/03</v>
      </c>
      <c r="Q20" s="595" t="str">
        <f ca="1">IFERROR(__xludf.DUMMYFUNCTION("""COMPUTED_VALUE"""),"特定技能１号")</f>
        <v>特定技能１号</v>
      </c>
      <c r="R20" s="595" t="str">
        <f ca="1">IFERROR(__xludf.DUMMYFUNCTION("""COMPUTED_VALUE"""),"松山市上野町774番地ビレッジハウス松山上野2-508")</f>
        <v>松山市上野町774番地ビレッジハウス松山上野2-508</v>
      </c>
      <c r="S20" s="595" t="str">
        <f ca="1">IFERROR(__xludf.DUMMYFUNCTION("""COMPUTED_VALUE"""),"夫婦")</f>
        <v>夫婦</v>
      </c>
      <c r="T20" s="901">
        <f ca="1">IFERROR(__xludf.DUMMYFUNCTION("""COMPUTED_VALUE"""),20000)</f>
        <v>20000</v>
      </c>
      <c r="U20" s="600">
        <f ca="1">IFERROR(__xludf.DUMMYFUNCTION("""COMPUTED_VALUE"""),46106)</f>
        <v>46106</v>
      </c>
      <c r="V20" s="600">
        <f ca="1">IFERROR(__xludf.DUMMYFUNCTION("""COMPUTED_VALUE"""),46184)</f>
        <v>46184</v>
      </c>
      <c r="W20" s="595" t="str">
        <f ca="1">IFERROR(__xludf.DUMMYFUNCTION("""COMPUTED_VALUE"""),"UH25074774PC")</f>
        <v>UH25074774PC</v>
      </c>
      <c r="X20" s="595"/>
      <c r="Y20" s="596"/>
      <c r="Z20" s="595" t="str">
        <f ca="1">IFERROR(__xludf.DUMMYFUNCTION("""COMPUTED_VALUE"""),"6662
Ｂ－0246662-1767")</f>
        <v>6662
Ｂ－0246662-1767</v>
      </c>
      <c r="AA20" s="595"/>
      <c r="AB20" s="595"/>
      <c r="AC20" s="595"/>
      <c r="AD20" s="600"/>
      <c r="AE20" s="600">
        <f ca="1">IFERROR(__xludf.DUMMYFUNCTION("""COMPUTED_VALUE"""),45855)</f>
        <v>45855</v>
      </c>
      <c r="AF20" s="600">
        <f ca="1">IFERROR(__xludf.DUMMYFUNCTION("""COMPUTED_VALUE"""),45893)</f>
        <v>45893</v>
      </c>
      <c r="AG20" s="600"/>
      <c r="AH20" s="595"/>
      <c r="AI20" s="600"/>
      <c r="AJ20" s="595"/>
      <c r="AK20" s="595" t="str">
        <f ca="1">IFERROR(__xludf.DUMMYFUNCTION("""COMPUTED_VALUE"""),"小林主任")</f>
        <v>小林主任</v>
      </c>
      <c r="AL20" s="595" t="str">
        <f ca="1">IFERROR(__xludf.DUMMYFUNCTION("""COMPUTED_VALUE"""),"〇")</f>
        <v>〇</v>
      </c>
      <c r="AM20" s="596">
        <f ca="1">IFERROR(__xludf.DUMMYFUNCTION("""COMPUTED_VALUE"""),44661)</f>
        <v>44661</v>
      </c>
      <c r="AN20" s="595" t="str">
        <f ca="1">IFERROR(__xludf.DUMMYFUNCTION("""COMPUTED_VALUE"""),"2025/6/１～2027/4/30")</f>
        <v>2025/6/１～2027/4/30</v>
      </c>
      <c r="AO20" s="595"/>
      <c r="AP20" s="595" t="str">
        <f ca="1">IFERROR(__xludf.DUMMYFUNCTION("""COMPUTED_VALUE"""),"2024/09/21より１人部屋の為家賃15.000-変更
2025/7/17～8/24一時帰国　8/26～出勤")</f>
        <v>2024/09/21より１人部屋の為家賃15.000-変更
2025/7/17～8/24一時帰国　8/26～出勤</v>
      </c>
    </row>
    <row r="21" spans="1:42">
      <c r="A21" s="595" t="str">
        <f ca="1">IFERROR(__xludf.DUMMYFUNCTION("""COMPUTED_VALUE"""),"二課")</f>
        <v>二課</v>
      </c>
      <c r="B21" s="595">
        <f ca="1">IFERROR(__xludf.DUMMYFUNCTION("""COMPUTED_VALUE"""),94)</f>
        <v>94</v>
      </c>
      <c r="C21" s="595" t="str">
        <f ca="1">IFERROR(__xludf.DUMMYFUNCTION("""COMPUTED_VALUE"""),"津吉")</f>
        <v>津吉</v>
      </c>
      <c r="D21" s="595" t="str">
        <f ca="1">IFERROR(__xludf.DUMMYFUNCTION("""COMPUTED_VALUE"""),"インドネシア")</f>
        <v>インドネシア</v>
      </c>
      <c r="E21" s="595" t="str">
        <f ca="1">IFERROR(__xludf.DUMMYFUNCTION("""COMPUTED_VALUE"""),"07013619
07018701")</f>
        <v>07013619
07018701</v>
      </c>
      <c r="F21" s="595" t="str">
        <f ca="1">IFERROR(__xludf.DUMMYFUNCTION("""COMPUTED_VALUE"""),"/appsheet/photograph/IDPhoto_20250328_94_ミフタフル アリフ.jpg")</f>
        <v>/appsheet/photograph/IDPhoto_20250328_94_ミフタフル アリフ.jpg</v>
      </c>
      <c r="G21" s="595" t="str">
        <f ca="1">IFERROR(__xludf.DUMMYFUNCTION("""COMPUTED_VALUE"""),"ミフタフル アリフ")</f>
        <v>ミフタフル アリフ</v>
      </c>
      <c r="H21" s="595" t="str">
        <f ca="1">IFERROR(__xludf.DUMMYFUNCTION("""COMPUTED_VALUE"""),"MIFTAKHUL ARIF")</f>
        <v>MIFTAKHUL ARIF</v>
      </c>
      <c r="I21" s="595" t="str">
        <f ca="1">IFERROR(__xludf.DUMMYFUNCTION("""COMPUTED_VALUE"""),"アリフ")</f>
        <v>アリフ</v>
      </c>
      <c r="J21" s="595" t="str">
        <f ca="1">IFERROR(__xludf.DUMMYFUNCTION("""COMPUTED_VALUE"""),"男")</f>
        <v>男</v>
      </c>
      <c r="K21" s="600">
        <f ca="1">IFERROR(__xludf.DUMMYFUNCTION("""COMPUTED_VALUE"""),34331)</f>
        <v>34331</v>
      </c>
      <c r="L21" s="595">
        <f ca="1">IFERROR(__xludf.DUMMYFUNCTION("""COMPUTED_VALUE"""),32)</f>
        <v>32</v>
      </c>
      <c r="M21" s="595" t="str">
        <f ca="1">IFERROR(__xludf.DUMMYFUNCTION("""COMPUTED_VALUE"""),"有")</f>
        <v>有</v>
      </c>
      <c r="N21" s="595" t="str">
        <f ca="1">IFERROR(__xludf.DUMMYFUNCTION("""COMPUTED_VALUE"""),"H&amp;C")</f>
        <v>H&amp;C</v>
      </c>
      <c r="O21" s="900">
        <f ca="1">IFERROR(__xludf.DUMMYFUNCTION("""COMPUTED_VALUE"""),44669)</f>
        <v>44669</v>
      </c>
      <c r="P21" s="595" t="str">
        <f ca="1">IFERROR(__xludf.DUMMYFUNCTION("""COMPUTED_VALUE"""),"2027/03")</f>
        <v>2027/03</v>
      </c>
      <c r="Q21" s="595" t="str">
        <f ca="1">IFERROR(__xludf.DUMMYFUNCTION("""COMPUTED_VALUE"""),"特定技能２号")</f>
        <v>特定技能２号</v>
      </c>
      <c r="R21" s="595" t="str">
        <f ca="1">IFERROR(__xludf.DUMMYFUNCTION("""COMPUTED_VALUE"""),"松山市上野町774番地ビレッジハウス松山上野3-507")</f>
        <v>松山市上野町774番地ビレッジハウス松山上野3-507</v>
      </c>
      <c r="S21" s="595" t="str">
        <f ca="1">IFERROR(__xludf.DUMMYFUNCTION("""COMPUTED_VALUE"""),"個")</f>
        <v>個</v>
      </c>
      <c r="T21" s="901">
        <f ca="1">IFERROR(__xludf.DUMMYFUNCTION("""COMPUTED_VALUE"""),15000)</f>
        <v>15000</v>
      </c>
      <c r="U21" s="600">
        <f ca="1">IFERROR(__xludf.DUMMYFUNCTION("""COMPUTED_VALUE"""),45962)</f>
        <v>45962</v>
      </c>
      <c r="V21" s="600">
        <f ca="1">IFERROR(__xludf.DUMMYFUNCTION("""COMPUTED_VALUE"""),47102)</f>
        <v>47102</v>
      </c>
      <c r="W21" s="595" t="str">
        <f ca="1">IFERROR(__xludf.DUMMYFUNCTION("""COMPUTED_VALUE"""),"UH86875702PC")</f>
        <v>UH86875702PC</v>
      </c>
      <c r="X21" s="595"/>
      <c r="Y21" s="596"/>
      <c r="Z21" s="595" t="str">
        <f ca="1">IFERROR(__xludf.DUMMYFUNCTION("""COMPUTED_VALUE"""),"6660
B-0246660-1194
ｼﾙﾊﾞｰ26ｲﾝﾁ")</f>
        <v>6660
B-0246660-1194
ｼﾙﾊﾞｰ26ｲﾝﾁ</v>
      </c>
      <c r="AA21" s="595"/>
      <c r="AB21" s="595" t="str">
        <f ca="1">IFERROR(__xludf.DUMMYFUNCTION("""COMPUTED_VALUE"""),"N4
")</f>
        <v xml:space="preserve">N4
</v>
      </c>
      <c r="AC21" s="595"/>
      <c r="AD21" s="600"/>
      <c r="AE21" s="600"/>
      <c r="AF21" s="600"/>
      <c r="AG21" s="600"/>
      <c r="AH21" s="595"/>
      <c r="AI21" s="600"/>
      <c r="AJ21" s="595"/>
      <c r="AK21" s="595" t="str">
        <f ca="1">IFERROR(__xludf.DUMMYFUNCTION("""COMPUTED_VALUE"""),"佐伯主任")</f>
        <v>佐伯主任</v>
      </c>
      <c r="AL21" s="595" t="str">
        <f ca="1">IFERROR(__xludf.DUMMYFUNCTION("""COMPUTED_VALUE"""),"―")</f>
        <v>―</v>
      </c>
      <c r="AM21" s="596">
        <f ca="1">IFERROR(__xludf.DUMMYFUNCTION("""COMPUTED_VALUE"""),44661)</f>
        <v>44661</v>
      </c>
      <c r="AN21" s="595" t="str">
        <f ca="1">IFERROR(__xludf.DUMMYFUNCTION("""COMPUTED_VALUE"""),"2025/6/１～2027/4/30
2号移行時解約済")</f>
        <v>2025/6/１～2027/4/30
2号移行時解約済</v>
      </c>
      <c r="AO21" s="595"/>
      <c r="AP21" s="595" t="str">
        <f ca="1">IFERROR(__xludf.DUMMYFUNCTION("""COMPUTED_VALUE"""),"24.5/1～6/28一時帰国
7/8新開工場長より一時帰国に有給を使いたい申出あるも、事前申請ないため不可(専務相談済)
2025/12/21～特定2号へ資格変更予定
2025/12/15　特定2号へ移行完了")</f>
        <v>24.5/1～6/28一時帰国
7/8新開工場長より一時帰国に有給を使いたい申出あるも、事前申請ないため不可(専務相談済)
2025/12/21～特定2号へ資格変更予定
2025/12/15　特定2号へ移行完了</v>
      </c>
    </row>
    <row r="22" spans="1:42">
      <c r="A22" s="595" t="str">
        <f ca="1">IFERROR(__xludf.DUMMYFUNCTION("""COMPUTED_VALUE"""),"四課")</f>
        <v>四課</v>
      </c>
      <c r="B22" s="595">
        <f ca="1">IFERROR(__xludf.DUMMYFUNCTION("""COMPUTED_VALUE"""),96)</f>
        <v>96</v>
      </c>
      <c r="C22" s="595" t="str">
        <f ca="1">IFERROR(__xludf.DUMMYFUNCTION("""COMPUTED_VALUE"""),"津吉")</f>
        <v>津吉</v>
      </c>
      <c r="D22" s="595" t="str">
        <f ca="1">IFERROR(__xludf.DUMMYFUNCTION("""COMPUTED_VALUE"""),"インドネシア")</f>
        <v>インドネシア</v>
      </c>
      <c r="E22" s="595" t="str">
        <f ca="1">IFERROR(__xludf.DUMMYFUNCTION("""COMPUTED_VALUE"""),"07013638")</f>
        <v>07013638</v>
      </c>
      <c r="F22" s="595" t="str">
        <f ca="1">IFERROR(__xludf.DUMMYFUNCTION("""COMPUTED_VALUE"""),"/appsheet/photograph/IDPhoto_20250328_96_ニマトゥル マウリダ.jpg")</f>
        <v>/appsheet/photograph/IDPhoto_20250328_96_ニマトゥル マウリダ.jpg</v>
      </c>
      <c r="G22" s="595" t="str">
        <f ca="1">IFERROR(__xludf.DUMMYFUNCTION("""COMPUTED_VALUE"""),"ニマトゥル マウリダ")</f>
        <v>ニマトゥル マウリダ</v>
      </c>
      <c r="H22" s="595" t="str">
        <f ca="1">IFERROR(__xludf.DUMMYFUNCTION("""COMPUTED_VALUE"""),"NIMATUL MAULIDA")</f>
        <v>NIMATUL MAULIDA</v>
      </c>
      <c r="I22" s="595"/>
      <c r="J22" s="595" t="str">
        <f ca="1">IFERROR(__xludf.DUMMYFUNCTION("""COMPUTED_VALUE"""),"女")</f>
        <v>女</v>
      </c>
      <c r="K22" s="600">
        <f ca="1">IFERROR(__xludf.DUMMYFUNCTION("""COMPUTED_VALUE"""),35621)</f>
        <v>35621</v>
      </c>
      <c r="L22" s="595">
        <f ca="1">IFERROR(__xludf.DUMMYFUNCTION("""COMPUTED_VALUE"""),28)</f>
        <v>28</v>
      </c>
      <c r="M22" s="595" t="str">
        <f ca="1">IFERROR(__xludf.DUMMYFUNCTION("""COMPUTED_VALUE"""),"夫婦")</f>
        <v>夫婦</v>
      </c>
      <c r="N22" s="595" t="str">
        <f ca="1">IFERROR(__xludf.DUMMYFUNCTION("""COMPUTED_VALUE"""),"H&amp;C")</f>
        <v>H&amp;C</v>
      </c>
      <c r="O22" s="900">
        <f ca="1">IFERROR(__xludf.DUMMYFUNCTION("""COMPUTED_VALUE"""),45075)</f>
        <v>45075</v>
      </c>
      <c r="P22" s="595" t="str">
        <f ca="1">IFERROR(__xludf.DUMMYFUNCTION("""COMPUTED_VALUE"""),"2028/04")</f>
        <v>2028/04</v>
      </c>
      <c r="Q22" s="595" t="str">
        <f ca="1">IFERROR(__xludf.DUMMYFUNCTION("""COMPUTED_VALUE"""),"特定技能１号")</f>
        <v>特定技能１号</v>
      </c>
      <c r="R22" s="595" t="str">
        <f ca="1">IFERROR(__xludf.DUMMYFUNCTION("""COMPUTED_VALUE"""),"松山市上野町774番地ビレッジハウス松山上野4-504")</f>
        <v>松山市上野町774番地ビレッジハウス松山上野4-504</v>
      </c>
      <c r="S22" s="595" t="str">
        <f ca="1">IFERROR(__xludf.DUMMYFUNCTION("""COMPUTED_VALUE"""),"夫婦")</f>
        <v>夫婦</v>
      </c>
      <c r="T22" s="901">
        <f ca="1">IFERROR(__xludf.DUMMYFUNCTION("""COMPUTED_VALUE"""),20000)</f>
        <v>20000</v>
      </c>
      <c r="U22" s="600">
        <f ca="1">IFERROR(__xludf.DUMMYFUNCTION("""COMPUTED_VALUE"""),46106)</f>
        <v>46106</v>
      </c>
      <c r="V22" s="600">
        <f ca="1">IFERROR(__xludf.DUMMYFUNCTION("""COMPUTED_VALUE"""),46184)</f>
        <v>46184</v>
      </c>
      <c r="W22" s="595" t="str">
        <f ca="1">IFERROR(__xludf.DUMMYFUNCTION("""COMPUTED_VALUE"""),"UH01039353PC")</f>
        <v>UH01039353PC</v>
      </c>
      <c r="X22" s="595"/>
      <c r="Y22" s="596"/>
      <c r="Z22" s="595" t="str">
        <f ca="1">IFERROR(__xludf.DUMMYFUNCTION("""COMPUTED_VALUE"""),"自身で購入
元2309
中野住宅で使用")</f>
        <v>自身で購入
元2309
中野住宅で使用</v>
      </c>
      <c r="AA22" s="595" t="str">
        <f ca="1">IFERROR(__xludf.DUMMYFUNCTION("""COMPUTED_VALUE"""),"2024/09/20")</f>
        <v>2024/09/20</v>
      </c>
      <c r="AB22" s="595" t="str">
        <f ca="1">IFERROR(__xludf.DUMMYFUNCTION("""COMPUTED_VALUE"""),"N3
2024/07/07")</f>
        <v>N3
2024/07/07</v>
      </c>
      <c r="AC22" s="595"/>
      <c r="AD22" s="600"/>
      <c r="AE22" s="600">
        <f ca="1">IFERROR(__xludf.DUMMYFUNCTION("""COMPUTED_VALUE"""),45783)</f>
        <v>45783</v>
      </c>
      <c r="AF22" s="600">
        <f ca="1">IFERROR(__xludf.DUMMYFUNCTION("""COMPUTED_VALUE"""),45817)</f>
        <v>45817</v>
      </c>
      <c r="AG22" s="600"/>
      <c r="AH22" s="595" t="str">
        <f ca="1">IFERROR(__xludf.DUMMYFUNCTION("""COMPUTED_VALUE"""),"育児休暇中")</f>
        <v>育児休暇中</v>
      </c>
      <c r="AI22" s="600"/>
      <c r="AJ22" s="595"/>
      <c r="AK22" s="595" t="str">
        <f ca="1">IFERROR(__xludf.DUMMYFUNCTION("""COMPUTED_VALUE"""),"大西係長")</f>
        <v>大西係長</v>
      </c>
      <c r="AL22" s="595" t="str">
        <f ca="1">IFERROR(__xludf.DUMMYFUNCTION("""COMPUTED_VALUE"""),"〇")</f>
        <v>〇</v>
      </c>
      <c r="AM22" s="596">
        <f ca="1">IFERROR(__xludf.DUMMYFUNCTION("""COMPUTED_VALUE"""),45071)</f>
        <v>45071</v>
      </c>
      <c r="AN22" s="595" t="str">
        <f ca="1">IFERROR(__xludf.DUMMYFUNCTION("""COMPUTED_VALUE"""),"2025/6/25-2028/5/24")</f>
        <v>2025/6/25-2028/5/24</v>
      </c>
      <c r="AO22" s="595"/>
      <c r="AP22" s="595" t="str">
        <f ca="1">IFERROR(__xludf.DUMMYFUNCTION("""COMPUTED_VALUE"""),"N3：2024/07/07 10/15連絡あり→10/31振込分より手当
2025/5/6～6/10一時帰国　帰国後
6/9～ﾋﾞﾚｯｼﾞ4-504へ夫エカと住む
2025/11/2エカより、ニマが妊娠13週との連絡あり。今後について、相談すると伝える
エカと３人で津吉社長室にて話す。出産予定2026/5/5、つばきウイメンズで出産予定、日本にて産みたい。エカも特定２号受けたい。入社が2025/6/17、転職のため、特定１号の機嫌が2027/3までのため、入官へ確認。")</f>
        <v>N3：2024/07/07 10/15連絡あり→10/31振込分より手当
2025/5/6～6/10一時帰国　帰国後
6/9～ﾋﾞﾚｯｼﾞ4-504へ夫エカと住む
2025/11/2エカより、ニマが妊娠13週との連絡あり。今後について、相談すると伝える
エカと３人で津吉社長室にて話す。出産予定2026/5/5、つばきウイメンズで出産予定、日本にて産みたい。エカも特定２号受けたい。入社が2025/6/17、転職のため、特定１号の機嫌が2027/3までのため、入官へ確認。</v>
      </c>
    </row>
    <row r="23" spans="1:42">
      <c r="A23" s="595" t="str">
        <f ca="1">IFERROR(__xludf.DUMMYFUNCTION("""COMPUTED_VALUE"""),"四課")</f>
        <v>四課</v>
      </c>
      <c r="B23" s="595">
        <f ca="1">IFERROR(__xludf.DUMMYFUNCTION("""COMPUTED_VALUE"""),97)</f>
        <v>97</v>
      </c>
      <c r="C23" s="595" t="str">
        <f ca="1">IFERROR(__xludf.DUMMYFUNCTION("""COMPUTED_VALUE"""),"津吉")</f>
        <v>津吉</v>
      </c>
      <c r="D23" s="595" t="str">
        <f ca="1">IFERROR(__xludf.DUMMYFUNCTION("""COMPUTED_VALUE"""),"インドネシア")</f>
        <v>インドネシア</v>
      </c>
      <c r="E23" s="595" t="str">
        <f ca="1">IFERROR(__xludf.DUMMYFUNCTION("""COMPUTED_VALUE"""),"07013639")</f>
        <v>07013639</v>
      </c>
      <c r="F23" s="595" t="str">
        <f ca="1">IFERROR(__xludf.DUMMYFUNCTION("""COMPUTED_VALUE"""),"/appsheet/photograph/IDPhoto_20250328_97_ハビバ プリヤンティ.jpg")</f>
        <v>/appsheet/photograph/IDPhoto_20250328_97_ハビバ プリヤンティ.jpg</v>
      </c>
      <c r="G23" s="595" t="str">
        <f ca="1">IFERROR(__xludf.DUMMYFUNCTION("""COMPUTED_VALUE"""),"ハビバ プリヤンティ")</f>
        <v>ハビバ プリヤンティ</v>
      </c>
      <c r="H23" s="595" t="str">
        <f ca="1">IFERROR(__xludf.DUMMYFUNCTION("""COMPUTED_VALUE"""),"HABIBAH PRIYANTI")</f>
        <v>HABIBAH PRIYANTI</v>
      </c>
      <c r="I23" s="595"/>
      <c r="J23" s="595" t="str">
        <f ca="1">IFERROR(__xludf.DUMMYFUNCTION("""COMPUTED_VALUE"""),"女")</f>
        <v>女</v>
      </c>
      <c r="K23" s="600">
        <f ca="1">IFERROR(__xludf.DUMMYFUNCTION("""COMPUTED_VALUE"""),38039)</f>
        <v>38039</v>
      </c>
      <c r="L23" s="595">
        <f ca="1">IFERROR(__xludf.DUMMYFUNCTION("""COMPUTED_VALUE"""),22)</f>
        <v>22</v>
      </c>
      <c r="M23" s="595"/>
      <c r="N23" s="595" t="str">
        <f ca="1">IFERROR(__xludf.DUMMYFUNCTION("""COMPUTED_VALUE"""),"H&amp;C")</f>
        <v>H&amp;C</v>
      </c>
      <c r="O23" s="900">
        <f ca="1">IFERROR(__xludf.DUMMYFUNCTION("""COMPUTED_VALUE"""),45075)</f>
        <v>45075</v>
      </c>
      <c r="P23" s="595" t="str">
        <f ca="1">IFERROR(__xludf.DUMMYFUNCTION("""COMPUTED_VALUE"""),"2028/04")</f>
        <v>2028/04</v>
      </c>
      <c r="Q23" s="595" t="str">
        <f ca="1">IFERROR(__xludf.DUMMYFUNCTION("""COMPUTED_VALUE"""),"特定技能１号")</f>
        <v>特定技能１号</v>
      </c>
      <c r="R23" s="595" t="str">
        <f ca="1">IFERROR(__xludf.DUMMYFUNCTION("""COMPUTED_VALUE"""),"松山市上野町774番地ビレッジハウス松山上野4-505")</f>
        <v>松山市上野町774番地ビレッジハウス松山上野4-505</v>
      </c>
      <c r="S23" s="595" t="str">
        <f ca="1">IFERROR(__xludf.DUMMYFUNCTION("""COMPUTED_VALUE"""),"個")</f>
        <v>個</v>
      </c>
      <c r="T23" s="901">
        <f ca="1">IFERROR(__xludf.DUMMYFUNCTION("""COMPUTED_VALUE"""),15000)</f>
        <v>15000</v>
      </c>
      <c r="U23" s="600">
        <f ca="1">IFERROR(__xludf.DUMMYFUNCTION("""COMPUTED_VALUE"""),46106)</f>
        <v>46106</v>
      </c>
      <c r="V23" s="600">
        <f ca="1">IFERROR(__xludf.DUMMYFUNCTION("""COMPUTED_VALUE"""),46184)</f>
        <v>46184</v>
      </c>
      <c r="W23" s="595" t="str">
        <f ca="1">IFERROR(__xludf.DUMMYFUNCTION("""COMPUTED_VALUE"""),"UH53265164PC")</f>
        <v>UH53265164PC</v>
      </c>
      <c r="X23" s="595"/>
      <c r="Y23" s="596"/>
      <c r="Z23" s="595" t="str">
        <f ca="1">IFERROR(__xludf.DUMMYFUNCTION("""COMPUTED_VALUE"""),"ｱｼｽﾄ（自身で購入）
2310-B-0287449
9/6中野住宅へ移動")</f>
        <v>ｱｼｽﾄ（自身で購入）
2310-B-0287449
9/6中野住宅へ移動</v>
      </c>
      <c r="AA23" s="595" t="str">
        <f ca="1">IFERROR(__xludf.DUMMYFUNCTION("""COMPUTED_VALUE"""),"2024/03/22")</f>
        <v>2024/03/22</v>
      </c>
      <c r="AB23" s="595"/>
      <c r="AC23" s="595"/>
      <c r="AD23" s="600"/>
      <c r="AE23" s="600"/>
      <c r="AF23" s="600"/>
      <c r="AG23" s="600"/>
      <c r="AH23" s="595"/>
      <c r="AI23" s="600"/>
      <c r="AJ23" s="595"/>
      <c r="AK23" s="595" t="str">
        <f ca="1">IFERROR(__xludf.DUMMYFUNCTION("""COMPUTED_VALUE"""),"大西係長")</f>
        <v>大西係長</v>
      </c>
      <c r="AL23" s="595" t="str">
        <f ca="1">IFERROR(__xludf.DUMMYFUNCTION("""COMPUTED_VALUE"""),"〇")</f>
        <v>〇</v>
      </c>
      <c r="AM23" s="596">
        <f ca="1">IFERROR(__xludf.DUMMYFUNCTION("""COMPUTED_VALUE"""),45071)</f>
        <v>45071</v>
      </c>
      <c r="AN23" s="595" t="str">
        <f ca="1">IFERROR(__xludf.DUMMYFUNCTION("""COMPUTED_VALUE"""),"2025/6/１～2028/5/31")</f>
        <v>2025/6/１～2028/5/31</v>
      </c>
      <c r="AO23" s="595"/>
      <c r="AP23" s="595"/>
    </row>
    <row r="24" spans="1:42">
      <c r="A24" s="595" t="str">
        <f ca="1">IFERROR(__xludf.DUMMYFUNCTION("""COMPUTED_VALUE"""),"一課")</f>
        <v>一課</v>
      </c>
      <c r="B24" s="595">
        <f ca="1">IFERROR(__xludf.DUMMYFUNCTION("""COMPUTED_VALUE"""),98)</f>
        <v>98</v>
      </c>
      <c r="C24" s="595" t="str">
        <f ca="1">IFERROR(__xludf.DUMMYFUNCTION("""COMPUTED_VALUE"""),"津吉")</f>
        <v>津吉</v>
      </c>
      <c r="D24" s="595" t="str">
        <f ca="1">IFERROR(__xludf.DUMMYFUNCTION("""COMPUTED_VALUE"""),"インドネシア")</f>
        <v>インドネシア</v>
      </c>
      <c r="E24" s="595" t="str">
        <f ca="1">IFERROR(__xludf.DUMMYFUNCTION("""COMPUTED_VALUE"""),"07013640")</f>
        <v>07013640</v>
      </c>
      <c r="F24" s="595" t="str">
        <f ca="1">IFERROR(__xludf.DUMMYFUNCTION("""COMPUTED_VALUE"""),"/appsheet/photograph/IDPhoto_20250328_98_ノヴィ ノヴィタ.jpg")</f>
        <v>/appsheet/photograph/IDPhoto_20250328_98_ノヴィ ノヴィタ.jpg</v>
      </c>
      <c r="G24" s="595" t="str">
        <f ca="1">IFERROR(__xludf.DUMMYFUNCTION("""COMPUTED_VALUE"""),"ノヴィ ノヴィタ")</f>
        <v>ノヴィ ノヴィタ</v>
      </c>
      <c r="H24" s="595" t="str">
        <f ca="1">IFERROR(__xludf.DUMMYFUNCTION("""COMPUTED_VALUE"""),"NOVI NOVITA")</f>
        <v>NOVI NOVITA</v>
      </c>
      <c r="I24" s="595"/>
      <c r="J24" s="595" t="str">
        <f ca="1">IFERROR(__xludf.DUMMYFUNCTION("""COMPUTED_VALUE"""),"女")</f>
        <v>女</v>
      </c>
      <c r="K24" s="600">
        <f ca="1">IFERROR(__xludf.DUMMYFUNCTION("""COMPUTED_VALUE"""),38073)</f>
        <v>38073</v>
      </c>
      <c r="L24" s="595">
        <f ca="1">IFERROR(__xludf.DUMMYFUNCTION("""COMPUTED_VALUE"""),22)</f>
        <v>22</v>
      </c>
      <c r="M24" s="595" t="str">
        <f ca="1">IFERROR(__xludf.DUMMYFUNCTION("""COMPUTED_VALUE"""),"無")</f>
        <v>無</v>
      </c>
      <c r="N24" s="595" t="str">
        <f ca="1">IFERROR(__xludf.DUMMYFUNCTION("""COMPUTED_VALUE"""),"H&amp;C")</f>
        <v>H&amp;C</v>
      </c>
      <c r="O24" s="900">
        <f ca="1">IFERROR(__xludf.DUMMYFUNCTION("""COMPUTED_VALUE"""),45075)</f>
        <v>45075</v>
      </c>
      <c r="P24" s="595" t="str">
        <f ca="1">IFERROR(__xludf.DUMMYFUNCTION("""COMPUTED_VALUE"""),"2028/04")</f>
        <v>2028/04</v>
      </c>
      <c r="Q24" s="595" t="str">
        <f ca="1">IFERROR(__xludf.DUMMYFUNCTION("""COMPUTED_VALUE"""),"特定技能１号")</f>
        <v>特定技能１号</v>
      </c>
      <c r="R24" s="595" t="str">
        <f ca="1">IFERROR(__xludf.DUMMYFUNCTION("""COMPUTED_VALUE"""),"松山市上野町774番地ビレッジハウス松山上野4-502")</f>
        <v>松山市上野町774番地ビレッジハウス松山上野4-502</v>
      </c>
      <c r="S24" s="595" t="str">
        <f ca="1">IFERROR(__xludf.DUMMYFUNCTION("""COMPUTED_VALUE"""),"個")</f>
        <v>個</v>
      </c>
      <c r="T24" s="901">
        <f ca="1">IFERROR(__xludf.DUMMYFUNCTION("""COMPUTED_VALUE"""),15000)</f>
        <v>15000</v>
      </c>
      <c r="U24" s="600">
        <f ca="1">IFERROR(__xludf.DUMMYFUNCTION("""COMPUTED_VALUE"""),46106)</f>
        <v>46106</v>
      </c>
      <c r="V24" s="600">
        <f ca="1">IFERROR(__xludf.DUMMYFUNCTION("""COMPUTED_VALUE"""),46184)</f>
        <v>46184</v>
      </c>
      <c r="W24" s="595" t="str">
        <f ca="1">IFERROR(__xludf.DUMMYFUNCTION("""COMPUTED_VALUE"""),"UH31391623PC一時帰国後、申請")</f>
        <v>UH31391623PC一時帰国後、申請</v>
      </c>
      <c r="X24" s="595" t="str">
        <f ca="1">IFERROR(__xludf.DUMMYFUNCTION("""COMPUTED_VALUE"""),"寮23.10/21～")</f>
        <v>寮23.10/21～</v>
      </c>
      <c r="Y24" s="596"/>
      <c r="Z24" s="595" t="str">
        <f ca="1">IFERROR(__xludf.DUMMYFUNCTION("""COMPUTED_VALUE"""),"自身で購入")</f>
        <v>自身で購入</v>
      </c>
      <c r="AA24" s="595"/>
      <c r="AB24" s="595"/>
      <c r="AC24" s="595"/>
      <c r="AD24" s="600"/>
      <c r="AE24" s="600">
        <f ca="1">IFERROR(__xludf.DUMMYFUNCTION("""COMPUTED_VALUE"""),46093)</f>
        <v>46093</v>
      </c>
      <c r="AF24" s="600">
        <f ca="1">IFERROR(__xludf.DUMMYFUNCTION("""COMPUTED_VALUE"""),46122)</f>
        <v>46122</v>
      </c>
      <c r="AG24" s="600"/>
      <c r="AH24" s="595" t="str">
        <f ca="1">IFERROR(__xludf.DUMMYFUNCTION("""COMPUTED_VALUE"""),"一時帰国予定")</f>
        <v>一時帰国予定</v>
      </c>
      <c r="AI24" s="600"/>
      <c r="AJ24" s="595"/>
      <c r="AK24" s="595" t="str">
        <f ca="1">IFERROR(__xludf.DUMMYFUNCTION("""COMPUTED_VALUE"""),"小林主任")</f>
        <v>小林主任</v>
      </c>
      <c r="AL24" s="595" t="str">
        <f ca="1">IFERROR(__xludf.DUMMYFUNCTION("""COMPUTED_VALUE"""),"〇")</f>
        <v>〇</v>
      </c>
      <c r="AM24" s="596">
        <f ca="1">IFERROR(__xludf.DUMMYFUNCTION("""COMPUTED_VALUE"""),45071)</f>
        <v>45071</v>
      </c>
      <c r="AN24" s="595" t="str">
        <f ca="1">IFERROR(__xludf.DUMMYFUNCTION("""COMPUTED_VALUE"""),"2025/6/１～2028/5/31""")</f>
        <v>2025/6/１～2028/5/31"</v>
      </c>
      <c r="AO24" s="595"/>
      <c r="AP24" s="595" t="str">
        <f ca="1">IFERROR(__xludf.DUMMYFUNCTION("""COMPUTED_VALUE"""),"2025/3/29～1号館1人部屋→ビレッジ4-502へ　家賃同額")</f>
        <v>2025/3/29～1号館1人部屋→ビレッジ4-502へ　家賃同額</v>
      </c>
    </row>
    <row r="25" spans="1:42">
      <c r="A25" s="595" t="str">
        <f ca="1">IFERROR(__xludf.DUMMYFUNCTION("""COMPUTED_VALUE"""),"四課")</f>
        <v>四課</v>
      </c>
      <c r="B25" s="595">
        <f ca="1">IFERROR(__xludf.DUMMYFUNCTION("""COMPUTED_VALUE"""),99)</f>
        <v>99</v>
      </c>
      <c r="C25" s="595" t="str">
        <f ca="1">IFERROR(__xludf.DUMMYFUNCTION("""COMPUTED_VALUE"""),"津吉")</f>
        <v>津吉</v>
      </c>
      <c r="D25" s="595" t="str">
        <f ca="1">IFERROR(__xludf.DUMMYFUNCTION("""COMPUTED_VALUE"""),"インドネシア")</f>
        <v>インドネシア</v>
      </c>
      <c r="E25" s="595" t="str">
        <f ca="1">IFERROR(__xludf.DUMMYFUNCTION("""COMPUTED_VALUE"""),"07013641")</f>
        <v>07013641</v>
      </c>
      <c r="F25" s="595" t="str">
        <f ca="1">IFERROR(__xludf.DUMMYFUNCTION("""COMPUTED_VALUE"""),"/appsheet/photograph/IDPhoto_20250328_99_ヌル アンディニ.jpg")</f>
        <v>/appsheet/photograph/IDPhoto_20250328_99_ヌル アンディニ.jpg</v>
      </c>
      <c r="G25" s="595" t="str">
        <f ca="1">IFERROR(__xludf.DUMMYFUNCTION("""COMPUTED_VALUE"""),"ヌル アンディニ")</f>
        <v>ヌル アンディニ</v>
      </c>
      <c r="H25" s="595" t="str">
        <f ca="1">IFERROR(__xludf.DUMMYFUNCTION("""COMPUTED_VALUE"""),"NUR ANDINI")</f>
        <v>NUR ANDINI</v>
      </c>
      <c r="I25" s="595" t="str">
        <f ca="1">IFERROR(__xludf.DUMMYFUNCTION("""COMPUTED_VALUE"""),"アンディニ")</f>
        <v>アンディニ</v>
      </c>
      <c r="J25" s="595" t="str">
        <f ca="1">IFERROR(__xludf.DUMMYFUNCTION("""COMPUTED_VALUE"""),"女")</f>
        <v>女</v>
      </c>
      <c r="K25" s="600">
        <f ca="1">IFERROR(__xludf.DUMMYFUNCTION("""COMPUTED_VALUE"""),37451)</f>
        <v>37451</v>
      </c>
      <c r="L25" s="595">
        <f ca="1">IFERROR(__xludf.DUMMYFUNCTION("""COMPUTED_VALUE"""),23)</f>
        <v>23</v>
      </c>
      <c r="M25" s="595"/>
      <c r="N25" s="595" t="str">
        <f ca="1">IFERROR(__xludf.DUMMYFUNCTION("""COMPUTED_VALUE"""),"H&amp;C")</f>
        <v>H&amp;C</v>
      </c>
      <c r="O25" s="900">
        <f ca="1">IFERROR(__xludf.DUMMYFUNCTION("""COMPUTED_VALUE"""),45075)</f>
        <v>45075</v>
      </c>
      <c r="P25" s="595" t="str">
        <f ca="1">IFERROR(__xludf.DUMMYFUNCTION("""COMPUTED_VALUE"""),"2028/04")</f>
        <v>2028/04</v>
      </c>
      <c r="Q25" s="595" t="str">
        <f ca="1">IFERROR(__xludf.DUMMYFUNCTION("""COMPUTED_VALUE"""),"特定技能１号")</f>
        <v>特定技能１号</v>
      </c>
      <c r="R25" s="595" t="str">
        <f ca="1">IFERROR(__xludf.DUMMYFUNCTION("""COMPUTED_VALUE"""),"松山市上野町774番地ビレッジハウス松山上野4-205")</f>
        <v>松山市上野町774番地ビレッジハウス松山上野4-205</v>
      </c>
      <c r="S25" s="595" t="str">
        <f ca="1">IFERROR(__xludf.DUMMYFUNCTION("""COMPUTED_VALUE"""),"個")</f>
        <v>個</v>
      </c>
      <c r="T25" s="901">
        <f ca="1">IFERROR(__xludf.DUMMYFUNCTION("""COMPUTED_VALUE"""),15000)</f>
        <v>15000</v>
      </c>
      <c r="U25" s="600">
        <f ca="1">IFERROR(__xludf.DUMMYFUNCTION("""COMPUTED_VALUE"""),45762)</f>
        <v>45762</v>
      </c>
      <c r="V25" s="600">
        <f ca="1">IFERROR(__xludf.DUMMYFUNCTION("""COMPUTED_VALUE"""),46184)</f>
        <v>46184</v>
      </c>
      <c r="W25" s="595" t="str">
        <f ca="1">IFERROR(__xludf.DUMMYFUNCTION("""COMPUTED_VALUE"""),"UH20712284PC一時帰国後、申請")</f>
        <v>UH20712284PC一時帰国後、申請</v>
      </c>
      <c r="X25" s="595"/>
      <c r="Y25" s="596"/>
      <c r="Z25" s="595" t="str">
        <f ca="1">IFERROR(__xludf.DUMMYFUNCTION("""COMPUTED_VALUE"""),"2312
B-0287451-V177")</f>
        <v>2312
B-0287451-V177</v>
      </c>
      <c r="AA25" s="595" t="str">
        <f ca="1">IFERROR(__xludf.DUMMYFUNCTION("""COMPUTED_VALUE"""),"2025/12/02")</f>
        <v>2025/12/02</v>
      </c>
      <c r="AB25" s="595"/>
      <c r="AC25" s="595"/>
      <c r="AD25" s="600"/>
      <c r="AE25" s="600">
        <f ca="1">IFERROR(__xludf.DUMMYFUNCTION("""COMPUTED_VALUE"""),46093)</f>
        <v>46093</v>
      </c>
      <c r="AF25" s="600">
        <f ca="1">IFERROR(__xludf.DUMMYFUNCTION("""COMPUTED_VALUE"""),46154)</f>
        <v>46154</v>
      </c>
      <c r="AG25" s="600"/>
      <c r="AH25" s="595" t="str">
        <f ca="1">IFERROR(__xludf.DUMMYFUNCTION("""COMPUTED_VALUE"""),"一時帰国予定")</f>
        <v>一時帰国予定</v>
      </c>
      <c r="AI25" s="600"/>
      <c r="AJ25" s="595"/>
      <c r="AK25" s="595" t="str">
        <f ca="1">IFERROR(__xludf.DUMMYFUNCTION("""COMPUTED_VALUE"""),"大西係長")</f>
        <v>大西係長</v>
      </c>
      <c r="AL25" s="595" t="str">
        <f ca="1">IFERROR(__xludf.DUMMYFUNCTION("""COMPUTED_VALUE"""),"〇")</f>
        <v>〇</v>
      </c>
      <c r="AM25" s="596">
        <f ca="1">IFERROR(__xludf.DUMMYFUNCTION("""COMPUTED_VALUE"""),45071)</f>
        <v>45071</v>
      </c>
      <c r="AN25" s="595" t="str">
        <f ca="1">IFERROR(__xludf.DUMMYFUNCTION("""COMPUTED_VALUE"""),"2025/6/１～2028/5/31")</f>
        <v>2025/6/１～2028/5/31</v>
      </c>
      <c r="AO25" s="595"/>
      <c r="AP25" s="595" t="str">
        <f ca="1">IFERROR(__xludf.DUMMYFUNCTION("""COMPUTED_VALUE"""),"20240529退勤中に最後の階段で足をくじいた。
2024/09/14牛渕170-3→ビレッジ4-205引越
2025/10/30新開工場長より、2026/3/13より2ヶ月ぐらい、
自身の結婚のため帰国の申し出。日程の調整確認依頼
10/30現在有休残３日、11/29付与12日、合計15日
新開工場長へline済み
3/13結婚のため、一時帰国。5/10頃帰国し
在留カード更新手続きを行うと話す。")</f>
        <v>20240529退勤中に最後の階段で足をくじいた。
2024/09/14牛渕170-3→ビレッジ4-205引越
2025/10/30新開工場長より、2026/3/13より2ヶ月ぐらい、
自身の結婚のため帰国の申し出。日程の調整確認依頼
10/30現在有休残３日、11/29付与12日、合計15日
新開工場長へline済み
3/13結婚のため、一時帰国。5/10頃帰国し
在留カード更新手続きを行うと話す。</v>
      </c>
    </row>
    <row r="26" spans="1:42">
      <c r="A26" s="595" t="str">
        <f ca="1">IFERROR(__xludf.DUMMYFUNCTION("""COMPUTED_VALUE"""),"一課")</f>
        <v>一課</v>
      </c>
      <c r="B26" s="595">
        <f ca="1">IFERROR(__xludf.DUMMYFUNCTION("""COMPUTED_VALUE"""),100)</f>
        <v>100</v>
      </c>
      <c r="C26" s="595" t="str">
        <f ca="1">IFERROR(__xludf.DUMMYFUNCTION("""COMPUTED_VALUE"""),"津吉")</f>
        <v>津吉</v>
      </c>
      <c r="D26" s="595" t="str">
        <f ca="1">IFERROR(__xludf.DUMMYFUNCTION("""COMPUTED_VALUE"""),"インドネシア")</f>
        <v>インドネシア</v>
      </c>
      <c r="E26" s="595" t="str">
        <f ca="1">IFERROR(__xludf.DUMMYFUNCTION("""COMPUTED_VALUE"""),"07013642")</f>
        <v>07013642</v>
      </c>
      <c r="F26" s="595" t="str">
        <f ca="1">IFERROR(__xludf.DUMMYFUNCTION("""COMPUTED_VALUE"""),"/appsheet/photograph/100.写真.031150.jpg")</f>
        <v>/appsheet/photograph/100.写真.031150.jpg</v>
      </c>
      <c r="G26" s="595" t="str">
        <f ca="1">IFERROR(__xludf.DUMMYFUNCTION("""COMPUTED_VALUE"""),"ジェシカ アウリア プトリ")</f>
        <v>ジェシカ アウリア プトリ</v>
      </c>
      <c r="H26" s="595" t="str">
        <f ca="1">IFERROR(__xludf.DUMMYFUNCTION("""COMPUTED_VALUE"""),"JESSICA AULIA PUTRI")</f>
        <v>JESSICA AULIA PUTRI</v>
      </c>
      <c r="I26" s="595"/>
      <c r="J26" s="595" t="str">
        <f ca="1">IFERROR(__xludf.DUMMYFUNCTION("""COMPUTED_VALUE"""),"女")</f>
        <v>女</v>
      </c>
      <c r="K26" s="600">
        <f ca="1">IFERROR(__xludf.DUMMYFUNCTION("""COMPUTED_VALUE"""),37391)</f>
        <v>37391</v>
      </c>
      <c r="L26" s="595">
        <f ca="1">IFERROR(__xludf.DUMMYFUNCTION("""COMPUTED_VALUE"""),23)</f>
        <v>23</v>
      </c>
      <c r="M26" s="595"/>
      <c r="N26" s="595" t="str">
        <f ca="1">IFERROR(__xludf.DUMMYFUNCTION("""COMPUTED_VALUE"""),"H&amp;C")</f>
        <v>H&amp;C</v>
      </c>
      <c r="O26" s="900">
        <f ca="1">IFERROR(__xludf.DUMMYFUNCTION("""COMPUTED_VALUE"""),45098)</f>
        <v>45098</v>
      </c>
      <c r="P26" s="595" t="str">
        <f ca="1">IFERROR(__xludf.DUMMYFUNCTION("""COMPUTED_VALUE"""),"2028/05")</f>
        <v>2028/05</v>
      </c>
      <c r="Q26" s="595" t="str">
        <f ca="1">IFERROR(__xludf.DUMMYFUNCTION("""COMPUTED_VALUE"""),"特定技能１号")</f>
        <v>特定技能１号</v>
      </c>
      <c r="R26" s="595" t="str">
        <f ca="1">IFERROR(__xludf.DUMMYFUNCTION("""COMPUTED_VALUE"""),"松山市上野町774番地ビレッジハウス松山上野2-405")</f>
        <v>松山市上野町774番地ビレッジハウス松山上野2-405</v>
      </c>
      <c r="S26" s="595" t="str">
        <f ca="1">IFERROR(__xludf.DUMMYFUNCTION("""COMPUTED_VALUE"""),"個")</f>
        <v>個</v>
      </c>
      <c r="T26" s="901">
        <f ca="1">IFERROR(__xludf.DUMMYFUNCTION("""COMPUTED_VALUE"""),15000)</f>
        <v>15000</v>
      </c>
      <c r="U26" s="600">
        <f ca="1">IFERROR(__xludf.DUMMYFUNCTION("""COMPUTED_VALUE"""),45793)</f>
        <v>45793</v>
      </c>
      <c r="V26" s="600">
        <f ca="1">IFERROR(__xludf.DUMMYFUNCTION("""COMPUTED_VALUE"""),46214)</f>
        <v>46214</v>
      </c>
      <c r="W26" s="595" t="str">
        <f ca="1">IFERROR(__xludf.DUMMYFUNCTION("""COMPUTED_VALUE"""),"UH46443230PC")</f>
        <v>UH46443230PC</v>
      </c>
      <c r="X26" s="595" t="str">
        <f ca="1">IFERROR(__xludf.DUMMYFUNCTION("""COMPUTED_VALUE"""),"綴る")</f>
        <v>綴る</v>
      </c>
      <c r="Y26" s="596"/>
      <c r="Z26" s="595" t="str">
        <f ca="1">IFERROR(__xludf.DUMMYFUNCTION("""COMPUTED_VALUE"""),"2325
B-0296139-V130
V230どっちか不明")</f>
        <v>2325
B-0296139-V130
V230どっちか不明</v>
      </c>
      <c r="AA26" s="595"/>
      <c r="AB26" s="595"/>
      <c r="AC26" s="595"/>
      <c r="AD26" s="600"/>
      <c r="AE26" s="600"/>
      <c r="AF26" s="600"/>
      <c r="AG26" s="600"/>
      <c r="AH26" s="595"/>
      <c r="AI26" s="600"/>
      <c r="AJ26" s="595"/>
      <c r="AK26" s="595" t="str">
        <f ca="1">IFERROR(__xludf.DUMMYFUNCTION("""COMPUTED_VALUE"""),"小林主任")</f>
        <v>小林主任</v>
      </c>
      <c r="AL26" s="595" t="str">
        <f ca="1">IFERROR(__xludf.DUMMYFUNCTION("""COMPUTED_VALUE"""),"〇")</f>
        <v>〇</v>
      </c>
      <c r="AM26" s="596">
        <f ca="1">IFERROR(__xludf.DUMMYFUNCTION("""COMPUTED_VALUE"""),45092)</f>
        <v>45092</v>
      </c>
      <c r="AN26" s="595" t="str">
        <f ca="1">IFERROR(__xludf.DUMMYFUNCTION("""COMPUTED_VALUE"""),"2025/6/１～2028/6/30")</f>
        <v>2025/6/１～2028/6/30</v>
      </c>
      <c r="AO26" s="595"/>
      <c r="AP26" s="595" t="str">
        <f ca="1">IFERROR(__xludf.DUMMYFUNCTION("""COMPUTED_VALUE"""),"2025/3/8牛渕2号館→ビレッジ2-405へ引越")</f>
        <v>2025/3/8牛渕2号館→ビレッジ2-405へ引越</v>
      </c>
    </row>
    <row r="27" spans="1:42">
      <c r="A27" s="595" t="str">
        <f ca="1">IFERROR(__xludf.DUMMYFUNCTION("""COMPUTED_VALUE"""),"四課")</f>
        <v>四課</v>
      </c>
      <c r="B27" s="595">
        <f ca="1">IFERROR(__xludf.DUMMYFUNCTION("""COMPUTED_VALUE"""),101)</f>
        <v>101</v>
      </c>
      <c r="C27" s="595" t="str">
        <f ca="1">IFERROR(__xludf.DUMMYFUNCTION("""COMPUTED_VALUE"""),"津吉")</f>
        <v>津吉</v>
      </c>
      <c r="D27" s="595" t="str">
        <f ca="1">IFERROR(__xludf.DUMMYFUNCTION("""COMPUTED_VALUE"""),"インドネシア")</f>
        <v>インドネシア</v>
      </c>
      <c r="E27" s="595" t="str">
        <f ca="1">IFERROR(__xludf.DUMMYFUNCTION("""COMPUTED_VALUE"""),"07013643")</f>
        <v>07013643</v>
      </c>
      <c r="F27" s="595" t="str">
        <f ca="1">IFERROR(__xludf.DUMMYFUNCTION("""COMPUTED_VALUE"""),"/appsheet/photograph/101.写真.024815.jpg")</f>
        <v>/appsheet/photograph/101.写真.024815.jpg</v>
      </c>
      <c r="G27" s="595" t="str">
        <f ca="1">IFERROR(__xludf.DUMMYFUNCTION("""COMPUTED_VALUE"""),"アナ ヤーロトゥン ニシャ")</f>
        <v>アナ ヤーロトゥン ニシャ</v>
      </c>
      <c r="H27" s="595" t="str">
        <f ca="1">IFERROR(__xludf.DUMMYFUNCTION("""COMPUTED_VALUE"""),"ANA YAHROTUN NISHA")</f>
        <v>ANA YAHROTUN NISHA</v>
      </c>
      <c r="I27" s="595"/>
      <c r="J27" s="595" t="str">
        <f ca="1">IFERROR(__xludf.DUMMYFUNCTION("""COMPUTED_VALUE"""),"女")</f>
        <v>女</v>
      </c>
      <c r="K27" s="600">
        <f ca="1">IFERROR(__xludf.DUMMYFUNCTION("""COMPUTED_VALUE"""),36029)</f>
        <v>36029</v>
      </c>
      <c r="L27" s="595">
        <f ca="1">IFERROR(__xludf.DUMMYFUNCTION("""COMPUTED_VALUE"""),27)</f>
        <v>27</v>
      </c>
      <c r="M27" s="595"/>
      <c r="N27" s="595" t="str">
        <f ca="1">IFERROR(__xludf.DUMMYFUNCTION("""COMPUTED_VALUE"""),"H&amp;C")</f>
        <v>H&amp;C</v>
      </c>
      <c r="O27" s="900">
        <f ca="1">IFERROR(__xludf.DUMMYFUNCTION("""COMPUTED_VALUE"""),45098)</f>
        <v>45098</v>
      </c>
      <c r="P27" s="595" t="str">
        <f ca="1">IFERROR(__xludf.DUMMYFUNCTION("""COMPUTED_VALUE"""),"2028/05")</f>
        <v>2028/05</v>
      </c>
      <c r="Q27" s="595" t="str">
        <f ca="1">IFERROR(__xludf.DUMMYFUNCTION("""COMPUTED_VALUE"""),"特定技能１号")</f>
        <v>特定技能１号</v>
      </c>
      <c r="R27" s="595" t="str">
        <f ca="1">IFERROR(__xludf.DUMMYFUNCTION("""COMPUTED_VALUE"""),"松山市上野町774番地ビレッジハウス松山上野2-405")</f>
        <v>松山市上野町774番地ビレッジハウス松山上野2-405</v>
      </c>
      <c r="S27" s="595" t="str">
        <f ca="1">IFERROR(__xludf.DUMMYFUNCTION("""COMPUTED_VALUE"""),"個")</f>
        <v>個</v>
      </c>
      <c r="T27" s="901">
        <f ca="1">IFERROR(__xludf.DUMMYFUNCTION("""COMPUTED_VALUE"""),15000)</f>
        <v>15000</v>
      </c>
      <c r="U27" s="600">
        <f ca="1">IFERROR(__xludf.DUMMYFUNCTION("""COMPUTED_VALUE"""),45793)</f>
        <v>45793</v>
      </c>
      <c r="V27" s="600">
        <f ca="1">IFERROR(__xludf.DUMMYFUNCTION("""COMPUTED_VALUE"""),46214)</f>
        <v>46214</v>
      </c>
      <c r="W27" s="595" t="str">
        <f ca="1">IFERROR(__xludf.DUMMYFUNCTION("""COMPUTED_VALUE"""),"UH89655030PC")</f>
        <v>UH89655030PC</v>
      </c>
      <c r="X27" s="595"/>
      <c r="Y27" s="596"/>
      <c r="Z27" s="595" t="str">
        <f ca="1">IFERROR(__xludf.DUMMYFUNCTION("""COMPUTED_VALUE"""),"2314
B-0296113-X049")</f>
        <v>2314
B-0296113-X049</v>
      </c>
      <c r="AA27" s="595"/>
      <c r="AB27" s="595"/>
      <c r="AC27" s="595"/>
      <c r="AD27" s="600"/>
      <c r="AE27" s="600">
        <f ca="1">IFERROR(__xludf.DUMMYFUNCTION("""COMPUTED_VALUE"""),45962)</f>
        <v>45962</v>
      </c>
      <c r="AF27" s="600">
        <f ca="1">IFERROR(__xludf.DUMMYFUNCTION("""COMPUTED_VALUE"""),45986)</f>
        <v>45986</v>
      </c>
      <c r="AG27" s="600"/>
      <c r="AH27" s="595"/>
      <c r="AI27" s="600"/>
      <c r="AJ27" s="595"/>
      <c r="AK27" s="595" t="str">
        <f ca="1">IFERROR(__xludf.DUMMYFUNCTION("""COMPUTED_VALUE"""),"大西係長")</f>
        <v>大西係長</v>
      </c>
      <c r="AL27" s="595" t="str">
        <f ca="1">IFERROR(__xludf.DUMMYFUNCTION("""COMPUTED_VALUE"""),"〇")</f>
        <v>〇</v>
      </c>
      <c r="AM27" s="596">
        <f ca="1">IFERROR(__xludf.DUMMYFUNCTION("""COMPUTED_VALUE"""),45092)</f>
        <v>45092</v>
      </c>
      <c r="AN27" s="595" t="str">
        <f ca="1">IFERROR(__xludf.DUMMYFUNCTION("""COMPUTED_VALUE"""),"2025/6/１～2028/6/30")</f>
        <v>2025/6/１～2028/6/30</v>
      </c>
      <c r="AO27" s="595"/>
      <c r="AP27" s="595" t="str">
        <f ca="1">IFERROR(__xludf.DUMMYFUNCTION("""COMPUTED_VALUE"""),"2025/3/8牛渕2号館→ビレッジ2-405へ引越
お父さんが亡くなったため、2025/11/1～2025/11/25一時帰国希望")</f>
        <v>2025/3/8牛渕2号館→ビレッジ2-405へ引越
お父さんが亡くなったため、2025/11/1～2025/11/25一時帰国希望</v>
      </c>
    </row>
    <row r="28" spans="1:42">
      <c r="A28" s="595" t="str">
        <f ca="1">IFERROR(__xludf.DUMMYFUNCTION("""COMPUTED_VALUE"""),"一課")</f>
        <v>一課</v>
      </c>
      <c r="B28" s="595">
        <f ca="1">IFERROR(__xludf.DUMMYFUNCTION("""COMPUTED_VALUE"""),103)</f>
        <v>103</v>
      </c>
      <c r="C28" s="595" t="str">
        <f ca="1">IFERROR(__xludf.DUMMYFUNCTION("""COMPUTED_VALUE"""),"津吉")</f>
        <v>津吉</v>
      </c>
      <c r="D28" s="595" t="str">
        <f ca="1">IFERROR(__xludf.DUMMYFUNCTION("""COMPUTED_VALUE"""),"インドネシア")</f>
        <v>インドネシア</v>
      </c>
      <c r="E28" s="595" t="str">
        <f ca="1">IFERROR(__xludf.DUMMYFUNCTION("""COMPUTED_VALUE"""),"07013645")</f>
        <v>07013645</v>
      </c>
      <c r="F28" s="595" t="str">
        <f ca="1">IFERROR(__xludf.DUMMYFUNCTION("""COMPUTED_VALUE"""),"/appsheet/photograph/103.写真.030456.jpg")</f>
        <v>/appsheet/photograph/103.写真.030456.jpg</v>
      </c>
      <c r="G28" s="595" t="str">
        <f ca="1">IFERROR(__xludf.DUMMYFUNCTION("""COMPUTED_VALUE"""),"ロパ ヌルジャナー")</f>
        <v>ロパ ヌルジャナー</v>
      </c>
      <c r="H28" s="595" t="str">
        <f ca="1">IFERROR(__xludf.DUMMYFUNCTION("""COMPUTED_VALUE"""),"ROPA NURJANAH")</f>
        <v>ROPA NURJANAH</v>
      </c>
      <c r="I28" s="595"/>
      <c r="J28" s="595" t="str">
        <f ca="1">IFERROR(__xludf.DUMMYFUNCTION("""COMPUTED_VALUE"""),"女")</f>
        <v>女</v>
      </c>
      <c r="K28" s="600">
        <f ca="1">IFERROR(__xludf.DUMMYFUNCTION("""COMPUTED_VALUE"""),35477)</f>
        <v>35477</v>
      </c>
      <c r="L28" s="595">
        <f ca="1">IFERROR(__xludf.DUMMYFUNCTION("""COMPUTED_VALUE"""),29)</f>
        <v>29</v>
      </c>
      <c r="M28" s="595"/>
      <c r="N28" s="595" t="str">
        <f ca="1">IFERROR(__xludf.DUMMYFUNCTION("""COMPUTED_VALUE"""),"H&amp;C")</f>
        <v>H&amp;C</v>
      </c>
      <c r="O28" s="900">
        <f ca="1">IFERROR(__xludf.DUMMYFUNCTION("""COMPUTED_VALUE"""),45098)</f>
        <v>45098</v>
      </c>
      <c r="P28" s="595" t="str">
        <f ca="1">IFERROR(__xludf.DUMMYFUNCTION("""COMPUTED_VALUE"""),"2028/05")</f>
        <v>2028/05</v>
      </c>
      <c r="Q28" s="595" t="str">
        <f ca="1">IFERROR(__xludf.DUMMYFUNCTION("""COMPUTED_VALUE"""),"特定技能１号")</f>
        <v>特定技能１号</v>
      </c>
      <c r="R28" s="595" t="str">
        <f ca="1">IFERROR(__xludf.DUMMYFUNCTION("""COMPUTED_VALUE"""),"松山市上野町774番地ビレッジハウス松山上野4-407")</f>
        <v>松山市上野町774番地ビレッジハウス松山上野4-407</v>
      </c>
      <c r="S28" s="595" t="str">
        <f ca="1">IFERROR(__xludf.DUMMYFUNCTION("""COMPUTED_VALUE"""),"個")</f>
        <v>個</v>
      </c>
      <c r="T28" s="901">
        <f ca="1">IFERROR(__xludf.DUMMYFUNCTION("""COMPUTED_VALUE"""),15000)</f>
        <v>15000</v>
      </c>
      <c r="U28" s="600">
        <f ca="1">IFERROR(__xludf.DUMMYFUNCTION("""COMPUTED_VALUE"""),45793)</f>
        <v>45793</v>
      </c>
      <c r="V28" s="600">
        <f ca="1">IFERROR(__xludf.DUMMYFUNCTION("""COMPUTED_VALUE"""),46214)</f>
        <v>46214</v>
      </c>
      <c r="W28" s="595" t="str">
        <f ca="1">IFERROR(__xludf.DUMMYFUNCTION("""COMPUTED_VALUE"""),"UH35593552PC")</f>
        <v>UH35593552PC</v>
      </c>
      <c r="X28" s="595"/>
      <c r="Y28" s="596"/>
      <c r="Z28" s="595" t="str">
        <f ca="1">IFERROR(__xludf.DUMMYFUNCTION("""COMPUTED_VALUE"""),"2316
B-0296115-V187")</f>
        <v>2316
B-0296115-V187</v>
      </c>
      <c r="AA28" s="595" t="str">
        <f ca="1">IFERROR(__xludf.DUMMYFUNCTION("""COMPUTED_VALUE"""),"2025/05/02")</f>
        <v>2025/05/02</v>
      </c>
      <c r="AB28" s="595"/>
      <c r="AC28" s="595"/>
      <c r="AD28" s="600"/>
      <c r="AE28" s="600"/>
      <c r="AF28" s="600"/>
      <c r="AG28" s="600"/>
      <c r="AH28" s="595"/>
      <c r="AI28" s="600"/>
      <c r="AJ28" s="595"/>
      <c r="AK28" s="595" t="str">
        <f ca="1">IFERROR(__xludf.DUMMYFUNCTION("""COMPUTED_VALUE"""),"小林主任")</f>
        <v>小林主任</v>
      </c>
      <c r="AL28" s="595" t="str">
        <f ca="1">IFERROR(__xludf.DUMMYFUNCTION("""COMPUTED_VALUE"""),"〇")</f>
        <v>〇</v>
      </c>
      <c r="AM28" s="596"/>
      <c r="AN28" s="595" t="str">
        <f ca="1">IFERROR(__xludf.DUMMYFUNCTION("""COMPUTED_VALUE"""),"2025/6/１～2028/6/30")</f>
        <v>2025/6/１～2028/6/30</v>
      </c>
      <c r="AO28" s="595"/>
      <c r="AP28" s="595" t="str">
        <f ca="1">IFERROR(__xludf.DUMMYFUNCTION("""COMPUTED_VALUE"""),"2025.5.2引越　牛渕123-1→ﾋﾞﾚｯｼﾞ4-407へ
家賃10.000→15,000へ
通勤届提出済")</f>
        <v>2025.5.2引越　牛渕123-1→ﾋﾞﾚｯｼﾞ4-407へ
家賃10.000→15,000へ
通勤届提出済</v>
      </c>
    </row>
    <row r="29" spans="1:42">
      <c r="A29" s="595" t="str">
        <f ca="1">IFERROR(__xludf.DUMMYFUNCTION("""COMPUTED_VALUE"""),"四課")</f>
        <v>四課</v>
      </c>
      <c r="B29" s="595">
        <f ca="1">IFERROR(__xludf.DUMMYFUNCTION("""COMPUTED_VALUE"""),104)</f>
        <v>104</v>
      </c>
      <c r="C29" s="595" t="str">
        <f ca="1">IFERROR(__xludf.DUMMYFUNCTION("""COMPUTED_VALUE"""),"津吉")</f>
        <v>津吉</v>
      </c>
      <c r="D29" s="595" t="str">
        <f ca="1">IFERROR(__xludf.DUMMYFUNCTION("""COMPUTED_VALUE"""),"インドネシア")</f>
        <v>インドネシア</v>
      </c>
      <c r="E29" s="595" t="str">
        <f ca="1">IFERROR(__xludf.DUMMYFUNCTION("""COMPUTED_VALUE"""),"07013646")</f>
        <v>07013646</v>
      </c>
      <c r="F29" s="595" t="str">
        <f ca="1">IFERROR(__xludf.DUMMYFUNCTION("""COMPUTED_VALUE"""),"/appsheet/photograph/104.写真.024225.jpg")</f>
        <v>/appsheet/photograph/104.写真.024225.jpg</v>
      </c>
      <c r="G29" s="595" t="str">
        <f ca="1">IFERROR(__xludf.DUMMYFUNCTION("""COMPUTED_VALUE"""),"デウィ マシト")</f>
        <v>デウィ マシト</v>
      </c>
      <c r="H29" s="595" t="str">
        <f ca="1">IFERROR(__xludf.DUMMYFUNCTION("""COMPUTED_VALUE"""),"DEWI MASITHOH")</f>
        <v>DEWI MASITHOH</v>
      </c>
      <c r="I29" s="595"/>
      <c r="J29" s="595" t="str">
        <f ca="1">IFERROR(__xludf.DUMMYFUNCTION("""COMPUTED_VALUE"""),"女")</f>
        <v>女</v>
      </c>
      <c r="K29" s="600">
        <f ca="1">IFERROR(__xludf.DUMMYFUNCTION("""COMPUTED_VALUE"""),36801)</f>
        <v>36801</v>
      </c>
      <c r="L29" s="595">
        <f ca="1">IFERROR(__xludf.DUMMYFUNCTION("""COMPUTED_VALUE"""),25)</f>
        <v>25</v>
      </c>
      <c r="M29" s="595" t="str">
        <f ca="1">IFERROR(__xludf.DUMMYFUNCTION("""COMPUTED_VALUE"""),"無")</f>
        <v>無</v>
      </c>
      <c r="N29" s="595" t="str">
        <f ca="1">IFERROR(__xludf.DUMMYFUNCTION("""COMPUTED_VALUE"""),"H&amp;C")</f>
        <v>H&amp;C</v>
      </c>
      <c r="O29" s="900">
        <f ca="1">IFERROR(__xludf.DUMMYFUNCTION("""COMPUTED_VALUE"""),45098)</f>
        <v>45098</v>
      </c>
      <c r="P29" s="595" t="str">
        <f ca="1">IFERROR(__xludf.DUMMYFUNCTION("""COMPUTED_VALUE"""),"2028/05")</f>
        <v>2028/05</v>
      </c>
      <c r="Q29" s="595" t="str">
        <f ca="1">IFERROR(__xludf.DUMMYFUNCTION("""COMPUTED_VALUE"""),"特定技能１号")</f>
        <v>特定技能１号</v>
      </c>
      <c r="R29" s="595" t="str">
        <f ca="1">IFERROR(__xludf.DUMMYFUNCTION("""COMPUTED_VALUE"""),"松山市上野町774番地ビレッジハウス松山上野4-407")</f>
        <v>松山市上野町774番地ビレッジハウス松山上野4-407</v>
      </c>
      <c r="S29" s="595" t="str">
        <f ca="1">IFERROR(__xludf.DUMMYFUNCTION("""COMPUTED_VALUE"""),"個")</f>
        <v>個</v>
      </c>
      <c r="T29" s="901">
        <f ca="1">IFERROR(__xludf.DUMMYFUNCTION("""COMPUTED_VALUE"""),15000)</f>
        <v>15000</v>
      </c>
      <c r="U29" s="600">
        <f ca="1">IFERROR(__xludf.DUMMYFUNCTION("""COMPUTED_VALUE"""),45793)</f>
        <v>45793</v>
      </c>
      <c r="V29" s="600">
        <f ca="1">IFERROR(__xludf.DUMMYFUNCTION("""COMPUTED_VALUE"""),46214)</f>
        <v>46214</v>
      </c>
      <c r="W29" s="595" t="str">
        <f ca="1">IFERROR(__xludf.DUMMYFUNCTION("""COMPUTED_VALUE"""),"UH49694920PC")</f>
        <v>UH49694920PC</v>
      </c>
      <c r="X29" s="595"/>
      <c r="Y29" s="596"/>
      <c r="Z29" s="595" t="str">
        <f ca="1">IFERROR(__xludf.DUMMYFUNCTION("""COMPUTED_VALUE"""),"自身で購入
元2317-X236")</f>
        <v>自身で購入
元2317-X236</v>
      </c>
      <c r="AA29" s="595"/>
      <c r="AB29" s="595"/>
      <c r="AC29" s="595"/>
      <c r="AD29" s="600"/>
      <c r="AE29" s="600">
        <f ca="1">IFERROR(__xludf.DUMMYFUNCTION("""COMPUTED_VALUE"""),46221)</f>
        <v>46221</v>
      </c>
      <c r="AF29" s="600">
        <f ca="1">IFERROR(__xludf.DUMMYFUNCTION("""COMPUTED_VALUE"""),46269)</f>
        <v>46269</v>
      </c>
      <c r="AG29" s="600"/>
      <c r="AH29" s="595" t="str">
        <f ca="1">IFERROR(__xludf.DUMMYFUNCTION("""COMPUTED_VALUE"""),"一時帰国予定")</f>
        <v>一時帰国予定</v>
      </c>
      <c r="AI29" s="600"/>
      <c r="AJ29" s="595"/>
      <c r="AK29" s="595" t="str">
        <f ca="1">IFERROR(__xludf.DUMMYFUNCTION("""COMPUTED_VALUE"""),"大西係長")</f>
        <v>大西係長</v>
      </c>
      <c r="AL29" s="595" t="str">
        <f ca="1">IFERROR(__xludf.DUMMYFUNCTION("""COMPUTED_VALUE"""),"〇")</f>
        <v>〇</v>
      </c>
      <c r="AM29" s="596">
        <f ca="1">IFERROR(__xludf.DUMMYFUNCTION("""COMPUTED_VALUE"""),45092)</f>
        <v>45092</v>
      </c>
      <c r="AN29" s="595" t="str">
        <f ca="1">IFERROR(__xludf.DUMMYFUNCTION("""COMPUTED_VALUE"""),"2025/6/１～2028/6/30")</f>
        <v>2025/6/１～2028/6/30</v>
      </c>
      <c r="AO29" s="595"/>
      <c r="AP29" s="595" t="str">
        <f ca="1">IFERROR(__xludf.DUMMYFUNCTION("""COMPUTED_VALUE"""),"2024.6.21～牛渕123-1→ﾋﾞﾚｯｼﾞ4-407へ引越
2025/11/25ナナマルディアナと来年結婚する。
2026/7/18～9/4まで帰国結婚、中温で２人で住居したい申出。
日程については、新開工場長と相談済。")</f>
        <v>2024.6.21～牛渕123-1→ﾋﾞﾚｯｼﾞ4-407へ引越
2025/11/25ナナマルディアナと来年結婚する。
2026/7/18～9/4まで帰国結婚、中温で２人で住居したい申出。
日程については、新開工場長と相談済。</v>
      </c>
    </row>
    <row r="30" spans="1:42">
      <c r="A30" s="595" t="str">
        <f ca="1">IFERROR(__xludf.DUMMYFUNCTION("""COMPUTED_VALUE"""),"箱入れ")</f>
        <v>箱入れ</v>
      </c>
      <c r="B30" s="595">
        <f ca="1">IFERROR(__xludf.DUMMYFUNCTION("""COMPUTED_VALUE"""),106)</f>
        <v>106</v>
      </c>
      <c r="C30" s="595" t="str">
        <f ca="1">IFERROR(__xludf.DUMMYFUNCTION("""COMPUTED_VALUE"""),"津吉")</f>
        <v>津吉</v>
      </c>
      <c r="D30" s="595" t="str">
        <f ca="1">IFERROR(__xludf.DUMMYFUNCTION("""COMPUTED_VALUE"""),"インドネシア")</f>
        <v>インドネシア</v>
      </c>
      <c r="E30" s="595" t="str">
        <f ca="1">IFERROR(__xludf.DUMMYFUNCTION("""COMPUTED_VALUE"""),"07013648")</f>
        <v>07013648</v>
      </c>
      <c r="F30" s="595" t="str">
        <f ca="1">IFERROR(__xludf.DUMMYFUNCTION("""COMPUTED_VALUE"""),"/appsheet/photograph/106.写真.031518.jpg")</f>
        <v>/appsheet/photograph/106.写真.031518.jpg</v>
      </c>
      <c r="G30" s="595" t="str">
        <f ca="1">IFERROR(__xludf.DUMMYFUNCTION("""COMPUTED_VALUE"""),"イスラ ナディア")</f>
        <v>イスラ ナディア</v>
      </c>
      <c r="H30" s="595" t="str">
        <f ca="1">IFERROR(__xludf.DUMMYFUNCTION("""COMPUTED_VALUE"""),"ISRA NADIA ")</f>
        <v xml:space="preserve">ISRA NADIA </v>
      </c>
      <c r="I30" s="595" t="str">
        <f ca="1">IFERROR(__xludf.DUMMYFUNCTION("""COMPUTED_VALUE"""),"ナディア")</f>
        <v>ナディア</v>
      </c>
      <c r="J30" s="595" t="str">
        <f ca="1">IFERROR(__xludf.DUMMYFUNCTION("""COMPUTED_VALUE"""),"女")</f>
        <v>女</v>
      </c>
      <c r="K30" s="600">
        <f ca="1">IFERROR(__xludf.DUMMYFUNCTION("""COMPUTED_VALUE"""),37280)</f>
        <v>37280</v>
      </c>
      <c r="L30" s="595">
        <f ca="1">IFERROR(__xludf.DUMMYFUNCTION("""COMPUTED_VALUE"""),24)</f>
        <v>24</v>
      </c>
      <c r="M30" s="595"/>
      <c r="N30" s="595" t="str">
        <f ca="1">IFERROR(__xludf.DUMMYFUNCTION("""COMPUTED_VALUE"""),"H&amp;C")</f>
        <v>H&amp;C</v>
      </c>
      <c r="O30" s="900">
        <f ca="1">IFERROR(__xludf.DUMMYFUNCTION("""COMPUTED_VALUE"""),45098)</f>
        <v>45098</v>
      </c>
      <c r="P30" s="595" t="str">
        <f ca="1">IFERROR(__xludf.DUMMYFUNCTION("""COMPUTED_VALUE"""),"2028/05")</f>
        <v>2028/05</v>
      </c>
      <c r="Q30" s="595" t="str">
        <f ca="1">IFERROR(__xludf.DUMMYFUNCTION("""COMPUTED_VALUE"""),"特定技能１号")</f>
        <v>特定技能１号</v>
      </c>
      <c r="R30" s="595" t="str">
        <f ca="1">IFERROR(__xludf.DUMMYFUNCTION("""COMPUTED_VALUE"""),"東温市牛渕123-1")</f>
        <v>東温市牛渕123-1</v>
      </c>
      <c r="S30" s="595" t="str">
        <f ca="1">IFERROR(__xludf.DUMMYFUNCTION("""COMPUTED_VALUE"""),"１F-１-相2")</f>
        <v>１F-１-相2</v>
      </c>
      <c r="T30" s="901">
        <f ca="1">IFERROR(__xludf.DUMMYFUNCTION("""COMPUTED_VALUE"""),15000)</f>
        <v>15000</v>
      </c>
      <c r="U30" s="600">
        <f ca="1">IFERROR(__xludf.DUMMYFUNCTION("""COMPUTED_VALUE"""),45793)</f>
        <v>45793</v>
      </c>
      <c r="V30" s="600">
        <f ca="1">IFERROR(__xludf.DUMMYFUNCTION("""COMPUTED_VALUE"""),46214)</f>
        <v>46214</v>
      </c>
      <c r="W30" s="595" t="str">
        <f ca="1">IFERROR(__xludf.DUMMYFUNCTION("""COMPUTED_VALUE"""),"UH67194128PC")</f>
        <v>UH67194128PC</v>
      </c>
      <c r="X30" s="595"/>
      <c r="Y30" s="596"/>
      <c r="Z30" s="595" t="str">
        <f ca="1">IFERROR(__xludf.DUMMYFUNCTION("""COMPUTED_VALUE"""),"2326 B-0296142-V004")</f>
        <v>2326 B-0296142-V004</v>
      </c>
      <c r="AA30" s="595" t="str">
        <f ca="1">IFERROR(__xludf.DUMMYFUNCTION("""COMPUTED_VALUE"""),"2025/12/22")</f>
        <v>2025/12/22</v>
      </c>
      <c r="AB30" s="595"/>
      <c r="AC30" s="595"/>
      <c r="AD30" s="600"/>
      <c r="AE30" s="600"/>
      <c r="AF30" s="600"/>
      <c r="AG30" s="600"/>
      <c r="AH30" s="595"/>
      <c r="AI30" s="600"/>
      <c r="AJ30" s="595"/>
      <c r="AK30" s="595" t="str">
        <f ca="1">IFERROR(__xludf.DUMMYFUNCTION("""COMPUTED_VALUE"""),"水沼主任")</f>
        <v>水沼主任</v>
      </c>
      <c r="AL30" s="595" t="str">
        <f ca="1">IFERROR(__xludf.DUMMYFUNCTION("""COMPUTED_VALUE"""),"〇")</f>
        <v>〇</v>
      </c>
      <c r="AM30" s="596">
        <f ca="1">IFERROR(__xludf.DUMMYFUNCTION("""COMPUTED_VALUE"""),45095)</f>
        <v>45095</v>
      </c>
      <c r="AN30" s="595" t="str">
        <f ca="1">IFERROR(__xludf.DUMMYFUNCTION("""COMPUTED_VALUE"""),"2025/6/１～2028/6/30")</f>
        <v>2025/6/１～2028/6/30</v>
      </c>
      <c r="AO30" s="595"/>
      <c r="AP30" s="595"/>
    </row>
    <row r="31" spans="1:42">
      <c r="A31" s="595" t="str">
        <f ca="1">IFERROR(__xludf.DUMMYFUNCTION("""COMPUTED_VALUE"""),"一課")</f>
        <v>一課</v>
      </c>
      <c r="B31" s="595">
        <f ca="1">IFERROR(__xludf.DUMMYFUNCTION("""COMPUTED_VALUE"""),108)</f>
        <v>108</v>
      </c>
      <c r="C31" s="595" t="str">
        <f ca="1">IFERROR(__xludf.DUMMYFUNCTION("""COMPUTED_VALUE"""),"津吉")</f>
        <v>津吉</v>
      </c>
      <c r="D31" s="595" t="str">
        <f ca="1">IFERROR(__xludf.DUMMYFUNCTION("""COMPUTED_VALUE"""),"インドネシア")</f>
        <v>インドネシア</v>
      </c>
      <c r="E31" s="595" t="str">
        <f ca="1">IFERROR(__xludf.DUMMYFUNCTION("""COMPUTED_VALUE"""),"07013650")</f>
        <v>07013650</v>
      </c>
      <c r="F31" s="595" t="str">
        <f ca="1">IFERROR(__xludf.DUMMYFUNCTION("""COMPUTED_VALUE"""),"/appsheet/photograph/108.写真.024856.jpg")</f>
        <v>/appsheet/photograph/108.写真.024856.jpg</v>
      </c>
      <c r="G31" s="595" t="str">
        <f ca="1">IFERROR(__xludf.DUMMYFUNCTION("""COMPUTED_VALUE"""),"ニ ルー プトゥ ユリアンティニ")</f>
        <v>ニ ルー プトゥ ユリアンティニ</v>
      </c>
      <c r="H31" s="595" t="str">
        <f ca="1">IFERROR(__xludf.DUMMYFUNCTION("""COMPUTED_VALUE"""),"NI LUH PUTU YULIANTINI")</f>
        <v>NI LUH PUTU YULIANTINI</v>
      </c>
      <c r="I31" s="595"/>
      <c r="J31" s="595" t="str">
        <f ca="1">IFERROR(__xludf.DUMMYFUNCTION("""COMPUTED_VALUE"""),"女")</f>
        <v>女</v>
      </c>
      <c r="K31" s="600">
        <f ca="1">IFERROR(__xludf.DUMMYFUNCTION("""COMPUTED_VALUE"""),34519)</f>
        <v>34519</v>
      </c>
      <c r="L31" s="595">
        <f ca="1">IFERROR(__xludf.DUMMYFUNCTION("""COMPUTED_VALUE"""),31)</f>
        <v>31</v>
      </c>
      <c r="M31" s="595" t="str">
        <f ca="1">IFERROR(__xludf.DUMMYFUNCTION("""COMPUTED_VALUE"""),"有")</f>
        <v>有</v>
      </c>
      <c r="N31" s="595" t="str">
        <f ca="1">IFERROR(__xludf.DUMMYFUNCTION("""COMPUTED_VALUE"""),"H&amp;C")</f>
        <v>H&amp;C</v>
      </c>
      <c r="O31" s="900">
        <f ca="1">IFERROR(__xludf.DUMMYFUNCTION("""COMPUTED_VALUE"""),45098)</f>
        <v>45098</v>
      </c>
      <c r="P31" s="595" t="str">
        <f ca="1">IFERROR(__xludf.DUMMYFUNCTION("""COMPUTED_VALUE"""),"2028/05")</f>
        <v>2028/05</v>
      </c>
      <c r="Q31" s="595" t="str">
        <f ca="1">IFERROR(__xludf.DUMMYFUNCTION("""COMPUTED_VALUE"""),"特定技能１号")</f>
        <v>特定技能１号</v>
      </c>
      <c r="R31" s="595" t="str">
        <f ca="1">IFERROR(__xludf.DUMMYFUNCTION("""COMPUTED_VALUE"""),"松山市上野町774番地ビレッジハウス松山上野1-205")</f>
        <v>松山市上野町774番地ビレッジハウス松山上野1-205</v>
      </c>
      <c r="S31" s="595" t="str">
        <f ca="1">IFERROR(__xludf.DUMMYFUNCTION("""COMPUTED_VALUE"""),"個")</f>
        <v>個</v>
      </c>
      <c r="T31" s="901">
        <f ca="1">IFERROR(__xludf.DUMMYFUNCTION("""COMPUTED_VALUE"""),15000)</f>
        <v>15000</v>
      </c>
      <c r="U31" s="600">
        <f ca="1">IFERROR(__xludf.DUMMYFUNCTION("""COMPUTED_VALUE"""),45793)</f>
        <v>45793</v>
      </c>
      <c r="V31" s="600">
        <f ca="1">IFERROR(__xludf.DUMMYFUNCTION("""COMPUTED_VALUE"""),46214)</f>
        <v>46214</v>
      </c>
      <c r="W31" s="595" t="str">
        <f ca="1">IFERROR(__xludf.DUMMYFUNCTION("""COMPUTED_VALUE"""),"UH83908670PC")</f>
        <v>UH83908670PC</v>
      </c>
      <c r="X31" s="595"/>
      <c r="Y31" s="596"/>
      <c r="Z31" s="595" t="str">
        <f ca="1">IFERROR(__xludf.DUMMYFUNCTION("""COMPUTED_VALUE"""),"2313-B-0287457
元2328")</f>
        <v>2313-B-0287457
元2328</v>
      </c>
      <c r="AA31" s="595" t="str">
        <f ca="1">IFERROR(__xludf.DUMMYFUNCTION("""COMPUTED_VALUE"""),"2025/07/23")</f>
        <v>2025/07/23</v>
      </c>
      <c r="AB31" s="595"/>
      <c r="AC31" s="595"/>
      <c r="AD31" s="600"/>
      <c r="AE31" s="600"/>
      <c r="AF31" s="600"/>
      <c r="AG31" s="600"/>
      <c r="AH31" s="595"/>
      <c r="AI31" s="600"/>
      <c r="AJ31" s="595"/>
      <c r="AK31" s="595" t="str">
        <f ca="1">IFERROR(__xludf.DUMMYFUNCTION("""COMPUTED_VALUE"""),"小林主任")</f>
        <v>小林主任</v>
      </c>
      <c r="AL31" s="595" t="str">
        <f ca="1">IFERROR(__xludf.DUMMYFUNCTION("""COMPUTED_VALUE"""),"〇")</f>
        <v>〇</v>
      </c>
      <c r="AM31" s="596">
        <f ca="1">IFERROR(__xludf.DUMMYFUNCTION("""COMPUTED_VALUE"""),45095)</f>
        <v>45095</v>
      </c>
      <c r="AN31" s="595" t="str">
        <f ca="1">IFERROR(__xludf.DUMMYFUNCTION("""COMPUTED_VALUE"""),"2025/6/１～2028/6/30")</f>
        <v>2025/6/１～2028/6/30</v>
      </c>
      <c r="AO31" s="595"/>
      <c r="AP31" s="595" t="str">
        <f ca="1">IFERROR(__xludf.DUMMYFUNCTION("""COMPUTED_VALUE"""),"24.3/11再入社
2025/7/21　牛渕123→ビレッジ1-205へ引越")</f>
        <v>24.3/11再入社
2025/7/21　牛渕123→ビレッジ1-205へ引越</v>
      </c>
    </row>
    <row r="32" spans="1:42" ht="14.5">
      <c r="A32" s="595" t="str">
        <f ca="1">IFERROR(__xludf.DUMMYFUNCTION("""COMPUTED_VALUE"""),"四課")</f>
        <v>四課</v>
      </c>
      <c r="B32" s="595">
        <f ca="1">IFERROR(__xludf.DUMMYFUNCTION("""COMPUTED_VALUE"""),110)</f>
        <v>110</v>
      </c>
      <c r="C32" s="595" t="str">
        <f ca="1">IFERROR(__xludf.DUMMYFUNCTION("""COMPUTED_VALUE"""),"津吉")</f>
        <v>津吉</v>
      </c>
      <c r="D32" s="595" t="str">
        <f ca="1">IFERROR(__xludf.DUMMYFUNCTION("""COMPUTED_VALUE"""),"インドネシア")</f>
        <v>インドネシア</v>
      </c>
      <c r="E32" s="595" t="str">
        <f ca="1">IFERROR(__xludf.DUMMYFUNCTION("""COMPUTED_VALUE"""),"07013652")</f>
        <v>07013652</v>
      </c>
      <c r="F32" s="595" t="str">
        <f ca="1">IFERROR(__xludf.DUMMYFUNCTION("""COMPUTED_VALUE"""),"/appsheet/photograph/110.写真.030830.jpg")</f>
        <v>/appsheet/photograph/110.写真.030830.jpg</v>
      </c>
      <c r="G32" s="595" t="str">
        <f ca="1">IFERROR(__xludf.DUMMYFUNCTION("""COMPUTED_VALUE"""),"リリス ワユニ")</f>
        <v>リリス ワユニ</v>
      </c>
      <c r="H32" s="595" t="str">
        <f ca="1">IFERROR(__xludf.DUMMYFUNCTION("""COMPUTED_VALUE"""),"LILIS WAHYUNI")</f>
        <v>LILIS WAHYUNI</v>
      </c>
      <c r="I32" s="595" t="str">
        <f ca="1">IFERROR(__xludf.DUMMYFUNCTION("""COMPUTED_VALUE"""),"リリ")</f>
        <v>リリ</v>
      </c>
      <c r="J32" s="595" t="str">
        <f ca="1">IFERROR(__xludf.DUMMYFUNCTION("""COMPUTED_VALUE"""),"女")</f>
        <v>女</v>
      </c>
      <c r="K32" s="600">
        <f ca="1">IFERROR(__xludf.DUMMYFUNCTION("""COMPUTED_VALUE"""),35504)</f>
        <v>35504</v>
      </c>
      <c r="L32" s="595">
        <f ca="1">IFERROR(__xludf.DUMMYFUNCTION("""COMPUTED_VALUE"""),29)</f>
        <v>29</v>
      </c>
      <c r="M32" s="595"/>
      <c r="N32" s="595" t="str">
        <f ca="1">IFERROR(__xludf.DUMMYFUNCTION("""COMPUTED_VALUE"""),"H&amp;C")</f>
        <v>H&amp;C</v>
      </c>
      <c r="O32" s="900">
        <f ca="1">IFERROR(__xludf.DUMMYFUNCTION("""COMPUTED_VALUE"""),45210)</f>
        <v>45210</v>
      </c>
      <c r="P32" s="595" t="str">
        <f ca="1">IFERROR(__xludf.DUMMYFUNCTION("""COMPUTED_VALUE"""),"2028/09")</f>
        <v>2028/09</v>
      </c>
      <c r="Q32" s="595" t="str">
        <f ca="1">IFERROR(__xludf.DUMMYFUNCTION("""COMPUTED_VALUE"""),"特定技能１号")</f>
        <v>特定技能１号</v>
      </c>
      <c r="R32" s="595" t="str">
        <f ca="1">IFERROR(__xludf.DUMMYFUNCTION("""COMPUTED_VALUE"""),"東温市牛渕123-1")</f>
        <v>東温市牛渕123-1</v>
      </c>
      <c r="S32" s="595" t="str">
        <f ca="1">IFERROR(__xludf.DUMMYFUNCTION("""COMPUTED_VALUE"""),"2F-2-相4")</f>
        <v>2F-2-相4</v>
      </c>
      <c r="T32" s="901">
        <f ca="1">IFERROR(__xludf.DUMMYFUNCTION("""COMPUTED_VALUE"""),10000)</f>
        <v>10000</v>
      </c>
      <c r="U32" s="600">
        <f ca="1">IFERROR(__xludf.DUMMYFUNCTION("""COMPUTED_VALUE"""),45908)</f>
        <v>45908</v>
      </c>
      <c r="V32" s="600">
        <f ca="1">IFERROR(__xludf.DUMMYFUNCTION("""COMPUTED_VALUE"""),46359)</f>
        <v>46359</v>
      </c>
      <c r="W32" s="595" t="str">
        <f ca="1">IFERROR(__xludf.DUMMYFUNCTION("""COMPUTED_VALUE"""),"UH24949243PC")</f>
        <v>UH24949243PC</v>
      </c>
      <c r="X32" s="595"/>
      <c r="Y32" s="596"/>
      <c r="Z32" s="595" t="str">
        <f ca="1">IFERROR(__xludf.DUMMYFUNCTION("""COMPUTED_VALUE"""),"2328-B-0296140
中野住宅で使用")</f>
        <v>2328-B-0296140
中野住宅で使用</v>
      </c>
      <c r="AA32" s="595" t="str">
        <f ca="1">IFERROR(__xludf.DUMMYFUNCTION("""COMPUTED_VALUE"""),"2024/09/20")</f>
        <v>2024/09/20</v>
      </c>
      <c r="AB32" s="595"/>
      <c r="AC32" s="595"/>
      <c r="AD32" s="600"/>
      <c r="AE32" s="600"/>
      <c r="AF32" s="600"/>
      <c r="AG32" s="600"/>
      <c r="AH32" s="595"/>
      <c r="AI32" s="600"/>
      <c r="AJ32" s="595"/>
      <c r="AK32" s="595" t="str">
        <f ca="1">IFERROR(__xludf.DUMMYFUNCTION("""COMPUTED_VALUE"""),"大西係長")</f>
        <v>大西係長</v>
      </c>
      <c r="AL32" s="595" t="str">
        <f ca="1">IFERROR(__xludf.DUMMYFUNCTION("""COMPUTED_VALUE"""),"〇")</f>
        <v>〇</v>
      </c>
      <c r="AM32" s="596">
        <f ca="1">IFERROR(__xludf.DUMMYFUNCTION("""COMPUTED_VALUE"""),45207)</f>
        <v>45207</v>
      </c>
      <c r="AN32" s="595" t="str">
        <f ca="1">IFERROR(__xludf.DUMMYFUNCTION("""COMPUTED_VALUE"""),"2025/6/1～2028/10/31")</f>
        <v>2025/6/1～2028/10/31</v>
      </c>
      <c r="AO32" s="595"/>
      <c r="AP32" s="595"/>
    </row>
    <row r="33" spans="1:42" ht="14.5">
      <c r="A33" s="595" t="str">
        <f ca="1">IFERROR(__xludf.DUMMYFUNCTION("""COMPUTED_VALUE"""),"二課")</f>
        <v>二課</v>
      </c>
      <c r="B33" s="595">
        <f ca="1">IFERROR(__xludf.DUMMYFUNCTION("""COMPUTED_VALUE"""),111)</f>
        <v>111</v>
      </c>
      <c r="C33" s="595" t="str">
        <f ca="1">IFERROR(__xludf.DUMMYFUNCTION("""COMPUTED_VALUE"""),"津吉")</f>
        <v>津吉</v>
      </c>
      <c r="D33" s="595" t="str">
        <f ca="1">IFERROR(__xludf.DUMMYFUNCTION("""COMPUTED_VALUE"""),"インドネシア")</f>
        <v>インドネシア</v>
      </c>
      <c r="E33" s="595" t="str">
        <f ca="1">IFERROR(__xludf.DUMMYFUNCTION("""COMPUTED_VALUE"""),"07013653")</f>
        <v>07013653</v>
      </c>
      <c r="F33" s="595" t="str">
        <f ca="1">IFERROR(__xludf.DUMMYFUNCTION("""COMPUTED_VALUE"""),"/appsheet/photograph/111.写真.ディアナ プルティウィ.jpg")</f>
        <v>/appsheet/photograph/111.写真.ディアナ プルティウィ.jpg</v>
      </c>
      <c r="G33" s="595" t="str">
        <f ca="1">IFERROR(__xludf.DUMMYFUNCTION("""COMPUTED_VALUE"""),"ディアナ プルティウィ")</f>
        <v>ディアナ プルティウィ</v>
      </c>
      <c r="H33" s="595" t="str">
        <f ca="1">IFERROR(__xludf.DUMMYFUNCTION("""COMPUTED_VALUE"""),"DIANA PERTIWI")</f>
        <v>DIANA PERTIWI</v>
      </c>
      <c r="I33" s="595" t="str">
        <f ca="1">IFERROR(__xludf.DUMMYFUNCTION("""COMPUTED_VALUE"""),"ディアナ")</f>
        <v>ディアナ</v>
      </c>
      <c r="J33" s="595" t="str">
        <f ca="1">IFERROR(__xludf.DUMMYFUNCTION("""COMPUTED_VALUE"""),"女")</f>
        <v>女</v>
      </c>
      <c r="K33" s="600">
        <f ca="1">IFERROR(__xludf.DUMMYFUNCTION("""COMPUTED_VALUE"""),36185)</f>
        <v>36185</v>
      </c>
      <c r="L33" s="595">
        <f ca="1">IFERROR(__xludf.DUMMYFUNCTION("""COMPUTED_VALUE"""),27)</f>
        <v>27</v>
      </c>
      <c r="M33" s="595" t="str">
        <f ca="1">IFERROR(__xludf.DUMMYFUNCTION("""COMPUTED_VALUE"""),"無")</f>
        <v>無</v>
      </c>
      <c r="N33" s="595" t="str">
        <f ca="1">IFERROR(__xludf.DUMMYFUNCTION("""COMPUTED_VALUE"""),"H&amp;C")</f>
        <v>H&amp;C</v>
      </c>
      <c r="O33" s="900">
        <f ca="1">IFERROR(__xludf.DUMMYFUNCTION("""COMPUTED_VALUE"""),45210)</f>
        <v>45210</v>
      </c>
      <c r="P33" s="595" t="str">
        <f ca="1">IFERROR(__xludf.DUMMYFUNCTION("""COMPUTED_VALUE"""),"2028/09")</f>
        <v>2028/09</v>
      </c>
      <c r="Q33" s="595" t="str">
        <f ca="1">IFERROR(__xludf.DUMMYFUNCTION("""COMPUTED_VALUE"""),"特定技能１号")</f>
        <v>特定技能１号</v>
      </c>
      <c r="R33" s="595" t="str">
        <f ca="1">IFERROR(__xludf.DUMMYFUNCTION("""COMPUTED_VALUE"""),"東温市牛渕123-1")</f>
        <v>東温市牛渕123-1</v>
      </c>
      <c r="S33" s="595" t="str">
        <f ca="1">IFERROR(__xludf.DUMMYFUNCTION("""COMPUTED_VALUE"""),"2F-3-相3")</f>
        <v>2F-3-相3</v>
      </c>
      <c r="T33" s="901">
        <f ca="1">IFERROR(__xludf.DUMMYFUNCTION("""COMPUTED_VALUE"""),10000)</f>
        <v>10000</v>
      </c>
      <c r="U33" s="600">
        <f ca="1">IFERROR(__xludf.DUMMYFUNCTION("""COMPUTED_VALUE"""),45908)</f>
        <v>45908</v>
      </c>
      <c r="V33" s="600">
        <f ca="1">IFERROR(__xludf.DUMMYFUNCTION("""COMPUTED_VALUE"""),46359)</f>
        <v>46359</v>
      </c>
      <c r="W33" s="595" t="str">
        <f ca="1">IFERROR(__xludf.DUMMYFUNCTION("""COMPUTED_VALUE"""),"UH52589559PC")</f>
        <v>UH52589559PC</v>
      </c>
      <c r="X33" s="595"/>
      <c r="Y33" s="596"/>
      <c r="Z33" s="595" t="str">
        <f ca="1">IFERROR(__xludf.DUMMYFUNCTION("""COMPUTED_VALUE"""),"2329
B-0304389-V153")</f>
        <v>2329
B-0304389-V153</v>
      </c>
      <c r="AA33" s="595" t="str">
        <f ca="1">IFERROR(__xludf.DUMMYFUNCTION("""COMPUTED_VALUE"""),"2025/05/19")</f>
        <v>2025/05/19</v>
      </c>
      <c r="AB33" s="595"/>
      <c r="AC33" s="595"/>
      <c r="AD33" s="600"/>
      <c r="AE33" s="600"/>
      <c r="AF33" s="600"/>
      <c r="AG33" s="600"/>
      <c r="AH33" s="595"/>
      <c r="AI33" s="600"/>
      <c r="AJ33" s="595"/>
      <c r="AK33" s="595" t="str">
        <f ca="1">IFERROR(__xludf.DUMMYFUNCTION("""COMPUTED_VALUE"""),"佐伯主任")</f>
        <v>佐伯主任</v>
      </c>
      <c r="AL33" s="595" t="str">
        <f ca="1">IFERROR(__xludf.DUMMYFUNCTION("""COMPUTED_VALUE"""),"〇")</f>
        <v>〇</v>
      </c>
      <c r="AM33" s="596">
        <f ca="1">IFERROR(__xludf.DUMMYFUNCTION("""COMPUTED_VALUE"""),45207)</f>
        <v>45207</v>
      </c>
      <c r="AN33" s="595" t="str">
        <f ca="1">IFERROR(__xludf.DUMMYFUNCTION("""COMPUTED_VALUE"""),"2025/10/13-2028/10/12")</f>
        <v>2025/10/13-2028/10/12</v>
      </c>
      <c r="AO33" s="595"/>
      <c r="AP33" s="595" t="str">
        <f ca="1">IFERROR(__xludf.DUMMYFUNCTION("""COMPUTED_VALUE"""),"2024.5/5左腕骨折　傷病手当申請。5/7は有給。5/20
傷病手当の書類預かり　6月半ばまでは仕事復帰不可。
次回6/11通院予定。次回6/25の面会で仕事復帰時期
の説明があるとのこと。
2025.10.3整形外科を受診し、先生より治癒したとのことで治療は終了。
金具が2本入っているものを取り除くかどうかはご家族と相談し決める予定。（取り除く場合は2026年5月までに手術をした方がいいとのこと）
保険請求は治療が終了したので請求可能か、金具を取り除くまでの分全て終了してからの請求になるのかH＆C和"&amp;"田さんへ問合せ中（10/3渡部）")</f>
        <v>2024.5/5左腕骨折　傷病手当申請。5/7は有給。5/20
傷病手当の書類預かり　6月半ばまでは仕事復帰不可。
次回6/11通院予定。次回6/25の面会で仕事復帰時期
の説明があるとのこと。
2025.10.3整形外科を受診し、先生より治癒したとのことで治療は終了。
金具が2本入っているものを取り除くかどうかはご家族と相談し決める予定。（取り除く場合は2026年5月までに手術をした方がいいとのこと）
保険請求は治療が終了したので請求可能か、金具を取り除くまでの分全て終了してからの請求になるのかH＆C和田さんへ問合せ中（10/3渡部）</v>
      </c>
    </row>
    <row r="34" spans="1:42" ht="14.5">
      <c r="A34" s="595" t="str">
        <f ca="1">IFERROR(__xludf.DUMMYFUNCTION("""COMPUTED_VALUE"""),"箱入れ")</f>
        <v>箱入れ</v>
      </c>
      <c r="B34" s="595">
        <f ca="1">IFERROR(__xludf.DUMMYFUNCTION("""COMPUTED_VALUE"""),113)</f>
        <v>113</v>
      </c>
      <c r="C34" s="595" t="str">
        <f ca="1">IFERROR(__xludf.DUMMYFUNCTION("""COMPUTED_VALUE"""),"津吉")</f>
        <v>津吉</v>
      </c>
      <c r="D34" s="595" t="str">
        <f ca="1">IFERROR(__xludf.DUMMYFUNCTION("""COMPUTED_VALUE"""),"インドネシア")</f>
        <v>インドネシア</v>
      </c>
      <c r="E34" s="595" t="str">
        <f ca="1">IFERROR(__xludf.DUMMYFUNCTION("""COMPUTED_VALUE"""),"07013655")</f>
        <v>07013655</v>
      </c>
      <c r="F34" s="595" t="str">
        <f ca="1">IFERROR(__xludf.DUMMYFUNCTION("""COMPUTED_VALUE"""),"/appsheet/photograph/113.写真.031538.jpg")</f>
        <v>/appsheet/photograph/113.写真.031538.jpg</v>
      </c>
      <c r="G34" s="595" t="str">
        <f ca="1">IFERROR(__xludf.DUMMYFUNCTION("""COMPUTED_VALUE"""),"リズカ スティヤニンシー")</f>
        <v>リズカ スティヤニンシー</v>
      </c>
      <c r="H34" s="595" t="str">
        <f ca="1">IFERROR(__xludf.DUMMYFUNCTION("""COMPUTED_VALUE"""),"RIZKA SETYANINGSIH")</f>
        <v>RIZKA SETYANINGSIH</v>
      </c>
      <c r="I34" s="595" t="str">
        <f ca="1">IFERROR(__xludf.DUMMYFUNCTION("""COMPUTED_VALUE"""),"リズカ")</f>
        <v>リズカ</v>
      </c>
      <c r="J34" s="595" t="str">
        <f ca="1">IFERROR(__xludf.DUMMYFUNCTION("""COMPUTED_VALUE"""),"女")</f>
        <v>女</v>
      </c>
      <c r="K34" s="600">
        <f ca="1">IFERROR(__xludf.DUMMYFUNCTION("""COMPUTED_VALUE"""),36058)</f>
        <v>36058</v>
      </c>
      <c r="L34" s="595">
        <f ca="1">IFERROR(__xludf.DUMMYFUNCTION("""COMPUTED_VALUE"""),27)</f>
        <v>27</v>
      </c>
      <c r="M34" s="595"/>
      <c r="N34" s="595" t="str">
        <f ca="1">IFERROR(__xludf.DUMMYFUNCTION("""COMPUTED_VALUE"""),"H&amp;C")</f>
        <v>H&amp;C</v>
      </c>
      <c r="O34" s="900">
        <f ca="1">IFERROR(__xludf.DUMMYFUNCTION("""COMPUTED_VALUE"""),45210)</f>
        <v>45210</v>
      </c>
      <c r="P34" s="595" t="str">
        <f ca="1">IFERROR(__xludf.DUMMYFUNCTION("""COMPUTED_VALUE"""),"2028/09")</f>
        <v>2028/09</v>
      </c>
      <c r="Q34" s="595" t="str">
        <f ca="1">IFERROR(__xludf.DUMMYFUNCTION("""COMPUTED_VALUE"""),"特定技能１号")</f>
        <v>特定技能１号</v>
      </c>
      <c r="R34" s="595" t="str">
        <f ca="1">IFERROR(__xludf.DUMMYFUNCTION("""COMPUTED_VALUE"""),"東温市牛渕123-1")</f>
        <v>東温市牛渕123-1</v>
      </c>
      <c r="S34" s="595" t="str">
        <f ca="1">IFERROR(__xludf.DUMMYFUNCTION("""COMPUTED_VALUE"""),"2F-1-相4")</f>
        <v>2F-1-相4</v>
      </c>
      <c r="T34" s="901">
        <f ca="1">IFERROR(__xludf.DUMMYFUNCTION("""COMPUTED_VALUE"""),10000)</f>
        <v>10000</v>
      </c>
      <c r="U34" s="600">
        <f ca="1">IFERROR(__xludf.DUMMYFUNCTION("""COMPUTED_VALUE"""),45908)</f>
        <v>45908</v>
      </c>
      <c r="V34" s="600">
        <f ca="1">IFERROR(__xludf.DUMMYFUNCTION("""COMPUTED_VALUE"""),46359)</f>
        <v>46359</v>
      </c>
      <c r="W34" s="595" t="str">
        <f ca="1">IFERROR(__xludf.DUMMYFUNCTION("""COMPUTED_VALUE"""),"UH29571459PC")</f>
        <v>UH29571459PC</v>
      </c>
      <c r="X34" s="595"/>
      <c r="Y34" s="596"/>
      <c r="Z34" s="595" t="str">
        <f ca="1">IFERROR(__xludf.DUMMYFUNCTION("""COMPUTED_VALUE"""),"2332
B-0304393-V102
元2331")</f>
        <v>2332
B-0304393-V102
元2331</v>
      </c>
      <c r="AA34" s="595"/>
      <c r="AB34" s="595"/>
      <c r="AC34" s="595"/>
      <c r="AD34" s="600"/>
      <c r="AE34" s="600">
        <f ca="1">IFERROR(__xludf.DUMMYFUNCTION("""COMPUTED_VALUE"""),46005)</f>
        <v>46005</v>
      </c>
      <c r="AF34" s="600">
        <f ca="1">IFERROR(__xludf.DUMMYFUNCTION("""COMPUTED_VALUE"""),46032)</f>
        <v>46032</v>
      </c>
      <c r="AG34" s="600"/>
      <c r="AH34" s="595"/>
      <c r="AI34" s="600"/>
      <c r="AJ34" s="595"/>
      <c r="AK34" s="595" t="str">
        <f ca="1">IFERROR(__xludf.DUMMYFUNCTION("""COMPUTED_VALUE"""),"水沼主任")</f>
        <v>水沼主任</v>
      </c>
      <c r="AL34" s="595" t="str">
        <f ca="1">IFERROR(__xludf.DUMMYFUNCTION("""COMPUTED_VALUE"""),"〇")</f>
        <v>〇</v>
      </c>
      <c r="AM34" s="596">
        <f ca="1">IFERROR(__xludf.DUMMYFUNCTION("""COMPUTED_VALUE"""),45207)</f>
        <v>45207</v>
      </c>
      <c r="AN34" s="595" t="str">
        <f ca="1">IFERROR(__xludf.DUMMYFUNCTION("""COMPUTED_VALUE"""),"2025/6/1～2028/10/31")</f>
        <v>2025/6/1～2028/10/31</v>
      </c>
      <c r="AO34" s="595"/>
      <c r="AP34" s="595" t="str">
        <f ca="1">IFERROR(__xludf.DUMMYFUNCTION("""COMPUTED_VALUE"""),"母親が手術のため、一時帰国を希望
2025/12/14～2026/1/10まで")</f>
        <v>母親が手術のため、一時帰国を希望
2025/12/14～2026/1/10まで</v>
      </c>
    </row>
    <row r="35" spans="1:42" ht="14.5">
      <c r="A35" s="595" t="str">
        <f ca="1">IFERROR(__xludf.DUMMYFUNCTION("""COMPUTED_VALUE"""),"四課")</f>
        <v>四課</v>
      </c>
      <c r="B35" s="595">
        <f ca="1">IFERROR(__xludf.DUMMYFUNCTION("""COMPUTED_VALUE"""),114)</f>
        <v>114</v>
      </c>
      <c r="C35" s="595" t="str">
        <f ca="1">IFERROR(__xludf.DUMMYFUNCTION("""COMPUTED_VALUE"""),"津吉")</f>
        <v>津吉</v>
      </c>
      <c r="D35" s="595" t="str">
        <f ca="1">IFERROR(__xludf.DUMMYFUNCTION("""COMPUTED_VALUE"""),"インドネシア")</f>
        <v>インドネシア</v>
      </c>
      <c r="E35" s="595" t="str">
        <f ca="1">IFERROR(__xludf.DUMMYFUNCTION("""COMPUTED_VALUE"""),"07013656")</f>
        <v>07013656</v>
      </c>
      <c r="F35" s="595" t="str">
        <f ca="1">IFERROR(__xludf.DUMMYFUNCTION("""COMPUTED_VALUE"""),"/appsheet/photograph/114.写真.031304.jpg")</f>
        <v>/appsheet/photograph/114.写真.031304.jpg</v>
      </c>
      <c r="G35" s="595" t="str">
        <f ca="1">IFERROR(__xludf.DUMMYFUNCTION("""COMPUTED_VALUE"""),"ザーラ ファティハトゥン ニサ")</f>
        <v>ザーラ ファティハトゥン ニサ</v>
      </c>
      <c r="H35" s="595" t="str">
        <f ca="1">IFERROR(__xludf.DUMMYFUNCTION("""COMPUTED_VALUE"""),"ZAHRA FATIKHATUN NISA")</f>
        <v>ZAHRA FATIKHATUN NISA</v>
      </c>
      <c r="I35" s="595"/>
      <c r="J35" s="595" t="str">
        <f ca="1">IFERROR(__xludf.DUMMYFUNCTION("""COMPUTED_VALUE"""),"女")</f>
        <v>女</v>
      </c>
      <c r="K35" s="600">
        <f ca="1">IFERROR(__xludf.DUMMYFUNCTION("""COMPUTED_VALUE"""),38235)</f>
        <v>38235</v>
      </c>
      <c r="L35" s="595">
        <f ca="1">IFERROR(__xludf.DUMMYFUNCTION("""COMPUTED_VALUE"""),21)</f>
        <v>21</v>
      </c>
      <c r="M35" s="595"/>
      <c r="N35" s="595" t="str">
        <f ca="1">IFERROR(__xludf.DUMMYFUNCTION("""COMPUTED_VALUE"""),"H&amp;C")</f>
        <v>H&amp;C</v>
      </c>
      <c r="O35" s="900">
        <f ca="1">IFERROR(__xludf.DUMMYFUNCTION("""COMPUTED_VALUE"""),45210)</f>
        <v>45210</v>
      </c>
      <c r="P35" s="595" t="str">
        <f ca="1">IFERROR(__xludf.DUMMYFUNCTION("""COMPUTED_VALUE"""),"2028/09")</f>
        <v>2028/09</v>
      </c>
      <c r="Q35" s="595" t="str">
        <f ca="1">IFERROR(__xludf.DUMMYFUNCTION("""COMPUTED_VALUE"""),"特定技能１号")</f>
        <v>特定技能１号</v>
      </c>
      <c r="R35" s="595" t="str">
        <f ca="1">IFERROR(__xludf.DUMMYFUNCTION("""COMPUTED_VALUE"""),"松山市上野町774番地ビレッジハウス松山上野4-205")</f>
        <v>松山市上野町774番地ビレッジハウス松山上野4-205</v>
      </c>
      <c r="S35" s="595" t="str">
        <f ca="1">IFERROR(__xludf.DUMMYFUNCTION("""COMPUTED_VALUE"""),"個")</f>
        <v>個</v>
      </c>
      <c r="T35" s="901">
        <f ca="1">IFERROR(__xludf.DUMMYFUNCTION("""COMPUTED_VALUE"""),15000)</f>
        <v>15000</v>
      </c>
      <c r="U35" s="600">
        <f ca="1">IFERROR(__xludf.DUMMYFUNCTION("""COMPUTED_VALUE"""),45908)</f>
        <v>45908</v>
      </c>
      <c r="V35" s="600">
        <f ca="1">IFERROR(__xludf.DUMMYFUNCTION("""COMPUTED_VALUE"""),46359)</f>
        <v>46359</v>
      </c>
      <c r="W35" s="595" t="str">
        <f ca="1">IFERROR(__xludf.DUMMYFUNCTION("""COMPUTED_VALUE"""),"UH43709461PC")</f>
        <v>UH43709461PC</v>
      </c>
      <c r="X35" s="595"/>
      <c r="Y35" s="596"/>
      <c r="Z35" s="595" t="str">
        <f ca="1">IFERROR(__xludf.DUMMYFUNCTION("""COMPUTED_VALUE"""),"2331-B-0304396
元2332")</f>
        <v>2331-B-0304396
元2332</v>
      </c>
      <c r="AA35" s="595" t="str">
        <f ca="1">IFERROR(__xludf.DUMMYFUNCTION("""COMPUTED_VALUE"""),"2025/05/20")</f>
        <v>2025/05/20</v>
      </c>
      <c r="AB35" s="595"/>
      <c r="AC35" s="595"/>
      <c r="AD35" s="600"/>
      <c r="AE35" s="600"/>
      <c r="AF35" s="600"/>
      <c r="AG35" s="600"/>
      <c r="AH35" s="595"/>
      <c r="AI35" s="600"/>
      <c r="AJ35" s="595"/>
      <c r="AK35" s="595" t="str">
        <f ca="1">IFERROR(__xludf.DUMMYFUNCTION("""COMPUTED_VALUE"""),"大西係長")</f>
        <v>大西係長</v>
      </c>
      <c r="AL35" s="595" t="str">
        <f ca="1">IFERROR(__xludf.DUMMYFUNCTION("""COMPUTED_VALUE"""),"〇")</f>
        <v>〇</v>
      </c>
      <c r="AM35" s="596">
        <f ca="1">IFERROR(__xludf.DUMMYFUNCTION("""COMPUTED_VALUE"""),45207)</f>
        <v>45207</v>
      </c>
      <c r="AN35" s="595" t="str">
        <f ca="1">IFERROR(__xludf.DUMMYFUNCTION("""COMPUTED_VALUE"""),"2023/10/08-2028/10/13
2025/6/1～2028/10/31")</f>
        <v>2023/10/08-2028/10/13
2025/6/1～2028/10/31</v>
      </c>
      <c r="AO35" s="595"/>
      <c r="AP35" s="595" t="str">
        <f ca="1">IFERROR(__xludf.DUMMYFUNCTION("""COMPUTED_VALUE"""),"2025/2/21～牛渕2号館→ビレッジ4-205へ")</f>
        <v>2025/2/21～牛渕2号館→ビレッジ4-205へ</v>
      </c>
    </row>
    <row r="36" spans="1:42" ht="14.5">
      <c r="A36" s="595" t="str">
        <f ca="1">IFERROR(__xludf.DUMMYFUNCTION("""COMPUTED_VALUE"""),"二課")</f>
        <v>二課</v>
      </c>
      <c r="B36" s="595">
        <f ca="1">IFERROR(__xludf.DUMMYFUNCTION("""COMPUTED_VALUE"""),115)</f>
        <v>115</v>
      </c>
      <c r="C36" s="595" t="str">
        <f ca="1">IFERROR(__xludf.DUMMYFUNCTION("""COMPUTED_VALUE"""),"津吉")</f>
        <v>津吉</v>
      </c>
      <c r="D36" s="595" t="str">
        <f ca="1">IFERROR(__xludf.DUMMYFUNCTION("""COMPUTED_VALUE"""),"インドネシア")</f>
        <v>インドネシア</v>
      </c>
      <c r="E36" s="595" t="str">
        <f ca="1">IFERROR(__xludf.DUMMYFUNCTION("""COMPUTED_VALUE"""),"07013657")</f>
        <v>07013657</v>
      </c>
      <c r="F36" s="595" t="str">
        <f ca="1">IFERROR(__xludf.DUMMYFUNCTION("""COMPUTED_VALUE"""),"/appsheet/photograph/115.写真.030647.jpg")</f>
        <v>/appsheet/photograph/115.写真.030647.jpg</v>
      </c>
      <c r="G36" s="595" t="str">
        <f ca="1">IFERROR(__xludf.DUMMYFUNCTION("""COMPUTED_VALUE"""),"デフィ ダマヤンティ")</f>
        <v>デフィ ダマヤンティ</v>
      </c>
      <c r="H36" s="595" t="str">
        <f ca="1">IFERROR(__xludf.DUMMYFUNCTION("""COMPUTED_VALUE"""),"DEFI DAMAYANTI")</f>
        <v>DEFI DAMAYANTI</v>
      </c>
      <c r="I36" s="595"/>
      <c r="J36" s="595" t="str">
        <f ca="1">IFERROR(__xludf.DUMMYFUNCTION("""COMPUTED_VALUE"""),"女")</f>
        <v>女</v>
      </c>
      <c r="K36" s="600">
        <f ca="1">IFERROR(__xludf.DUMMYFUNCTION("""COMPUTED_VALUE"""),37244)</f>
        <v>37244</v>
      </c>
      <c r="L36" s="595">
        <f ca="1">IFERROR(__xludf.DUMMYFUNCTION("""COMPUTED_VALUE"""),24)</f>
        <v>24</v>
      </c>
      <c r="M36" s="595"/>
      <c r="N36" s="595" t="str">
        <f ca="1">IFERROR(__xludf.DUMMYFUNCTION("""COMPUTED_VALUE"""),"H&amp;C")</f>
        <v>H&amp;C</v>
      </c>
      <c r="O36" s="900">
        <f ca="1">IFERROR(__xludf.DUMMYFUNCTION("""COMPUTED_VALUE"""),45210)</f>
        <v>45210</v>
      </c>
      <c r="P36" s="595" t="str">
        <f ca="1">IFERROR(__xludf.DUMMYFUNCTION("""COMPUTED_VALUE"""),"2028/09")</f>
        <v>2028/09</v>
      </c>
      <c r="Q36" s="595" t="str">
        <f ca="1">IFERROR(__xludf.DUMMYFUNCTION("""COMPUTED_VALUE"""),"特定技能１号")</f>
        <v>特定技能１号</v>
      </c>
      <c r="R36" s="595" t="str">
        <f ca="1">IFERROR(__xludf.DUMMYFUNCTION("""COMPUTED_VALUE"""),"東温市牛渕123-1")</f>
        <v>東温市牛渕123-1</v>
      </c>
      <c r="S36" s="595" t="str">
        <f ca="1">IFERROR(__xludf.DUMMYFUNCTION("""COMPUTED_VALUE"""),"2F-3-相3")</f>
        <v>2F-3-相3</v>
      </c>
      <c r="T36" s="901">
        <f ca="1">IFERROR(__xludf.DUMMYFUNCTION("""COMPUTED_VALUE"""),10000)</f>
        <v>10000</v>
      </c>
      <c r="U36" s="600">
        <f ca="1">IFERROR(__xludf.DUMMYFUNCTION("""COMPUTED_VALUE"""),45908)</f>
        <v>45908</v>
      </c>
      <c r="V36" s="600">
        <f ca="1">IFERROR(__xludf.DUMMYFUNCTION("""COMPUTED_VALUE"""),46359)</f>
        <v>46359</v>
      </c>
      <c r="W36" s="595" t="str">
        <f ca="1">IFERROR(__xludf.DUMMYFUNCTION("""COMPUTED_VALUE"""),"UH53194730PC")</f>
        <v>UH53194730PC</v>
      </c>
      <c r="X36" s="595"/>
      <c r="Y36" s="596"/>
      <c r="Z36" s="595" t="str">
        <f ca="1">IFERROR(__xludf.DUMMYFUNCTION("""COMPUTED_VALUE"""),"2333
Ｂ－0304388-V212")</f>
        <v>2333
Ｂ－0304388-V212</v>
      </c>
      <c r="AA36" s="595" t="str">
        <f ca="1">IFERROR(__xludf.DUMMYFUNCTION("""COMPUTED_VALUE"""),"2025/8/8")</f>
        <v>2025/8/8</v>
      </c>
      <c r="AB36" s="595"/>
      <c r="AC36" s="595"/>
      <c r="AD36" s="600"/>
      <c r="AE36" s="600"/>
      <c r="AF36" s="600"/>
      <c r="AG36" s="600"/>
      <c r="AH36" s="595"/>
      <c r="AI36" s="600"/>
      <c r="AJ36" s="595"/>
      <c r="AK36" s="595" t="str">
        <f ca="1">IFERROR(__xludf.DUMMYFUNCTION("""COMPUTED_VALUE"""),"佐伯主任")</f>
        <v>佐伯主任</v>
      </c>
      <c r="AL36" s="595" t="str">
        <f ca="1">IFERROR(__xludf.DUMMYFUNCTION("""COMPUTED_VALUE"""),"〇")</f>
        <v>〇</v>
      </c>
      <c r="AM36" s="596">
        <f ca="1">IFERROR(__xludf.DUMMYFUNCTION("""COMPUTED_VALUE"""),45207)</f>
        <v>45207</v>
      </c>
      <c r="AN36" s="595" t="str">
        <f ca="1">IFERROR(__xludf.DUMMYFUNCTION("""COMPUTED_VALUE"""),"2025/6/1～2028/10/31")</f>
        <v>2025/6/1～2028/10/31</v>
      </c>
      <c r="AO36" s="595" t="str">
        <f ca="1">IFERROR(__xludf.DUMMYFUNCTION("""COMPUTED_VALUE"""),"ひめぎん
末広町支店")</f>
        <v>ひめぎん
末広町支店</v>
      </c>
      <c r="AP36" s="595"/>
    </row>
    <row r="37" spans="1:42" ht="14.5">
      <c r="A37" s="595" t="str">
        <f ca="1">IFERROR(__xludf.DUMMYFUNCTION("""COMPUTED_VALUE"""),"箱入れ")</f>
        <v>箱入れ</v>
      </c>
      <c r="B37" s="595">
        <f ca="1">IFERROR(__xludf.DUMMYFUNCTION("""COMPUTED_VALUE"""),117)</f>
        <v>117</v>
      </c>
      <c r="C37" s="595" t="str">
        <f ca="1">IFERROR(__xludf.DUMMYFUNCTION("""COMPUTED_VALUE"""),"津吉")</f>
        <v>津吉</v>
      </c>
      <c r="D37" s="595" t="str">
        <f ca="1">IFERROR(__xludf.DUMMYFUNCTION("""COMPUTED_VALUE"""),"インドネシア")</f>
        <v>インドネシア</v>
      </c>
      <c r="E37" s="595" t="str">
        <f ca="1">IFERROR(__xludf.DUMMYFUNCTION("""COMPUTED_VALUE"""),"07013659")</f>
        <v>07013659</v>
      </c>
      <c r="F37" s="595" t="str">
        <f ca="1">IFERROR(__xludf.DUMMYFUNCTION("""COMPUTED_VALUE"""),"/appsheet/photograph/117.写真.031935.jpg")</f>
        <v>/appsheet/photograph/117.写真.031935.jpg</v>
      </c>
      <c r="G37" s="595" t="str">
        <f ca="1">IFERROR(__xludf.DUMMYFUNCTION("""COMPUTED_VALUE"""),"シティ ロピアナ")</f>
        <v>シティ ロピアナ</v>
      </c>
      <c r="H37" s="595" t="str">
        <f ca="1">IFERROR(__xludf.DUMMYFUNCTION("""COMPUTED_VALUE"""),"SITI ROPIANA")</f>
        <v>SITI ROPIANA</v>
      </c>
      <c r="I37" s="595" t="str">
        <f ca="1">IFERROR(__xludf.DUMMYFUNCTION("""COMPUTED_VALUE"""),"ロピ")</f>
        <v>ロピ</v>
      </c>
      <c r="J37" s="595" t="str">
        <f ca="1">IFERROR(__xludf.DUMMYFUNCTION("""COMPUTED_VALUE"""),"女")</f>
        <v>女</v>
      </c>
      <c r="K37" s="600">
        <f ca="1">IFERROR(__xludf.DUMMYFUNCTION("""COMPUTED_VALUE"""),36325)</f>
        <v>36325</v>
      </c>
      <c r="L37" s="595">
        <f ca="1">IFERROR(__xludf.DUMMYFUNCTION("""COMPUTED_VALUE"""),26)</f>
        <v>26</v>
      </c>
      <c r="M37" s="595"/>
      <c r="N37" s="595" t="str">
        <f ca="1">IFERROR(__xludf.DUMMYFUNCTION("""COMPUTED_VALUE"""),"H&amp;C")</f>
        <v>H&amp;C</v>
      </c>
      <c r="O37" s="900">
        <f ca="1">IFERROR(__xludf.DUMMYFUNCTION("""COMPUTED_VALUE"""),45210)</f>
        <v>45210</v>
      </c>
      <c r="P37" s="595" t="str">
        <f ca="1">IFERROR(__xludf.DUMMYFUNCTION("""COMPUTED_VALUE"""),"2028/09")</f>
        <v>2028/09</v>
      </c>
      <c r="Q37" s="595" t="str">
        <f ca="1">IFERROR(__xludf.DUMMYFUNCTION("""COMPUTED_VALUE"""),"特定技能１号")</f>
        <v>特定技能１号</v>
      </c>
      <c r="R37" s="595" t="str">
        <f ca="1">IFERROR(__xludf.DUMMYFUNCTION("""COMPUTED_VALUE"""),"松山市上野町774番地ビレッジハウス松山上野3-501")</f>
        <v>松山市上野町774番地ビレッジハウス松山上野3-501</v>
      </c>
      <c r="S37" s="595" t="str">
        <f ca="1">IFERROR(__xludf.DUMMYFUNCTION("""COMPUTED_VALUE"""),"個")</f>
        <v>個</v>
      </c>
      <c r="T37" s="901">
        <f ca="1">IFERROR(__xludf.DUMMYFUNCTION("""COMPUTED_VALUE"""),15000)</f>
        <v>15000</v>
      </c>
      <c r="U37" s="600">
        <f ca="1">IFERROR(__xludf.DUMMYFUNCTION("""COMPUTED_VALUE"""),45908)</f>
        <v>45908</v>
      </c>
      <c r="V37" s="600">
        <f ca="1">IFERROR(__xludf.DUMMYFUNCTION("""COMPUTED_VALUE"""),46359)</f>
        <v>46359</v>
      </c>
      <c r="W37" s="595" t="str">
        <f ca="1">IFERROR(__xludf.DUMMYFUNCTION("""COMPUTED_VALUE"""),"UH95100477PC")</f>
        <v>UH95100477PC</v>
      </c>
      <c r="X37" s="595"/>
      <c r="Y37" s="596"/>
      <c r="Z37" s="595" t="str">
        <f ca="1">IFERROR(__xludf.DUMMYFUNCTION("""COMPUTED_VALUE"""),"2335
Ｂ－0304395-V157")</f>
        <v>2335
Ｂ－0304395-V157</v>
      </c>
      <c r="AA37" s="595" t="str">
        <f ca="1">IFERROR(__xludf.DUMMYFUNCTION("""COMPUTED_VALUE"""),"2024/09/20")</f>
        <v>2024/09/20</v>
      </c>
      <c r="AB37" s="595"/>
      <c r="AC37" s="595"/>
      <c r="AD37" s="600"/>
      <c r="AE37" s="600"/>
      <c r="AF37" s="600"/>
      <c r="AG37" s="600"/>
      <c r="AH37" s="595"/>
      <c r="AI37" s="600"/>
      <c r="AJ37" s="595"/>
      <c r="AK37" s="595" t="str">
        <f ca="1">IFERROR(__xludf.DUMMYFUNCTION("""COMPUTED_VALUE"""),"水沼主任")</f>
        <v>水沼主任</v>
      </c>
      <c r="AL37" s="595" t="str">
        <f ca="1">IFERROR(__xludf.DUMMYFUNCTION("""COMPUTED_VALUE"""),"〇")</f>
        <v>〇</v>
      </c>
      <c r="AM37" s="596">
        <f ca="1">IFERROR(__xludf.DUMMYFUNCTION("""COMPUTED_VALUE"""),45207)</f>
        <v>45207</v>
      </c>
      <c r="AN37" s="595" t="str">
        <f ca="1">IFERROR(__xludf.DUMMYFUNCTION("""COMPUTED_VALUE"""),"2025/6/1～2028/10/31")</f>
        <v>2025/6/1～2028/10/31</v>
      </c>
      <c r="AO37" s="595"/>
      <c r="AP37" s="595" t="str">
        <f ca="1">IFERROR(__xludf.DUMMYFUNCTION("""COMPUTED_VALUE"""),"ﾋﾞﾚｯｼﾞへ引越希望2025.5.16
2025.6.20引越　牛渕123-1→ﾋﾞﾚｯｼﾞ3-501へ")</f>
        <v>ﾋﾞﾚｯｼﾞへ引越希望2025.5.16
2025.6.20引越　牛渕123-1→ﾋﾞﾚｯｼﾞ3-501へ</v>
      </c>
    </row>
    <row r="38" spans="1:42" ht="14.5">
      <c r="A38" s="595" t="str">
        <f ca="1">IFERROR(__xludf.DUMMYFUNCTION("""COMPUTED_VALUE"""),"四課")</f>
        <v>四課</v>
      </c>
      <c r="B38" s="595">
        <f ca="1">IFERROR(__xludf.DUMMYFUNCTION("""COMPUTED_VALUE"""),118)</f>
        <v>118</v>
      </c>
      <c r="C38" s="595" t="str">
        <f ca="1">IFERROR(__xludf.DUMMYFUNCTION("""COMPUTED_VALUE"""),"津吉")</f>
        <v>津吉</v>
      </c>
      <c r="D38" s="595" t="str">
        <f ca="1">IFERROR(__xludf.DUMMYFUNCTION("""COMPUTED_VALUE"""),"インドネシア")</f>
        <v>インドネシア</v>
      </c>
      <c r="E38" s="595" t="str">
        <f ca="1">IFERROR(__xludf.DUMMYFUNCTION("""COMPUTED_VALUE"""),"07013660")</f>
        <v>07013660</v>
      </c>
      <c r="F38" s="595" t="str">
        <f ca="1">IFERROR(__xludf.DUMMYFUNCTION("""COMPUTED_VALUE"""),"/appsheet/photograph/118.写真.031653.jpg")</f>
        <v>/appsheet/photograph/118.写真.031653.jpg</v>
      </c>
      <c r="G38" s="595" t="str">
        <f ca="1">IFERROR(__xludf.DUMMYFUNCTION("""COMPUTED_VALUE"""),"ウィディアニンティアス スリスティアワン")</f>
        <v>ウィディアニンティアス スリスティアワン</v>
      </c>
      <c r="H38" s="595" t="str">
        <f ca="1">IFERROR(__xludf.DUMMYFUNCTION("""COMPUTED_VALUE"""),"WIDYANINGTYAS SULISTIAWAN")</f>
        <v>WIDYANINGTYAS SULISTIAWAN</v>
      </c>
      <c r="I38" s="595" t="str">
        <f ca="1">IFERROR(__xludf.DUMMYFUNCTION("""COMPUTED_VALUE"""),"ウィディ")</f>
        <v>ウィディ</v>
      </c>
      <c r="J38" s="595" t="str">
        <f ca="1">IFERROR(__xludf.DUMMYFUNCTION("""COMPUTED_VALUE"""),"女")</f>
        <v>女</v>
      </c>
      <c r="K38" s="600">
        <f ca="1">IFERROR(__xludf.DUMMYFUNCTION("""COMPUTED_VALUE"""),38026)</f>
        <v>38026</v>
      </c>
      <c r="L38" s="595">
        <f ca="1">IFERROR(__xludf.DUMMYFUNCTION("""COMPUTED_VALUE"""),22)</f>
        <v>22</v>
      </c>
      <c r="M38" s="595"/>
      <c r="N38" s="595" t="str">
        <f ca="1">IFERROR(__xludf.DUMMYFUNCTION("""COMPUTED_VALUE"""),"H&amp;C")</f>
        <v>H&amp;C</v>
      </c>
      <c r="O38" s="900">
        <f ca="1">IFERROR(__xludf.DUMMYFUNCTION("""COMPUTED_VALUE"""),45216)</f>
        <v>45216</v>
      </c>
      <c r="P38" s="595" t="str">
        <f ca="1">IFERROR(__xludf.DUMMYFUNCTION("""COMPUTED_VALUE"""),"2028/09")</f>
        <v>2028/09</v>
      </c>
      <c r="Q38" s="595" t="str">
        <f ca="1">IFERROR(__xludf.DUMMYFUNCTION("""COMPUTED_VALUE"""),"特定技能１号")</f>
        <v>特定技能１号</v>
      </c>
      <c r="R38" s="595" t="str">
        <f ca="1">IFERROR(__xludf.DUMMYFUNCTION("""COMPUTED_VALUE"""),"東温市牛渕170-3")</f>
        <v>東温市牛渕170-3</v>
      </c>
      <c r="S38" s="595" t="str">
        <f ca="1">IFERROR(__xludf.DUMMYFUNCTION("""COMPUTED_VALUE"""),"離2F-2-個1")</f>
        <v>離2F-2-個1</v>
      </c>
      <c r="T38" s="901">
        <f ca="1">IFERROR(__xludf.DUMMYFUNCTION("""COMPUTED_VALUE"""),15000)</f>
        <v>15000</v>
      </c>
      <c r="U38" s="600">
        <f ca="1">IFERROR(__xludf.DUMMYFUNCTION("""COMPUTED_VALUE"""),45908)</f>
        <v>45908</v>
      </c>
      <c r="V38" s="600">
        <f ca="1">IFERROR(__xludf.DUMMYFUNCTION("""COMPUTED_VALUE"""),46359)</f>
        <v>46359</v>
      </c>
      <c r="W38" s="595" t="str">
        <f ca="1">IFERROR(__xludf.DUMMYFUNCTION("""COMPUTED_VALUE"""),"UH60280566PC")</f>
        <v>UH60280566PC</v>
      </c>
      <c r="X38" s="595"/>
      <c r="Y38" s="596"/>
      <c r="Z38" s="595" t="str">
        <f ca="1">IFERROR(__xludf.DUMMYFUNCTION("""COMPUTED_VALUE"""),"2336
Ｂ－0304400-V110")</f>
        <v>2336
Ｂ－0304400-V110</v>
      </c>
      <c r="AA38" s="595" t="str">
        <f ca="1">IFERROR(__xludf.DUMMYFUNCTION("""COMPUTED_VALUE"""),"2024/09/20")</f>
        <v>2024/09/20</v>
      </c>
      <c r="AB38" s="595"/>
      <c r="AC38" s="595"/>
      <c r="AD38" s="600"/>
      <c r="AE38" s="600"/>
      <c r="AF38" s="600"/>
      <c r="AG38" s="600"/>
      <c r="AH38" s="595" t="str">
        <f ca="1">IFERROR(__xludf.DUMMYFUNCTION("""COMPUTED_VALUE"""),"退職予定")</f>
        <v>退職予定</v>
      </c>
      <c r="AI38" s="600">
        <f ca="1">IFERROR(__xludf.DUMMYFUNCTION("""COMPUTED_VALUE"""),46132)</f>
        <v>46132</v>
      </c>
      <c r="AJ38" s="595" t="str">
        <f ca="1">IFERROR(__xludf.DUMMYFUNCTION("""COMPUTED_VALUE"""),"転職")</f>
        <v>転職</v>
      </c>
      <c r="AK38" s="595" t="str">
        <f ca="1">IFERROR(__xludf.DUMMYFUNCTION("""COMPUTED_VALUE"""),"大西係長")</f>
        <v>大西係長</v>
      </c>
      <c r="AL38" s="595" t="str">
        <f ca="1">IFERROR(__xludf.DUMMYFUNCTION("""COMPUTED_VALUE"""),"〇")</f>
        <v>〇</v>
      </c>
      <c r="AM38" s="596">
        <f ca="1">IFERROR(__xludf.DUMMYFUNCTION("""COMPUTED_VALUE"""),45214)</f>
        <v>45214</v>
      </c>
      <c r="AN38" s="595" t="str">
        <f ca="1">IFERROR(__xludf.DUMMYFUNCTION("""COMPUTED_VALUE"""),"2025/6/1～2028/10/31")</f>
        <v>2025/6/1～2028/10/31</v>
      </c>
      <c r="AO38" s="595"/>
      <c r="AP38" s="595"/>
    </row>
    <row r="39" spans="1:42" ht="14.5">
      <c r="A39" s="595" t="str">
        <f ca="1">IFERROR(__xludf.DUMMYFUNCTION("""COMPUTED_VALUE"""),"四課")</f>
        <v>四課</v>
      </c>
      <c r="B39" s="595">
        <f ca="1">IFERROR(__xludf.DUMMYFUNCTION("""COMPUTED_VALUE"""),119)</f>
        <v>119</v>
      </c>
      <c r="C39" s="595" t="str">
        <f ca="1">IFERROR(__xludf.DUMMYFUNCTION("""COMPUTED_VALUE"""),"津吉")</f>
        <v>津吉</v>
      </c>
      <c r="D39" s="595" t="str">
        <f ca="1">IFERROR(__xludf.DUMMYFUNCTION("""COMPUTED_VALUE"""),"インドネシア")</f>
        <v>インドネシア</v>
      </c>
      <c r="E39" s="595" t="str">
        <f ca="1">IFERROR(__xludf.DUMMYFUNCTION("""COMPUTED_VALUE"""),"07013661")</f>
        <v>07013661</v>
      </c>
      <c r="F39" s="595" t="str">
        <f ca="1">IFERROR(__xludf.DUMMYFUNCTION("""COMPUTED_VALUE"""),"/appsheet/photograph/119.写真.024204.jpg")</f>
        <v>/appsheet/photograph/119.写真.024204.jpg</v>
      </c>
      <c r="G39" s="595" t="str">
        <f ca="1">IFERROR(__xludf.DUMMYFUNCTION("""COMPUTED_VALUE"""),"シャリファ サニア")</f>
        <v>シャリファ サニア</v>
      </c>
      <c r="H39" s="595" t="str">
        <f ca="1">IFERROR(__xludf.DUMMYFUNCTION("""COMPUTED_VALUE"""),"SYARIFAH SANIAH")</f>
        <v>SYARIFAH SANIAH</v>
      </c>
      <c r="I39" s="595"/>
      <c r="J39" s="595" t="str">
        <f ca="1">IFERROR(__xludf.DUMMYFUNCTION("""COMPUTED_VALUE"""),"女")</f>
        <v>女</v>
      </c>
      <c r="K39" s="600">
        <f ca="1">IFERROR(__xludf.DUMMYFUNCTION("""COMPUTED_VALUE"""),36743)</f>
        <v>36743</v>
      </c>
      <c r="L39" s="595">
        <f ca="1">IFERROR(__xludf.DUMMYFUNCTION("""COMPUTED_VALUE"""),25)</f>
        <v>25</v>
      </c>
      <c r="M39" s="595"/>
      <c r="N39" s="595" t="str">
        <f ca="1">IFERROR(__xludf.DUMMYFUNCTION("""COMPUTED_VALUE"""),"H&amp;C")</f>
        <v>H&amp;C</v>
      </c>
      <c r="O39" s="900">
        <f ca="1">IFERROR(__xludf.DUMMYFUNCTION("""COMPUTED_VALUE"""),45216)</f>
        <v>45216</v>
      </c>
      <c r="P39" s="595" t="str">
        <f ca="1">IFERROR(__xludf.DUMMYFUNCTION("""COMPUTED_VALUE"""),"2028/09")</f>
        <v>2028/09</v>
      </c>
      <c r="Q39" s="595" t="str">
        <f ca="1">IFERROR(__xludf.DUMMYFUNCTION("""COMPUTED_VALUE"""),"特定技能１号")</f>
        <v>特定技能１号</v>
      </c>
      <c r="R39" s="594" t="str">
        <f ca="1">IFERROR(__xludf.DUMMYFUNCTION("""COMPUTED_VALUE"""),"松山市上野町774番地ビレッジハウス松山上野1-205")</f>
        <v>松山市上野町774番地ビレッジハウス松山上野1-205</v>
      </c>
      <c r="S39" s="595" t="str">
        <f ca="1">IFERROR(__xludf.DUMMYFUNCTION("""COMPUTED_VALUE"""),"個")</f>
        <v>個</v>
      </c>
      <c r="T39" s="901">
        <f ca="1">IFERROR(__xludf.DUMMYFUNCTION("""COMPUTED_VALUE"""),15000)</f>
        <v>15000</v>
      </c>
      <c r="U39" s="600">
        <f ca="1">IFERROR(__xludf.DUMMYFUNCTION("""COMPUTED_VALUE"""),45908)</f>
        <v>45908</v>
      </c>
      <c r="V39" s="600">
        <f ca="1">IFERROR(__xludf.DUMMYFUNCTION("""COMPUTED_VALUE"""),46359)</f>
        <v>46359</v>
      </c>
      <c r="W39" s="595" t="str">
        <f ca="1">IFERROR(__xludf.DUMMYFUNCTION("""COMPUTED_VALUE"""),"UH87483077PC")</f>
        <v>UH87483077PC</v>
      </c>
      <c r="X39" s="595"/>
      <c r="Y39" s="596"/>
      <c r="Z39" s="595" t="str">
        <f ca="1">IFERROR(__xludf.DUMMYFUNCTION("""COMPUTED_VALUE"""),"2337
Ｂ-0304398-V024")</f>
        <v>2337
Ｂ-0304398-V024</v>
      </c>
      <c r="AA39" s="595" t="str">
        <f ca="1">IFERROR(__xludf.DUMMYFUNCTION("""COMPUTED_VALUE"""),"2024/09/20")</f>
        <v>2024/09/20</v>
      </c>
      <c r="AB39" s="595"/>
      <c r="AC39" s="595"/>
      <c r="AD39" s="600"/>
      <c r="AE39" s="600"/>
      <c r="AF39" s="600"/>
      <c r="AG39" s="600"/>
      <c r="AH39" s="595"/>
      <c r="AI39" s="600"/>
      <c r="AJ39" s="595"/>
      <c r="AK39" s="595" t="str">
        <f ca="1">IFERROR(__xludf.DUMMYFUNCTION("""COMPUTED_VALUE"""),"大西係長")</f>
        <v>大西係長</v>
      </c>
      <c r="AL39" s="595" t="str">
        <f ca="1">IFERROR(__xludf.DUMMYFUNCTION("""COMPUTED_VALUE"""),"〇")</f>
        <v>〇</v>
      </c>
      <c r="AM39" s="596"/>
      <c r="AN39" s="595" t="str">
        <f ca="1">IFERROR(__xludf.DUMMYFUNCTION("""COMPUTED_VALUE"""),"2025/6/1～2028/10/31")</f>
        <v>2025/6/1～2028/10/31</v>
      </c>
      <c r="AO39" s="595"/>
      <c r="AP39" s="595" t="str">
        <f ca="1">IFERROR(__xludf.DUMMYFUNCTION("""COMPUTED_VALUE"""),"秋田にいる彼氏１号　７月　飲食業持ってる
2025/7/21　ビレッジ1-205へ引越予定")</f>
        <v>秋田にいる彼氏１号　７月　飲食業持ってる
2025/7/21　ビレッジ1-205へ引越予定</v>
      </c>
    </row>
    <row r="40" spans="1:42" ht="14.5">
      <c r="A40" s="595" t="str">
        <f ca="1">IFERROR(__xludf.DUMMYFUNCTION("""COMPUTED_VALUE"""),"四課")</f>
        <v>四課</v>
      </c>
      <c r="B40" s="595">
        <f ca="1">IFERROR(__xludf.DUMMYFUNCTION("""COMPUTED_VALUE"""),120)</f>
        <v>120</v>
      </c>
      <c r="C40" s="595" t="str">
        <f ca="1">IFERROR(__xludf.DUMMYFUNCTION("""COMPUTED_VALUE"""),"津吉")</f>
        <v>津吉</v>
      </c>
      <c r="D40" s="595" t="str">
        <f ca="1">IFERROR(__xludf.DUMMYFUNCTION("""COMPUTED_VALUE"""),"インドネシア")</f>
        <v>インドネシア</v>
      </c>
      <c r="E40" s="595" t="str">
        <f ca="1">IFERROR(__xludf.DUMMYFUNCTION("""COMPUTED_VALUE"""),"07013662")</f>
        <v>07013662</v>
      </c>
      <c r="F40" s="595" t="str">
        <f ca="1">IFERROR(__xludf.DUMMYFUNCTION("""COMPUTED_VALUE"""),"/appsheet/photograph/120.写真.024218.jpg")</f>
        <v>/appsheet/photograph/120.写真.024218.jpg</v>
      </c>
      <c r="G40" s="595" t="str">
        <f ca="1">IFERROR(__xludf.DUMMYFUNCTION("""COMPUTED_VALUE"""),"プジャ サンロヒャ プルバ")</f>
        <v>プジャ サンロヒャ プルバ</v>
      </c>
      <c r="H40" s="595" t="str">
        <f ca="1">IFERROR(__xludf.DUMMYFUNCTION("""COMPUTED_VALUE"""),"PUJA SANROHYA PURBA")</f>
        <v>PUJA SANROHYA PURBA</v>
      </c>
      <c r="I40" s="595"/>
      <c r="J40" s="595" t="str">
        <f ca="1">IFERROR(__xludf.DUMMYFUNCTION("""COMPUTED_VALUE"""),"女")</f>
        <v>女</v>
      </c>
      <c r="K40" s="600">
        <f ca="1">IFERROR(__xludf.DUMMYFUNCTION("""COMPUTED_VALUE"""),38069)</f>
        <v>38069</v>
      </c>
      <c r="L40" s="595">
        <f ca="1">IFERROR(__xludf.DUMMYFUNCTION("""COMPUTED_VALUE"""),22)</f>
        <v>22</v>
      </c>
      <c r="M40" s="595" t="str">
        <f ca="1">IFERROR(__xludf.DUMMYFUNCTION("""COMPUTED_VALUE"""),"無")</f>
        <v>無</v>
      </c>
      <c r="N40" s="595" t="str">
        <f ca="1">IFERROR(__xludf.DUMMYFUNCTION("""COMPUTED_VALUE"""),"H&amp;C")</f>
        <v>H&amp;C</v>
      </c>
      <c r="O40" s="900">
        <f ca="1">IFERROR(__xludf.DUMMYFUNCTION("""COMPUTED_VALUE"""),45216)</f>
        <v>45216</v>
      </c>
      <c r="P40" s="595" t="str">
        <f ca="1">IFERROR(__xludf.DUMMYFUNCTION("""COMPUTED_VALUE"""),"2028/09")</f>
        <v>2028/09</v>
      </c>
      <c r="Q40" s="595" t="str">
        <f ca="1">IFERROR(__xludf.DUMMYFUNCTION("""COMPUTED_VALUE"""),"特定技能１号")</f>
        <v>特定技能１号</v>
      </c>
      <c r="R40" s="595" t="str">
        <f ca="1">IFERROR(__xludf.DUMMYFUNCTION("""COMPUTED_VALUE"""),"松山市上野町774番地ビレッジハウス松山上野4-502")</f>
        <v>松山市上野町774番地ビレッジハウス松山上野4-502</v>
      </c>
      <c r="S40" s="595" t="str">
        <f ca="1">IFERROR(__xludf.DUMMYFUNCTION("""COMPUTED_VALUE"""),"個")</f>
        <v>個</v>
      </c>
      <c r="T40" s="901">
        <f ca="1">IFERROR(__xludf.DUMMYFUNCTION("""COMPUTED_VALUE"""),15000)</f>
        <v>15000</v>
      </c>
      <c r="U40" s="600">
        <f ca="1">IFERROR(__xludf.DUMMYFUNCTION("""COMPUTED_VALUE"""),45908)</f>
        <v>45908</v>
      </c>
      <c r="V40" s="600">
        <f ca="1">IFERROR(__xludf.DUMMYFUNCTION("""COMPUTED_VALUE"""),46359)</f>
        <v>46359</v>
      </c>
      <c r="W40" s="595" t="str">
        <f ca="1">IFERROR(__xludf.DUMMYFUNCTION("""COMPUTED_VALUE"""),"UH04222035PC")</f>
        <v>UH04222035PC</v>
      </c>
      <c r="X40" s="595"/>
      <c r="Y40" s="596"/>
      <c r="Z40" s="595" t="str">
        <f ca="1">IFERROR(__xludf.DUMMYFUNCTION("""COMPUTED_VALUE"""),"2338
Ｂ－0304394-V105")</f>
        <v>2338
Ｂ－0304394-V105</v>
      </c>
      <c r="AA40" s="595"/>
      <c r="AB40" s="595" t="str">
        <f ca="1">IFERROR(__xludf.DUMMYFUNCTION("""COMPUTED_VALUE"""),"N3 
2025/07")</f>
        <v>N3 
2025/07</v>
      </c>
      <c r="AC40" s="595"/>
      <c r="AD40" s="600"/>
      <c r="AE40" s="600"/>
      <c r="AF40" s="600"/>
      <c r="AG40" s="600"/>
      <c r="AH40" s="595"/>
      <c r="AI40" s="600"/>
      <c r="AJ40" s="595"/>
      <c r="AK40" s="595" t="str">
        <f ca="1">IFERROR(__xludf.DUMMYFUNCTION("""COMPUTED_VALUE"""),"大西係長")</f>
        <v>大西係長</v>
      </c>
      <c r="AL40" s="595" t="str">
        <f ca="1">IFERROR(__xludf.DUMMYFUNCTION("""COMPUTED_VALUE"""),"〇")</f>
        <v>〇</v>
      </c>
      <c r="AM40" s="596">
        <f ca="1">IFERROR(__xludf.DUMMYFUNCTION("""COMPUTED_VALUE"""),45213)</f>
        <v>45213</v>
      </c>
      <c r="AN40" s="595" t="str">
        <f ca="1">IFERROR(__xludf.DUMMYFUNCTION("""COMPUTED_VALUE"""),"2025/6/1～2028/10/31")</f>
        <v>2025/6/1～2028/10/31</v>
      </c>
      <c r="AO40" s="595"/>
      <c r="AP40" s="595" t="str">
        <f ca="1">IFERROR(__xludf.DUMMYFUNCTION("""COMPUTED_VALUE"""),"2025/2/21～牛渕1号館→ビレッジ4-502へ")</f>
        <v>2025/2/21～牛渕1号館→ビレッジ4-502へ</v>
      </c>
    </row>
    <row r="41" spans="1:42" ht="14.5">
      <c r="A41" s="595" t="str">
        <f ca="1">IFERROR(__xludf.DUMMYFUNCTION("""COMPUTED_VALUE"""),"一課")</f>
        <v>一課</v>
      </c>
      <c r="B41" s="595">
        <f ca="1">IFERROR(__xludf.DUMMYFUNCTION("""COMPUTED_VALUE"""),121)</f>
        <v>121</v>
      </c>
      <c r="C41" s="595" t="str">
        <f ca="1">IFERROR(__xludf.DUMMYFUNCTION("""COMPUTED_VALUE"""),"津吉")</f>
        <v>津吉</v>
      </c>
      <c r="D41" s="595" t="str">
        <f ca="1">IFERROR(__xludf.DUMMYFUNCTION("""COMPUTED_VALUE"""),"インドネシア")</f>
        <v>インドネシア</v>
      </c>
      <c r="E41" s="595" t="str">
        <f ca="1">IFERROR(__xludf.DUMMYFUNCTION("""COMPUTED_VALUE"""),"07013663")</f>
        <v>07013663</v>
      </c>
      <c r="F41" s="595" t="str">
        <f ca="1">IFERROR(__xludf.DUMMYFUNCTION("""COMPUTED_VALUE"""),"/appsheet/photograph/121.写真.032211.jpg")</f>
        <v>/appsheet/photograph/121.写真.032211.jpg</v>
      </c>
      <c r="G41" s="595" t="str">
        <f ca="1">IFERROR(__xludf.DUMMYFUNCTION("""COMPUTED_VALUE"""),"デヴィ メルヴァ ヤヌアル")</f>
        <v>デヴィ メルヴァ ヤヌアル</v>
      </c>
      <c r="H41" s="595" t="str">
        <f ca="1">IFERROR(__xludf.DUMMYFUNCTION("""COMPUTED_VALUE"""),"DEVI MELVA YANUAR")</f>
        <v>DEVI MELVA YANUAR</v>
      </c>
      <c r="I41" s="595"/>
      <c r="J41" s="595" t="str">
        <f ca="1">IFERROR(__xludf.DUMMYFUNCTION("""COMPUTED_VALUE"""),"女")</f>
        <v>女</v>
      </c>
      <c r="K41" s="600">
        <f ca="1">IFERROR(__xludf.DUMMYFUNCTION("""COMPUTED_VALUE"""),35433)</f>
        <v>35433</v>
      </c>
      <c r="L41" s="595">
        <f ca="1">IFERROR(__xludf.DUMMYFUNCTION("""COMPUTED_VALUE"""),29)</f>
        <v>29</v>
      </c>
      <c r="M41" s="595" t="str">
        <f ca="1">IFERROR(__xludf.DUMMYFUNCTION("""COMPUTED_VALUE"""),"有")</f>
        <v>有</v>
      </c>
      <c r="N41" s="595" t="str">
        <f ca="1">IFERROR(__xludf.DUMMYFUNCTION("""COMPUTED_VALUE"""),"H&amp;C")</f>
        <v>H&amp;C</v>
      </c>
      <c r="O41" s="900">
        <f ca="1">IFERROR(__xludf.DUMMYFUNCTION("""COMPUTED_VALUE"""),45216)</f>
        <v>45216</v>
      </c>
      <c r="P41" s="595" t="str">
        <f ca="1">IFERROR(__xludf.DUMMYFUNCTION("""COMPUTED_VALUE"""),"2028/09")</f>
        <v>2028/09</v>
      </c>
      <c r="Q41" s="595" t="str">
        <f ca="1">IFERROR(__xludf.DUMMYFUNCTION("""COMPUTED_VALUE"""),"特定技能１号")</f>
        <v>特定技能１号</v>
      </c>
      <c r="R41" s="595" t="str">
        <f ca="1">IFERROR(__xludf.DUMMYFUNCTION("""COMPUTED_VALUE"""),"東温市牛渕170-3")</f>
        <v>東温市牛渕170-3</v>
      </c>
      <c r="S41" s="595" t="str">
        <f ca="1">IFERROR(__xludf.DUMMYFUNCTION("""COMPUTED_VALUE"""),"離2F-1-個1")</f>
        <v>離2F-1-個1</v>
      </c>
      <c r="T41" s="901">
        <f ca="1">IFERROR(__xludf.DUMMYFUNCTION("""COMPUTED_VALUE"""),15000)</f>
        <v>15000</v>
      </c>
      <c r="U41" s="600">
        <f ca="1">IFERROR(__xludf.DUMMYFUNCTION("""COMPUTED_VALUE"""),45908)</f>
        <v>45908</v>
      </c>
      <c r="V41" s="600">
        <f ca="1">IFERROR(__xludf.DUMMYFUNCTION("""COMPUTED_VALUE"""),46359)</f>
        <v>46359</v>
      </c>
      <c r="W41" s="595" t="str">
        <f ca="1">IFERROR(__xludf.DUMMYFUNCTION("""COMPUTED_VALUE"""),"UH70743274PC")</f>
        <v>UH70743274PC</v>
      </c>
      <c r="X41" s="595"/>
      <c r="Y41" s="596"/>
      <c r="Z41" s="595" t="str">
        <f ca="1">IFERROR(__xludf.DUMMYFUNCTION("""COMPUTED_VALUE"""),"2339
Ｂ－0304392-V135")</f>
        <v>2339
Ｂ－0304392-V135</v>
      </c>
      <c r="AA41" s="595" t="str">
        <f ca="1">IFERROR(__xludf.DUMMYFUNCTION("""COMPUTED_VALUE"""),"2025/10/1")</f>
        <v>2025/10/1</v>
      </c>
      <c r="AB41" s="595"/>
      <c r="AC41" s="595"/>
      <c r="AD41" s="600"/>
      <c r="AE41" s="600">
        <f ca="1">IFERROR(__xludf.DUMMYFUNCTION("""COMPUTED_VALUE"""),46005)</f>
        <v>46005</v>
      </c>
      <c r="AF41" s="600">
        <f ca="1">IFERROR(__xludf.DUMMYFUNCTION("""COMPUTED_VALUE"""),46032)</f>
        <v>46032</v>
      </c>
      <c r="AG41" s="600"/>
      <c r="AH41" s="595"/>
      <c r="AI41" s="600"/>
      <c r="AJ41" s="595"/>
      <c r="AK41" s="595" t="str">
        <f ca="1">IFERROR(__xludf.DUMMYFUNCTION("""COMPUTED_VALUE"""),"小林主任")</f>
        <v>小林主任</v>
      </c>
      <c r="AL41" s="595" t="str">
        <f ca="1">IFERROR(__xludf.DUMMYFUNCTION("""COMPUTED_VALUE"""),"〇")</f>
        <v>〇</v>
      </c>
      <c r="AM41" s="596"/>
      <c r="AN41" s="595" t="str">
        <f ca="1">IFERROR(__xludf.DUMMYFUNCTION("""COMPUTED_VALUE"""),"2025/6/1～2028/10/31")</f>
        <v>2025/6/1～2028/10/31</v>
      </c>
      <c r="AO41" s="595"/>
      <c r="AP41" s="595" t="str">
        <f ca="1">IFERROR(__xludf.DUMMYFUNCTION("""COMPUTED_VALUE"""),"2025/12/15-2026/01/9一時帰国希望")</f>
        <v>2025/12/15-2026/01/9一時帰国希望</v>
      </c>
    </row>
    <row r="42" spans="1:42" ht="14.5">
      <c r="A42" s="595" t="str">
        <f ca="1">IFERROR(__xludf.DUMMYFUNCTION("""COMPUTED_VALUE"""),"一課")</f>
        <v>一課</v>
      </c>
      <c r="B42" s="595">
        <f ca="1">IFERROR(__xludf.DUMMYFUNCTION("""COMPUTED_VALUE"""),123)</f>
        <v>123</v>
      </c>
      <c r="C42" s="595" t="str">
        <f ca="1">IFERROR(__xludf.DUMMYFUNCTION("""COMPUTED_VALUE"""),"津吉")</f>
        <v>津吉</v>
      </c>
      <c r="D42" s="595" t="str">
        <f ca="1">IFERROR(__xludf.DUMMYFUNCTION("""COMPUTED_VALUE"""),"インドネシア")</f>
        <v>インドネシア</v>
      </c>
      <c r="E42" s="595" t="str">
        <f ca="1">IFERROR(__xludf.DUMMYFUNCTION("""COMPUTED_VALUE"""),"07013621")</f>
        <v>07013621</v>
      </c>
      <c r="F42" s="595" t="str">
        <f ca="1">IFERROR(__xludf.DUMMYFUNCTION("""COMPUTED_VALUE"""),"/appsheet/photograph/123.写真.032420.jpg")</f>
        <v>/appsheet/photograph/123.写真.032420.jpg</v>
      </c>
      <c r="G42" s="595" t="str">
        <f ca="1">IFERROR(__xludf.DUMMYFUNCTION("""COMPUTED_VALUE"""),"フルー アイナ アンラ ヤラダニ")</f>
        <v>フルー アイナ アンラ ヤラダニ</v>
      </c>
      <c r="H42" s="595" t="str">
        <f ca="1">IFERROR(__xludf.DUMMYFUNCTION("""COMPUTED_VALUE"""),"HURUL AINA ANRA YALADANI")</f>
        <v>HURUL AINA ANRA YALADANI</v>
      </c>
      <c r="I42" s="595" t="str">
        <f ca="1">IFERROR(__xludf.DUMMYFUNCTION("""COMPUTED_VALUE"""),"アイナ")</f>
        <v>アイナ</v>
      </c>
      <c r="J42" s="595" t="str">
        <f ca="1">IFERROR(__xludf.DUMMYFUNCTION("""COMPUTED_VALUE"""),"女")</f>
        <v>女</v>
      </c>
      <c r="K42" s="600">
        <f ca="1">IFERROR(__xludf.DUMMYFUNCTION("""COMPUTED_VALUE"""),37824)</f>
        <v>37824</v>
      </c>
      <c r="L42" s="595">
        <f ca="1">IFERROR(__xludf.DUMMYFUNCTION("""COMPUTED_VALUE"""),22)</f>
        <v>22</v>
      </c>
      <c r="M42" s="595" t="str">
        <f ca="1">IFERROR(__xludf.DUMMYFUNCTION("""COMPUTED_VALUE"""),"無")</f>
        <v>無</v>
      </c>
      <c r="N42" s="595" t="str">
        <f ca="1">IFERROR(__xludf.DUMMYFUNCTION("""COMPUTED_VALUE"""),"H&amp;C")</f>
        <v>H&amp;C</v>
      </c>
      <c r="O42" s="900">
        <f ca="1">IFERROR(__xludf.DUMMYFUNCTION("""COMPUTED_VALUE"""),44937)</f>
        <v>44937</v>
      </c>
      <c r="P42" s="595" t="str">
        <f ca="1">IFERROR(__xludf.DUMMYFUNCTION("""COMPUTED_VALUE"""),"2027/12")</f>
        <v>2027/12</v>
      </c>
      <c r="Q42" s="595" t="str">
        <f ca="1">IFERROR(__xludf.DUMMYFUNCTION("""COMPUTED_VALUE"""),"特定技能１号")</f>
        <v>特定技能１号</v>
      </c>
      <c r="R42" s="595" t="str">
        <f ca="1">IFERROR(__xludf.DUMMYFUNCTION("""COMPUTED_VALUE"""),"東温市西岡601-2　EARLS　COURT東温Ⅱ　205号")</f>
        <v>東温市西岡601-2　EARLS　COURT東温Ⅱ　205号</v>
      </c>
      <c r="S42" s="595" t="str">
        <f ca="1">IFERROR(__xludf.DUMMYFUNCTION("""COMPUTED_VALUE"""),"個")</f>
        <v>個</v>
      </c>
      <c r="T42" s="901">
        <f ca="1">IFERROR(__xludf.DUMMYFUNCTION("""COMPUTED_VALUE"""),0)</f>
        <v>0</v>
      </c>
      <c r="U42" s="600">
        <f ca="1">IFERROR(__xludf.DUMMYFUNCTION("""COMPUTED_VALUE"""),45976)</f>
        <v>45976</v>
      </c>
      <c r="V42" s="600">
        <f ca="1">IFERROR(__xludf.DUMMYFUNCTION("""COMPUTED_VALUE"""),46432)</f>
        <v>46432</v>
      </c>
      <c r="W42" s="595" t="str">
        <f ca="1">IFERROR(__xludf.DUMMYFUNCTION("""COMPUTED_VALUE"""),"LJ74130965PC")</f>
        <v>LJ74130965PC</v>
      </c>
      <c r="X42" s="595"/>
      <c r="Y42" s="596"/>
      <c r="Z42" s="595" t="str">
        <f ca="1">IFERROR(__xludf.DUMMYFUNCTION("""COMPUTED_VALUE"""),"2204
B-0274809-V206
2026.2.17鍵回収")</f>
        <v>2204
B-0274809-V206
2026.2.17鍵回収</v>
      </c>
      <c r="AA42" s="595" t="str">
        <f ca="1">IFERROR(__xludf.DUMMYFUNCTION("""COMPUTED_VALUE"""),"2026/2/17")</f>
        <v>2026/2/17</v>
      </c>
      <c r="AB42" s="595" t="str">
        <f ca="1">IFERROR(__xludf.DUMMYFUNCTION("""COMPUTED_VALUE"""),"N3 
2024/12")</f>
        <v>N3 
2024/12</v>
      </c>
      <c r="AC42" s="595"/>
      <c r="AD42" s="600"/>
      <c r="AE42" s="600"/>
      <c r="AF42" s="600"/>
      <c r="AG42" s="600"/>
      <c r="AH42" s="595"/>
      <c r="AI42" s="600"/>
      <c r="AJ42" s="595"/>
      <c r="AK42" s="595" t="str">
        <f ca="1">IFERROR(__xludf.DUMMYFUNCTION("""COMPUTED_VALUE"""),"小林主任")</f>
        <v>小林主任</v>
      </c>
      <c r="AL42" s="595" t="str">
        <f ca="1">IFERROR(__xludf.DUMMYFUNCTION("""COMPUTED_VALUE"""),"〇")</f>
        <v>〇</v>
      </c>
      <c r="AM42" s="596">
        <f ca="1">IFERROR(__xludf.DUMMYFUNCTION("""COMPUTED_VALUE"""),44922)</f>
        <v>44922</v>
      </c>
      <c r="AN42" s="595" t="str">
        <f ca="1">IFERROR(__xludf.DUMMYFUNCTION("""COMPUTED_VALUE"""),"2025/6/1～2027/12/31")</f>
        <v>2025/6/1～2027/12/31</v>
      </c>
      <c r="AO42" s="595"/>
      <c r="AP42" s="595" t="str">
        <f ca="1">IFERROR(__xludf.DUMMYFUNCTION("""COMPUTED_VALUE"""),"2025.6.20引越　牛渕170-3→新住所：東温市西岡601-2EARLS　COURT東温Ⅱ205号（小林さんと同居）")</f>
        <v>2025.6.20引越　牛渕170-3→新住所：東温市西岡601-2EARLS　COURT東温Ⅱ205号（小林さんと同居）</v>
      </c>
    </row>
    <row r="43" spans="1:42" ht="14.5">
      <c r="A43" s="595" t="str">
        <f ca="1">IFERROR(__xludf.DUMMYFUNCTION("""COMPUTED_VALUE"""),"一課")</f>
        <v>一課</v>
      </c>
      <c r="B43" s="595">
        <f ca="1">IFERROR(__xludf.DUMMYFUNCTION("""COMPUTED_VALUE"""),125)</f>
        <v>125</v>
      </c>
      <c r="C43" s="595" t="str">
        <f ca="1">IFERROR(__xludf.DUMMYFUNCTION("""COMPUTED_VALUE"""),"津吉")</f>
        <v>津吉</v>
      </c>
      <c r="D43" s="595" t="str">
        <f ca="1">IFERROR(__xludf.DUMMYFUNCTION("""COMPUTED_VALUE"""),"インドネシア")</f>
        <v>インドネシア</v>
      </c>
      <c r="E43" s="595" t="str">
        <f ca="1">IFERROR(__xludf.DUMMYFUNCTION("""COMPUTED_VALUE"""),"07013625")</f>
        <v>07013625</v>
      </c>
      <c r="F43" s="595" t="str">
        <f ca="1">IFERROR(__xludf.DUMMYFUNCTION("""COMPUTED_VALUE"""),"/appsheet/photograph/125.写真.033225.jpg")</f>
        <v>/appsheet/photograph/125.写真.033225.jpg</v>
      </c>
      <c r="G43" s="595" t="str">
        <f ca="1">IFERROR(__xludf.DUMMYFUNCTION("""COMPUTED_VALUE"""),"ミフタフディン ラティフ")</f>
        <v>ミフタフディン ラティフ</v>
      </c>
      <c r="H43" s="595" t="str">
        <f ca="1">IFERROR(__xludf.DUMMYFUNCTION("""COMPUTED_VALUE"""),"MIFTAHUDIN LATIF")</f>
        <v>MIFTAHUDIN LATIF</v>
      </c>
      <c r="I43" s="595" t="str">
        <f ca="1">IFERROR(__xludf.DUMMYFUNCTION("""COMPUTED_VALUE"""),"ラティフ")</f>
        <v>ラティフ</v>
      </c>
      <c r="J43" s="595" t="str">
        <f ca="1">IFERROR(__xludf.DUMMYFUNCTION("""COMPUTED_VALUE"""),"男")</f>
        <v>男</v>
      </c>
      <c r="K43" s="600">
        <f ca="1">IFERROR(__xludf.DUMMYFUNCTION("""COMPUTED_VALUE"""),35992)</f>
        <v>35992</v>
      </c>
      <c r="L43" s="595">
        <f ca="1">IFERROR(__xludf.DUMMYFUNCTION("""COMPUTED_VALUE"""),27)</f>
        <v>27</v>
      </c>
      <c r="M43" s="595" t="str">
        <f ca="1">IFERROR(__xludf.DUMMYFUNCTION("""COMPUTED_VALUE"""),"無")</f>
        <v>無</v>
      </c>
      <c r="N43" s="595" t="str">
        <f ca="1">IFERROR(__xludf.DUMMYFUNCTION("""COMPUTED_VALUE"""),"H&amp;C")</f>
        <v>H&amp;C</v>
      </c>
      <c r="O43" s="900">
        <f ca="1">IFERROR(__xludf.DUMMYFUNCTION("""COMPUTED_VALUE"""),44937)</f>
        <v>44937</v>
      </c>
      <c r="P43" s="595" t="str">
        <f ca="1">IFERROR(__xludf.DUMMYFUNCTION("""COMPUTED_VALUE"""),"2027/12")</f>
        <v>2027/12</v>
      </c>
      <c r="Q43" s="595" t="str">
        <f ca="1">IFERROR(__xludf.DUMMYFUNCTION("""COMPUTED_VALUE"""),"特定技能１号")</f>
        <v>特定技能１号</v>
      </c>
      <c r="R43" s="595" t="str">
        <f ca="1">IFERROR(__xludf.DUMMYFUNCTION("""COMPUTED_VALUE"""),"松山市上野町774番地ビレッジハウス松山上野1-507")</f>
        <v>松山市上野町774番地ビレッジハウス松山上野1-507</v>
      </c>
      <c r="S43" s="595" t="str">
        <f ca="1">IFERROR(__xludf.DUMMYFUNCTION("""COMPUTED_VALUE"""),"個")</f>
        <v>個</v>
      </c>
      <c r="T43" s="901">
        <f ca="1">IFERROR(__xludf.DUMMYFUNCTION("""COMPUTED_VALUE"""),15000)</f>
        <v>15000</v>
      </c>
      <c r="U43" s="600">
        <f ca="1">IFERROR(__xludf.DUMMYFUNCTION("""COMPUTED_VALUE"""),45976)</f>
        <v>45976</v>
      </c>
      <c r="V43" s="600">
        <f ca="1">IFERROR(__xludf.DUMMYFUNCTION("""COMPUTED_VALUE"""),46432)</f>
        <v>46432</v>
      </c>
      <c r="W43" s="595" t="str">
        <f ca="1">IFERROR(__xludf.DUMMYFUNCTION("""COMPUTED_VALUE"""),"LJ02919850PC")</f>
        <v>LJ02919850PC</v>
      </c>
      <c r="X43" s="595" t="str">
        <f ca="1">IFERROR(__xludf.DUMMYFUNCTION("""COMPUTED_VALUE"""),"23.5/18自転車鍵紛失")</f>
        <v>23.5/18自転車鍵紛失</v>
      </c>
      <c r="Y43" s="596"/>
      <c r="Z43" s="595" t="str">
        <f ca="1">IFERROR(__xludf.DUMMYFUNCTION("""COMPUTED_VALUE"""),"2208
B-0274812-V023")</f>
        <v>2208
B-0274812-V023</v>
      </c>
      <c r="AA43" s="595"/>
      <c r="AB43" s="595"/>
      <c r="AC43" s="595"/>
      <c r="AD43" s="600"/>
      <c r="AE43" s="600">
        <f ca="1">IFERROR(__xludf.DUMMYFUNCTION("""COMPUTED_VALUE"""),46224)</f>
        <v>46224</v>
      </c>
      <c r="AF43" s="600">
        <f ca="1">IFERROR(__xludf.DUMMYFUNCTION("""COMPUTED_VALUE"""),46285)</f>
        <v>46285</v>
      </c>
      <c r="AG43" s="600"/>
      <c r="AH43" s="595" t="str">
        <f ca="1">IFERROR(__xludf.DUMMYFUNCTION("""COMPUTED_VALUE"""),"一時帰国予定")</f>
        <v>一時帰国予定</v>
      </c>
      <c r="AI43" s="600"/>
      <c r="AJ43" s="595"/>
      <c r="AK43" s="595" t="str">
        <f ca="1">IFERROR(__xludf.DUMMYFUNCTION("""COMPUTED_VALUE"""),"小林主任")</f>
        <v>小林主任</v>
      </c>
      <c r="AL43" s="595" t="str">
        <f ca="1">IFERROR(__xludf.DUMMYFUNCTION("""COMPUTED_VALUE"""),"―")</f>
        <v>―</v>
      </c>
      <c r="AM43" s="596"/>
      <c r="AN43" s="595" t="str">
        <f ca="1">IFERROR(__xludf.DUMMYFUNCTION("""COMPUTED_VALUE"""),"―")</f>
        <v>―</v>
      </c>
      <c r="AO43" s="595"/>
      <c r="AP43" s="595" t="str">
        <f ca="1">IFERROR(__xludf.DUMMYFUNCTION("""COMPUTED_VALUE"""),"ミャナと結婚の為、2026/7/21～9/20まで
一時帰国希望。新開工場長より2025/12/22")</f>
        <v>ミャナと結婚の為、2026/7/21～9/20まで
一時帰国希望。新開工場長より2025/12/22</v>
      </c>
    </row>
    <row r="44" spans="1:42" ht="14.5">
      <c r="A44" s="595" t="str">
        <f ca="1">IFERROR(__xludf.DUMMYFUNCTION("""COMPUTED_VALUE"""),"出荷")</f>
        <v>出荷</v>
      </c>
      <c r="B44" s="595">
        <f ca="1">IFERROR(__xludf.DUMMYFUNCTION("""COMPUTED_VALUE"""),126)</f>
        <v>126</v>
      </c>
      <c r="C44" s="595" t="str">
        <f ca="1">IFERROR(__xludf.DUMMYFUNCTION("""COMPUTED_VALUE"""),"津吉")</f>
        <v>津吉</v>
      </c>
      <c r="D44" s="595" t="str">
        <f ca="1">IFERROR(__xludf.DUMMYFUNCTION("""COMPUTED_VALUE"""),"インドネシア")</f>
        <v>インドネシア</v>
      </c>
      <c r="E44" s="595" t="str">
        <f ca="1">IFERROR(__xludf.DUMMYFUNCTION("""COMPUTED_VALUE"""),"07013626")</f>
        <v>07013626</v>
      </c>
      <c r="F44" s="595" t="str">
        <f ca="1">IFERROR(__xludf.DUMMYFUNCTION("""COMPUTED_VALUE"""),"/appsheet/photograph/126.写真.033543.jpg")</f>
        <v>/appsheet/photograph/126.写真.033543.jpg</v>
      </c>
      <c r="G44" s="595" t="str">
        <f ca="1">IFERROR(__xludf.DUMMYFUNCTION("""COMPUTED_VALUE"""),"ムハンマド ナウファル アリ ムフタル")</f>
        <v>ムハンマド ナウファル アリ ムフタル</v>
      </c>
      <c r="H44" s="595" t="str">
        <f ca="1">IFERROR(__xludf.DUMMYFUNCTION("""COMPUTED_VALUE"""),"MUHAMMAD NAUFAL ALI MUKHTAR")</f>
        <v>MUHAMMAD NAUFAL ALI MUKHTAR</v>
      </c>
      <c r="I44" s="595" t="str">
        <f ca="1">IFERROR(__xludf.DUMMYFUNCTION("""COMPUTED_VALUE"""),"ナウファル")</f>
        <v>ナウファル</v>
      </c>
      <c r="J44" s="595" t="str">
        <f ca="1">IFERROR(__xludf.DUMMYFUNCTION("""COMPUTED_VALUE"""),"男")</f>
        <v>男</v>
      </c>
      <c r="K44" s="600">
        <f ca="1">IFERROR(__xludf.DUMMYFUNCTION("""COMPUTED_VALUE"""),37277)</f>
        <v>37277</v>
      </c>
      <c r="L44" s="595">
        <f ca="1">IFERROR(__xludf.DUMMYFUNCTION("""COMPUTED_VALUE"""),24)</f>
        <v>24</v>
      </c>
      <c r="M44" s="595" t="str">
        <f ca="1">IFERROR(__xludf.DUMMYFUNCTION("""COMPUTED_VALUE"""),"夫婦")</f>
        <v>夫婦</v>
      </c>
      <c r="N44" s="595" t="str">
        <f ca="1">IFERROR(__xludf.DUMMYFUNCTION("""COMPUTED_VALUE"""),"H&amp;C")</f>
        <v>H&amp;C</v>
      </c>
      <c r="O44" s="900">
        <f ca="1">IFERROR(__xludf.DUMMYFUNCTION("""COMPUTED_VALUE"""),44937)</f>
        <v>44937</v>
      </c>
      <c r="P44" s="595" t="str">
        <f ca="1">IFERROR(__xludf.DUMMYFUNCTION("""COMPUTED_VALUE"""),"2027/12")</f>
        <v>2027/12</v>
      </c>
      <c r="Q44" s="595" t="str">
        <f ca="1">IFERROR(__xludf.DUMMYFUNCTION("""COMPUTED_VALUE"""),"特定技能１号")</f>
        <v>特定技能１号</v>
      </c>
      <c r="R44" s="595" t="str">
        <f ca="1">IFERROR(__xludf.DUMMYFUNCTION("""COMPUTED_VALUE"""),"松山市上野町774番地ビレッジハウス松山上野2-504")</f>
        <v>松山市上野町774番地ビレッジハウス松山上野2-504</v>
      </c>
      <c r="S44" s="595" t="str">
        <f ca="1">IFERROR(__xludf.DUMMYFUNCTION("""COMPUTED_VALUE"""),"夫婦")</f>
        <v>夫婦</v>
      </c>
      <c r="T44" s="901">
        <f ca="1">IFERROR(__xludf.DUMMYFUNCTION("""COMPUTED_VALUE"""),20000)</f>
        <v>20000</v>
      </c>
      <c r="U44" s="600">
        <f ca="1">IFERROR(__xludf.DUMMYFUNCTION("""COMPUTED_VALUE"""),46082)</f>
        <v>46082</v>
      </c>
      <c r="V44" s="600">
        <f ca="1">IFERROR(__xludf.DUMMYFUNCTION("""COMPUTED_VALUE"""),46432)</f>
        <v>46432</v>
      </c>
      <c r="W44" s="595" t="str">
        <f ca="1">IFERROR(__xludf.DUMMYFUNCTION("""COMPUTED_VALUE"""),"LJ29637774PC")</f>
        <v>LJ29637774PC</v>
      </c>
      <c r="X44" s="595"/>
      <c r="Y44" s="596"/>
      <c r="Z44" s="595" t="str">
        <f ca="1">IFERROR(__xludf.DUMMYFUNCTION("""COMPUTED_VALUE"""),"2206
B-0274810-V114
ｼﾙﾊﾞｰ26ｲﾝﾁ元2209")</f>
        <v>2206
B-0274810-V114
ｼﾙﾊﾞｰ26ｲﾝﾁ元2209</v>
      </c>
      <c r="AA44" s="595" t="str">
        <f ca="1">IFERROR(__xludf.DUMMYFUNCTION("""COMPUTED_VALUE"""),"リアパンク")</f>
        <v>リアパンク</v>
      </c>
      <c r="AB44" s="595"/>
      <c r="AC44" s="595"/>
      <c r="AD44" s="600"/>
      <c r="AE44" s="600">
        <f ca="1">IFERROR(__xludf.DUMMYFUNCTION("""COMPUTED_VALUE"""),45744)</f>
        <v>45744</v>
      </c>
      <c r="AF44" s="600">
        <f ca="1">IFERROR(__xludf.DUMMYFUNCTION("""COMPUTED_VALUE"""),45774)</f>
        <v>45774</v>
      </c>
      <c r="AG44" s="600"/>
      <c r="AH44" s="595"/>
      <c r="AI44" s="600"/>
      <c r="AJ44" s="595"/>
      <c r="AK44" s="595" t="str">
        <f ca="1">IFERROR(__xludf.DUMMYFUNCTION("""COMPUTED_VALUE"""),"垂水主任")</f>
        <v>垂水主任</v>
      </c>
      <c r="AL44" s="595" t="str">
        <f ca="1">IFERROR(__xludf.DUMMYFUNCTION("""COMPUTED_VALUE"""),"〇")</f>
        <v>〇</v>
      </c>
      <c r="AM44" s="596">
        <f ca="1">IFERROR(__xludf.DUMMYFUNCTION("""COMPUTED_VALUE"""),44922)</f>
        <v>44922</v>
      </c>
      <c r="AN44" s="595" t="str">
        <f ca="1">IFERROR(__xludf.DUMMYFUNCTION("""COMPUTED_VALUE"""),"2025/6/１～2027/12/31")</f>
        <v>2025/6/１～2027/12/31</v>
      </c>
      <c r="AO44" s="595"/>
      <c r="AP44" s="595" t="str">
        <f ca="1">IFERROR(__xludf.DUMMYFUNCTION("""COMPUTED_VALUE"""),"4/19リフト取得検討中
3/27か3/28で一時帰国したいと申し出
2025/9月特定2号受験（不合格）
2026/1月　特定2号受験予定
2025/11/21引越　ビレッジ1-507号→ビレッジ2-504号へ
家賃2万へ
奥さんユニタサリニンシーと一緒に住む予定")</f>
        <v>4/19リフト取得検討中
3/27か3/28で一時帰国したいと申し出
2025/9月特定2号受験（不合格）
2026/1月　特定2号受験予定
2025/11/21引越　ビレッジ1-507号→ビレッジ2-504号へ
家賃2万へ
奥さんユニタサリニンシーと一緒に住む予定</v>
      </c>
    </row>
    <row r="45" spans="1:42" ht="14.5">
      <c r="A45" s="595" t="str">
        <f ca="1">IFERROR(__xludf.DUMMYFUNCTION("""COMPUTED_VALUE"""),"一課")</f>
        <v>一課</v>
      </c>
      <c r="B45" s="595">
        <f ca="1">IFERROR(__xludf.DUMMYFUNCTION("""COMPUTED_VALUE"""),128)</f>
        <v>128</v>
      </c>
      <c r="C45" s="595" t="str">
        <f ca="1">IFERROR(__xludf.DUMMYFUNCTION("""COMPUTED_VALUE"""),"津吉")</f>
        <v>津吉</v>
      </c>
      <c r="D45" s="595" t="str">
        <f ca="1">IFERROR(__xludf.DUMMYFUNCTION("""COMPUTED_VALUE"""),"インドネシア")</f>
        <v>インドネシア</v>
      </c>
      <c r="E45" s="595" t="str">
        <f ca="1">IFERROR(__xludf.DUMMYFUNCTION("""COMPUTED_VALUE"""),"07013628")</f>
        <v>07013628</v>
      </c>
      <c r="F45" s="595" t="str">
        <f ca="1">IFERROR(__xludf.DUMMYFUNCTION("""COMPUTED_VALUE"""),"/appsheet/photograph/128.写真.033250.jpg")</f>
        <v>/appsheet/photograph/128.写真.033250.jpg</v>
      </c>
      <c r="G45" s="595" t="str">
        <f ca="1">IFERROR(__xludf.DUMMYFUNCTION("""COMPUTED_VALUE"""),"アリ クスナディ")</f>
        <v>アリ クスナディ</v>
      </c>
      <c r="H45" s="595" t="str">
        <f ca="1">IFERROR(__xludf.DUMMYFUNCTION("""COMPUTED_VALUE"""),"ALI KUSNADI")</f>
        <v>ALI KUSNADI</v>
      </c>
      <c r="I45" s="595" t="str">
        <f ca="1">IFERROR(__xludf.DUMMYFUNCTION("""COMPUTED_VALUE"""),"アリ")</f>
        <v>アリ</v>
      </c>
      <c r="J45" s="595" t="str">
        <f ca="1">IFERROR(__xludf.DUMMYFUNCTION("""COMPUTED_VALUE"""),"男")</f>
        <v>男</v>
      </c>
      <c r="K45" s="600">
        <f ca="1">IFERROR(__xludf.DUMMYFUNCTION("""COMPUTED_VALUE"""),36345)</f>
        <v>36345</v>
      </c>
      <c r="L45" s="595">
        <f ca="1">IFERROR(__xludf.DUMMYFUNCTION("""COMPUTED_VALUE"""),26)</f>
        <v>26</v>
      </c>
      <c r="M45" s="595"/>
      <c r="N45" s="595" t="str">
        <f ca="1">IFERROR(__xludf.DUMMYFUNCTION("""COMPUTED_VALUE"""),"H&amp;C")</f>
        <v>H&amp;C</v>
      </c>
      <c r="O45" s="900">
        <f ca="1">IFERROR(__xludf.DUMMYFUNCTION("""COMPUTED_VALUE"""),44937)</f>
        <v>44937</v>
      </c>
      <c r="P45" s="595" t="str">
        <f ca="1">IFERROR(__xludf.DUMMYFUNCTION("""COMPUTED_VALUE"""),"2027/12")</f>
        <v>2027/12</v>
      </c>
      <c r="Q45" s="595" t="str">
        <f ca="1">IFERROR(__xludf.DUMMYFUNCTION("""COMPUTED_VALUE"""),"特定技能１号")</f>
        <v>特定技能１号</v>
      </c>
      <c r="R45" s="595" t="str">
        <f ca="1">IFERROR(__xludf.DUMMYFUNCTION("""COMPUTED_VALUE"""),"松山市上野町774番地ビレッジハウス松山上野1-507")</f>
        <v>松山市上野町774番地ビレッジハウス松山上野1-507</v>
      </c>
      <c r="S45" s="595" t="str">
        <f ca="1">IFERROR(__xludf.DUMMYFUNCTION("""COMPUTED_VALUE"""),"個")</f>
        <v>個</v>
      </c>
      <c r="T45" s="901">
        <f ca="1">IFERROR(__xludf.DUMMYFUNCTION("""COMPUTED_VALUE"""),15000)</f>
        <v>15000</v>
      </c>
      <c r="U45" s="600">
        <f ca="1">IFERROR(__xludf.DUMMYFUNCTION("""COMPUTED_VALUE"""),46082)</f>
        <v>46082</v>
      </c>
      <c r="V45" s="600">
        <f ca="1">IFERROR(__xludf.DUMMYFUNCTION("""COMPUTED_VALUE"""),46432)</f>
        <v>46432</v>
      </c>
      <c r="W45" s="595" t="str">
        <f ca="1">IFERROR(__xludf.DUMMYFUNCTION("""COMPUTED_VALUE"""),"LJ02919901PC")</f>
        <v>LJ02919901PC</v>
      </c>
      <c r="X45" s="595"/>
      <c r="Y45" s="596"/>
      <c r="Z45" s="595" t="str">
        <f ca="1">IFERROR(__xludf.DUMMYFUNCTION("""COMPUTED_VALUE"""),"2212
元2211")</f>
        <v>2212
元2211</v>
      </c>
      <c r="AA45" s="595"/>
      <c r="AB45" s="595"/>
      <c r="AC45" s="595"/>
      <c r="AD45" s="600"/>
      <c r="AE45" s="600"/>
      <c r="AF45" s="600"/>
      <c r="AG45" s="600"/>
      <c r="AH45" s="595"/>
      <c r="AI45" s="600"/>
      <c r="AJ45" s="595"/>
      <c r="AK45" s="595" t="str">
        <f ca="1">IFERROR(__xludf.DUMMYFUNCTION("""COMPUTED_VALUE"""),"小林主任")</f>
        <v>小林主任</v>
      </c>
      <c r="AL45" s="595" t="str">
        <f ca="1">IFERROR(__xludf.DUMMYFUNCTION("""COMPUTED_VALUE"""),"〇")</f>
        <v>〇</v>
      </c>
      <c r="AM45" s="596">
        <f ca="1">IFERROR(__xludf.DUMMYFUNCTION("""COMPUTED_VALUE"""),44922)</f>
        <v>44922</v>
      </c>
      <c r="AN45" s="595" t="str">
        <f ca="1">IFERROR(__xludf.DUMMYFUNCTION("""COMPUTED_VALUE"""),"2025/6/１～2027/12/31")</f>
        <v>2025/6/１～2027/12/31</v>
      </c>
      <c r="AO45" s="595"/>
      <c r="AP45" s="595" t="str">
        <f ca="1">IFERROR(__xludf.DUMMYFUNCTION("""COMPUTED_VALUE"""),"一時帰国後8/1以降順風会で健診予定
一時帰国希望あり。有休残日数と次回の付与日で検討とのこと（24.4.23H&amp;C三好さん
より）一時帰国の内20日間は有給使用予定（5/9三好さんより）
2026/特定2号受験予定")</f>
        <v>一時帰国後8/1以降順風会で健診予定
一時帰国希望あり。有休残日数と次回の付与日で検討とのこと（24.4.23H&amp;C三好さん
より）一時帰国の内20日間は有給使用予定（5/9三好さんより）
2026/特定2号受験予定</v>
      </c>
    </row>
    <row r="46" spans="1:42" ht="14.5">
      <c r="A46" s="595"/>
      <c r="B46" s="595">
        <f ca="1">IFERROR(__xludf.DUMMYFUNCTION("""COMPUTED_VALUE"""),129)</f>
        <v>129</v>
      </c>
      <c r="C46" s="595" t="str">
        <f ca="1">IFERROR(__xludf.DUMMYFUNCTION("""COMPUTED_VALUE"""),"津吉")</f>
        <v>津吉</v>
      </c>
      <c r="D46" s="595" t="str">
        <f ca="1">IFERROR(__xludf.DUMMYFUNCTION("""COMPUTED_VALUE"""),"ベトナム")</f>
        <v>ベトナム</v>
      </c>
      <c r="E46" s="595" t="str">
        <f ca="1">IFERROR(__xludf.DUMMYFUNCTION("""COMPUTED_VALUE"""),"07011609")</f>
        <v>07011609</v>
      </c>
      <c r="F46" s="595" t="str">
        <f ca="1">IFERROR(__xludf.DUMMYFUNCTION("""COMPUTED_VALUE"""),"/appsheet/photograph/129.写真.012424.jpg")</f>
        <v>/appsheet/photograph/129.写真.012424.jpg</v>
      </c>
      <c r="G46" s="595" t="str">
        <f ca="1">IFERROR(__xludf.DUMMYFUNCTION("""COMPUTED_VALUE"""),"ディン ティ ヅエン")</f>
        <v>ディン ティ ヅエン</v>
      </c>
      <c r="H46" s="595" t="str">
        <f ca="1">IFERROR(__xludf.DUMMYFUNCTION("""COMPUTED_VALUE"""),"DINH THI DUYEN")</f>
        <v>DINH THI DUYEN</v>
      </c>
      <c r="I46" s="595" t="str">
        <f ca="1">IFERROR(__xludf.DUMMYFUNCTION("""COMPUTED_VALUE"""),"ヅエン")</f>
        <v>ヅエン</v>
      </c>
      <c r="J46" s="595" t="str">
        <f ca="1">IFERROR(__xludf.DUMMYFUNCTION("""COMPUTED_VALUE"""),"女")</f>
        <v>女</v>
      </c>
      <c r="K46" s="600">
        <f ca="1">IFERROR(__xludf.DUMMYFUNCTION("""COMPUTED_VALUE"""),35903)</f>
        <v>35903</v>
      </c>
      <c r="L46" s="595">
        <f ca="1">IFERROR(__xludf.DUMMYFUNCTION("""COMPUTED_VALUE"""),27)</f>
        <v>27</v>
      </c>
      <c r="M46" s="595" t="str">
        <f ca="1">IFERROR(__xludf.DUMMYFUNCTION("""COMPUTED_VALUE"""),"有")</f>
        <v>有</v>
      </c>
      <c r="N46" s="595" t="str">
        <f ca="1">IFERROR(__xludf.DUMMYFUNCTION("""COMPUTED_VALUE"""),"中四国")</f>
        <v>中四国</v>
      </c>
      <c r="O46" s="900">
        <f ca="1">IFERROR(__xludf.DUMMYFUNCTION("""COMPUTED_VALUE"""),44978)</f>
        <v>44978</v>
      </c>
      <c r="P46" s="595" t="str">
        <f ca="1">IFERROR(__xludf.DUMMYFUNCTION("""COMPUTED_VALUE"""),"2028/02")</f>
        <v>2028/02</v>
      </c>
      <c r="Q46" s="595" t="str">
        <f ca="1">IFERROR(__xludf.DUMMYFUNCTION("""COMPUTED_VALUE"""),"特定技能１号")</f>
        <v>特定技能１号</v>
      </c>
      <c r="R46" s="595" t="str">
        <f ca="1">IFERROR(__xludf.DUMMYFUNCTION("""COMPUTED_VALUE"""),"20240801伊予郡砥部町原町325-26 シティハイム101へ
旧伊予郡砥部町高尾田826-1コーポ麻生205")</f>
        <v>20240801伊予郡砥部町原町325-26 シティハイム101へ
旧伊予郡砥部町高尾田826-1コーポ麻生205</v>
      </c>
      <c r="S46" s="595" t="str">
        <f ca="1">IFERROR(__xludf.DUMMYFUNCTION("""COMPUTED_VALUE"""),"ご主人の寮
⇒引越予定
8/1住所変更")</f>
        <v>ご主人の寮
⇒引越予定
8/1住所変更</v>
      </c>
      <c r="T46" s="901">
        <f ca="1">IFERROR(__xludf.DUMMYFUNCTION("""COMPUTED_VALUE"""),0)</f>
        <v>0</v>
      </c>
      <c r="U46" s="600">
        <f ca="1">IFERROR(__xludf.DUMMYFUNCTION("""COMPUTED_VALUE"""),46006)</f>
        <v>46006</v>
      </c>
      <c r="V46" s="600">
        <f ca="1">IFERROR(__xludf.DUMMYFUNCTION("""COMPUTED_VALUE"""),47190)</f>
        <v>47190</v>
      </c>
      <c r="W46" s="595" t="str">
        <f ca="1">IFERROR(__xludf.DUMMYFUNCTION("""COMPUTED_VALUE"""),"LJ50567500PC")</f>
        <v>LJ50567500PC</v>
      </c>
      <c r="X46" s="595" t="str">
        <f ca="1">IFERROR(__xludf.DUMMYFUNCTION("""COMPUTED_VALUE"""),"5099-194656-5")</f>
        <v>5099-194656-5</v>
      </c>
      <c r="Y46" s="596"/>
      <c r="Z46" s="595" t="str">
        <f ca="1">IFERROR(__xludf.DUMMYFUNCTION("""COMPUTED_VALUE"""),"B-0143841-1158 ｱｼｽﾄ自転車（自身で購入） ※通勤はアシスト自転車")</f>
        <v>B-0143841-1158 ｱｼｽﾄ自転車（自身で購入） ※通勤はアシスト自転車</v>
      </c>
      <c r="AA46" s="595" t="str">
        <f ca="1">IFERROR(__xludf.DUMMYFUNCTION("""COMPUTED_VALUE"""),"2026/03/24")</f>
        <v>2026/03/24</v>
      </c>
      <c r="AB46" s="595"/>
      <c r="AC46" s="595"/>
      <c r="AD46" s="600">
        <f ca="1">IFERROR(__xludf.DUMMYFUNCTION("""COMPUTED_VALUE"""),45300)</f>
        <v>45300</v>
      </c>
      <c r="AE46" s="600"/>
      <c r="AF46" s="600"/>
      <c r="AG46" s="600">
        <f ca="1">IFERROR(__xludf.DUMMYFUNCTION("""COMPUTED_VALUE"""),45362)</f>
        <v>45362</v>
      </c>
      <c r="AH46" s="595" t="str">
        <f ca="1">IFERROR(__xludf.DUMMYFUNCTION("""COMPUTED_VALUE"""),"育児休暇中")</f>
        <v>育児休暇中</v>
      </c>
      <c r="AI46" s="600"/>
      <c r="AJ46" s="595"/>
      <c r="AK46" s="595"/>
      <c r="AL46" s="595"/>
      <c r="AM46" s="596">
        <f ca="1">IFERROR(__xludf.DUMMYFUNCTION("""COMPUTED_VALUE"""),44974)</f>
        <v>44974</v>
      </c>
      <c r="AN46" s="595" t="str">
        <f ca="1">IFERROR(__xludf.DUMMYFUNCTION("""COMPUTED_VALUE"""),"自転車保険加入2026/2/15～2027/2/15
")</f>
        <v xml:space="preserve">自転車保険加入2026/2/15～2027/2/15
</v>
      </c>
      <c r="AO46" s="595"/>
      <c r="AP46" s="595" t="str">
        <f ca="1">IFERROR(__xludf.DUMMYFUNCTION("""COMPUTED_VALUE"""),"※仕事に復帰する日程等決まればひめぎんへ伝える。
2025.6.13　7/1～8/14一時帰国
9月に子供の入園可否の連絡がある予定。入園が決まれば仕事復帰希望。朴さんより
2024/9/2～産休へ入りたいとのこと。手続き等必要か？24.7.23朴さん
住まいは探している。8/1住所変更（5/21朴さんより）3/13中四国より妊娠7週目
とのこと。予定日2024.10.13。2024/09/03～育児休暇　日本で出産、育児を希望。親が短期ﾋﾞｻﾞ（3～最長6ヵ月特定活動）で来る予定。専務→中四国本多さん、"&amp;"
ご主人の会社へ連絡予定　　夫：グエン　ヴァン　ヴィンさん　
電話　080-2512-8225　勤務先　(株)himeken　担当者　井上次長　
電話080-8633-5691")</f>
        <v>※仕事に復帰する日程等決まればひめぎんへ伝える。
2025.6.13　7/1～8/14一時帰国
9月に子供の入園可否の連絡がある予定。入園が決まれば仕事復帰希望。朴さんより
2024/9/2～産休へ入りたいとのこと。手続き等必要か？24.7.23朴さん
住まいは探している。8/1住所変更（5/21朴さんより）3/13中四国より妊娠7週目
とのこと。予定日2024.10.13。2024/09/03～育児休暇　日本で出産、育児を希望。親が短期ﾋﾞｻﾞ（3～最長6ヵ月特定活動）で来る予定。専務→中四国本多さん、
ご主人の会社へ連絡予定　　夫：グエン　ヴァン　ヴィンさん　
電話　080-2512-8225　勤務先　(株)himeken　担当者　井上次長　
電話080-8633-5691</v>
      </c>
    </row>
    <row r="47" spans="1:42" ht="14.5">
      <c r="A47" s="595"/>
      <c r="B47" s="595">
        <f ca="1">IFERROR(__xludf.DUMMYFUNCTION("""COMPUTED_VALUE"""),130)</f>
        <v>130</v>
      </c>
      <c r="C47" s="595" t="str">
        <f ca="1">IFERROR(__xludf.DUMMYFUNCTION("""COMPUTED_VALUE"""),"津吉")</f>
        <v>津吉</v>
      </c>
      <c r="D47" s="595" t="str">
        <f ca="1">IFERROR(__xludf.DUMMYFUNCTION("""COMPUTED_VALUE"""),"ベトナム")</f>
        <v>ベトナム</v>
      </c>
      <c r="E47" s="595" t="str">
        <f ca="1">IFERROR(__xludf.DUMMYFUNCTION("""COMPUTED_VALUE"""),"07011608")</f>
        <v>07011608</v>
      </c>
      <c r="F47" s="595" t="str">
        <f ca="1">IFERROR(__xludf.DUMMYFUNCTION("""COMPUTED_VALUE"""),"/appsheet/photograph/130.写真.jpg")</f>
        <v>/appsheet/photograph/130.写真.jpg</v>
      </c>
      <c r="G47" s="595" t="str">
        <f ca="1">IFERROR(__xludf.DUMMYFUNCTION("""COMPUTED_VALUE"""),"ズオン デ タオ")</f>
        <v>ズオン デ タオ</v>
      </c>
      <c r="H47" s="595" t="str">
        <f ca="1">IFERROR(__xludf.DUMMYFUNCTION("""COMPUTED_VALUE"""),"DUONG DE THAO")</f>
        <v>DUONG DE THAO</v>
      </c>
      <c r="I47" s="595" t="str">
        <f ca="1">IFERROR(__xludf.DUMMYFUNCTION("""COMPUTED_VALUE"""),"デ　タオ")</f>
        <v>デ　タオ</v>
      </c>
      <c r="J47" s="595" t="str">
        <f ca="1">IFERROR(__xludf.DUMMYFUNCTION("""COMPUTED_VALUE"""),"男")</f>
        <v>男</v>
      </c>
      <c r="K47" s="600">
        <f ca="1">IFERROR(__xludf.DUMMYFUNCTION("""COMPUTED_VALUE"""),34053)</f>
        <v>34053</v>
      </c>
      <c r="L47" s="595">
        <f ca="1">IFERROR(__xludf.DUMMYFUNCTION("""COMPUTED_VALUE"""),33)</f>
        <v>33</v>
      </c>
      <c r="M47" s="595" t="str">
        <f ca="1">IFERROR(__xludf.DUMMYFUNCTION("""COMPUTED_VALUE"""),"夫婦")</f>
        <v>夫婦</v>
      </c>
      <c r="N47" s="595" t="str">
        <f ca="1">IFERROR(__xludf.DUMMYFUNCTION("""COMPUTED_VALUE"""),"中四国")</f>
        <v>中四国</v>
      </c>
      <c r="O47" s="900">
        <f ca="1">IFERROR(__xludf.DUMMYFUNCTION("""COMPUTED_VALUE"""),45301)</f>
        <v>45301</v>
      </c>
      <c r="P47" s="595" t="str">
        <f ca="1">IFERROR(__xludf.DUMMYFUNCTION("""COMPUTED_VALUE"""),"2029/01")</f>
        <v>2029/01</v>
      </c>
      <c r="Q47" s="595" t="str">
        <f ca="1">IFERROR(__xludf.DUMMYFUNCTION("""COMPUTED_VALUE"""),"特定技能１号")</f>
        <v>特定技能１号</v>
      </c>
      <c r="R47" s="595" t="str">
        <f ca="1">IFERROR(__xludf.DUMMYFUNCTION("""COMPUTED_VALUE"""),"松山市上野町774番地ビレッジハウス松山上野1-303")</f>
        <v>松山市上野町774番地ビレッジハウス松山上野1-303</v>
      </c>
      <c r="S47" s="595" t="str">
        <f ca="1">IFERROR(__xludf.DUMMYFUNCTION("""COMPUTED_VALUE"""),"夫婦")</f>
        <v>夫婦</v>
      </c>
      <c r="T47" s="901"/>
      <c r="U47" s="600">
        <f ca="1">IFERROR(__xludf.DUMMYFUNCTION("""COMPUTED_VALUE"""),45950)</f>
        <v>45950</v>
      </c>
      <c r="V47" s="600">
        <f ca="1">IFERROR(__xludf.DUMMYFUNCTION("""COMPUTED_VALUE"""),46401)</f>
        <v>46401</v>
      </c>
      <c r="W47" s="595" t="str">
        <f ca="1">IFERROR(__xludf.DUMMYFUNCTION("""COMPUTED_VALUE"""),"UH02946324PC")</f>
        <v>UH02946324PC</v>
      </c>
      <c r="X47" s="595" t="str">
        <f ca="1">IFERROR(__xludf.DUMMYFUNCTION("""COMPUTED_VALUE"""),"寮24.1/9～")</f>
        <v>寮24.1/9～</v>
      </c>
      <c r="Y47" s="596"/>
      <c r="Z47" s="595" t="str">
        <f ca="1">IFERROR(__xludf.DUMMYFUNCTION("""COMPUTED_VALUE"""),"ﾊﾞｲｸ通勤ﾎﾝﾀﾞDIO 110cc　
第2種の甲）2024.5.21～
2024/09/25車通勤ムーヴ
愛媛581の9211 822301129470
車検2026/03/05保険27/09/07
2025/4/3車両変更愛媛581ひ4257")</f>
        <v>ﾊﾞｲｸ通勤ﾎﾝﾀﾞDIO 110cc　
第2種の甲）2024.5.21～
2024/09/25車通勤ムーヴ
愛媛581の9211 822301129470
車検2026/03/05保険27/09/07
2025/4/3車両変更愛媛581ひ4257</v>
      </c>
      <c r="AA47" s="595" t="str">
        <f ca="1">IFERROR(__xludf.DUMMYFUNCTION("""COMPUTED_VALUE"""),"入社時会社から
自転車支給なし")</f>
        <v>入社時会社から
自転車支給なし</v>
      </c>
      <c r="AB47" s="595"/>
      <c r="AC47" s="595"/>
      <c r="AD47" s="600"/>
      <c r="AE47" s="600">
        <f ca="1">IFERROR(__xludf.DUMMYFUNCTION("""COMPUTED_VALUE"""),45727)</f>
        <v>45727</v>
      </c>
      <c r="AF47" s="600">
        <f ca="1">IFERROR(__xludf.DUMMYFUNCTION("""COMPUTED_VALUE"""),45746)</f>
        <v>45746</v>
      </c>
      <c r="AG47" s="600"/>
      <c r="AH47" s="595"/>
      <c r="AI47" s="600"/>
      <c r="AJ47" s="595"/>
      <c r="AK47" s="595"/>
      <c r="AL47" s="595" t="str">
        <f ca="1">IFERROR(__xludf.DUMMYFUNCTION("""COMPUTED_VALUE"""),"×")</f>
        <v>×</v>
      </c>
      <c r="AM47" s="596"/>
      <c r="AN47" s="595" t="str">
        <f ca="1">IFERROR(__xludf.DUMMYFUNCTION("""COMPUTED_VALUE"""),"×")</f>
        <v>×</v>
      </c>
      <c r="AO47" s="595"/>
      <c r="AP47" s="595" t="str">
        <f ca="1">IFERROR(__xludf.DUMMYFUNCTION("""COMPUTED_VALUE"""),"2024.6.23車の免許取得予定　１９ファムティチンの夫
ﾊﾞｲｸ通勤届提出済5/2通勤手当5/21～変更（6月分の給料より）
2024.5.2　入社時自身で自転車を持ってきている
2024/09/28ヴィレッジ駐車場契約P1-063　月4,400円実費負担
2024/09/25車通勤届受領
2025/8/4車を買替予定とのこと。車庫証明の件でビレッジの管理人さんへ問合せありとのこと
2025.9.5引越　チン名義で借りる。ビレッジ1-303へ
2025/10/31～11/28育児休暇（10/31出産）"&amp;"　2026/1/4まで延長　2026/10/20までは確定
あと1ヶ月育児休暇を延長したいとの申し出（2025/12/26）　202/1/31まで延長
時給は育児休暇のため、￥1038。育児休暇明けに検討するとのこと（専務より）")</f>
        <v>2024.6.23車の免許取得予定　１９ファムティチンの夫
ﾊﾞｲｸ通勤届提出済5/2通勤手当5/21～変更（6月分の給料より）
2024.5.2　入社時自身で自転車を持ってきている
2024/09/28ヴィレッジ駐車場契約P1-063　月4,400円実費負担
2024/09/25車通勤届受領
2025/8/4車を買替予定とのこと。車庫証明の件でビレッジの管理人さんへ問合せありとのこと
2025.9.5引越　チン名義で借りる。ビレッジ1-303へ
2025/10/31～11/28育児休暇（10/31出産）　2026/1/4まで延長　2026/10/20までは確定
あと1ヶ月育児休暇を延長したいとの申し出（2025/12/26）　202/1/31まで延長
時給は育児休暇のため、￥1038。育児休暇明けに検討するとのこと（専務より）</v>
      </c>
    </row>
    <row r="48" spans="1:42" ht="14.5">
      <c r="A48" s="595"/>
      <c r="B48" s="595">
        <f ca="1">IFERROR(__xludf.DUMMYFUNCTION("""COMPUTED_VALUE"""),140)</f>
        <v>140</v>
      </c>
      <c r="C48" s="595" t="str">
        <f ca="1">IFERROR(__xludf.DUMMYFUNCTION("""COMPUTED_VALUE"""),"津吉")</f>
        <v>津吉</v>
      </c>
      <c r="D48" s="595" t="str">
        <f ca="1">IFERROR(__xludf.DUMMYFUNCTION("""COMPUTED_VALUE"""),"ベトナム")</f>
        <v>ベトナム</v>
      </c>
      <c r="E48" s="595" t="str">
        <f ca="1">IFERROR(__xludf.DUMMYFUNCTION("""COMPUTED_VALUE"""),"07011614")</f>
        <v>07011614</v>
      </c>
      <c r="F48" s="595" t="str">
        <f ca="1">IFERROR(__xludf.DUMMYFUNCTION("""COMPUTED_VALUE"""),"/appsheet/photograph/140.写真.042100.jpg")</f>
        <v>/appsheet/photograph/140.写真.042100.jpg</v>
      </c>
      <c r="G48" s="595" t="str">
        <f ca="1">IFERROR(__xludf.DUMMYFUNCTION("""COMPUTED_VALUE"""),"ファム ティ フエン チャン")</f>
        <v>ファム ティ フエン チャン</v>
      </c>
      <c r="H48" s="595" t="str">
        <f ca="1">IFERROR(__xludf.DUMMYFUNCTION("""COMPUTED_VALUE"""),"PHAM THI HUYEN TRANG")</f>
        <v>PHAM THI HUYEN TRANG</v>
      </c>
      <c r="I48" s="595" t="str">
        <f ca="1">IFERROR(__xludf.DUMMYFUNCTION("""COMPUTED_VALUE"""),"フェンチャン")</f>
        <v>フェンチャン</v>
      </c>
      <c r="J48" s="595" t="str">
        <f ca="1">IFERROR(__xludf.DUMMYFUNCTION("""COMPUTED_VALUE"""),"女")</f>
        <v>女</v>
      </c>
      <c r="K48" s="600">
        <f ca="1">IFERROR(__xludf.DUMMYFUNCTION("""COMPUTED_VALUE"""),33874)</f>
        <v>33874</v>
      </c>
      <c r="L48" s="595">
        <f ca="1">IFERROR(__xludf.DUMMYFUNCTION("""COMPUTED_VALUE"""),33)</f>
        <v>33</v>
      </c>
      <c r="M48" s="595" t="str">
        <f ca="1">IFERROR(__xludf.DUMMYFUNCTION("""COMPUTED_VALUE"""),"有")</f>
        <v>有</v>
      </c>
      <c r="N48" s="595" t="str">
        <f ca="1">IFERROR(__xludf.DUMMYFUNCTION("""COMPUTED_VALUE"""),"中四国")</f>
        <v>中四国</v>
      </c>
      <c r="O48" s="900">
        <f ca="1">IFERROR(__xludf.DUMMYFUNCTION("""COMPUTED_VALUE"""),44699)</f>
        <v>44699</v>
      </c>
      <c r="P48" s="595" t="str">
        <f ca="1">IFERROR(__xludf.DUMMYFUNCTION("""COMPUTED_VALUE"""),"2030/03")</f>
        <v>2030/03</v>
      </c>
      <c r="Q48" s="595" t="str">
        <f ca="1">IFERROR(__xludf.DUMMYFUNCTION("""COMPUTED_VALUE"""),"特定技能１号")</f>
        <v>特定技能１号</v>
      </c>
      <c r="R48" s="595" t="str">
        <f ca="1">IFERROR(__xludf.DUMMYFUNCTION("""COMPUTED_VALUE"""),"津吉町535-1コーポ津吉2-4")</f>
        <v>津吉町535-1コーポ津吉2-4</v>
      </c>
      <c r="S48" s="595" t="str">
        <f ca="1">IFERROR(__xludf.DUMMYFUNCTION("""COMPUTED_VALUE"""),"個")</f>
        <v>個</v>
      </c>
      <c r="T48" s="901">
        <f ca="1">IFERROR(__xludf.DUMMYFUNCTION("""COMPUTED_VALUE"""),15000)</f>
        <v>15000</v>
      </c>
      <c r="U48" s="600">
        <f ca="1">IFERROR(__xludf.DUMMYFUNCTION("""COMPUTED_VALUE"""),46088)</f>
        <v>46088</v>
      </c>
      <c r="V48" s="600">
        <f ca="1">IFERROR(__xludf.DUMMYFUNCTION("""COMPUTED_VALUE"""),47223)</f>
        <v>47223</v>
      </c>
      <c r="W48" s="595" t="str">
        <f ca="1">IFERROR(__xludf.DUMMYFUNCTION("""COMPUTED_VALUE"""),"LJ02837417PC")</f>
        <v>LJ02837417PC</v>
      </c>
      <c r="X48" s="595"/>
      <c r="Y48" s="596"/>
      <c r="Z48" s="595" t="str">
        <f ca="1">IFERROR(__xludf.DUMMYFUNCTION("""COMPUTED_VALUE"""),"自身で購入（ｱｼｽﾄ自転車）
B-0304584
白・銀ﾊﾟﾅｿﾆｯｸ　ﾋﾞﾋﾞDX
7913-B-0227913赤24ｲﾝﾁ")</f>
        <v>自身で購入（ｱｼｽﾄ自転車）
B-0304584
白・銀ﾊﾟﾅｿﾆｯｸ　ﾋﾞﾋﾞDX
7913-B-0227913赤24ｲﾝﾁ</v>
      </c>
      <c r="AA48" s="595"/>
      <c r="AB48" s="595"/>
      <c r="AC48" s="595" t="str">
        <f ca="1">IFERROR(__xludf.DUMMYFUNCTION("""COMPUTED_VALUE"""),"缶詰巻締専門
2024/09/12")</f>
        <v>缶詰巻締専門
2024/09/12</v>
      </c>
      <c r="AD48" s="600"/>
      <c r="AE48" s="600"/>
      <c r="AF48" s="600">
        <f ca="1">IFERROR(__xludf.DUMMYFUNCTION("""COMPUTED_VALUE"""),46088)</f>
        <v>46088</v>
      </c>
      <c r="AG48" s="600"/>
      <c r="AH48" s="595" t="str">
        <f ca="1">IFERROR(__xludf.DUMMYFUNCTION("""COMPUTED_VALUE"""),"一時帰国")</f>
        <v>一時帰国</v>
      </c>
      <c r="AI48" s="600"/>
      <c r="AJ48" s="595" t="str">
        <f ca="1">IFERROR(__xludf.DUMMYFUNCTION("""COMPUTED_VALUE"""),"実習終了に伴い会社負担")</f>
        <v>実習終了に伴い会社負担</v>
      </c>
      <c r="AK48" s="595"/>
      <c r="AL48" s="595" t="str">
        <f ca="1">IFERROR(__xludf.DUMMYFUNCTION("""COMPUTED_VALUE"""),"〇")</f>
        <v>〇</v>
      </c>
      <c r="AM48" s="596">
        <f ca="1">IFERROR(__xludf.DUMMYFUNCTION("""COMPUTED_VALUE"""),45762)</f>
        <v>45762</v>
      </c>
      <c r="AN48" s="595" t="str">
        <f ca="1">IFERROR(__xludf.DUMMYFUNCTION("""COMPUTED_VALUE"""),"2025/8/１～2030/3/31")</f>
        <v>2025/8/１～2030/3/31</v>
      </c>
      <c r="AO48" s="595" t="str">
        <f ca="1">IFERROR(__xludf.DUMMYFUNCTION("""COMPUTED_VALUE"""),"愛媛銀行")</f>
        <v>愛媛銀行</v>
      </c>
      <c r="AP48" s="595" t="str">
        <f ca="1">IFERROR(__xludf.DUMMYFUNCTION("""COMPUTED_VALUE"""),"24.3.21～ﾁｭｵﾝﾃｨﾄｩｰと同部屋へ引越。家賃は同じ
2025/04特定技能申請、実習終了に伴い2025/06頃一時帰国予定　日程は調整40日程度が妥当
2025/5/11コーポ津吉よりビレッジへ引越
2026/1/30～3/10一時帰国　在留カード更新が4/15期限
の為、帰国後3/12頃申請予定")</f>
        <v>24.3.21～ﾁｭｵﾝﾃｨﾄｩｰと同部屋へ引越。家賃は同じ
2025/04特定技能申請、実習終了に伴い2025/06頃一時帰国予定　日程は調整40日程度が妥当
2025/5/11コーポ津吉よりビレッジへ引越
2026/1/30～3/10一時帰国　在留カード更新が4/15期限
の為、帰国後3/12頃申請予定</v>
      </c>
    </row>
    <row r="49" spans="1:42" ht="14.5">
      <c r="A49" s="595"/>
      <c r="B49" s="595">
        <f ca="1">IFERROR(__xludf.DUMMYFUNCTION("""COMPUTED_VALUE"""),156)</f>
        <v>156</v>
      </c>
      <c r="C49" s="595" t="str">
        <f ca="1">IFERROR(__xludf.DUMMYFUNCTION("""COMPUTED_VALUE"""),"津吉")</f>
        <v>津吉</v>
      </c>
      <c r="D49" s="595" t="str">
        <f ca="1">IFERROR(__xludf.DUMMYFUNCTION("""COMPUTED_VALUE"""),"ベトナム")</f>
        <v>ベトナム</v>
      </c>
      <c r="E49" s="595" t="str">
        <f ca="1">IFERROR(__xludf.DUMMYFUNCTION("""COMPUTED_VALUE"""),"07011610")</f>
        <v>07011610</v>
      </c>
      <c r="F49" s="595" t="str">
        <f ca="1">IFERROR(__xludf.DUMMYFUNCTION("""COMPUTED_VALUE"""),"/appsheet/photograph/156.写真.035952.jpg")</f>
        <v>/appsheet/photograph/156.写真.035952.jpg</v>
      </c>
      <c r="G49" s="595" t="str">
        <f ca="1">IFERROR(__xludf.DUMMYFUNCTION("""COMPUTED_VALUE"""),"ファム ティ イエン")</f>
        <v>ファム ティ イエン</v>
      </c>
      <c r="H49" s="595" t="str">
        <f ca="1">IFERROR(__xludf.DUMMYFUNCTION("""COMPUTED_VALUE"""),"PHAM THI YEN")</f>
        <v>PHAM THI YEN</v>
      </c>
      <c r="I49" s="595" t="str">
        <f ca="1">IFERROR(__xludf.DUMMYFUNCTION("""COMPUTED_VALUE"""),"イエン")</f>
        <v>イエン</v>
      </c>
      <c r="J49" s="595" t="str">
        <f ca="1">IFERROR(__xludf.DUMMYFUNCTION("""COMPUTED_VALUE"""),"女")</f>
        <v>女</v>
      </c>
      <c r="K49" s="600">
        <f ca="1">IFERROR(__xludf.DUMMYFUNCTION("""COMPUTED_VALUE"""),30821)</f>
        <v>30821</v>
      </c>
      <c r="L49" s="595">
        <f ca="1">IFERROR(__xludf.DUMMYFUNCTION("""COMPUTED_VALUE"""),41)</f>
        <v>41</v>
      </c>
      <c r="M49" s="595" t="str">
        <f ca="1">IFERROR(__xludf.DUMMYFUNCTION("""COMPUTED_VALUE"""),"無")</f>
        <v>無</v>
      </c>
      <c r="N49" s="595" t="str">
        <f ca="1">IFERROR(__xludf.DUMMYFUNCTION("""COMPUTED_VALUE"""),"中四国")</f>
        <v>中四国</v>
      </c>
      <c r="O49" s="900">
        <f ca="1">IFERROR(__xludf.DUMMYFUNCTION("""COMPUTED_VALUE"""),45364)</f>
        <v>45364</v>
      </c>
      <c r="P49" s="595" t="str">
        <f ca="1">IFERROR(__xludf.DUMMYFUNCTION("""COMPUTED_VALUE"""),"2029/02")</f>
        <v>2029/02</v>
      </c>
      <c r="Q49" s="595" t="str">
        <f ca="1">IFERROR(__xludf.DUMMYFUNCTION("""COMPUTED_VALUE"""),"特定技能１号")</f>
        <v>特定技能１号</v>
      </c>
      <c r="R49" s="595" t="str">
        <f ca="1">IFERROR(__xludf.DUMMYFUNCTION("""COMPUTED_VALUE"""),"松山市上野町774番地ビレッジハウス松山上野1-303")</f>
        <v>松山市上野町774番地ビレッジハウス松山上野1-303</v>
      </c>
      <c r="S49" s="595" t="str">
        <f ca="1">IFERROR(__xludf.DUMMYFUNCTION("""COMPUTED_VALUE"""),"チン名義で
借りている")</f>
        <v>チン名義で
借りている</v>
      </c>
      <c r="T49" s="901">
        <f ca="1">IFERROR(__xludf.DUMMYFUNCTION("""COMPUTED_VALUE"""),0)</f>
        <v>0</v>
      </c>
      <c r="U49" s="600">
        <f ca="1">IFERROR(__xludf.DUMMYFUNCTION("""COMPUTED_VALUE"""),46006)</f>
        <v>46006</v>
      </c>
      <c r="V49" s="600">
        <f ca="1">IFERROR(__xludf.DUMMYFUNCTION("""COMPUTED_VALUE"""),47189)</f>
        <v>47189</v>
      </c>
      <c r="W49" s="595" t="str">
        <f ca="1">IFERROR(__xludf.DUMMYFUNCTION("""COMPUTED_VALUE"""),"LJ33663416PC")</f>
        <v>LJ33663416PC</v>
      </c>
      <c r="X49" s="595"/>
      <c r="Y49" s="596"/>
      <c r="Z49" s="595" t="str">
        <f ca="1">IFERROR(__xludf.DUMMYFUNCTION("""COMPUTED_VALUE"""),"2202-V183
通勤、買い物も会社支給
の自転車使用")</f>
        <v>2202-V183
通勤、買い物も会社支給
の自転車使用</v>
      </c>
      <c r="AA49" s="595"/>
      <c r="AB49" s="595"/>
      <c r="AC49" s="595"/>
      <c r="AD49" s="600"/>
      <c r="AE49" s="600">
        <f ca="1">IFERROR(__xludf.DUMMYFUNCTION("""COMPUTED_VALUE"""),46079)</f>
        <v>46079</v>
      </c>
      <c r="AF49" s="600">
        <f ca="1">IFERROR(__xludf.DUMMYFUNCTION("""COMPUTED_VALUE"""),46126)</f>
        <v>46126</v>
      </c>
      <c r="AG49" s="600"/>
      <c r="AH49" s="595" t="str">
        <f ca="1">IFERROR(__xludf.DUMMYFUNCTION("""COMPUTED_VALUE"""),"一時帰国")</f>
        <v>一時帰国</v>
      </c>
      <c r="AI49" s="600"/>
      <c r="AJ49" s="595"/>
      <c r="AK49" s="595"/>
      <c r="AL49" s="595" t="str">
        <f ca="1">IFERROR(__xludf.DUMMYFUNCTION("""COMPUTED_VALUE"""),"〇")</f>
        <v>〇</v>
      </c>
      <c r="AM49" s="596">
        <f ca="1">IFERROR(__xludf.DUMMYFUNCTION("""COMPUTED_VALUE"""),45363)</f>
        <v>45363</v>
      </c>
      <c r="AN49" s="595" t="str">
        <f ca="1">IFERROR(__xludf.DUMMYFUNCTION("""COMPUTED_VALUE"""),"2025/8/1～2029/2/28")</f>
        <v>2025/8/1～2029/2/28</v>
      </c>
      <c r="AO49" s="595"/>
      <c r="AP49" s="595" t="str">
        <f ca="1">IFERROR(__xludf.DUMMYFUNCTION("""COMPUTED_VALUE"""),"2024/09/25コーポ津吉1-6よりビレッジ2-503へ引越→通勤届済 3/11～3/26一時帰国を変更
2025/09/05引越　ビレッジ1-303へ（チン名義で借りる）
2025/10/21～バイク通勤へ。通勤届提出待ち
10/24通勤届一式提出済
2026/3/1～家の建築のため一時帰国したい申出。新開工場長へ報告済みだが、本人より伝えるよう伝える。")</f>
        <v>2024/09/25コーポ津吉1-6よりビレッジ2-503へ引越→通勤届済 3/11～3/26一時帰国を変更
2025/09/05引越　ビレッジ1-303へ（チン名義で借りる）
2025/10/21～バイク通勤へ。通勤届提出待ち
10/24通勤届一式提出済
2026/3/1～家の建築のため一時帰国したい申出。新開工場長へ報告済みだが、本人より伝えるよう伝える。</v>
      </c>
    </row>
    <row r="50" spans="1:42" ht="14.5">
      <c r="A50" s="595" t="str">
        <f ca="1">IFERROR(__xludf.DUMMYFUNCTION("""COMPUTED_VALUE"""),"一課")</f>
        <v>一課</v>
      </c>
      <c r="B50" s="595">
        <f ca="1">IFERROR(__xludf.DUMMYFUNCTION("""COMPUTED_VALUE"""),158)</f>
        <v>158</v>
      </c>
      <c r="C50" s="595" t="str">
        <f ca="1">IFERROR(__xludf.DUMMYFUNCTION("""COMPUTED_VALUE"""),"津吉")</f>
        <v>津吉</v>
      </c>
      <c r="D50" s="595" t="str">
        <f ca="1">IFERROR(__xludf.DUMMYFUNCTION("""COMPUTED_VALUE"""),"インドネシア")</f>
        <v>インドネシア</v>
      </c>
      <c r="E50" s="595" t="str">
        <f ca="1">IFERROR(__xludf.DUMMYFUNCTION("""COMPUTED_VALUE"""),"07013665")</f>
        <v>07013665</v>
      </c>
      <c r="F50" s="595" t="str">
        <f ca="1">IFERROR(__xludf.DUMMYFUNCTION("""COMPUTED_VALUE"""),"/appsheet/photograph/158.写真.032006.jpg")</f>
        <v>/appsheet/photograph/158.写真.032006.jpg</v>
      </c>
      <c r="G50" s="595" t="str">
        <f ca="1">IFERROR(__xludf.DUMMYFUNCTION("""COMPUTED_VALUE"""),"アイナセプティハプサリデウィ")</f>
        <v>アイナセプティハプサリデウィ</v>
      </c>
      <c r="H50" s="595" t="str">
        <f ca="1">IFERROR(__xludf.DUMMYFUNCTION("""COMPUTED_VALUE"""),"AINA SEPTI HAPSARI DEWI")</f>
        <v>AINA SEPTI HAPSARI DEWI</v>
      </c>
      <c r="I50" s="595"/>
      <c r="J50" s="595" t="str">
        <f ca="1">IFERROR(__xludf.DUMMYFUNCTION("""COMPUTED_VALUE"""),"女")</f>
        <v>女</v>
      </c>
      <c r="K50" s="600">
        <f ca="1">IFERROR(__xludf.DUMMYFUNCTION("""COMPUTED_VALUE"""),38240)</f>
        <v>38240</v>
      </c>
      <c r="L50" s="595">
        <f ca="1">IFERROR(__xludf.DUMMYFUNCTION("""COMPUTED_VALUE"""),21)</f>
        <v>21</v>
      </c>
      <c r="M50" s="595"/>
      <c r="N50" s="595" t="str">
        <f ca="1">IFERROR(__xludf.DUMMYFUNCTION("""COMPUTED_VALUE"""),"H&amp;C")</f>
        <v>H&amp;C</v>
      </c>
      <c r="O50" s="900">
        <f ca="1">IFERROR(__xludf.DUMMYFUNCTION("""COMPUTED_VALUE"""),45376)</f>
        <v>45376</v>
      </c>
      <c r="P50" s="595" t="str">
        <f ca="1">IFERROR(__xludf.DUMMYFUNCTION("""COMPUTED_VALUE"""),"2029/02")</f>
        <v>2029/02</v>
      </c>
      <c r="Q50" s="595" t="str">
        <f ca="1">IFERROR(__xludf.DUMMYFUNCTION("""COMPUTED_VALUE"""),"特定技能１号")</f>
        <v>特定技能１号</v>
      </c>
      <c r="R50" s="595" t="str">
        <f ca="1">IFERROR(__xludf.DUMMYFUNCTION("""COMPUTED_VALUE"""),"松山市上野町774番地ビレッジハウス松山上野2-502")</f>
        <v>松山市上野町774番地ビレッジハウス松山上野2-502</v>
      </c>
      <c r="S50" s="595" t="str">
        <f ca="1">IFERROR(__xludf.DUMMYFUNCTION("""COMPUTED_VALUE"""),"個")</f>
        <v>個</v>
      </c>
      <c r="T50" s="901">
        <f ca="1">IFERROR(__xludf.DUMMYFUNCTION("""COMPUTED_VALUE"""),15000)</f>
        <v>15000</v>
      </c>
      <c r="U50" s="600">
        <f ca="1">IFERROR(__xludf.DUMMYFUNCTION("""COMPUTED_VALUE"""),46047)</f>
        <v>46047</v>
      </c>
      <c r="V50" s="600">
        <f ca="1">IFERROR(__xludf.DUMMYFUNCTION("""COMPUTED_VALUE"""),47200)</f>
        <v>47200</v>
      </c>
      <c r="W50" s="595" t="str">
        <f ca="1">IFERROR(__xludf.DUMMYFUNCTION("""COMPUTED_VALUE"""),"LJ73076722PC")</f>
        <v>LJ73076722PC</v>
      </c>
      <c r="X50" s="595"/>
      <c r="Y50" s="596">
        <f ca="1">IFERROR(__xludf.DUMMYFUNCTION("""COMPUTED_VALUE"""),45376)</f>
        <v>45376</v>
      </c>
      <c r="Z50" s="595" t="str">
        <f ca="1">IFERROR(__xludf.DUMMYFUNCTION("""COMPUTED_VALUE"""),"2401-Ｂ－0325672")</f>
        <v>2401-Ｂ－0325672</v>
      </c>
      <c r="AA50" s="595"/>
      <c r="AB50" s="595" t="str">
        <f ca="1">IFERROR(__xludf.DUMMYFUNCTION("""COMPUTED_VALUE"""),"N3　2025/12")</f>
        <v>N3　2025/12</v>
      </c>
      <c r="AC50" s="595"/>
      <c r="AD50" s="600"/>
      <c r="AE50" s="600"/>
      <c r="AF50" s="600"/>
      <c r="AG50" s="600"/>
      <c r="AH50" s="595"/>
      <c r="AI50" s="600"/>
      <c r="AJ50" s="595"/>
      <c r="AK50" s="595" t="str">
        <f ca="1">IFERROR(__xludf.DUMMYFUNCTION("""COMPUTED_VALUE"""),"小林主任")</f>
        <v>小林主任</v>
      </c>
      <c r="AL50" s="595" t="str">
        <f ca="1">IFERROR(__xludf.DUMMYFUNCTION("""COMPUTED_VALUE"""),"〇")</f>
        <v>〇</v>
      </c>
      <c r="AM50" s="596">
        <f ca="1">IFERROR(__xludf.DUMMYFUNCTION("""COMPUTED_VALUE"""),45373)</f>
        <v>45373</v>
      </c>
      <c r="AN50" s="595" t="str">
        <f ca="1">IFERROR(__xludf.DUMMYFUNCTION("""COMPUTED_VALUE"""),"2025/6/1～2029/3/31")</f>
        <v>2025/6/1～2029/3/31</v>
      </c>
      <c r="AO50" s="595"/>
      <c r="AP50" s="595" t="str">
        <f ca="1">IFERROR(__xludf.DUMMYFUNCTION("""COMPUTED_VALUE"""),"2025/3/29～大部屋→1号館別棟1人部屋へ　家賃15,000-へ変更
2025.6.20引越　牛渕170-3→ﾋﾞﾚｯｼﾞ2-502へ")</f>
        <v>2025/3/29～大部屋→1号館別棟1人部屋へ　家賃15,000-へ変更
2025.6.20引越　牛渕170-3→ﾋﾞﾚｯｼﾞ2-502へ</v>
      </c>
    </row>
    <row r="51" spans="1:42" ht="14.5">
      <c r="A51" s="595" t="str">
        <f ca="1">IFERROR(__xludf.DUMMYFUNCTION("""COMPUTED_VALUE"""),"四課")</f>
        <v>四課</v>
      </c>
      <c r="B51" s="595">
        <f ca="1">IFERROR(__xludf.DUMMYFUNCTION("""COMPUTED_VALUE"""),159)</f>
        <v>159</v>
      </c>
      <c r="C51" s="595" t="str">
        <f ca="1">IFERROR(__xludf.DUMMYFUNCTION("""COMPUTED_VALUE"""),"津吉")</f>
        <v>津吉</v>
      </c>
      <c r="D51" s="595" t="str">
        <f ca="1">IFERROR(__xludf.DUMMYFUNCTION("""COMPUTED_VALUE"""),"インドネシア")</f>
        <v>インドネシア</v>
      </c>
      <c r="E51" s="595" t="str">
        <f ca="1">IFERROR(__xludf.DUMMYFUNCTION("""COMPUTED_VALUE"""),"07013666")</f>
        <v>07013666</v>
      </c>
      <c r="F51" s="595" t="str">
        <f ca="1">IFERROR(__xludf.DUMMYFUNCTION("""COMPUTED_VALUE"""),"/appsheet/photograph/159.写真.025829.jpg")</f>
        <v>/appsheet/photograph/159.写真.025829.jpg</v>
      </c>
      <c r="G51" s="595" t="str">
        <f ca="1">IFERROR(__xludf.DUMMYFUNCTION("""COMPUTED_VALUE"""),"サラーナズアファヒラ")</f>
        <v>サラーナズアファヒラ</v>
      </c>
      <c r="H51" s="595" t="str">
        <f ca="1">IFERROR(__xludf.DUMMYFUNCTION("""COMPUTED_VALUE"""),"SARAH NAZWA FAHIRA")</f>
        <v>SARAH NAZWA FAHIRA</v>
      </c>
      <c r="I51" s="595" t="str">
        <f ca="1">IFERROR(__xludf.DUMMYFUNCTION("""COMPUTED_VALUE"""),"サラー")</f>
        <v>サラー</v>
      </c>
      <c r="J51" s="595" t="str">
        <f ca="1">IFERROR(__xludf.DUMMYFUNCTION("""COMPUTED_VALUE"""),"女")</f>
        <v>女</v>
      </c>
      <c r="K51" s="600">
        <f ca="1">IFERROR(__xludf.DUMMYFUNCTION("""COMPUTED_VALUE"""),38316)</f>
        <v>38316</v>
      </c>
      <c r="L51" s="595">
        <f ca="1">IFERROR(__xludf.DUMMYFUNCTION("""COMPUTED_VALUE"""),21)</f>
        <v>21</v>
      </c>
      <c r="M51" s="595" t="str">
        <f ca="1">IFERROR(__xludf.DUMMYFUNCTION("""COMPUTED_VALUE"""),"無")</f>
        <v>無</v>
      </c>
      <c r="N51" s="595" t="str">
        <f ca="1">IFERROR(__xludf.DUMMYFUNCTION("""COMPUTED_VALUE"""),"H&amp;C")</f>
        <v>H&amp;C</v>
      </c>
      <c r="O51" s="900">
        <f ca="1">IFERROR(__xludf.DUMMYFUNCTION("""COMPUTED_VALUE"""),45376)</f>
        <v>45376</v>
      </c>
      <c r="P51" s="595" t="str">
        <f ca="1">IFERROR(__xludf.DUMMYFUNCTION("""COMPUTED_VALUE"""),"2029/02")</f>
        <v>2029/02</v>
      </c>
      <c r="Q51" s="595" t="str">
        <f ca="1">IFERROR(__xludf.DUMMYFUNCTION("""COMPUTED_VALUE"""),"特定技能１号")</f>
        <v>特定技能１号</v>
      </c>
      <c r="R51" s="595" t="str">
        <f ca="1">IFERROR(__xludf.DUMMYFUNCTION("""COMPUTED_VALUE"""),"松山市上野町774番地ビレッジハウス松山上野2-502")</f>
        <v>松山市上野町774番地ビレッジハウス松山上野2-502</v>
      </c>
      <c r="S51" s="595" t="str">
        <f ca="1">IFERROR(__xludf.DUMMYFUNCTION("""COMPUTED_VALUE"""),"個")</f>
        <v>個</v>
      </c>
      <c r="T51" s="901">
        <f ca="1">IFERROR(__xludf.DUMMYFUNCTION("""COMPUTED_VALUE"""),15000)</f>
        <v>15000</v>
      </c>
      <c r="U51" s="600">
        <f ca="1">IFERROR(__xludf.DUMMYFUNCTION("""COMPUTED_VALUE"""),46047)</f>
        <v>46047</v>
      </c>
      <c r="V51" s="600">
        <f ca="1">IFERROR(__xludf.DUMMYFUNCTION("""COMPUTED_VALUE"""),47200)</f>
        <v>47200</v>
      </c>
      <c r="W51" s="595" t="str">
        <f ca="1">IFERROR(__xludf.DUMMYFUNCTION("""COMPUTED_VALUE"""),"LJ42309804PC")</f>
        <v>LJ42309804PC</v>
      </c>
      <c r="X51" s="595"/>
      <c r="Y51" s="596">
        <f ca="1">IFERROR(__xludf.DUMMYFUNCTION("""COMPUTED_VALUE"""),45376)</f>
        <v>45376</v>
      </c>
      <c r="Z51" s="595" t="str">
        <f ca="1">IFERROR(__xludf.DUMMYFUNCTION("""COMPUTED_VALUE"""),"2403-Ｂ－0325671")</f>
        <v>2403-Ｂ－0325671</v>
      </c>
      <c r="AA51" s="595" t="str">
        <f ca="1">IFERROR(__xludf.DUMMYFUNCTION("""COMPUTED_VALUE"""),"2015/12/06")</f>
        <v>2015/12/06</v>
      </c>
      <c r="AB51" s="595"/>
      <c r="AC51" s="595"/>
      <c r="AD51" s="600"/>
      <c r="AE51" s="600"/>
      <c r="AF51" s="600"/>
      <c r="AG51" s="600"/>
      <c r="AH51" s="595"/>
      <c r="AI51" s="600"/>
      <c r="AJ51" s="595"/>
      <c r="AK51" s="595" t="str">
        <f ca="1">IFERROR(__xludf.DUMMYFUNCTION("""COMPUTED_VALUE"""),"大西係長")</f>
        <v>大西係長</v>
      </c>
      <c r="AL51" s="595" t="str">
        <f ca="1">IFERROR(__xludf.DUMMYFUNCTION("""COMPUTED_VALUE"""),"〇")</f>
        <v>〇</v>
      </c>
      <c r="AM51" s="596">
        <f ca="1">IFERROR(__xludf.DUMMYFUNCTION("""COMPUTED_VALUE"""),45373)</f>
        <v>45373</v>
      </c>
      <c r="AN51" s="595" t="str">
        <f ca="1">IFERROR(__xludf.DUMMYFUNCTION("""COMPUTED_VALUE"""),"2025/6/1～2029/３/31")</f>
        <v>2025/6/1～2029/３/31</v>
      </c>
      <c r="AO51" s="595"/>
      <c r="AP51" s="595" t="str">
        <f ca="1">IFERROR(__xludf.DUMMYFUNCTION("""COMPUTED_VALUE"""),"カナ表記相違との連絡あり　誤）ワ→正）ア（4/4H&amp;Cより）
24.3.22入寮（3/22-3/29までﾋﾞﾚｯｼﾞで待機）3/30に牛渕へ引越済
2025/3/29～大部屋→1号館別棟1人部屋へ　家賃15,000-へ変更
2025/06/20引越　牛渕170-3→ﾋﾞﾚｯｼﾞ2-502へ")</f>
        <v>カナ表記相違との連絡あり　誤）ワ→正）ア（4/4H&amp;Cより）
24.3.22入寮（3/22-3/29までﾋﾞﾚｯｼﾞで待機）3/30に牛渕へ引越済
2025/3/29～大部屋→1号館別棟1人部屋へ　家賃15,000-へ変更
2025/06/20引越　牛渕170-3→ﾋﾞﾚｯｼﾞ2-502へ</v>
      </c>
    </row>
    <row r="52" spans="1:42" ht="14.5">
      <c r="A52" s="595" t="str">
        <f ca="1">IFERROR(__xludf.DUMMYFUNCTION("""COMPUTED_VALUE"""),"一課")</f>
        <v>一課</v>
      </c>
      <c r="B52" s="595">
        <f ca="1">IFERROR(__xludf.DUMMYFUNCTION("""COMPUTED_VALUE"""),160)</f>
        <v>160</v>
      </c>
      <c r="C52" s="595" t="str">
        <f ca="1">IFERROR(__xludf.DUMMYFUNCTION("""COMPUTED_VALUE"""),"津吉")</f>
        <v>津吉</v>
      </c>
      <c r="D52" s="595" t="str">
        <f ca="1">IFERROR(__xludf.DUMMYFUNCTION("""COMPUTED_VALUE"""),"インドネシア")</f>
        <v>インドネシア</v>
      </c>
      <c r="E52" s="595" t="str">
        <f ca="1">IFERROR(__xludf.DUMMYFUNCTION("""COMPUTED_VALUE"""),"07013667")</f>
        <v>07013667</v>
      </c>
      <c r="F52" s="595" t="str">
        <f ca="1">IFERROR(__xludf.DUMMYFUNCTION("""COMPUTED_VALUE"""),"/appsheet/photograph/160.写真.032301.jpg")</f>
        <v>/appsheet/photograph/160.写真.032301.jpg</v>
      </c>
      <c r="G52" s="595" t="str">
        <f ca="1">IFERROR(__xludf.DUMMYFUNCTION("""COMPUTED_VALUE"""),"ユナンダ ムルニアシー")</f>
        <v>ユナンダ ムルニアシー</v>
      </c>
      <c r="H52" s="595" t="str">
        <f ca="1">IFERROR(__xludf.DUMMYFUNCTION("""COMPUTED_VALUE"""),"YUNANDA MURNIASIH")</f>
        <v>YUNANDA MURNIASIH</v>
      </c>
      <c r="I52" s="595" t="str">
        <f ca="1">IFERROR(__xludf.DUMMYFUNCTION("""COMPUTED_VALUE"""),"ユナンダ")</f>
        <v>ユナンダ</v>
      </c>
      <c r="J52" s="595" t="str">
        <f ca="1">IFERROR(__xludf.DUMMYFUNCTION("""COMPUTED_VALUE"""),"女")</f>
        <v>女</v>
      </c>
      <c r="K52" s="600">
        <f ca="1">IFERROR(__xludf.DUMMYFUNCTION("""COMPUTED_VALUE"""),38128)</f>
        <v>38128</v>
      </c>
      <c r="L52" s="595">
        <f ca="1">IFERROR(__xludf.DUMMYFUNCTION("""COMPUTED_VALUE"""),21)</f>
        <v>21</v>
      </c>
      <c r="M52" s="595"/>
      <c r="N52" s="595" t="str">
        <f ca="1">IFERROR(__xludf.DUMMYFUNCTION("""COMPUTED_VALUE"""),"H&amp;C")</f>
        <v>H&amp;C</v>
      </c>
      <c r="O52" s="900">
        <f ca="1">IFERROR(__xludf.DUMMYFUNCTION("""COMPUTED_VALUE"""),45376)</f>
        <v>45376</v>
      </c>
      <c r="P52" s="595" t="str">
        <f ca="1">IFERROR(__xludf.DUMMYFUNCTION("""COMPUTED_VALUE"""),"2029/02")</f>
        <v>2029/02</v>
      </c>
      <c r="Q52" s="595" t="str">
        <f ca="1">IFERROR(__xludf.DUMMYFUNCTION("""COMPUTED_VALUE"""),"特定技能１号")</f>
        <v>特定技能１号</v>
      </c>
      <c r="R52" s="595" t="str">
        <f ca="1">IFERROR(__xludf.DUMMYFUNCTION("""COMPUTED_VALUE"""),"松山市上野町774番地ビレッジハウス松山上野3-501")</f>
        <v>松山市上野町774番地ビレッジハウス松山上野3-501</v>
      </c>
      <c r="S52" s="595" t="str">
        <f ca="1">IFERROR(__xludf.DUMMYFUNCTION("""COMPUTED_VALUE"""),"個")</f>
        <v>個</v>
      </c>
      <c r="T52" s="901">
        <f ca="1">IFERROR(__xludf.DUMMYFUNCTION("""COMPUTED_VALUE"""),15000)</f>
        <v>15000</v>
      </c>
      <c r="U52" s="600">
        <f ca="1">IFERROR(__xludf.DUMMYFUNCTION("""COMPUTED_VALUE"""),46047)</f>
        <v>46047</v>
      </c>
      <c r="V52" s="600">
        <f ca="1">IFERROR(__xludf.DUMMYFUNCTION("""COMPUTED_VALUE"""),47200)</f>
        <v>47200</v>
      </c>
      <c r="W52" s="595" t="str">
        <f ca="1">IFERROR(__xludf.DUMMYFUNCTION("""COMPUTED_VALUE"""),"LJ26674986PC")</f>
        <v>LJ26674986PC</v>
      </c>
      <c r="X52" s="595"/>
      <c r="Y52" s="596">
        <f ca="1">IFERROR(__xludf.DUMMYFUNCTION("""COMPUTED_VALUE"""),45376)</f>
        <v>45376</v>
      </c>
      <c r="Z52" s="595" t="str">
        <f ca="1">IFERROR(__xludf.DUMMYFUNCTION("""COMPUTED_VALUE"""),"2402-Ｂ－0325673")</f>
        <v>2402-Ｂ－0325673</v>
      </c>
      <c r="AA52" s="595"/>
      <c r="AB52" s="595"/>
      <c r="AC52" s="595"/>
      <c r="AD52" s="600"/>
      <c r="AE52" s="600"/>
      <c r="AF52" s="600"/>
      <c r="AG52" s="600"/>
      <c r="AH52" s="595"/>
      <c r="AI52" s="600"/>
      <c r="AJ52" s="595"/>
      <c r="AK52" s="595" t="str">
        <f ca="1">IFERROR(__xludf.DUMMYFUNCTION("""COMPUTED_VALUE"""),"小林主任")</f>
        <v>小林主任</v>
      </c>
      <c r="AL52" s="595" t="str">
        <f ca="1">IFERROR(__xludf.DUMMYFUNCTION("""COMPUTED_VALUE"""),"〇")</f>
        <v>〇</v>
      </c>
      <c r="AM52" s="596"/>
      <c r="AN52" s="595" t="str">
        <f ca="1">IFERROR(__xludf.DUMMYFUNCTION("""COMPUTED_VALUE"""),"2025/6/1～2029/3/31")</f>
        <v>2025/6/1～2029/3/31</v>
      </c>
      <c r="AO52" s="595"/>
      <c r="AP52" s="595" t="str">
        <f ca="1">IFERROR(__xludf.DUMMYFUNCTION("""COMPUTED_VALUE"""),"24.3.22入寮（3/22-3/29までﾋﾞﾚｯｼﾞで待機）3/30に牛渕170-3へ引越済
名前の読み方確認中（H&amp;Cへ確認済4/17）
2025/3/29～大部屋→1号館1人部屋へ　家賃15,000-へ変更
ﾋﾞﾚｯｼﾞへ引越希望2025.5.16
2025.6.20引越　牛渕170-3→ﾋﾞﾚｯｼﾞ3-501へ")</f>
        <v>24.3.22入寮（3/22-3/29までﾋﾞﾚｯｼﾞで待機）3/30に牛渕170-3へ引越済
名前の読み方確認中（H&amp;Cへ確認済4/17）
2025/3/29～大部屋→1号館1人部屋へ　家賃15,000-へ変更
ﾋﾞﾚｯｼﾞへ引越希望2025.5.16
2025.6.20引越　牛渕170-3→ﾋﾞﾚｯｼﾞ3-501へ</v>
      </c>
    </row>
    <row r="53" spans="1:42" ht="14.5">
      <c r="A53" s="595" t="str">
        <f ca="1">IFERROR(__xludf.DUMMYFUNCTION("""COMPUTED_VALUE"""),"一課")</f>
        <v>一課</v>
      </c>
      <c r="B53" s="595">
        <f ca="1">IFERROR(__xludf.DUMMYFUNCTION("""COMPUTED_VALUE"""),162)</f>
        <v>162</v>
      </c>
      <c r="C53" s="595" t="str">
        <f ca="1">IFERROR(__xludf.DUMMYFUNCTION("""COMPUTED_VALUE"""),"津吉")</f>
        <v>津吉</v>
      </c>
      <c r="D53" s="595" t="str">
        <f ca="1">IFERROR(__xludf.DUMMYFUNCTION("""COMPUTED_VALUE"""),"インドネシア")</f>
        <v>インドネシア</v>
      </c>
      <c r="E53" s="595" t="str">
        <f ca="1">IFERROR(__xludf.DUMMYFUNCTION("""COMPUTED_VALUE"""),"07013669")</f>
        <v>07013669</v>
      </c>
      <c r="F53" s="595" t="str">
        <f ca="1">IFERROR(__xludf.DUMMYFUNCTION("""COMPUTED_VALUE"""),"/appsheet/photograph/162.写真.031335.jpg")</f>
        <v>/appsheet/photograph/162.写真.031335.jpg</v>
      </c>
      <c r="G53" s="595" t="str">
        <f ca="1">IFERROR(__xludf.DUMMYFUNCTION("""COMPUTED_VALUE"""),"アプリヨノ")</f>
        <v>アプリヨノ</v>
      </c>
      <c r="H53" s="595" t="str">
        <f ca="1">IFERROR(__xludf.DUMMYFUNCTION("""COMPUTED_VALUE"""),"APRILIYONO")</f>
        <v>APRILIYONO</v>
      </c>
      <c r="I53" s="595"/>
      <c r="J53" s="595" t="str">
        <f ca="1">IFERROR(__xludf.DUMMYFUNCTION("""COMPUTED_VALUE"""),"男")</f>
        <v>男</v>
      </c>
      <c r="K53" s="600">
        <f ca="1">IFERROR(__xludf.DUMMYFUNCTION("""COMPUTED_VALUE"""),37734)</f>
        <v>37734</v>
      </c>
      <c r="L53" s="595">
        <f ca="1">IFERROR(__xludf.DUMMYFUNCTION("""COMPUTED_VALUE"""),22)</f>
        <v>22</v>
      </c>
      <c r="M53" s="595"/>
      <c r="N53" s="595" t="str">
        <f ca="1">IFERROR(__xludf.DUMMYFUNCTION("""COMPUTED_VALUE"""),"H&amp;C")</f>
        <v>H&amp;C</v>
      </c>
      <c r="O53" s="900">
        <f ca="1">IFERROR(__xludf.DUMMYFUNCTION("""COMPUTED_VALUE"""),45376)</f>
        <v>45376</v>
      </c>
      <c r="P53" s="595" t="str">
        <f ca="1">IFERROR(__xludf.DUMMYFUNCTION("""COMPUTED_VALUE"""),"2029/02")</f>
        <v>2029/02</v>
      </c>
      <c r="Q53" s="595" t="str">
        <f ca="1">IFERROR(__xludf.DUMMYFUNCTION("""COMPUTED_VALUE"""),"特定技能１号")</f>
        <v>特定技能１号</v>
      </c>
      <c r="R53" s="595" t="str">
        <f ca="1">IFERROR(__xludf.DUMMYFUNCTION("""COMPUTED_VALUE"""),"松山市上野町774番地ビレッジハウス松山上野3-508")</f>
        <v>松山市上野町774番地ビレッジハウス松山上野3-508</v>
      </c>
      <c r="S53" s="595" t="str">
        <f ca="1">IFERROR(__xludf.DUMMYFUNCTION("""COMPUTED_VALUE"""),"個")</f>
        <v>個</v>
      </c>
      <c r="T53" s="901">
        <f ca="1">IFERROR(__xludf.DUMMYFUNCTION("""COMPUTED_VALUE"""),15000)</f>
        <v>15000</v>
      </c>
      <c r="U53" s="600">
        <f ca="1">IFERROR(__xludf.DUMMYFUNCTION("""COMPUTED_VALUE"""),46047)</f>
        <v>46047</v>
      </c>
      <c r="V53" s="600">
        <f ca="1">IFERROR(__xludf.DUMMYFUNCTION("""COMPUTED_VALUE"""),47200)</f>
        <v>47200</v>
      </c>
      <c r="W53" s="595" t="str">
        <f ca="1">IFERROR(__xludf.DUMMYFUNCTION("""COMPUTED_VALUE"""),"LJ18840473PC")</f>
        <v>LJ18840473PC</v>
      </c>
      <c r="X53" s="595"/>
      <c r="Y53" s="596">
        <f ca="1">IFERROR(__xludf.DUMMYFUNCTION("""COMPUTED_VALUE"""),45376)</f>
        <v>45376</v>
      </c>
      <c r="Z53" s="595" t="str">
        <f ca="1">IFERROR(__xludf.DUMMYFUNCTION("""COMPUTED_VALUE"""),"2405-Ｂ－0325669")</f>
        <v>2405-Ｂ－0325669</v>
      </c>
      <c r="AA53" s="595"/>
      <c r="AB53" s="595" t="str">
        <f ca="1">IFERROR(__xludf.DUMMYFUNCTION("""COMPUTED_VALUE"""),"N3
 2025/07")</f>
        <v>N3
 2025/07</v>
      </c>
      <c r="AC53" s="595"/>
      <c r="AD53" s="600"/>
      <c r="AE53" s="600">
        <f ca="1">IFERROR(__xludf.DUMMYFUNCTION("""COMPUTED_VALUE"""),46144)</f>
        <v>46144</v>
      </c>
      <c r="AF53" s="600">
        <f ca="1">IFERROR(__xludf.DUMMYFUNCTION("""COMPUTED_VALUE"""),46175)</f>
        <v>46175</v>
      </c>
      <c r="AG53" s="600"/>
      <c r="AH53" s="595" t="str">
        <f ca="1">IFERROR(__xludf.DUMMYFUNCTION("""COMPUTED_VALUE"""),"一時帰国予定")</f>
        <v>一時帰国予定</v>
      </c>
      <c r="AI53" s="600"/>
      <c r="AJ53" s="595"/>
      <c r="AK53" s="595" t="str">
        <f ca="1">IFERROR(__xludf.DUMMYFUNCTION("""COMPUTED_VALUE"""),"小林主任")</f>
        <v>小林主任</v>
      </c>
      <c r="AL53" s="595" t="str">
        <f ca="1">IFERROR(__xludf.DUMMYFUNCTION("""COMPUTED_VALUE"""),"〇")</f>
        <v>〇</v>
      </c>
      <c r="AM53" s="596">
        <f ca="1">IFERROR(__xludf.DUMMYFUNCTION("""COMPUTED_VALUE"""),45373)</f>
        <v>45373</v>
      </c>
      <c r="AN53" s="595" t="str">
        <f ca="1">IFERROR(__xludf.DUMMYFUNCTION("""COMPUTED_VALUE"""),"2025/6/1～2029/3/31")</f>
        <v>2025/6/1～2029/3/31</v>
      </c>
      <c r="AO53" s="595"/>
      <c r="AP53" s="595" t="str">
        <f ca="1">IFERROR(__xludf.DUMMYFUNCTION("""COMPUTED_VALUE"""),"2024.5.8引越ﾋﾞﾚｯｼﾞﾊｳｽ4-507→ﾋﾞﾚｯｼﾞﾊｳｽ3-508へ
24.3.22入寮予定⇒ｲﾝﾌﾙｴﾝｻﾞの為、ﾋﾞｼﾞﾈｽﾎﾃﾙ
で待機後3/26～入寮
N3手当2025.9月給料～￥5000
2026/5/2～6/2まで一時帰国予定。新開工場長へ
許可をもらったとのこと。チケット送付依頼")</f>
        <v>2024.5.8引越ﾋﾞﾚｯｼﾞﾊｳｽ4-507→ﾋﾞﾚｯｼﾞﾊｳｽ3-508へ
24.3.22入寮予定⇒ｲﾝﾌﾙｴﾝｻﾞの為、ﾋﾞｼﾞﾈｽﾎﾃﾙ
で待機後3/26～入寮
N3手当2025.9月給料～￥5000
2026/5/2～6/2まで一時帰国予定。新開工場長へ
許可をもらったとのこと。チケット送付依頼</v>
      </c>
    </row>
    <row r="54" spans="1:42" ht="14.5">
      <c r="A54" s="595"/>
      <c r="B54" s="595">
        <f ca="1">IFERROR(__xludf.DUMMYFUNCTION("""COMPUTED_VALUE"""),163)</f>
        <v>163</v>
      </c>
      <c r="C54" s="595" t="str">
        <f ca="1">IFERROR(__xludf.DUMMYFUNCTION("""COMPUTED_VALUE"""),"津吉")</f>
        <v>津吉</v>
      </c>
      <c r="D54" s="595" t="str">
        <f ca="1">IFERROR(__xludf.DUMMYFUNCTION("""COMPUTED_VALUE"""),"ベトナム")</f>
        <v>ベトナム</v>
      </c>
      <c r="E54" s="595" t="str">
        <f ca="1">IFERROR(__xludf.DUMMYFUNCTION("""COMPUTED_VALUE"""),"07011612")</f>
        <v>07011612</v>
      </c>
      <c r="F54" s="595" t="str">
        <f ca="1">IFERROR(__xludf.DUMMYFUNCTION("""COMPUTED_VALUE"""),"/appsheet/photograph/163.写真.032456.jpg")</f>
        <v>/appsheet/photograph/163.写真.032456.jpg</v>
      </c>
      <c r="G54" s="595" t="str">
        <f ca="1">IFERROR(__xludf.DUMMYFUNCTION("""COMPUTED_VALUE"""),"ホアン ティ ハン")</f>
        <v>ホアン ティ ハン</v>
      </c>
      <c r="H54" s="595" t="str">
        <f ca="1">IFERROR(__xludf.DUMMYFUNCTION("""COMPUTED_VALUE"""),"HOANG THI HAN")</f>
        <v>HOANG THI HAN</v>
      </c>
      <c r="I54" s="595" t="str">
        <f ca="1">IFERROR(__xludf.DUMMYFUNCTION("""COMPUTED_VALUE"""),"ハン")</f>
        <v>ハン</v>
      </c>
      <c r="J54" s="595" t="str">
        <f ca="1">IFERROR(__xludf.DUMMYFUNCTION("""COMPUTED_VALUE"""),"女")</f>
        <v>女</v>
      </c>
      <c r="K54" s="600">
        <f ca="1">IFERROR(__xludf.DUMMYFUNCTION("""COMPUTED_VALUE"""),32890)</f>
        <v>32890</v>
      </c>
      <c r="L54" s="595">
        <f ca="1">IFERROR(__xludf.DUMMYFUNCTION("""COMPUTED_VALUE"""),36)</f>
        <v>36</v>
      </c>
      <c r="M54" s="595" t="str">
        <f ca="1">IFERROR(__xludf.DUMMYFUNCTION("""COMPUTED_VALUE"""),"有")</f>
        <v>有</v>
      </c>
      <c r="N54" s="595" t="str">
        <f ca="1">IFERROR(__xludf.DUMMYFUNCTION("""COMPUTED_VALUE"""),"中四国")</f>
        <v>中四国</v>
      </c>
      <c r="O54" s="900">
        <f ca="1">IFERROR(__xludf.DUMMYFUNCTION("""COMPUTED_VALUE"""),45388)</f>
        <v>45388</v>
      </c>
      <c r="P54" s="595" t="str">
        <f ca="1">IFERROR(__xludf.DUMMYFUNCTION("""COMPUTED_VALUE"""),"2029/03")</f>
        <v>2029/03</v>
      </c>
      <c r="Q54" s="595" t="str">
        <f ca="1">IFERROR(__xludf.DUMMYFUNCTION("""COMPUTED_VALUE"""),"特定技能１号")</f>
        <v>特定技能１号</v>
      </c>
      <c r="R54" s="595" t="str">
        <f ca="1">IFERROR(__xludf.DUMMYFUNCTION("""COMPUTED_VALUE"""),"松山市津吉町535-1コーポ津吉1-2")</f>
        <v>松山市津吉町535-1コーポ津吉1-2</v>
      </c>
      <c r="S54" s="595" t="str">
        <f ca="1">IFERROR(__xludf.DUMMYFUNCTION("""COMPUTED_VALUE"""),"個")</f>
        <v>個</v>
      </c>
      <c r="T54" s="901">
        <f ca="1">IFERROR(__xludf.DUMMYFUNCTION("""COMPUTED_VALUE"""),20000)</f>
        <v>20000</v>
      </c>
      <c r="U54" s="600">
        <f ca="1">IFERROR(__xludf.DUMMYFUNCTION("""COMPUTED_VALUE"""),46047)</f>
        <v>46047</v>
      </c>
      <c r="V54" s="600">
        <f ca="1">IFERROR(__xludf.DUMMYFUNCTION("""COMPUTED_VALUE"""),47217)</f>
        <v>47217</v>
      </c>
      <c r="W54" s="595" t="str">
        <f ca="1">IFERROR(__xludf.DUMMYFUNCTION("""COMPUTED_VALUE"""),"LJ41076546PC")</f>
        <v>LJ41076546PC</v>
      </c>
      <c r="X54" s="595"/>
      <c r="Y54" s="596">
        <f ca="1">IFERROR(__xludf.DUMMYFUNCTION("""COMPUTED_VALUE"""),45386)</f>
        <v>45386</v>
      </c>
      <c r="Z54" s="595" t="str">
        <f ca="1">IFERROR(__xludf.DUMMYFUNCTION("""COMPUTED_VALUE"""),"2406-B-0274807
シルバー26ｲﾝﾁABELIA
買い物はｱｼｽﾄ自転車
茶　ﾔﾏﾊ　ﾊﾟｽwith
B-0175328")</f>
        <v>2406-B-0274807
シルバー26ｲﾝﾁABELIA
買い物はｱｼｽﾄ自転車
茶　ﾔﾏﾊ　ﾊﾟｽwith
B-0175328</v>
      </c>
      <c r="AA54" s="595"/>
      <c r="AB54" s="595"/>
      <c r="AC54" s="595"/>
      <c r="AD54" s="600"/>
      <c r="AE54" s="600"/>
      <c r="AF54" s="600"/>
      <c r="AG54" s="600"/>
      <c r="AH54" s="595"/>
      <c r="AI54" s="600"/>
      <c r="AJ54" s="595"/>
      <c r="AK54" s="595"/>
      <c r="AL54" s="595" t="str">
        <f ca="1">IFERROR(__xludf.DUMMYFUNCTION("""COMPUTED_VALUE"""),"〇")</f>
        <v>〇</v>
      </c>
      <c r="AM54" s="596">
        <f ca="1">IFERROR(__xludf.DUMMYFUNCTION("""COMPUTED_VALUE"""),45386)</f>
        <v>45386</v>
      </c>
      <c r="AN54" s="595" t="str">
        <f ca="1">IFERROR(__xludf.DUMMYFUNCTION("""COMPUTED_VALUE"""),"2025/8/1～2029/3/31")</f>
        <v>2025/8/1～2029/3/31</v>
      </c>
      <c r="AO54" s="595"/>
      <c r="AP54" s="595" t="str">
        <f ca="1">IFERROR(__xludf.DUMMYFUNCTION("""COMPUTED_VALUE"""),"元ポエム　2024.4.4入寮
2026.1月　特定2号受験予定")</f>
        <v>元ポエム　2024.4.4入寮
2026.1月　特定2号受験予定</v>
      </c>
    </row>
    <row r="55" spans="1:42" ht="14.5">
      <c r="A55" s="595"/>
      <c r="B55" s="595">
        <f ca="1">IFERROR(__xludf.DUMMYFUNCTION("""COMPUTED_VALUE"""),167)</f>
        <v>167</v>
      </c>
      <c r="C55" s="595" t="str">
        <f ca="1">IFERROR(__xludf.DUMMYFUNCTION("""COMPUTED_VALUE"""),"津吉")</f>
        <v>津吉</v>
      </c>
      <c r="D55" s="595" t="str">
        <f ca="1">IFERROR(__xludf.DUMMYFUNCTION("""COMPUTED_VALUE"""),"ベトナム")</f>
        <v>ベトナム</v>
      </c>
      <c r="E55" s="595" t="str">
        <f ca="1">IFERROR(__xludf.DUMMYFUNCTION("""COMPUTED_VALUE"""),"07012619")</f>
        <v>07012619</v>
      </c>
      <c r="F55" s="595" t="str">
        <f ca="1">IFERROR(__xludf.DUMMYFUNCTION("""COMPUTED_VALUE"""),"/appsheet/photograph/167.写真.031347.jpg")</f>
        <v>/appsheet/photograph/167.写真.031347.jpg</v>
      </c>
      <c r="G55" s="595" t="str">
        <f ca="1">IFERROR(__xludf.DUMMYFUNCTION("""COMPUTED_VALUE"""),"ズオン ゴク ハン")</f>
        <v>ズオン ゴク ハン</v>
      </c>
      <c r="H55" s="595" t="str">
        <f ca="1">IFERROR(__xludf.DUMMYFUNCTION("""COMPUTED_VALUE"""),"DUONG NGOC HAN")</f>
        <v>DUONG NGOC HAN</v>
      </c>
      <c r="I55" s="595"/>
      <c r="J55" s="595" t="str">
        <f ca="1">IFERROR(__xludf.DUMMYFUNCTION("""COMPUTED_VALUE"""),"女")</f>
        <v>女</v>
      </c>
      <c r="K55" s="600">
        <f ca="1">IFERROR(__xludf.DUMMYFUNCTION("""COMPUTED_VALUE"""),35380)</f>
        <v>35380</v>
      </c>
      <c r="L55" s="595">
        <f ca="1">IFERROR(__xludf.DUMMYFUNCTION("""COMPUTED_VALUE"""),29)</f>
        <v>29</v>
      </c>
      <c r="M55" s="595" t="str">
        <f ca="1">IFERROR(__xludf.DUMMYFUNCTION("""COMPUTED_VALUE"""),"有")</f>
        <v>有</v>
      </c>
      <c r="N55" s="595" t="str">
        <f ca="1">IFERROR(__xludf.DUMMYFUNCTION("""COMPUTED_VALUE"""),"デルタ四国")</f>
        <v>デルタ四国</v>
      </c>
      <c r="O55" s="900">
        <f ca="1">IFERROR(__xludf.DUMMYFUNCTION("""COMPUTED_VALUE"""),45489)</f>
        <v>45489</v>
      </c>
      <c r="P55" s="595" t="str">
        <f ca="1">IFERROR(__xludf.DUMMYFUNCTION("""COMPUTED_VALUE"""),"2029/06")</f>
        <v>2029/06</v>
      </c>
      <c r="Q55" s="595" t="str">
        <f ca="1">IFERROR(__xludf.DUMMYFUNCTION("""COMPUTED_VALUE"""),"特定技能１号")</f>
        <v>特定技能１号</v>
      </c>
      <c r="R55" s="595" t="str">
        <f ca="1">IFERROR(__xludf.DUMMYFUNCTION("""COMPUTED_VALUE"""),"松山市上野町774番地ビレッジハウス松山上野1-402")</f>
        <v>松山市上野町774番地ビレッジハウス松山上野1-402</v>
      </c>
      <c r="S55" s="595" t="str">
        <f ca="1">IFERROR(__xludf.DUMMYFUNCTION("""COMPUTED_VALUE"""),"ご主人名義で
借りている")</f>
        <v>ご主人名義で
借りている</v>
      </c>
      <c r="T55" s="901">
        <f ca="1">IFERROR(__xludf.DUMMYFUNCTION("""COMPUTED_VALUE"""),0)</f>
        <v>0</v>
      </c>
      <c r="U55" s="600">
        <f ca="1">IFERROR(__xludf.DUMMYFUNCTION("""COMPUTED_VALUE"""),45838)</f>
        <v>45838</v>
      </c>
      <c r="V55" s="600">
        <f ca="1">IFERROR(__xludf.DUMMYFUNCTION("""COMPUTED_VALUE"""),46261)</f>
        <v>46261</v>
      </c>
      <c r="W55" s="595" t="str">
        <f ca="1">IFERROR(__xludf.DUMMYFUNCTION("""COMPUTED_VALUE"""),"UH40165047EA")</f>
        <v>UH40165047EA</v>
      </c>
      <c r="X55" s="595"/>
      <c r="Y55" s="596"/>
      <c r="Z55" s="595" t="str">
        <f ca="1">IFERROR(__xludf.DUMMYFUNCTION("""COMPUTED_VALUE"""),"C2409中古")</f>
        <v>C2409中古</v>
      </c>
      <c r="AA55" s="595"/>
      <c r="AB55" s="595"/>
      <c r="AC55" s="595"/>
      <c r="AD55" s="600"/>
      <c r="AE55" s="600"/>
      <c r="AF55" s="600"/>
      <c r="AG55" s="600"/>
      <c r="AH55" s="595"/>
      <c r="AI55" s="600"/>
      <c r="AJ55" s="595"/>
      <c r="AK55" s="595"/>
      <c r="AL55" s="595"/>
      <c r="AM55" s="596"/>
      <c r="AN55" s="595"/>
      <c r="AO55" s="595"/>
      <c r="AP55" s="595" t="str">
        <f ca="1">IFERROR(__xludf.DUMMYFUNCTION("""COMPUTED_VALUE"""),"2024.7.2入居 住まいはご主人名義で借り、一緒に住む
夫：ﾁｴｳ ﾋｴｳ ﾊﾞﾝさん 勤務先：四国ｼｷｼﾏﾊﾟﾝ
（砥部）962-4111 ﾌﾞｲﾃｨﾚｰの友人")</f>
        <v>2024.7.2入居 住まいはご主人名義で借り、一緒に住む
夫：ﾁｴｳ ﾋｴｳ ﾊﾞﾝさん 勤務先：四国ｼｷｼﾏﾊﾟﾝ
（砥部）962-4111 ﾌﾞｲﾃｨﾚｰの友人</v>
      </c>
    </row>
    <row r="56" spans="1:42" ht="14.5">
      <c r="A56" s="595" t="str">
        <f ca="1">IFERROR(__xludf.DUMMYFUNCTION("""COMPUTED_VALUE"""),"二課")</f>
        <v>二課</v>
      </c>
      <c r="B56" s="595">
        <f ca="1">IFERROR(__xludf.DUMMYFUNCTION("""COMPUTED_VALUE"""),168)</f>
        <v>168</v>
      </c>
      <c r="C56" s="595" t="str">
        <f ca="1">IFERROR(__xludf.DUMMYFUNCTION("""COMPUTED_VALUE"""),"津吉")</f>
        <v>津吉</v>
      </c>
      <c r="D56" s="595" t="str">
        <f ca="1">IFERROR(__xludf.DUMMYFUNCTION("""COMPUTED_VALUE"""),"インドネシア")</f>
        <v>インドネシア</v>
      </c>
      <c r="E56" s="595" t="str">
        <f ca="1">IFERROR(__xludf.DUMMYFUNCTION("""COMPUTED_VALUE"""),"07013671")</f>
        <v>07013671</v>
      </c>
      <c r="F56" s="595" t="str">
        <f ca="1">IFERROR(__xludf.DUMMYFUNCTION("""COMPUTED_VALUE"""),"/appsheet/photograph/IDPhoto_20250328_168_アエプ サエプル ハク.jpg")</f>
        <v>/appsheet/photograph/IDPhoto_20250328_168_アエプ サエプル ハク.jpg</v>
      </c>
      <c r="G56" s="595" t="str">
        <f ca="1">IFERROR(__xludf.DUMMYFUNCTION("""COMPUTED_VALUE"""),"アエプ サエプル ハク")</f>
        <v>アエプ サエプル ハク</v>
      </c>
      <c r="H56" s="595" t="str">
        <f ca="1">IFERROR(__xludf.DUMMYFUNCTION("""COMPUTED_VALUE"""),"AEP SAEPUL HAK")</f>
        <v>AEP SAEPUL HAK</v>
      </c>
      <c r="I56" s="595" t="str">
        <f ca="1">IFERROR(__xludf.DUMMYFUNCTION("""COMPUTED_VALUE"""),"ハク")</f>
        <v>ハク</v>
      </c>
      <c r="J56" s="595" t="str">
        <f ca="1">IFERROR(__xludf.DUMMYFUNCTION("""COMPUTED_VALUE"""),"男")</f>
        <v>男</v>
      </c>
      <c r="K56" s="600">
        <f ca="1">IFERROR(__xludf.DUMMYFUNCTION("""COMPUTED_VALUE"""),35420)</f>
        <v>35420</v>
      </c>
      <c r="L56" s="595">
        <f ca="1">IFERROR(__xludf.DUMMYFUNCTION("""COMPUTED_VALUE"""),29)</f>
        <v>29</v>
      </c>
      <c r="M56" s="595" t="str">
        <f ca="1">IFERROR(__xludf.DUMMYFUNCTION("""COMPUTED_VALUE"""),"夫婦")</f>
        <v>夫婦</v>
      </c>
      <c r="N56" s="595" t="str">
        <f ca="1">IFERROR(__xludf.DUMMYFUNCTION("""COMPUTED_VALUE"""),"H&amp;C")</f>
        <v>H&amp;C</v>
      </c>
      <c r="O56" s="900">
        <f ca="1">IFERROR(__xludf.DUMMYFUNCTION("""COMPUTED_VALUE"""),45505)</f>
        <v>45505</v>
      </c>
      <c r="P56" s="595" t="str">
        <f ca="1">IFERROR(__xludf.DUMMYFUNCTION("""COMPUTED_VALUE"""),"2029/07")</f>
        <v>2029/07</v>
      </c>
      <c r="Q56" s="595" t="str">
        <f ca="1">IFERROR(__xludf.DUMMYFUNCTION("""COMPUTED_VALUE"""),"特定技能１号")</f>
        <v>特定技能１号</v>
      </c>
      <c r="R56" s="595" t="str">
        <f ca="1">IFERROR(__xludf.DUMMYFUNCTION("""COMPUTED_VALUE"""),"松山市上野町774番地ビレッジハウス松山上野2-503")</f>
        <v>松山市上野町774番地ビレッジハウス松山上野2-503</v>
      </c>
      <c r="S56" s="595" t="str">
        <f ca="1">IFERROR(__xludf.DUMMYFUNCTION("""COMPUTED_VALUE"""),"夫婦")</f>
        <v>夫婦</v>
      </c>
      <c r="T56" s="901">
        <f ca="1">IFERROR(__xludf.DUMMYFUNCTION("""COMPUTED_VALUE"""),20000)</f>
        <v>20000</v>
      </c>
      <c r="U56" s="600">
        <f ca="1">IFERROR(__xludf.DUMMYFUNCTION("""COMPUTED_VALUE"""),46106)</f>
        <v>46106</v>
      </c>
      <c r="V56" s="600">
        <f ca="1">IFERROR(__xludf.DUMMYFUNCTION("""COMPUTED_VALUE"""),46184)</f>
        <v>46184</v>
      </c>
      <c r="W56" s="595" t="str">
        <f ca="1">IFERROR(__xludf.DUMMYFUNCTION("""COMPUTED_VALUE"""),"UH98261164PC")</f>
        <v>UH98261164PC</v>
      </c>
      <c r="X56" s="595"/>
      <c r="Y56" s="596"/>
      <c r="Z56" s="595" t="str">
        <f ca="1">IFERROR(__xludf.DUMMYFUNCTION("""COMPUTED_VALUE"""),"C2407-
B-0233815")</f>
        <v>C2407-
B-0233815</v>
      </c>
      <c r="AA56" s="595"/>
      <c r="AB56" s="595" t="str">
        <f ca="1">IFERROR(__xludf.DUMMYFUNCTION("""COMPUTED_VALUE"""),"N3 2017/12
N2 2025/07")</f>
        <v>N3 2017/12
N2 2025/07</v>
      </c>
      <c r="AC56" s="595"/>
      <c r="AD56" s="600"/>
      <c r="AE56" s="600"/>
      <c r="AF56" s="600"/>
      <c r="AG56" s="600"/>
      <c r="AH56" s="595"/>
      <c r="AI56" s="600"/>
      <c r="AJ56" s="595"/>
      <c r="AK56" s="595" t="str">
        <f ca="1">IFERROR(__xludf.DUMMYFUNCTION("""COMPUTED_VALUE"""),"佐伯主任")</f>
        <v>佐伯主任</v>
      </c>
      <c r="AL56" s="595" t="str">
        <f ca="1">IFERROR(__xludf.DUMMYFUNCTION("""COMPUTED_VALUE"""),"〇")</f>
        <v>〇</v>
      </c>
      <c r="AM56" s="596"/>
      <c r="AN56" s="595" t="str">
        <f ca="1">IFERROR(__xludf.DUMMYFUNCTION("""COMPUTED_VALUE"""),"2025/6/１～2027/3/31")</f>
        <v>2025/6/１～2027/3/31</v>
      </c>
      <c r="AO56" s="595"/>
      <c r="AP56" s="595" t="str">
        <f ca="1">IFERROR(__xludf.DUMMYFUNCTION("""COMPUTED_VALUE"""),"2025.9.29住所変更済。
2025.9.21引越　ビレッジ4-501→2-503へ　家賃￥20000へ
掃除は自分でする
2025.7.25　ﾊｸよりﾘﾝﾀﾞが入社したら一緒に住みたいが、その前に繁忙期に入る前の9～10月頃に先に引越し1人で住みたいとのこと。ビレッジの空きがなければ自分で物件は探すが契約以降はお願いしたいとのこと。（ﾋﾞﾚｯｼﾞ4-508空き予定）
2025.7　一時帰国希望。新開工場長へ相談するよう伝えた⇒帰国キャンセル（7/25確認済）2026年に2号が受かったら帰国を考えてい"&amp;"るとのこと
リンダのご主人（6月に結婚）　静岡で介護職→退職しﾋﾞﾚｯｼﾞへ
入居中3/28→一時帰国し8月入社予定　24.4/30入寮予定
4-507よりリンダと4-501へ2024/08/10引越
家賃15,000→20,000へ")</f>
        <v>2025.9.29住所変更済。
2025.9.21引越　ビレッジ4-501→2-503へ　家賃￥20000へ
掃除は自分でする
2025.7.25　ﾊｸよりﾘﾝﾀﾞが入社したら一緒に住みたいが、その前に繁忙期に入る前の9～10月頃に先に引越し1人で住みたいとのこと。ビレッジの空きがなければ自分で物件は探すが契約以降はお願いしたいとのこと。（ﾋﾞﾚｯｼﾞ4-508空き予定）
2025.7　一時帰国希望。新開工場長へ相談するよう伝えた⇒帰国キャンセル（7/25確認済）2026年に2号が受かったら帰国を考えているとのこと
リンダのご主人（6月に結婚）　静岡で介護職→退職しﾋﾞﾚｯｼﾞへ
入居中3/28→一時帰国し8月入社予定　24.4/30入寮予定
4-507よりリンダと4-501へ2024/08/10引越
家賃15,000→20,000へ</v>
      </c>
    </row>
    <row r="57" spans="1:42" ht="14.5">
      <c r="A57" s="595" t="str">
        <f ca="1">IFERROR(__xludf.DUMMYFUNCTION("""COMPUTED_VALUE"""),"四課")</f>
        <v>四課</v>
      </c>
      <c r="B57" s="595">
        <f ca="1">IFERROR(__xludf.DUMMYFUNCTION("""COMPUTED_VALUE"""),170)</f>
        <v>170</v>
      </c>
      <c r="C57" s="595" t="str">
        <f ca="1">IFERROR(__xludf.DUMMYFUNCTION("""COMPUTED_VALUE"""),"津吉")</f>
        <v>津吉</v>
      </c>
      <c r="D57" s="595" t="str">
        <f ca="1">IFERROR(__xludf.DUMMYFUNCTION("""COMPUTED_VALUE"""),"インドネシア")</f>
        <v>インドネシア</v>
      </c>
      <c r="E57" s="595" t="str">
        <f ca="1">IFERROR(__xludf.DUMMYFUNCTION("""COMPUTED_VALUE"""),"07013677")</f>
        <v>07013677</v>
      </c>
      <c r="F57" s="595" t="str">
        <f ca="1">IFERROR(__xludf.DUMMYFUNCTION("""COMPUTED_VALUE"""),"/appsheet/photograph/170.写真.025615.jpg")</f>
        <v>/appsheet/photograph/170.写真.025615.jpg</v>
      </c>
      <c r="G57" s="595" t="str">
        <f ca="1">IFERROR(__xludf.DUMMYFUNCTION("""COMPUTED_VALUE"""),"イ マデ エサノピオ")</f>
        <v>イ マデ エサノピオ</v>
      </c>
      <c r="H57" s="595" t="str">
        <f ca="1">IFERROR(__xludf.DUMMYFUNCTION("""COMPUTED_VALUE"""),"I MADE ESA NOPIO")</f>
        <v>I MADE ESA NOPIO</v>
      </c>
      <c r="I57" s="595" t="str">
        <f ca="1">IFERROR(__xludf.DUMMYFUNCTION("""COMPUTED_VALUE"""),"マデ")</f>
        <v>マデ</v>
      </c>
      <c r="J57" s="595" t="str">
        <f ca="1">IFERROR(__xludf.DUMMYFUNCTION("""COMPUTED_VALUE"""),"男")</f>
        <v>男</v>
      </c>
      <c r="K57" s="600">
        <f ca="1">IFERROR(__xludf.DUMMYFUNCTION("""COMPUTED_VALUE"""),37939)</f>
        <v>37939</v>
      </c>
      <c r="L57" s="595">
        <f ca="1">IFERROR(__xludf.DUMMYFUNCTION("""COMPUTED_VALUE"""),22)</f>
        <v>22</v>
      </c>
      <c r="M57" s="595" t="str">
        <f ca="1">IFERROR(__xludf.DUMMYFUNCTION("""COMPUTED_VALUE"""),"無")</f>
        <v>無</v>
      </c>
      <c r="N57" s="595" t="str">
        <f ca="1">IFERROR(__xludf.DUMMYFUNCTION("""COMPUTED_VALUE"""),"H&amp;C")</f>
        <v>H&amp;C</v>
      </c>
      <c r="O57" s="900">
        <f ca="1">IFERROR(__xludf.DUMMYFUNCTION("""COMPUTED_VALUE"""),45594)</f>
        <v>45594</v>
      </c>
      <c r="P57" s="595" t="str">
        <f ca="1">IFERROR(__xludf.DUMMYFUNCTION("""COMPUTED_VALUE"""),"2029/09")</f>
        <v>2029/09</v>
      </c>
      <c r="Q57" s="595" t="str">
        <f ca="1">IFERROR(__xludf.DUMMYFUNCTION("""COMPUTED_VALUE"""),"特定技能１号")</f>
        <v>特定技能１号</v>
      </c>
      <c r="R57" s="595" t="str">
        <f ca="1">IFERROR(__xludf.DUMMYFUNCTION("""COMPUTED_VALUE"""),"松山市津吉町535-1コーポ津吉1-6")</f>
        <v>松山市津吉町535-1コーポ津吉1-6</v>
      </c>
      <c r="S57" s="595" t="str">
        <f ca="1">IFERROR(__xludf.DUMMYFUNCTION("""COMPUTED_VALUE"""),"個")</f>
        <v>個</v>
      </c>
      <c r="T57" s="901">
        <f ca="1">IFERROR(__xludf.DUMMYFUNCTION("""COMPUTED_VALUE"""),20000)</f>
        <v>20000</v>
      </c>
      <c r="U57" s="600">
        <f ca="1">IFERROR(__xludf.DUMMYFUNCTION("""COMPUTED_VALUE"""),45870)</f>
        <v>45870</v>
      </c>
      <c r="V57" s="600">
        <f ca="1">IFERROR(__xludf.DUMMYFUNCTION("""COMPUTED_VALUE"""),46322)</f>
        <v>46322</v>
      </c>
      <c r="W57" s="595" t="str">
        <f ca="1">IFERROR(__xludf.DUMMYFUNCTION("""COMPUTED_VALUE"""),"UH40517597PC")</f>
        <v>UH40517597PC</v>
      </c>
      <c r="X57" s="595"/>
      <c r="Y57" s="596"/>
      <c r="Z57" s="595" t="str">
        <f ca="1">IFERROR(__xludf.DUMMYFUNCTION("""COMPUTED_VALUE"""),"202409購入
26シルバー
B-0343697-V108")</f>
        <v>202409購入
26シルバー
B-0343697-V108</v>
      </c>
      <c r="AA57" s="595"/>
      <c r="AB57" s="595"/>
      <c r="AC57" s="595"/>
      <c r="AD57" s="600"/>
      <c r="AE57" s="600"/>
      <c r="AF57" s="600"/>
      <c r="AG57" s="600"/>
      <c r="AH57" s="595"/>
      <c r="AI57" s="600"/>
      <c r="AJ57" s="595"/>
      <c r="AK57" s="595" t="str">
        <f ca="1">IFERROR(__xludf.DUMMYFUNCTION("""COMPUTED_VALUE"""),"大西係長")</f>
        <v>大西係長</v>
      </c>
      <c r="AL57" s="595" t="str">
        <f ca="1">IFERROR(__xludf.DUMMYFUNCTION("""COMPUTED_VALUE"""),"〇")</f>
        <v>〇</v>
      </c>
      <c r="AM57" s="596"/>
      <c r="AN57" s="595" t="str">
        <f ca="1">IFERROR(__xludf.DUMMYFUNCTION("""COMPUTED_VALUE"""),"2025/6/1～2029/10/31")</f>
        <v>2025/6/1～2029/10/31</v>
      </c>
      <c r="AO57" s="595"/>
      <c r="AP57" s="595" t="str">
        <f ca="1">IFERROR(__xludf.DUMMYFUNCTION("""COMPUTED_VALUE"""),"2025.7.21～2人部屋→1人部屋へ　家賃￥20,000へ")</f>
        <v>2025.7.21～2人部屋→1人部屋へ　家賃￥20,000へ</v>
      </c>
    </row>
    <row r="58" spans="1:42" ht="14.5">
      <c r="A58" s="595" t="str">
        <f ca="1">IFERROR(__xludf.DUMMYFUNCTION("""COMPUTED_VALUE"""),"四課")</f>
        <v>四課</v>
      </c>
      <c r="B58" s="595">
        <f ca="1">IFERROR(__xludf.DUMMYFUNCTION("""COMPUTED_VALUE"""),171)</f>
        <v>171</v>
      </c>
      <c r="C58" s="595" t="str">
        <f ca="1">IFERROR(__xludf.DUMMYFUNCTION("""COMPUTED_VALUE"""),"津吉")</f>
        <v>津吉</v>
      </c>
      <c r="D58" s="595" t="str">
        <f ca="1">IFERROR(__xludf.DUMMYFUNCTION("""COMPUTED_VALUE"""),"インドネシア")</f>
        <v>インドネシア</v>
      </c>
      <c r="E58" s="595" t="str">
        <f ca="1">IFERROR(__xludf.DUMMYFUNCTION("""COMPUTED_VALUE"""),"07013678")</f>
        <v>07013678</v>
      </c>
      <c r="F58" s="595" t="str">
        <f ca="1">IFERROR(__xludf.DUMMYFUNCTION("""COMPUTED_VALUE"""),"/appsheet/photograph/171.写真.025535.jpg")</f>
        <v>/appsheet/photograph/171.写真.025535.jpg</v>
      </c>
      <c r="G58" s="595" t="str">
        <f ca="1">IFERROR(__xludf.DUMMYFUNCTION("""COMPUTED_VALUE"""),"ラストノ スリ ムルヤ")</f>
        <v>ラストノ スリ ムルヤ</v>
      </c>
      <c r="H58" s="595" t="str">
        <f ca="1">IFERROR(__xludf.DUMMYFUNCTION("""COMPUTED_VALUE"""),"RASTONO SRI MULYA")</f>
        <v>RASTONO SRI MULYA</v>
      </c>
      <c r="I58" s="595" t="str">
        <f ca="1">IFERROR(__xludf.DUMMYFUNCTION("""COMPUTED_VALUE"""),"ラストノ")</f>
        <v>ラストノ</v>
      </c>
      <c r="J58" s="595" t="str">
        <f ca="1">IFERROR(__xludf.DUMMYFUNCTION("""COMPUTED_VALUE"""),"男")</f>
        <v>男</v>
      </c>
      <c r="K58" s="600">
        <f ca="1">IFERROR(__xludf.DUMMYFUNCTION("""COMPUTED_VALUE"""),38626)</f>
        <v>38626</v>
      </c>
      <c r="L58" s="595">
        <f ca="1">IFERROR(__xludf.DUMMYFUNCTION("""COMPUTED_VALUE"""),20)</f>
        <v>20</v>
      </c>
      <c r="M58" s="595" t="str">
        <f ca="1">IFERROR(__xludf.DUMMYFUNCTION("""COMPUTED_VALUE"""),"無")</f>
        <v>無</v>
      </c>
      <c r="N58" s="595" t="str">
        <f ca="1">IFERROR(__xludf.DUMMYFUNCTION("""COMPUTED_VALUE"""),"H&amp;C")</f>
        <v>H&amp;C</v>
      </c>
      <c r="O58" s="900">
        <f ca="1">IFERROR(__xludf.DUMMYFUNCTION("""COMPUTED_VALUE"""),45594)</f>
        <v>45594</v>
      </c>
      <c r="P58" s="595" t="str">
        <f ca="1">IFERROR(__xludf.DUMMYFUNCTION("""COMPUTED_VALUE"""),"2029/09")</f>
        <v>2029/09</v>
      </c>
      <c r="Q58" s="595" t="str">
        <f ca="1">IFERROR(__xludf.DUMMYFUNCTION("""COMPUTED_VALUE"""),"特定技能１号")</f>
        <v>特定技能１号</v>
      </c>
      <c r="R58" s="595" t="str">
        <f ca="1">IFERROR(__xludf.DUMMYFUNCTION("""COMPUTED_VALUE"""),"松山市津吉町535-1コーポ津吉1-6")</f>
        <v>松山市津吉町535-1コーポ津吉1-6</v>
      </c>
      <c r="S58" s="595" t="str">
        <f ca="1">IFERROR(__xludf.DUMMYFUNCTION("""COMPUTED_VALUE"""),"個")</f>
        <v>個</v>
      </c>
      <c r="T58" s="901">
        <f ca="1">IFERROR(__xludf.DUMMYFUNCTION("""COMPUTED_VALUE"""),20000)</f>
        <v>20000</v>
      </c>
      <c r="U58" s="600">
        <f ca="1">IFERROR(__xludf.DUMMYFUNCTION("""COMPUTED_VALUE"""),45870)</f>
        <v>45870</v>
      </c>
      <c r="V58" s="600">
        <f ca="1">IFERROR(__xludf.DUMMYFUNCTION("""COMPUTED_VALUE"""),46322)</f>
        <v>46322</v>
      </c>
      <c r="W58" s="595" t="str">
        <f ca="1">IFERROR(__xludf.DUMMYFUNCTION("""COMPUTED_VALUE"""),"UH71186347PC")</f>
        <v>UH71186347PC</v>
      </c>
      <c r="X58" s="595"/>
      <c r="Y58" s="596"/>
      <c r="Z58" s="595" t="str">
        <f ca="1">IFERROR(__xludf.DUMMYFUNCTION("""COMPUTED_VALUE"""),"202409購入
26シルバー
B-0343698-X132")</f>
        <v>202409購入
26シルバー
B-0343698-X132</v>
      </c>
      <c r="AA58" s="595" t="str">
        <f ca="1">IFERROR(__xludf.DUMMYFUNCTION("""COMPUTED_VALUE"""),"2025/12/01")</f>
        <v>2025/12/01</v>
      </c>
      <c r="AB58" s="595"/>
      <c r="AC58" s="595"/>
      <c r="AD58" s="600"/>
      <c r="AE58" s="600"/>
      <c r="AF58" s="600"/>
      <c r="AG58" s="600"/>
      <c r="AH58" s="595"/>
      <c r="AI58" s="600"/>
      <c r="AJ58" s="595"/>
      <c r="AK58" s="595" t="str">
        <f ca="1">IFERROR(__xludf.DUMMYFUNCTION("""COMPUTED_VALUE"""),"大西係長")</f>
        <v>大西係長</v>
      </c>
      <c r="AL58" s="595" t="str">
        <f ca="1">IFERROR(__xludf.DUMMYFUNCTION("""COMPUTED_VALUE"""),"×")</f>
        <v>×</v>
      </c>
      <c r="AM58" s="596">
        <f ca="1">IFERROR(__xludf.DUMMYFUNCTION("""COMPUTED_VALUE"""),45592)</f>
        <v>45592</v>
      </c>
      <c r="AN58" s="595" t="str">
        <f ca="1">IFERROR(__xludf.DUMMYFUNCTION("""COMPUTED_VALUE"""),"ー")</f>
        <v>ー</v>
      </c>
      <c r="AO58" s="595"/>
      <c r="AP58" s="595" t="str">
        <f ca="1">IFERROR(__xludf.DUMMYFUNCTION("""COMPUTED_VALUE"""),"2025.7.21～2人部屋→1人部屋へ　家賃￥20,000へ")</f>
        <v>2025.7.21～2人部屋→1人部屋へ　家賃￥20,000へ</v>
      </c>
    </row>
    <row r="59" spans="1:42" ht="14.5">
      <c r="A59" s="595" t="str">
        <f ca="1">IFERROR(__xludf.DUMMYFUNCTION("""COMPUTED_VALUE"""),"四課")</f>
        <v>四課</v>
      </c>
      <c r="B59" s="595">
        <f ca="1">IFERROR(__xludf.DUMMYFUNCTION("""COMPUTED_VALUE"""),172)</f>
        <v>172</v>
      </c>
      <c r="C59" s="595" t="str">
        <f ca="1">IFERROR(__xludf.DUMMYFUNCTION("""COMPUTED_VALUE"""),"津吉")</f>
        <v>津吉</v>
      </c>
      <c r="D59" s="595" t="str">
        <f ca="1">IFERROR(__xludf.DUMMYFUNCTION("""COMPUTED_VALUE"""),"インドネシア")</f>
        <v>インドネシア</v>
      </c>
      <c r="E59" s="595" t="str">
        <f ca="1">IFERROR(__xludf.DUMMYFUNCTION("""COMPUTED_VALUE"""),"07013679")</f>
        <v>07013679</v>
      </c>
      <c r="F59" s="595" t="str">
        <f ca="1">IFERROR(__xludf.DUMMYFUNCTION("""COMPUTED_VALUE"""),"/appsheet/photograph/172.写真.034750.jpg")</f>
        <v>/appsheet/photograph/172.写真.034750.jpg</v>
      </c>
      <c r="G59" s="595" t="str">
        <f ca="1">IFERROR(__xludf.DUMMYFUNCTION("""COMPUTED_VALUE"""),"イーサン シハブ ギッファリ")</f>
        <v>イーサン シハブ ギッファリ</v>
      </c>
      <c r="H59" s="595" t="str">
        <f ca="1">IFERROR(__xludf.DUMMYFUNCTION("""COMPUTED_VALUE"""),"IHSAN SHIHAB GIFFARI")</f>
        <v>IHSAN SHIHAB GIFFARI</v>
      </c>
      <c r="I59" s="595" t="str">
        <f ca="1">IFERROR(__xludf.DUMMYFUNCTION("""COMPUTED_VALUE"""),"イーサン")</f>
        <v>イーサン</v>
      </c>
      <c r="J59" s="595" t="str">
        <f ca="1">IFERROR(__xludf.DUMMYFUNCTION("""COMPUTED_VALUE"""),"男")</f>
        <v>男</v>
      </c>
      <c r="K59" s="600">
        <f ca="1">IFERROR(__xludf.DUMMYFUNCTION("""COMPUTED_VALUE"""),35739)</f>
        <v>35739</v>
      </c>
      <c r="L59" s="595">
        <f ca="1">IFERROR(__xludf.DUMMYFUNCTION("""COMPUTED_VALUE"""),28)</f>
        <v>28</v>
      </c>
      <c r="M59" s="595" t="str">
        <f ca="1">IFERROR(__xludf.DUMMYFUNCTION("""COMPUTED_VALUE"""),"無")</f>
        <v>無</v>
      </c>
      <c r="N59" s="595" t="str">
        <f ca="1">IFERROR(__xludf.DUMMYFUNCTION("""COMPUTED_VALUE"""),"H&amp;C")</f>
        <v>H&amp;C</v>
      </c>
      <c r="O59" s="900">
        <f ca="1">IFERROR(__xludf.DUMMYFUNCTION("""COMPUTED_VALUE"""),45594)</f>
        <v>45594</v>
      </c>
      <c r="P59" s="595" t="str">
        <f ca="1">IFERROR(__xludf.DUMMYFUNCTION("""COMPUTED_VALUE"""),"2029/09")</f>
        <v>2029/09</v>
      </c>
      <c r="Q59" s="595" t="str">
        <f ca="1">IFERROR(__xludf.DUMMYFUNCTION("""COMPUTED_VALUE"""),"特定技能１号")</f>
        <v>特定技能１号</v>
      </c>
      <c r="R59" s="595" t="str">
        <f ca="1">IFERROR(__xludf.DUMMYFUNCTION("""COMPUTED_VALUE"""),"松山市上野町774番地ビレッジハウス松山上野4-501")</f>
        <v>松山市上野町774番地ビレッジハウス松山上野4-501</v>
      </c>
      <c r="S59" s="595" t="str">
        <f ca="1">IFERROR(__xludf.DUMMYFUNCTION("""COMPUTED_VALUE"""),"個")</f>
        <v>個</v>
      </c>
      <c r="T59" s="901">
        <f ca="1">IFERROR(__xludf.DUMMYFUNCTION("""COMPUTED_VALUE"""),15000)</f>
        <v>15000</v>
      </c>
      <c r="U59" s="600">
        <f ca="1">IFERROR(__xludf.DUMMYFUNCTION("""COMPUTED_VALUE"""),45870)</f>
        <v>45870</v>
      </c>
      <c r="V59" s="600">
        <f ca="1">IFERROR(__xludf.DUMMYFUNCTION("""COMPUTED_VALUE"""),46322)</f>
        <v>46322</v>
      </c>
      <c r="W59" s="595" t="str">
        <f ca="1">IFERROR(__xludf.DUMMYFUNCTION("""COMPUTED_VALUE"""),"UH28839412PC")</f>
        <v>UH28839412PC</v>
      </c>
      <c r="X59" s="595"/>
      <c r="Y59" s="596"/>
      <c r="Z59" s="595" t="str">
        <f ca="1">IFERROR(__xludf.DUMMYFUNCTION("""COMPUTED_VALUE"""),"202409購入
26シルバー
B-0343703-X157")</f>
        <v>202409購入
26シルバー
B-0343703-X157</v>
      </c>
      <c r="AA59" s="595"/>
      <c r="AB59" s="595"/>
      <c r="AC59" s="595"/>
      <c r="AD59" s="600"/>
      <c r="AE59" s="600"/>
      <c r="AF59" s="600"/>
      <c r="AG59" s="600"/>
      <c r="AH59" s="595"/>
      <c r="AI59" s="600"/>
      <c r="AJ59" s="595"/>
      <c r="AK59" s="595" t="str">
        <f ca="1">IFERROR(__xludf.DUMMYFUNCTION("""COMPUTED_VALUE"""),"大西係長")</f>
        <v>大西係長</v>
      </c>
      <c r="AL59" s="595" t="str">
        <f ca="1">IFERROR(__xludf.DUMMYFUNCTION("""COMPUTED_VALUE"""),"―")</f>
        <v>―</v>
      </c>
      <c r="AM59" s="596"/>
      <c r="AN59" s="595" t="str">
        <f ca="1">IFERROR(__xludf.DUMMYFUNCTION("""COMPUTED_VALUE"""),"―")</f>
        <v>―</v>
      </c>
      <c r="AO59" s="595"/>
      <c r="AP59" s="595"/>
    </row>
    <row r="60" spans="1:42" ht="14.5">
      <c r="A60" s="595" t="str">
        <f ca="1">IFERROR(__xludf.DUMMYFUNCTION("""COMPUTED_VALUE"""),"四課")</f>
        <v>四課</v>
      </c>
      <c r="B60" s="595">
        <f ca="1">IFERROR(__xludf.DUMMYFUNCTION("""COMPUTED_VALUE"""),173)</f>
        <v>173</v>
      </c>
      <c r="C60" s="595" t="str">
        <f ca="1">IFERROR(__xludf.DUMMYFUNCTION("""COMPUTED_VALUE"""),"津吉")</f>
        <v>津吉</v>
      </c>
      <c r="D60" s="595" t="str">
        <f ca="1">IFERROR(__xludf.DUMMYFUNCTION("""COMPUTED_VALUE"""),"インドネシア")</f>
        <v>インドネシア</v>
      </c>
      <c r="E60" s="595" t="str">
        <f ca="1">IFERROR(__xludf.DUMMYFUNCTION("""COMPUTED_VALUE"""),"07013680")</f>
        <v>07013680</v>
      </c>
      <c r="F60" s="595" t="str">
        <f ca="1">IFERROR(__xludf.DUMMYFUNCTION("""COMPUTED_VALUE"""),"/appsheet/photograph/173.写真.032032.jpg")</f>
        <v>/appsheet/photograph/173.写真.032032.jpg</v>
      </c>
      <c r="G60" s="595" t="str">
        <f ca="1">IFERROR(__xludf.DUMMYFUNCTION("""COMPUTED_VALUE"""),"リザル ムハマド フィルダウス")</f>
        <v>リザル ムハマド フィルダウス</v>
      </c>
      <c r="H60" s="595" t="str">
        <f ca="1">IFERROR(__xludf.DUMMYFUNCTION("""COMPUTED_VALUE"""),"RIZAL MUHAMAD FIRDAUS")</f>
        <v>RIZAL MUHAMAD FIRDAUS</v>
      </c>
      <c r="I60" s="595" t="str">
        <f ca="1">IFERROR(__xludf.DUMMYFUNCTION("""COMPUTED_VALUE"""),"リザル")</f>
        <v>リザル</v>
      </c>
      <c r="J60" s="595" t="str">
        <f ca="1">IFERROR(__xludf.DUMMYFUNCTION("""COMPUTED_VALUE"""),"男")</f>
        <v>男</v>
      </c>
      <c r="K60" s="600">
        <f ca="1">IFERROR(__xludf.DUMMYFUNCTION("""COMPUTED_VALUE"""),36905)</f>
        <v>36905</v>
      </c>
      <c r="L60" s="595">
        <f ca="1">IFERROR(__xludf.DUMMYFUNCTION("""COMPUTED_VALUE"""),25)</f>
        <v>25</v>
      </c>
      <c r="M60" s="595" t="str">
        <f ca="1">IFERROR(__xludf.DUMMYFUNCTION("""COMPUTED_VALUE"""),"無")</f>
        <v>無</v>
      </c>
      <c r="N60" s="595" t="str">
        <f ca="1">IFERROR(__xludf.DUMMYFUNCTION("""COMPUTED_VALUE"""),"H&amp;C")</f>
        <v>H&amp;C</v>
      </c>
      <c r="O60" s="900">
        <f ca="1">IFERROR(__xludf.DUMMYFUNCTION("""COMPUTED_VALUE"""),45594)</f>
        <v>45594</v>
      </c>
      <c r="P60" s="595" t="str">
        <f ca="1">IFERROR(__xludf.DUMMYFUNCTION("""COMPUTED_VALUE"""),"2029/09")</f>
        <v>2029/09</v>
      </c>
      <c r="Q60" s="595" t="str">
        <f ca="1">IFERROR(__xludf.DUMMYFUNCTION("""COMPUTED_VALUE"""),"特定技能１号")</f>
        <v>特定技能１号</v>
      </c>
      <c r="R60" s="595" t="str">
        <f ca="1">IFERROR(__xludf.DUMMYFUNCTION("""COMPUTED_VALUE"""),"松山市上野町774番地ビレッジハウス松山上野1-507")</f>
        <v>松山市上野町774番地ビレッジハウス松山上野1-507</v>
      </c>
      <c r="S60" s="595" t="str">
        <f ca="1">IFERROR(__xludf.DUMMYFUNCTION("""COMPUTED_VALUE"""),"個")</f>
        <v>個</v>
      </c>
      <c r="T60" s="901">
        <f ca="1">IFERROR(__xludf.DUMMYFUNCTION("""COMPUTED_VALUE"""),15000)</f>
        <v>15000</v>
      </c>
      <c r="U60" s="600">
        <f ca="1">IFERROR(__xludf.DUMMYFUNCTION("""COMPUTED_VALUE"""),45870)</f>
        <v>45870</v>
      </c>
      <c r="V60" s="600">
        <f ca="1">IFERROR(__xludf.DUMMYFUNCTION("""COMPUTED_VALUE"""),46322)</f>
        <v>46322</v>
      </c>
      <c r="W60" s="595" t="str">
        <f ca="1">IFERROR(__xludf.DUMMYFUNCTION("""COMPUTED_VALUE"""),"UH14292148PC")</f>
        <v>UH14292148PC</v>
      </c>
      <c r="X60" s="595"/>
      <c r="Y60" s="596"/>
      <c r="Z60" s="595" t="str">
        <f ca="1">IFERROR(__xludf.DUMMYFUNCTION("""COMPUTED_VALUE"""),"202409購入
26シルバー
B-0343704-X240")</f>
        <v>202409購入
26シルバー
B-0343704-X240</v>
      </c>
      <c r="AA60" s="595" t="str">
        <f ca="1">IFERROR(__xludf.DUMMYFUNCTION("""COMPUTED_VALUE"""),"2026/03/04")</f>
        <v>2026/03/04</v>
      </c>
      <c r="AB60" s="595"/>
      <c r="AC60" s="595"/>
      <c r="AD60" s="600"/>
      <c r="AE60" s="600">
        <f ca="1">IFERROR(__xludf.DUMMYFUNCTION("""COMPUTED_VALUE"""),46148)</f>
        <v>46148</v>
      </c>
      <c r="AF60" s="600">
        <f ca="1">IFERROR(__xludf.DUMMYFUNCTION("""COMPUTED_VALUE"""),46179)</f>
        <v>46179</v>
      </c>
      <c r="AG60" s="600"/>
      <c r="AH60" s="595" t="str">
        <f ca="1">IFERROR(__xludf.DUMMYFUNCTION("""COMPUTED_VALUE"""),"一時帰国予定")</f>
        <v>一時帰国予定</v>
      </c>
      <c r="AI60" s="600"/>
      <c r="AJ60" s="595"/>
      <c r="AK60" s="595" t="str">
        <f ca="1">IFERROR(__xludf.DUMMYFUNCTION("""COMPUTED_VALUE"""),"大西係長")</f>
        <v>大西係長</v>
      </c>
      <c r="AL60" s="595" t="str">
        <f ca="1">IFERROR(__xludf.DUMMYFUNCTION("""COMPUTED_VALUE"""),"〇")</f>
        <v>〇</v>
      </c>
      <c r="AM60" s="596"/>
      <c r="AN60" s="595" t="str">
        <f ca="1">IFERROR(__xludf.DUMMYFUNCTION("""COMPUTED_VALUE"""),"2025/6/1～2029/10/31")</f>
        <v>2025/6/1～2029/10/31</v>
      </c>
      <c r="AO60" s="595"/>
      <c r="AP60" s="595" t="str">
        <f ca="1">IFERROR(__xludf.DUMMYFUNCTION("""COMPUTED_VALUE"""),"2026/1/23新開工場長より、5/6～6/6まで一時帰国のメールあり。")</f>
        <v>2026/1/23新開工場長より、5/6～6/6まで一時帰国のメールあり。</v>
      </c>
    </row>
    <row r="61" spans="1:42" ht="14.5">
      <c r="A61" s="595" t="str">
        <f ca="1">IFERROR(__xludf.DUMMYFUNCTION("""COMPUTED_VALUE"""),"四課")</f>
        <v>四課</v>
      </c>
      <c r="B61" s="595">
        <f ca="1">IFERROR(__xludf.DUMMYFUNCTION("""COMPUTED_VALUE"""),174)</f>
        <v>174</v>
      </c>
      <c r="C61" s="595" t="str">
        <f ca="1">IFERROR(__xludf.DUMMYFUNCTION("""COMPUTED_VALUE"""),"津吉")</f>
        <v>津吉</v>
      </c>
      <c r="D61" s="595" t="str">
        <f ca="1">IFERROR(__xludf.DUMMYFUNCTION("""COMPUTED_VALUE"""),"インドネシア")</f>
        <v>インドネシア</v>
      </c>
      <c r="E61" s="595" t="str">
        <f ca="1">IFERROR(__xludf.DUMMYFUNCTION("""COMPUTED_VALUE"""),"07013672")</f>
        <v>07013672</v>
      </c>
      <c r="F61" s="595" t="str">
        <f ca="1">IFERROR(__xludf.DUMMYFUNCTION("""COMPUTED_VALUE"""),"/appsheet/photograph/174.写真.025734.jpg")</f>
        <v>/appsheet/photograph/174.写真.025734.jpg</v>
      </c>
      <c r="G61" s="595" t="str">
        <f ca="1">IFERROR(__xludf.DUMMYFUNCTION("""COMPUTED_VALUE"""),"ダナン アジ プリ アトモコ")</f>
        <v>ダナン アジ プリ アトモコ</v>
      </c>
      <c r="H61" s="595" t="str">
        <f ca="1">IFERROR(__xludf.DUMMYFUNCTION("""COMPUTED_VALUE"""),"DANANG AJI PRI ATMOKO")</f>
        <v>DANANG AJI PRI ATMOKO</v>
      </c>
      <c r="I61" s="595" t="str">
        <f ca="1">IFERROR(__xludf.DUMMYFUNCTION("""COMPUTED_VALUE"""),"ダナン")</f>
        <v>ダナン</v>
      </c>
      <c r="J61" s="595" t="str">
        <f ca="1">IFERROR(__xludf.DUMMYFUNCTION("""COMPUTED_VALUE"""),"男")</f>
        <v>男</v>
      </c>
      <c r="K61" s="600">
        <f ca="1">IFERROR(__xludf.DUMMYFUNCTION("""COMPUTED_VALUE"""),38502)</f>
        <v>38502</v>
      </c>
      <c r="L61" s="595">
        <f ca="1">IFERROR(__xludf.DUMMYFUNCTION("""COMPUTED_VALUE"""),20)</f>
        <v>20</v>
      </c>
      <c r="M61" s="595" t="str">
        <f ca="1">IFERROR(__xludf.DUMMYFUNCTION("""COMPUTED_VALUE"""),"無")</f>
        <v>無</v>
      </c>
      <c r="N61" s="595" t="str">
        <f ca="1">IFERROR(__xludf.DUMMYFUNCTION("""COMPUTED_VALUE"""),"H&amp;C")</f>
        <v>H&amp;C</v>
      </c>
      <c r="O61" s="900">
        <f ca="1">IFERROR(__xludf.DUMMYFUNCTION("""COMPUTED_VALUE"""),45587)</f>
        <v>45587</v>
      </c>
      <c r="P61" s="595" t="str">
        <f ca="1">IFERROR(__xludf.DUMMYFUNCTION("""COMPUTED_VALUE"""),"2029/09")</f>
        <v>2029/09</v>
      </c>
      <c r="Q61" s="595" t="str">
        <f ca="1">IFERROR(__xludf.DUMMYFUNCTION("""COMPUTED_VALUE"""),"特定技能１号")</f>
        <v>特定技能１号</v>
      </c>
      <c r="R61" s="595" t="str">
        <f ca="1">IFERROR(__xludf.DUMMYFUNCTION("""COMPUTED_VALUE"""),"松山市津吉町535-1コーポ津吉1-6")</f>
        <v>松山市津吉町535-1コーポ津吉1-6</v>
      </c>
      <c r="S61" s="595" t="str">
        <f ca="1">IFERROR(__xludf.DUMMYFUNCTION("""COMPUTED_VALUE"""),"個")</f>
        <v>個</v>
      </c>
      <c r="T61" s="901">
        <f ca="1">IFERROR(__xludf.DUMMYFUNCTION("""COMPUTED_VALUE"""),20000)</f>
        <v>20000</v>
      </c>
      <c r="U61" s="600">
        <f ca="1">IFERROR(__xludf.DUMMYFUNCTION("""COMPUTED_VALUE"""),45870)</f>
        <v>45870</v>
      </c>
      <c r="V61" s="600">
        <f ca="1">IFERROR(__xludf.DUMMYFUNCTION("""COMPUTED_VALUE"""),46315)</f>
        <v>46315</v>
      </c>
      <c r="W61" s="595" t="str">
        <f ca="1">IFERROR(__xludf.DUMMYFUNCTION("""COMPUTED_VALUE"""),"UH71864282PC")</f>
        <v>UH71864282PC</v>
      </c>
      <c r="X61" s="595"/>
      <c r="Y61" s="596"/>
      <c r="Z61" s="595" t="str">
        <f ca="1">IFERROR(__xludf.DUMMYFUNCTION("""COMPUTED_VALUE"""),"202409購入
26シルバー
B-0343699-X149")</f>
        <v>202409購入
26シルバー
B-0343699-X149</v>
      </c>
      <c r="AA61" s="595"/>
      <c r="AB61" s="595"/>
      <c r="AC61" s="595"/>
      <c r="AD61" s="600"/>
      <c r="AE61" s="600"/>
      <c r="AF61" s="600"/>
      <c r="AG61" s="600"/>
      <c r="AH61" s="595"/>
      <c r="AI61" s="600"/>
      <c r="AJ61" s="595"/>
      <c r="AK61" s="595" t="str">
        <f ca="1">IFERROR(__xludf.DUMMYFUNCTION("""COMPUTED_VALUE"""),"大西係長")</f>
        <v>大西係長</v>
      </c>
      <c r="AL61" s="595" t="str">
        <f ca="1">IFERROR(__xludf.DUMMYFUNCTION("""COMPUTED_VALUE"""),"〇")</f>
        <v>〇</v>
      </c>
      <c r="AM61" s="596"/>
      <c r="AN61" s="595" t="str">
        <f ca="1">IFERROR(__xludf.DUMMYFUNCTION("""COMPUTED_VALUE"""),"2025/6/1～2029/10/31")</f>
        <v>2025/6/1～2029/10/31</v>
      </c>
      <c r="AO61" s="595"/>
      <c r="AP61" s="595" t="str">
        <f ca="1">IFERROR(__xludf.DUMMYFUNCTION("""COMPUTED_VALUE"""),"2025.7.21～2人部屋→1人部屋へ　家賃￥20,000へ")</f>
        <v>2025.7.21～2人部屋→1人部屋へ　家賃￥20,000へ</v>
      </c>
    </row>
    <row r="62" spans="1:42" ht="14.5">
      <c r="A62" s="595" t="str">
        <f ca="1">IFERROR(__xludf.DUMMYFUNCTION("""COMPUTED_VALUE"""),"四課")</f>
        <v>四課</v>
      </c>
      <c r="B62" s="595">
        <f ca="1">IFERROR(__xludf.DUMMYFUNCTION("""COMPUTED_VALUE"""),175)</f>
        <v>175</v>
      </c>
      <c r="C62" s="595" t="str">
        <f ca="1">IFERROR(__xludf.DUMMYFUNCTION("""COMPUTED_VALUE"""),"津吉")</f>
        <v>津吉</v>
      </c>
      <c r="D62" s="595" t="str">
        <f ca="1">IFERROR(__xludf.DUMMYFUNCTION("""COMPUTED_VALUE"""),"インドネシア")</f>
        <v>インドネシア</v>
      </c>
      <c r="E62" s="595" t="str">
        <f ca="1">IFERROR(__xludf.DUMMYFUNCTION("""COMPUTED_VALUE"""),"07013681")</f>
        <v>07013681</v>
      </c>
      <c r="F62" s="595" t="str">
        <f ca="1">IFERROR(__xludf.DUMMYFUNCTION("""COMPUTED_VALUE"""),"/appsheet/photograph/175.写真.031028.jpg")</f>
        <v>/appsheet/photograph/175.写真.031028.jpg</v>
      </c>
      <c r="G62" s="595" t="str">
        <f ca="1">IFERROR(__xludf.DUMMYFUNCTION("""COMPUTED_VALUE"""),"アルル ユスフ フィルダウス")</f>
        <v>アルル ユスフ フィルダウス</v>
      </c>
      <c r="H62" s="595" t="str">
        <f ca="1">IFERROR(__xludf.DUMMYFUNCTION("""COMPUTED_VALUE"""),"ARUL YUSUF FIRDAUS")</f>
        <v>ARUL YUSUF FIRDAUS</v>
      </c>
      <c r="I62" s="595" t="str">
        <f ca="1">IFERROR(__xludf.DUMMYFUNCTION("""COMPUTED_VALUE"""),"フィル")</f>
        <v>フィル</v>
      </c>
      <c r="J62" s="595" t="str">
        <f ca="1">IFERROR(__xludf.DUMMYFUNCTION("""COMPUTED_VALUE"""),"男")</f>
        <v>男</v>
      </c>
      <c r="K62" s="600">
        <f ca="1">IFERROR(__xludf.DUMMYFUNCTION("""COMPUTED_VALUE"""),37146)</f>
        <v>37146</v>
      </c>
      <c r="L62" s="595">
        <f ca="1">IFERROR(__xludf.DUMMYFUNCTION("""COMPUTED_VALUE"""),24)</f>
        <v>24</v>
      </c>
      <c r="M62" s="595" t="str">
        <f ca="1">IFERROR(__xludf.DUMMYFUNCTION("""COMPUTED_VALUE"""),"無")</f>
        <v>無</v>
      </c>
      <c r="N62" s="595" t="str">
        <f ca="1">IFERROR(__xludf.DUMMYFUNCTION("""COMPUTED_VALUE"""),"H&amp;C")</f>
        <v>H&amp;C</v>
      </c>
      <c r="O62" s="900">
        <f ca="1">IFERROR(__xludf.DUMMYFUNCTION("""COMPUTED_VALUE"""),45594)</f>
        <v>45594</v>
      </c>
      <c r="P62" s="595" t="str">
        <f ca="1">IFERROR(__xludf.DUMMYFUNCTION("""COMPUTED_VALUE"""),"2029/09")</f>
        <v>2029/09</v>
      </c>
      <c r="Q62" s="595" t="str">
        <f ca="1">IFERROR(__xludf.DUMMYFUNCTION("""COMPUTED_VALUE"""),"特定技能１号")</f>
        <v>特定技能１号</v>
      </c>
      <c r="R62" s="595" t="str">
        <f ca="1">IFERROR(__xludf.DUMMYFUNCTION("""COMPUTED_VALUE"""),"松山市上野町774番地ビレッジハウス松山上野3-108")</f>
        <v>松山市上野町774番地ビレッジハウス松山上野3-108</v>
      </c>
      <c r="S62" s="595" t="str">
        <f ca="1">IFERROR(__xludf.DUMMYFUNCTION("""COMPUTED_VALUE"""),"個")</f>
        <v>個</v>
      </c>
      <c r="T62" s="901">
        <f ca="1">IFERROR(__xludf.DUMMYFUNCTION("""COMPUTED_VALUE"""),15000)</f>
        <v>15000</v>
      </c>
      <c r="U62" s="600">
        <f ca="1">IFERROR(__xludf.DUMMYFUNCTION("""COMPUTED_VALUE"""),45870)</f>
        <v>45870</v>
      </c>
      <c r="V62" s="600">
        <f ca="1">IFERROR(__xludf.DUMMYFUNCTION("""COMPUTED_VALUE"""),46322)</f>
        <v>46322</v>
      </c>
      <c r="W62" s="595" t="str">
        <f ca="1">IFERROR(__xludf.DUMMYFUNCTION("""COMPUTED_VALUE"""),"UH39166902PC")</f>
        <v>UH39166902PC</v>
      </c>
      <c r="X62" s="595"/>
      <c r="Y62" s="596"/>
      <c r="Z62" s="595" t="str">
        <f ca="1">IFERROR(__xludf.DUMMYFUNCTION("""COMPUTED_VALUE"""),"202409購入
26シルバー
B-0343700-X199")</f>
        <v>202409購入
26シルバー
B-0343700-X199</v>
      </c>
      <c r="AA62" s="595"/>
      <c r="AB62" s="595"/>
      <c r="AC62" s="595"/>
      <c r="AD62" s="600"/>
      <c r="AE62" s="600"/>
      <c r="AF62" s="600"/>
      <c r="AG62" s="600"/>
      <c r="AH62" s="595"/>
      <c r="AI62" s="600"/>
      <c r="AJ62" s="595"/>
      <c r="AK62" s="595" t="str">
        <f ca="1">IFERROR(__xludf.DUMMYFUNCTION("""COMPUTED_VALUE"""),"大西係長")</f>
        <v>大西係長</v>
      </c>
      <c r="AL62" s="595" t="str">
        <f ca="1">IFERROR(__xludf.DUMMYFUNCTION("""COMPUTED_VALUE"""),"〇")</f>
        <v>〇</v>
      </c>
      <c r="AM62" s="596">
        <f ca="1">IFERROR(__xludf.DUMMYFUNCTION("""COMPUTED_VALUE"""),45592)</f>
        <v>45592</v>
      </c>
      <c r="AN62" s="595" t="str">
        <f ca="1">IFERROR(__xludf.DUMMYFUNCTION("""COMPUTED_VALUE"""),"2025/6/1～2029/10/31")</f>
        <v>2025/6/1～2029/10/31</v>
      </c>
      <c r="AO62" s="595"/>
      <c r="AP62" s="595" t="str">
        <f ca="1">IFERROR(__xludf.DUMMYFUNCTION("""COMPUTED_VALUE"""),"2025.7.21引越予定　ｺｰﾎﾟ津吉1-6→ﾋﾞﾚｯｼﾞ3-108へ")</f>
        <v>2025.7.21引越予定　ｺｰﾎﾟ津吉1-6→ﾋﾞﾚｯｼﾞ3-108へ</v>
      </c>
    </row>
    <row r="63" spans="1:42" ht="14.5">
      <c r="A63" s="595" t="str">
        <f ca="1">IFERROR(__xludf.DUMMYFUNCTION("""COMPUTED_VALUE"""),"四課")</f>
        <v>四課</v>
      </c>
      <c r="B63" s="595">
        <f ca="1">IFERROR(__xludf.DUMMYFUNCTION("""COMPUTED_VALUE"""),177)</f>
        <v>177</v>
      </c>
      <c r="C63" s="595" t="str">
        <f ca="1">IFERROR(__xludf.DUMMYFUNCTION("""COMPUTED_VALUE"""),"津吉")</f>
        <v>津吉</v>
      </c>
      <c r="D63" s="595" t="str">
        <f ca="1">IFERROR(__xludf.DUMMYFUNCTION("""COMPUTED_VALUE"""),"インドネシア")</f>
        <v>インドネシア</v>
      </c>
      <c r="E63" s="595" t="str">
        <f ca="1">IFERROR(__xludf.DUMMYFUNCTION("""COMPUTED_VALUE"""),"07013683")</f>
        <v>07013683</v>
      </c>
      <c r="F63" s="595" t="str">
        <f ca="1">IFERROR(__xludf.DUMMYFUNCTION("""COMPUTED_VALUE"""),"/appsheet/photograph/177.写真.034831.jpg")</f>
        <v>/appsheet/photograph/177.写真.034831.jpg</v>
      </c>
      <c r="G63" s="595" t="str">
        <f ca="1">IFERROR(__xludf.DUMMYFUNCTION("""COMPUTED_VALUE"""),"ライハン ヴィルギアン アルファレル")</f>
        <v>ライハン ヴィルギアン アルファレル</v>
      </c>
      <c r="H63" s="595" t="str">
        <f ca="1">IFERROR(__xludf.DUMMYFUNCTION("""COMPUTED_VALUE"""),"RAYHAN VIRGIAN ALFARREL")</f>
        <v>RAYHAN VIRGIAN ALFARREL</v>
      </c>
      <c r="I63" s="595" t="str">
        <f ca="1">IFERROR(__xludf.DUMMYFUNCTION("""COMPUTED_VALUE"""),"ライハン")</f>
        <v>ライハン</v>
      </c>
      <c r="J63" s="595" t="str">
        <f ca="1">IFERROR(__xludf.DUMMYFUNCTION("""COMPUTED_VALUE"""),"男")</f>
        <v>男</v>
      </c>
      <c r="K63" s="600">
        <f ca="1">IFERROR(__xludf.DUMMYFUNCTION("""COMPUTED_VALUE"""),37878)</f>
        <v>37878</v>
      </c>
      <c r="L63" s="595">
        <f ca="1">IFERROR(__xludf.DUMMYFUNCTION("""COMPUTED_VALUE"""),22)</f>
        <v>22</v>
      </c>
      <c r="M63" s="595" t="str">
        <f ca="1">IFERROR(__xludf.DUMMYFUNCTION("""COMPUTED_VALUE"""),"無")</f>
        <v>無</v>
      </c>
      <c r="N63" s="595" t="str">
        <f ca="1">IFERROR(__xludf.DUMMYFUNCTION("""COMPUTED_VALUE"""),"H&amp;C")</f>
        <v>H&amp;C</v>
      </c>
      <c r="O63" s="900">
        <f ca="1">IFERROR(__xludf.DUMMYFUNCTION("""COMPUTED_VALUE"""),45594)</f>
        <v>45594</v>
      </c>
      <c r="P63" s="595" t="str">
        <f ca="1">IFERROR(__xludf.DUMMYFUNCTION("""COMPUTED_VALUE"""),"2029/09")</f>
        <v>2029/09</v>
      </c>
      <c r="Q63" s="595" t="str">
        <f ca="1">IFERROR(__xludf.DUMMYFUNCTION("""COMPUTED_VALUE"""),"特定技能１号")</f>
        <v>特定技能１号</v>
      </c>
      <c r="R63" s="595" t="str">
        <f ca="1">IFERROR(__xludf.DUMMYFUNCTION("""COMPUTED_VALUE"""),"松山市上野町774番地ビレッジハウス松山上野3-108")</f>
        <v>松山市上野町774番地ビレッジハウス松山上野3-108</v>
      </c>
      <c r="S63" s="595" t="str">
        <f ca="1">IFERROR(__xludf.DUMMYFUNCTION("""COMPUTED_VALUE"""),"個")</f>
        <v>個</v>
      </c>
      <c r="T63" s="901">
        <f ca="1">IFERROR(__xludf.DUMMYFUNCTION("""COMPUTED_VALUE"""),15000)</f>
        <v>15000</v>
      </c>
      <c r="U63" s="600">
        <f ca="1">IFERROR(__xludf.DUMMYFUNCTION("""COMPUTED_VALUE"""),45870)</f>
        <v>45870</v>
      </c>
      <c r="V63" s="600">
        <f ca="1">IFERROR(__xludf.DUMMYFUNCTION("""COMPUTED_VALUE"""),46322)</f>
        <v>46322</v>
      </c>
      <c r="W63" s="595" t="str">
        <f ca="1">IFERROR(__xludf.DUMMYFUNCTION("""COMPUTED_VALUE"""),"UH15226915PC")</f>
        <v>UH15226915PC</v>
      </c>
      <c r="X63" s="595"/>
      <c r="Y63" s="596"/>
      <c r="Z63" s="595" t="str">
        <f ca="1">IFERROR(__xludf.DUMMYFUNCTION("""COMPUTED_VALUE"""),"202409購入
26シルバー
B-0343701-X096")</f>
        <v>202409購入
26シルバー
B-0343701-X096</v>
      </c>
      <c r="AA63" s="595" t="str">
        <f ca="1">IFERROR(__xludf.DUMMYFUNCTION("""COMPUTED_VALUE"""),"2025/2/14
鍵が折れた為替え渡す")</f>
        <v>2025/2/14
鍵が折れた為替え渡す</v>
      </c>
      <c r="AB63" s="595"/>
      <c r="AC63" s="595"/>
      <c r="AD63" s="600"/>
      <c r="AE63" s="600"/>
      <c r="AF63" s="600"/>
      <c r="AG63" s="600"/>
      <c r="AH63" s="595"/>
      <c r="AI63" s="600"/>
      <c r="AJ63" s="595"/>
      <c r="AK63" s="595" t="str">
        <f ca="1">IFERROR(__xludf.DUMMYFUNCTION("""COMPUTED_VALUE"""),"大西係長")</f>
        <v>大西係長</v>
      </c>
      <c r="AL63" s="595"/>
      <c r="AM63" s="596"/>
      <c r="AN63" s="595"/>
      <c r="AO63" s="595"/>
      <c r="AP63" s="595" t="str">
        <f ca="1">IFERROR(__xludf.DUMMYFUNCTION("""COMPUTED_VALUE"""),"2025.7.21引越予定　ｺｰﾎﾟ津吉1-6→ﾋﾞﾚｯｼﾞ3-108へ")</f>
        <v>2025.7.21引越予定　ｺｰﾎﾟ津吉1-6→ﾋﾞﾚｯｼﾞ3-108へ</v>
      </c>
    </row>
    <row r="64" spans="1:42" ht="14.5">
      <c r="A64" s="595" t="str">
        <f ca="1">IFERROR(__xludf.DUMMYFUNCTION("""COMPUTED_VALUE"""),"四課")</f>
        <v>四課</v>
      </c>
      <c r="B64" s="595">
        <f ca="1">IFERROR(__xludf.DUMMYFUNCTION("""COMPUTED_VALUE"""),178)</f>
        <v>178</v>
      </c>
      <c r="C64" s="595" t="str">
        <f ca="1">IFERROR(__xludf.DUMMYFUNCTION("""COMPUTED_VALUE"""),"津吉")</f>
        <v>津吉</v>
      </c>
      <c r="D64" s="595" t="str">
        <f ca="1">IFERROR(__xludf.DUMMYFUNCTION("""COMPUTED_VALUE"""),"インドネシア")</f>
        <v>インドネシア</v>
      </c>
      <c r="E64" s="595" t="str">
        <f ca="1">IFERROR(__xludf.DUMMYFUNCTION("""COMPUTED_VALUE"""),"07013673")</f>
        <v>07013673</v>
      </c>
      <c r="F64" s="595" t="str">
        <f ca="1">IFERROR(__xludf.DUMMYFUNCTION("""COMPUTED_VALUE"""),"/appsheet/photograph/178.写真.034235.jpg")</f>
        <v>/appsheet/photograph/178.写真.034235.jpg</v>
      </c>
      <c r="G64" s="595" t="str">
        <f ca="1">IFERROR(__xludf.DUMMYFUNCTION("""COMPUTED_VALUE"""),"リヴァンドラ ジヨ マヘサ")</f>
        <v>リヴァンドラ ジヨ マヘサ</v>
      </c>
      <c r="H64" s="595" t="str">
        <f ca="1">IFERROR(__xludf.DUMMYFUNCTION("""COMPUTED_VALUE"""),"RIVANDRA JIYO MAHESA")</f>
        <v>RIVANDRA JIYO MAHESA</v>
      </c>
      <c r="I64" s="595" t="str">
        <f ca="1">IFERROR(__xludf.DUMMYFUNCTION("""COMPUTED_VALUE"""),"リヴァン")</f>
        <v>リヴァン</v>
      </c>
      <c r="J64" s="595" t="str">
        <f ca="1">IFERROR(__xludf.DUMMYFUNCTION("""COMPUTED_VALUE"""),"男")</f>
        <v>男</v>
      </c>
      <c r="K64" s="600">
        <f ca="1">IFERROR(__xludf.DUMMYFUNCTION("""COMPUTED_VALUE"""),38317)</f>
        <v>38317</v>
      </c>
      <c r="L64" s="595">
        <f ca="1">IFERROR(__xludf.DUMMYFUNCTION("""COMPUTED_VALUE"""),21)</f>
        <v>21</v>
      </c>
      <c r="M64" s="595" t="str">
        <f ca="1">IFERROR(__xludf.DUMMYFUNCTION("""COMPUTED_VALUE"""),"無")</f>
        <v>無</v>
      </c>
      <c r="N64" s="595" t="str">
        <f ca="1">IFERROR(__xludf.DUMMYFUNCTION("""COMPUTED_VALUE"""),"H&amp;C")</f>
        <v>H&amp;C</v>
      </c>
      <c r="O64" s="900">
        <f ca="1">IFERROR(__xludf.DUMMYFUNCTION("""COMPUTED_VALUE"""),45587)</f>
        <v>45587</v>
      </c>
      <c r="P64" s="595" t="str">
        <f ca="1">IFERROR(__xludf.DUMMYFUNCTION("""COMPUTED_VALUE"""),"2029/09")</f>
        <v>2029/09</v>
      </c>
      <c r="Q64" s="595" t="str">
        <f ca="1">IFERROR(__xludf.DUMMYFUNCTION("""COMPUTED_VALUE"""),"特定技能１号")</f>
        <v>特定技能１号</v>
      </c>
      <c r="R64" s="595" t="str">
        <f ca="1">IFERROR(__xludf.DUMMYFUNCTION("""COMPUTED_VALUE"""),"松山市上野町774番地ビレッジハウス松山上野3-108")</f>
        <v>松山市上野町774番地ビレッジハウス松山上野3-108</v>
      </c>
      <c r="S64" s="595" t="str">
        <f ca="1">IFERROR(__xludf.DUMMYFUNCTION("""COMPUTED_VALUE"""),"個")</f>
        <v>個</v>
      </c>
      <c r="T64" s="901">
        <f ca="1">IFERROR(__xludf.DUMMYFUNCTION("""COMPUTED_VALUE"""),15000)</f>
        <v>15000</v>
      </c>
      <c r="U64" s="600">
        <f ca="1">IFERROR(__xludf.DUMMYFUNCTION("""COMPUTED_VALUE"""),45870)</f>
        <v>45870</v>
      </c>
      <c r="V64" s="600">
        <f ca="1">IFERROR(__xludf.DUMMYFUNCTION("""COMPUTED_VALUE"""),46315)</f>
        <v>46315</v>
      </c>
      <c r="W64" s="595" t="str">
        <f ca="1">IFERROR(__xludf.DUMMYFUNCTION("""COMPUTED_VALUE"""),"UH40041600PC")</f>
        <v>UH40041600PC</v>
      </c>
      <c r="X64" s="595"/>
      <c r="Y64" s="596"/>
      <c r="Z64" s="595" t="str">
        <f ca="1">IFERROR(__xludf.DUMMYFUNCTION("""COMPUTED_VALUE"""),"202409購入
26シルバー
B-0343702-X240")</f>
        <v>202409購入
26シルバー
B-0343702-X240</v>
      </c>
      <c r="AA64" s="595"/>
      <c r="AB64" s="595"/>
      <c r="AC64" s="595"/>
      <c r="AD64" s="600"/>
      <c r="AE64" s="600"/>
      <c r="AF64" s="600"/>
      <c r="AG64" s="600"/>
      <c r="AH64" s="595"/>
      <c r="AI64" s="600"/>
      <c r="AJ64" s="595"/>
      <c r="AK64" s="595" t="str">
        <f ca="1">IFERROR(__xludf.DUMMYFUNCTION("""COMPUTED_VALUE"""),"大西係長")</f>
        <v>大西係長</v>
      </c>
      <c r="AL64" s="595" t="str">
        <f ca="1">IFERROR(__xludf.DUMMYFUNCTION("""COMPUTED_VALUE"""),"〇")</f>
        <v>〇</v>
      </c>
      <c r="AM64" s="596"/>
      <c r="AN64" s="595" t="str">
        <f ca="1">IFERROR(__xludf.DUMMYFUNCTION("""COMPUTED_VALUE"""),"2025/6/1～2029/10/31")</f>
        <v>2025/6/1～2029/10/31</v>
      </c>
      <c r="AO64" s="595"/>
      <c r="AP64" s="595" t="str">
        <f ca="1">IFERROR(__xludf.DUMMYFUNCTION("""COMPUTED_VALUE"""),"2025.7.21引越予定　ｺｰﾎﾟ津吉1-6→ﾋﾞﾚｯｼﾞ3-108へ")</f>
        <v>2025.7.21引越予定　ｺｰﾎﾟ津吉1-6→ﾋﾞﾚｯｼﾞ3-108へ</v>
      </c>
    </row>
    <row r="65" spans="1:42" ht="14.5">
      <c r="A65" s="595" t="str">
        <f ca="1">IFERROR(__xludf.DUMMYFUNCTION("""COMPUTED_VALUE"""),"四課")</f>
        <v>四課</v>
      </c>
      <c r="B65" s="595">
        <f ca="1">IFERROR(__xludf.DUMMYFUNCTION("""COMPUTED_VALUE"""),182)</f>
        <v>182</v>
      </c>
      <c r="C65" s="595" t="str">
        <f ca="1">IFERROR(__xludf.DUMMYFUNCTION("""COMPUTED_VALUE"""),"津吉")</f>
        <v>津吉</v>
      </c>
      <c r="D65" s="595" t="str">
        <f ca="1">IFERROR(__xludf.DUMMYFUNCTION("""COMPUTED_VALUE"""),"インドネシア")</f>
        <v>インドネシア</v>
      </c>
      <c r="E65" s="595" t="str">
        <f ca="1">IFERROR(__xludf.DUMMYFUNCTION("""COMPUTED_VALUE"""),"07013687")</f>
        <v>07013687</v>
      </c>
      <c r="F65" s="595" t="str">
        <f ca="1">IFERROR(__xludf.DUMMYFUNCTION("""COMPUTED_VALUE"""),"/appsheet/photograph/182.写真.031004.jpg")</f>
        <v>/appsheet/photograph/182.写真.031004.jpg</v>
      </c>
      <c r="G65" s="595" t="str">
        <f ca="1">IFERROR(__xludf.DUMMYFUNCTION("""COMPUTED_VALUE"""),"ザーラ ソンジャヤ")</f>
        <v>ザーラ ソンジャヤ</v>
      </c>
      <c r="H65" s="595" t="str">
        <f ca="1">IFERROR(__xludf.DUMMYFUNCTION("""COMPUTED_VALUE"""),"ZAHRA SONJAYA")</f>
        <v>ZAHRA SONJAYA</v>
      </c>
      <c r="I65" s="595" t="str">
        <f ca="1">IFERROR(__xludf.DUMMYFUNCTION("""COMPUTED_VALUE"""),"ザーラ")</f>
        <v>ザーラ</v>
      </c>
      <c r="J65" s="595" t="str">
        <f ca="1">IFERROR(__xludf.DUMMYFUNCTION("""COMPUTED_VALUE"""),"女")</f>
        <v>女</v>
      </c>
      <c r="K65" s="600">
        <f ca="1">IFERROR(__xludf.DUMMYFUNCTION("""COMPUTED_VALUE"""),38352)</f>
        <v>38352</v>
      </c>
      <c r="L65" s="595">
        <f ca="1">IFERROR(__xludf.DUMMYFUNCTION("""COMPUTED_VALUE"""),21)</f>
        <v>21</v>
      </c>
      <c r="M65" s="595" t="str">
        <f ca="1">IFERROR(__xludf.DUMMYFUNCTION("""COMPUTED_VALUE"""),"無")</f>
        <v>無</v>
      </c>
      <c r="N65" s="595" t="str">
        <f ca="1">IFERROR(__xludf.DUMMYFUNCTION("""COMPUTED_VALUE"""),"H&amp;C")</f>
        <v>H&amp;C</v>
      </c>
      <c r="O65" s="900">
        <f ca="1">IFERROR(__xludf.DUMMYFUNCTION("""COMPUTED_VALUE"""),45594)</f>
        <v>45594</v>
      </c>
      <c r="P65" s="595" t="str">
        <f ca="1">IFERROR(__xludf.DUMMYFUNCTION("""COMPUTED_VALUE"""),"2029/09")</f>
        <v>2029/09</v>
      </c>
      <c r="Q65" s="595" t="str">
        <f ca="1">IFERROR(__xludf.DUMMYFUNCTION("""COMPUTED_VALUE"""),"特定技能１号")</f>
        <v>特定技能１号</v>
      </c>
      <c r="R65" s="595" t="str">
        <f ca="1">IFERROR(__xludf.DUMMYFUNCTION("""COMPUTED_VALUE"""),"松山市津吉町535-1コーポ津吉2-4")</f>
        <v>松山市津吉町535-1コーポ津吉2-4</v>
      </c>
      <c r="S65" s="595" t="str">
        <f ca="1">IFERROR(__xludf.DUMMYFUNCTION("""COMPUTED_VALUE"""),"個")</f>
        <v>個</v>
      </c>
      <c r="T65" s="901">
        <f ca="1">IFERROR(__xludf.DUMMYFUNCTION("""COMPUTED_VALUE"""),20000)</f>
        <v>20000</v>
      </c>
      <c r="U65" s="600">
        <f ca="1">IFERROR(__xludf.DUMMYFUNCTION("""COMPUTED_VALUE"""),45870)</f>
        <v>45870</v>
      </c>
      <c r="V65" s="600">
        <f ca="1">IFERROR(__xludf.DUMMYFUNCTION("""COMPUTED_VALUE"""),46322)</f>
        <v>46322</v>
      </c>
      <c r="W65" s="595" t="str">
        <f ca="1">IFERROR(__xludf.DUMMYFUNCTION("""COMPUTED_VALUE"""),"UH86563492PC")</f>
        <v>UH86563492PC</v>
      </c>
      <c r="X65" s="595"/>
      <c r="Y65" s="596"/>
      <c r="Z65" s="595" t="str">
        <f ca="1">IFERROR(__xludf.DUMMYFUNCTION("""COMPUTED_VALUE"""),"202409購入
26シルバー
B-0343709-V037")</f>
        <v>202409購入
26シルバー
B-0343709-V037</v>
      </c>
      <c r="AA65" s="595"/>
      <c r="AB65" s="595"/>
      <c r="AC65" s="595"/>
      <c r="AD65" s="600"/>
      <c r="AE65" s="600"/>
      <c r="AF65" s="600"/>
      <c r="AG65" s="600"/>
      <c r="AH65" s="595"/>
      <c r="AI65" s="600"/>
      <c r="AJ65" s="595"/>
      <c r="AK65" s="595" t="str">
        <f ca="1">IFERROR(__xludf.DUMMYFUNCTION("""COMPUTED_VALUE"""),"大西係長")</f>
        <v>大西係長</v>
      </c>
      <c r="AL65" s="595" t="str">
        <f ca="1">IFERROR(__xludf.DUMMYFUNCTION("""COMPUTED_VALUE"""),"〇")</f>
        <v>〇</v>
      </c>
      <c r="AM65" s="596">
        <f ca="1">IFERROR(__xludf.DUMMYFUNCTION("""COMPUTED_VALUE"""),45592)</f>
        <v>45592</v>
      </c>
      <c r="AN65" s="595" t="str">
        <f ca="1">IFERROR(__xludf.DUMMYFUNCTION("""COMPUTED_VALUE"""),"2025/6/1～2029/10/31")</f>
        <v>2025/6/1～2029/10/31</v>
      </c>
      <c r="AO65" s="595"/>
      <c r="AP65" s="595" t="str">
        <f ca="1">IFERROR(__xludf.DUMMYFUNCTION("""COMPUTED_VALUE"""),"2025/9/21引越中野①→コーポ津吉2-4へ家賃￥20000へ")</f>
        <v>2025/9/21引越中野①→コーポ津吉2-4へ家賃￥20000へ</v>
      </c>
    </row>
    <row r="66" spans="1:42" ht="14.5">
      <c r="A66" s="595" t="str">
        <f ca="1">IFERROR(__xludf.DUMMYFUNCTION("""COMPUTED_VALUE"""),"一課")</f>
        <v>一課</v>
      </c>
      <c r="B66" s="595">
        <f ca="1">IFERROR(__xludf.DUMMYFUNCTION("""COMPUTED_VALUE"""),183)</f>
        <v>183</v>
      </c>
      <c r="C66" s="595" t="str">
        <f ca="1">IFERROR(__xludf.DUMMYFUNCTION("""COMPUTED_VALUE"""),"津吉")</f>
        <v>津吉</v>
      </c>
      <c r="D66" s="595" t="str">
        <f ca="1">IFERROR(__xludf.DUMMYFUNCTION("""COMPUTED_VALUE"""),"インドネシア")</f>
        <v>インドネシア</v>
      </c>
      <c r="E66" s="595" t="str">
        <f ca="1">IFERROR(__xludf.DUMMYFUNCTION("""COMPUTED_VALUE"""),"07013688")</f>
        <v>07013688</v>
      </c>
      <c r="F66" s="595" t="str">
        <f ca="1">IFERROR(__xludf.DUMMYFUNCTION("""COMPUTED_VALUE"""),"/appsheet/photograph/183.写真.031225.jpg")</f>
        <v>/appsheet/photograph/183.写真.031225.jpg</v>
      </c>
      <c r="G66" s="595" t="str">
        <f ca="1">IFERROR(__xludf.DUMMYFUNCTION("""COMPUTED_VALUE"""),"ヌルル アフリナ セルビアンティ")</f>
        <v>ヌルル アフリナ セルビアンティ</v>
      </c>
      <c r="H66" s="595" t="str">
        <f ca="1">IFERROR(__xludf.DUMMYFUNCTION("""COMPUTED_VALUE"""),"NURUL AFRINA SELVIANTI")</f>
        <v>NURUL AFRINA SELVIANTI</v>
      </c>
      <c r="I66" s="595" t="str">
        <f ca="1">IFERROR(__xludf.DUMMYFUNCTION("""COMPUTED_VALUE"""),"ヌルル")</f>
        <v>ヌルル</v>
      </c>
      <c r="J66" s="595" t="str">
        <f ca="1">IFERROR(__xludf.DUMMYFUNCTION("""COMPUTED_VALUE"""),"女")</f>
        <v>女</v>
      </c>
      <c r="K66" s="600">
        <f ca="1">IFERROR(__xludf.DUMMYFUNCTION("""COMPUTED_VALUE"""),38249)</f>
        <v>38249</v>
      </c>
      <c r="L66" s="595">
        <f ca="1">IFERROR(__xludf.DUMMYFUNCTION("""COMPUTED_VALUE"""),21)</f>
        <v>21</v>
      </c>
      <c r="M66" s="595" t="str">
        <f ca="1">IFERROR(__xludf.DUMMYFUNCTION("""COMPUTED_VALUE"""),"無")</f>
        <v>無</v>
      </c>
      <c r="N66" s="595" t="str">
        <f ca="1">IFERROR(__xludf.DUMMYFUNCTION("""COMPUTED_VALUE"""),"H&amp;C")</f>
        <v>H&amp;C</v>
      </c>
      <c r="O66" s="900">
        <f ca="1">IFERROR(__xludf.DUMMYFUNCTION("""COMPUTED_VALUE"""),45594)</f>
        <v>45594</v>
      </c>
      <c r="P66" s="595" t="str">
        <f ca="1">IFERROR(__xludf.DUMMYFUNCTION("""COMPUTED_VALUE"""),"2029/09")</f>
        <v>2029/09</v>
      </c>
      <c r="Q66" s="595" t="str">
        <f ca="1">IFERROR(__xludf.DUMMYFUNCTION("""COMPUTED_VALUE"""),"特定技能１号")</f>
        <v>特定技能１号</v>
      </c>
      <c r="R66" s="595" t="str">
        <f ca="1">IFERROR(__xludf.DUMMYFUNCTION("""COMPUTED_VALUE"""),"松山市中野町368-6")</f>
        <v>松山市中野町368-6</v>
      </c>
      <c r="S66" s="595" t="str">
        <f ca="1">IFERROR(__xludf.DUMMYFUNCTION("""COMPUTED_VALUE"""),"個")</f>
        <v>個</v>
      </c>
      <c r="T66" s="901">
        <f ca="1">IFERROR(__xludf.DUMMYFUNCTION("""COMPUTED_VALUE"""),20000)</f>
        <v>20000</v>
      </c>
      <c r="U66" s="600">
        <f ca="1">IFERROR(__xludf.DUMMYFUNCTION("""COMPUTED_VALUE"""),45870)</f>
        <v>45870</v>
      </c>
      <c r="V66" s="600">
        <f ca="1">IFERROR(__xludf.DUMMYFUNCTION("""COMPUTED_VALUE"""),46322)</f>
        <v>46322</v>
      </c>
      <c r="W66" s="595" t="str">
        <f ca="1">IFERROR(__xludf.DUMMYFUNCTION("""COMPUTED_VALUE"""),"UH58359289PC")</f>
        <v>UH58359289PC</v>
      </c>
      <c r="X66" s="595"/>
      <c r="Y66" s="596"/>
      <c r="Z66" s="595" t="str">
        <f ca="1">IFERROR(__xludf.DUMMYFUNCTION("""COMPUTED_VALUE"""),"旧2201
26シルバー
B-0274805-V128")</f>
        <v>旧2201
26シルバー
B-0274805-V128</v>
      </c>
      <c r="AA66" s="595"/>
      <c r="AB66" s="595"/>
      <c r="AC66" s="595"/>
      <c r="AD66" s="600"/>
      <c r="AE66" s="600"/>
      <c r="AF66" s="600"/>
      <c r="AG66" s="600"/>
      <c r="AH66" s="595"/>
      <c r="AI66" s="600"/>
      <c r="AJ66" s="595"/>
      <c r="AK66" s="595" t="str">
        <f ca="1">IFERROR(__xludf.DUMMYFUNCTION("""COMPUTED_VALUE"""),"小林主任")</f>
        <v>小林主任</v>
      </c>
      <c r="AL66" s="595" t="str">
        <f ca="1">IFERROR(__xludf.DUMMYFUNCTION("""COMPUTED_VALUE"""),"〇")</f>
        <v>〇</v>
      </c>
      <c r="AM66" s="596">
        <f ca="1">IFERROR(__xludf.DUMMYFUNCTION("""COMPUTED_VALUE"""),45592)</f>
        <v>45592</v>
      </c>
      <c r="AN66" s="595" t="str">
        <f ca="1">IFERROR(__xludf.DUMMYFUNCTION("""COMPUTED_VALUE"""),"2025/6/1～2029/10/31")</f>
        <v>2025/6/1～2029/10/31</v>
      </c>
      <c r="AO66" s="595"/>
      <c r="AP66" s="595" t="str">
        <f ca="1">IFERROR(__xludf.DUMMYFUNCTION("""COMPUTED_VALUE"""),"2025/9/21～1人部屋へ家賃￥20000へ
2025/10/21引越　中野①（中野町442-1）→中野③（中野町368-6）へ　家賃￥20,000-へ")</f>
        <v>2025/9/21～1人部屋へ家賃￥20000へ
2025/10/21引越　中野①（中野町442-1）→中野③（中野町368-6）へ　家賃￥20,000-へ</v>
      </c>
    </row>
    <row r="67" spans="1:42" ht="14.5">
      <c r="A67" s="595" t="str">
        <f ca="1">IFERROR(__xludf.DUMMYFUNCTION("""COMPUTED_VALUE"""),"四課")</f>
        <v>四課</v>
      </c>
      <c r="B67" s="595">
        <f ca="1">IFERROR(__xludf.DUMMYFUNCTION("""COMPUTED_VALUE"""),184)</f>
        <v>184</v>
      </c>
      <c r="C67" s="595" t="str">
        <f ca="1">IFERROR(__xludf.DUMMYFUNCTION("""COMPUTED_VALUE"""),"津吉")</f>
        <v>津吉</v>
      </c>
      <c r="D67" s="595" t="str">
        <f ca="1">IFERROR(__xludf.DUMMYFUNCTION("""COMPUTED_VALUE"""),"インドネシア")</f>
        <v>インドネシア</v>
      </c>
      <c r="E67" s="595" t="str">
        <f ca="1">IFERROR(__xludf.DUMMYFUNCTION("""COMPUTED_VALUE"""),"07013674")</f>
        <v>07013674</v>
      </c>
      <c r="F67" s="595" t="str">
        <f ca="1">IFERROR(__xludf.DUMMYFUNCTION("""COMPUTED_VALUE"""),"/appsheet/photograph/184.写真.032121.jpg")</f>
        <v>/appsheet/photograph/184.写真.032121.jpg</v>
      </c>
      <c r="G67" s="595" t="str">
        <f ca="1">IFERROR(__xludf.DUMMYFUNCTION("""COMPUTED_VALUE"""),"マヤング ヌルハサナー")</f>
        <v>マヤング ヌルハサナー</v>
      </c>
      <c r="H67" s="595" t="str">
        <f ca="1">IFERROR(__xludf.DUMMYFUNCTION("""COMPUTED_VALUE"""),"MAYANG NURHASANAH")</f>
        <v>MAYANG NURHASANAH</v>
      </c>
      <c r="I67" s="595" t="str">
        <f ca="1">IFERROR(__xludf.DUMMYFUNCTION("""COMPUTED_VALUE"""),"マヤン")</f>
        <v>マヤン</v>
      </c>
      <c r="J67" s="595" t="str">
        <f ca="1">IFERROR(__xludf.DUMMYFUNCTION("""COMPUTED_VALUE"""),"女")</f>
        <v>女</v>
      </c>
      <c r="K67" s="600">
        <f ca="1">IFERROR(__xludf.DUMMYFUNCTION("""COMPUTED_VALUE"""),38170)</f>
        <v>38170</v>
      </c>
      <c r="L67" s="595">
        <f ca="1">IFERROR(__xludf.DUMMYFUNCTION("""COMPUTED_VALUE"""),21)</f>
        <v>21</v>
      </c>
      <c r="M67" s="595" t="str">
        <f ca="1">IFERROR(__xludf.DUMMYFUNCTION("""COMPUTED_VALUE"""),"無")</f>
        <v>無</v>
      </c>
      <c r="N67" s="595" t="str">
        <f ca="1">IFERROR(__xludf.DUMMYFUNCTION("""COMPUTED_VALUE"""),"H&amp;C")</f>
        <v>H&amp;C</v>
      </c>
      <c r="O67" s="900">
        <f ca="1">IFERROR(__xludf.DUMMYFUNCTION("""COMPUTED_VALUE"""),45587)</f>
        <v>45587</v>
      </c>
      <c r="P67" s="595" t="str">
        <f ca="1">IFERROR(__xludf.DUMMYFUNCTION("""COMPUTED_VALUE"""),"2029/09")</f>
        <v>2029/09</v>
      </c>
      <c r="Q67" s="595" t="str">
        <f ca="1">IFERROR(__xludf.DUMMYFUNCTION("""COMPUTED_VALUE"""),"特定技能１号")</f>
        <v>特定技能１号</v>
      </c>
      <c r="R67" s="595" t="str">
        <f ca="1">IFERROR(__xludf.DUMMYFUNCTION("""COMPUTED_VALUE"""),"松山市津吉町535-1コーポ津吉2-4")</f>
        <v>松山市津吉町535-1コーポ津吉2-4</v>
      </c>
      <c r="S67" s="595" t="str">
        <f ca="1">IFERROR(__xludf.DUMMYFUNCTION("""COMPUTED_VALUE"""),"個")</f>
        <v>個</v>
      </c>
      <c r="T67" s="901">
        <f ca="1">IFERROR(__xludf.DUMMYFUNCTION("""COMPUTED_VALUE"""),20000)</f>
        <v>20000</v>
      </c>
      <c r="U67" s="600">
        <f ca="1">IFERROR(__xludf.DUMMYFUNCTION("""COMPUTED_VALUE"""),45870)</f>
        <v>45870</v>
      </c>
      <c r="V67" s="600">
        <f ca="1">IFERROR(__xludf.DUMMYFUNCTION("""COMPUTED_VALUE"""),46315)</f>
        <v>46315</v>
      </c>
      <c r="W67" s="595" t="str">
        <f ca="1">IFERROR(__xludf.DUMMYFUNCTION("""COMPUTED_VALUE"""),"UH34302751PC")</f>
        <v>UH34302751PC</v>
      </c>
      <c r="X67" s="595"/>
      <c r="Y67" s="596"/>
      <c r="Z67" s="595" t="str">
        <f ca="1">IFERROR(__xludf.DUMMYFUNCTION("""COMPUTED_VALUE"""),"旧2309
26シルバー
B-0287448-V038")</f>
        <v>旧2309
26シルバー
B-0287448-V038</v>
      </c>
      <c r="AA67" s="595" t="str">
        <f ca="1">IFERROR(__xludf.DUMMYFUNCTION("""COMPUTED_VALUE"""),"2025/11/20")</f>
        <v>2025/11/20</v>
      </c>
      <c r="AB67" s="595"/>
      <c r="AC67" s="595"/>
      <c r="AD67" s="600"/>
      <c r="AE67" s="600"/>
      <c r="AF67" s="600"/>
      <c r="AG67" s="600"/>
      <c r="AH67" s="595"/>
      <c r="AI67" s="600"/>
      <c r="AJ67" s="595"/>
      <c r="AK67" s="595" t="str">
        <f ca="1">IFERROR(__xludf.DUMMYFUNCTION("""COMPUTED_VALUE"""),"大西係長")</f>
        <v>大西係長</v>
      </c>
      <c r="AL67" s="595" t="str">
        <f ca="1">IFERROR(__xludf.DUMMYFUNCTION("""COMPUTED_VALUE"""),"〇")</f>
        <v>〇</v>
      </c>
      <c r="AM67" s="596">
        <f ca="1">IFERROR(__xludf.DUMMYFUNCTION("""COMPUTED_VALUE"""),45585)</f>
        <v>45585</v>
      </c>
      <c r="AN67" s="595" t="str">
        <f ca="1">IFERROR(__xludf.DUMMYFUNCTION("""COMPUTED_VALUE"""),"2025/6/1～2029/10/31")</f>
        <v>2025/6/1～2029/10/31</v>
      </c>
      <c r="AO67" s="595"/>
      <c r="AP67" s="595" t="str">
        <f ca="1">IFERROR(__xludf.DUMMYFUNCTION("""COMPUTED_VALUE"""),"2025/5/19朝、寮で胸の痛みで救急搬送された5/20欠勤（新開工場長より）
2025/9/21引越中野①→コーポ津吉2-4へ家賃￥20000へ")</f>
        <v>2025/5/19朝、寮で胸の痛みで救急搬送された5/20欠勤（新開工場長より）
2025/9/21引越中野①→コーポ津吉2-4へ家賃￥20000へ</v>
      </c>
    </row>
    <row r="68" spans="1:42" ht="14.5">
      <c r="A68" s="595" t="str">
        <f ca="1">IFERROR(__xludf.DUMMYFUNCTION("""COMPUTED_VALUE"""),"一課")</f>
        <v>一課</v>
      </c>
      <c r="B68" s="595">
        <f ca="1">IFERROR(__xludf.DUMMYFUNCTION("""COMPUTED_VALUE"""),185)</f>
        <v>185</v>
      </c>
      <c r="C68" s="595" t="str">
        <f ca="1">IFERROR(__xludf.DUMMYFUNCTION("""COMPUTED_VALUE"""),"津吉")</f>
        <v>津吉</v>
      </c>
      <c r="D68" s="595" t="str">
        <f ca="1">IFERROR(__xludf.DUMMYFUNCTION("""COMPUTED_VALUE"""),"インドネシア")</f>
        <v>インドネシア</v>
      </c>
      <c r="E68" s="595" t="str">
        <f ca="1">IFERROR(__xludf.DUMMYFUNCTION("""COMPUTED_VALUE"""),"07013675")</f>
        <v>07013675</v>
      </c>
      <c r="F68" s="595" t="str">
        <f ca="1">IFERROR(__xludf.DUMMYFUNCTION("""COMPUTED_VALUE"""),"/appsheet/photograph/185.写真.032748.jpg")</f>
        <v>/appsheet/photograph/185.写真.032748.jpg</v>
      </c>
      <c r="G68" s="595" t="str">
        <f ca="1">IFERROR(__xludf.DUMMYFUNCTION("""COMPUTED_VALUE"""),"チンティア インダー ゲスタ")</f>
        <v>チンティア インダー ゲスタ</v>
      </c>
      <c r="H68" s="595" t="str">
        <f ca="1">IFERROR(__xludf.DUMMYFUNCTION("""COMPUTED_VALUE"""),"CINTHIA INDAH GESTA")</f>
        <v>CINTHIA INDAH GESTA</v>
      </c>
      <c r="I68" s="595" t="str">
        <f ca="1">IFERROR(__xludf.DUMMYFUNCTION("""COMPUTED_VALUE"""),"チンティア")</f>
        <v>チンティア</v>
      </c>
      <c r="J68" s="595" t="str">
        <f ca="1">IFERROR(__xludf.DUMMYFUNCTION("""COMPUTED_VALUE"""),"女")</f>
        <v>女</v>
      </c>
      <c r="K68" s="600">
        <f ca="1">IFERROR(__xludf.DUMMYFUNCTION("""COMPUTED_VALUE"""),36802)</f>
        <v>36802</v>
      </c>
      <c r="L68" s="595">
        <f ca="1">IFERROR(__xludf.DUMMYFUNCTION("""COMPUTED_VALUE"""),25)</f>
        <v>25</v>
      </c>
      <c r="M68" s="595" t="str">
        <f ca="1">IFERROR(__xludf.DUMMYFUNCTION("""COMPUTED_VALUE"""),"無")</f>
        <v>無</v>
      </c>
      <c r="N68" s="595" t="str">
        <f ca="1">IFERROR(__xludf.DUMMYFUNCTION("""COMPUTED_VALUE"""),"H&amp;C")</f>
        <v>H&amp;C</v>
      </c>
      <c r="O68" s="900">
        <f ca="1">IFERROR(__xludf.DUMMYFUNCTION("""COMPUTED_VALUE"""),45587)</f>
        <v>45587</v>
      </c>
      <c r="P68" s="595" t="str">
        <f ca="1">IFERROR(__xludf.DUMMYFUNCTION("""COMPUTED_VALUE"""),"2029/09")</f>
        <v>2029/09</v>
      </c>
      <c r="Q68" s="595" t="str">
        <f ca="1">IFERROR(__xludf.DUMMYFUNCTION("""COMPUTED_VALUE"""),"特定技能１号")</f>
        <v>特定技能１号</v>
      </c>
      <c r="R68" s="595" t="str">
        <f ca="1">IFERROR(__xludf.DUMMYFUNCTION("""COMPUTED_VALUE"""),"松山市上野町774番地ビレッジハウス松山上野3-501")</f>
        <v>松山市上野町774番地ビレッジハウス松山上野3-501</v>
      </c>
      <c r="S68" s="595" t="str">
        <f ca="1">IFERROR(__xludf.DUMMYFUNCTION("""COMPUTED_VALUE"""),"個")</f>
        <v>個</v>
      </c>
      <c r="T68" s="901">
        <f ca="1">IFERROR(__xludf.DUMMYFUNCTION("""COMPUTED_VALUE"""),15000)</f>
        <v>15000</v>
      </c>
      <c r="U68" s="600">
        <f ca="1">IFERROR(__xludf.DUMMYFUNCTION("""COMPUTED_VALUE"""),45870)</f>
        <v>45870</v>
      </c>
      <c r="V68" s="600">
        <f ca="1">IFERROR(__xludf.DUMMYFUNCTION("""COMPUTED_VALUE"""),46315)</f>
        <v>46315</v>
      </c>
      <c r="W68" s="595" t="str">
        <f ca="1">IFERROR(__xludf.DUMMYFUNCTION("""COMPUTED_VALUE"""),"UH04301535PC")</f>
        <v>UH04301535PC</v>
      </c>
      <c r="X68" s="595"/>
      <c r="Y68" s="596"/>
      <c r="Z68" s="595" t="str">
        <f ca="1">IFERROR(__xludf.DUMMYFUNCTION("""COMPUTED_VALUE"""),"旧2310
26シルバー
B-0287449-V098")</f>
        <v>旧2310
26シルバー
B-0287449-V098</v>
      </c>
      <c r="AA68" s="595"/>
      <c r="AB68" s="595"/>
      <c r="AC68" s="595"/>
      <c r="AD68" s="600"/>
      <c r="AE68" s="600"/>
      <c r="AF68" s="600"/>
      <c r="AG68" s="600"/>
      <c r="AH68" s="595"/>
      <c r="AI68" s="600"/>
      <c r="AJ68" s="595"/>
      <c r="AK68" s="595" t="str">
        <f ca="1">IFERROR(__xludf.DUMMYFUNCTION("""COMPUTED_VALUE"""),"小林主任")</f>
        <v>小林主任</v>
      </c>
      <c r="AL68" s="595" t="str">
        <f ca="1">IFERROR(__xludf.DUMMYFUNCTION("""COMPUTED_VALUE"""),"〇")</f>
        <v>〇</v>
      </c>
      <c r="AM68" s="596">
        <f ca="1">IFERROR(__xludf.DUMMYFUNCTION("""COMPUTED_VALUE"""),45585)</f>
        <v>45585</v>
      </c>
      <c r="AN68" s="595" t="str">
        <f ca="1">IFERROR(__xludf.DUMMYFUNCTION("""COMPUTED_VALUE"""),"2025/6/1～2029/10/31")</f>
        <v>2025/6/1～2029/10/31</v>
      </c>
      <c r="AO68" s="595"/>
      <c r="AP68" s="595" t="str">
        <f ca="1">IFERROR(__xludf.DUMMYFUNCTION("""COMPUTED_VALUE"""),"ﾋﾞﾚｯｼﾞへ引越希望2025.5.16
2025.6.20引越　中野442-1→ﾋﾞﾚｯｼﾞ3-501へ")</f>
        <v>ﾋﾞﾚｯｼﾞへ引越希望2025.5.16
2025.6.20引越　中野442-1→ﾋﾞﾚｯｼﾞ3-501へ</v>
      </c>
    </row>
    <row r="69" spans="1:42" ht="14.5">
      <c r="A69" s="595" t="str">
        <f ca="1">IFERROR(__xludf.DUMMYFUNCTION("""COMPUTED_VALUE"""),"四課")</f>
        <v>四課</v>
      </c>
      <c r="B69" s="595">
        <f ca="1">IFERROR(__xludf.DUMMYFUNCTION("""COMPUTED_VALUE"""),186)</f>
        <v>186</v>
      </c>
      <c r="C69" s="595" t="str">
        <f ca="1">IFERROR(__xludf.DUMMYFUNCTION("""COMPUTED_VALUE"""),"津吉")</f>
        <v>津吉</v>
      </c>
      <c r="D69" s="595" t="str">
        <f ca="1">IFERROR(__xludf.DUMMYFUNCTION("""COMPUTED_VALUE"""),"インドネシア")</f>
        <v>インドネシア</v>
      </c>
      <c r="E69" s="595" t="str">
        <f ca="1">IFERROR(__xludf.DUMMYFUNCTION("""COMPUTED_VALUE"""),"07013676")</f>
        <v>07013676</v>
      </c>
      <c r="F69" s="595" t="str">
        <f ca="1">IFERROR(__xludf.DUMMYFUNCTION("""COMPUTED_VALUE"""),"/appsheet/photograph/186.写真.024949.jpg")</f>
        <v>/appsheet/photograph/186.写真.024949.jpg</v>
      </c>
      <c r="G69" s="595" t="str">
        <f ca="1">IFERROR(__xludf.DUMMYFUNCTION("""COMPUTED_VALUE"""),"ミャナ デウィ アフナン")</f>
        <v>ミャナ デウィ アフナン</v>
      </c>
      <c r="H69" s="595" t="str">
        <f ca="1">IFERROR(__xludf.DUMMYFUNCTION("""COMPUTED_VALUE"""),"MYANA DEWI AFNAN")</f>
        <v>MYANA DEWI AFNAN</v>
      </c>
      <c r="I69" s="595" t="str">
        <f ca="1">IFERROR(__xludf.DUMMYFUNCTION("""COMPUTED_VALUE"""),"ミャナ")</f>
        <v>ミャナ</v>
      </c>
      <c r="J69" s="595" t="str">
        <f ca="1">IFERROR(__xludf.DUMMYFUNCTION("""COMPUTED_VALUE"""),"女")</f>
        <v>女</v>
      </c>
      <c r="K69" s="600">
        <f ca="1">IFERROR(__xludf.DUMMYFUNCTION("""COMPUTED_VALUE"""),37822)</f>
        <v>37822</v>
      </c>
      <c r="L69" s="595">
        <f ca="1">IFERROR(__xludf.DUMMYFUNCTION("""COMPUTED_VALUE"""),22)</f>
        <v>22</v>
      </c>
      <c r="M69" s="595" t="str">
        <f ca="1">IFERROR(__xludf.DUMMYFUNCTION("""COMPUTED_VALUE"""),"無")</f>
        <v>無</v>
      </c>
      <c r="N69" s="595" t="str">
        <f ca="1">IFERROR(__xludf.DUMMYFUNCTION("""COMPUTED_VALUE"""),"H&amp;C")</f>
        <v>H&amp;C</v>
      </c>
      <c r="O69" s="900">
        <f ca="1">IFERROR(__xludf.DUMMYFUNCTION("""COMPUTED_VALUE"""),45587)</f>
        <v>45587</v>
      </c>
      <c r="P69" s="595" t="str">
        <f ca="1">IFERROR(__xludf.DUMMYFUNCTION("""COMPUTED_VALUE"""),"2029/09")</f>
        <v>2029/09</v>
      </c>
      <c r="Q69" s="595" t="str">
        <f ca="1">IFERROR(__xludf.DUMMYFUNCTION("""COMPUTED_VALUE"""),"特定技能１号")</f>
        <v>特定技能１号</v>
      </c>
      <c r="R69" s="595" t="str">
        <f ca="1">IFERROR(__xludf.DUMMYFUNCTION("""COMPUTED_VALUE"""),"松山市中野町368-6")</f>
        <v>松山市中野町368-6</v>
      </c>
      <c r="S69" s="595" t="str">
        <f ca="1">IFERROR(__xludf.DUMMYFUNCTION("""COMPUTED_VALUE"""),"個")</f>
        <v>個</v>
      </c>
      <c r="T69" s="901">
        <f ca="1">IFERROR(__xludf.DUMMYFUNCTION("""COMPUTED_VALUE"""),20000)</f>
        <v>20000</v>
      </c>
      <c r="U69" s="600">
        <f ca="1">IFERROR(__xludf.DUMMYFUNCTION("""COMPUTED_VALUE"""),45870)</f>
        <v>45870</v>
      </c>
      <c r="V69" s="600">
        <f ca="1">IFERROR(__xludf.DUMMYFUNCTION("""COMPUTED_VALUE"""),46315)</f>
        <v>46315</v>
      </c>
      <c r="W69" s="595" t="str">
        <f ca="1">IFERROR(__xludf.DUMMYFUNCTION("""COMPUTED_VALUE"""),"UH46862255PC一時帰国後、申請")</f>
        <v>UH46862255PC一時帰国後、申請</v>
      </c>
      <c r="X69" s="595"/>
      <c r="Y69" s="596"/>
      <c r="Z69" s="595" t="str">
        <f ca="1">IFERROR(__xludf.DUMMYFUNCTION("""COMPUTED_VALUE"""),"旧2328
26シルバー
B-0296140-V201")</f>
        <v>旧2328
26シルバー
B-0296140-V201</v>
      </c>
      <c r="AA69" s="595"/>
      <c r="AB69" s="595" t="str">
        <f ca="1">IFERROR(__xludf.DUMMYFUNCTION("""COMPUTED_VALUE"""),"N3　2025/12")</f>
        <v>N3　2025/12</v>
      </c>
      <c r="AC69" s="595"/>
      <c r="AD69" s="600"/>
      <c r="AE69" s="600">
        <f ca="1">IFERROR(__xludf.DUMMYFUNCTION("""COMPUTED_VALUE"""),46224)</f>
        <v>46224</v>
      </c>
      <c r="AF69" s="600">
        <f ca="1">IFERROR(__xludf.DUMMYFUNCTION("""COMPUTED_VALUE"""),46285)</f>
        <v>46285</v>
      </c>
      <c r="AG69" s="600"/>
      <c r="AH69" s="595" t="str">
        <f ca="1">IFERROR(__xludf.DUMMYFUNCTION("""COMPUTED_VALUE"""),"一時帰国予定")</f>
        <v>一時帰国予定</v>
      </c>
      <c r="AI69" s="600"/>
      <c r="AJ69" s="595"/>
      <c r="AK69" s="595" t="str">
        <f ca="1">IFERROR(__xludf.DUMMYFUNCTION("""COMPUTED_VALUE"""),"大西係長")</f>
        <v>大西係長</v>
      </c>
      <c r="AL69" s="595" t="str">
        <f ca="1">IFERROR(__xludf.DUMMYFUNCTION("""COMPUTED_VALUE"""),"〇")</f>
        <v>〇</v>
      </c>
      <c r="AM69" s="596">
        <f ca="1">IFERROR(__xludf.DUMMYFUNCTION("""COMPUTED_VALUE"""),45585)</f>
        <v>45585</v>
      </c>
      <c r="AN69" s="595" t="str">
        <f ca="1">IFERROR(__xludf.DUMMYFUNCTION("""COMPUTED_VALUE"""),"2025/6/1～2029/10/31")</f>
        <v>2025/6/1～2029/10/31</v>
      </c>
      <c r="AO69" s="595"/>
      <c r="AP69" s="595" t="str">
        <f ca="1">IFERROR(__xludf.DUMMYFUNCTION("""COMPUTED_VALUE"""),"2025/9/21～1人部屋へ家賃￥20000へ
2025/10/21引越　中野①（中野町442-1）→中野③（中野町368-6）へ　家賃￥20,000-へ
ラティフと結婚の為、2026/7/21～9/20まで
一時帰国希望。新開工場長より2025/12/22
在留カードは日本へ戻ってから更新予定（期限2026年10月20日）")</f>
        <v>2025/9/21～1人部屋へ家賃￥20000へ
2025/10/21引越　中野①（中野町442-1）→中野③（中野町368-6）へ　家賃￥20,000-へ
ラティフと結婚の為、2026/7/21～9/20まで
一時帰国希望。新開工場長より2025/12/22
在留カードは日本へ戻ってから更新予定（期限2026年10月20日）</v>
      </c>
    </row>
    <row r="70" spans="1:42" ht="14.5">
      <c r="A70" s="595" t="str">
        <f ca="1">IFERROR(__xludf.DUMMYFUNCTION("""COMPUTED_VALUE"""),"四課")</f>
        <v>四課</v>
      </c>
      <c r="B70" s="595">
        <f ca="1">IFERROR(__xludf.DUMMYFUNCTION("""COMPUTED_VALUE"""),187)</f>
        <v>187</v>
      </c>
      <c r="C70" s="595" t="str">
        <f ca="1">IFERROR(__xludf.DUMMYFUNCTION("""COMPUTED_VALUE"""),"津吉")</f>
        <v>津吉</v>
      </c>
      <c r="D70" s="595" t="str">
        <f ca="1">IFERROR(__xludf.DUMMYFUNCTION("""COMPUTED_VALUE"""),"インドネシア")</f>
        <v>インドネシア</v>
      </c>
      <c r="E70" s="595" t="str">
        <f ca="1">IFERROR(__xludf.DUMMYFUNCTION("""COMPUTED_VALUE"""),"07013689")</f>
        <v>07013689</v>
      </c>
      <c r="F70" s="595" t="str">
        <f ca="1">IFERROR(__xludf.DUMMYFUNCTION("""COMPUTED_VALUE"""),"/appsheet/photograph/187.写真.025020.jpg")</f>
        <v>/appsheet/photograph/187.写真.025020.jpg</v>
      </c>
      <c r="G70" s="595" t="str">
        <f ca="1">IFERROR(__xludf.DUMMYFUNCTION("""COMPUTED_VALUE"""),"アニサー ファッラス ナビル ザハビヤー")</f>
        <v>アニサー ファッラス ナビル ザハビヤー</v>
      </c>
      <c r="H70" s="595" t="str">
        <f ca="1">IFERROR(__xludf.DUMMYFUNCTION("""COMPUTED_VALUE"""),"ANISAH FARRAS NABIL DZAHABIYYAH")</f>
        <v>ANISAH FARRAS NABIL DZAHABIYYAH</v>
      </c>
      <c r="I70" s="595" t="str">
        <f ca="1">IFERROR(__xludf.DUMMYFUNCTION("""COMPUTED_VALUE"""),"アニサー")</f>
        <v>アニサー</v>
      </c>
      <c r="J70" s="595" t="str">
        <f ca="1">IFERROR(__xludf.DUMMYFUNCTION("""COMPUTED_VALUE"""),"女")</f>
        <v>女</v>
      </c>
      <c r="K70" s="600">
        <f ca="1">IFERROR(__xludf.DUMMYFUNCTION("""COMPUTED_VALUE"""),37344)</f>
        <v>37344</v>
      </c>
      <c r="L70" s="595">
        <f ca="1">IFERROR(__xludf.DUMMYFUNCTION("""COMPUTED_VALUE"""),24)</f>
        <v>24</v>
      </c>
      <c r="M70" s="595" t="str">
        <f ca="1">IFERROR(__xludf.DUMMYFUNCTION("""COMPUTED_VALUE"""),"無")</f>
        <v>無</v>
      </c>
      <c r="N70" s="595" t="str">
        <f ca="1">IFERROR(__xludf.DUMMYFUNCTION("""COMPUTED_VALUE"""),"H&amp;C")</f>
        <v>H&amp;C</v>
      </c>
      <c r="O70" s="900">
        <f ca="1">IFERROR(__xludf.DUMMYFUNCTION("""COMPUTED_VALUE"""),45594)</f>
        <v>45594</v>
      </c>
      <c r="P70" s="595" t="str">
        <f ca="1">IFERROR(__xludf.DUMMYFUNCTION("""COMPUTED_VALUE"""),"2029/09")</f>
        <v>2029/09</v>
      </c>
      <c r="Q70" s="595" t="str">
        <f ca="1">IFERROR(__xludf.DUMMYFUNCTION("""COMPUTED_VALUE"""),"特定技能１号")</f>
        <v>特定技能１号</v>
      </c>
      <c r="R70" s="595" t="str">
        <f ca="1">IFERROR(__xludf.DUMMYFUNCTION("""COMPUTED_VALUE"""),"松山市上野町774番地ビレッジハウス松山上野1-205")</f>
        <v>松山市上野町774番地ビレッジハウス松山上野1-205</v>
      </c>
      <c r="S70" s="595" t="str">
        <f ca="1">IFERROR(__xludf.DUMMYFUNCTION("""COMPUTED_VALUE"""),"個")</f>
        <v>個</v>
      </c>
      <c r="T70" s="901">
        <f ca="1">IFERROR(__xludf.DUMMYFUNCTION("""COMPUTED_VALUE"""),15000)</f>
        <v>15000</v>
      </c>
      <c r="U70" s="600">
        <f ca="1">IFERROR(__xludf.DUMMYFUNCTION("""COMPUTED_VALUE"""),45870)</f>
        <v>45870</v>
      </c>
      <c r="V70" s="600">
        <f ca="1">IFERROR(__xludf.DUMMYFUNCTION("""COMPUTED_VALUE"""),46322)</f>
        <v>46322</v>
      </c>
      <c r="W70" s="595" t="str">
        <f ca="1">IFERROR(__xludf.DUMMYFUNCTION("""COMPUTED_VALUE"""),"UH55437318PC")</f>
        <v>UH55437318PC</v>
      </c>
      <c r="X70" s="595"/>
      <c r="Y70" s="596"/>
      <c r="Z70" s="595" t="str">
        <f ca="1">IFERROR(__xludf.DUMMYFUNCTION("""COMPUTED_VALUE"""),"旧2335
26シルバー
Ｂ-0304395-V157")</f>
        <v>旧2335
26シルバー
Ｂ-0304395-V157</v>
      </c>
      <c r="AA70" s="595"/>
      <c r="AB70" s="595"/>
      <c r="AC70" s="595"/>
      <c r="AD70" s="600"/>
      <c r="AE70" s="600"/>
      <c r="AF70" s="600"/>
      <c r="AG70" s="600"/>
      <c r="AH70" s="595"/>
      <c r="AI70" s="600"/>
      <c r="AJ70" s="595"/>
      <c r="AK70" s="595" t="str">
        <f ca="1">IFERROR(__xludf.DUMMYFUNCTION("""COMPUTED_VALUE"""),"大西係長")</f>
        <v>大西係長</v>
      </c>
      <c r="AL70" s="595" t="str">
        <f ca="1">IFERROR(__xludf.DUMMYFUNCTION("""COMPUTED_VALUE"""),"〇")</f>
        <v>〇</v>
      </c>
      <c r="AM70" s="596">
        <f ca="1">IFERROR(__xludf.DUMMYFUNCTION("""COMPUTED_VALUE"""),45592)</f>
        <v>45592</v>
      </c>
      <c r="AN70" s="595" t="str">
        <f ca="1">IFERROR(__xludf.DUMMYFUNCTION("""COMPUTED_VALUE"""),"2025/6/1～2029/10/31")</f>
        <v>2025/6/1～2029/10/31</v>
      </c>
      <c r="AO70" s="595"/>
      <c r="AP70" s="595" t="str">
        <f ca="1">IFERROR(__xludf.DUMMYFUNCTION("""COMPUTED_VALUE"""),"2025/7/21　中野442-1→ビレッジ1-205へ引越")</f>
        <v>2025/7/21　中野442-1→ビレッジ1-205へ引越</v>
      </c>
    </row>
    <row r="71" spans="1:42" ht="14.5">
      <c r="A71" s="595" t="str">
        <f ca="1">IFERROR(__xludf.DUMMYFUNCTION("""COMPUTED_VALUE"""),"一課")</f>
        <v>一課</v>
      </c>
      <c r="B71" s="595">
        <f ca="1">IFERROR(__xludf.DUMMYFUNCTION("""COMPUTED_VALUE"""),188)</f>
        <v>188</v>
      </c>
      <c r="C71" s="595" t="str">
        <f ca="1">IFERROR(__xludf.DUMMYFUNCTION("""COMPUTED_VALUE"""),"津吉")</f>
        <v>津吉</v>
      </c>
      <c r="D71" s="595" t="str">
        <f ca="1">IFERROR(__xludf.DUMMYFUNCTION("""COMPUTED_VALUE"""),"インドネシア")</f>
        <v>インドネシア</v>
      </c>
      <c r="E71" s="595" t="str">
        <f ca="1">IFERROR(__xludf.DUMMYFUNCTION("""COMPUTED_VALUE"""),"07013690")</f>
        <v>07013690</v>
      </c>
      <c r="F71" s="595" t="str">
        <f ca="1">IFERROR(__xludf.DUMMYFUNCTION("""COMPUTED_VALUE"""),"/appsheet/photograph/188.写真.030759.jpg")</f>
        <v>/appsheet/photograph/188.写真.030759.jpg</v>
      </c>
      <c r="G71" s="595" t="str">
        <f ca="1">IFERROR(__xludf.DUMMYFUNCTION("""COMPUTED_VALUE"""),"ニケン エカ ヌルリナワティ")</f>
        <v>ニケン エカ ヌルリナワティ</v>
      </c>
      <c r="H71" s="595" t="str">
        <f ca="1">IFERROR(__xludf.DUMMYFUNCTION("""COMPUTED_VALUE"""),"NIKEN EKA NURLINAWATI")</f>
        <v>NIKEN EKA NURLINAWATI</v>
      </c>
      <c r="I71" s="595" t="str">
        <f ca="1">IFERROR(__xludf.DUMMYFUNCTION("""COMPUTED_VALUE"""),"ニケン")</f>
        <v>ニケン</v>
      </c>
      <c r="J71" s="595" t="str">
        <f ca="1">IFERROR(__xludf.DUMMYFUNCTION("""COMPUTED_VALUE"""),"女")</f>
        <v>女</v>
      </c>
      <c r="K71" s="600">
        <f ca="1">IFERROR(__xludf.DUMMYFUNCTION("""COMPUTED_VALUE"""),38006)</f>
        <v>38006</v>
      </c>
      <c r="L71" s="595">
        <f ca="1">IFERROR(__xludf.DUMMYFUNCTION("""COMPUTED_VALUE"""),22)</f>
        <v>22</v>
      </c>
      <c r="M71" s="595" t="str">
        <f ca="1">IFERROR(__xludf.DUMMYFUNCTION("""COMPUTED_VALUE"""),"無")</f>
        <v>無</v>
      </c>
      <c r="N71" s="595" t="str">
        <f ca="1">IFERROR(__xludf.DUMMYFUNCTION("""COMPUTED_VALUE"""),"H&amp;C")</f>
        <v>H&amp;C</v>
      </c>
      <c r="O71" s="900">
        <f ca="1">IFERROR(__xludf.DUMMYFUNCTION("""COMPUTED_VALUE"""),45594)</f>
        <v>45594</v>
      </c>
      <c r="P71" s="595" t="str">
        <f ca="1">IFERROR(__xludf.DUMMYFUNCTION("""COMPUTED_VALUE"""),"2029/09")</f>
        <v>2029/09</v>
      </c>
      <c r="Q71" s="595" t="str">
        <f ca="1">IFERROR(__xludf.DUMMYFUNCTION("""COMPUTED_VALUE"""),"特定技能１号")</f>
        <v>特定技能１号</v>
      </c>
      <c r="R71" s="595" t="str">
        <f ca="1">IFERROR(__xludf.DUMMYFUNCTION("""COMPUTED_VALUE"""),"松山市中野町368-6")</f>
        <v>松山市中野町368-6</v>
      </c>
      <c r="S71" s="595" t="str">
        <f ca="1">IFERROR(__xludf.DUMMYFUNCTION("""COMPUTED_VALUE"""),"個")</f>
        <v>個</v>
      </c>
      <c r="T71" s="901">
        <f ca="1">IFERROR(__xludf.DUMMYFUNCTION("""COMPUTED_VALUE"""),20000)</f>
        <v>20000</v>
      </c>
      <c r="U71" s="600">
        <f ca="1">IFERROR(__xludf.DUMMYFUNCTION("""COMPUTED_VALUE"""),45870)</f>
        <v>45870</v>
      </c>
      <c r="V71" s="600">
        <f ca="1">IFERROR(__xludf.DUMMYFUNCTION("""COMPUTED_VALUE"""),46322)</f>
        <v>46322</v>
      </c>
      <c r="W71" s="595" t="str">
        <f ca="1">IFERROR(__xludf.DUMMYFUNCTION("""COMPUTED_VALUE"""),"UH50933947PC")</f>
        <v>UH50933947PC</v>
      </c>
      <c r="X71" s="595"/>
      <c r="Y71" s="596"/>
      <c r="Z71" s="595" t="str">
        <f ca="1">IFERROR(__xludf.DUMMYFUNCTION("""COMPUTED_VALUE"""),"旧2336
26シルバー
Ｂ-0304400-V110")</f>
        <v>旧2336
26シルバー
Ｂ-0304400-V110</v>
      </c>
      <c r="AA71" s="595"/>
      <c r="AB71" s="595"/>
      <c r="AC71" s="595"/>
      <c r="AD71" s="600"/>
      <c r="AE71" s="600"/>
      <c r="AF71" s="600"/>
      <c r="AG71" s="600"/>
      <c r="AH71" s="595"/>
      <c r="AI71" s="600"/>
      <c r="AJ71" s="595"/>
      <c r="AK71" s="595" t="str">
        <f ca="1">IFERROR(__xludf.DUMMYFUNCTION("""COMPUTED_VALUE"""),"小林主任")</f>
        <v>小林主任</v>
      </c>
      <c r="AL71" s="595" t="str">
        <f ca="1">IFERROR(__xludf.DUMMYFUNCTION("""COMPUTED_VALUE"""),"〇")</f>
        <v>〇</v>
      </c>
      <c r="AM71" s="596">
        <f ca="1">IFERROR(__xludf.DUMMYFUNCTION("""COMPUTED_VALUE"""),45592)</f>
        <v>45592</v>
      </c>
      <c r="AN71" s="595" t="str">
        <f ca="1">IFERROR(__xludf.DUMMYFUNCTION("""COMPUTED_VALUE"""),"2025/6/1～2029/10/31")</f>
        <v>2025/6/1～2029/10/31</v>
      </c>
      <c r="AO71" s="595"/>
      <c r="AP71" s="595" t="str">
        <f ca="1">IFERROR(__xludf.DUMMYFUNCTION("""COMPUTED_VALUE"""),"2025/9/21～1人部屋へ家賃￥20000へ
2025/10/21引越　中野①（中野町442-1）→中野③（中野町368-6）へ　家賃￥20,000-へ")</f>
        <v>2025/9/21～1人部屋へ家賃￥20000へ
2025/10/21引越　中野①（中野町442-1）→中野③（中野町368-6）へ　家賃￥20,000-へ</v>
      </c>
    </row>
    <row r="72" spans="1:42" ht="14.5">
      <c r="A72" s="595" t="str">
        <f ca="1">IFERROR(__xludf.DUMMYFUNCTION("""COMPUTED_VALUE"""),"一課")</f>
        <v>一課</v>
      </c>
      <c r="B72" s="595">
        <f ca="1">IFERROR(__xludf.DUMMYFUNCTION("""COMPUTED_VALUE"""),189)</f>
        <v>189</v>
      </c>
      <c r="C72" s="595" t="str">
        <f ca="1">IFERROR(__xludf.DUMMYFUNCTION("""COMPUTED_VALUE"""),"津吉")</f>
        <v>津吉</v>
      </c>
      <c r="D72" s="595" t="str">
        <f ca="1">IFERROR(__xludf.DUMMYFUNCTION("""COMPUTED_VALUE"""),"インドネシア")</f>
        <v>インドネシア</v>
      </c>
      <c r="E72" s="595" t="str">
        <f ca="1">IFERROR(__xludf.DUMMYFUNCTION("""COMPUTED_VALUE"""),"07013691")</f>
        <v>07013691</v>
      </c>
      <c r="F72" s="595" t="str">
        <f ca="1">IFERROR(__xludf.DUMMYFUNCTION("""COMPUTED_VALUE"""),"/appsheet/photograph/189.写真.030622.jpg")</f>
        <v>/appsheet/photograph/189.写真.030622.jpg</v>
      </c>
      <c r="G72" s="595" t="str">
        <f ca="1">IFERROR(__xludf.DUMMYFUNCTION("""COMPUTED_VALUE"""),"アルヴィタ")</f>
        <v>アルヴィタ</v>
      </c>
      <c r="H72" s="595" t="str">
        <f ca="1">IFERROR(__xludf.DUMMYFUNCTION("""COMPUTED_VALUE"""),"ALVITA")</f>
        <v>ALVITA</v>
      </c>
      <c r="I72" s="595" t="str">
        <f ca="1">IFERROR(__xludf.DUMMYFUNCTION("""COMPUTED_VALUE"""),"アルヴィタ")</f>
        <v>アルヴィタ</v>
      </c>
      <c r="J72" s="595" t="str">
        <f ca="1">IFERROR(__xludf.DUMMYFUNCTION("""COMPUTED_VALUE"""),"女")</f>
        <v>女</v>
      </c>
      <c r="K72" s="600">
        <f ca="1">IFERROR(__xludf.DUMMYFUNCTION("""COMPUTED_VALUE"""),37069)</f>
        <v>37069</v>
      </c>
      <c r="L72" s="595">
        <f ca="1">IFERROR(__xludf.DUMMYFUNCTION("""COMPUTED_VALUE"""),24)</f>
        <v>24</v>
      </c>
      <c r="M72" s="595" t="str">
        <f ca="1">IFERROR(__xludf.DUMMYFUNCTION("""COMPUTED_VALUE"""),"無")</f>
        <v>無</v>
      </c>
      <c r="N72" s="595" t="str">
        <f ca="1">IFERROR(__xludf.DUMMYFUNCTION("""COMPUTED_VALUE"""),"H&amp;C")</f>
        <v>H&amp;C</v>
      </c>
      <c r="O72" s="900">
        <f ca="1">IFERROR(__xludf.DUMMYFUNCTION("""COMPUTED_VALUE"""),45594)</f>
        <v>45594</v>
      </c>
      <c r="P72" s="595" t="str">
        <f ca="1">IFERROR(__xludf.DUMMYFUNCTION("""COMPUTED_VALUE"""),"2029/09")</f>
        <v>2029/09</v>
      </c>
      <c r="Q72" s="595" t="str">
        <f ca="1">IFERROR(__xludf.DUMMYFUNCTION("""COMPUTED_VALUE"""),"特定技能１号")</f>
        <v>特定技能１号</v>
      </c>
      <c r="R72" s="595" t="str">
        <f ca="1">IFERROR(__xludf.DUMMYFUNCTION("""COMPUTED_VALUE"""),"松山市中野町368-6")</f>
        <v>松山市中野町368-6</v>
      </c>
      <c r="S72" s="595" t="str">
        <f ca="1">IFERROR(__xludf.DUMMYFUNCTION("""COMPUTED_VALUE"""),"個")</f>
        <v>個</v>
      </c>
      <c r="T72" s="901">
        <f ca="1">IFERROR(__xludf.DUMMYFUNCTION("""COMPUTED_VALUE"""),20000)</f>
        <v>20000</v>
      </c>
      <c r="U72" s="600">
        <f ca="1">IFERROR(__xludf.DUMMYFUNCTION("""COMPUTED_VALUE"""),45870)</f>
        <v>45870</v>
      </c>
      <c r="V72" s="600">
        <f ca="1">IFERROR(__xludf.DUMMYFUNCTION("""COMPUTED_VALUE"""),46322)</f>
        <v>46322</v>
      </c>
      <c r="W72" s="595" t="str">
        <f ca="1">IFERROR(__xludf.DUMMYFUNCTION("""COMPUTED_VALUE"""),"UH95792453PC")</f>
        <v>UH95792453PC</v>
      </c>
      <c r="X72" s="595"/>
      <c r="Y72" s="596"/>
      <c r="Z72" s="595" t="str">
        <f ca="1">IFERROR(__xludf.DUMMYFUNCTION("""COMPUTED_VALUE"""),"旧2337
26シルバー
Ｂ-0304398-V024")</f>
        <v>旧2337
26シルバー
Ｂ-0304398-V024</v>
      </c>
      <c r="AA72" s="595"/>
      <c r="AB72" s="595"/>
      <c r="AC72" s="595"/>
      <c r="AD72" s="600"/>
      <c r="AE72" s="600"/>
      <c r="AF72" s="600"/>
      <c r="AG72" s="600"/>
      <c r="AH72" s="595"/>
      <c r="AI72" s="600"/>
      <c r="AJ72" s="595"/>
      <c r="AK72" s="595" t="str">
        <f ca="1">IFERROR(__xludf.DUMMYFUNCTION("""COMPUTED_VALUE"""),"小林主任")</f>
        <v>小林主任</v>
      </c>
      <c r="AL72" s="595" t="str">
        <f ca="1">IFERROR(__xludf.DUMMYFUNCTION("""COMPUTED_VALUE"""),"〇")</f>
        <v>〇</v>
      </c>
      <c r="AM72" s="596">
        <f ca="1">IFERROR(__xludf.DUMMYFUNCTION("""COMPUTED_VALUE"""),45592)</f>
        <v>45592</v>
      </c>
      <c r="AN72" s="595" t="str">
        <f ca="1">IFERROR(__xludf.DUMMYFUNCTION("""COMPUTED_VALUE"""),"2025/6/1～2029/10/31")</f>
        <v>2025/6/1～2029/10/31</v>
      </c>
      <c r="AO72" s="595"/>
      <c r="AP72" s="595" t="str">
        <f ca="1">IFERROR(__xludf.DUMMYFUNCTION("""COMPUTED_VALUE"""),"2025/9/21～1人部屋へ家賃￥20000へ
2025/10/21引越　中野①（中野町442-1）→中野③（中野町368-6）へ　家賃￥20,000-へ")</f>
        <v>2025/9/21～1人部屋へ家賃￥20000へ
2025/10/21引越　中野①（中野町442-1）→中野③（中野町368-6）へ　家賃￥20,000-へ</v>
      </c>
    </row>
    <row r="73" spans="1:42" ht="14.5">
      <c r="A73" s="595"/>
      <c r="B73" s="595">
        <f ca="1">IFERROR(__xludf.DUMMYFUNCTION("""COMPUTED_VALUE"""),203)</f>
        <v>203</v>
      </c>
      <c r="C73" s="595" t="str">
        <f ca="1">IFERROR(__xludf.DUMMYFUNCTION("""COMPUTED_VALUE"""),"津吉")</f>
        <v>津吉</v>
      </c>
      <c r="D73" s="595" t="str">
        <f ca="1">IFERROR(__xludf.DUMMYFUNCTION("""COMPUTED_VALUE"""),"インドネシア")</f>
        <v>インドネシア</v>
      </c>
      <c r="E73" s="595" t="str">
        <f ca="1">IFERROR(__xludf.DUMMYFUNCTION("""COMPUTED_VALUE"""),"07018601")</f>
        <v>07018601</v>
      </c>
      <c r="F73" s="595" t="str">
        <f ca="1">IFERROR(__xludf.DUMMYFUNCTION("""COMPUTED_VALUE"""),"/appsheet/photograph/203.写真.050342.jpg")</f>
        <v>/appsheet/photograph/203.写真.050342.jpg</v>
      </c>
      <c r="G73" s="595" t="str">
        <f ca="1">IFERROR(__xludf.DUMMYFUNCTION("""COMPUTED_VALUE"""),"エカ トリヤナ")</f>
        <v>エカ トリヤナ</v>
      </c>
      <c r="H73" s="595" t="str">
        <f ca="1">IFERROR(__xludf.DUMMYFUNCTION("""COMPUTED_VALUE"""),"EKA TRIYANA")</f>
        <v>EKA TRIYANA</v>
      </c>
      <c r="I73" s="595" t="str">
        <f ca="1">IFERROR(__xludf.DUMMYFUNCTION("""COMPUTED_VALUE"""),"エカ")</f>
        <v>エカ</v>
      </c>
      <c r="J73" s="595" t="str">
        <f ca="1">IFERROR(__xludf.DUMMYFUNCTION("""COMPUTED_VALUE"""),"男")</f>
        <v>男</v>
      </c>
      <c r="K73" s="600">
        <f ca="1">IFERROR(__xludf.DUMMYFUNCTION("""COMPUTED_VALUE"""),35859)</f>
        <v>35859</v>
      </c>
      <c r="L73" s="595">
        <f ca="1">IFERROR(__xludf.DUMMYFUNCTION("""COMPUTED_VALUE"""),28)</f>
        <v>28</v>
      </c>
      <c r="M73" s="595" t="str">
        <f ca="1">IFERROR(__xludf.DUMMYFUNCTION("""COMPUTED_VALUE"""),"夫婦")</f>
        <v>夫婦</v>
      </c>
      <c r="N73" s="595" t="str">
        <f ca="1">IFERROR(__xludf.DUMMYFUNCTION("""COMPUTED_VALUE"""),"H&amp;C")</f>
        <v>H&amp;C</v>
      </c>
      <c r="O73" s="900">
        <f ca="1">IFERROR(__xludf.DUMMYFUNCTION("""COMPUTED_VALUE"""),45825)</f>
        <v>45825</v>
      </c>
      <c r="P73" s="595" t="str">
        <f ca="1">IFERROR(__xludf.DUMMYFUNCTION("""COMPUTED_VALUE"""),"2027/03")</f>
        <v>2027/03</v>
      </c>
      <c r="Q73" s="595" t="str">
        <f ca="1">IFERROR(__xludf.DUMMYFUNCTION("""COMPUTED_VALUE"""),"特定技能１号")</f>
        <v>特定技能１号</v>
      </c>
      <c r="R73" s="595" t="str">
        <f ca="1">IFERROR(__xludf.DUMMYFUNCTION("""COMPUTED_VALUE"""),"松山市上野町774番地ビレッジハウス松山上野4-504")</f>
        <v>松山市上野町774番地ビレッジハウス松山上野4-504</v>
      </c>
      <c r="S73" s="595" t="str">
        <f ca="1">IFERROR(__xludf.DUMMYFUNCTION("""COMPUTED_VALUE"""),"夫婦")</f>
        <v>夫婦</v>
      </c>
      <c r="T73" s="901">
        <f ca="1">IFERROR(__xludf.DUMMYFUNCTION("""COMPUTED_VALUE"""),23300)</f>
        <v>23300</v>
      </c>
      <c r="U73" s="600">
        <f ca="1">IFERROR(__xludf.DUMMYFUNCTION("""COMPUTED_VALUE"""),46106)</f>
        <v>46106</v>
      </c>
      <c r="V73" s="600">
        <f ca="1">IFERROR(__xludf.DUMMYFUNCTION("""COMPUTED_VALUE"""),46191)</f>
        <v>46191</v>
      </c>
      <c r="W73" s="595" t="str">
        <f ca="1">IFERROR(__xludf.DUMMYFUNCTION("""COMPUTED_VALUE"""),"UH34795168EA")</f>
        <v>UH34795168EA</v>
      </c>
      <c r="X73" s="595"/>
      <c r="Y73" s="596">
        <f ca="1">IFERROR(__xludf.DUMMYFUNCTION("""COMPUTED_VALUE"""),45819)</f>
        <v>45819</v>
      </c>
      <c r="Z73" s="595" t="str">
        <f ca="1">IFERROR(__xludf.DUMMYFUNCTION("""COMPUTED_VALUE"""),"B-0304396-V102
元2331ザーラ")</f>
        <v>B-0304396-V102
元2331ザーラ</v>
      </c>
      <c r="AA73" s="595" t="str">
        <f ca="1">IFERROR(__xludf.DUMMYFUNCTION("""COMPUTED_VALUE"""),"2025/08/19")</f>
        <v>2025/08/19</v>
      </c>
      <c r="AB73" s="595" t="str">
        <f ca="1">IFERROR(__xludf.DUMMYFUNCTION("""COMPUTED_VALUE"""),"N3 2025/06
N2 2025/07")</f>
        <v>N3 2025/06
N2 2025/07</v>
      </c>
      <c r="AC73" s="595"/>
      <c r="AD73" s="600"/>
      <c r="AE73" s="600"/>
      <c r="AF73" s="600"/>
      <c r="AG73" s="600"/>
      <c r="AH73" s="595"/>
      <c r="AI73" s="600"/>
      <c r="AJ73" s="595"/>
      <c r="AK73" s="595"/>
      <c r="AL73" s="595" t="str">
        <f ca="1">IFERROR(__xludf.DUMMYFUNCTION("""COMPUTED_VALUE"""),"〇")</f>
        <v>〇</v>
      </c>
      <c r="AM73" s="596">
        <f ca="1">IFERROR(__xludf.DUMMYFUNCTION("""COMPUTED_VALUE"""),44644)</f>
        <v>44644</v>
      </c>
      <c r="AN73" s="595" t="str">
        <f ca="1">IFERROR(__xludf.DUMMYFUNCTION("""COMPUTED_VALUE"""),"2025/6/24-2027/3/23")</f>
        <v>2025/6/24-2027/3/23</v>
      </c>
      <c r="AO73" s="595" t="str">
        <f ca="1">IFERROR(__xludf.DUMMYFUNCTION("""COMPUTED_VALUE"""),"ひめぎん
末広町支店")</f>
        <v>ひめぎん
末広町支店</v>
      </c>
      <c r="AP73" s="595" t="str">
        <f ca="1">IFERROR(__xludf.DUMMYFUNCTION("""COMPUTED_VALUE"""),"2025/3/28面接　合格
ニマトゥル マウリダ夫
ニマトゥル マウリダさんと一緒に住みたい
７月に一度帰国してを来年にするか確認依頼
5/6～6/9帰国　6/9入寮、6/17入社
2025/11/5特定２号受けたい。入社が2025/6/17、転職のため、特定１号の期限が2027/3までのため、入官へ確認。
2026/2/15～ビレッジの駐車場契約（2年契約）　駐車場代2月分の給料から￥8140、4月以降￥3300/月　給与引き")</f>
        <v>2025/3/28面接　合格
ニマトゥル マウリダ夫
ニマトゥル マウリダさんと一緒に住みたい
７月に一度帰国してを来年にするか確認依頼
5/6～6/9帰国　6/9入寮、6/17入社
2025/11/5特定２号受けたい。入社が2025/6/17、転職のため、特定１号の期限が2027/3までのため、入官へ確認。
2026/2/15～ビレッジの駐車場契約（2年契約）　駐車場代2月分の給料から￥8140、4月以降￥3300/月　給与引き</v>
      </c>
    </row>
    <row r="74" spans="1:42" ht="14.5">
      <c r="A74" s="595"/>
      <c r="B74" s="595">
        <f ca="1">IFERROR(__xludf.DUMMYFUNCTION("""COMPUTED_VALUE"""),204)</f>
        <v>204</v>
      </c>
      <c r="C74" s="595" t="str">
        <f ca="1">IFERROR(__xludf.DUMMYFUNCTION("""COMPUTED_VALUE"""),"津吉")</f>
        <v>津吉</v>
      </c>
      <c r="D74" s="595" t="str">
        <f ca="1">IFERROR(__xludf.DUMMYFUNCTION("""COMPUTED_VALUE"""),"インドネシア")</f>
        <v>インドネシア</v>
      </c>
      <c r="E74" s="595" t="str">
        <f ca="1">IFERROR(__xludf.DUMMYFUNCTION("""COMPUTED_VALUE"""),"07018602")</f>
        <v>07018602</v>
      </c>
      <c r="F74" s="595" t="str">
        <f ca="1">IFERROR(__xludf.DUMMYFUNCTION("""COMPUTED_VALUE"""),"/appsheet/photograph/204.写真.235242.jpg")</f>
        <v>/appsheet/photograph/204.写真.235242.jpg</v>
      </c>
      <c r="G74" s="595" t="str">
        <f ca="1">IFERROR(__xludf.DUMMYFUNCTION("""COMPUTED_VALUE"""),"アルバシタ アマリア")</f>
        <v>アルバシタ アマリア</v>
      </c>
      <c r="H74" s="595" t="str">
        <f ca="1">IFERROR(__xludf.DUMMYFUNCTION("""COMPUTED_VALUE"""),"AL BASITA AMALIA")</f>
        <v>AL BASITA AMALIA</v>
      </c>
      <c r="I74" s="595" t="str">
        <f ca="1">IFERROR(__xludf.DUMMYFUNCTION("""COMPUTED_VALUE"""),"アルバ")</f>
        <v>アルバ</v>
      </c>
      <c r="J74" s="595" t="str">
        <f ca="1">IFERROR(__xludf.DUMMYFUNCTION("""COMPUTED_VALUE"""),"女")</f>
        <v>女</v>
      </c>
      <c r="K74" s="600">
        <f ca="1">IFERROR(__xludf.DUMMYFUNCTION("""COMPUTED_VALUE"""),37462)</f>
        <v>37462</v>
      </c>
      <c r="L74" s="595">
        <f ca="1">IFERROR(__xludf.DUMMYFUNCTION("""COMPUTED_VALUE"""),23)</f>
        <v>23</v>
      </c>
      <c r="M74" s="595" t="str">
        <f ca="1">IFERROR(__xludf.DUMMYFUNCTION("""COMPUTED_VALUE"""),"無")</f>
        <v>無</v>
      </c>
      <c r="N74" s="595" t="str">
        <f ca="1">IFERROR(__xludf.DUMMYFUNCTION("""COMPUTED_VALUE"""),"H&amp;C")</f>
        <v>H&amp;C</v>
      </c>
      <c r="O74" s="900">
        <f ca="1">IFERROR(__xludf.DUMMYFUNCTION("""COMPUTED_VALUE"""),45847)</f>
        <v>45847</v>
      </c>
      <c r="P74" s="595" t="str">
        <f ca="1">IFERROR(__xludf.DUMMYFUNCTION("""COMPUTED_VALUE"""),"2027/03")</f>
        <v>2027/03</v>
      </c>
      <c r="Q74" s="595" t="str">
        <f ca="1">IFERROR(__xludf.DUMMYFUNCTION("""COMPUTED_VALUE"""),"特定技能１号")</f>
        <v>特定技能１号</v>
      </c>
      <c r="R74" s="595" t="str">
        <f ca="1">IFERROR(__xludf.DUMMYFUNCTION("""COMPUTED_VALUE"""),"松山市上野町774番地ビレッジハウス松山上野2-502")</f>
        <v>松山市上野町774番地ビレッジハウス松山上野2-502</v>
      </c>
      <c r="S74" s="595" t="str">
        <f ca="1">IFERROR(__xludf.DUMMYFUNCTION("""COMPUTED_VALUE"""),"個")</f>
        <v>個</v>
      </c>
      <c r="T74" s="901">
        <f ca="1">IFERROR(__xludf.DUMMYFUNCTION("""COMPUTED_VALUE"""),15000)</f>
        <v>15000</v>
      </c>
      <c r="U74" s="600">
        <f ca="1">IFERROR(__xludf.DUMMYFUNCTION("""COMPUTED_VALUE"""),45762)</f>
        <v>45762</v>
      </c>
      <c r="V74" s="600">
        <f ca="1">IFERROR(__xludf.DUMMYFUNCTION("""COMPUTED_VALUE"""),46211)</f>
        <v>46211</v>
      </c>
      <c r="W74" s="595" t="str">
        <f ca="1">IFERROR(__xludf.DUMMYFUNCTION("""COMPUTED_VALUE"""),"UH38197447EA")</f>
        <v>UH38197447EA</v>
      </c>
      <c r="X74" s="595"/>
      <c r="Y74" s="596"/>
      <c r="Z74" s="595" t="str">
        <f ca="1">IFERROR(__xludf.DUMMYFUNCTION("""COMPUTED_VALUE"""),"不要")</f>
        <v>不要</v>
      </c>
      <c r="AA74" s="595"/>
      <c r="AB74" s="595" t="str">
        <f ca="1">IFERROR(__xludf.DUMMYFUNCTION("""COMPUTED_VALUE"""),"N3")</f>
        <v>N3</v>
      </c>
      <c r="AC74" s="595"/>
      <c r="AD74" s="600"/>
      <c r="AE74" s="600"/>
      <c r="AF74" s="600"/>
      <c r="AG74" s="600"/>
      <c r="AH74" s="595"/>
      <c r="AI74" s="600"/>
      <c r="AJ74" s="595"/>
      <c r="AK74" s="595"/>
      <c r="AL74" s="595" t="str">
        <f ca="1">IFERROR(__xludf.DUMMYFUNCTION("""COMPUTED_VALUE"""),"〇")</f>
        <v>〇</v>
      </c>
      <c r="AM74" s="596">
        <f ca="1">IFERROR(__xludf.DUMMYFUNCTION("""COMPUTED_VALUE"""),44661)</f>
        <v>44661</v>
      </c>
      <c r="AN74" s="595" t="str">
        <f ca="1">IFERROR(__xludf.DUMMYFUNCTION("""COMPUTED_VALUE"""),"2025/8/1～2027/3/31")</f>
        <v>2025/8/1～2027/3/31</v>
      </c>
      <c r="AO74" s="595" t="str">
        <f ca="1">IFERROR(__xludf.DUMMYFUNCTION("""COMPUTED_VALUE"""),"ひめぎん
末広町支店")</f>
        <v>ひめぎん
末広町支店</v>
      </c>
      <c r="AP74" s="595" t="str">
        <f ca="1">IFERROR(__xludf.DUMMYFUNCTION("""COMPUTED_VALUE"""),"2025/1/20退職し福岡へ就職するが、7/9再入社")</f>
        <v>2025/1/20退職し福岡へ就職するが、7/9再入社</v>
      </c>
    </row>
    <row r="75" spans="1:42" ht="14.5">
      <c r="A75" s="595"/>
      <c r="B75" s="595">
        <f ca="1">IFERROR(__xludf.DUMMYFUNCTION("""COMPUTED_VALUE"""),205)</f>
        <v>205</v>
      </c>
      <c r="C75" s="595" t="str">
        <f ca="1">IFERROR(__xludf.DUMMYFUNCTION("""COMPUTED_VALUE"""),"津吉")</f>
        <v>津吉</v>
      </c>
      <c r="D75" s="595" t="str">
        <f ca="1">IFERROR(__xludf.DUMMYFUNCTION("""COMPUTED_VALUE"""),"インドネシア")</f>
        <v>インドネシア</v>
      </c>
      <c r="E75" s="595" t="str">
        <f ca="1">IFERROR(__xludf.DUMMYFUNCTION("""COMPUTED_VALUE"""),"07018603")</f>
        <v>07018603</v>
      </c>
      <c r="F75" s="595" t="str">
        <f ca="1">IFERROR(__xludf.DUMMYFUNCTION("""COMPUTED_VALUE"""),"/appsheet/photograph/205.写真.031645.jpg")</f>
        <v>/appsheet/photograph/205.写真.031645.jpg</v>
      </c>
      <c r="G75" s="595" t="str">
        <f ca="1">IFERROR(__xludf.DUMMYFUNCTION("""COMPUTED_VALUE"""),"レストゥ グメラー")</f>
        <v>レストゥ グメラー</v>
      </c>
      <c r="H75" s="595" t="str">
        <f ca="1">IFERROR(__xludf.DUMMYFUNCTION("""COMPUTED_VALUE"""),"RESTU GUMELAR")</f>
        <v>RESTU GUMELAR</v>
      </c>
      <c r="I75" s="595" t="str">
        <f ca="1">IFERROR(__xludf.DUMMYFUNCTION("""COMPUTED_VALUE"""),"レストゥ")</f>
        <v>レストゥ</v>
      </c>
      <c r="J75" s="595" t="str">
        <f ca="1">IFERROR(__xludf.DUMMYFUNCTION("""COMPUTED_VALUE"""),"男")</f>
        <v>男</v>
      </c>
      <c r="K75" s="600">
        <f ca="1">IFERROR(__xludf.DUMMYFUNCTION("""COMPUTED_VALUE"""),35416)</f>
        <v>35416</v>
      </c>
      <c r="L75" s="595">
        <f ca="1">IFERROR(__xludf.DUMMYFUNCTION("""COMPUTED_VALUE"""),29)</f>
        <v>29</v>
      </c>
      <c r="M75" s="595" t="str">
        <f ca="1">IFERROR(__xludf.DUMMYFUNCTION("""COMPUTED_VALUE"""),"無")</f>
        <v>無</v>
      </c>
      <c r="N75" s="595" t="str">
        <f ca="1">IFERROR(__xludf.DUMMYFUNCTION("""COMPUTED_VALUE"""),"H&amp;C")</f>
        <v>H&amp;C</v>
      </c>
      <c r="O75" s="900">
        <f ca="1">IFERROR(__xludf.DUMMYFUNCTION("""COMPUTED_VALUE"""),45860)</f>
        <v>45860</v>
      </c>
      <c r="P75" s="595" t="str">
        <f ca="1">IFERROR(__xludf.DUMMYFUNCTION("""COMPUTED_VALUE"""),"2027/03")</f>
        <v>2027/03</v>
      </c>
      <c r="Q75" s="595" t="str">
        <f ca="1">IFERROR(__xludf.DUMMYFUNCTION("""COMPUTED_VALUE"""),"特定技能１号")</f>
        <v>特定技能１号</v>
      </c>
      <c r="R75" s="595" t="str">
        <f ca="1">IFERROR(__xludf.DUMMYFUNCTION("""COMPUTED_VALUE"""),"松山市上野町774番地ビレッジハウス松山上野3-103")</f>
        <v>松山市上野町774番地ビレッジハウス松山上野3-103</v>
      </c>
      <c r="S75" s="595" t="str">
        <f ca="1">IFERROR(__xludf.DUMMYFUNCTION("""COMPUTED_VALUE"""),"個")</f>
        <v>個</v>
      </c>
      <c r="T75" s="901">
        <f ca="1">IFERROR(__xludf.DUMMYFUNCTION("""COMPUTED_VALUE"""),15000)</f>
        <v>15000</v>
      </c>
      <c r="U75" s="600">
        <f ca="1">IFERROR(__xludf.DUMMYFUNCTION("""COMPUTED_VALUE"""),45762)</f>
        <v>45762</v>
      </c>
      <c r="V75" s="600">
        <f ca="1">IFERROR(__xludf.DUMMYFUNCTION("""COMPUTED_VALUE"""),46219)</f>
        <v>46219</v>
      </c>
      <c r="W75" s="595" t="str">
        <f ca="1">IFERROR(__xludf.DUMMYFUNCTION("""COMPUTED_VALUE"""),"UH98867287EA")</f>
        <v>UH98867287EA</v>
      </c>
      <c r="X75" s="595"/>
      <c r="Y75" s="596"/>
      <c r="Z75" s="595" t="str">
        <f ca="1">IFERROR(__xludf.DUMMYFUNCTION("""COMPUTED_VALUE"""),"不要")</f>
        <v>不要</v>
      </c>
      <c r="AA75" s="595"/>
      <c r="AB75" s="595" t="str">
        <f ca="1">IFERROR(__xludf.DUMMYFUNCTION("""COMPUTED_VALUE"""),"N3
 2025/07")</f>
        <v>N3
 2025/07</v>
      </c>
      <c r="AC75" s="595"/>
      <c r="AD75" s="600"/>
      <c r="AE75" s="600"/>
      <c r="AF75" s="600"/>
      <c r="AG75" s="600"/>
      <c r="AH75" s="595"/>
      <c r="AI75" s="600"/>
      <c r="AJ75" s="595"/>
      <c r="AK75" s="595"/>
      <c r="AL75" s="595" t="str">
        <f ca="1">IFERROR(__xludf.DUMMYFUNCTION("""COMPUTED_VALUE"""),"〇")</f>
        <v>〇</v>
      </c>
      <c r="AM75" s="596">
        <f ca="1">IFERROR(__xludf.DUMMYFUNCTION("""COMPUTED_VALUE"""),44661)</f>
        <v>44661</v>
      </c>
      <c r="AN75" s="595" t="str">
        <f ca="1">IFERROR(__xludf.DUMMYFUNCTION("""COMPUTED_VALUE"""),"2025/8/1～2027/3/31")</f>
        <v>2025/8/1～2027/3/31</v>
      </c>
      <c r="AO75" s="595" t="str">
        <f ca="1">IFERROR(__xludf.DUMMYFUNCTION("""COMPUTED_VALUE"""),"ひめぎん
末広町支店")</f>
        <v>ひめぎん
末広町支店</v>
      </c>
      <c r="AP75" s="595" t="str">
        <f ca="1">IFERROR(__xludf.DUMMYFUNCTION("""COMPUTED_VALUE"""),"2025.7.8入寮、7/22入社。6月退職し７月に中温希望　姫路の会社へ転職
2024/10/09三好さんより退職の連絡。新開工場長へ連絡済。兵庫の冷凍食品11/1より時給1,200-平均して残業があるため、指導しても時給が大差ないため")</f>
        <v>2025.7.8入寮、7/22入社。6月退職し７月に中温希望　姫路の会社へ転職
2024/10/09三好さんより退職の連絡。新開工場長へ連絡済。兵庫の冷凍食品11/1より時給1,200-平均して残業があるため、指導しても時給が大差ないため</v>
      </c>
    </row>
    <row r="76" spans="1:42" ht="14.5">
      <c r="A76" s="595"/>
      <c r="B76" s="595">
        <f ca="1">IFERROR(__xludf.DUMMYFUNCTION("""COMPUTED_VALUE"""),206)</f>
        <v>206</v>
      </c>
      <c r="C76" s="595" t="str">
        <f ca="1">IFERROR(__xludf.DUMMYFUNCTION("""COMPUTED_VALUE"""),"津吉")</f>
        <v>津吉</v>
      </c>
      <c r="D76" s="595" t="str">
        <f ca="1">IFERROR(__xludf.DUMMYFUNCTION("""COMPUTED_VALUE"""),"インドネシア")</f>
        <v>インドネシア</v>
      </c>
      <c r="E76" s="595" t="str">
        <f ca="1">IFERROR(__xludf.DUMMYFUNCTION("""COMPUTED_VALUE"""),"07018604")</f>
        <v>07018604</v>
      </c>
      <c r="F76" s="595" t="str">
        <f ca="1">IFERROR(__xludf.DUMMYFUNCTION("""COMPUTED_VALUE"""),"/appsheet/photograph/206.写真.061154.jpg")</f>
        <v>/appsheet/photograph/206.写真.061154.jpg</v>
      </c>
      <c r="G76" s="595" t="str">
        <f ca="1">IFERROR(__xludf.DUMMYFUNCTION("""COMPUTED_VALUE"""),"ムハンマド　ファジャル　リズキ　ダウライ")</f>
        <v>ムハンマド　ファジャル　リズキ　ダウライ</v>
      </c>
      <c r="H76" s="595" t="str">
        <f ca="1">IFERROR(__xludf.DUMMYFUNCTION("""COMPUTED_VALUE"""),"MUHAMMAD FAJAR RIZKY DAULAY")</f>
        <v>MUHAMMAD FAJAR RIZKY DAULAY</v>
      </c>
      <c r="I76" s="595" t="str">
        <f ca="1">IFERROR(__xludf.DUMMYFUNCTION("""COMPUTED_VALUE"""),"リズキ")</f>
        <v>リズキ</v>
      </c>
      <c r="J76" s="595" t="str">
        <f ca="1">IFERROR(__xludf.DUMMYFUNCTION("""COMPUTED_VALUE"""),"男")</f>
        <v>男</v>
      </c>
      <c r="K76" s="600">
        <f ca="1">IFERROR(__xludf.DUMMYFUNCTION("""COMPUTED_VALUE"""),35928)</f>
        <v>35928</v>
      </c>
      <c r="L76" s="595">
        <f ca="1">IFERROR(__xludf.DUMMYFUNCTION("""COMPUTED_VALUE"""),27)</f>
        <v>27</v>
      </c>
      <c r="M76" s="595" t="str">
        <f ca="1">IFERROR(__xludf.DUMMYFUNCTION("""COMPUTED_VALUE"""),"無")</f>
        <v>無</v>
      </c>
      <c r="N76" s="595" t="str">
        <f ca="1">IFERROR(__xludf.DUMMYFUNCTION("""COMPUTED_VALUE"""),"H&amp;C")</f>
        <v>H&amp;C</v>
      </c>
      <c r="O76" s="900">
        <f ca="1">IFERROR(__xludf.DUMMYFUNCTION("""COMPUTED_VALUE"""),45873)</f>
        <v>45873</v>
      </c>
      <c r="P76" s="595" t="str">
        <f ca="1">IFERROR(__xludf.DUMMYFUNCTION("""COMPUTED_VALUE"""),"2028/06")</f>
        <v>2028/06</v>
      </c>
      <c r="Q76" s="595" t="str">
        <f ca="1">IFERROR(__xludf.DUMMYFUNCTION("""COMPUTED_VALUE"""),"特定技能１号")</f>
        <v>特定技能１号</v>
      </c>
      <c r="R76" s="595" t="str">
        <f ca="1">IFERROR(__xludf.DUMMYFUNCTION("""COMPUTED_VALUE"""),"松山市上野町774番地ビレッジハウス松山上野4-501")</f>
        <v>松山市上野町774番地ビレッジハウス松山上野4-501</v>
      </c>
      <c r="S76" s="595" t="str">
        <f ca="1">IFERROR(__xludf.DUMMYFUNCTION("""COMPUTED_VALUE"""),"個")</f>
        <v>個</v>
      </c>
      <c r="T76" s="901">
        <f ca="1">IFERROR(__xludf.DUMMYFUNCTION("""COMPUTED_VALUE"""),15000)</f>
        <v>15000</v>
      </c>
      <c r="U76" s="600">
        <f ca="1">IFERROR(__xludf.DUMMYFUNCTION("""COMPUTED_VALUE"""),45804)</f>
        <v>45804</v>
      </c>
      <c r="V76" s="600">
        <f ca="1">IFERROR(__xludf.DUMMYFUNCTION("""COMPUTED_VALUE"""),46235)</f>
        <v>46235</v>
      </c>
      <c r="W76" s="595" t="str">
        <f ca="1">IFERROR(__xludf.DUMMYFUNCTION("""COMPUTED_VALUE"""),"UH06610138EA")</f>
        <v>UH06610138EA</v>
      </c>
      <c r="X76" s="595"/>
      <c r="Y76" s="596">
        <f ca="1">IFERROR(__xludf.DUMMYFUNCTION("""COMPUTED_VALUE"""),45860)</f>
        <v>45860</v>
      </c>
      <c r="Z76" s="595" t="str">
        <f ca="1">IFERROR(__xludf.DUMMYFUNCTION("""COMPUTED_VALUE"""),"B-0274810")</f>
        <v>B-0274810</v>
      </c>
      <c r="AA76" s="595"/>
      <c r="AB76" s="595" t="str">
        <f ca="1">IFERROR(__xludf.DUMMYFUNCTION("""COMPUTED_VALUE"""),"N3　2025/12")</f>
        <v>N3　2025/12</v>
      </c>
      <c r="AC76" s="595"/>
      <c r="AD76" s="600"/>
      <c r="AE76" s="600"/>
      <c r="AF76" s="600"/>
      <c r="AG76" s="600"/>
      <c r="AH76" s="595"/>
      <c r="AI76" s="600"/>
      <c r="AJ76" s="595"/>
      <c r="AK76" s="595"/>
      <c r="AL76" s="595" t="str">
        <f ca="1">IFERROR(__xludf.DUMMYFUNCTION("""COMPUTED_VALUE"""),"―")</f>
        <v>―</v>
      </c>
      <c r="AM76" s="596">
        <f ca="1">IFERROR(__xludf.DUMMYFUNCTION("""COMPUTED_VALUE"""),45082)</f>
        <v>45082</v>
      </c>
      <c r="AN76" s="595" t="str">
        <f ca="1">IFERROR(__xludf.DUMMYFUNCTION("""COMPUTED_VALUE"""),"―")</f>
        <v>―</v>
      </c>
      <c r="AO76" s="595" t="str">
        <f ca="1">IFERROR(__xludf.DUMMYFUNCTION("""COMPUTED_VALUE"""),"ひめぎん
末広町支店")</f>
        <v>ひめぎん
末広町支店</v>
      </c>
      <c r="AP76" s="595" t="str">
        <f ca="1">IFERROR(__xludf.DUMMYFUNCTION("""COMPUTED_VALUE"""),"2025/7/22入寮、8/4入社
2025/5/23面接　合格
サニアの彼氏　現在新潟で特定1号として就業中。
（2023.7～2025.7迄）
2025/6/5退職・6/7退寮し福島の弟のところへ行き申請出来し一時帰国後、中温で働きたい")</f>
        <v>2025/7/22入寮、8/4入社
2025/5/23面接　合格
サニアの彼氏　現在新潟で特定1号として就業中。
（2023.7～2025.7迄）
2025/6/5退職・6/7退寮し福島の弟のところへ行き申請出来し一時帰国後、中温で働きたい</v>
      </c>
    </row>
    <row r="77" spans="1:42" ht="14.5">
      <c r="A77" s="595" t="str">
        <f ca="1">IFERROR(__xludf.DUMMYFUNCTION("""COMPUTED_VALUE"""),"　")</f>
        <v>　</v>
      </c>
      <c r="B77" s="595">
        <f ca="1">IFERROR(__xludf.DUMMYFUNCTION("""COMPUTED_VALUE"""),208)</f>
        <v>208</v>
      </c>
      <c r="C77" s="595" t="str">
        <f ca="1">IFERROR(__xludf.DUMMYFUNCTION("""COMPUTED_VALUE"""),"津吉")</f>
        <v>津吉</v>
      </c>
      <c r="D77" s="595" t="str">
        <f ca="1">IFERROR(__xludf.DUMMYFUNCTION("""COMPUTED_VALUE"""),"インドネシア")</f>
        <v>インドネシア</v>
      </c>
      <c r="E77" s="595" t="str">
        <f ca="1">IFERROR(__xludf.DUMMYFUNCTION("""COMPUTED_VALUE"""),"07018609")</f>
        <v>07018609</v>
      </c>
      <c r="F77" s="595" t="str">
        <f ca="1">IFERROR(__xludf.DUMMYFUNCTION("""COMPUTED_VALUE"""),"/appsheet/photograph/208.写真.021314.jpg")</f>
        <v>/appsheet/photograph/208.写真.021314.jpg</v>
      </c>
      <c r="G77" s="595" t="str">
        <f ca="1">IFERROR(__xludf.DUMMYFUNCTION("""COMPUTED_VALUE"""),"エティ スラストリ")</f>
        <v>エティ スラストリ</v>
      </c>
      <c r="H77" s="595" t="str">
        <f ca="1">IFERROR(__xludf.DUMMYFUNCTION("""COMPUTED_VALUE"""),"ETI SULASTRI")</f>
        <v>ETI SULASTRI</v>
      </c>
      <c r="I77" s="595" t="str">
        <f ca="1">IFERROR(__xludf.DUMMYFUNCTION("""COMPUTED_VALUE"""),"エティ")</f>
        <v>エティ</v>
      </c>
      <c r="J77" s="595" t="str">
        <f ca="1">IFERROR(__xludf.DUMMYFUNCTION("""COMPUTED_VALUE"""),"女")</f>
        <v>女</v>
      </c>
      <c r="K77" s="600">
        <f ca="1">IFERROR(__xludf.DUMMYFUNCTION("""COMPUTED_VALUE"""),36944)</f>
        <v>36944</v>
      </c>
      <c r="L77" s="595">
        <f ca="1">IFERROR(__xludf.DUMMYFUNCTION("""COMPUTED_VALUE"""),25)</f>
        <v>25</v>
      </c>
      <c r="M77" s="595" t="str">
        <f ca="1">IFERROR(__xludf.DUMMYFUNCTION("""COMPUTED_VALUE"""),"無")</f>
        <v>無</v>
      </c>
      <c r="N77" s="595" t="str">
        <f ca="1">IFERROR(__xludf.DUMMYFUNCTION("""COMPUTED_VALUE"""),"H&amp;C")</f>
        <v>H&amp;C</v>
      </c>
      <c r="O77" s="900">
        <f ca="1">IFERROR(__xludf.DUMMYFUNCTION("""COMPUTED_VALUE"""),45912)</f>
        <v>45912</v>
      </c>
      <c r="P77" s="595" t="str">
        <f ca="1">IFERROR(__xludf.DUMMYFUNCTION("""COMPUTED_VALUE"""),"2030/08")</f>
        <v>2030/08</v>
      </c>
      <c r="Q77" s="595" t="str">
        <f ca="1">IFERROR(__xludf.DUMMYFUNCTION("""COMPUTED_VALUE"""),"特定技能１号")</f>
        <v>特定技能１号</v>
      </c>
      <c r="R77" s="595" t="str">
        <f ca="1">IFERROR(__xludf.DUMMYFUNCTION("""COMPUTED_VALUE"""),"東温市牛渕170-3")</f>
        <v>東温市牛渕170-3</v>
      </c>
      <c r="S77" s="595" t="str">
        <f ca="1">IFERROR(__xludf.DUMMYFUNCTION("""COMPUTED_VALUE"""),"相")</f>
        <v>相</v>
      </c>
      <c r="T77" s="901">
        <f ca="1">IFERROR(__xludf.DUMMYFUNCTION("""COMPUTED_VALUE"""),10000)</f>
        <v>10000</v>
      </c>
      <c r="U77" s="600">
        <f ca="1">IFERROR(__xludf.DUMMYFUNCTION("""COMPUTED_VALUE"""),45737)</f>
        <v>45737</v>
      </c>
      <c r="V77" s="600">
        <f ca="1">IFERROR(__xludf.DUMMYFUNCTION("""COMPUTED_VALUE"""),46276)</f>
        <v>46276</v>
      </c>
      <c r="W77" s="595" t="str">
        <f ca="1">IFERROR(__xludf.DUMMYFUNCTION("""COMPUTED_VALUE"""),"UH66078188PC")</f>
        <v>UH66078188PC</v>
      </c>
      <c r="X77" s="595"/>
      <c r="Y77" s="596">
        <f ca="1">IFERROR(__xludf.DUMMYFUNCTION("""COMPUTED_VALUE"""),45911)</f>
        <v>45911</v>
      </c>
      <c r="Z77" s="595" t="str">
        <f ca="1">IFERROR(__xludf.DUMMYFUNCTION("""COMPUTED_VALUE"""),"B-0377310-1155")</f>
        <v>B-0377310-1155</v>
      </c>
      <c r="AA77" s="595" t="str">
        <f ca="1">IFERROR(__xludf.DUMMYFUNCTION("""COMPUTED_VALUE"""),"2025.7月購入
5年間は廃棄しない
（補助金で購入の為）
2025．12．3回収")</f>
        <v>2025.7月購入
5年間は廃棄しない
（補助金で購入の為）
2025．12．3回収</v>
      </c>
      <c r="AB77" s="595"/>
      <c r="AC77" s="595"/>
      <c r="AD77" s="600"/>
      <c r="AE77" s="600"/>
      <c r="AF77" s="600"/>
      <c r="AG77" s="600"/>
      <c r="AH77" s="595"/>
      <c r="AI77" s="600"/>
      <c r="AJ77" s="595"/>
      <c r="AK77" s="595"/>
      <c r="AL77" s="595" t="str">
        <f ca="1">IFERROR(__xludf.DUMMYFUNCTION("""COMPUTED_VALUE"""),"〇")</f>
        <v>〇</v>
      </c>
      <c r="AM77" s="596">
        <f ca="1">IFERROR(__xludf.DUMMYFUNCTION("""COMPUTED_VALUE"""),45911)</f>
        <v>45911</v>
      </c>
      <c r="AN77" s="595" t="str">
        <f ca="1">IFERROR(__xludf.DUMMYFUNCTION("""COMPUTED_VALUE"""),"2025/10/1-2030/8/31")</f>
        <v>2025/10/1-2030/8/31</v>
      </c>
      <c r="AO77" s="595" t="str">
        <f ca="1">IFERROR(__xludf.DUMMYFUNCTION("""COMPUTED_VALUE"""),"伊予銀
大街道支店")</f>
        <v>伊予銀
大街道支店</v>
      </c>
      <c r="AP77" s="595" t="str">
        <f ca="1">IFERROR(__xludf.DUMMYFUNCTION("""COMPUTED_VALUE"""),"2025/9/11入寮・9/12入社
2024/12/12面接　合格
H&amp;C人材保証 旅費送出期間負担")</f>
        <v>2025/9/11入寮・9/12入社
2024/12/12面接　合格
H&amp;C人材保証 旅費送出期間負担</v>
      </c>
    </row>
    <row r="78" spans="1:42" ht="14.5">
      <c r="A78" s="595"/>
      <c r="B78" s="595">
        <f ca="1">IFERROR(__xludf.DUMMYFUNCTION("""COMPUTED_VALUE"""),209)</f>
        <v>209</v>
      </c>
      <c r="C78" s="595" t="str">
        <f ca="1">IFERROR(__xludf.DUMMYFUNCTION("""COMPUTED_VALUE"""),"津吉")</f>
        <v>津吉</v>
      </c>
      <c r="D78" s="595" t="str">
        <f ca="1">IFERROR(__xludf.DUMMYFUNCTION("""COMPUTED_VALUE"""),"インドネシア")</f>
        <v>インドネシア</v>
      </c>
      <c r="E78" s="595" t="str">
        <f ca="1">IFERROR(__xludf.DUMMYFUNCTION("""COMPUTED_VALUE"""),"07018610")</f>
        <v>07018610</v>
      </c>
      <c r="F78" s="595" t="str">
        <f ca="1">IFERROR(__xludf.DUMMYFUNCTION("""COMPUTED_VALUE"""),"/appsheet/photograph/209.写真.021628.jpg")</f>
        <v>/appsheet/photograph/209.写真.021628.jpg</v>
      </c>
      <c r="G78" s="595" t="str">
        <f ca="1">IFERROR(__xludf.DUMMYFUNCTION("""COMPUTED_VALUE"""),"ノヴィヤンティ ジャナティン アリッヤ")</f>
        <v>ノヴィヤンティ ジャナティン アリッヤ</v>
      </c>
      <c r="H78" s="595" t="str">
        <f ca="1">IFERROR(__xludf.DUMMYFUNCTION("""COMPUTED_VALUE"""),"NOVIYANTI JANATIN ALIYYAH")</f>
        <v>NOVIYANTI JANATIN ALIYYAH</v>
      </c>
      <c r="I78" s="595" t="str">
        <f ca="1">IFERROR(__xludf.DUMMYFUNCTION("""COMPUTED_VALUE"""),"ノヴィ")</f>
        <v>ノヴィ</v>
      </c>
      <c r="J78" s="595" t="str">
        <f ca="1">IFERROR(__xludf.DUMMYFUNCTION("""COMPUTED_VALUE"""),"女")</f>
        <v>女</v>
      </c>
      <c r="K78" s="600">
        <f ca="1">IFERROR(__xludf.DUMMYFUNCTION("""COMPUTED_VALUE"""),36120)</f>
        <v>36120</v>
      </c>
      <c r="L78" s="595">
        <f ca="1">IFERROR(__xludf.DUMMYFUNCTION("""COMPUTED_VALUE"""),27)</f>
        <v>27</v>
      </c>
      <c r="M78" s="595" t="str">
        <f ca="1">IFERROR(__xludf.DUMMYFUNCTION("""COMPUTED_VALUE"""),"無")</f>
        <v>無</v>
      </c>
      <c r="N78" s="595" t="str">
        <f ca="1">IFERROR(__xludf.DUMMYFUNCTION("""COMPUTED_VALUE"""),"H&amp;C")</f>
        <v>H&amp;C</v>
      </c>
      <c r="O78" s="900">
        <f ca="1">IFERROR(__xludf.DUMMYFUNCTION("""COMPUTED_VALUE"""),45912)</f>
        <v>45912</v>
      </c>
      <c r="P78" s="595" t="str">
        <f ca="1">IFERROR(__xludf.DUMMYFUNCTION("""COMPUTED_VALUE"""),"2030/08")</f>
        <v>2030/08</v>
      </c>
      <c r="Q78" s="595" t="str">
        <f ca="1">IFERROR(__xludf.DUMMYFUNCTION("""COMPUTED_VALUE"""),"特定技能１号")</f>
        <v>特定技能１号</v>
      </c>
      <c r="R78" s="595" t="str">
        <f ca="1">IFERROR(__xludf.DUMMYFUNCTION("""COMPUTED_VALUE"""),"東温市牛渕170-3")</f>
        <v>東温市牛渕170-3</v>
      </c>
      <c r="S78" s="595" t="str">
        <f ca="1">IFERROR(__xludf.DUMMYFUNCTION("""COMPUTED_VALUE"""),"相")</f>
        <v>相</v>
      </c>
      <c r="T78" s="901">
        <f ca="1">IFERROR(__xludf.DUMMYFUNCTION("""COMPUTED_VALUE"""),10000)</f>
        <v>10000</v>
      </c>
      <c r="U78" s="600">
        <f ca="1">IFERROR(__xludf.DUMMYFUNCTION("""COMPUTED_VALUE"""),45737)</f>
        <v>45737</v>
      </c>
      <c r="V78" s="600">
        <f ca="1">IFERROR(__xludf.DUMMYFUNCTION("""COMPUTED_VALUE"""),46276)</f>
        <v>46276</v>
      </c>
      <c r="W78" s="595" t="str">
        <f ca="1">IFERROR(__xludf.DUMMYFUNCTION("""COMPUTED_VALUE"""),"UH28793045PC")</f>
        <v>UH28793045PC</v>
      </c>
      <c r="X78" s="595"/>
      <c r="Y78" s="596">
        <f ca="1">IFERROR(__xludf.DUMMYFUNCTION("""COMPUTED_VALUE"""),45911)</f>
        <v>45911</v>
      </c>
      <c r="Z78" s="595" t="str">
        <f ca="1">IFERROR(__xludf.DUMMYFUNCTION("""COMPUTED_VALUE"""),"B-0377313-1718")</f>
        <v>B-0377313-1718</v>
      </c>
      <c r="AA78" s="595" t="str">
        <f ca="1">IFERROR(__xludf.DUMMYFUNCTION("""COMPUTED_VALUE"""),"2025.7月購入
5年間は廃棄しない
（補助金で購入の為）")</f>
        <v>2025.7月購入
5年間は廃棄しない
（補助金で購入の為）</v>
      </c>
      <c r="AB78" s="595"/>
      <c r="AC78" s="595"/>
      <c r="AD78" s="600"/>
      <c r="AE78" s="600"/>
      <c r="AF78" s="600"/>
      <c r="AG78" s="600"/>
      <c r="AH78" s="595"/>
      <c r="AI78" s="600"/>
      <c r="AJ78" s="595"/>
      <c r="AK78" s="595"/>
      <c r="AL78" s="595" t="str">
        <f ca="1">IFERROR(__xludf.DUMMYFUNCTION("""COMPUTED_VALUE"""),"〇")</f>
        <v>〇</v>
      </c>
      <c r="AM78" s="596">
        <f ca="1">IFERROR(__xludf.DUMMYFUNCTION("""COMPUTED_VALUE"""),45911)</f>
        <v>45911</v>
      </c>
      <c r="AN78" s="595" t="str">
        <f ca="1">IFERROR(__xludf.DUMMYFUNCTION("""COMPUTED_VALUE"""),"2025/10/1-2030/8/31")</f>
        <v>2025/10/1-2030/8/31</v>
      </c>
      <c r="AO78" s="595" t="str">
        <f ca="1">IFERROR(__xludf.DUMMYFUNCTION("""COMPUTED_VALUE"""),"伊予銀
大街道支店")</f>
        <v>伊予銀
大街道支店</v>
      </c>
      <c r="AP78" s="595" t="str">
        <f ca="1">IFERROR(__xludf.DUMMYFUNCTION("""COMPUTED_VALUE"""),"2025/9/11入寮・9/12入社
2024/12/12面接　合格
H&amp;C人材保証 旅費送出期間負担")</f>
        <v>2025/9/11入寮・9/12入社
2024/12/12面接　合格
H&amp;C人材保証 旅費送出期間負担</v>
      </c>
    </row>
    <row r="79" spans="1:42" ht="14.5">
      <c r="A79" s="595"/>
      <c r="B79" s="595">
        <f ca="1">IFERROR(__xludf.DUMMYFUNCTION("""COMPUTED_VALUE"""),210)</f>
        <v>210</v>
      </c>
      <c r="C79" s="595" t="str">
        <f ca="1">IFERROR(__xludf.DUMMYFUNCTION("""COMPUTED_VALUE"""),"津吉")</f>
        <v>津吉</v>
      </c>
      <c r="D79" s="595" t="str">
        <f ca="1">IFERROR(__xludf.DUMMYFUNCTION("""COMPUTED_VALUE"""),"インドネシア")</f>
        <v>インドネシア</v>
      </c>
      <c r="E79" s="595" t="str">
        <f ca="1">IFERROR(__xludf.DUMMYFUNCTION("""COMPUTED_VALUE"""),"07018611")</f>
        <v>07018611</v>
      </c>
      <c r="F79" s="595" t="str">
        <f ca="1">IFERROR(__xludf.DUMMYFUNCTION("""COMPUTED_VALUE"""),"/appsheet/photograph/210.写真.021600.jpg")</f>
        <v>/appsheet/photograph/210.写真.021600.jpg</v>
      </c>
      <c r="G79" s="595" t="str">
        <f ca="1">IFERROR(__xludf.DUMMYFUNCTION("""COMPUTED_VALUE"""),"オリフェア レギナ パルピエ")</f>
        <v>オリフェア レギナ パルピエ</v>
      </c>
      <c r="H79" s="595" t="str">
        <f ca="1">IFERROR(__xludf.DUMMYFUNCTION("""COMPUTED_VALUE"""),"OLIVEA REGINA PALUPIE")</f>
        <v>OLIVEA REGINA PALUPIE</v>
      </c>
      <c r="I79" s="595" t="str">
        <f ca="1">IFERROR(__xludf.DUMMYFUNCTION("""COMPUTED_VALUE"""),"オリフェア")</f>
        <v>オリフェア</v>
      </c>
      <c r="J79" s="595" t="str">
        <f ca="1">IFERROR(__xludf.DUMMYFUNCTION("""COMPUTED_VALUE"""),"女")</f>
        <v>女</v>
      </c>
      <c r="K79" s="600">
        <f ca="1">IFERROR(__xludf.DUMMYFUNCTION("""COMPUTED_VALUE"""),38114)</f>
        <v>38114</v>
      </c>
      <c r="L79" s="595">
        <f ca="1">IFERROR(__xludf.DUMMYFUNCTION("""COMPUTED_VALUE"""),21)</f>
        <v>21</v>
      </c>
      <c r="M79" s="595" t="str">
        <f ca="1">IFERROR(__xludf.DUMMYFUNCTION("""COMPUTED_VALUE"""),"無")</f>
        <v>無</v>
      </c>
      <c r="N79" s="595" t="str">
        <f ca="1">IFERROR(__xludf.DUMMYFUNCTION("""COMPUTED_VALUE"""),"H&amp;C")</f>
        <v>H&amp;C</v>
      </c>
      <c r="O79" s="900">
        <f ca="1">IFERROR(__xludf.DUMMYFUNCTION("""COMPUTED_VALUE"""),45912)</f>
        <v>45912</v>
      </c>
      <c r="P79" s="595" t="str">
        <f ca="1">IFERROR(__xludf.DUMMYFUNCTION("""COMPUTED_VALUE"""),"2030/08")</f>
        <v>2030/08</v>
      </c>
      <c r="Q79" s="595" t="str">
        <f ca="1">IFERROR(__xludf.DUMMYFUNCTION("""COMPUTED_VALUE"""),"特定技能１号")</f>
        <v>特定技能１号</v>
      </c>
      <c r="R79" s="595" t="str">
        <f ca="1">IFERROR(__xludf.DUMMYFUNCTION("""COMPUTED_VALUE"""),"東温市牛渕170-3")</f>
        <v>東温市牛渕170-3</v>
      </c>
      <c r="S79" s="595" t="str">
        <f ca="1">IFERROR(__xludf.DUMMYFUNCTION("""COMPUTED_VALUE"""),"相")</f>
        <v>相</v>
      </c>
      <c r="T79" s="901">
        <f ca="1">IFERROR(__xludf.DUMMYFUNCTION("""COMPUTED_VALUE"""),10000)</f>
        <v>10000</v>
      </c>
      <c r="U79" s="600">
        <f ca="1">IFERROR(__xludf.DUMMYFUNCTION("""COMPUTED_VALUE"""),45737)</f>
        <v>45737</v>
      </c>
      <c r="V79" s="600">
        <f ca="1">IFERROR(__xludf.DUMMYFUNCTION("""COMPUTED_VALUE"""),46276)</f>
        <v>46276</v>
      </c>
      <c r="W79" s="595" t="str">
        <f ca="1">IFERROR(__xludf.DUMMYFUNCTION("""COMPUTED_VALUE"""),"UH82271041PC")</f>
        <v>UH82271041PC</v>
      </c>
      <c r="X79" s="595"/>
      <c r="Y79" s="596">
        <f ca="1">IFERROR(__xludf.DUMMYFUNCTION("""COMPUTED_VALUE"""),45911)</f>
        <v>45911</v>
      </c>
      <c r="Z79" s="595" t="str">
        <f ca="1">IFERROR(__xludf.DUMMYFUNCTION("""COMPUTED_VALUE"""),"B-0377324-1135")</f>
        <v>B-0377324-1135</v>
      </c>
      <c r="AA79" s="595" t="str">
        <f ca="1">IFERROR(__xludf.DUMMYFUNCTION("""COMPUTED_VALUE"""),"2025.7月購入
5年間は廃棄しない
（補助金で購入の為）
2025．12．3回収")</f>
        <v>2025.7月購入
5年間は廃棄しない
（補助金で購入の為）
2025．12．3回収</v>
      </c>
      <c r="AB79" s="595"/>
      <c r="AC79" s="595"/>
      <c r="AD79" s="600"/>
      <c r="AE79" s="600"/>
      <c r="AF79" s="600"/>
      <c r="AG79" s="600"/>
      <c r="AH79" s="595"/>
      <c r="AI79" s="600"/>
      <c r="AJ79" s="595"/>
      <c r="AK79" s="595"/>
      <c r="AL79" s="595" t="str">
        <f ca="1">IFERROR(__xludf.DUMMYFUNCTION("""COMPUTED_VALUE"""),"〇")</f>
        <v>〇</v>
      </c>
      <c r="AM79" s="596">
        <f ca="1">IFERROR(__xludf.DUMMYFUNCTION("""COMPUTED_VALUE"""),45911)</f>
        <v>45911</v>
      </c>
      <c r="AN79" s="595" t="str">
        <f ca="1">IFERROR(__xludf.DUMMYFUNCTION("""COMPUTED_VALUE"""),"2025/10/1-2030/8/31")</f>
        <v>2025/10/1-2030/8/31</v>
      </c>
      <c r="AO79" s="595" t="str">
        <f ca="1">IFERROR(__xludf.DUMMYFUNCTION("""COMPUTED_VALUE"""),"伊予銀
大街道支店")</f>
        <v>伊予銀
大街道支店</v>
      </c>
      <c r="AP79" s="595" t="str">
        <f ca="1">IFERROR(__xludf.DUMMYFUNCTION("""COMPUTED_VALUE"""),"2025/9/11入寮・9/12入社
2024/12/12面接　合格
H&amp;C人材保証 旅費送出期間負担")</f>
        <v>2025/9/11入寮・9/12入社
2024/12/12面接　合格
H&amp;C人材保証 旅費送出期間負担</v>
      </c>
    </row>
    <row r="80" spans="1:42" ht="14.5">
      <c r="A80" s="595"/>
      <c r="B80" s="595">
        <f ca="1">IFERROR(__xludf.DUMMYFUNCTION("""COMPUTED_VALUE"""),211)</f>
        <v>211</v>
      </c>
      <c r="C80" s="595" t="str">
        <f ca="1">IFERROR(__xludf.DUMMYFUNCTION("""COMPUTED_VALUE"""),"津吉")</f>
        <v>津吉</v>
      </c>
      <c r="D80" s="595" t="str">
        <f ca="1">IFERROR(__xludf.DUMMYFUNCTION("""COMPUTED_VALUE"""),"インドネシア")</f>
        <v>インドネシア</v>
      </c>
      <c r="E80" s="595" t="str">
        <f ca="1">IFERROR(__xludf.DUMMYFUNCTION("""COMPUTED_VALUE"""),"07018612")</f>
        <v>07018612</v>
      </c>
      <c r="F80" s="595" t="str">
        <f ca="1">IFERROR(__xludf.DUMMYFUNCTION("""COMPUTED_VALUE"""),"/appsheet/photograph/211.写真.021412.jpg")</f>
        <v>/appsheet/photograph/211.写真.021412.jpg</v>
      </c>
      <c r="G80" s="595" t="str">
        <f ca="1">IFERROR(__xludf.DUMMYFUNCTION("""COMPUTED_VALUE"""),"タラユニ")</f>
        <v>タラユニ</v>
      </c>
      <c r="H80" s="595" t="str">
        <f ca="1">IFERROR(__xludf.DUMMYFUNCTION("""COMPUTED_VALUE"""),"TARYUNI")</f>
        <v>TARYUNI</v>
      </c>
      <c r="I80" s="595" t="str">
        <f ca="1">IFERROR(__xludf.DUMMYFUNCTION("""COMPUTED_VALUE"""),"ユニ")</f>
        <v>ユニ</v>
      </c>
      <c r="J80" s="595" t="str">
        <f ca="1">IFERROR(__xludf.DUMMYFUNCTION("""COMPUTED_VALUE"""),"女")</f>
        <v>女</v>
      </c>
      <c r="K80" s="600">
        <f ca="1">IFERROR(__xludf.DUMMYFUNCTION("""COMPUTED_VALUE"""),38007)</f>
        <v>38007</v>
      </c>
      <c r="L80" s="595">
        <f ca="1">IFERROR(__xludf.DUMMYFUNCTION("""COMPUTED_VALUE"""),22)</f>
        <v>22</v>
      </c>
      <c r="M80" s="595" t="str">
        <f ca="1">IFERROR(__xludf.DUMMYFUNCTION("""COMPUTED_VALUE"""),"無")</f>
        <v>無</v>
      </c>
      <c r="N80" s="595" t="str">
        <f ca="1">IFERROR(__xludf.DUMMYFUNCTION("""COMPUTED_VALUE"""),"H&amp;C")</f>
        <v>H&amp;C</v>
      </c>
      <c r="O80" s="900">
        <f ca="1">IFERROR(__xludf.DUMMYFUNCTION("""COMPUTED_VALUE"""),45912)</f>
        <v>45912</v>
      </c>
      <c r="P80" s="595" t="str">
        <f ca="1">IFERROR(__xludf.DUMMYFUNCTION("""COMPUTED_VALUE"""),"2030/08")</f>
        <v>2030/08</v>
      </c>
      <c r="Q80" s="595" t="str">
        <f ca="1">IFERROR(__xludf.DUMMYFUNCTION("""COMPUTED_VALUE"""),"特定技能１号")</f>
        <v>特定技能１号</v>
      </c>
      <c r="R80" s="595" t="str">
        <f ca="1">IFERROR(__xludf.DUMMYFUNCTION("""COMPUTED_VALUE"""),"東温市牛渕170-3")</f>
        <v>東温市牛渕170-3</v>
      </c>
      <c r="S80" s="595" t="str">
        <f ca="1">IFERROR(__xludf.DUMMYFUNCTION("""COMPUTED_VALUE"""),"相")</f>
        <v>相</v>
      </c>
      <c r="T80" s="901">
        <f ca="1">IFERROR(__xludf.DUMMYFUNCTION("""COMPUTED_VALUE"""),10000)</f>
        <v>10000</v>
      </c>
      <c r="U80" s="600">
        <f ca="1">IFERROR(__xludf.DUMMYFUNCTION("""COMPUTED_VALUE"""),45737)</f>
        <v>45737</v>
      </c>
      <c r="V80" s="600">
        <f ca="1">IFERROR(__xludf.DUMMYFUNCTION("""COMPUTED_VALUE"""),46276)</f>
        <v>46276</v>
      </c>
      <c r="W80" s="595" t="str">
        <f ca="1">IFERROR(__xludf.DUMMYFUNCTION("""COMPUTED_VALUE"""),"UH65936650PC")</f>
        <v>UH65936650PC</v>
      </c>
      <c r="X80" s="595"/>
      <c r="Y80" s="596">
        <f ca="1">IFERROR(__xludf.DUMMYFUNCTION("""COMPUTED_VALUE"""),45911)</f>
        <v>45911</v>
      </c>
      <c r="Z80" s="595" t="str">
        <f ca="1">IFERROR(__xludf.DUMMYFUNCTION("""COMPUTED_VALUE"""),"B-0377321-1645")</f>
        <v>B-0377321-1645</v>
      </c>
      <c r="AA80" s="595" t="str">
        <f ca="1">IFERROR(__xludf.DUMMYFUNCTION("""COMPUTED_VALUE"""),"2025.7月購入
5年間は廃棄しない
（補助金で購入の為）
2025.11.25回収")</f>
        <v>2025.7月購入
5年間は廃棄しない
（補助金で購入の為）
2025.11.25回収</v>
      </c>
      <c r="AB80" s="595"/>
      <c r="AC80" s="595"/>
      <c r="AD80" s="600"/>
      <c r="AE80" s="600"/>
      <c r="AF80" s="600"/>
      <c r="AG80" s="600"/>
      <c r="AH80" s="595"/>
      <c r="AI80" s="600"/>
      <c r="AJ80" s="595"/>
      <c r="AK80" s="595"/>
      <c r="AL80" s="595" t="str">
        <f ca="1">IFERROR(__xludf.DUMMYFUNCTION("""COMPUTED_VALUE"""),"〇")</f>
        <v>〇</v>
      </c>
      <c r="AM80" s="596">
        <f ca="1">IFERROR(__xludf.DUMMYFUNCTION("""COMPUTED_VALUE"""),45911)</f>
        <v>45911</v>
      </c>
      <c r="AN80" s="595" t="str">
        <f ca="1">IFERROR(__xludf.DUMMYFUNCTION("""COMPUTED_VALUE"""),"2025/10/1-2030/8/31")</f>
        <v>2025/10/1-2030/8/31</v>
      </c>
      <c r="AO80" s="595" t="str">
        <f ca="1">IFERROR(__xludf.DUMMYFUNCTION("""COMPUTED_VALUE"""),"伊予銀
大街道支店")</f>
        <v>伊予銀
大街道支店</v>
      </c>
      <c r="AP80" s="595" t="str">
        <f ca="1">IFERROR(__xludf.DUMMYFUNCTION("""COMPUTED_VALUE"""),"2025/9/11入寮・9/12入社
2024/12/12面接　合格
H&amp;C人材保証 旅費送出期間負担")</f>
        <v>2025/9/11入寮・9/12入社
2024/12/12面接　合格
H&amp;C人材保証 旅費送出期間負担</v>
      </c>
    </row>
    <row r="81" spans="1:42" ht="14.5">
      <c r="A81" s="595"/>
      <c r="B81" s="595">
        <f ca="1">IFERROR(__xludf.DUMMYFUNCTION("""COMPUTED_VALUE"""),212)</f>
        <v>212</v>
      </c>
      <c r="C81" s="595" t="str">
        <f ca="1">IFERROR(__xludf.DUMMYFUNCTION("""COMPUTED_VALUE"""),"津吉")</f>
        <v>津吉</v>
      </c>
      <c r="D81" s="595" t="str">
        <f ca="1">IFERROR(__xludf.DUMMYFUNCTION("""COMPUTED_VALUE"""),"インドネシア")</f>
        <v>インドネシア</v>
      </c>
      <c r="E81" s="595" t="str">
        <f ca="1">IFERROR(__xludf.DUMMYFUNCTION("""COMPUTED_VALUE"""),"07018613")</f>
        <v>07018613</v>
      </c>
      <c r="F81" s="595" t="str">
        <f ca="1">IFERROR(__xludf.DUMMYFUNCTION("""COMPUTED_VALUE"""),"/appsheet/photograph/212.写真.021526.jpg")</f>
        <v>/appsheet/photograph/212.写真.021526.jpg</v>
      </c>
      <c r="G81" s="595" t="str">
        <f ca="1">IFERROR(__xludf.DUMMYFUNCTION("""COMPUTED_VALUE"""),"テゥティ スサンティ")</f>
        <v>テゥティ スサンティ</v>
      </c>
      <c r="H81" s="595" t="str">
        <f ca="1">IFERROR(__xludf.DUMMYFUNCTION("""COMPUTED_VALUE"""),"TUTI SUSANTI")</f>
        <v>TUTI SUSANTI</v>
      </c>
      <c r="I81" s="595" t="str">
        <f ca="1">IFERROR(__xludf.DUMMYFUNCTION("""COMPUTED_VALUE"""),"テゥティ")</f>
        <v>テゥティ</v>
      </c>
      <c r="J81" s="595" t="str">
        <f ca="1">IFERROR(__xludf.DUMMYFUNCTION("""COMPUTED_VALUE"""),"女")</f>
        <v>女</v>
      </c>
      <c r="K81" s="600">
        <f ca="1">IFERROR(__xludf.DUMMYFUNCTION("""COMPUTED_VALUE"""),35809)</f>
        <v>35809</v>
      </c>
      <c r="L81" s="595">
        <f ca="1">IFERROR(__xludf.DUMMYFUNCTION("""COMPUTED_VALUE"""),28)</f>
        <v>28</v>
      </c>
      <c r="M81" s="595" t="str">
        <f ca="1">IFERROR(__xludf.DUMMYFUNCTION("""COMPUTED_VALUE"""),"無")</f>
        <v>無</v>
      </c>
      <c r="N81" s="595" t="str">
        <f ca="1">IFERROR(__xludf.DUMMYFUNCTION("""COMPUTED_VALUE"""),"H&amp;C")</f>
        <v>H&amp;C</v>
      </c>
      <c r="O81" s="900">
        <f ca="1">IFERROR(__xludf.DUMMYFUNCTION("""COMPUTED_VALUE"""),45912)</f>
        <v>45912</v>
      </c>
      <c r="P81" s="595" t="str">
        <f ca="1">IFERROR(__xludf.DUMMYFUNCTION("""COMPUTED_VALUE"""),"2030/08")</f>
        <v>2030/08</v>
      </c>
      <c r="Q81" s="595" t="str">
        <f ca="1">IFERROR(__xludf.DUMMYFUNCTION("""COMPUTED_VALUE"""),"特定技能１号")</f>
        <v>特定技能１号</v>
      </c>
      <c r="R81" s="595" t="str">
        <f ca="1">IFERROR(__xludf.DUMMYFUNCTION("""COMPUTED_VALUE"""),"東温市牛渕170-3")</f>
        <v>東温市牛渕170-3</v>
      </c>
      <c r="S81" s="595" t="str">
        <f ca="1">IFERROR(__xludf.DUMMYFUNCTION("""COMPUTED_VALUE"""),"相")</f>
        <v>相</v>
      </c>
      <c r="T81" s="901">
        <f ca="1">IFERROR(__xludf.DUMMYFUNCTION("""COMPUTED_VALUE"""),10000)</f>
        <v>10000</v>
      </c>
      <c r="U81" s="600">
        <f ca="1">IFERROR(__xludf.DUMMYFUNCTION("""COMPUTED_VALUE"""),45737)</f>
        <v>45737</v>
      </c>
      <c r="V81" s="600">
        <f ca="1">IFERROR(__xludf.DUMMYFUNCTION("""COMPUTED_VALUE"""),46276)</f>
        <v>46276</v>
      </c>
      <c r="W81" s="595" t="str">
        <f ca="1">IFERROR(__xludf.DUMMYFUNCTION("""COMPUTED_VALUE"""),"UH15375412PC")</f>
        <v>UH15375412PC</v>
      </c>
      <c r="X81" s="595"/>
      <c r="Y81" s="596">
        <f ca="1">IFERROR(__xludf.DUMMYFUNCTION("""COMPUTED_VALUE"""),45911)</f>
        <v>45911</v>
      </c>
      <c r="Z81" s="595" t="str">
        <f ca="1">IFERROR(__xludf.DUMMYFUNCTION("""COMPUTED_VALUE"""),"B-0377311-1060")</f>
        <v>B-0377311-1060</v>
      </c>
      <c r="AA81" s="595" t="str">
        <f ca="1">IFERROR(__xludf.DUMMYFUNCTION("""COMPUTED_VALUE"""),"2025.7月購入
5年間は廃棄しない
（補助金で購入の為）
2025．12．3回収")</f>
        <v>2025.7月購入
5年間は廃棄しない
（補助金で購入の為）
2025．12．3回収</v>
      </c>
      <c r="AB81" s="595"/>
      <c r="AC81" s="595"/>
      <c r="AD81" s="600"/>
      <c r="AE81" s="600"/>
      <c r="AF81" s="600"/>
      <c r="AG81" s="600"/>
      <c r="AH81" s="595"/>
      <c r="AI81" s="600"/>
      <c r="AJ81" s="595"/>
      <c r="AK81" s="595"/>
      <c r="AL81" s="595" t="str">
        <f ca="1">IFERROR(__xludf.DUMMYFUNCTION("""COMPUTED_VALUE"""),"〇")</f>
        <v>〇</v>
      </c>
      <c r="AM81" s="596">
        <f ca="1">IFERROR(__xludf.DUMMYFUNCTION("""COMPUTED_VALUE"""),45911)</f>
        <v>45911</v>
      </c>
      <c r="AN81" s="595" t="str">
        <f ca="1">IFERROR(__xludf.DUMMYFUNCTION("""COMPUTED_VALUE"""),"2025/10/1-2030/8/31")</f>
        <v>2025/10/1-2030/8/31</v>
      </c>
      <c r="AO81" s="595" t="str">
        <f ca="1">IFERROR(__xludf.DUMMYFUNCTION("""COMPUTED_VALUE"""),"伊予銀
大街道支店")</f>
        <v>伊予銀
大街道支店</v>
      </c>
      <c r="AP81" s="595" t="str">
        <f ca="1">IFERROR(__xludf.DUMMYFUNCTION("""COMPUTED_VALUE"""),"2025/9/11入寮・9/12入社
2024/12/12面接　合格
H&amp;C人材保証 旅費送出期間負担")</f>
        <v>2025/9/11入寮・9/12入社
2024/12/12面接　合格
H&amp;C人材保証 旅費送出期間負担</v>
      </c>
    </row>
    <row r="82" spans="1:42" ht="14.5">
      <c r="A82" s="595"/>
      <c r="B82" s="595">
        <f ca="1">IFERROR(__xludf.DUMMYFUNCTION("""COMPUTED_VALUE"""),213)</f>
        <v>213</v>
      </c>
      <c r="C82" s="595" t="str">
        <f ca="1">IFERROR(__xludf.DUMMYFUNCTION("""COMPUTED_VALUE"""),"津吉")</f>
        <v>津吉</v>
      </c>
      <c r="D82" s="595" t="str">
        <f ca="1">IFERROR(__xludf.DUMMYFUNCTION("""COMPUTED_VALUE"""),"インドネシア")</f>
        <v>インドネシア</v>
      </c>
      <c r="E82" s="595" t="str">
        <f ca="1">IFERROR(__xludf.DUMMYFUNCTION("""COMPUTED_VALUE"""),"07018614")</f>
        <v>07018614</v>
      </c>
      <c r="F82" s="595" t="str">
        <f ca="1">IFERROR(__xludf.DUMMYFUNCTION("""COMPUTED_VALUE"""),"/appsheet/photograph/213.写真.021704.jpg")</f>
        <v>/appsheet/photograph/213.写真.021704.jpg</v>
      </c>
      <c r="G82" s="595" t="str">
        <f ca="1">IFERROR(__xludf.DUMMYFUNCTION("""COMPUTED_VALUE"""),"ティア レギタ ティタニア")</f>
        <v>ティア レギタ ティタニア</v>
      </c>
      <c r="H82" s="595" t="str">
        <f ca="1">IFERROR(__xludf.DUMMYFUNCTION("""COMPUTED_VALUE"""),"TYA REGITA TITANIA")</f>
        <v>TYA REGITA TITANIA</v>
      </c>
      <c r="I82" s="595" t="str">
        <f ca="1">IFERROR(__xludf.DUMMYFUNCTION("""COMPUTED_VALUE"""),"レギタ")</f>
        <v>レギタ</v>
      </c>
      <c r="J82" s="595" t="str">
        <f ca="1">IFERROR(__xludf.DUMMYFUNCTION("""COMPUTED_VALUE"""),"女")</f>
        <v>女</v>
      </c>
      <c r="K82" s="600">
        <f ca="1">IFERROR(__xludf.DUMMYFUNCTION("""COMPUTED_VALUE"""),37027)</f>
        <v>37027</v>
      </c>
      <c r="L82" s="595">
        <f ca="1">IFERROR(__xludf.DUMMYFUNCTION("""COMPUTED_VALUE"""),24)</f>
        <v>24</v>
      </c>
      <c r="M82" s="595" t="str">
        <f ca="1">IFERROR(__xludf.DUMMYFUNCTION("""COMPUTED_VALUE"""),"無")</f>
        <v>無</v>
      </c>
      <c r="N82" s="595" t="str">
        <f ca="1">IFERROR(__xludf.DUMMYFUNCTION("""COMPUTED_VALUE"""),"H&amp;C")</f>
        <v>H&amp;C</v>
      </c>
      <c r="O82" s="900">
        <f ca="1">IFERROR(__xludf.DUMMYFUNCTION("""COMPUTED_VALUE"""),45912)</f>
        <v>45912</v>
      </c>
      <c r="P82" s="595" t="str">
        <f ca="1">IFERROR(__xludf.DUMMYFUNCTION("""COMPUTED_VALUE"""),"2030/08")</f>
        <v>2030/08</v>
      </c>
      <c r="Q82" s="595" t="str">
        <f ca="1">IFERROR(__xludf.DUMMYFUNCTION("""COMPUTED_VALUE"""),"特定技能１号")</f>
        <v>特定技能１号</v>
      </c>
      <c r="R82" s="595" t="str">
        <f ca="1">IFERROR(__xludf.DUMMYFUNCTION("""COMPUTED_VALUE"""),"東温市牛渕170-3")</f>
        <v>東温市牛渕170-3</v>
      </c>
      <c r="S82" s="595" t="str">
        <f ca="1">IFERROR(__xludf.DUMMYFUNCTION("""COMPUTED_VALUE"""),"相")</f>
        <v>相</v>
      </c>
      <c r="T82" s="901">
        <f ca="1">IFERROR(__xludf.DUMMYFUNCTION("""COMPUTED_VALUE"""),10000)</f>
        <v>10000</v>
      </c>
      <c r="U82" s="600">
        <f ca="1">IFERROR(__xludf.DUMMYFUNCTION("""COMPUTED_VALUE"""),45737)</f>
        <v>45737</v>
      </c>
      <c r="V82" s="600">
        <f ca="1">IFERROR(__xludf.DUMMYFUNCTION("""COMPUTED_VALUE"""),46276)</f>
        <v>46276</v>
      </c>
      <c r="W82" s="595" t="str">
        <f ca="1">IFERROR(__xludf.DUMMYFUNCTION("""COMPUTED_VALUE"""),"UH45683244PC")</f>
        <v>UH45683244PC</v>
      </c>
      <c r="X82" s="595"/>
      <c r="Y82" s="596">
        <f ca="1">IFERROR(__xludf.DUMMYFUNCTION("""COMPUTED_VALUE"""),45911)</f>
        <v>45911</v>
      </c>
      <c r="Z82" s="595" t="str">
        <f ca="1">IFERROR(__xludf.DUMMYFUNCTION("""COMPUTED_VALUE"""),"B-0377297-1572")</f>
        <v>B-0377297-1572</v>
      </c>
      <c r="AA82" s="595" t="str">
        <f ca="1">IFERROR(__xludf.DUMMYFUNCTION("""COMPUTED_VALUE"""),"2025.7月購入
5年間は廃棄しない
（補助金で購入の為）
2025．12．3回収")</f>
        <v>2025.7月購入
5年間は廃棄しない
（補助金で購入の為）
2025．12．3回収</v>
      </c>
      <c r="AB82" s="595"/>
      <c r="AC82" s="595"/>
      <c r="AD82" s="600"/>
      <c r="AE82" s="600"/>
      <c r="AF82" s="600"/>
      <c r="AG82" s="600"/>
      <c r="AH82" s="595"/>
      <c r="AI82" s="600"/>
      <c r="AJ82" s="595"/>
      <c r="AK82" s="595"/>
      <c r="AL82" s="595" t="str">
        <f ca="1">IFERROR(__xludf.DUMMYFUNCTION("""COMPUTED_VALUE"""),"〇")</f>
        <v>〇</v>
      </c>
      <c r="AM82" s="596">
        <f ca="1">IFERROR(__xludf.DUMMYFUNCTION("""COMPUTED_VALUE"""),45911)</f>
        <v>45911</v>
      </c>
      <c r="AN82" s="595" t="str">
        <f ca="1">IFERROR(__xludf.DUMMYFUNCTION("""COMPUTED_VALUE"""),"2025/10/1-2030/8/31")</f>
        <v>2025/10/1-2030/8/31</v>
      </c>
      <c r="AO82" s="595" t="str">
        <f ca="1">IFERROR(__xludf.DUMMYFUNCTION("""COMPUTED_VALUE"""),"伊予銀
大街道支店")</f>
        <v>伊予銀
大街道支店</v>
      </c>
      <c r="AP82" s="595" t="str">
        <f ca="1">IFERROR(__xludf.DUMMYFUNCTION("""COMPUTED_VALUE"""),"2025/9/11入寮・9/12入社
2024/12/12面接　合格
H&amp;C人材保証 旅費送出期間負担")</f>
        <v>2025/9/11入寮・9/12入社
2024/12/12面接　合格
H&amp;C人材保証 旅費送出期間負担</v>
      </c>
    </row>
    <row r="83" spans="1:42" ht="14.5">
      <c r="A83" s="595"/>
      <c r="B83" s="595">
        <f ca="1">IFERROR(__xludf.DUMMYFUNCTION("""COMPUTED_VALUE"""),214)</f>
        <v>214</v>
      </c>
      <c r="C83" s="595" t="str">
        <f ca="1">IFERROR(__xludf.DUMMYFUNCTION("""COMPUTED_VALUE"""),"津吉")</f>
        <v>津吉</v>
      </c>
      <c r="D83" s="595" t="str">
        <f ca="1">IFERROR(__xludf.DUMMYFUNCTION("""COMPUTED_VALUE"""),"インドネシア")</f>
        <v>インドネシア</v>
      </c>
      <c r="E83" s="595" t="str">
        <f ca="1">IFERROR(__xludf.DUMMYFUNCTION("""COMPUTED_VALUE"""),"07018615")</f>
        <v>07018615</v>
      </c>
      <c r="F83" s="595" t="str">
        <f ca="1">IFERROR(__xludf.DUMMYFUNCTION("""COMPUTED_VALUE"""),"/appsheet/photograph/214.写真.021328.jpg")</f>
        <v>/appsheet/photograph/214.写真.021328.jpg</v>
      </c>
      <c r="G83" s="595" t="str">
        <f ca="1">IFERROR(__xludf.DUMMYFUNCTION("""COMPUTED_VALUE"""),"スハルティニ")</f>
        <v>スハルティニ</v>
      </c>
      <c r="H83" s="595" t="str">
        <f ca="1">IFERROR(__xludf.DUMMYFUNCTION("""COMPUTED_VALUE"""),"SUHARTINI")</f>
        <v>SUHARTINI</v>
      </c>
      <c r="I83" s="595" t="str">
        <f ca="1">IFERROR(__xludf.DUMMYFUNCTION("""COMPUTED_VALUE"""),"スハル")</f>
        <v>スハル</v>
      </c>
      <c r="J83" s="595" t="str">
        <f ca="1">IFERROR(__xludf.DUMMYFUNCTION("""COMPUTED_VALUE"""),"女")</f>
        <v>女</v>
      </c>
      <c r="K83" s="600">
        <f ca="1">IFERROR(__xludf.DUMMYFUNCTION("""COMPUTED_VALUE"""),37106)</f>
        <v>37106</v>
      </c>
      <c r="L83" s="595">
        <f ca="1">IFERROR(__xludf.DUMMYFUNCTION("""COMPUTED_VALUE"""),24)</f>
        <v>24</v>
      </c>
      <c r="M83" s="595" t="str">
        <f ca="1">IFERROR(__xludf.DUMMYFUNCTION("""COMPUTED_VALUE"""),"無")</f>
        <v>無</v>
      </c>
      <c r="N83" s="595" t="str">
        <f ca="1">IFERROR(__xludf.DUMMYFUNCTION("""COMPUTED_VALUE"""),"H&amp;C")</f>
        <v>H&amp;C</v>
      </c>
      <c r="O83" s="900">
        <f ca="1">IFERROR(__xludf.DUMMYFUNCTION("""COMPUTED_VALUE"""),45912)</f>
        <v>45912</v>
      </c>
      <c r="P83" s="595" t="str">
        <f ca="1">IFERROR(__xludf.DUMMYFUNCTION("""COMPUTED_VALUE"""),"2030/08")</f>
        <v>2030/08</v>
      </c>
      <c r="Q83" s="595" t="str">
        <f ca="1">IFERROR(__xludf.DUMMYFUNCTION("""COMPUTED_VALUE"""),"特定技能１号")</f>
        <v>特定技能１号</v>
      </c>
      <c r="R83" s="595" t="str">
        <f ca="1">IFERROR(__xludf.DUMMYFUNCTION("""COMPUTED_VALUE"""),"東温市牛渕170-3")</f>
        <v>東温市牛渕170-3</v>
      </c>
      <c r="S83" s="595" t="str">
        <f ca="1">IFERROR(__xludf.DUMMYFUNCTION("""COMPUTED_VALUE"""),"相")</f>
        <v>相</v>
      </c>
      <c r="T83" s="901">
        <f ca="1">IFERROR(__xludf.DUMMYFUNCTION("""COMPUTED_VALUE"""),10000)</f>
        <v>10000</v>
      </c>
      <c r="U83" s="600">
        <f ca="1">IFERROR(__xludf.DUMMYFUNCTION("""COMPUTED_VALUE"""),45733)</f>
        <v>45733</v>
      </c>
      <c r="V83" s="600">
        <f ca="1">IFERROR(__xludf.DUMMYFUNCTION("""COMPUTED_VALUE"""),46276)</f>
        <v>46276</v>
      </c>
      <c r="W83" s="595" t="str">
        <f ca="1">IFERROR(__xludf.DUMMYFUNCTION("""COMPUTED_VALUE"""),"UH63814373PC")</f>
        <v>UH63814373PC</v>
      </c>
      <c r="X83" s="595"/>
      <c r="Y83" s="596">
        <f ca="1">IFERROR(__xludf.DUMMYFUNCTION("""COMPUTED_VALUE"""),45911)</f>
        <v>45911</v>
      </c>
      <c r="Z83" s="595" t="str">
        <f ca="1">IFERROR(__xludf.DUMMYFUNCTION("""COMPUTED_VALUE"""),"B-0377312-1756")</f>
        <v>B-0377312-1756</v>
      </c>
      <c r="AA83" s="595" t="str">
        <f ca="1">IFERROR(__xludf.DUMMYFUNCTION("""COMPUTED_VALUE"""),"2025.7月購入
5年間は廃棄しない
（補助金で購入の為）")</f>
        <v>2025.7月購入
5年間は廃棄しない
（補助金で購入の為）</v>
      </c>
      <c r="AB83" s="595"/>
      <c r="AC83" s="595"/>
      <c r="AD83" s="600"/>
      <c r="AE83" s="600"/>
      <c r="AF83" s="600"/>
      <c r="AG83" s="600"/>
      <c r="AH83" s="595"/>
      <c r="AI83" s="600"/>
      <c r="AJ83" s="595"/>
      <c r="AK83" s="595"/>
      <c r="AL83" s="595" t="str">
        <f ca="1">IFERROR(__xludf.DUMMYFUNCTION("""COMPUTED_VALUE"""),"〇")</f>
        <v>〇</v>
      </c>
      <c r="AM83" s="596">
        <f ca="1">IFERROR(__xludf.DUMMYFUNCTION("""COMPUTED_VALUE"""),45911)</f>
        <v>45911</v>
      </c>
      <c r="AN83" s="595" t="str">
        <f ca="1">IFERROR(__xludf.DUMMYFUNCTION("""COMPUTED_VALUE"""),"2025/10/1-2030/8/31")</f>
        <v>2025/10/1-2030/8/31</v>
      </c>
      <c r="AO83" s="595" t="str">
        <f ca="1">IFERROR(__xludf.DUMMYFUNCTION("""COMPUTED_VALUE"""),"伊予銀
大街道支店")</f>
        <v>伊予銀
大街道支店</v>
      </c>
      <c r="AP83" s="595" t="str">
        <f ca="1">IFERROR(__xludf.DUMMYFUNCTION("""COMPUTED_VALUE"""),"2025/9/11入寮・9/12入社
2024/12/12面接　合格
H&amp;C人材保証 旅費送出期間負担")</f>
        <v>2025/9/11入寮・9/12入社
2024/12/12面接　合格
H&amp;C人材保証 旅費送出期間負担</v>
      </c>
    </row>
    <row r="84" spans="1:42" ht="14.5">
      <c r="A84" s="595"/>
      <c r="B84" s="595">
        <f ca="1">IFERROR(__xludf.DUMMYFUNCTION("""COMPUTED_VALUE"""),215)</f>
        <v>215</v>
      </c>
      <c r="C84" s="595" t="str">
        <f ca="1">IFERROR(__xludf.DUMMYFUNCTION("""COMPUTED_VALUE"""),"津吉")</f>
        <v>津吉</v>
      </c>
      <c r="D84" s="595" t="str">
        <f ca="1">IFERROR(__xludf.DUMMYFUNCTION("""COMPUTED_VALUE"""),"インドネシア")</f>
        <v>インドネシア</v>
      </c>
      <c r="E84" s="595" t="str">
        <f ca="1">IFERROR(__xludf.DUMMYFUNCTION("""COMPUTED_VALUE"""),"07018616")</f>
        <v>07018616</v>
      </c>
      <c r="F84" s="595" t="str">
        <f ca="1">IFERROR(__xludf.DUMMYFUNCTION("""COMPUTED_VALUE"""),"/appsheet/photograph/215.写真.021459.jpg")</f>
        <v>/appsheet/photograph/215.写真.021459.jpg</v>
      </c>
      <c r="G84" s="595" t="str">
        <f ca="1">IFERROR(__xludf.DUMMYFUNCTION("""COMPUTED_VALUE"""),"アルザ ムムタナ")</f>
        <v>アルザ ムムタナ</v>
      </c>
      <c r="H84" s="595" t="str">
        <f ca="1">IFERROR(__xludf.DUMMYFUNCTION("""COMPUTED_VALUE"""),"ALDZA MUMTHANA")</f>
        <v>ALDZA MUMTHANA</v>
      </c>
      <c r="I84" s="595" t="str">
        <f ca="1">IFERROR(__xludf.DUMMYFUNCTION("""COMPUTED_VALUE"""),"アルザ")</f>
        <v>アルザ</v>
      </c>
      <c r="J84" s="595" t="str">
        <f ca="1">IFERROR(__xludf.DUMMYFUNCTION("""COMPUTED_VALUE"""),"女")</f>
        <v>女</v>
      </c>
      <c r="K84" s="600">
        <f ca="1">IFERROR(__xludf.DUMMYFUNCTION("""COMPUTED_VALUE"""),38614)</f>
        <v>38614</v>
      </c>
      <c r="L84" s="595">
        <f ca="1">IFERROR(__xludf.DUMMYFUNCTION("""COMPUTED_VALUE"""),20)</f>
        <v>20</v>
      </c>
      <c r="M84" s="595" t="str">
        <f ca="1">IFERROR(__xludf.DUMMYFUNCTION("""COMPUTED_VALUE"""),"無")</f>
        <v>無</v>
      </c>
      <c r="N84" s="595" t="str">
        <f ca="1">IFERROR(__xludf.DUMMYFUNCTION("""COMPUTED_VALUE"""),"H&amp;C")</f>
        <v>H&amp;C</v>
      </c>
      <c r="O84" s="900">
        <f ca="1">IFERROR(__xludf.DUMMYFUNCTION("""COMPUTED_VALUE"""),45912)</f>
        <v>45912</v>
      </c>
      <c r="P84" s="595" t="str">
        <f ca="1">IFERROR(__xludf.DUMMYFUNCTION("""COMPUTED_VALUE"""),"2030/08")</f>
        <v>2030/08</v>
      </c>
      <c r="Q84" s="595" t="str">
        <f ca="1">IFERROR(__xludf.DUMMYFUNCTION("""COMPUTED_VALUE"""),"特定技能１号")</f>
        <v>特定技能１号</v>
      </c>
      <c r="R84" s="595" t="str">
        <f ca="1">IFERROR(__xludf.DUMMYFUNCTION("""COMPUTED_VALUE"""),"東温市牛渕170-3")</f>
        <v>東温市牛渕170-3</v>
      </c>
      <c r="S84" s="595" t="str">
        <f ca="1">IFERROR(__xludf.DUMMYFUNCTION("""COMPUTED_VALUE"""),"離1F-2-相2")</f>
        <v>離1F-2-相2</v>
      </c>
      <c r="T84" s="901">
        <f ca="1">IFERROR(__xludf.DUMMYFUNCTION("""COMPUTED_VALUE"""),15000)</f>
        <v>15000</v>
      </c>
      <c r="U84" s="600">
        <f ca="1">IFERROR(__xludf.DUMMYFUNCTION("""COMPUTED_VALUE"""),45733)</f>
        <v>45733</v>
      </c>
      <c r="V84" s="600">
        <f ca="1">IFERROR(__xludf.DUMMYFUNCTION("""COMPUTED_VALUE"""),46276)</f>
        <v>46276</v>
      </c>
      <c r="W84" s="595" t="str">
        <f ca="1">IFERROR(__xludf.DUMMYFUNCTION("""COMPUTED_VALUE"""),"UH12429074PC")</f>
        <v>UH12429074PC</v>
      </c>
      <c r="X84" s="595"/>
      <c r="Y84" s="596">
        <f ca="1">IFERROR(__xludf.DUMMYFUNCTION("""COMPUTED_VALUE"""),45911)</f>
        <v>45911</v>
      </c>
      <c r="Z84" s="595" t="str">
        <f ca="1">IFERROR(__xludf.DUMMYFUNCTION("""COMPUTED_VALUE"""),"B-0377301-1637")</f>
        <v>B-0377301-1637</v>
      </c>
      <c r="AA84" s="595" t="str">
        <f ca="1">IFERROR(__xludf.DUMMYFUNCTION("""COMPUTED_VALUE"""),"2025.7月購入
5年間は廃棄しない
（補助金で購入の為）
")</f>
        <v xml:space="preserve">2025.7月購入
5年間は廃棄しない
（補助金で購入の為）
</v>
      </c>
      <c r="AB84" s="595"/>
      <c r="AC84" s="595"/>
      <c r="AD84" s="600"/>
      <c r="AE84" s="600"/>
      <c r="AF84" s="600"/>
      <c r="AG84" s="600"/>
      <c r="AH84" s="595"/>
      <c r="AI84" s="600"/>
      <c r="AJ84" s="595"/>
      <c r="AK84" s="595"/>
      <c r="AL84" s="595" t="str">
        <f ca="1">IFERROR(__xludf.DUMMYFUNCTION("""COMPUTED_VALUE"""),"〇")</f>
        <v>〇</v>
      </c>
      <c r="AM84" s="596">
        <f ca="1">IFERROR(__xludf.DUMMYFUNCTION("""COMPUTED_VALUE"""),45911)</f>
        <v>45911</v>
      </c>
      <c r="AN84" s="595" t="str">
        <f ca="1">IFERROR(__xludf.DUMMYFUNCTION("""COMPUTED_VALUE"""),"2025/10/1-2030/8/31")</f>
        <v>2025/10/1-2030/8/31</v>
      </c>
      <c r="AO84" s="595" t="str">
        <f ca="1">IFERROR(__xludf.DUMMYFUNCTION("""COMPUTED_VALUE"""),"伊予銀
大街道支店")</f>
        <v>伊予銀
大街道支店</v>
      </c>
      <c r="AP84" s="595" t="str">
        <f ca="1">IFERROR(__xludf.DUMMYFUNCTION("""COMPUTED_VALUE"""),"2025/9/11入寮・9/12入社
2024/12/12面接　合格
H&amp;C人材保証 旅費送出期間負担
2025/10/11右肩に痛みあり。1年程前から痛みあり。インドネシアで呼吸困難になったことがあり、日本で働きだしてから右肩を回すと音が出る　⇒金澤整形外科受診　肩の筋肉が悪くて痛みが出ているとのこと。レントゲンの結果、骨、形状等に異常なし。首を上にあげる動作はなるべくしない、電気をあてるリハビリに通ったほうがいいとのこと。枕の高さの調節も必要。
次回以降　10/18リハビリのみ、10/25診察、リハビ"&amp;"リ予約。
2026/1/21　牛渕170-3母屋　2人部屋⇒離れの1F1人部屋へ移動　家賃￥10000→￥15000へ")</f>
        <v>2025/9/11入寮・9/12入社
2024/12/12面接　合格
H&amp;C人材保証 旅費送出期間負担
2025/10/11右肩に痛みあり。1年程前から痛みあり。インドネシアで呼吸困難になったことがあり、日本で働きだしてから右肩を回すと音が出る　⇒金澤整形外科受診　肩の筋肉が悪くて痛みが出ているとのこと。レントゲンの結果、骨、形状等に異常なし。首を上にあげる動作はなるべくしない、電気をあてるリハビリに通ったほうがいいとのこと。枕の高さの調節も必要。
次回以降　10/18リハビリのみ、10/25診察、リハビリ予約。
2026/1/21　牛渕170-3母屋　2人部屋⇒離れの1F1人部屋へ移動　家賃￥10000→￥15000へ</v>
      </c>
    </row>
    <row r="85" spans="1:42" ht="14.5">
      <c r="A85" s="595"/>
      <c r="B85" s="595">
        <f ca="1">IFERROR(__xludf.DUMMYFUNCTION("""COMPUTED_VALUE"""),216)</f>
        <v>216</v>
      </c>
      <c r="C85" s="595" t="str">
        <f ca="1">IFERROR(__xludf.DUMMYFUNCTION("""COMPUTED_VALUE"""),"津吉")</f>
        <v>津吉</v>
      </c>
      <c r="D85" s="595" t="str">
        <f ca="1">IFERROR(__xludf.DUMMYFUNCTION("""COMPUTED_VALUE"""),"インドネシア")</f>
        <v>インドネシア</v>
      </c>
      <c r="E85" s="595" t="str">
        <f ca="1">IFERROR(__xludf.DUMMYFUNCTION("""COMPUTED_VALUE"""),"07018617")</f>
        <v>07018617</v>
      </c>
      <c r="F85" s="595" t="str">
        <f ca="1">IFERROR(__xludf.DUMMYFUNCTION("""COMPUTED_VALUE"""),"/appsheet/photograph/216.写真.021235.jpg")</f>
        <v>/appsheet/photograph/216.写真.021235.jpg</v>
      </c>
      <c r="G85" s="595" t="str">
        <f ca="1">IFERROR(__xludf.DUMMYFUNCTION("""COMPUTED_VALUE"""),"サエ アユ ニンルム")</f>
        <v>サエ アユ ニンルム</v>
      </c>
      <c r="H85" s="595" t="str">
        <f ca="1">IFERROR(__xludf.DUMMYFUNCTION("""COMPUTED_VALUE"""),"SAE AYU NINGRUM")</f>
        <v>SAE AYU NINGRUM</v>
      </c>
      <c r="I85" s="595" t="str">
        <f ca="1">IFERROR(__xludf.DUMMYFUNCTION("""COMPUTED_VALUE"""),"サエ")</f>
        <v>サエ</v>
      </c>
      <c r="J85" s="595" t="str">
        <f ca="1">IFERROR(__xludf.DUMMYFUNCTION("""COMPUTED_VALUE"""),"女")</f>
        <v>女</v>
      </c>
      <c r="K85" s="600">
        <f ca="1">IFERROR(__xludf.DUMMYFUNCTION("""COMPUTED_VALUE"""),36296)</f>
        <v>36296</v>
      </c>
      <c r="L85" s="595">
        <f ca="1">IFERROR(__xludf.DUMMYFUNCTION("""COMPUTED_VALUE"""),26)</f>
        <v>26</v>
      </c>
      <c r="M85" s="595" t="str">
        <f ca="1">IFERROR(__xludf.DUMMYFUNCTION("""COMPUTED_VALUE"""),"無")</f>
        <v>無</v>
      </c>
      <c r="N85" s="595" t="str">
        <f ca="1">IFERROR(__xludf.DUMMYFUNCTION("""COMPUTED_VALUE"""),"H&amp;C")</f>
        <v>H&amp;C</v>
      </c>
      <c r="O85" s="900">
        <f ca="1">IFERROR(__xludf.DUMMYFUNCTION("""COMPUTED_VALUE"""),45912)</f>
        <v>45912</v>
      </c>
      <c r="P85" s="595" t="str">
        <f ca="1">IFERROR(__xludf.DUMMYFUNCTION("""COMPUTED_VALUE"""),"2030/08")</f>
        <v>2030/08</v>
      </c>
      <c r="Q85" s="595" t="str">
        <f ca="1">IFERROR(__xludf.DUMMYFUNCTION("""COMPUTED_VALUE"""),"特定技能１号")</f>
        <v>特定技能１号</v>
      </c>
      <c r="R85" s="595" t="str">
        <f ca="1">IFERROR(__xludf.DUMMYFUNCTION("""COMPUTED_VALUE"""),"東温市牛渕170-3")</f>
        <v>東温市牛渕170-3</v>
      </c>
      <c r="S85" s="595" t="str">
        <f ca="1">IFERROR(__xludf.DUMMYFUNCTION("""COMPUTED_VALUE"""),"相")</f>
        <v>相</v>
      </c>
      <c r="T85" s="901">
        <f ca="1">IFERROR(__xludf.DUMMYFUNCTION("""COMPUTED_VALUE"""),10000)</f>
        <v>10000</v>
      </c>
      <c r="U85" s="600">
        <f ca="1">IFERROR(__xludf.DUMMYFUNCTION("""COMPUTED_VALUE"""),45733)</f>
        <v>45733</v>
      </c>
      <c r="V85" s="600">
        <f ca="1">IFERROR(__xludf.DUMMYFUNCTION("""COMPUTED_VALUE"""),46276)</f>
        <v>46276</v>
      </c>
      <c r="W85" s="595" t="str">
        <f ca="1">IFERROR(__xludf.DUMMYFUNCTION("""COMPUTED_VALUE"""),"UH39791519PC")</f>
        <v>UH39791519PC</v>
      </c>
      <c r="X85" s="595"/>
      <c r="Y85" s="596">
        <f ca="1">IFERROR(__xludf.DUMMYFUNCTION("""COMPUTED_VALUE"""),45911)</f>
        <v>45911</v>
      </c>
      <c r="Z85" s="595" t="str">
        <f ca="1">IFERROR(__xludf.DUMMYFUNCTION("""COMPUTED_VALUE"""),"B-0377325-1715")</f>
        <v>B-0377325-1715</v>
      </c>
      <c r="AA85" s="595" t="str">
        <f ca="1">IFERROR(__xludf.DUMMYFUNCTION("""COMPUTED_VALUE"""),"2025.7月購入
5年間は廃棄しない
（補助金で購入の為）
2025．12．3回収")</f>
        <v>2025.7月購入
5年間は廃棄しない
（補助金で購入の為）
2025．12．3回収</v>
      </c>
      <c r="AB85" s="595"/>
      <c r="AC85" s="595"/>
      <c r="AD85" s="600"/>
      <c r="AE85" s="600"/>
      <c r="AF85" s="600"/>
      <c r="AG85" s="600"/>
      <c r="AH85" s="595"/>
      <c r="AI85" s="600"/>
      <c r="AJ85" s="595"/>
      <c r="AK85" s="595"/>
      <c r="AL85" s="595" t="str">
        <f ca="1">IFERROR(__xludf.DUMMYFUNCTION("""COMPUTED_VALUE"""),"〇")</f>
        <v>〇</v>
      </c>
      <c r="AM85" s="596">
        <f ca="1">IFERROR(__xludf.DUMMYFUNCTION("""COMPUTED_VALUE"""),45911)</f>
        <v>45911</v>
      </c>
      <c r="AN85" s="595" t="str">
        <f ca="1">IFERROR(__xludf.DUMMYFUNCTION("""COMPUTED_VALUE"""),"2025/10/1-2030/8/31")</f>
        <v>2025/10/1-2030/8/31</v>
      </c>
      <c r="AO85" s="595" t="str">
        <f ca="1">IFERROR(__xludf.DUMMYFUNCTION("""COMPUTED_VALUE"""),"伊予銀
大街道支店")</f>
        <v>伊予銀
大街道支店</v>
      </c>
      <c r="AP85" s="595" t="str">
        <f ca="1">IFERROR(__xludf.DUMMYFUNCTION("""COMPUTED_VALUE"""),"2025/9/11入寮・9/12入社
2024/12/12面接　合格
H&amp;C人材保証 旅費送出期間負担")</f>
        <v>2025/9/11入寮・9/12入社
2024/12/12面接　合格
H&amp;C人材保証 旅費送出期間負担</v>
      </c>
    </row>
    <row r="86" spans="1:42" ht="14.5">
      <c r="A86" s="595"/>
      <c r="B86" s="595">
        <f ca="1">IFERROR(__xludf.DUMMYFUNCTION("""COMPUTED_VALUE"""),217)</f>
        <v>217</v>
      </c>
      <c r="C86" s="595" t="str">
        <f ca="1">IFERROR(__xludf.DUMMYFUNCTION("""COMPUTED_VALUE"""),"津吉")</f>
        <v>津吉</v>
      </c>
      <c r="D86" s="595" t="str">
        <f ca="1">IFERROR(__xludf.DUMMYFUNCTION("""COMPUTED_VALUE"""),"インドネシア")</f>
        <v>インドネシア</v>
      </c>
      <c r="E86" s="595" t="str">
        <f ca="1">IFERROR(__xludf.DUMMYFUNCTION("""COMPUTED_VALUE"""),"07018605")</f>
        <v>07018605</v>
      </c>
      <c r="F86" s="595" t="str">
        <f ca="1">IFERROR(__xludf.DUMMYFUNCTION("""COMPUTED_VALUE"""),"/appsheet/photograph/217.写真.021039.jpg")</f>
        <v>/appsheet/photograph/217.写真.021039.jpg</v>
      </c>
      <c r="G86" s="595" t="str">
        <f ca="1">IFERROR(__xludf.DUMMYFUNCTION("""COMPUTED_VALUE"""),"エンゼル デスティ ナタリア")</f>
        <v>エンゼル デスティ ナタリア</v>
      </c>
      <c r="H86" s="595" t="str">
        <f ca="1">IFERROR(__xludf.DUMMYFUNCTION("""COMPUTED_VALUE"""),"ENZEL DESTI NATALIA")</f>
        <v>ENZEL DESTI NATALIA</v>
      </c>
      <c r="I86" s="595" t="str">
        <f ca="1">IFERROR(__xludf.DUMMYFUNCTION("""COMPUTED_VALUE"""),"エンゼル")</f>
        <v>エンゼル</v>
      </c>
      <c r="J86" s="595" t="str">
        <f ca="1">IFERROR(__xludf.DUMMYFUNCTION("""COMPUTED_VALUE"""),"女")</f>
        <v>女</v>
      </c>
      <c r="K86" s="600">
        <f ca="1">IFERROR(__xludf.DUMMYFUNCTION("""COMPUTED_VALUE"""),38346)</f>
        <v>38346</v>
      </c>
      <c r="L86" s="595">
        <f ca="1">IFERROR(__xludf.DUMMYFUNCTION("""COMPUTED_VALUE"""),21)</f>
        <v>21</v>
      </c>
      <c r="M86" s="595" t="str">
        <f ca="1">IFERROR(__xludf.DUMMYFUNCTION("""COMPUTED_VALUE"""),"無")</f>
        <v>無</v>
      </c>
      <c r="N86" s="595" t="str">
        <f ca="1">IFERROR(__xludf.DUMMYFUNCTION("""COMPUTED_VALUE"""),"H&amp;C")</f>
        <v>H&amp;C</v>
      </c>
      <c r="O86" s="900">
        <f ca="1">IFERROR(__xludf.DUMMYFUNCTION("""COMPUTED_VALUE"""),45912)</f>
        <v>45912</v>
      </c>
      <c r="P86" s="595" t="str">
        <f ca="1">IFERROR(__xludf.DUMMYFUNCTION("""COMPUTED_VALUE"""),"2030/08")</f>
        <v>2030/08</v>
      </c>
      <c r="Q86" s="595" t="str">
        <f ca="1">IFERROR(__xludf.DUMMYFUNCTION("""COMPUTED_VALUE"""),"特定技能１号")</f>
        <v>特定技能１号</v>
      </c>
      <c r="R86" s="595" t="str">
        <f ca="1">IFERROR(__xludf.DUMMYFUNCTION("""COMPUTED_VALUE"""),"東温市牛渕123-1")</f>
        <v>東温市牛渕123-1</v>
      </c>
      <c r="S86" s="595" t="str">
        <f ca="1">IFERROR(__xludf.DUMMYFUNCTION("""COMPUTED_VALUE"""),"相")</f>
        <v>相</v>
      </c>
      <c r="T86" s="901">
        <f ca="1">IFERROR(__xludf.DUMMYFUNCTION("""COMPUTED_VALUE"""),10000)</f>
        <v>10000</v>
      </c>
      <c r="U86" s="600">
        <f ca="1">IFERROR(__xludf.DUMMYFUNCTION("""COMPUTED_VALUE"""),45765)</f>
        <v>45765</v>
      </c>
      <c r="V86" s="600">
        <f ca="1">IFERROR(__xludf.DUMMYFUNCTION("""COMPUTED_VALUE"""),46276)</f>
        <v>46276</v>
      </c>
      <c r="W86" s="595" t="str">
        <f ca="1">IFERROR(__xludf.DUMMYFUNCTION("""COMPUTED_VALUE"""),"UH40796281PC")</f>
        <v>UH40796281PC</v>
      </c>
      <c r="X86" s="595"/>
      <c r="Y86" s="596">
        <f ca="1">IFERROR(__xludf.DUMMYFUNCTION("""COMPUTED_VALUE"""),45911)</f>
        <v>45911</v>
      </c>
      <c r="Z86" s="595" t="str">
        <f ca="1">IFERROR(__xludf.DUMMYFUNCTION("""COMPUTED_VALUE"""),"B-0377306-1175")</f>
        <v>B-0377306-1175</v>
      </c>
      <c r="AA86" s="595" t="str">
        <f ca="1">IFERROR(__xludf.DUMMYFUNCTION("""COMPUTED_VALUE"""),"2025.7月購入
5年間は廃棄しない
（補助金で購入の為）")</f>
        <v>2025.7月購入
5年間は廃棄しない
（補助金で購入の為）</v>
      </c>
      <c r="AB86" s="595"/>
      <c r="AC86" s="595"/>
      <c r="AD86" s="600"/>
      <c r="AE86" s="600"/>
      <c r="AF86" s="600"/>
      <c r="AG86" s="600"/>
      <c r="AH86" s="595"/>
      <c r="AI86" s="600"/>
      <c r="AJ86" s="595"/>
      <c r="AK86" s="595"/>
      <c r="AL86" s="595" t="str">
        <f ca="1">IFERROR(__xludf.DUMMYFUNCTION("""COMPUTED_VALUE"""),"〇")</f>
        <v>〇</v>
      </c>
      <c r="AM86" s="596">
        <f ca="1">IFERROR(__xludf.DUMMYFUNCTION("""COMPUTED_VALUE"""),45911)</f>
        <v>45911</v>
      </c>
      <c r="AN86" s="595" t="str">
        <f ca="1">IFERROR(__xludf.DUMMYFUNCTION("""COMPUTED_VALUE"""),"2025/10/1-2030/8/31")</f>
        <v>2025/10/1-2030/8/31</v>
      </c>
      <c r="AO86" s="595" t="str">
        <f ca="1">IFERROR(__xludf.DUMMYFUNCTION("""COMPUTED_VALUE"""),"伊予銀
大街道支店")</f>
        <v>伊予銀
大街道支店</v>
      </c>
      <c r="AP86" s="595" t="str">
        <f ca="1">IFERROR(__xludf.DUMMYFUNCTION("""COMPUTED_VALUE"""),"2025/9/11入寮・9/12入社
2025/3/11面接　合格
H&amp;C人材保証 旅費送出期間負担")</f>
        <v>2025/9/11入寮・9/12入社
2025/3/11面接　合格
H&amp;C人材保証 旅費送出期間負担</v>
      </c>
    </row>
    <row r="87" spans="1:42" ht="14.5">
      <c r="A87" s="595"/>
      <c r="B87" s="595">
        <f ca="1">IFERROR(__xludf.DUMMYFUNCTION("""COMPUTED_VALUE"""),218)</f>
        <v>218</v>
      </c>
      <c r="C87" s="595" t="str">
        <f ca="1">IFERROR(__xludf.DUMMYFUNCTION("""COMPUTED_VALUE"""),"津吉")</f>
        <v>津吉</v>
      </c>
      <c r="D87" s="595" t="str">
        <f ca="1">IFERROR(__xludf.DUMMYFUNCTION("""COMPUTED_VALUE"""),"インドネシア")</f>
        <v>インドネシア</v>
      </c>
      <c r="E87" s="595" t="str">
        <f ca="1">IFERROR(__xludf.DUMMYFUNCTION("""COMPUTED_VALUE"""),"07018606")</f>
        <v>07018606</v>
      </c>
      <c r="F87" s="595" t="str">
        <f ca="1">IFERROR(__xludf.DUMMYFUNCTION("""COMPUTED_VALUE"""),"/appsheet/photograph/218.写真.021116.jpg")</f>
        <v>/appsheet/photograph/218.写真.021116.jpg</v>
      </c>
      <c r="G87" s="595" t="str">
        <f ca="1">IFERROR(__xludf.DUMMYFUNCTION("""COMPUTED_VALUE"""),"アウリア　ラーマ")</f>
        <v>アウリア　ラーマ</v>
      </c>
      <c r="H87" s="595" t="str">
        <f ca="1">IFERROR(__xludf.DUMMYFUNCTION("""COMPUTED_VALUE"""),"AULIA RAHMAH")</f>
        <v>AULIA RAHMAH</v>
      </c>
      <c r="I87" s="595" t="str">
        <f ca="1">IFERROR(__xludf.DUMMYFUNCTION("""COMPUTED_VALUE"""),"アウリア")</f>
        <v>アウリア</v>
      </c>
      <c r="J87" s="595" t="str">
        <f ca="1">IFERROR(__xludf.DUMMYFUNCTION("""COMPUTED_VALUE"""),"女")</f>
        <v>女</v>
      </c>
      <c r="K87" s="600">
        <f ca="1">IFERROR(__xludf.DUMMYFUNCTION("""COMPUTED_VALUE"""),38248)</f>
        <v>38248</v>
      </c>
      <c r="L87" s="595">
        <f ca="1">IFERROR(__xludf.DUMMYFUNCTION("""COMPUTED_VALUE"""),21)</f>
        <v>21</v>
      </c>
      <c r="M87" s="595" t="str">
        <f ca="1">IFERROR(__xludf.DUMMYFUNCTION("""COMPUTED_VALUE"""),"無")</f>
        <v>無</v>
      </c>
      <c r="N87" s="595" t="str">
        <f ca="1">IFERROR(__xludf.DUMMYFUNCTION("""COMPUTED_VALUE"""),"H&amp;C")</f>
        <v>H&amp;C</v>
      </c>
      <c r="O87" s="900">
        <f ca="1">IFERROR(__xludf.DUMMYFUNCTION("""COMPUTED_VALUE"""),45912)</f>
        <v>45912</v>
      </c>
      <c r="P87" s="595" t="str">
        <f ca="1">IFERROR(__xludf.DUMMYFUNCTION("""COMPUTED_VALUE"""),"2030/08")</f>
        <v>2030/08</v>
      </c>
      <c r="Q87" s="595" t="str">
        <f ca="1">IFERROR(__xludf.DUMMYFUNCTION("""COMPUTED_VALUE"""),"特定技能１号")</f>
        <v>特定技能１号</v>
      </c>
      <c r="R87" s="595" t="str">
        <f ca="1">IFERROR(__xludf.DUMMYFUNCTION("""COMPUTED_VALUE"""),"東温市牛渕123-1")</f>
        <v>東温市牛渕123-1</v>
      </c>
      <c r="S87" s="595" t="str">
        <f ca="1">IFERROR(__xludf.DUMMYFUNCTION("""COMPUTED_VALUE"""),"相")</f>
        <v>相</v>
      </c>
      <c r="T87" s="901">
        <f ca="1">IFERROR(__xludf.DUMMYFUNCTION("""COMPUTED_VALUE"""),10000)</f>
        <v>10000</v>
      </c>
      <c r="U87" s="600">
        <f ca="1">IFERROR(__xludf.DUMMYFUNCTION("""COMPUTED_VALUE"""),45765)</f>
        <v>45765</v>
      </c>
      <c r="V87" s="600">
        <f ca="1">IFERROR(__xludf.DUMMYFUNCTION("""COMPUTED_VALUE"""),46276)</f>
        <v>46276</v>
      </c>
      <c r="W87" s="595" t="str">
        <f ca="1">IFERROR(__xludf.DUMMYFUNCTION("""COMPUTED_VALUE"""),"UH45356037PC")</f>
        <v>UH45356037PC</v>
      </c>
      <c r="X87" s="595"/>
      <c r="Y87" s="596">
        <f ca="1">IFERROR(__xludf.DUMMYFUNCTION("""COMPUTED_VALUE"""),45911)</f>
        <v>45911</v>
      </c>
      <c r="Z87" s="595" t="str">
        <f ca="1">IFERROR(__xludf.DUMMYFUNCTION("""COMPUTED_VALUE"""),"B-0377323-1194")</f>
        <v>B-0377323-1194</v>
      </c>
      <c r="AA87" s="595" t="str">
        <f ca="1">IFERROR(__xludf.DUMMYFUNCTION("""COMPUTED_VALUE"""),"2025.7月購入
5年間は廃棄しない
（補助金で購入の為）")</f>
        <v>2025.7月購入
5年間は廃棄しない
（補助金で購入の為）</v>
      </c>
      <c r="AB87" s="595"/>
      <c r="AC87" s="595"/>
      <c r="AD87" s="600"/>
      <c r="AE87" s="600"/>
      <c r="AF87" s="600"/>
      <c r="AG87" s="600"/>
      <c r="AH87" s="595"/>
      <c r="AI87" s="600"/>
      <c r="AJ87" s="595"/>
      <c r="AK87" s="595"/>
      <c r="AL87" s="595" t="str">
        <f ca="1">IFERROR(__xludf.DUMMYFUNCTION("""COMPUTED_VALUE"""),"〇")</f>
        <v>〇</v>
      </c>
      <c r="AM87" s="596">
        <f ca="1">IFERROR(__xludf.DUMMYFUNCTION("""COMPUTED_VALUE"""),45911)</f>
        <v>45911</v>
      </c>
      <c r="AN87" s="595" t="str">
        <f ca="1">IFERROR(__xludf.DUMMYFUNCTION("""COMPUTED_VALUE"""),"2025/10/1-2030/8/31")</f>
        <v>2025/10/1-2030/8/31</v>
      </c>
      <c r="AO87" s="595" t="str">
        <f ca="1">IFERROR(__xludf.DUMMYFUNCTION("""COMPUTED_VALUE"""),"伊予銀
大街道支店")</f>
        <v>伊予銀
大街道支店</v>
      </c>
      <c r="AP87" s="595" t="str">
        <f ca="1">IFERROR(__xludf.DUMMYFUNCTION("""COMPUTED_VALUE"""),"2025/9/11入寮・9/12入社
2025/3/11面接　合格
H&amp;C人材保証 旅費送出期間負担
2025/10/31新開工場長より、インドネシア時より、脊髄がまがる
病気で重たいもの等をもつ仕事を変更してほしい
との申し出あり。入国前の健康診断でも問題がない
ため入国ができ、入国後の健康診断でも該当ない
ため、本人と面談を行う
デフィとヤニと４人で牛渕２号館ではなし。
病院には行ってない。とりあえず、できるところまで
やってみて、ダメになる前に上長へ。新開工場長へ報告済み")</f>
        <v>2025/9/11入寮・9/12入社
2025/3/11面接　合格
H&amp;C人材保証 旅費送出期間負担
2025/10/31新開工場長より、インドネシア時より、脊髄がまがる
病気で重たいもの等をもつ仕事を変更してほしい
との申し出あり。入国前の健康診断でも問題がない
ため入国ができ、入国後の健康診断でも該当ない
ため、本人と面談を行う
デフィとヤニと４人で牛渕２号館ではなし。
病院には行ってない。とりあえず、できるところまで
やってみて、ダメになる前に上長へ。新開工場長へ報告済み</v>
      </c>
    </row>
    <row r="88" spans="1:42" ht="14.5">
      <c r="A88" s="595"/>
      <c r="B88" s="595">
        <f ca="1">IFERROR(__xludf.DUMMYFUNCTION("""COMPUTED_VALUE"""),219)</f>
        <v>219</v>
      </c>
      <c r="C88" s="595" t="str">
        <f ca="1">IFERROR(__xludf.DUMMYFUNCTION("""COMPUTED_VALUE"""),"津吉")</f>
        <v>津吉</v>
      </c>
      <c r="D88" s="595" t="str">
        <f ca="1">IFERROR(__xludf.DUMMYFUNCTION("""COMPUTED_VALUE"""),"インドネシア")</f>
        <v>インドネシア</v>
      </c>
      <c r="E88" s="595" t="str">
        <f ca="1">IFERROR(__xludf.DUMMYFUNCTION("""COMPUTED_VALUE"""),"07018607")</f>
        <v>07018607</v>
      </c>
      <c r="F88" s="595" t="str">
        <f ca="1">IFERROR(__xludf.DUMMYFUNCTION("""COMPUTED_VALUE"""),"/appsheet/photograph/219.写真.021135.jpg")</f>
        <v>/appsheet/photograph/219.写真.021135.jpg</v>
      </c>
      <c r="G88" s="595" t="str">
        <f ca="1">IFERROR(__xludf.DUMMYFUNCTION("""COMPUTED_VALUE"""),"デラ　フィトリヤニ")</f>
        <v>デラ　フィトリヤニ</v>
      </c>
      <c r="H88" s="595" t="str">
        <f ca="1">IFERROR(__xludf.DUMMYFUNCTION("""COMPUTED_VALUE"""),"DELA FITRIYANI")</f>
        <v>DELA FITRIYANI</v>
      </c>
      <c r="I88" s="595" t="str">
        <f ca="1">IFERROR(__xludf.DUMMYFUNCTION("""COMPUTED_VALUE"""),"デラ")</f>
        <v>デラ</v>
      </c>
      <c r="J88" s="595" t="str">
        <f ca="1">IFERROR(__xludf.DUMMYFUNCTION("""COMPUTED_VALUE"""),"女")</f>
        <v>女</v>
      </c>
      <c r="K88" s="600">
        <f ca="1">IFERROR(__xludf.DUMMYFUNCTION("""COMPUTED_VALUE"""),38326)</f>
        <v>38326</v>
      </c>
      <c r="L88" s="595">
        <f ca="1">IFERROR(__xludf.DUMMYFUNCTION("""COMPUTED_VALUE"""),21)</f>
        <v>21</v>
      </c>
      <c r="M88" s="595" t="str">
        <f ca="1">IFERROR(__xludf.DUMMYFUNCTION("""COMPUTED_VALUE"""),"無")</f>
        <v>無</v>
      </c>
      <c r="N88" s="595" t="str">
        <f ca="1">IFERROR(__xludf.DUMMYFUNCTION("""COMPUTED_VALUE"""),"H&amp;C")</f>
        <v>H&amp;C</v>
      </c>
      <c r="O88" s="900">
        <f ca="1">IFERROR(__xludf.DUMMYFUNCTION("""COMPUTED_VALUE"""),45912)</f>
        <v>45912</v>
      </c>
      <c r="P88" s="595" t="str">
        <f ca="1">IFERROR(__xludf.DUMMYFUNCTION("""COMPUTED_VALUE"""),"2030/08")</f>
        <v>2030/08</v>
      </c>
      <c r="Q88" s="595" t="str">
        <f ca="1">IFERROR(__xludf.DUMMYFUNCTION("""COMPUTED_VALUE"""),"特定技能１号")</f>
        <v>特定技能１号</v>
      </c>
      <c r="R88" s="595" t="str">
        <f ca="1">IFERROR(__xludf.DUMMYFUNCTION("""COMPUTED_VALUE"""),"東温市牛渕123-1")</f>
        <v>東温市牛渕123-1</v>
      </c>
      <c r="S88" s="595" t="str">
        <f ca="1">IFERROR(__xludf.DUMMYFUNCTION("""COMPUTED_VALUE"""),"相")</f>
        <v>相</v>
      </c>
      <c r="T88" s="901">
        <f ca="1">IFERROR(__xludf.DUMMYFUNCTION("""COMPUTED_VALUE"""),10000)</f>
        <v>10000</v>
      </c>
      <c r="U88" s="600">
        <f ca="1">IFERROR(__xludf.DUMMYFUNCTION("""COMPUTED_VALUE"""),45765)</f>
        <v>45765</v>
      </c>
      <c r="V88" s="600">
        <f ca="1">IFERROR(__xludf.DUMMYFUNCTION("""COMPUTED_VALUE"""),46276)</f>
        <v>46276</v>
      </c>
      <c r="W88" s="595" t="str">
        <f ca="1">IFERROR(__xludf.DUMMYFUNCTION("""COMPUTED_VALUE"""),"UH39670910PC")</f>
        <v>UH39670910PC</v>
      </c>
      <c r="X88" s="595"/>
      <c r="Y88" s="596">
        <f ca="1">IFERROR(__xludf.DUMMYFUNCTION("""COMPUTED_VALUE"""),45911)</f>
        <v>45911</v>
      </c>
      <c r="Z88" s="595" t="str">
        <f ca="1">IFERROR(__xludf.DUMMYFUNCTION("""COMPUTED_VALUE"""),"B-0377309-1081")</f>
        <v>B-0377309-1081</v>
      </c>
      <c r="AA88" s="595" t="str">
        <f ca="1">IFERROR(__xludf.DUMMYFUNCTION("""COMPUTED_VALUE"""),"2025.7月購入
5年間は廃棄しない
（補助金で購入の為）")</f>
        <v>2025.7月購入
5年間は廃棄しない
（補助金で購入の為）</v>
      </c>
      <c r="AB88" s="595"/>
      <c r="AC88" s="595"/>
      <c r="AD88" s="600"/>
      <c r="AE88" s="600"/>
      <c r="AF88" s="600"/>
      <c r="AG88" s="600"/>
      <c r="AH88" s="595"/>
      <c r="AI88" s="600"/>
      <c r="AJ88" s="595"/>
      <c r="AK88" s="595"/>
      <c r="AL88" s="595" t="str">
        <f ca="1">IFERROR(__xludf.DUMMYFUNCTION("""COMPUTED_VALUE"""),"〇")</f>
        <v>〇</v>
      </c>
      <c r="AM88" s="596">
        <f ca="1">IFERROR(__xludf.DUMMYFUNCTION("""COMPUTED_VALUE"""),45911)</f>
        <v>45911</v>
      </c>
      <c r="AN88" s="595" t="str">
        <f ca="1">IFERROR(__xludf.DUMMYFUNCTION("""COMPUTED_VALUE"""),"2025/10/1-2030/8/31")</f>
        <v>2025/10/1-2030/8/31</v>
      </c>
      <c r="AO88" s="595" t="str">
        <f ca="1">IFERROR(__xludf.DUMMYFUNCTION("""COMPUTED_VALUE"""),"伊予銀
大街道支店")</f>
        <v>伊予銀
大街道支店</v>
      </c>
      <c r="AP88" s="595" t="str">
        <f ca="1">IFERROR(__xludf.DUMMYFUNCTION("""COMPUTED_VALUE"""),"2025/9/11入寮・9/12入社
2025/3/11面接　合格
H&amp;C人材保証 旅費送出期間負担")</f>
        <v>2025/9/11入寮・9/12入社
2025/3/11面接　合格
H&amp;C人材保証 旅費送出期間負担</v>
      </c>
    </row>
    <row r="89" spans="1:42" ht="14.5">
      <c r="A89" s="595"/>
      <c r="B89" s="595">
        <f ca="1">IFERROR(__xludf.DUMMYFUNCTION("""COMPUTED_VALUE"""),220)</f>
        <v>220</v>
      </c>
      <c r="C89" s="595" t="str">
        <f ca="1">IFERROR(__xludf.DUMMYFUNCTION("""COMPUTED_VALUE"""),"津吉")</f>
        <v>津吉</v>
      </c>
      <c r="D89" s="595" t="str">
        <f ca="1">IFERROR(__xludf.DUMMYFUNCTION("""COMPUTED_VALUE"""),"インドネシア")</f>
        <v>インドネシア</v>
      </c>
      <c r="E89" s="595" t="str">
        <f ca="1">IFERROR(__xludf.DUMMYFUNCTION("""COMPUTED_VALUE"""),"07018608")</f>
        <v>07018608</v>
      </c>
      <c r="F89" s="595" t="str">
        <f ca="1">IFERROR(__xludf.DUMMYFUNCTION("""COMPUTED_VALUE"""),"/appsheet/photograph/220.写真.021154.jpg")</f>
        <v>/appsheet/photograph/220.写真.021154.jpg</v>
      </c>
      <c r="G89" s="595" t="str">
        <f ca="1">IFERROR(__xludf.DUMMYFUNCTION("""COMPUTED_VALUE"""),"アスリヤー")</f>
        <v>アスリヤー</v>
      </c>
      <c r="H89" s="595" t="str">
        <f ca="1">IFERROR(__xludf.DUMMYFUNCTION("""COMPUTED_VALUE"""),"ASRIYAH")</f>
        <v>ASRIYAH</v>
      </c>
      <c r="I89" s="595" t="str">
        <f ca="1">IFERROR(__xludf.DUMMYFUNCTION("""COMPUTED_VALUE"""),"リヤー")</f>
        <v>リヤー</v>
      </c>
      <c r="J89" s="595" t="str">
        <f ca="1">IFERROR(__xludf.DUMMYFUNCTION("""COMPUTED_VALUE"""),"女")</f>
        <v>女</v>
      </c>
      <c r="K89" s="600">
        <f ca="1">IFERROR(__xludf.DUMMYFUNCTION("""COMPUTED_VALUE"""),37779)</f>
        <v>37779</v>
      </c>
      <c r="L89" s="595">
        <f ca="1">IFERROR(__xludf.DUMMYFUNCTION("""COMPUTED_VALUE"""),22)</f>
        <v>22</v>
      </c>
      <c r="M89" s="595" t="str">
        <f ca="1">IFERROR(__xludf.DUMMYFUNCTION("""COMPUTED_VALUE"""),"無")</f>
        <v>無</v>
      </c>
      <c r="N89" s="595" t="str">
        <f ca="1">IFERROR(__xludf.DUMMYFUNCTION("""COMPUTED_VALUE"""),"H&amp;C")</f>
        <v>H&amp;C</v>
      </c>
      <c r="O89" s="900">
        <f ca="1">IFERROR(__xludf.DUMMYFUNCTION("""COMPUTED_VALUE"""),45912)</f>
        <v>45912</v>
      </c>
      <c r="P89" s="595" t="str">
        <f ca="1">IFERROR(__xludf.DUMMYFUNCTION("""COMPUTED_VALUE"""),"2030/08")</f>
        <v>2030/08</v>
      </c>
      <c r="Q89" s="595" t="str">
        <f ca="1">IFERROR(__xludf.DUMMYFUNCTION("""COMPUTED_VALUE"""),"特定技能１号")</f>
        <v>特定技能１号</v>
      </c>
      <c r="R89" s="595" t="str">
        <f ca="1">IFERROR(__xludf.DUMMYFUNCTION("""COMPUTED_VALUE"""),"東温市牛渕123-1")</f>
        <v>東温市牛渕123-1</v>
      </c>
      <c r="S89" s="595" t="str">
        <f ca="1">IFERROR(__xludf.DUMMYFUNCTION("""COMPUTED_VALUE"""),"相")</f>
        <v>相</v>
      </c>
      <c r="T89" s="901">
        <f ca="1">IFERROR(__xludf.DUMMYFUNCTION("""COMPUTED_VALUE"""),10000)</f>
        <v>10000</v>
      </c>
      <c r="U89" s="600">
        <f ca="1">IFERROR(__xludf.DUMMYFUNCTION("""COMPUTED_VALUE"""),45765)</f>
        <v>45765</v>
      </c>
      <c r="V89" s="600">
        <f ca="1">IFERROR(__xludf.DUMMYFUNCTION("""COMPUTED_VALUE"""),46276)</f>
        <v>46276</v>
      </c>
      <c r="W89" s="595" t="str">
        <f ca="1">IFERROR(__xludf.DUMMYFUNCTION("""COMPUTED_VALUE"""),"UH73371864PC")</f>
        <v>UH73371864PC</v>
      </c>
      <c r="X89" s="595"/>
      <c r="Y89" s="596">
        <f ca="1">IFERROR(__xludf.DUMMYFUNCTION("""COMPUTED_VALUE"""),45911)</f>
        <v>45911</v>
      </c>
      <c r="Z89" s="595" t="str">
        <f ca="1">IFERROR(__xludf.DUMMYFUNCTION("""COMPUTED_VALUE"""),"B-377316-1212")</f>
        <v>B-377316-1212</v>
      </c>
      <c r="AA89" s="595" t="str">
        <f ca="1">IFERROR(__xludf.DUMMYFUNCTION("""COMPUTED_VALUE"""),"2025.7月購入
5年間は廃棄しない
（補助金で購入の為）
2025．12．3回収")</f>
        <v>2025.7月購入
5年間は廃棄しない
（補助金で購入の為）
2025．12．3回収</v>
      </c>
      <c r="AB89" s="595"/>
      <c r="AC89" s="595"/>
      <c r="AD89" s="600"/>
      <c r="AE89" s="600"/>
      <c r="AF89" s="600"/>
      <c r="AG89" s="600"/>
      <c r="AH89" s="595"/>
      <c r="AI89" s="600"/>
      <c r="AJ89" s="595"/>
      <c r="AK89" s="595"/>
      <c r="AL89" s="595" t="str">
        <f ca="1">IFERROR(__xludf.DUMMYFUNCTION("""COMPUTED_VALUE"""),"〇")</f>
        <v>〇</v>
      </c>
      <c r="AM89" s="596">
        <f ca="1">IFERROR(__xludf.DUMMYFUNCTION("""COMPUTED_VALUE"""),45947)</f>
        <v>45947</v>
      </c>
      <c r="AN89" s="595" t="str">
        <f ca="1">IFERROR(__xludf.DUMMYFUNCTION("""COMPUTED_VALUE"""),"2025/10/1-2030/8/31")</f>
        <v>2025/10/1-2030/8/31</v>
      </c>
      <c r="AO89" s="595" t="str">
        <f ca="1">IFERROR(__xludf.DUMMYFUNCTION("""COMPUTED_VALUE"""),"伊予銀
大街道支店")</f>
        <v>伊予銀
大街道支店</v>
      </c>
      <c r="AP89" s="595" t="str">
        <f ca="1">IFERROR(__xludf.DUMMYFUNCTION("""COMPUTED_VALUE"""),"2025/9/11入寮・9/12入社
2025/3/11面接　合格
H&amp;C人材保証 旅費送出期間負担")</f>
        <v>2025/9/11入寮・9/12入社
2025/3/11面接　合格
H&amp;C人材保証 旅費送出期間負担</v>
      </c>
    </row>
    <row r="90" spans="1:42" ht="14.5">
      <c r="A90" s="595" t="str">
        <f ca="1">IFERROR(__xludf.DUMMYFUNCTION("""COMPUTED_VALUE"""),"R")</f>
        <v>R</v>
      </c>
      <c r="B90" s="595">
        <f ca="1">IFERROR(__xludf.DUMMYFUNCTION("""COMPUTED_VALUE"""),221)</f>
        <v>221</v>
      </c>
      <c r="C90" s="595" t="str">
        <f ca="1">IFERROR(__xludf.DUMMYFUNCTION("""COMPUTED_VALUE"""),"津吉")</f>
        <v>津吉</v>
      </c>
      <c r="D90" s="595" t="str">
        <f ca="1">IFERROR(__xludf.DUMMYFUNCTION("""COMPUTED_VALUE"""),"インドネシア")</f>
        <v>インドネシア</v>
      </c>
      <c r="E90" s="595" t="str">
        <f ca="1">IFERROR(__xludf.DUMMYFUNCTION("""COMPUTED_VALUE"""),"07018618")</f>
        <v>07018618</v>
      </c>
      <c r="F90" s="595" t="str">
        <f ca="1">IFERROR(__xludf.DUMMYFUNCTION("""COMPUTED_VALUE"""),"/appsheet/photograph/221.写真.041608.jpg")</f>
        <v>/appsheet/photograph/221.写真.041608.jpg</v>
      </c>
      <c r="G90" s="595" t="str">
        <f ca="1">IFERROR(__xludf.DUMMYFUNCTION("""COMPUTED_VALUE"""),"スラストリ")</f>
        <v>スラストリ</v>
      </c>
      <c r="H90" s="595" t="str">
        <f ca="1">IFERROR(__xludf.DUMMYFUNCTION("""COMPUTED_VALUE"""),"SULASTRI")</f>
        <v>SULASTRI</v>
      </c>
      <c r="I90" s="595" t="str">
        <f ca="1">IFERROR(__xludf.DUMMYFUNCTION("""COMPUTED_VALUE"""),"スラストリ")</f>
        <v>スラストリ</v>
      </c>
      <c r="J90" s="595" t="str">
        <f ca="1">IFERROR(__xludf.DUMMYFUNCTION("""COMPUTED_VALUE"""),"女")</f>
        <v>女</v>
      </c>
      <c r="K90" s="600">
        <f ca="1">IFERROR(__xludf.DUMMYFUNCTION("""COMPUTED_VALUE"""),37984)</f>
        <v>37984</v>
      </c>
      <c r="L90" s="595">
        <f ca="1">IFERROR(__xludf.DUMMYFUNCTION("""COMPUTED_VALUE"""),22)</f>
        <v>22</v>
      </c>
      <c r="M90" s="595" t="str">
        <f ca="1">IFERROR(__xludf.DUMMYFUNCTION("""COMPUTED_VALUE"""),"無")</f>
        <v>無</v>
      </c>
      <c r="N90" s="595" t="str">
        <f ca="1">IFERROR(__xludf.DUMMYFUNCTION("""COMPUTED_VALUE"""),"INA")</f>
        <v>INA</v>
      </c>
      <c r="O90" s="900">
        <f ca="1">IFERROR(__xludf.DUMMYFUNCTION("""COMPUTED_VALUE"""),45951)</f>
        <v>45951</v>
      </c>
      <c r="P90" s="595" t="str">
        <f ca="1">IFERROR(__xludf.DUMMYFUNCTION("""COMPUTED_VALUE"""),"2030/09")</f>
        <v>2030/09</v>
      </c>
      <c r="Q90" s="595" t="str">
        <f ca="1">IFERROR(__xludf.DUMMYFUNCTION("""COMPUTED_VALUE"""),"特定技能１号")</f>
        <v>特定技能１号</v>
      </c>
      <c r="R90" s="595" t="str">
        <f ca="1">IFERROR(__xludf.DUMMYFUNCTION("""COMPUTED_VALUE"""),"東温市牛渕170‐３")</f>
        <v>東温市牛渕170‐３</v>
      </c>
      <c r="S90" s="595" t="str">
        <f ca="1">IFERROR(__xludf.DUMMYFUNCTION("""COMPUTED_VALUE"""),"相")</f>
        <v>相</v>
      </c>
      <c r="T90" s="901">
        <f ca="1">IFERROR(__xludf.DUMMYFUNCTION("""COMPUTED_VALUE"""),10000)</f>
        <v>10000</v>
      </c>
      <c r="U90" s="600">
        <f ca="1">IFERROR(__xludf.DUMMYFUNCTION("""COMPUTED_VALUE"""),45755)</f>
        <v>45755</v>
      </c>
      <c r="V90" s="600">
        <f ca="1">IFERROR(__xludf.DUMMYFUNCTION("""COMPUTED_VALUE"""),46312)</f>
        <v>46312</v>
      </c>
      <c r="W90" s="595" t="str">
        <f ca="1">IFERROR(__xludf.DUMMYFUNCTION("""COMPUTED_VALUE"""),"UH60038680FA")</f>
        <v>UH60038680FA</v>
      </c>
      <c r="X90" s="595"/>
      <c r="Y90" s="596">
        <f ca="1">IFERROR(__xludf.DUMMYFUNCTION("""COMPUTED_VALUE"""),45947)</f>
        <v>45947</v>
      </c>
      <c r="Z90" s="595" t="str">
        <f ca="1">IFERROR(__xludf.DUMMYFUNCTION("""COMPUTED_VALUE"""),"B-0377292-1733")</f>
        <v>B-0377292-1733</v>
      </c>
      <c r="AA90" s="595" t="str">
        <f ca="1">IFERROR(__xludf.DUMMYFUNCTION("""COMPUTED_VALUE"""),"2025.7月購入
5年間は廃棄しない
（補助金で購入の為）")</f>
        <v>2025.7月購入
5年間は廃棄しない
（補助金で購入の為）</v>
      </c>
      <c r="AB90" s="595"/>
      <c r="AC90" s="595"/>
      <c r="AD90" s="600"/>
      <c r="AE90" s="600"/>
      <c r="AF90" s="600"/>
      <c r="AG90" s="600"/>
      <c r="AH90" s="595"/>
      <c r="AI90" s="600"/>
      <c r="AJ90" s="595"/>
      <c r="AK90" s="595"/>
      <c r="AL90" s="595" t="str">
        <f ca="1">IFERROR(__xludf.DUMMYFUNCTION("""COMPUTED_VALUE"""),"〇")</f>
        <v>〇</v>
      </c>
      <c r="AM90" s="596">
        <f ca="1">IFERROR(__xludf.DUMMYFUNCTION("""COMPUTED_VALUE"""),45947)</f>
        <v>45947</v>
      </c>
      <c r="AN90" s="595" t="str">
        <f ca="1">IFERROR(__xludf.DUMMYFUNCTION("""COMPUTED_VALUE"""),"2025/11/1～2030/10/31")</f>
        <v>2025/11/1～2030/10/31</v>
      </c>
      <c r="AO90" s="595" t="str">
        <f ca="1">IFERROR(__xludf.DUMMYFUNCTION("""COMPUTED_VALUE"""),"ひめぎん
末広町支店")</f>
        <v>ひめぎん
末広町支店</v>
      </c>
      <c r="AP90" s="595" t="str">
        <f ca="1">IFERROR(__xludf.DUMMYFUNCTION("""COMPUTED_VALUE"""),"12/12面接　合格
2025/10/17入寮・10/21入社")</f>
        <v>12/12面接　合格
2025/10/17入寮・10/21入社</v>
      </c>
    </row>
    <row r="91" spans="1:42" ht="14.5">
      <c r="A91" s="595" t="str">
        <f ca="1">IFERROR(__xludf.DUMMYFUNCTION("""COMPUTED_VALUE"""),"R")</f>
        <v>R</v>
      </c>
      <c r="B91" s="595">
        <f ca="1">IFERROR(__xludf.DUMMYFUNCTION("""COMPUTED_VALUE"""),222)</f>
        <v>222</v>
      </c>
      <c r="C91" s="595" t="str">
        <f ca="1">IFERROR(__xludf.DUMMYFUNCTION("""COMPUTED_VALUE"""),"津吉")</f>
        <v>津吉</v>
      </c>
      <c r="D91" s="595" t="str">
        <f ca="1">IFERROR(__xludf.DUMMYFUNCTION("""COMPUTED_VALUE"""),"インドネシア")</f>
        <v>インドネシア</v>
      </c>
      <c r="E91" s="595" t="str">
        <f ca="1">IFERROR(__xludf.DUMMYFUNCTION("""COMPUTED_VALUE"""),"07018619")</f>
        <v>07018619</v>
      </c>
      <c r="F91" s="595" t="str">
        <f ca="1">IFERROR(__xludf.DUMMYFUNCTION("""COMPUTED_VALUE"""),"/appsheet/photograph/222.写真.041649.jpg")</f>
        <v>/appsheet/photograph/222.写真.041649.jpg</v>
      </c>
      <c r="G91" s="595" t="str">
        <f ca="1">IFERROR(__xludf.DUMMYFUNCTION("""COMPUTED_VALUE"""),"レニ ドゥウィ スーリヤニ")</f>
        <v>レニ ドゥウィ スーリヤニ</v>
      </c>
      <c r="H91" s="595" t="str">
        <f ca="1">IFERROR(__xludf.DUMMYFUNCTION("""COMPUTED_VALUE"""),"RENI DWI SURYANI")</f>
        <v>RENI DWI SURYANI</v>
      </c>
      <c r="I91" s="595" t="str">
        <f ca="1">IFERROR(__xludf.DUMMYFUNCTION("""COMPUTED_VALUE"""),"レニ")</f>
        <v>レニ</v>
      </c>
      <c r="J91" s="595" t="str">
        <f ca="1">IFERROR(__xludf.DUMMYFUNCTION("""COMPUTED_VALUE"""),"女")</f>
        <v>女</v>
      </c>
      <c r="K91" s="600">
        <f ca="1">IFERROR(__xludf.DUMMYFUNCTION("""COMPUTED_VALUE"""),35157)</f>
        <v>35157</v>
      </c>
      <c r="L91" s="595">
        <f ca="1">IFERROR(__xludf.DUMMYFUNCTION("""COMPUTED_VALUE"""),30)</f>
        <v>30</v>
      </c>
      <c r="M91" s="595" t="str">
        <f ca="1">IFERROR(__xludf.DUMMYFUNCTION("""COMPUTED_VALUE"""),"無")</f>
        <v>無</v>
      </c>
      <c r="N91" s="595" t="str">
        <f ca="1">IFERROR(__xludf.DUMMYFUNCTION("""COMPUTED_VALUE"""),"INA")</f>
        <v>INA</v>
      </c>
      <c r="O91" s="900">
        <f ca="1">IFERROR(__xludf.DUMMYFUNCTION("""COMPUTED_VALUE"""),45951)</f>
        <v>45951</v>
      </c>
      <c r="P91" s="595" t="str">
        <f ca="1">IFERROR(__xludf.DUMMYFUNCTION("""COMPUTED_VALUE"""),"2030/09")</f>
        <v>2030/09</v>
      </c>
      <c r="Q91" s="595" t="str">
        <f ca="1">IFERROR(__xludf.DUMMYFUNCTION("""COMPUTED_VALUE"""),"特定技能１号")</f>
        <v>特定技能１号</v>
      </c>
      <c r="R91" s="595" t="str">
        <f ca="1">IFERROR(__xludf.DUMMYFUNCTION("""COMPUTED_VALUE"""),"東温市牛渕170‐３")</f>
        <v>東温市牛渕170‐３</v>
      </c>
      <c r="S91" s="595" t="str">
        <f ca="1">IFERROR(__xludf.DUMMYFUNCTION("""COMPUTED_VALUE"""),"相")</f>
        <v>相</v>
      </c>
      <c r="T91" s="901">
        <f ca="1">IFERROR(__xludf.DUMMYFUNCTION("""COMPUTED_VALUE"""),10000)</f>
        <v>10000</v>
      </c>
      <c r="U91" s="600">
        <f ca="1">IFERROR(__xludf.DUMMYFUNCTION("""COMPUTED_VALUE"""),45755)</f>
        <v>45755</v>
      </c>
      <c r="V91" s="600">
        <f ca="1">IFERROR(__xludf.DUMMYFUNCTION("""COMPUTED_VALUE"""),46312)</f>
        <v>46312</v>
      </c>
      <c r="W91" s="595" t="str">
        <f ca="1">IFERROR(__xludf.DUMMYFUNCTION("""COMPUTED_VALUE"""),"UH59564443FA")</f>
        <v>UH59564443FA</v>
      </c>
      <c r="X91" s="595"/>
      <c r="Y91" s="596">
        <f ca="1">IFERROR(__xludf.DUMMYFUNCTION("""COMPUTED_VALUE"""),45947)</f>
        <v>45947</v>
      </c>
      <c r="Z91" s="595" t="str">
        <f ca="1">IFERROR(__xludf.DUMMYFUNCTION("""COMPUTED_VALUE"""),"B-0377293-1637")</f>
        <v>B-0377293-1637</v>
      </c>
      <c r="AA91" s="595" t="str">
        <f ca="1">IFERROR(__xludf.DUMMYFUNCTION("""COMPUTED_VALUE"""),"2025.7月購入
5年間は廃棄しない
（補助金で購入の為）")</f>
        <v>2025.7月購入
5年間は廃棄しない
（補助金で購入の為）</v>
      </c>
      <c r="AB91" s="595"/>
      <c r="AC91" s="595"/>
      <c r="AD91" s="600"/>
      <c r="AE91" s="600"/>
      <c r="AF91" s="600"/>
      <c r="AG91" s="600"/>
      <c r="AH91" s="595"/>
      <c r="AI91" s="600"/>
      <c r="AJ91" s="595"/>
      <c r="AK91" s="595"/>
      <c r="AL91" s="595" t="str">
        <f ca="1">IFERROR(__xludf.DUMMYFUNCTION("""COMPUTED_VALUE"""),"〇")</f>
        <v>〇</v>
      </c>
      <c r="AM91" s="596">
        <f ca="1">IFERROR(__xludf.DUMMYFUNCTION("""COMPUTED_VALUE"""),45947)</f>
        <v>45947</v>
      </c>
      <c r="AN91" s="595" t="str">
        <f ca="1">IFERROR(__xludf.DUMMYFUNCTION("""COMPUTED_VALUE"""),"2025/11/1～2030/10/31")</f>
        <v>2025/11/1～2030/10/31</v>
      </c>
      <c r="AO91" s="595" t="str">
        <f ca="1">IFERROR(__xludf.DUMMYFUNCTION("""COMPUTED_VALUE"""),"ひめぎん
末広町支店")</f>
        <v>ひめぎん
末広町支店</v>
      </c>
      <c r="AP91" s="595" t="str">
        <f ca="1">IFERROR(__xludf.DUMMYFUNCTION("""COMPUTED_VALUE"""),"2/5面接　合格
2025/10/17入寮・10/21入社")</f>
        <v>2/5面接　合格
2025/10/17入寮・10/21入社</v>
      </c>
    </row>
    <row r="92" spans="1:42" ht="14.5">
      <c r="A92" s="595" t="str">
        <f ca="1">IFERROR(__xludf.DUMMYFUNCTION("""COMPUTED_VALUE"""),"R")</f>
        <v>R</v>
      </c>
      <c r="B92" s="595">
        <f ca="1">IFERROR(__xludf.DUMMYFUNCTION("""COMPUTED_VALUE"""),223)</f>
        <v>223</v>
      </c>
      <c r="C92" s="595" t="str">
        <f ca="1">IFERROR(__xludf.DUMMYFUNCTION("""COMPUTED_VALUE"""),"津吉")</f>
        <v>津吉</v>
      </c>
      <c r="D92" s="595" t="str">
        <f ca="1">IFERROR(__xludf.DUMMYFUNCTION("""COMPUTED_VALUE"""),"インドネシア")</f>
        <v>インドネシア</v>
      </c>
      <c r="E92" s="595" t="str">
        <f ca="1">IFERROR(__xludf.DUMMYFUNCTION("""COMPUTED_VALUE"""),"07018620")</f>
        <v>07018620</v>
      </c>
      <c r="F92" s="595" t="str">
        <f ca="1">IFERROR(__xludf.DUMMYFUNCTION("""COMPUTED_VALUE"""),"/appsheet/photograph/223.写真.041740.jpg")</f>
        <v>/appsheet/photograph/223.写真.041740.jpg</v>
      </c>
      <c r="G92" s="595" t="str">
        <f ca="1">IFERROR(__xludf.DUMMYFUNCTION("""COMPUTED_VALUE"""),"デア ワルギアンティ")</f>
        <v>デア ワルギアンティ</v>
      </c>
      <c r="H92" s="595" t="str">
        <f ca="1">IFERROR(__xludf.DUMMYFUNCTION("""COMPUTED_VALUE"""),"DEA WARGIANTI")</f>
        <v>DEA WARGIANTI</v>
      </c>
      <c r="I92" s="595" t="str">
        <f ca="1">IFERROR(__xludf.DUMMYFUNCTION("""COMPUTED_VALUE"""),"デア")</f>
        <v>デア</v>
      </c>
      <c r="J92" s="595" t="str">
        <f ca="1">IFERROR(__xludf.DUMMYFUNCTION("""COMPUTED_VALUE"""),"女")</f>
        <v>女</v>
      </c>
      <c r="K92" s="600">
        <f ca="1">IFERROR(__xludf.DUMMYFUNCTION("""COMPUTED_VALUE"""),38429)</f>
        <v>38429</v>
      </c>
      <c r="L92" s="595">
        <f ca="1">IFERROR(__xludf.DUMMYFUNCTION("""COMPUTED_VALUE"""),21)</f>
        <v>21</v>
      </c>
      <c r="M92" s="595" t="str">
        <f ca="1">IFERROR(__xludf.DUMMYFUNCTION("""COMPUTED_VALUE"""),"無")</f>
        <v>無</v>
      </c>
      <c r="N92" s="595" t="str">
        <f ca="1">IFERROR(__xludf.DUMMYFUNCTION("""COMPUTED_VALUE"""),"INA")</f>
        <v>INA</v>
      </c>
      <c r="O92" s="900">
        <f ca="1">IFERROR(__xludf.DUMMYFUNCTION("""COMPUTED_VALUE"""),45951)</f>
        <v>45951</v>
      </c>
      <c r="P92" s="595" t="str">
        <f ca="1">IFERROR(__xludf.DUMMYFUNCTION("""COMPUTED_VALUE"""),"2030/09")</f>
        <v>2030/09</v>
      </c>
      <c r="Q92" s="595" t="str">
        <f ca="1">IFERROR(__xludf.DUMMYFUNCTION("""COMPUTED_VALUE"""),"特定技能１号")</f>
        <v>特定技能１号</v>
      </c>
      <c r="R92" s="595" t="str">
        <f ca="1">IFERROR(__xludf.DUMMYFUNCTION("""COMPUTED_VALUE"""),"東温市牛渕170‐３")</f>
        <v>東温市牛渕170‐３</v>
      </c>
      <c r="S92" s="595" t="str">
        <f ca="1">IFERROR(__xludf.DUMMYFUNCTION("""COMPUTED_VALUE"""),"相")</f>
        <v>相</v>
      </c>
      <c r="T92" s="901">
        <f ca="1">IFERROR(__xludf.DUMMYFUNCTION("""COMPUTED_VALUE"""),10000)</f>
        <v>10000</v>
      </c>
      <c r="U92" s="600">
        <f ca="1">IFERROR(__xludf.DUMMYFUNCTION("""COMPUTED_VALUE"""),45755)</f>
        <v>45755</v>
      </c>
      <c r="V92" s="600">
        <f ca="1">IFERROR(__xludf.DUMMYFUNCTION("""COMPUTED_VALUE"""),46312)</f>
        <v>46312</v>
      </c>
      <c r="W92" s="595" t="str">
        <f ca="1">IFERROR(__xludf.DUMMYFUNCTION("""COMPUTED_VALUE"""),"UH05980607FA")</f>
        <v>UH05980607FA</v>
      </c>
      <c r="X92" s="595"/>
      <c r="Y92" s="596">
        <f ca="1">IFERROR(__xludf.DUMMYFUNCTION("""COMPUTED_VALUE"""),45947)</f>
        <v>45947</v>
      </c>
      <c r="Z92" s="595" t="str">
        <f ca="1">IFERROR(__xludf.DUMMYFUNCTION("""COMPUTED_VALUE"""),"B-0377300-1743")</f>
        <v>B-0377300-1743</v>
      </c>
      <c r="AA92" s="595" t="str">
        <f ca="1">IFERROR(__xludf.DUMMYFUNCTION("""COMPUTED_VALUE"""),"2025.7月購入
5年間は廃棄しない
（補助金で購入の為）")</f>
        <v>2025.7月購入
5年間は廃棄しない
（補助金で購入の為）</v>
      </c>
      <c r="AB92" s="595"/>
      <c r="AC92" s="595"/>
      <c r="AD92" s="600"/>
      <c r="AE92" s="600"/>
      <c r="AF92" s="600"/>
      <c r="AG92" s="600"/>
      <c r="AH92" s="595"/>
      <c r="AI92" s="600"/>
      <c r="AJ92" s="595"/>
      <c r="AK92" s="595"/>
      <c r="AL92" s="595" t="str">
        <f ca="1">IFERROR(__xludf.DUMMYFUNCTION("""COMPUTED_VALUE"""),"〇")</f>
        <v>〇</v>
      </c>
      <c r="AM92" s="596">
        <f ca="1">IFERROR(__xludf.DUMMYFUNCTION("""COMPUTED_VALUE"""),45947)</f>
        <v>45947</v>
      </c>
      <c r="AN92" s="595" t="str">
        <f ca="1">IFERROR(__xludf.DUMMYFUNCTION("""COMPUTED_VALUE"""),"2025/11/1～2030/10/31")</f>
        <v>2025/11/1～2030/10/31</v>
      </c>
      <c r="AO92" s="595" t="str">
        <f ca="1">IFERROR(__xludf.DUMMYFUNCTION("""COMPUTED_VALUE"""),"ひめぎん
末広町支店")</f>
        <v>ひめぎん
末広町支店</v>
      </c>
      <c r="AP92" s="595" t="str">
        <f ca="1">IFERROR(__xludf.DUMMYFUNCTION("""COMPUTED_VALUE"""),"2/5面接　合格
2025/10/17入寮・10/21入社")</f>
        <v>2/5面接　合格
2025/10/17入寮・10/21入社</v>
      </c>
    </row>
    <row r="93" spans="1:42" ht="14.5">
      <c r="A93" s="595" t="str">
        <f ca="1">IFERROR(__xludf.DUMMYFUNCTION("""COMPUTED_VALUE"""),"R")</f>
        <v>R</v>
      </c>
      <c r="B93" s="595">
        <f ca="1">IFERROR(__xludf.DUMMYFUNCTION("""COMPUTED_VALUE"""),224)</f>
        <v>224</v>
      </c>
      <c r="C93" s="595" t="str">
        <f ca="1">IFERROR(__xludf.DUMMYFUNCTION("""COMPUTED_VALUE"""),"津吉")</f>
        <v>津吉</v>
      </c>
      <c r="D93" s="595" t="str">
        <f ca="1">IFERROR(__xludf.DUMMYFUNCTION("""COMPUTED_VALUE"""),"インドネシア")</f>
        <v>インドネシア</v>
      </c>
      <c r="E93" s="595" t="str">
        <f ca="1">IFERROR(__xludf.DUMMYFUNCTION("""COMPUTED_VALUE"""),"07018621")</f>
        <v>07018621</v>
      </c>
      <c r="F93" s="595" t="str">
        <f ca="1">IFERROR(__xludf.DUMMYFUNCTION("""COMPUTED_VALUE"""),"/appsheet/photograph/224.写真.041824.jpg")</f>
        <v>/appsheet/photograph/224.写真.041824.jpg</v>
      </c>
      <c r="G93" s="595" t="str">
        <f ca="1">IFERROR(__xludf.DUMMYFUNCTION("""COMPUTED_VALUE"""),"オクティヤニンシー")</f>
        <v>オクティヤニンシー</v>
      </c>
      <c r="H93" s="595" t="str">
        <f ca="1">IFERROR(__xludf.DUMMYFUNCTION("""COMPUTED_VALUE"""),"OKTIYANINGSIH")</f>
        <v>OKTIYANINGSIH</v>
      </c>
      <c r="I93" s="595" t="str">
        <f ca="1">IFERROR(__xludf.DUMMYFUNCTION("""COMPUTED_VALUE"""),"オクティ")</f>
        <v>オクティ</v>
      </c>
      <c r="J93" s="595" t="str">
        <f ca="1">IFERROR(__xludf.DUMMYFUNCTION("""COMPUTED_VALUE"""),"女")</f>
        <v>女</v>
      </c>
      <c r="K93" s="600">
        <f ca="1">IFERROR(__xludf.DUMMYFUNCTION("""COMPUTED_VALUE"""),36457)</f>
        <v>36457</v>
      </c>
      <c r="L93" s="595">
        <f ca="1">IFERROR(__xludf.DUMMYFUNCTION("""COMPUTED_VALUE"""),26)</f>
        <v>26</v>
      </c>
      <c r="M93" s="595" t="str">
        <f ca="1">IFERROR(__xludf.DUMMYFUNCTION("""COMPUTED_VALUE"""),"有")</f>
        <v>有</v>
      </c>
      <c r="N93" s="595" t="str">
        <f ca="1">IFERROR(__xludf.DUMMYFUNCTION("""COMPUTED_VALUE"""),"INA")</f>
        <v>INA</v>
      </c>
      <c r="O93" s="900">
        <f ca="1">IFERROR(__xludf.DUMMYFUNCTION("""COMPUTED_VALUE"""),45951)</f>
        <v>45951</v>
      </c>
      <c r="P93" s="595" t="str">
        <f ca="1">IFERROR(__xludf.DUMMYFUNCTION("""COMPUTED_VALUE"""),"2030/09")</f>
        <v>2030/09</v>
      </c>
      <c r="Q93" s="595" t="str">
        <f ca="1">IFERROR(__xludf.DUMMYFUNCTION("""COMPUTED_VALUE"""),"特定技能１号")</f>
        <v>特定技能１号</v>
      </c>
      <c r="R93" s="595" t="str">
        <f ca="1">IFERROR(__xludf.DUMMYFUNCTION("""COMPUTED_VALUE"""),"東温市牛渕170‐３")</f>
        <v>東温市牛渕170‐３</v>
      </c>
      <c r="S93" s="595" t="str">
        <f ca="1">IFERROR(__xludf.DUMMYFUNCTION("""COMPUTED_VALUE"""),"母1F-1-相2")</f>
        <v>母1F-1-相2</v>
      </c>
      <c r="T93" s="901">
        <f ca="1">IFERROR(__xludf.DUMMYFUNCTION("""COMPUTED_VALUE"""),10000)</f>
        <v>10000</v>
      </c>
      <c r="U93" s="600">
        <f ca="1">IFERROR(__xludf.DUMMYFUNCTION("""COMPUTED_VALUE"""),45755)</f>
        <v>45755</v>
      </c>
      <c r="V93" s="600">
        <f ca="1">IFERROR(__xludf.DUMMYFUNCTION("""COMPUTED_VALUE"""),46312)</f>
        <v>46312</v>
      </c>
      <c r="W93" s="595" t="str">
        <f ca="1">IFERROR(__xludf.DUMMYFUNCTION("""COMPUTED_VALUE"""),"UH52493178FA")</f>
        <v>UH52493178FA</v>
      </c>
      <c r="X93" s="595"/>
      <c r="Y93" s="596">
        <f ca="1">IFERROR(__xludf.DUMMYFUNCTION("""COMPUTED_VALUE"""),45947)</f>
        <v>45947</v>
      </c>
      <c r="Z93" s="595" t="str">
        <f ca="1">IFERROR(__xludf.DUMMYFUNCTION("""COMPUTED_VALUE"""),"B-0377303-1618")</f>
        <v>B-0377303-1618</v>
      </c>
      <c r="AA93" s="595" t="str">
        <f ca="1">IFERROR(__xludf.DUMMYFUNCTION("""COMPUTED_VALUE"""),"2025.7月購入
5年間は廃棄しない
（補助金で購入の為）")</f>
        <v>2025.7月購入
5年間は廃棄しない
（補助金で購入の為）</v>
      </c>
      <c r="AB93" s="595"/>
      <c r="AC93" s="595"/>
      <c r="AD93" s="600"/>
      <c r="AE93" s="600"/>
      <c r="AF93" s="600"/>
      <c r="AG93" s="600"/>
      <c r="AH93" s="595"/>
      <c r="AI93" s="600"/>
      <c r="AJ93" s="595"/>
      <c r="AK93" s="595"/>
      <c r="AL93" s="595" t="str">
        <f ca="1">IFERROR(__xludf.DUMMYFUNCTION("""COMPUTED_VALUE"""),"〇")</f>
        <v>〇</v>
      </c>
      <c r="AM93" s="596">
        <f ca="1">IFERROR(__xludf.DUMMYFUNCTION("""COMPUTED_VALUE"""),45947)</f>
        <v>45947</v>
      </c>
      <c r="AN93" s="595" t="str">
        <f ca="1">IFERROR(__xludf.DUMMYFUNCTION("""COMPUTED_VALUE"""),"2025/11/1～2030/10/31")</f>
        <v>2025/11/1～2030/10/31</v>
      </c>
      <c r="AO93" s="595" t="str">
        <f ca="1">IFERROR(__xludf.DUMMYFUNCTION("""COMPUTED_VALUE"""),"ひめぎん
末広町支店")</f>
        <v>ひめぎん
末広町支店</v>
      </c>
      <c r="AP93" s="595" t="str">
        <f ca="1">IFERROR(__xludf.DUMMYFUNCTION("""COMPUTED_VALUE"""),"2/5面接　合格
2025/10/17入寮・10/21入社
")</f>
        <v xml:space="preserve">2/5面接　合格
2025/10/17入寮・10/21入社
</v>
      </c>
    </row>
    <row r="94" spans="1:42" ht="14.5">
      <c r="A94" s="595" t="str">
        <f ca="1">IFERROR(__xludf.DUMMYFUNCTION("""COMPUTED_VALUE"""),"R")</f>
        <v>R</v>
      </c>
      <c r="B94" s="595">
        <f ca="1">IFERROR(__xludf.DUMMYFUNCTION("""COMPUTED_VALUE"""),225)</f>
        <v>225</v>
      </c>
      <c r="C94" s="595" t="str">
        <f ca="1">IFERROR(__xludf.DUMMYFUNCTION("""COMPUTED_VALUE"""),"津吉")</f>
        <v>津吉</v>
      </c>
      <c r="D94" s="595" t="str">
        <f ca="1">IFERROR(__xludf.DUMMYFUNCTION("""COMPUTED_VALUE"""),"インドネシア")</f>
        <v>インドネシア</v>
      </c>
      <c r="E94" s="595" t="str">
        <f ca="1">IFERROR(__xludf.DUMMYFUNCTION("""COMPUTED_VALUE"""),"07018622")</f>
        <v>07018622</v>
      </c>
      <c r="F94" s="595" t="str">
        <f ca="1">IFERROR(__xludf.DUMMYFUNCTION("""COMPUTED_VALUE"""),"/appsheet/photograph/225.写真.041907.jpg")</f>
        <v>/appsheet/photograph/225.写真.041907.jpg</v>
      </c>
      <c r="G94" s="595" t="str">
        <f ca="1">IFERROR(__xludf.DUMMYFUNCTION("""COMPUTED_VALUE"""),"アイシャー ドウィ アプリアンティ")</f>
        <v>アイシャー ドウィ アプリアンティ</v>
      </c>
      <c r="H94" s="595" t="str">
        <f ca="1">IFERROR(__xludf.DUMMYFUNCTION("""COMPUTED_VALUE"""),"AISYAH DWI APRIANTI")</f>
        <v>AISYAH DWI APRIANTI</v>
      </c>
      <c r="I94" s="595" t="str">
        <f ca="1">IFERROR(__xludf.DUMMYFUNCTION("""COMPUTED_VALUE"""),"アイシャー")</f>
        <v>アイシャー</v>
      </c>
      <c r="J94" s="595" t="str">
        <f ca="1">IFERROR(__xludf.DUMMYFUNCTION("""COMPUTED_VALUE"""),"女")</f>
        <v>女</v>
      </c>
      <c r="K94" s="600">
        <f ca="1">IFERROR(__xludf.DUMMYFUNCTION("""COMPUTED_VALUE"""),38470)</f>
        <v>38470</v>
      </c>
      <c r="L94" s="595">
        <f ca="1">IFERROR(__xludf.DUMMYFUNCTION("""COMPUTED_VALUE"""),20)</f>
        <v>20</v>
      </c>
      <c r="M94" s="595" t="str">
        <f ca="1">IFERROR(__xludf.DUMMYFUNCTION("""COMPUTED_VALUE"""),"無")</f>
        <v>無</v>
      </c>
      <c r="N94" s="595" t="str">
        <f ca="1">IFERROR(__xludf.DUMMYFUNCTION("""COMPUTED_VALUE"""),"INA")</f>
        <v>INA</v>
      </c>
      <c r="O94" s="900">
        <f ca="1">IFERROR(__xludf.DUMMYFUNCTION("""COMPUTED_VALUE"""),45951)</f>
        <v>45951</v>
      </c>
      <c r="P94" s="595" t="str">
        <f ca="1">IFERROR(__xludf.DUMMYFUNCTION("""COMPUTED_VALUE"""),"2030/09")</f>
        <v>2030/09</v>
      </c>
      <c r="Q94" s="595" t="str">
        <f ca="1">IFERROR(__xludf.DUMMYFUNCTION("""COMPUTED_VALUE"""),"特定技能１号")</f>
        <v>特定技能１号</v>
      </c>
      <c r="R94" s="595" t="str">
        <f ca="1">IFERROR(__xludf.DUMMYFUNCTION("""COMPUTED_VALUE"""),"東温市牛渕170‐３")</f>
        <v>東温市牛渕170‐３</v>
      </c>
      <c r="S94" s="595" t="str">
        <f ca="1">IFERROR(__xludf.DUMMYFUNCTION("""COMPUTED_VALUE"""),"相")</f>
        <v>相</v>
      </c>
      <c r="T94" s="901">
        <f ca="1">IFERROR(__xludf.DUMMYFUNCTION("""COMPUTED_VALUE"""),10000)</f>
        <v>10000</v>
      </c>
      <c r="U94" s="600">
        <f ca="1">IFERROR(__xludf.DUMMYFUNCTION("""COMPUTED_VALUE"""),45755)</f>
        <v>45755</v>
      </c>
      <c r="V94" s="600">
        <f ca="1">IFERROR(__xludf.DUMMYFUNCTION("""COMPUTED_VALUE"""),46312)</f>
        <v>46312</v>
      </c>
      <c r="W94" s="595" t="str">
        <f ca="1">IFERROR(__xludf.DUMMYFUNCTION("""COMPUTED_VALUE"""),"UH37168996FA")</f>
        <v>UH37168996FA</v>
      </c>
      <c r="X94" s="595"/>
      <c r="Y94" s="596">
        <f ca="1">IFERROR(__xludf.DUMMYFUNCTION("""COMPUTED_VALUE"""),45947)</f>
        <v>45947</v>
      </c>
      <c r="Z94" s="595" t="str">
        <f ca="1">IFERROR(__xludf.DUMMYFUNCTION("""COMPUTED_VALUE"""),"B-０377306-1175")</f>
        <v>B-０377306-1175</v>
      </c>
      <c r="AA94" s="595" t="str">
        <f ca="1">IFERROR(__xludf.DUMMYFUNCTION("""COMPUTED_VALUE"""),"2025.7月購入
5年間は廃棄しない
（補助金で購入の為）")</f>
        <v>2025.7月購入
5年間は廃棄しない
（補助金で購入の為）</v>
      </c>
      <c r="AB94" s="595"/>
      <c r="AC94" s="595"/>
      <c r="AD94" s="600"/>
      <c r="AE94" s="600"/>
      <c r="AF94" s="600"/>
      <c r="AG94" s="600"/>
      <c r="AH94" s="595"/>
      <c r="AI94" s="600"/>
      <c r="AJ94" s="595"/>
      <c r="AK94" s="595"/>
      <c r="AL94" s="595" t="str">
        <f ca="1">IFERROR(__xludf.DUMMYFUNCTION("""COMPUTED_VALUE"""),"〇")</f>
        <v>〇</v>
      </c>
      <c r="AM94" s="596">
        <f ca="1">IFERROR(__xludf.DUMMYFUNCTION("""COMPUTED_VALUE"""),45947)</f>
        <v>45947</v>
      </c>
      <c r="AN94" s="595" t="str">
        <f ca="1">IFERROR(__xludf.DUMMYFUNCTION("""COMPUTED_VALUE"""),"2025/11/1～2030/10/31")</f>
        <v>2025/11/1～2030/10/31</v>
      </c>
      <c r="AO94" s="595" t="str">
        <f ca="1">IFERROR(__xludf.DUMMYFUNCTION("""COMPUTED_VALUE"""),"ひめぎん
末広町支店")</f>
        <v>ひめぎん
末広町支店</v>
      </c>
      <c r="AP94" s="595" t="str">
        <f ca="1">IFERROR(__xludf.DUMMYFUNCTION("""COMPUTED_VALUE"""),"2/5面接　合格
2025/10/17入寮・10/21入社")</f>
        <v>2/5面接　合格
2025/10/17入寮・10/21入社</v>
      </c>
    </row>
    <row r="95" spans="1:42" ht="14.5">
      <c r="A95" s="595" t="str">
        <f ca="1">IFERROR(__xludf.DUMMYFUNCTION("""COMPUTED_VALUE"""),"R")</f>
        <v>R</v>
      </c>
      <c r="B95" s="595">
        <f ca="1">IFERROR(__xludf.DUMMYFUNCTION("""COMPUTED_VALUE"""),226)</f>
        <v>226</v>
      </c>
      <c r="C95" s="595" t="str">
        <f ca="1">IFERROR(__xludf.DUMMYFUNCTION("""COMPUTED_VALUE"""),"津吉")</f>
        <v>津吉</v>
      </c>
      <c r="D95" s="595" t="str">
        <f ca="1">IFERROR(__xludf.DUMMYFUNCTION("""COMPUTED_VALUE"""),"インドネシア")</f>
        <v>インドネシア</v>
      </c>
      <c r="E95" s="595" t="str">
        <f ca="1">IFERROR(__xludf.DUMMYFUNCTION("""COMPUTED_VALUE"""),"07018623")</f>
        <v>07018623</v>
      </c>
      <c r="F95" s="595" t="str">
        <f ca="1">IFERROR(__xludf.DUMMYFUNCTION("""COMPUTED_VALUE"""),"/appsheet/photograph/226.写真.042342.jpg")</f>
        <v>/appsheet/photograph/226.写真.042342.jpg</v>
      </c>
      <c r="G95" s="595" t="str">
        <f ca="1">IFERROR(__xludf.DUMMYFUNCTION("""COMPUTED_VALUE"""),"カハリマテゥン シャクディア")</f>
        <v>カハリマテゥン シャクディア</v>
      </c>
      <c r="H95" s="595" t="str">
        <f ca="1">IFERROR(__xludf.DUMMYFUNCTION("""COMPUTED_VALUE"""),"KHALIMATUN SYAQDIAH")</f>
        <v>KHALIMATUN SYAQDIAH</v>
      </c>
      <c r="I95" s="595" t="str">
        <f ca="1">IFERROR(__xludf.DUMMYFUNCTION("""COMPUTED_VALUE"""),"ディア")</f>
        <v>ディア</v>
      </c>
      <c r="J95" s="595" t="str">
        <f ca="1">IFERROR(__xludf.DUMMYFUNCTION("""COMPUTED_VALUE"""),"女")</f>
        <v>女</v>
      </c>
      <c r="K95" s="600">
        <f ca="1">IFERROR(__xludf.DUMMYFUNCTION("""COMPUTED_VALUE"""),36696)</f>
        <v>36696</v>
      </c>
      <c r="L95" s="595">
        <f ca="1">IFERROR(__xludf.DUMMYFUNCTION("""COMPUTED_VALUE"""),25)</f>
        <v>25</v>
      </c>
      <c r="M95" s="595" t="str">
        <f ca="1">IFERROR(__xludf.DUMMYFUNCTION("""COMPUTED_VALUE"""),"無")</f>
        <v>無</v>
      </c>
      <c r="N95" s="595" t="str">
        <f ca="1">IFERROR(__xludf.DUMMYFUNCTION("""COMPUTED_VALUE"""),"INA")</f>
        <v>INA</v>
      </c>
      <c r="O95" s="900">
        <f ca="1">IFERROR(__xludf.DUMMYFUNCTION("""COMPUTED_VALUE"""),45951)</f>
        <v>45951</v>
      </c>
      <c r="P95" s="595" t="str">
        <f ca="1">IFERROR(__xludf.DUMMYFUNCTION("""COMPUTED_VALUE"""),"2030/09")</f>
        <v>2030/09</v>
      </c>
      <c r="Q95" s="595" t="str">
        <f ca="1">IFERROR(__xludf.DUMMYFUNCTION("""COMPUTED_VALUE"""),"特定技能１号")</f>
        <v>特定技能１号</v>
      </c>
      <c r="R95" s="595" t="str">
        <f ca="1">IFERROR(__xludf.DUMMYFUNCTION("""COMPUTED_VALUE"""),"東温市牛渕170‐３")</f>
        <v>東温市牛渕170‐３</v>
      </c>
      <c r="S95" s="595" t="str">
        <f ca="1">IFERROR(__xludf.DUMMYFUNCTION("""COMPUTED_VALUE"""),"相")</f>
        <v>相</v>
      </c>
      <c r="T95" s="901">
        <f ca="1">IFERROR(__xludf.DUMMYFUNCTION("""COMPUTED_VALUE"""),10000)</f>
        <v>10000</v>
      </c>
      <c r="U95" s="600">
        <f ca="1">IFERROR(__xludf.DUMMYFUNCTION("""COMPUTED_VALUE"""),45755)</f>
        <v>45755</v>
      </c>
      <c r="V95" s="600">
        <f ca="1">IFERROR(__xludf.DUMMYFUNCTION("""COMPUTED_VALUE"""),46312)</f>
        <v>46312</v>
      </c>
      <c r="W95" s="595" t="str">
        <f ca="1">IFERROR(__xludf.DUMMYFUNCTION("""COMPUTED_VALUE"""),"UH71152654FA")</f>
        <v>UH71152654FA</v>
      </c>
      <c r="X95" s="595"/>
      <c r="Y95" s="596">
        <f ca="1">IFERROR(__xludf.DUMMYFUNCTION("""COMPUTED_VALUE"""),45947)</f>
        <v>45947</v>
      </c>
      <c r="Z95" s="595" t="str">
        <f ca="1">IFERROR(__xludf.DUMMYFUNCTION("""COMPUTED_VALUE"""),"B-0377314-1540")</f>
        <v>B-0377314-1540</v>
      </c>
      <c r="AA95" s="595" t="str">
        <f ca="1">IFERROR(__xludf.DUMMYFUNCTION("""COMPUTED_VALUE"""),"2025.7月購入
5年間は廃棄しない
（補助金で購入の為）")</f>
        <v>2025.7月購入
5年間は廃棄しない
（補助金で購入の為）</v>
      </c>
      <c r="AB95" s="595"/>
      <c r="AC95" s="595"/>
      <c r="AD95" s="600"/>
      <c r="AE95" s="600"/>
      <c r="AF95" s="600"/>
      <c r="AG95" s="600"/>
      <c r="AH95" s="595"/>
      <c r="AI95" s="600"/>
      <c r="AJ95" s="595"/>
      <c r="AK95" s="595"/>
      <c r="AL95" s="595" t="str">
        <f ca="1">IFERROR(__xludf.DUMMYFUNCTION("""COMPUTED_VALUE"""),"〇")</f>
        <v>〇</v>
      </c>
      <c r="AM95" s="596">
        <f ca="1">IFERROR(__xludf.DUMMYFUNCTION("""COMPUTED_VALUE"""),45947)</f>
        <v>45947</v>
      </c>
      <c r="AN95" s="595" t="str">
        <f ca="1">IFERROR(__xludf.DUMMYFUNCTION("""COMPUTED_VALUE"""),"2025/11/1～2030/10/31")</f>
        <v>2025/11/1～2030/10/31</v>
      </c>
      <c r="AO95" s="595" t="str">
        <f ca="1">IFERROR(__xludf.DUMMYFUNCTION("""COMPUTED_VALUE"""),"ひめぎん
末広町支店")</f>
        <v>ひめぎん
末広町支店</v>
      </c>
      <c r="AP95" s="595" t="str">
        <f ca="1">IFERROR(__xludf.DUMMYFUNCTION("""COMPUTED_VALUE"""),"2/5面接　合格
2025/10/17入寮・10/21入社")</f>
        <v>2/5面接　合格
2025/10/17入寮・10/21入社</v>
      </c>
    </row>
    <row r="96" spans="1:42" ht="14.5">
      <c r="A96" s="595" t="str">
        <f ca="1">IFERROR(__xludf.DUMMYFUNCTION("""COMPUTED_VALUE"""),"R")</f>
        <v>R</v>
      </c>
      <c r="B96" s="595">
        <f ca="1">IFERROR(__xludf.DUMMYFUNCTION("""COMPUTED_VALUE"""),227)</f>
        <v>227</v>
      </c>
      <c r="C96" s="595" t="str">
        <f ca="1">IFERROR(__xludf.DUMMYFUNCTION("""COMPUTED_VALUE"""),"津吉")</f>
        <v>津吉</v>
      </c>
      <c r="D96" s="595" t="str">
        <f ca="1">IFERROR(__xludf.DUMMYFUNCTION("""COMPUTED_VALUE"""),"インドネシア")</f>
        <v>インドネシア</v>
      </c>
      <c r="E96" s="595" t="str">
        <f ca="1">IFERROR(__xludf.DUMMYFUNCTION("""COMPUTED_VALUE"""),"07018624")</f>
        <v>07018624</v>
      </c>
      <c r="F96" s="595" t="str">
        <f ca="1">IFERROR(__xludf.DUMMYFUNCTION("""COMPUTED_VALUE"""),"/appsheet/photograph/227.写真.041507.jpg")</f>
        <v>/appsheet/photograph/227.写真.041507.jpg</v>
      </c>
      <c r="G96" s="595" t="str">
        <f ca="1">IFERROR(__xludf.DUMMYFUNCTION("""COMPUTED_VALUE"""),"ロサベラ アプリル")</f>
        <v>ロサベラ アプリル</v>
      </c>
      <c r="H96" s="595" t="str">
        <f ca="1">IFERROR(__xludf.DUMMYFUNCTION("""COMPUTED_VALUE"""),"ROSABELLA APRIL")</f>
        <v>ROSABELLA APRIL</v>
      </c>
      <c r="I96" s="595" t="str">
        <f ca="1">IFERROR(__xludf.DUMMYFUNCTION("""COMPUTED_VALUE"""),"ベリ")</f>
        <v>ベリ</v>
      </c>
      <c r="J96" s="595" t="str">
        <f ca="1">IFERROR(__xludf.DUMMYFUNCTION("""COMPUTED_VALUE"""),"女")</f>
        <v>女</v>
      </c>
      <c r="K96" s="600">
        <f ca="1">IFERROR(__xludf.DUMMYFUNCTION("""COMPUTED_VALUE"""),36266)</f>
        <v>36266</v>
      </c>
      <c r="L96" s="595">
        <f ca="1">IFERROR(__xludf.DUMMYFUNCTION("""COMPUTED_VALUE"""),26)</f>
        <v>26</v>
      </c>
      <c r="M96" s="595" t="str">
        <f ca="1">IFERROR(__xludf.DUMMYFUNCTION("""COMPUTED_VALUE"""),"無")</f>
        <v>無</v>
      </c>
      <c r="N96" s="595" t="str">
        <f ca="1">IFERROR(__xludf.DUMMYFUNCTION("""COMPUTED_VALUE"""),"INA")</f>
        <v>INA</v>
      </c>
      <c r="O96" s="900">
        <f ca="1">IFERROR(__xludf.DUMMYFUNCTION("""COMPUTED_VALUE"""),45951)</f>
        <v>45951</v>
      </c>
      <c r="P96" s="595" t="str">
        <f ca="1">IFERROR(__xludf.DUMMYFUNCTION("""COMPUTED_VALUE"""),"2030/09")</f>
        <v>2030/09</v>
      </c>
      <c r="Q96" s="595" t="str">
        <f ca="1">IFERROR(__xludf.DUMMYFUNCTION("""COMPUTED_VALUE"""),"特定技能１号")</f>
        <v>特定技能１号</v>
      </c>
      <c r="R96" s="595" t="str">
        <f ca="1">IFERROR(__xludf.DUMMYFUNCTION("""COMPUTED_VALUE"""),"松山市津吉町535-1コーポ津吉2-4")</f>
        <v>松山市津吉町535-1コーポ津吉2-4</v>
      </c>
      <c r="S96" s="595" t="str">
        <f ca="1">IFERROR(__xludf.DUMMYFUNCTION("""COMPUTED_VALUE"""),"個")</f>
        <v>個</v>
      </c>
      <c r="T96" s="901">
        <f ca="1">IFERROR(__xludf.DUMMYFUNCTION("""COMPUTED_VALUE"""),20000)</f>
        <v>20000</v>
      </c>
      <c r="U96" s="600">
        <f ca="1">IFERROR(__xludf.DUMMYFUNCTION("""COMPUTED_VALUE"""),45755)</f>
        <v>45755</v>
      </c>
      <c r="V96" s="600">
        <f ca="1">IFERROR(__xludf.DUMMYFUNCTION("""COMPUTED_VALUE"""),46312)</f>
        <v>46312</v>
      </c>
      <c r="W96" s="595" t="str">
        <f ca="1">IFERROR(__xludf.DUMMYFUNCTION("""COMPUTED_VALUE"""),"UH51458516FA")</f>
        <v>UH51458516FA</v>
      </c>
      <c r="X96" s="595"/>
      <c r="Y96" s="596">
        <f ca="1">IFERROR(__xludf.DUMMYFUNCTION("""COMPUTED_VALUE"""),45947)</f>
        <v>45947</v>
      </c>
      <c r="Z96" s="595" t="str">
        <f ca="1">IFERROR(__xludf.DUMMYFUNCTION("""COMPUTED_VALUE"""),"B-0377317-1618")</f>
        <v>B-0377317-1618</v>
      </c>
      <c r="AA96" s="595" t="str">
        <f ca="1">IFERROR(__xludf.DUMMYFUNCTION("""COMPUTED_VALUE"""),"2025.7月購入
5年間は廃棄しない
（補助金で購入の為）")</f>
        <v>2025.7月購入
5年間は廃棄しない
（補助金で購入の為）</v>
      </c>
      <c r="AB96" s="595"/>
      <c r="AC96" s="595"/>
      <c r="AD96" s="600"/>
      <c r="AE96" s="600"/>
      <c r="AF96" s="600"/>
      <c r="AG96" s="600"/>
      <c r="AH96" s="595"/>
      <c r="AI96" s="600"/>
      <c r="AJ96" s="595"/>
      <c r="AK96" s="595"/>
      <c r="AL96" s="595" t="str">
        <f ca="1">IFERROR(__xludf.DUMMYFUNCTION("""COMPUTED_VALUE"""),"〇")</f>
        <v>〇</v>
      </c>
      <c r="AM96" s="596">
        <f ca="1">IFERROR(__xludf.DUMMYFUNCTION("""COMPUTED_VALUE"""),45947)</f>
        <v>45947</v>
      </c>
      <c r="AN96" s="595" t="str">
        <f ca="1">IFERROR(__xludf.DUMMYFUNCTION("""COMPUTED_VALUE"""),"2025/11/1～2030/10/31")</f>
        <v>2025/11/1～2030/10/31</v>
      </c>
      <c r="AO96" s="595" t="str">
        <f ca="1">IFERROR(__xludf.DUMMYFUNCTION("""COMPUTED_VALUE"""),"ひめぎん
末広町支店")</f>
        <v>ひめぎん
末広町支店</v>
      </c>
      <c r="AP96" s="595" t="str">
        <f ca="1">IFERROR(__xludf.DUMMYFUNCTION("""COMPUTED_VALUE"""),"2/5面接　合格
2025/10/17入寮・10/21入社
2026/1/21引越　牛渕170-3→コーポつよし2-4へ
家賃￥20000へ")</f>
        <v>2/5面接　合格
2025/10/17入寮・10/21入社
2026/1/21引越　牛渕170-3→コーポつよし2-4へ
家賃￥20000へ</v>
      </c>
    </row>
    <row r="97" spans="1:42" ht="14.5">
      <c r="A97" s="595" t="str">
        <f ca="1">IFERROR(__xludf.DUMMYFUNCTION("""COMPUTED_VALUE"""),"R")</f>
        <v>R</v>
      </c>
      <c r="B97" s="595">
        <f ca="1">IFERROR(__xludf.DUMMYFUNCTION("""COMPUTED_VALUE"""),228)</f>
        <v>228</v>
      </c>
      <c r="C97" s="595" t="str">
        <f ca="1">IFERROR(__xludf.DUMMYFUNCTION("""COMPUTED_VALUE"""),"津吉")</f>
        <v>津吉</v>
      </c>
      <c r="D97" s="595" t="str">
        <f ca="1">IFERROR(__xludf.DUMMYFUNCTION("""COMPUTED_VALUE"""),"インドネシア")</f>
        <v>インドネシア</v>
      </c>
      <c r="E97" s="595" t="str">
        <f ca="1">IFERROR(__xludf.DUMMYFUNCTION("""COMPUTED_VALUE"""),"07018625")</f>
        <v>07018625</v>
      </c>
      <c r="F97" s="595" t="str">
        <f ca="1">IFERROR(__xludf.DUMMYFUNCTION("""COMPUTED_VALUE"""),"/appsheet/photograph/228.写真.042410.jpg")</f>
        <v>/appsheet/photograph/228.写真.042410.jpg</v>
      </c>
      <c r="G97" s="595" t="str">
        <f ca="1">IFERROR(__xludf.DUMMYFUNCTION("""COMPUTED_VALUE"""),"デヴィ セヴィヤニ")</f>
        <v>デヴィ セヴィヤニ</v>
      </c>
      <c r="H97" s="595" t="str">
        <f ca="1">IFERROR(__xludf.DUMMYFUNCTION("""COMPUTED_VALUE"""),"DEVI SEVIYANI")</f>
        <v>DEVI SEVIYANI</v>
      </c>
      <c r="I97" s="595" t="str">
        <f ca="1">IFERROR(__xludf.DUMMYFUNCTION("""COMPUTED_VALUE"""),"デヴィ")</f>
        <v>デヴィ</v>
      </c>
      <c r="J97" s="595" t="str">
        <f ca="1">IFERROR(__xludf.DUMMYFUNCTION("""COMPUTED_VALUE"""),"女")</f>
        <v>女</v>
      </c>
      <c r="K97" s="600">
        <f ca="1">IFERROR(__xludf.DUMMYFUNCTION("""COMPUTED_VALUE"""),37894)</f>
        <v>37894</v>
      </c>
      <c r="L97" s="595">
        <f ca="1">IFERROR(__xludf.DUMMYFUNCTION("""COMPUTED_VALUE"""),22)</f>
        <v>22</v>
      </c>
      <c r="M97" s="595" t="str">
        <f ca="1">IFERROR(__xludf.DUMMYFUNCTION("""COMPUTED_VALUE"""),"無")</f>
        <v>無</v>
      </c>
      <c r="N97" s="595" t="str">
        <f ca="1">IFERROR(__xludf.DUMMYFUNCTION("""COMPUTED_VALUE"""),"INA")</f>
        <v>INA</v>
      </c>
      <c r="O97" s="900">
        <f ca="1">IFERROR(__xludf.DUMMYFUNCTION("""COMPUTED_VALUE"""),45951)</f>
        <v>45951</v>
      </c>
      <c r="P97" s="595" t="str">
        <f ca="1">IFERROR(__xludf.DUMMYFUNCTION("""COMPUTED_VALUE"""),"2030/09")</f>
        <v>2030/09</v>
      </c>
      <c r="Q97" s="595" t="str">
        <f ca="1">IFERROR(__xludf.DUMMYFUNCTION("""COMPUTED_VALUE"""),"特定技能１号")</f>
        <v>特定技能１号</v>
      </c>
      <c r="R97" s="595" t="str">
        <f ca="1">IFERROR(__xludf.DUMMYFUNCTION("""COMPUTED_VALUE"""),"東温市牛渕170‐３")</f>
        <v>東温市牛渕170‐３</v>
      </c>
      <c r="S97" s="595" t="str">
        <f ca="1">IFERROR(__xludf.DUMMYFUNCTION("""COMPUTED_VALUE"""),"相")</f>
        <v>相</v>
      </c>
      <c r="T97" s="901">
        <f ca="1">IFERROR(__xludf.DUMMYFUNCTION("""COMPUTED_VALUE"""),10000)</f>
        <v>10000</v>
      </c>
      <c r="U97" s="600">
        <f ca="1">IFERROR(__xludf.DUMMYFUNCTION("""COMPUTED_VALUE"""),45755)</f>
        <v>45755</v>
      </c>
      <c r="V97" s="600">
        <f ca="1">IFERROR(__xludf.DUMMYFUNCTION("""COMPUTED_VALUE"""),46312)</f>
        <v>46312</v>
      </c>
      <c r="W97" s="595" t="str">
        <f ca="1">IFERROR(__xludf.DUMMYFUNCTION("""COMPUTED_VALUE"""),"UH92412804FA")</f>
        <v>UH92412804FA</v>
      </c>
      <c r="X97" s="595"/>
      <c r="Y97" s="596">
        <f ca="1">IFERROR(__xludf.DUMMYFUNCTION("""COMPUTED_VALUE"""),45947)</f>
        <v>45947</v>
      </c>
      <c r="Z97" s="595" t="str">
        <f ca="1">IFERROR(__xludf.DUMMYFUNCTION("""COMPUTED_VALUE"""),"B-0377320-1741")</f>
        <v>B-0377320-1741</v>
      </c>
      <c r="AA97" s="595" t="str">
        <f ca="1">IFERROR(__xludf.DUMMYFUNCTION("""COMPUTED_VALUE"""),"2025.7月購入
5年間は廃棄しない
（補助金で購入の為）")</f>
        <v>2025.7月購入
5年間は廃棄しない
（補助金で購入の為）</v>
      </c>
      <c r="AB97" s="595"/>
      <c r="AC97" s="595"/>
      <c r="AD97" s="600"/>
      <c r="AE97" s="600"/>
      <c r="AF97" s="600"/>
      <c r="AG97" s="600"/>
      <c r="AH97" s="595"/>
      <c r="AI97" s="600"/>
      <c r="AJ97" s="595"/>
      <c r="AK97" s="595"/>
      <c r="AL97" s="595" t="str">
        <f ca="1">IFERROR(__xludf.DUMMYFUNCTION("""COMPUTED_VALUE"""),"〇")</f>
        <v>〇</v>
      </c>
      <c r="AM97" s="596">
        <f ca="1">IFERROR(__xludf.DUMMYFUNCTION("""COMPUTED_VALUE"""),45947)</f>
        <v>45947</v>
      </c>
      <c r="AN97" s="595" t="str">
        <f ca="1">IFERROR(__xludf.DUMMYFUNCTION("""COMPUTED_VALUE"""),"2025/11/1～2030/10/31")</f>
        <v>2025/11/1～2030/10/31</v>
      </c>
      <c r="AO97" s="595" t="str">
        <f ca="1">IFERROR(__xludf.DUMMYFUNCTION("""COMPUTED_VALUE"""),"ひめぎん
末広町支店")</f>
        <v>ひめぎん
末広町支店</v>
      </c>
      <c r="AP97" s="595" t="str">
        <f ca="1">IFERROR(__xludf.DUMMYFUNCTION("""COMPUTED_VALUE"""),"2/5面接　合格
2025/10/17入寮・10/21入社")</f>
        <v>2/5面接　合格
2025/10/17入寮・10/21入社</v>
      </c>
    </row>
    <row r="98" spans="1:42" ht="14.5">
      <c r="A98" s="595" t="str">
        <f ca="1">IFERROR(__xludf.DUMMYFUNCTION("""COMPUTED_VALUE"""),"R")</f>
        <v>R</v>
      </c>
      <c r="B98" s="595">
        <f ca="1">IFERROR(__xludf.DUMMYFUNCTION("""COMPUTED_VALUE"""),229)</f>
        <v>229</v>
      </c>
      <c r="C98" s="595" t="str">
        <f ca="1">IFERROR(__xludf.DUMMYFUNCTION("""COMPUTED_VALUE"""),"津吉")</f>
        <v>津吉</v>
      </c>
      <c r="D98" s="595" t="str">
        <f ca="1">IFERROR(__xludf.DUMMYFUNCTION("""COMPUTED_VALUE"""),"インドネシア")</f>
        <v>インドネシア</v>
      </c>
      <c r="E98" s="595" t="str">
        <f ca="1">IFERROR(__xludf.DUMMYFUNCTION("""COMPUTED_VALUE"""),"07018626")</f>
        <v>07018626</v>
      </c>
      <c r="F98" s="595" t="str">
        <f ca="1">IFERROR(__xludf.DUMMYFUNCTION("""COMPUTED_VALUE"""),"/appsheet/photograph/229.写真.042114.jpg")</f>
        <v>/appsheet/photograph/229.写真.042114.jpg</v>
      </c>
      <c r="G98" s="595" t="str">
        <f ca="1">IFERROR(__xludf.DUMMYFUNCTION("""COMPUTED_VALUE"""),"リヴァニ ダマヤンティ ムティア チャルサ")</f>
        <v>リヴァニ ダマヤンティ ムティア チャルサ</v>
      </c>
      <c r="H98" s="595" t="str">
        <f ca="1">IFERROR(__xludf.DUMMYFUNCTION("""COMPUTED_VALUE"""),"RIVANI DAMAYANTI MUTIA　CARSA")</f>
        <v>RIVANI DAMAYANTI MUTIA　CARSA</v>
      </c>
      <c r="I98" s="595" t="str">
        <f ca="1">IFERROR(__xludf.DUMMYFUNCTION("""COMPUTED_VALUE"""),"ヴァニ")</f>
        <v>ヴァニ</v>
      </c>
      <c r="J98" s="595" t="str">
        <f ca="1">IFERROR(__xludf.DUMMYFUNCTION("""COMPUTED_VALUE"""),"女")</f>
        <v>女</v>
      </c>
      <c r="K98" s="600">
        <f ca="1">IFERROR(__xludf.DUMMYFUNCTION("""COMPUTED_VALUE"""),38251)</f>
        <v>38251</v>
      </c>
      <c r="L98" s="595">
        <f ca="1">IFERROR(__xludf.DUMMYFUNCTION("""COMPUTED_VALUE"""),21)</f>
        <v>21</v>
      </c>
      <c r="M98" s="595" t="str">
        <f ca="1">IFERROR(__xludf.DUMMYFUNCTION("""COMPUTED_VALUE"""),"無")</f>
        <v>無</v>
      </c>
      <c r="N98" s="595" t="str">
        <f ca="1">IFERROR(__xludf.DUMMYFUNCTION("""COMPUTED_VALUE"""),"INA")</f>
        <v>INA</v>
      </c>
      <c r="O98" s="900">
        <f ca="1">IFERROR(__xludf.DUMMYFUNCTION("""COMPUTED_VALUE"""),45951)</f>
        <v>45951</v>
      </c>
      <c r="P98" s="595" t="str">
        <f ca="1">IFERROR(__xludf.DUMMYFUNCTION("""COMPUTED_VALUE"""),"2030/09")</f>
        <v>2030/09</v>
      </c>
      <c r="Q98" s="595" t="str">
        <f ca="1">IFERROR(__xludf.DUMMYFUNCTION("""COMPUTED_VALUE"""),"特定技能１号")</f>
        <v>特定技能１号</v>
      </c>
      <c r="R98" s="595" t="str">
        <f ca="1">IFERROR(__xludf.DUMMYFUNCTION("""COMPUTED_VALUE"""),"東温市牛渕170‐３")</f>
        <v>東温市牛渕170‐３</v>
      </c>
      <c r="S98" s="595" t="str">
        <f ca="1">IFERROR(__xludf.DUMMYFUNCTION("""COMPUTED_VALUE"""),"相")</f>
        <v>相</v>
      </c>
      <c r="T98" s="901">
        <f ca="1">IFERROR(__xludf.DUMMYFUNCTION("""COMPUTED_VALUE"""),10000)</f>
        <v>10000</v>
      </c>
      <c r="U98" s="600">
        <f ca="1">IFERROR(__xludf.DUMMYFUNCTION("""COMPUTED_VALUE"""),45755)</f>
        <v>45755</v>
      </c>
      <c r="V98" s="600">
        <f ca="1">IFERROR(__xludf.DUMMYFUNCTION("""COMPUTED_VALUE"""),46312)</f>
        <v>46312</v>
      </c>
      <c r="W98" s="595" t="str">
        <f ca="1">IFERROR(__xludf.DUMMYFUNCTION("""COMPUTED_VALUE"""),"UH87465575FA")</f>
        <v>UH87465575FA</v>
      </c>
      <c r="X98" s="595"/>
      <c r="Y98" s="596">
        <f ca="1">IFERROR(__xludf.DUMMYFUNCTION("""COMPUTED_VALUE"""),45947)</f>
        <v>45947</v>
      </c>
      <c r="Z98" s="595" t="str">
        <f ca="1">IFERROR(__xludf.DUMMYFUNCTION("""COMPUTED_VALUE"""),"B-0377327-1595")</f>
        <v>B-0377327-1595</v>
      </c>
      <c r="AA98" s="595" t="str">
        <f ca="1">IFERROR(__xludf.DUMMYFUNCTION("""COMPUTED_VALUE"""),"2025.7月購入
5年間は廃棄しない
（補助金で購入の為）")</f>
        <v>2025.7月購入
5年間は廃棄しない
（補助金で購入の為）</v>
      </c>
      <c r="AB98" s="595"/>
      <c r="AC98" s="595"/>
      <c r="AD98" s="600"/>
      <c r="AE98" s="600"/>
      <c r="AF98" s="600"/>
      <c r="AG98" s="600"/>
      <c r="AH98" s="595"/>
      <c r="AI98" s="600"/>
      <c r="AJ98" s="595"/>
      <c r="AK98" s="595"/>
      <c r="AL98" s="595" t="str">
        <f ca="1">IFERROR(__xludf.DUMMYFUNCTION("""COMPUTED_VALUE"""),"〇")</f>
        <v>〇</v>
      </c>
      <c r="AM98" s="596">
        <f ca="1">IFERROR(__xludf.DUMMYFUNCTION("""COMPUTED_VALUE"""),45947)</f>
        <v>45947</v>
      </c>
      <c r="AN98" s="595" t="str">
        <f ca="1">IFERROR(__xludf.DUMMYFUNCTION("""COMPUTED_VALUE"""),"2025/11/1～2030/10/31")</f>
        <v>2025/11/1～2030/10/31</v>
      </c>
      <c r="AO98" s="595" t="str">
        <f ca="1">IFERROR(__xludf.DUMMYFUNCTION("""COMPUTED_VALUE"""),"ひめぎん
末広町支店")</f>
        <v>ひめぎん
末広町支店</v>
      </c>
      <c r="AP98" s="595" t="str">
        <f ca="1">IFERROR(__xludf.DUMMYFUNCTION("""COMPUTED_VALUE"""),"2/5面接　合格
2025/10/17入寮・10/21入社")</f>
        <v>2/5面接　合格
2025/10/17入寮・10/21入社</v>
      </c>
    </row>
    <row r="99" spans="1:42" ht="14.5">
      <c r="A99" s="595" t="str">
        <f ca="1">IFERROR(__xludf.DUMMYFUNCTION("""COMPUTED_VALUE"""),"R")</f>
        <v>R</v>
      </c>
      <c r="B99" s="595">
        <f ca="1">IFERROR(__xludf.DUMMYFUNCTION("""COMPUTED_VALUE"""),230)</f>
        <v>230</v>
      </c>
      <c r="C99" s="595" t="str">
        <f ca="1">IFERROR(__xludf.DUMMYFUNCTION("""COMPUTED_VALUE"""),"津吉")</f>
        <v>津吉</v>
      </c>
      <c r="D99" s="595" t="str">
        <f ca="1">IFERROR(__xludf.DUMMYFUNCTION("""COMPUTED_VALUE"""),"インドネシア")</f>
        <v>インドネシア</v>
      </c>
      <c r="E99" s="595" t="str">
        <f ca="1">IFERROR(__xludf.DUMMYFUNCTION("""COMPUTED_VALUE"""),"07018627")</f>
        <v>07018627</v>
      </c>
      <c r="F99" s="595" t="str">
        <f ca="1">IFERROR(__xludf.DUMMYFUNCTION("""COMPUTED_VALUE"""),"/appsheet/photograph/230.写真.042213.jpg")</f>
        <v>/appsheet/photograph/230.写真.042213.jpg</v>
      </c>
      <c r="G99" s="595" t="str">
        <f ca="1">IFERROR(__xludf.DUMMYFUNCTION("""COMPUTED_VALUE"""),"ティアラ サフィトリ")</f>
        <v>ティアラ サフィトリ</v>
      </c>
      <c r="H99" s="595" t="str">
        <f ca="1">IFERROR(__xludf.DUMMYFUNCTION("""COMPUTED_VALUE"""),"TIARA SAFITRI")</f>
        <v>TIARA SAFITRI</v>
      </c>
      <c r="I99" s="595" t="str">
        <f ca="1">IFERROR(__xludf.DUMMYFUNCTION("""COMPUTED_VALUE"""),"ティアラ")</f>
        <v>ティアラ</v>
      </c>
      <c r="J99" s="595" t="str">
        <f ca="1">IFERROR(__xludf.DUMMYFUNCTION("""COMPUTED_VALUE"""),"女")</f>
        <v>女</v>
      </c>
      <c r="K99" s="600">
        <f ca="1">IFERROR(__xludf.DUMMYFUNCTION("""COMPUTED_VALUE"""),36913)</f>
        <v>36913</v>
      </c>
      <c r="L99" s="595">
        <f ca="1">IFERROR(__xludf.DUMMYFUNCTION("""COMPUTED_VALUE"""),25)</f>
        <v>25</v>
      </c>
      <c r="M99" s="595" t="str">
        <f ca="1">IFERROR(__xludf.DUMMYFUNCTION("""COMPUTED_VALUE"""),"無")</f>
        <v>無</v>
      </c>
      <c r="N99" s="595" t="str">
        <f ca="1">IFERROR(__xludf.DUMMYFUNCTION("""COMPUTED_VALUE"""),"INA")</f>
        <v>INA</v>
      </c>
      <c r="O99" s="900">
        <f ca="1">IFERROR(__xludf.DUMMYFUNCTION("""COMPUTED_VALUE"""),45951)</f>
        <v>45951</v>
      </c>
      <c r="P99" s="595" t="str">
        <f ca="1">IFERROR(__xludf.DUMMYFUNCTION("""COMPUTED_VALUE"""),"2030/09")</f>
        <v>2030/09</v>
      </c>
      <c r="Q99" s="595" t="str">
        <f ca="1">IFERROR(__xludf.DUMMYFUNCTION("""COMPUTED_VALUE"""),"特定技能１号")</f>
        <v>特定技能１号</v>
      </c>
      <c r="R99" s="595" t="str">
        <f ca="1">IFERROR(__xludf.DUMMYFUNCTION("""COMPUTED_VALUE"""),"東温市牛渕170‐３")</f>
        <v>東温市牛渕170‐３</v>
      </c>
      <c r="S99" s="595" t="str">
        <f ca="1">IFERROR(__xludf.DUMMYFUNCTION("""COMPUTED_VALUE"""),"相")</f>
        <v>相</v>
      </c>
      <c r="T99" s="901">
        <f ca="1">IFERROR(__xludf.DUMMYFUNCTION("""COMPUTED_VALUE"""),10000)</f>
        <v>10000</v>
      </c>
      <c r="U99" s="600">
        <f ca="1">IFERROR(__xludf.DUMMYFUNCTION("""COMPUTED_VALUE"""),45755)</f>
        <v>45755</v>
      </c>
      <c r="V99" s="600">
        <f ca="1">IFERROR(__xludf.DUMMYFUNCTION("""COMPUTED_VALUE"""),46312)</f>
        <v>46312</v>
      </c>
      <c r="W99" s="595" t="str">
        <f ca="1">IFERROR(__xludf.DUMMYFUNCTION("""COMPUTED_VALUE"""),"UH90914513FA")</f>
        <v>UH90914513FA</v>
      </c>
      <c r="X99" s="595"/>
      <c r="Y99" s="596">
        <f ca="1">IFERROR(__xludf.DUMMYFUNCTION("""COMPUTED_VALUE"""),45947)</f>
        <v>45947</v>
      </c>
      <c r="Z99" s="595" t="str">
        <f ca="1">IFERROR(__xludf.DUMMYFUNCTION("""COMPUTED_VALUE"""),"B-0377328-1113")</f>
        <v>B-0377328-1113</v>
      </c>
      <c r="AA99" s="595" t="str">
        <f ca="1">IFERROR(__xludf.DUMMYFUNCTION("""COMPUTED_VALUE"""),"2025.7月購入
5年間は廃棄しない
（補助金で購入の為）")</f>
        <v>2025.7月購入
5年間は廃棄しない
（補助金で購入の為）</v>
      </c>
      <c r="AB99" s="595"/>
      <c r="AC99" s="595"/>
      <c r="AD99" s="600"/>
      <c r="AE99" s="600"/>
      <c r="AF99" s="600"/>
      <c r="AG99" s="600"/>
      <c r="AH99" s="595"/>
      <c r="AI99" s="600"/>
      <c r="AJ99" s="595"/>
      <c r="AK99" s="595"/>
      <c r="AL99" s="595" t="str">
        <f ca="1">IFERROR(__xludf.DUMMYFUNCTION("""COMPUTED_VALUE"""),"〇")</f>
        <v>〇</v>
      </c>
      <c r="AM99" s="596">
        <f ca="1">IFERROR(__xludf.DUMMYFUNCTION("""COMPUTED_VALUE"""),45947)</f>
        <v>45947</v>
      </c>
      <c r="AN99" s="595" t="str">
        <f ca="1">IFERROR(__xludf.DUMMYFUNCTION("""COMPUTED_VALUE"""),"2025/11/1～2030/10/31")</f>
        <v>2025/11/1～2030/10/31</v>
      </c>
      <c r="AO99" s="595" t="str">
        <f ca="1">IFERROR(__xludf.DUMMYFUNCTION("""COMPUTED_VALUE"""),"ひめぎん
末広町支店")</f>
        <v>ひめぎん
末広町支店</v>
      </c>
      <c r="AP99" s="595" t="str">
        <f ca="1">IFERROR(__xludf.DUMMYFUNCTION("""COMPUTED_VALUE"""),"2/5面接　合格
2025/10/17入寮・10/21入社")</f>
        <v>2/5面接　合格
2025/10/17入寮・10/21入社</v>
      </c>
    </row>
    <row r="100" spans="1:42" ht="14.5">
      <c r="A100" s="595" t="str">
        <f ca="1">IFERROR(__xludf.DUMMYFUNCTION("""COMPUTED_VALUE"""),"R")</f>
        <v>R</v>
      </c>
      <c r="B100" s="595">
        <f ca="1">IFERROR(__xludf.DUMMYFUNCTION("""COMPUTED_VALUE"""),231)</f>
        <v>231</v>
      </c>
      <c r="C100" s="595" t="str">
        <f ca="1">IFERROR(__xludf.DUMMYFUNCTION("""COMPUTED_VALUE"""),"津吉")</f>
        <v>津吉</v>
      </c>
      <c r="D100" s="595" t="str">
        <f ca="1">IFERROR(__xludf.DUMMYFUNCTION("""COMPUTED_VALUE"""),"インドネシア")</f>
        <v>インドネシア</v>
      </c>
      <c r="E100" s="595" t="str">
        <f ca="1">IFERROR(__xludf.DUMMYFUNCTION("""COMPUTED_VALUE"""),"07018628")</f>
        <v>07018628</v>
      </c>
      <c r="F100" s="595" t="str">
        <f ca="1">IFERROR(__xludf.DUMMYFUNCTION("""COMPUTED_VALUE"""),"/appsheet/photograph/231.写真.042241.jpg")</f>
        <v>/appsheet/photograph/231.写真.042241.jpg</v>
      </c>
      <c r="G100" s="595" t="str">
        <f ca="1">IFERROR(__xludf.DUMMYFUNCTION("""COMPUTED_VALUE"""),"ラティサ ディニ フェブリヤンティ")</f>
        <v>ラティサ ディニ フェブリヤンティ</v>
      </c>
      <c r="H100" s="595" t="str">
        <f ca="1">IFERROR(__xludf.DUMMYFUNCTION("""COMPUTED_VALUE"""),"RATISA DINI FEBRIYANTI")</f>
        <v>RATISA DINI FEBRIYANTI</v>
      </c>
      <c r="I100" s="595" t="str">
        <f ca="1">IFERROR(__xludf.DUMMYFUNCTION("""COMPUTED_VALUE"""),"ラティサ")</f>
        <v>ラティサ</v>
      </c>
      <c r="J100" s="595" t="str">
        <f ca="1">IFERROR(__xludf.DUMMYFUNCTION("""COMPUTED_VALUE"""),"女")</f>
        <v>女</v>
      </c>
      <c r="K100" s="600">
        <f ca="1">IFERROR(__xludf.DUMMYFUNCTION("""COMPUTED_VALUE"""),38035)</f>
        <v>38035</v>
      </c>
      <c r="L100" s="595">
        <f ca="1">IFERROR(__xludf.DUMMYFUNCTION("""COMPUTED_VALUE"""),22)</f>
        <v>22</v>
      </c>
      <c r="M100" s="595" t="str">
        <f ca="1">IFERROR(__xludf.DUMMYFUNCTION("""COMPUTED_VALUE"""),"無")</f>
        <v>無</v>
      </c>
      <c r="N100" s="595" t="str">
        <f ca="1">IFERROR(__xludf.DUMMYFUNCTION("""COMPUTED_VALUE"""),"INA")</f>
        <v>INA</v>
      </c>
      <c r="O100" s="900">
        <f ca="1">IFERROR(__xludf.DUMMYFUNCTION("""COMPUTED_VALUE"""),45951)</f>
        <v>45951</v>
      </c>
      <c r="P100" s="595" t="str">
        <f ca="1">IFERROR(__xludf.DUMMYFUNCTION("""COMPUTED_VALUE"""),"2030/09")</f>
        <v>2030/09</v>
      </c>
      <c r="Q100" s="595" t="str">
        <f ca="1">IFERROR(__xludf.DUMMYFUNCTION("""COMPUTED_VALUE"""),"特定技能１号")</f>
        <v>特定技能１号</v>
      </c>
      <c r="R100" s="595" t="str">
        <f ca="1">IFERROR(__xludf.DUMMYFUNCTION("""COMPUTED_VALUE"""),"東温市牛渕170‐３")</f>
        <v>東温市牛渕170‐３</v>
      </c>
      <c r="S100" s="595" t="str">
        <f ca="1">IFERROR(__xludf.DUMMYFUNCTION("""COMPUTED_VALUE"""),"相")</f>
        <v>相</v>
      </c>
      <c r="T100" s="901">
        <f ca="1">IFERROR(__xludf.DUMMYFUNCTION("""COMPUTED_VALUE"""),10000)</f>
        <v>10000</v>
      </c>
      <c r="U100" s="600">
        <f ca="1">IFERROR(__xludf.DUMMYFUNCTION("""COMPUTED_VALUE"""),45755)</f>
        <v>45755</v>
      </c>
      <c r="V100" s="600">
        <f ca="1">IFERROR(__xludf.DUMMYFUNCTION("""COMPUTED_VALUE"""),46312)</f>
        <v>46312</v>
      </c>
      <c r="W100" s="595" t="str">
        <f ca="1">IFERROR(__xludf.DUMMYFUNCTION("""COMPUTED_VALUE"""),"UH23191450FA")</f>
        <v>UH23191450FA</v>
      </c>
      <c r="X100" s="595"/>
      <c r="Y100" s="596">
        <f ca="1">IFERROR(__xludf.DUMMYFUNCTION("""COMPUTED_VALUE"""),45947)</f>
        <v>45947</v>
      </c>
      <c r="Z100" s="595" t="str">
        <f ca="1">IFERROR(__xludf.DUMMYFUNCTION("""COMPUTED_VALUE"""),"B-0377329-1648")</f>
        <v>B-0377329-1648</v>
      </c>
      <c r="AA100" s="595" t="str">
        <f ca="1">IFERROR(__xludf.DUMMYFUNCTION("""COMPUTED_VALUE"""),"2025.7月購入
5年間は廃棄しない
（補助金で購入の為）")</f>
        <v>2025.7月購入
5年間は廃棄しない
（補助金で購入の為）</v>
      </c>
      <c r="AB100" s="595"/>
      <c r="AC100" s="595"/>
      <c r="AD100" s="600"/>
      <c r="AE100" s="600"/>
      <c r="AF100" s="600"/>
      <c r="AG100" s="600"/>
      <c r="AH100" s="595"/>
      <c r="AI100" s="600"/>
      <c r="AJ100" s="595"/>
      <c r="AK100" s="595"/>
      <c r="AL100" s="595" t="str">
        <f ca="1">IFERROR(__xludf.DUMMYFUNCTION("""COMPUTED_VALUE"""),"〇")</f>
        <v>〇</v>
      </c>
      <c r="AM100" s="596">
        <f ca="1">IFERROR(__xludf.DUMMYFUNCTION("""COMPUTED_VALUE"""),45947)</f>
        <v>45947</v>
      </c>
      <c r="AN100" s="595" t="str">
        <f ca="1">IFERROR(__xludf.DUMMYFUNCTION("""COMPUTED_VALUE"""),"2025/11/1～2030/10/31")</f>
        <v>2025/11/1～2030/10/31</v>
      </c>
      <c r="AO100" s="595" t="str">
        <f ca="1">IFERROR(__xludf.DUMMYFUNCTION("""COMPUTED_VALUE"""),"ひめぎん
末広町支店")</f>
        <v>ひめぎん
末広町支店</v>
      </c>
      <c r="AP100" s="595" t="str">
        <f ca="1">IFERROR(__xludf.DUMMYFUNCTION("""COMPUTED_VALUE"""),"2/5面接　合格
2025/10/17入寮・10/21入社")</f>
        <v>2/5面接　合格
2025/10/17入寮・10/21入社</v>
      </c>
    </row>
    <row r="101" spans="1:42" ht="14.5">
      <c r="A101" s="595" t="str">
        <f ca="1">IFERROR(__xludf.DUMMYFUNCTION("""COMPUTED_VALUE"""),"R")</f>
        <v>R</v>
      </c>
      <c r="B101" s="595">
        <f ca="1">IFERROR(__xludf.DUMMYFUNCTION("""COMPUTED_VALUE"""),232)</f>
        <v>232</v>
      </c>
      <c r="C101" s="595" t="str">
        <f ca="1">IFERROR(__xludf.DUMMYFUNCTION("""COMPUTED_VALUE"""),"津吉")</f>
        <v>津吉</v>
      </c>
      <c r="D101" s="595" t="str">
        <f ca="1">IFERROR(__xludf.DUMMYFUNCTION("""COMPUTED_VALUE"""),"インドネシア")</f>
        <v>インドネシア</v>
      </c>
      <c r="E101" s="595" t="str">
        <f ca="1">IFERROR(__xludf.DUMMYFUNCTION("""COMPUTED_VALUE"""),"07018629")</f>
        <v>07018629</v>
      </c>
      <c r="F101" s="595" t="str">
        <f ca="1">IFERROR(__xludf.DUMMYFUNCTION("""COMPUTED_VALUE"""),"/appsheet/photograph/232.写真.042304.jpg")</f>
        <v>/appsheet/photograph/232.写真.042304.jpg</v>
      </c>
      <c r="G101" s="595" t="str">
        <f ca="1">IFERROR(__xludf.DUMMYFUNCTION("""COMPUTED_VALUE"""),"アングン シャフィラ")</f>
        <v>アングン シャフィラ</v>
      </c>
      <c r="H101" s="595" t="str">
        <f ca="1">IFERROR(__xludf.DUMMYFUNCTION("""COMPUTED_VALUE"""),"ANGGUN SHAFIRA")</f>
        <v>ANGGUN SHAFIRA</v>
      </c>
      <c r="I101" s="595" t="str">
        <f ca="1">IFERROR(__xludf.DUMMYFUNCTION("""COMPUTED_VALUE"""),"アングン")</f>
        <v>アングン</v>
      </c>
      <c r="J101" s="595" t="str">
        <f ca="1">IFERROR(__xludf.DUMMYFUNCTION("""COMPUTED_VALUE"""),"女")</f>
        <v>女</v>
      </c>
      <c r="K101" s="600">
        <f ca="1">IFERROR(__xludf.DUMMYFUNCTION("""COMPUTED_VALUE"""),37364)</f>
        <v>37364</v>
      </c>
      <c r="L101" s="595">
        <f ca="1">IFERROR(__xludf.DUMMYFUNCTION("""COMPUTED_VALUE"""),23)</f>
        <v>23</v>
      </c>
      <c r="M101" s="595" t="str">
        <f ca="1">IFERROR(__xludf.DUMMYFUNCTION("""COMPUTED_VALUE"""),"無")</f>
        <v>無</v>
      </c>
      <c r="N101" s="595" t="str">
        <f ca="1">IFERROR(__xludf.DUMMYFUNCTION("""COMPUTED_VALUE"""),"INA")</f>
        <v>INA</v>
      </c>
      <c r="O101" s="900">
        <f ca="1">IFERROR(__xludf.DUMMYFUNCTION("""COMPUTED_VALUE"""),45951)</f>
        <v>45951</v>
      </c>
      <c r="P101" s="595" t="str">
        <f ca="1">IFERROR(__xludf.DUMMYFUNCTION("""COMPUTED_VALUE"""),"2030/09")</f>
        <v>2030/09</v>
      </c>
      <c r="Q101" s="595" t="str">
        <f ca="1">IFERROR(__xludf.DUMMYFUNCTION("""COMPUTED_VALUE"""),"特定技能１号")</f>
        <v>特定技能１号</v>
      </c>
      <c r="R101" s="595" t="str">
        <f ca="1">IFERROR(__xludf.DUMMYFUNCTION("""COMPUTED_VALUE"""),"東温市牛渕170‐３")</f>
        <v>東温市牛渕170‐３</v>
      </c>
      <c r="S101" s="595" t="str">
        <f ca="1">IFERROR(__xludf.DUMMYFUNCTION("""COMPUTED_VALUE"""),"相")</f>
        <v>相</v>
      </c>
      <c r="T101" s="901">
        <f ca="1">IFERROR(__xludf.DUMMYFUNCTION("""COMPUTED_VALUE"""),10000)</f>
        <v>10000</v>
      </c>
      <c r="U101" s="600">
        <f ca="1">IFERROR(__xludf.DUMMYFUNCTION("""COMPUTED_VALUE"""),45755)</f>
        <v>45755</v>
      </c>
      <c r="V101" s="600">
        <f ca="1">IFERROR(__xludf.DUMMYFUNCTION("""COMPUTED_VALUE"""),46312)</f>
        <v>46312</v>
      </c>
      <c r="W101" s="595" t="str">
        <f ca="1">IFERROR(__xludf.DUMMYFUNCTION("""COMPUTED_VALUE"""),"UH81381598FA")</f>
        <v>UH81381598FA</v>
      </c>
      <c r="X101" s="595"/>
      <c r="Y101" s="596">
        <f ca="1">IFERROR(__xludf.DUMMYFUNCTION("""COMPUTED_VALUE"""),45947)</f>
        <v>45947</v>
      </c>
      <c r="Z101" s="595" t="str">
        <f ca="1">IFERROR(__xludf.DUMMYFUNCTION("""COMPUTED_VALUE"""),"B-0377330-1060")</f>
        <v>B-0377330-1060</v>
      </c>
      <c r="AA101" s="595" t="str">
        <f ca="1">IFERROR(__xludf.DUMMYFUNCTION("""COMPUTED_VALUE"""),"2025.7月購入
5年間は廃棄しない
（補助金で購入の為）")</f>
        <v>2025.7月購入
5年間は廃棄しない
（補助金で購入の為）</v>
      </c>
      <c r="AB101" s="595"/>
      <c r="AC101" s="595"/>
      <c r="AD101" s="600"/>
      <c r="AE101" s="600"/>
      <c r="AF101" s="600"/>
      <c r="AG101" s="600"/>
      <c r="AH101" s="595"/>
      <c r="AI101" s="600"/>
      <c r="AJ101" s="595"/>
      <c r="AK101" s="595"/>
      <c r="AL101" s="595" t="str">
        <f ca="1">IFERROR(__xludf.DUMMYFUNCTION("""COMPUTED_VALUE"""),"〇")</f>
        <v>〇</v>
      </c>
      <c r="AM101" s="596">
        <f ca="1">IFERROR(__xludf.DUMMYFUNCTION("""COMPUTED_VALUE"""),45947)</f>
        <v>45947</v>
      </c>
      <c r="AN101" s="595" t="str">
        <f ca="1">IFERROR(__xludf.DUMMYFUNCTION("""COMPUTED_VALUE"""),"2025/11/1～2030/10/31")</f>
        <v>2025/11/1～2030/10/31</v>
      </c>
      <c r="AO101" s="595" t="str">
        <f ca="1">IFERROR(__xludf.DUMMYFUNCTION("""COMPUTED_VALUE"""),"ひめぎん
末広町支店")</f>
        <v>ひめぎん
末広町支店</v>
      </c>
      <c r="AP101" s="595" t="str">
        <f ca="1">IFERROR(__xludf.DUMMYFUNCTION("""COMPUTED_VALUE"""),"2/5面接　合格
2025/10/17入寮・10/21入社")</f>
        <v>2/5面接　合格
2025/10/17入寮・10/21入社</v>
      </c>
    </row>
    <row r="102" spans="1:42" ht="14.5">
      <c r="A102" s="595" t="str">
        <f ca="1">IFERROR(__xludf.DUMMYFUNCTION("""COMPUTED_VALUE"""),"R")</f>
        <v>R</v>
      </c>
      <c r="B102" s="595">
        <f ca="1">IFERROR(__xludf.DUMMYFUNCTION("""COMPUTED_VALUE"""),233)</f>
        <v>233</v>
      </c>
      <c r="C102" s="595" t="str">
        <f ca="1">IFERROR(__xludf.DUMMYFUNCTION("""COMPUTED_VALUE"""),"津吉")</f>
        <v>津吉</v>
      </c>
      <c r="D102" s="595" t="str">
        <f ca="1">IFERROR(__xludf.DUMMYFUNCTION("""COMPUTED_VALUE"""),"インドネシア")</f>
        <v>インドネシア</v>
      </c>
      <c r="E102" s="595" t="str">
        <f ca="1">IFERROR(__xludf.DUMMYFUNCTION("""COMPUTED_VALUE"""),"07018630")</f>
        <v>07018630</v>
      </c>
      <c r="F102" s="595" t="str">
        <f ca="1">IFERROR(__xludf.DUMMYFUNCTION("""COMPUTED_VALUE"""),"/appsheet/photograph/233.写真.074132.jpg")</f>
        <v>/appsheet/photograph/233.写真.074132.jpg</v>
      </c>
      <c r="G102" s="595" t="str">
        <f ca="1">IFERROR(__xludf.DUMMYFUNCTION("""COMPUTED_VALUE"""),"ムハマド ギムナスティアル")</f>
        <v>ムハマド ギムナスティアル</v>
      </c>
      <c r="H102" s="595" t="str">
        <f ca="1">IFERROR(__xludf.DUMMYFUNCTION("""COMPUTED_VALUE"""),"MUHAMAD GYMNASTIAR")</f>
        <v>MUHAMAD GYMNASTIAR</v>
      </c>
      <c r="I102" s="595" t="str">
        <f ca="1">IFERROR(__xludf.DUMMYFUNCTION("""COMPUTED_VALUE"""),"ギム")</f>
        <v>ギム</v>
      </c>
      <c r="J102" s="595" t="str">
        <f ca="1">IFERROR(__xludf.DUMMYFUNCTION("""COMPUTED_VALUE"""),"男")</f>
        <v>男</v>
      </c>
      <c r="K102" s="600">
        <f ca="1">IFERROR(__xludf.DUMMYFUNCTION("""COMPUTED_VALUE"""),37468)</f>
        <v>37468</v>
      </c>
      <c r="L102" s="595">
        <f ca="1">IFERROR(__xludf.DUMMYFUNCTION("""COMPUTED_VALUE"""),23)</f>
        <v>23</v>
      </c>
      <c r="M102" s="595" t="str">
        <f ca="1">IFERROR(__xludf.DUMMYFUNCTION("""COMPUTED_VALUE"""),"無")</f>
        <v>無</v>
      </c>
      <c r="N102" s="595" t="str">
        <f ca="1">IFERROR(__xludf.DUMMYFUNCTION("""COMPUTED_VALUE"""),"INA")</f>
        <v>INA</v>
      </c>
      <c r="O102" s="900">
        <f ca="1">IFERROR(__xludf.DUMMYFUNCTION("""COMPUTED_VALUE"""),45951)</f>
        <v>45951</v>
      </c>
      <c r="P102" s="595" t="str">
        <f ca="1">IFERROR(__xludf.DUMMYFUNCTION("""COMPUTED_VALUE"""),"2030/09")</f>
        <v>2030/09</v>
      </c>
      <c r="Q102" s="595" t="str">
        <f ca="1">IFERROR(__xludf.DUMMYFUNCTION("""COMPUTED_VALUE"""),"特定技能１号")</f>
        <v>特定技能１号</v>
      </c>
      <c r="R102" s="595" t="str">
        <f ca="1">IFERROR(__xludf.DUMMYFUNCTION("""COMPUTED_VALUE"""),"松山市中野町457-1")</f>
        <v>松山市中野町457-1</v>
      </c>
      <c r="S102" s="595" t="str">
        <f ca="1">IFERROR(__xludf.DUMMYFUNCTION("""COMPUTED_VALUE"""),"相")</f>
        <v>相</v>
      </c>
      <c r="T102" s="901">
        <f ca="1">IFERROR(__xludf.DUMMYFUNCTION("""COMPUTED_VALUE"""),15000)</f>
        <v>15000</v>
      </c>
      <c r="U102" s="600">
        <f ca="1">IFERROR(__xludf.DUMMYFUNCTION("""COMPUTED_VALUE"""),45755)</f>
        <v>45755</v>
      </c>
      <c r="V102" s="600">
        <f ca="1">IFERROR(__xludf.DUMMYFUNCTION("""COMPUTED_VALUE"""),46312)</f>
        <v>46312</v>
      </c>
      <c r="W102" s="595" t="str">
        <f ca="1">IFERROR(__xludf.DUMMYFUNCTION("""COMPUTED_VALUE"""),"UH27560917FA")</f>
        <v>UH27560917FA</v>
      </c>
      <c r="X102" s="595"/>
      <c r="Y102" s="596">
        <f ca="1">IFERROR(__xludf.DUMMYFUNCTION("""COMPUTED_VALUE"""),45947)</f>
        <v>45947</v>
      </c>
      <c r="Z102" s="595" t="str">
        <f ca="1">IFERROR(__xludf.DUMMYFUNCTION("""COMPUTED_VALUE"""),"Ｂ-0304389-V153")</f>
        <v>Ｂ-0304389-V153</v>
      </c>
      <c r="AA102" s="595"/>
      <c r="AB102" s="595"/>
      <c r="AC102" s="595"/>
      <c r="AD102" s="600"/>
      <c r="AE102" s="600"/>
      <c r="AF102" s="600"/>
      <c r="AG102" s="600"/>
      <c r="AH102" s="595"/>
      <c r="AI102" s="600"/>
      <c r="AJ102" s="595"/>
      <c r="AK102" s="595"/>
      <c r="AL102" s="595" t="str">
        <f ca="1">IFERROR(__xludf.DUMMYFUNCTION("""COMPUTED_VALUE"""),"〇")</f>
        <v>〇</v>
      </c>
      <c r="AM102" s="596">
        <f ca="1">IFERROR(__xludf.DUMMYFUNCTION("""COMPUTED_VALUE"""),45947)</f>
        <v>45947</v>
      </c>
      <c r="AN102" s="595" t="str">
        <f ca="1">IFERROR(__xludf.DUMMYFUNCTION("""COMPUTED_VALUE"""),"2025/11/1～2030/10/31")</f>
        <v>2025/11/1～2030/10/31</v>
      </c>
      <c r="AO102" s="595" t="str">
        <f ca="1">IFERROR(__xludf.DUMMYFUNCTION("""COMPUTED_VALUE"""),"ひめぎん
末広町支店")</f>
        <v>ひめぎん
末広町支店</v>
      </c>
      <c r="AP102" s="595" t="str">
        <f ca="1">IFERROR(__xludf.DUMMYFUNCTION("""COMPUTED_VALUE"""),"2/5面接　合格
2025/10/17入寮・10/21入社")</f>
        <v>2/5面接　合格
2025/10/17入寮・10/21入社</v>
      </c>
    </row>
    <row r="103" spans="1:42" ht="14.5">
      <c r="A103" s="595" t="str">
        <f ca="1">IFERROR(__xludf.DUMMYFUNCTION("""COMPUTED_VALUE"""),"R")</f>
        <v>R</v>
      </c>
      <c r="B103" s="595">
        <f ca="1">IFERROR(__xludf.DUMMYFUNCTION("""COMPUTED_VALUE"""),234)</f>
        <v>234</v>
      </c>
      <c r="C103" s="595" t="str">
        <f ca="1">IFERROR(__xludf.DUMMYFUNCTION("""COMPUTED_VALUE"""),"津吉")</f>
        <v>津吉</v>
      </c>
      <c r="D103" s="595" t="str">
        <f ca="1">IFERROR(__xludf.DUMMYFUNCTION("""COMPUTED_VALUE"""),"インドネシア")</f>
        <v>インドネシア</v>
      </c>
      <c r="E103" s="595" t="str">
        <f ca="1">IFERROR(__xludf.DUMMYFUNCTION("""COMPUTED_VALUE"""),"07018631")</f>
        <v>07018631</v>
      </c>
      <c r="F103" s="595" t="str">
        <f ca="1">IFERROR(__xludf.DUMMYFUNCTION("""COMPUTED_VALUE"""),"/appsheet/photograph/234.写真.074220.jpg")</f>
        <v>/appsheet/photograph/234.写真.074220.jpg</v>
      </c>
      <c r="G103" s="595" t="str">
        <f ca="1">IFERROR(__xludf.DUMMYFUNCTION("""COMPUTED_VALUE"""),"ムハッマド ユダ サプトラ")</f>
        <v>ムハッマド ユダ サプトラ</v>
      </c>
      <c r="H103" s="595" t="str">
        <f ca="1">IFERROR(__xludf.DUMMYFUNCTION("""COMPUTED_VALUE"""),"MUHAMMAD YUDHA SAPUTRA")</f>
        <v>MUHAMMAD YUDHA SAPUTRA</v>
      </c>
      <c r="I103" s="595" t="str">
        <f ca="1">IFERROR(__xludf.DUMMYFUNCTION("""COMPUTED_VALUE"""),"ユダ")</f>
        <v>ユダ</v>
      </c>
      <c r="J103" s="595" t="str">
        <f ca="1">IFERROR(__xludf.DUMMYFUNCTION("""COMPUTED_VALUE"""),"男")</f>
        <v>男</v>
      </c>
      <c r="K103" s="600">
        <f ca="1">IFERROR(__xludf.DUMMYFUNCTION("""COMPUTED_VALUE"""),37674)</f>
        <v>37674</v>
      </c>
      <c r="L103" s="595">
        <f ca="1">IFERROR(__xludf.DUMMYFUNCTION("""COMPUTED_VALUE"""),23)</f>
        <v>23</v>
      </c>
      <c r="M103" s="595" t="str">
        <f ca="1">IFERROR(__xludf.DUMMYFUNCTION("""COMPUTED_VALUE"""),"無")</f>
        <v>無</v>
      </c>
      <c r="N103" s="595" t="str">
        <f ca="1">IFERROR(__xludf.DUMMYFUNCTION("""COMPUTED_VALUE"""),"INA")</f>
        <v>INA</v>
      </c>
      <c r="O103" s="900">
        <f ca="1">IFERROR(__xludf.DUMMYFUNCTION("""COMPUTED_VALUE"""),45951)</f>
        <v>45951</v>
      </c>
      <c r="P103" s="595" t="str">
        <f ca="1">IFERROR(__xludf.DUMMYFUNCTION("""COMPUTED_VALUE"""),"2030/09")</f>
        <v>2030/09</v>
      </c>
      <c r="Q103" s="595" t="str">
        <f ca="1">IFERROR(__xludf.DUMMYFUNCTION("""COMPUTED_VALUE"""),"特定技能１号")</f>
        <v>特定技能１号</v>
      </c>
      <c r="R103" s="595" t="str">
        <f ca="1">IFERROR(__xludf.DUMMYFUNCTION("""COMPUTED_VALUE"""),"松山市中野町457-1")</f>
        <v>松山市中野町457-1</v>
      </c>
      <c r="S103" s="595" t="str">
        <f ca="1">IFERROR(__xludf.DUMMYFUNCTION("""COMPUTED_VALUE"""),"相")</f>
        <v>相</v>
      </c>
      <c r="T103" s="901">
        <f ca="1">IFERROR(__xludf.DUMMYFUNCTION("""COMPUTED_VALUE"""),15000)</f>
        <v>15000</v>
      </c>
      <c r="U103" s="600">
        <f ca="1">IFERROR(__xludf.DUMMYFUNCTION("""COMPUTED_VALUE"""),45755)</f>
        <v>45755</v>
      </c>
      <c r="V103" s="600">
        <f ca="1">IFERROR(__xludf.DUMMYFUNCTION("""COMPUTED_VALUE"""),46312)</f>
        <v>46312</v>
      </c>
      <c r="W103" s="595" t="str">
        <f ca="1">IFERROR(__xludf.DUMMYFUNCTION("""COMPUTED_VALUE"""),"UH82476295PC")</f>
        <v>UH82476295PC</v>
      </c>
      <c r="X103" s="595"/>
      <c r="Y103" s="596">
        <f ca="1">IFERROR(__xludf.DUMMYFUNCTION("""COMPUTED_VALUE"""),45947)</f>
        <v>45947</v>
      </c>
      <c r="Z103" s="595" t="str">
        <f ca="1">IFERROR(__xludf.DUMMYFUNCTION("""COMPUTED_VALUE"""),"Ｂ-0304397-V165")</f>
        <v>Ｂ-0304397-V165</v>
      </c>
      <c r="AA103" s="595"/>
      <c r="AB103" s="595"/>
      <c r="AC103" s="595"/>
      <c r="AD103" s="600"/>
      <c r="AE103" s="600"/>
      <c r="AF103" s="600"/>
      <c r="AG103" s="600"/>
      <c r="AH103" s="595"/>
      <c r="AI103" s="600"/>
      <c r="AJ103" s="595"/>
      <c r="AK103" s="595"/>
      <c r="AL103" s="595" t="str">
        <f ca="1">IFERROR(__xludf.DUMMYFUNCTION("""COMPUTED_VALUE"""),"〇")</f>
        <v>〇</v>
      </c>
      <c r="AM103" s="596">
        <f ca="1">IFERROR(__xludf.DUMMYFUNCTION("""COMPUTED_VALUE"""),45947)</f>
        <v>45947</v>
      </c>
      <c r="AN103" s="595" t="str">
        <f ca="1">IFERROR(__xludf.DUMMYFUNCTION("""COMPUTED_VALUE"""),"2025/11/1～2030/10/31")</f>
        <v>2025/11/1～2030/10/31</v>
      </c>
      <c r="AO103" s="595" t="str">
        <f ca="1">IFERROR(__xludf.DUMMYFUNCTION("""COMPUTED_VALUE"""),"ひめぎん
末広町支店")</f>
        <v>ひめぎん
末広町支店</v>
      </c>
      <c r="AP103" s="595" t="str">
        <f ca="1">IFERROR(__xludf.DUMMYFUNCTION("""COMPUTED_VALUE"""),"2/5面接　合格
2025/10/17入寮・10/21入社
2025/11/8在留カードが、銀行口座作成してから紛失。
探したが見つからず。とりあえず、コピーを渡す。
11/10在留カード再発行")</f>
        <v>2/5面接　合格
2025/10/17入寮・10/21入社
2025/11/8在留カードが、銀行口座作成してから紛失。
探したが見つからず。とりあえず、コピーを渡す。
11/10在留カード再発行</v>
      </c>
    </row>
    <row r="104" spans="1:42" ht="14.5">
      <c r="A104" s="595" t="str">
        <f ca="1">IFERROR(__xludf.DUMMYFUNCTION("""COMPUTED_VALUE"""),"R")</f>
        <v>R</v>
      </c>
      <c r="B104" s="595">
        <f ca="1">IFERROR(__xludf.DUMMYFUNCTION("""COMPUTED_VALUE"""),235)</f>
        <v>235</v>
      </c>
      <c r="C104" s="595" t="str">
        <f ca="1">IFERROR(__xludf.DUMMYFUNCTION("""COMPUTED_VALUE"""),"津吉")</f>
        <v>津吉</v>
      </c>
      <c r="D104" s="595" t="str">
        <f ca="1">IFERROR(__xludf.DUMMYFUNCTION("""COMPUTED_VALUE"""),"インドネシア")</f>
        <v>インドネシア</v>
      </c>
      <c r="E104" s="595" t="str">
        <f ca="1">IFERROR(__xludf.DUMMYFUNCTION("""COMPUTED_VALUE"""),"07018632")</f>
        <v>07018632</v>
      </c>
      <c r="F104" s="595" t="str">
        <f ca="1">IFERROR(__xludf.DUMMYFUNCTION("""COMPUTED_VALUE"""),"/appsheet/photograph/235.写真.074321.jpg")</f>
        <v>/appsheet/photograph/235.写真.074321.jpg</v>
      </c>
      <c r="G104" s="595" t="str">
        <f ca="1">IFERROR(__xludf.DUMMYFUNCTION("""COMPUTED_VALUE"""),"ジラールル リド エス")</f>
        <v>ジラールル リド エス</v>
      </c>
      <c r="H104" s="595" t="str">
        <f ca="1">IFERROR(__xludf.DUMMYFUNCTION("""COMPUTED_VALUE"""),"ZHILAALUL RIDHA S")</f>
        <v>ZHILAALUL RIDHA S</v>
      </c>
      <c r="I104" s="595" t="str">
        <f ca="1">IFERROR(__xludf.DUMMYFUNCTION("""COMPUTED_VALUE"""),"ジラ")</f>
        <v>ジラ</v>
      </c>
      <c r="J104" s="595" t="str">
        <f ca="1">IFERROR(__xludf.DUMMYFUNCTION("""COMPUTED_VALUE"""),"男")</f>
        <v>男</v>
      </c>
      <c r="K104" s="600">
        <f ca="1">IFERROR(__xludf.DUMMYFUNCTION("""COMPUTED_VALUE"""),36264)</f>
        <v>36264</v>
      </c>
      <c r="L104" s="595">
        <f ca="1">IFERROR(__xludf.DUMMYFUNCTION("""COMPUTED_VALUE"""),27)</f>
        <v>27</v>
      </c>
      <c r="M104" s="595" t="str">
        <f ca="1">IFERROR(__xludf.DUMMYFUNCTION("""COMPUTED_VALUE"""),"無")</f>
        <v>無</v>
      </c>
      <c r="N104" s="595" t="str">
        <f ca="1">IFERROR(__xludf.DUMMYFUNCTION("""COMPUTED_VALUE"""),"INA")</f>
        <v>INA</v>
      </c>
      <c r="O104" s="900">
        <f ca="1">IFERROR(__xludf.DUMMYFUNCTION("""COMPUTED_VALUE"""),45951)</f>
        <v>45951</v>
      </c>
      <c r="P104" s="595" t="str">
        <f ca="1">IFERROR(__xludf.DUMMYFUNCTION("""COMPUTED_VALUE"""),"2030/09")</f>
        <v>2030/09</v>
      </c>
      <c r="Q104" s="595" t="str">
        <f ca="1">IFERROR(__xludf.DUMMYFUNCTION("""COMPUTED_VALUE"""),"特定技能１号")</f>
        <v>特定技能１号</v>
      </c>
      <c r="R104" s="595" t="str">
        <f ca="1">IFERROR(__xludf.DUMMYFUNCTION("""COMPUTED_VALUE"""),"松山市中野町457-1")</f>
        <v>松山市中野町457-1</v>
      </c>
      <c r="S104" s="595" t="str">
        <f ca="1">IFERROR(__xludf.DUMMYFUNCTION("""COMPUTED_VALUE"""),"相")</f>
        <v>相</v>
      </c>
      <c r="T104" s="901">
        <f ca="1">IFERROR(__xludf.DUMMYFUNCTION("""COMPUTED_VALUE"""),15000)</f>
        <v>15000</v>
      </c>
      <c r="U104" s="600">
        <f ca="1">IFERROR(__xludf.DUMMYFUNCTION("""COMPUTED_VALUE"""),45755)</f>
        <v>45755</v>
      </c>
      <c r="V104" s="600">
        <f ca="1">IFERROR(__xludf.DUMMYFUNCTION("""COMPUTED_VALUE"""),46312)</f>
        <v>46312</v>
      </c>
      <c r="W104" s="595" t="str">
        <f ca="1">IFERROR(__xludf.DUMMYFUNCTION("""COMPUTED_VALUE"""),"UH69715034FA")</f>
        <v>UH69715034FA</v>
      </c>
      <c r="X104" s="595"/>
      <c r="Y104" s="596">
        <f ca="1">IFERROR(__xludf.DUMMYFUNCTION("""COMPUTED_VALUE"""),45947)</f>
        <v>45947</v>
      </c>
      <c r="Z104" s="595" t="str">
        <f ca="1">IFERROR(__xludf.DUMMYFUNCTION("""COMPUTED_VALUE"""),"Ｂ-0274813-V240")</f>
        <v>Ｂ-0274813-V240</v>
      </c>
      <c r="AA104" s="595"/>
      <c r="AB104" s="595"/>
      <c r="AC104" s="595"/>
      <c r="AD104" s="600"/>
      <c r="AE104" s="600"/>
      <c r="AF104" s="600"/>
      <c r="AG104" s="600"/>
      <c r="AH104" s="595"/>
      <c r="AI104" s="600"/>
      <c r="AJ104" s="595"/>
      <c r="AK104" s="595"/>
      <c r="AL104" s="595" t="str">
        <f ca="1">IFERROR(__xludf.DUMMYFUNCTION("""COMPUTED_VALUE"""),"〇")</f>
        <v>〇</v>
      </c>
      <c r="AM104" s="596">
        <f ca="1">IFERROR(__xludf.DUMMYFUNCTION("""COMPUTED_VALUE"""),45947)</f>
        <v>45947</v>
      </c>
      <c r="AN104" s="595" t="str">
        <f ca="1">IFERROR(__xludf.DUMMYFUNCTION("""COMPUTED_VALUE"""),"2025/11/1～2030/10/31")</f>
        <v>2025/11/1～2030/10/31</v>
      </c>
      <c r="AO104" s="595" t="str">
        <f ca="1">IFERROR(__xludf.DUMMYFUNCTION("""COMPUTED_VALUE"""),"ひめぎん
末広町支店")</f>
        <v>ひめぎん
末広町支店</v>
      </c>
      <c r="AP104" s="595" t="str">
        <f ca="1">IFERROR(__xludf.DUMMYFUNCTION("""COMPUTED_VALUE"""),"2/5面接　合格
2025/10/17入寮・10/21入社")</f>
        <v>2/5面接　合格
2025/10/17入寮・10/21入社</v>
      </c>
    </row>
    <row r="105" spans="1:42" ht="14.5">
      <c r="A105" s="595"/>
      <c r="B105" s="595">
        <f ca="1">IFERROR(__xludf.DUMMYFUNCTION("""COMPUTED_VALUE"""),237)</f>
        <v>237</v>
      </c>
      <c r="C105" s="595" t="str">
        <f ca="1">IFERROR(__xludf.DUMMYFUNCTION("""COMPUTED_VALUE"""),"津吉")</f>
        <v>津吉</v>
      </c>
      <c r="D105" s="595" t="str">
        <f ca="1">IFERROR(__xludf.DUMMYFUNCTION("""COMPUTED_VALUE"""),"インドネシア")</f>
        <v>インドネシア</v>
      </c>
      <c r="E105" s="595" t="str">
        <f ca="1">IFERROR(__xludf.DUMMYFUNCTION("""COMPUTED_VALUE"""),"07018633")</f>
        <v>07018633</v>
      </c>
      <c r="F105" s="595" t="str">
        <f ca="1">IFERROR(__xludf.DUMMYFUNCTION("""COMPUTED_VALUE"""),"/appsheet/photograph/07018633.写真.052002.jpg")</f>
        <v>/appsheet/photograph/07018633.写真.052002.jpg</v>
      </c>
      <c r="G105" s="595" t="str">
        <f ca="1">IFERROR(__xludf.DUMMYFUNCTION("""COMPUTED_VALUE"""),"ユニタ サリニンシー")</f>
        <v>ユニタ サリニンシー</v>
      </c>
      <c r="H105" s="595" t="str">
        <f ca="1">IFERROR(__xludf.DUMMYFUNCTION("""COMPUTED_VALUE"""),"YUNITA SARININGSIH")</f>
        <v>YUNITA SARININGSIH</v>
      </c>
      <c r="I105" s="595" t="str">
        <f ca="1">IFERROR(__xludf.DUMMYFUNCTION("""COMPUTED_VALUE"""),"ユニタ")</f>
        <v>ユニタ</v>
      </c>
      <c r="J105" s="595" t="str">
        <f ca="1">IFERROR(__xludf.DUMMYFUNCTION("""COMPUTED_VALUE"""),"女")</f>
        <v>女</v>
      </c>
      <c r="K105" s="600">
        <f ca="1">IFERROR(__xludf.DUMMYFUNCTION("""COMPUTED_VALUE"""),37863)</f>
        <v>37863</v>
      </c>
      <c r="L105" s="595">
        <f ca="1">IFERROR(__xludf.DUMMYFUNCTION("""COMPUTED_VALUE"""),22)</f>
        <v>22</v>
      </c>
      <c r="M105" s="595" t="str">
        <f ca="1">IFERROR(__xludf.DUMMYFUNCTION("""COMPUTED_VALUE"""),"夫婦")</f>
        <v>夫婦</v>
      </c>
      <c r="N105" s="595" t="str">
        <f ca="1">IFERROR(__xludf.DUMMYFUNCTION("""COMPUTED_VALUE"""),"H&amp;C")</f>
        <v>H&amp;C</v>
      </c>
      <c r="O105" s="900">
        <f ca="1">IFERROR(__xludf.DUMMYFUNCTION("""COMPUTED_VALUE"""),45999)</f>
        <v>45999</v>
      </c>
      <c r="P105" s="595" t="str">
        <f ca="1">IFERROR(__xludf.DUMMYFUNCTION("""COMPUTED_VALUE"""),"2027/12")</f>
        <v>2027/12</v>
      </c>
      <c r="Q105" s="595" t="str">
        <f ca="1">IFERROR(__xludf.DUMMYFUNCTION("""COMPUTED_VALUE"""),"特定技能１号")</f>
        <v>特定技能１号</v>
      </c>
      <c r="R105" s="595" t="str">
        <f ca="1">IFERROR(__xludf.DUMMYFUNCTION("""COMPUTED_VALUE"""),"松山市上野町774番地ビレッジハウス松山上野2-504")</f>
        <v>松山市上野町774番地ビレッジハウス松山上野2-504</v>
      </c>
      <c r="S105" s="595" t="str">
        <f ca="1">IFERROR(__xludf.DUMMYFUNCTION("""COMPUTED_VALUE"""),"夫婦")</f>
        <v>夫婦</v>
      </c>
      <c r="T105" s="901">
        <f ca="1">IFERROR(__xludf.DUMMYFUNCTION("""COMPUTED_VALUE"""),20000)</f>
        <v>20000</v>
      </c>
      <c r="U105" s="600">
        <f ca="1">IFERROR(__xludf.DUMMYFUNCTION("""COMPUTED_VALUE"""),46001)</f>
        <v>46001</v>
      </c>
      <c r="V105" s="600">
        <f ca="1">IFERROR(__xludf.DUMMYFUNCTION("""COMPUTED_VALUE"""),46772)</f>
        <v>46772</v>
      </c>
      <c r="W105" s="595" t="str">
        <f ca="1">IFERROR(__xludf.DUMMYFUNCTION("""COMPUTED_VALUE"""),"LJ63294244PC")</f>
        <v>LJ63294244PC</v>
      </c>
      <c r="X105" s="595"/>
      <c r="Y105" s="596">
        <f ca="1">IFERROR(__xludf.DUMMYFUNCTION("""COMPUTED_VALUE"""),45991)</f>
        <v>45991</v>
      </c>
      <c r="Z105" s="595" t="str">
        <f ca="1">IFERROR(__xludf.DUMMYFUNCTION("""COMPUTED_VALUE"""),"202409購入　旧フィ
26シルバー
B-0343708-V096")</f>
        <v>202409購入　旧フィ
26シルバー
B-0343708-V096</v>
      </c>
      <c r="AA105" s="595"/>
      <c r="AB105" s="595"/>
      <c r="AC105" s="595"/>
      <c r="AD105" s="600"/>
      <c r="AE105" s="600"/>
      <c r="AF105" s="600"/>
      <c r="AG105" s="600"/>
      <c r="AH105" s="595"/>
      <c r="AI105" s="600"/>
      <c r="AJ105" s="595"/>
      <c r="AK105" s="595"/>
      <c r="AL105" s="595" t="str">
        <f ca="1">IFERROR(__xludf.DUMMYFUNCTION("""COMPUTED_VALUE"""),"〇")</f>
        <v>〇</v>
      </c>
      <c r="AM105" s="596">
        <f ca="1">IFERROR(__xludf.DUMMYFUNCTION("""COMPUTED_VALUE"""),44922)</f>
        <v>44922</v>
      </c>
      <c r="AN105" s="595" t="str">
        <f ca="1">IFERROR(__xludf.DUMMYFUNCTION("""COMPUTED_VALUE"""),"2025/12/1～2028/01/31")</f>
        <v>2025/12/1～2028/01/31</v>
      </c>
      <c r="AO105" s="595" t="str">
        <f ca="1">IFERROR(__xludf.DUMMYFUNCTION("""COMPUTED_VALUE"""),"ひめぎん
末広町支店")</f>
        <v>ひめぎん
末広町支店</v>
      </c>
      <c r="AP105" s="595" t="str">
        <f ca="1">IFERROR(__xludf.DUMMYFUNCTION("""COMPUTED_VALUE"""),"2023/01/11入社2023/2/21～牛渕170-3母屋2F→上野ビレッジ4-502へ引越
住民票、在留カード手続済3/8
2025/02頃一時帰国希望→変更依頼中
10k瘦せたため、親より帰国依頼
2025/03/20退職
ナウファルの奥さん
再雇用時の入国の飛行機代は本人負担。布団のみ購入。
2025/11/30入寮　12/8入社
雇入時健康診断は2026/1月予定")</f>
        <v>2023/01/11入社2023/2/21～牛渕170-3母屋2F→上野ビレッジ4-502へ引越
住民票、在留カード手続済3/8
2025/02頃一時帰国希望→変更依頼中
10k瘦せたため、親より帰国依頼
2025/03/20退職
ナウファルの奥さん
再雇用時の入国の飛行機代は本人負担。布団のみ購入。
2025/11/30入寮　12/8入社
雇入時健康診断は2026/1月予定</v>
      </c>
    </row>
    <row r="106" spans="1:42" ht="14.5">
      <c r="A106" s="595"/>
      <c r="B106" s="595">
        <f ca="1">IFERROR(__xludf.DUMMYFUNCTION("""COMPUTED_VALUE"""),239)</f>
        <v>239</v>
      </c>
      <c r="C106" s="595" t="str">
        <f ca="1">IFERROR(__xludf.DUMMYFUNCTION("""COMPUTED_VALUE"""),"津吉")</f>
        <v>津吉</v>
      </c>
      <c r="D106" s="595" t="str">
        <f ca="1">IFERROR(__xludf.DUMMYFUNCTION("""COMPUTED_VALUE"""),"インドネシア")</f>
        <v>インドネシア</v>
      </c>
      <c r="E106" s="595" t="str">
        <f ca="1">IFERROR(__xludf.DUMMYFUNCTION("""COMPUTED_VALUE"""),"07018634")</f>
        <v>07018634</v>
      </c>
      <c r="F106" s="595" t="str">
        <f ca="1">IFERROR(__xludf.DUMMYFUNCTION("""COMPUTED_VALUE"""),"/appsheet/photograph/07018634.写真.050945.jpg")</f>
        <v>/appsheet/photograph/07018634.写真.050945.jpg</v>
      </c>
      <c r="G106" s="595" t="str">
        <f ca="1">IFERROR(__xludf.DUMMYFUNCTION("""COMPUTED_VALUE"""),"タフィフ　ヌル　アンディカ")</f>
        <v>タフィフ　ヌル　アンディカ</v>
      </c>
      <c r="H106" s="595" t="str">
        <f ca="1">IFERROR(__xludf.DUMMYFUNCTION("""COMPUTED_VALUE"""),"TAFIF NUR ANDIKA")</f>
        <v>TAFIF NUR ANDIKA</v>
      </c>
      <c r="I106" s="595" t="str">
        <f ca="1">IFERROR(__xludf.DUMMYFUNCTION("""COMPUTED_VALUE"""),"タフィフ")</f>
        <v>タフィフ</v>
      </c>
      <c r="J106" s="595" t="str">
        <f ca="1">IFERROR(__xludf.DUMMYFUNCTION("""COMPUTED_VALUE"""),"男")</f>
        <v>男</v>
      </c>
      <c r="K106" s="600">
        <f ca="1">IFERROR(__xludf.DUMMYFUNCTION("""COMPUTED_VALUE"""),36458)</f>
        <v>36458</v>
      </c>
      <c r="L106" s="595">
        <f ca="1">IFERROR(__xludf.DUMMYFUNCTION("""COMPUTED_VALUE"""),26)</f>
        <v>26</v>
      </c>
      <c r="M106" s="595" t="str">
        <f ca="1">IFERROR(__xludf.DUMMYFUNCTION("""COMPUTED_VALUE"""),"夫婦")</f>
        <v>夫婦</v>
      </c>
      <c r="N106" s="595" t="str">
        <f ca="1">IFERROR(__xludf.DUMMYFUNCTION("""COMPUTED_VALUE"""),"中温")</f>
        <v>中温</v>
      </c>
      <c r="O106" s="900">
        <f ca="1">IFERROR(__xludf.DUMMYFUNCTION("""COMPUTED_VALUE"""),46077)</f>
        <v>46077</v>
      </c>
      <c r="P106" s="595" t="str">
        <f ca="1">IFERROR(__xludf.DUMMYFUNCTION("""COMPUTED_VALUE"""),"2031/01")</f>
        <v>2031/01</v>
      </c>
      <c r="Q106" s="595" t="str">
        <f ca="1">IFERROR(__xludf.DUMMYFUNCTION("""COMPUTED_VALUE"""),"特定技能１号")</f>
        <v>特定技能１号</v>
      </c>
      <c r="R106" s="595" t="str">
        <f ca="1">IFERROR(__xludf.DUMMYFUNCTION("""COMPUTED_VALUE"""),"松山市上野町774番地ビレッジハウス松山上野2-508")</f>
        <v>松山市上野町774番地ビレッジハウス松山上野2-508</v>
      </c>
      <c r="S106" s="595" t="str">
        <f ca="1">IFERROR(__xludf.DUMMYFUNCTION("""COMPUTED_VALUE"""),"夫婦")</f>
        <v>夫婦</v>
      </c>
      <c r="T106" s="901">
        <f ca="1">IFERROR(__xludf.DUMMYFUNCTION("""COMPUTED_VALUE"""),20000)</f>
        <v>20000</v>
      </c>
      <c r="U106" s="600">
        <f ca="1">IFERROR(__xludf.DUMMYFUNCTION("""COMPUTED_VALUE"""),45912)</f>
        <v>45912</v>
      </c>
      <c r="V106" s="600">
        <f ca="1">IFERROR(__xludf.DUMMYFUNCTION("""COMPUTED_VALUE"""),46436)</f>
        <v>46436</v>
      </c>
      <c r="W106" s="595" t="str">
        <f ca="1">IFERROR(__xludf.DUMMYFUNCTION("""COMPUTED_VALUE"""),"LJ63250088PC")</f>
        <v>LJ63250088PC</v>
      </c>
      <c r="X106" s="595"/>
      <c r="Y106" s="596">
        <f ca="1">IFERROR(__xludf.DUMMYFUNCTION("""COMPUTED_VALUE"""),46071)</f>
        <v>46071</v>
      </c>
      <c r="Z106" s="595" t="str">
        <f ca="1">IFERROR(__xludf.DUMMYFUNCTION("""COMPUTED_VALUE"""),"B-0296116－X236 ")</f>
        <v xml:space="preserve">B-0296116－X236 </v>
      </c>
      <c r="AA106" s="595"/>
      <c r="AB106" s="595"/>
      <c r="AC106" s="595"/>
      <c r="AD106" s="600"/>
      <c r="AE106" s="600"/>
      <c r="AF106" s="600"/>
      <c r="AG106" s="600"/>
      <c r="AH106" s="595"/>
      <c r="AI106" s="600"/>
      <c r="AJ106" s="595"/>
      <c r="AK106" s="595"/>
      <c r="AL106" s="595" t="str">
        <f ca="1">IFERROR(__xludf.DUMMYFUNCTION("""COMPUTED_VALUE"""),"〇")</f>
        <v>〇</v>
      </c>
      <c r="AM106" s="596">
        <f ca="1">IFERROR(__xludf.DUMMYFUNCTION("""COMPUTED_VALUE"""),46071)</f>
        <v>46071</v>
      </c>
      <c r="AN106" s="595" t="str">
        <f ca="1">IFERROR(__xludf.DUMMYFUNCTION("""COMPUTED_VALUE"""),"2026/3/1-2031/2/28")</f>
        <v>2026/3/1-2031/2/28</v>
      </c>
      <c r="AO106" s="595" t="str">
        <f ca="1">IFERROR(__xludf.DUMMYFUNCTION("""COMPUTED_VALUE"""),"ひめぎん
末広町支店")</f>
        <v>ひめぎん
末広町支店</v>
      </c>
      <c r="AP106" s="595" t="str">
        <f ca="1">IFERROR(__xludf.DUMMYFUNCTION("""COMPUTED_VALUE"""),"妻ウフィク
2025/8/20ウフィクより中温で雇用してほしいとのこと。新開工場長は前向きに検討してほしいとのこと。2026の入社でかまわないのでとのこと
2025/09/01面接　合格　
2025/08/02ウフィクと結婚
ウフィクが休みの日に再度話をする予定")</f>
        <v>妻ウフィク
2025/8/20ウフィクより中温で雇用してほしいとのこと。新開工場長は前向きに検討してほしいとのこと。2026の入社でかまわないのでとのこと
2025/09/01面接　合格　
2025/08/02ウフィクと結婚
ウフィクが休みの日に再度話をする予定</v>
      </c>
    </row>
    <row r="107" spans="1:42" ht="14.5">
      <c r="A107" s="595"/>
      <c r="B107" s="595">
        <f ca="1">IFERROR(__xludf.DUMMYFUNCTION("""COMPUTED_VALUE"""),240)</f>
        <v>240</v>
      </c>
      <c r="C107" s="595" t="str">
        <f ca="1">IFERROR(__xludf.DUMMYFUNCTION("""COMPUTED_VALUE"""),"津吉")</f>
        <v>津吉</v>
      </c>
      <c r="D107" s="595" t="str">
        <f ca="1">IFERROR(__xludf.DUMMYFUNCTION("""COMPUTED_VALUE"""),"インドネシア")</f>
        <v>インドネシア</v>
      </c>
      <c r="E107" s="595" t="str">
        <f ca="1">IFERROR(__xludf.DUMMYFUNCTION("""COMPUTED_VALUE"""),"07018635")</f>
        <v>07018635</v>
      </c>
      <c r="F107" s="595" t="str">
        <f ca="1">IFERROR(__xludf.DUMMYFUNCTION("""COMPUTED_VALUE"""),"/appsheet/photograph/07018635.写真.014652.jpg")</f>
        <v>/appsheet/photograph/07018635.写真.014652.jpg</v>
      </c>
      <c r="G107" s="595" t="str">
        <f ca="1">IFERROR(__xludf.DUMMYFUNCTION("""COMPUTED_VALUE"""),"リンダ ヌルハリザ")</f>
        <v>リンダ ヌルハリザ</v>
      </c>
      <c r="H107" s="595" t="str">
        <f ca="1">IFERROR(__xludf.DUMMYFUNCTION("""COMPUTED_VALUE"""),"LINDA NURHALIZA")</f>
        <v>LINDA NURHALIZA</v>
      </c>
      <c r="I107" s="595" t="str">
        <f ca="1">IFERROR(__xludf.DUMMYFUNCTION("""COMPUTED_VALUE"""),"リンダ")</f>
        <v>リンダ</v>
      </c>
      <c r="J107" s="595" t="str">
        <f ca="1">IFERROR(__xludf.DUMMYFUNCTION("""COMPUTED_VALUE"""),"女")</f>
        <v>女</v>
      </c>
      <c r="K107" s="600">
        <f ca="1">IFERROR(__xludf.DUMMYFUNCTION("""COMPUTED_VALUE"""),35762)</f>
        <v>35762</v>
      </c>
      <c r="L107" s="595">
        <f ca="1">IFERROR(__xludf.DUMMYFUNCTION("""COMPUTED_VALUE"""),28)</f>
        <v>28</v>
      </c>
      <c r="M107" s="595" t="str">
        <f ca="1">IFERROR(__xludf.DUMMYFUNCTION("""COMPUTED_VALUE"""),"夫婦")</f>
        <v>夫婦</v>
      </c>
      <c r="N107" s="595" t="str">
        <f ca="1">IFERROR(__xludf.DUMMYFUNCTION("""COMPUTED_VALUE"""),"中温")</f>
        <v>中温</v>
      </c>
      <c r="O107" s="900">
        <f ca="1">IFERROR(__xludf.DUMMYFUNCTION("""COMPUTED_VALUE"""),46119)</f>
        <v>46119</v>
      </c>
      <c r="P107" s="595"/>
      <c r="Q107" s="595" t="str">
        <f ca="1">IFERROR(__xludf.DUMMYFUNCTION("""COMPUTED_VALUE"""),"特定技能１号")</f>
        <v>特定技能１号</v>
      </c>
      <c r="R107" s="595" t="str">
        <f ca="1">IFERROR(__xludf.DUMMYFUNCTION("""COMPUTED_VALUE"""),"松山市上野町774番地ビレッジハウス松山上野2-503")</f>
        <v>松山市上野町774番地ビレッジハウス松山上野2-503</v>
      </c>
      <c r="S107" s="595" t="str">
        <f ca="1">IFERROR(__xludf.DUMMYFUNCTION("""COMPUTED_VALUE"""),"夫婦")</f>
        <v>夫婦</v>
      </c>
      <c r="T107" s="901">
        <f ca="1">IFERROR(__xludf.DUMMYFUNCTION("""COMPUTED_VALUE"""),20000)</f>
        <v>20000</v>
      </c>
      <c r="U107" s="600">
        <f ca="1">IFERROR(__xludf.DUMMYFUNCTION("""COMPUTED_VALUE"""),45912)</f>
        <v>45912</v>
      </c>
      <c r="V107" s="600">
        <f ca="1">IFERROR(__xludf.DUMMYFUNCTION("""COMPUTED_VALUE"""),46481)</f>
        <v>46481</v>
      </c>
      <c r="W107" s="595" t="str">
        <f ca="1">IFERROR(__xludf.DUMMYFUNCTION("""COMPUTED_VALUE"""),"LJ13769919GA")</f>
        <v>LJ13769919GA</v>
      </c>
      <c r="X107" s="595"/>
      <c r="Y107" s="596"/>
      <c r="Z107" s="595" t="str">
        <f ca="1">IFERROR(__xludf.DUMMYFUNCTION("""COMPUTED_VALUE"""),"不要申出")</f>
        <v>不要申出</v>
      </c>
      <c r="AA107" s="595"/>
      <c r="AB107" s="595"/>
      <c r="AC107" s="595"/>
      <c r="AD107" s="600"/>
      <c r="AE107" s="600"/>
      <c r="AF107" s="600"/>
      <c r="AG107" s="600"/>
      <c r="AH107" s="595"/>
      <c r="AI107" s="600"/>
      <c r="AJ107" s="595"/>
      <c r="AK107" s="595"/>
      <c r="AL107" s="595" t="str">
        <f ca="1">IFERROR(__xludf.DUMMYFUNCTION("""COMPUTED_VALUE"""),"〇")</f>
        <v>〇</v>
      </c>
      <c r="AM107" s="596">
        <f ca="1">IFERROR(__xludf.DUMMYFUNCTION("""COMPUTED_VALUE"""),44661)</f>
        <v>44661</v>
      </c>
      <c r="AN107" s="595" t="str">
        <f ca="1">IFERROR(__xludf.DUMMYFUNCTION("""COMPUTED_VALUE"""),"2026/5/1～")</f>
        <v>2026/5/1～</v>
      </c>
      <c r="AO107" s="595" t="str">
        <f ca="1">IFERROR(__xludf.DUMMYFUNCTION("""COMPUTED_VALUE"""),"ひめぎん
末広町支店")</f>
        <v>ひめぎん
末広町支店</v>
      </c>
      <c r="AP107" s="595"/>
    </row>
    <row r="108" spans="1:42" ht="14.5">
      <c r="A108" s="595"/>
      <c r="B108" s="595">
        <f ca="1">IFERROR(__xludf.DUMMYFUNCTION("""COMPUTED_VALUE"""),241)</f>
        <v>241</v>
      </c>
      <c r="C108" s="595" t="str">
        <f ca="1">IFERROR(__xludf.DUMMYFUNCTION("""COMPUTED_VALUE"""),"津吉")</f>
        <v>津吉</v>
      </c>
      <c r="D108" s="595" t="str">
        <f ca="1">IFERROR(__xludf.DUMMYFUNCTION("""COMPUTED_VALUE"""),"インドネシア")</f>
        <v>インドネシア</v>
      </c>
      <c r="E108" s="595" t="str">
        <f ca="1">IFERROR(__xludf.DUMMYFUNCTION("""COMPUTED_VALUE"""),"07018636")</f>
        <v>07018636</v>
      </c>
      <c r="F108" s="595" t="str">
        <f ca="1">IFERROR(__xludf.DUMMYFUNCTION("""COMPUTED_VALUE"""),"/appsheet/photograph/22222222.写真.024058.jpg")</f>
        <v>/appsheet/photograph/22222222.写真.024058.jpg</v>
      </c>
      <c r="G108" s="595" t="str">
        <f ca="1">IFERROR(__xludf.DUMMYFUNCTION("""COMPUTED_VALUE"""),"フェリンダ")</f>
        <v>フェリンダ</v>
      </c>
      <c r="H108" s="595" t="str">
        <f ca="1">IFERROR(__xludf.DUMMYFUNCTION("""COMPUTED_VALUE"""),"FELINDA")</f>
        <v>FELINDA</v>
      </c>
      <c r="I108" s="595"/>
      <c r="J108" s="595" t="str">
        <f ca="1">IFERROR(__xludf.DUMMYFUNCTION("""COMPUTED_VALUE"""),"女")</f>
        <v>女</v>
      </c>
      <c r="K108" s="600">
        <f ca="1">IFERROR(__xludf.DUMMYFUNCTION("""COMPUTED_VALUE"""),37292)</f>
        <v>37292</v>
      </c>
      <c r="L108" s="595">
        <f ca="1">IFERROR(__xludf.DUMMYFUNCTION("""COMPUTED_VALUE"""),24)</f>
        <v>24</v>
      </c>
      <c r="M108" s="595" t="str">
        <f ca="1">IFERROR(__xludf.DUMMYFUNCTION("""COMPUTED_VALUE"""),"無")</f>
        <v>無</v>
      </c>
      <c r="N108" s="595" t="str">
        <f ca="1">IFERROR(__xludf.DUMMYFUNCTION("""COMPUTED_VALUE"""),"中温")</f>
        <v>中温</v>
      </c>
      <c r="O108" s="900">
        <f ca="1">IFERROR(__xludf.DUMMYFUNCTION("""COMPUTED_VALUE"""),46122)</f>
        <v>46122</v>
      </c>
      <c r="P108" s="595"/>
      <c r="Q108" s="595" t="str">
        <f ca="1">IFERROR(__xludf.DUMMYFUNCTION("""COMPUTED_VALUE"""),"特定技能１号")</f>
        <v>特定技能１号</v>
      </c>
      <c r="R108" s="595" t="str">
        <f ca="1">IFERROR(__xludf.DUMMYFUNCTION("""COMPUTED_VALUE"""),"松山市上野町774番地ビレッジハウス松山上野4₋407")</f>
        <v>松山市上野町774番地ビレッジハウス松山上野4₋407</v>
      </c>
      <c r="S108" s="595" t="str">
        <f ca="1">IFERROR(__xludf.DUMMYFUNCTION("""COMPUTED_VALUE"""),"個")</f>
        <v>個</v>
      </c>
      <c r="T108" s="901">
        <f ca="1">IFERROR(__xludf.DUMMYFUNCTION("""COMPUTED_VALUE"""),15000)</f>
        <v>15000</v>
      </c>
      <c r="U108" s="600">
        <f ca="1">IFERROR(__xludf.DUMMYFUNCTION("""COMPUTED_VALUE"""),46037)</f>
        <v>46037</v>
      </c>
      <c r="V108" s="600">
        <f ca="1">IFERROR(__xludf.DUMMYFUNCTION("""COMPUTED_VALUE"""),46852)</f>
        <v>46852</v>
      </c>
      <c r="W108" s="595" t="str">
        <f ca="1">IFERROR(__xludf.DUMMYFUNCTION("""COMPUTED_VALUE"""),"LJ58798422PC")</f>
        <v>LJ58798422PC</v>
      </c>
      <c r="X108" s="595"/>
      <c r="Y108" s="596">
        <f ca="1">IFERROR(__xludf.DUMMYFUNCTION("""COMPUTED_VALUE"""),46116)</f>
        <v>46116</v>
      </c>
      <c r="Z108" s="595" t="str">
        <f ca="1">IFERROR(__xludf.DUMMYFUNCTION("""COMPUTED_VALUE"""),"アベリア　赤
B-0357434-V030")</f>
        <v>アベリア　赤
B-0357434-V030</v>
      </c>
      <c r="AA108" s="595"/>
      <c r="AB108" s="595"/>
      <c r="AC108" s="595"/>
      <c r="AD108" s="600"/>
      <c r="AE108" s="600"/>
      <c r="AF108" s="600"/>
      <c r="AG108" s="600"/>
      <c r="AH108" s="595"/>
      <c r="AI108" s="600"/>
      <c r="AJ108" s="595"/>
      <c r="AK108" s="595"/>
      <c r="AL108" s="595" t="str">
        <f ca="1">IFERROR(__xludf.DUMMYFUNCTION("""COMPUTED_VALUE"""),"○")</f>
        <v>○</v>
      </c>
      <c r="AM108" s="596">
        <f ca="1">IFERROR(__xludf.DUMMYFUNCTION("""COMPUTED_VALUE"""),46121)</f>
        <v>46121</v>
      </c>
      <c r="AN108" s="595" t="str">
        <f ca="1">IFERROR(__xludf.DUMMYFUNCTION("""COMPUTED_VALUE"""),"2026/5/1～")</f>
        <v>2026/5/1～</v>
      </c>
      <c r="AO108" s="595" t="str">
        <f ca="1">IFERROR(__xludf.DUMMYFUNCTION("""COMPUTED_VALUE"""),"ひめぎん
末広町支店")</f>
        <v>ひめぎん
末広町支店</v>
      </c>
      <c r="AP108" s="595"/>
    </row>
    <row r="109" spans="1:42" ht="14.5">
      <c r="A109" s="595"/>
      <c r="B109" s="595">
        <f ca="1">IFERROR(__xludf.DUMMYFUNCTION("""COMPUTED_VALUE"""),242)</f>
        <v>242</v>
      </c>
      <c r="C109" s="595" t="str">
        <f ca="1">IFERROR(__xludf.DUMMYFUNCTION("""COMPUTED_VALUE"""),"津吉")</f>
        <v>津吉</v>
      </c>
      <c r="D109" s="595" t="str">
        <f ca="1">IFERROR(__xludf.DUMMYFUNCTION("""COMPUTED_VALUE"""),"インドネシア")</f>
        <v>インドネシア</v>
      </c>
      <c r="E109" s="595" t="str">
        <f ca="1">IFERROR(__xludf.DUMMYFUNCTION("""COMPUTED_VALUE"""),"00000001")</f>
        <v>00000001</v>
      </c>
      <c r="F109" s="595"/>
      <c r="G109" s="595" t="str">
        <f ca="1">IFERROR(__xludf.DUMMYFUNCTION("""COMPUTED_VALUE"""),"アグス　プラヨガ")</f>
        <v>アグス　プラヨガ</v>
      </c>
      <c r="H109" s="595" t="str">
        <f ca="1">IFERROR(__xludf.DUMMYFUNCTION("""COMPUTED_VALUE"""),"AGUS PRAYOGA")</f>
        <v>AGUS PRAYOGA</v>
      </c>
      <c r="I109" s="595" t="str">
        <f ca="1">IFERROR(__xludf.DUMMYFUNCTION("""COMPUTED_VALUE"""),"ヨガ")</f>
        <v>ヨガ</v>
      </c>
      <c r="J109" s="595" t="str">
        <f ca="1">IFERROR(__xludf.DUMMYFUNCTION("""COMPUTED_VALUE"""),"男")</f>
        <v>男</v>
      </c>
      <c r="K109" s="600">
        <f ca="1">IFERROR(__xludf.DUMMYFUNCTION("""COMPUTED_VALUE"""),36119)</f>
        <v>36119</v>
      </c>
      <c r="L109" s="595">
        <f ca="1">IFERROR(__xludf.DUMMYFUNCTION("""COMPUTED_VALUE"""),27)</f>
        <v>27</v>
      </c>
      <c r="M109" s="595" t="str">
        <f ca="1">IFERROR(__xludf.DUMMYFUNCTION("""COMPUTED_VALUE"""),"夫婦")</f>
        <v>夫婦</v>
      </c>
      <c r="N109" s="595" t="str">
        <f ca="1">IFERROR(__xludf.DUMMYFUNCTION("""COMPUTED_VALUE"""),"中温")</f>
        <v>中温</v>
      </c>
      <c r="O109" s="900">
        <f ca="1">IFERROR(__xludf.DUMMYFUNCTION("""COMPUTED_VALUE"""),46136)</f>
        <v>46136</v>
      </c>
      <c r="P109" s="595"/>
      <c r="Q109" s="595" t="str">
        <f ca="1">IFERROR(__xludf.DUMMYFUNCTION("""COMPUTED_VALUE"""),"特定技能１号")</f>
        <v>特定技能１号</v>
      </c>
      <c r="R109" s="595" t="str">
        <f ca="1">IFERROR(__xludf.DUMMYFUNCTION("""COMPUTED_VALUE"""),"松山市上野町774番地ビレッジハウス松山上野3ｰ508")</f>
        <v>松山市上野町774番地ビレッジハウス松山上野3ｰ508</v>
      </c>
      <c r="S109" s="595" t="str">
        <f ca="1">IFERROR(__xludf.DUMMYFUNCTION("""COMPUTED_VALUE"""),"夫婦")</f>
        <v>夫婦</v>
      </c>
      <c r="T109" s="901">
        <f ca="1">IFERROR(__xludf.DUMMYFUNCTION("""COMPUTED_VALUE"""),15000)</f>
        <v>15000</v>
      </c>
      <c r="U109" s="600"/>
      <c r="V109" s="600"/>
      <c r="W109" s="595"/>
      <c r="X109" s="595"/>
      <c r="Y109" s="596"/>
      <c r="Z109" s="595" t="str">
        <f ca="1">IFERROR(__xludf.DUMMYFUNCTION("""COMPUTED_VALUE"""),"202409購入
26シルバー
B-0343707-X019")</f>
        <v>202409購入
26シルバー
B-0343707-X019</v>
      </c>
      <c r="AA109" s="595"/>
      <c r="AB109" s="595"/>
      <c r="AC109" s="595"/>
      <c r="AD109" s="600"/>
      <c r="AE109" s="600"/>
      <c r="AF109" s="600"/>
      <c r="AG109" s="600"/>
      <c r="AH109" s="595"/>
      <c r="AI109" s="600"/>
      <c r="AJ109" s="595"/>
      <c r="AK109" s="595"/>
      <c r="AL109" s="595"/>
      <c r="AM109" s="596"/>
      <c r="AN109" s="595"/>
      <c r="AO109" s="595"/>
      <c r="AP109" s="595" t="str">
        <f ca="1">IFERROR(__xludf.DUMMYFUNCTION("""COMPUTED_VALUE"""),"エヴィの夫")</f>
        <v>エヴィの夫</v>
      </c>
    </row>
    <row r="110" spans="1:42" ht="14.5">
      <c r="A110" s="595"/>
      <c r="B110" s="595">
        <f ca="1">IFERROR(__xludf.DUMMYFUNCTION("""COMPUTED_VALUE"""),244)</f>
        <v>244</v>
      </c>
      <c r="C110" s="595" t="str">
        <f ca="1">IFERROR(__xludf.DUMMYFUNCTION("""COMPUTED_VALUE"""),"津吉")</f>
        <v>津吉</v>
      </c>
      <c r="D110" s="595" t="str">
        <f ca="1">IFERROR(__xludf.DUMMYFUNCTION("""COMPUTED_VALUE"""),"インドネシア")</f>
        <v>インドネシア</v>
      </c>
      <c r="E110" s="595" t="str">
        <f ca="1">IFERROR(__xludf.DUMMYFUNCTION("""COMPUTED_VALUE"""),"00000003")</f>
        <v>00000003</v>
      </c>
      <c r="F110" s="595"/>
      <c r="G110" s="595" t="str">
        <f ca="1">IFERROR(__xludf.DUMMYFUNCTION("""COMPUTED_VALUE"""),"アルム　ムティアラ　ヴァレンティネザ　プトリ")</f>
        <v>アルム　ムティアラ　ヴァレンティネザ　プトリ</v>
      </c>
      <c r="H110" s="595" t="str">
        <f ca="1">IFERROR(__xludf.DUMMYFUNCTION("""COMPUTED_VALUE"""),"ARUM MUTIARA VALENTINEZA PUTRI")</f>
        <v>ARUM MUTIARA VALENTINEZA PUTRI</v>
      </c>
      <c r="I110" s="595"/>
      <c r="J110" s="595" t="str">
        <f ca="1">IFERROR(__xludf.DUMMYFUNCTION("""COMPUTED_VALUE"""),"女")</f>
        <v>女</v>
      </c>
      <c r="K110" s="600">
        <f ca="1">IFERROR(__xludf.DUMMYFUNCTION("""COMPUTED_VALUE"""),35080)</f>
        <v>35080</v>
      </c>
      <c r="L110" s="595">
        <f ca="1">IFERROR(__xludf.DUMMYFUNCTION("""COMPUTED_VALUE"""),30)</f>
        <v>30</v>
      </c>
      <c r="M110" s="595" t="str">
        <f ca="1">IFERROR(__xludf.DUMMYFUNCTION("""COMPUTED_VALUE"""),"夫婦")</f>
        <v>夫婦</v>
      </c>
      <c r="N110" s="595" t="str">
        <f ca="1">IFERROR(__xludf.DUMMYFUNCTION("""COMPUTED_VALUE"""),"中温")</f>
        <v>中温</v>
      </c>
      <c r="O110" s="900">
        <f ca="1">IFERROR(__xludf.DUMMYFUNCTION("""COMPUTED_VALUE"""),46143)</f>
        <v>46143</v>
      </c>
      <c r="P110" s="595"/>
      <c r="Q110" s="595" t="str">
        <f ca="1">IFERROR(__xludf.DUMMYFUNCTION("""COMPUTED_VALUE"""),"特定技能１号")</f>
        <v>特定技能１号</v>
      </c>
      <c r="R110" s="595" t="str">
        <f ca="1">IFERROR(__xludf.DUMMYFUNCTION("""COMPUTED_VALUE"""),"松山市上野町774番地ビレッジハウス松山上野2-506")</f>
        <v>松山市上野町774番地ビレッジハウス松山上野2-506</v>
      </c>
      <c r="S110" s="595" t="str">
        <f ca="1">IFERROR(__xludf.DUMMYFUNCTION("""COMPUTED_VALUE"""),"夫婦")</f>
        <v>夫婦</v>
      </c>
      <c r="T110" s="901"/>
      <c r="U110" s="600"/>
      <c r="V110" s="600"/>
      <c r="W110" s="595"/>
      <c r="X110" s="595"/>
      <c r="Y110" s="596"/>
      <c r="Z110" s="595" t="str">
        <f ca="1">IFERROR(__xludf.DUMMYFUNCTION("""COMPUTED_VALUE"""),"202409購入
26シルバー
B-0343706-X193")</f>
        <v>202409購入
26シルバー
B-0343706-X193</v>
      </c>
      <c r="AA110" s="595"/>
      <c r="AB110" s="595"/>
      <c r="AC110" s="595"/>
      <c r="AD110" s="600"/>
      <c r="AE110" s="600"/>
      <c r="AF110" s="600"/>
      <c r="AG110" s="600"/>
      <c r="AH110" s="595"/>
      <c r="AI110" s="600"/>
      <c r="AJ110" s="595"/>
      <c r="AK110" s="595"/>
      <c r="AL110" s="595"/>
      <c r="AM110" s="596"/>
      <c r="AN110" s="595"/>
      <c r="AO110" s="595"/>
      <c r="AP110" s="595" t="str">
        <f ca="1">IFERROR(__xludf.DUMMYFUNCTION("""COMPUTED_VALUE"""),"ククの奥さん")</f>
        <v>ククの奥さん</v>
      </c>
    </row>
    <row r="111" spans="1:42" ht="14.5">
      <c r="A111" s="595"/>
      <c r="B111" s="595">
        <f ca="1">IFERROR(__xludf.DUMMYFUNCTION("""COMPUTED_VALUE"""),246)</f>
        <v>246</v>
      </c>
      <c r="C111" s="595" t="str">
        <f ca="1">IFERROR(__xludf.DUMMYFUNCTION("""COMPUTED_VALUE"""),"津吉")</f>
        <v>津吉</v>
      </c>
      <c r="D111" s="595" t="str">
        <f ca="1">IFERROR(__xludf.DUMMYFUNCTION("""COMPUTED_VALUE"""),"インドネシア")</f>
        <v>インドネシア</v>
      </c>
      <c r="E111" s="595" t="str">
        <f ca="1">IFERROR(__xludf.DUMMYFUNCTION("""COMPUTED_VALUE"""),"00000005")</f>
        <v>00000005</v>
      </c>
      <c r="F111" s="595"/>
      <c r="G111" s="595" t="str">
        <f ca="1">IFERROR(__xludf.DUMMYFUNCTION("""COMPUTED_VALUE"""),"イルハム　マウラナ")</f>
        <v>イルハム　マウラナ</v>
      </c>
      <c r="H111" s="595" t="str">
        <f ca="1">IFERROR(__xludf.DUMMYFUNCTION("""COMPUTED_VALUE"""),"ILHAM　MAULANA")</f>
        <v>ILHAM　MAULANA</v>
      </c>
      <c r="I111" s="595" t="str">
        <f ca="1">IFERROR(__xludf.DUMMYFUNCTION("""COMPUTED_VALUE"""),"イルハム")</f>
        <v>イルハム</v>
      </c>
      <c r="J111" s="595" t="str">
        <f ca="1">IFERROR(__xludf.DUMMYFUNCTION("""COMPUTED_VALUE"""),"男")</f>
        <v>男</v>
      </c>
      <c r="K111" s="600">
        <f ca="1">IFERROR(__xludf.DUMMYFUNCTION("""COMPUTED_VALUE"""),36320)</f>
        <v>36320</v>
      </c>
      <c r="L111" s="595">
        <f ca="1">IFERROR(__xludf.DUMMYFUNCTION("""COMPUTED_VALUE"""),26)</f>
        <v>26</v>
      </c>
      <c r="M111" s="595" t="str">
        <f ca="1">IFERROR(__xludf.DUMMYFUNCTION("""COMPUTED_VALUE"""),"無")</f>
        <v>無</v>
      </c>
      <c r="N111" s="595"/>
      <c r="O111" s="900">
        <f ca="1">IFERROR(__xludf.DUMMYFUNCTION("""COMPUTED_VALUE"""),46143)</f>
        <v>46143</v>
      </c>
      <c r="P111" s="595"/>
      <c r="Q111" s="595" t="str">
        <f ca="1">IFERROR(__xludf.DUMMYFUNCTION("""COMPUTED_VALUE"""),"特定技能１号")</f>
        <v>特定技能１号</v>
      </c>
      <c r="R111" s="595" t="str">
        <f ca="1">IFERROR(__xludf.DUMMYFUNCTION("""COMPUTED_VALUE"""),"中野町457-1")</f>
        <v>中野町457-1</v>
      </c>
      <c r="S111" s="595" t="str">
        <f ca="1">IFERROR(__xludf.DUMMYFUNCTION("""COMPUTED_VALUE"""),"相")</f>
        <v>相</v>
      </c>
      <c r="T111" s="901">
        <f ca="1">IFERROR(__xludf.DUMMYFUNCTION("""COMPUTED_VALUE"""),15000)</f>
        <v>15000</v>
      </c>
      <c r="U111" s="600">
        <f ca="1">IFERROR(__xludf.DUMMYFUNCTION("""COMPUTED_VALUE"""),45778)</f>
        <v>45778</v>
      </c>
      <c r="V111" s="600"/>
      <c r="W111" s="595"/>
      <c r="X111" s="595"/>
      <c r="Y111" s="596"/>
      <c r="Z111" s="595"/>
      <c r="AA111" s="595"/>
      <c r="AB111" s="595"/>
      <c r="AC111" s="595"/>
      <c r="AD111" s="600"/>
      <c r="AE111" s="600"/>
      <c r="AF111" s="600"/>
      <c r="AG111" s="600"/>
      <c r="AH111" s="595"/>
      <c r="AI111" s="600"/>
      <c r="AJ111" s="595"/>
      <c r="AK111" s="595"/>
      <c r="AL111" s="595"/>
      <c r="AM111" s="596"/>
      <c r="AN111" s="595"/>
      <c r="AO111" s="595"/>
      <c r="AP111" s="595" t="str">
        <f ca="1">IFERROR(__xludf.DUMMYFUNCTION("""COMPUTED_VALUE"""),"4/25面接　合格")</f>
        <v>4/25面接　合格</v>
      </c>
    </row>
    <row r="112" spans="1:42" ht="14.5">
      <c r="A112" s="595"/>
      <c r="B112" s="595">
        <f ca="1">IFERROR(__xludf.DUMMYFUNCTION("""COMPUTED_VALUE"""),247)</f>
        <v>247</v>
      </c>
      <c r="C112" s="595" t="str">
        <f ca="1">IFERROR(__xludf.DUMMYFUNCTION("""COMPUTED_VALUE"""),"津吉")</f>
        <v>津吉</v>
      </c>
      <c r="D112" s="595" t="str">
        <f ca="1">IFERROR(__xludf.DUMMYFUNCTION("""COMPUTED_VALUE"""),"インドネシア")</f>
        <v>インドネシア</v>
      </c>
      <c r="E112" s="595" t="str">
        <f ca="1">IFERROR(__xludf.DUMMYFUNCTION("""COMPUTED_VALUE"""),"00000006")</f>
        <v>00000006</v>
      </c>
      <c r="F112" s="595"/>
      <c r="G112" s="595" t="str">
        <f ca="1">IFERROR(__xludf.DUMMYFUNCTION("""COMPUTED_VALUE"""),"ヒクマル　ハナフィス")</f>
        <v>ヒクマル　ハナフィス</v>
      </c>
      <c r="H112" s="595" t="str">
        <f ca="1">IFERROR(__xludf.DUMMYFUNCTION("""COMPUTED_VALUE"""),"HIKMAL HANAFIS")</f>
        <v>HIKMAL HANAFIS</v>
      </c>
      <c r="I112" s="595" t="str">
        <f ca="1">IFERROR(__xludf.DUMMYFUNCTION("""COMPUTED_VALUE"""),"ヒクマル")</f>
        <v>ヒクマル</v>
      </c>
      <c r="J112" s="595" t="str">
        <f ca="1">IFERROR(__xludf.DUMMYFUNCTION("""COMPUTED_VALUE"""),"男")</f>
        <v>男</v>
      </c>
      <c r="K112" s="600">
        <f ca="1">IFERROR(__xludf.DUMMYFUNCTION("""COMPUTED_VALUE"""),38534)</f>
        <v>38534</v>
      </c>
      <c r="L112" s="595">
        <f ca="1">IFERROR(__xludf.DUMMYFUNCTION("""COMPUTED_VALUE"""),20)</f>
        <v>20</v>
      </c>
      <c r="M112" s="595" t="str">
        <f ca="1">IFERROR(__xludf.DUMMYFUNCTION("""COMPUTED_VALUE"""),"無")</f>
        <v>無</v>
      </c>
      <c r="N112" s="595"/>
      <c r="O112" s="900">
        <f ca="1">IFERROR(__xludf.DUMMYFUNCTION("""COMPUTED_VALUE"""),46143)</f>
        <v>46143</v>
      </c>
      <c r="P112" s="595"/>
      <c r="Q112" s="595" t="str">
        <f ca="1">IFERROR(__xludf.DUMMYFUNCTION("""COMPUTED_VALUE"""),"特定技能１号")</f>
        <v>特定技能１号</v>
      </c>
      <c r="R112" s="595" t="str">
        <f ca="1">IFERROR(__xludf.DUMMYFUNCTION("""COMPUTED_VALUE"""),"中野町457-1")</f>
        <v>中野町457-1</v>
      </c>
      <c r="S112" s="595" t="str">
        <f ca="1">IFERROR(__xludf.DUMMYFUNCTION("""COMPUTED_VALUE"""),"相")</f>
        <v>相</v>
      </c>
      <c r="T112" s="901">
        <f ca="1">IFERROR(__xludf.DUMMYFUNCTION("""COMPUTED_VALUE"""),15000)</f>
        <v>15000</v>
      </c>
      <c r="U112" s="600">
        <f ca="1">IFERROR(__xludf.DUMMYFUNCTION("""COMPUTED_VALUE"""),45778)</f>
        <v>45778</v>
      </c>
      <c r="V112" s="600"/>
      <c r="W112" s="595"/>
      <c r="X112" s="595"/>
      <c r="Y112" s="596"/>
      <c r="Z112" s="595"/>
      <c r="AA112" s="595"/>
      <c r="AB112" s="595"/>
      <c r="AC112" s="595"/>
      <c r="AD112" s="600"/>
      <c r="AE112" s="600"/>
      <c r="AF112" s="600"/>
      <c r="AG112" s="600"/>
      <c r="AH112" s="595"/>
      <c r="AI112" s="600"/>
      <c r="AJ112" s="595"/>
      <c r="AK112" s="595"/>
      <c r="AL112" s="595"/>
      <c r="AM112" s="596"/>
      <c r="AN112" s="595"/>
      <c r="AO112" s="595"/>
      <c r="AP112" s="595" t="str">
        <f ca="1">IFERROR(__xludf.DUMMYFUNCTION("""COMPUTED_VALUE"""),"4/25面接　合格")</f>
        <v>4/25面接　合格</v>
      </c>
    </row>
  </sheetData>
  <phoneticPr fontId="135"/>
  <printOptions horizontalCentered="1" gridLines="1"/>
  <pageMargins left="0.7" right="0.7" top="0.75" bottom="0.75" header="0" footer="0"/>
  <pageSetup paperSize="8"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M998"/>
  <sheetViews>
    <sheetView zoomScale="70" workbookViewId="0"/>
  </sheetViews>
  <sheetFormatPr defaultColWidth="12.6328125" defaultRowHeight="15" customHeight="1"/>
  <cols>
    <col min="1" max="1" width="4.7265625" customWidth="1"/>
    <col min="2" max="2" width="3.7265625" customWidth="1"/>
    <col min="3" max="3" width="8.36328125" customWidth="1"/>
    <col min="4" max="4" width="14.08984375" customWidth="1"/>
    <col min="5" max="5" width="28.453125" customWidth="1"/>
    <col min="6" max="6" width="4.6328125" customWidth="1"/>
    <col min="7" max="7" width="9.90625" customWidth="1"/>
    <col min="8" max="8" width="4.6328125" customWidth="1"/>
    <col min="9" max="11" width="12" customWidth="1"/>
    <col min="12" max="12" width="8.36328125" customWidth="1"/>
    <col min="13" max="13" width="6.453125" hidden="1" customWidth="1"/>
    <col min="14" max="14" width="8.453125" customWidth="1"/>
    <col min="15" max="15" width="13.90625" customWidth="1"/>
    <col min="16" max="16" width="8.36328125" customWidth="1"/>
    <col min="17" max="17" width="12" customWidth="1"/>
    <col min="18" max="18" width="19.36328125" customWidth="1"/>
    <col min="19" max="19" width="10.08984375" customWidth="1"/>
    <col min="20" max="20" width="8.36328125" customWidth="1"/>
    <col min="21" max="21" width="10.08984375" customWidth="1"/>
    <col min="22" max="22" width="13.90625" customWidth="1"/>
    <col min="23" max="23" width="17.7265625" customWidth="1"/>
    <col min="24" max="24" width="10.08984375" customWidth="1"/>
    <col min="25" max="25" width="12.90625" customWidth="1"/>
    <col min="26" max="26" width="12" customWidth="1"/>
    <col min="27" max="27" width="12.08984375" customWidth="1"/>
    <col min="28" max="28" width="12" customWidth="1"/>
    <col min="29" max="29" width="10.08984375" customWidth="1"/>
    <col min="30" max="30" width="12.26953125" customWidth="1"/>
    <col min="31" max="31" width="10" customWidth="1"/>
    <col min="32" max="32" width="9.90625" customWidth="1"/>
    <col min="33" max="33" width="8.36328125" customWidth="1"/>
    <col min="34" max="34" width="9.90625" customWidth="1"/>
    <col min="35" max="35" width="15.6328125" customWidth="1"/>
    <col min="36" max="36" width="54" customWidth="1"/>
  </cols>
  <sheetData>
    <row r="1" spans="1:39">
      <c r="A1" s="905"/>
      <c r="B1" s="906"/>
      <c r="C1" s="907"/>
      <c r="D1" s="908" t="s">
        <v>4256</v>
      </c>
      <c r="E1" s="908"/>
      <c r="F1" s="907"/>
      <c r="G1" s="907" t="s">
        <v>4257</v>
      </c>
      <c r="H1" s="907"/>
      <c r="I1" s="907"/>
      <c r="J1" s="907"/>
      <c r="K1" s="907"/>
      <c r="L1" s="907" t="s">
        <v>4258</v>
      </c>
      <c r="M1" s="907"/>
      <c r="N1" s="907"/>
      <c r="O1" s="907"/>
      <c r="P1" s="907"/>
      <c r="Q1" s="907"/>
      <c r="R1" s="907"/>
      <c r="S1" s="907"/>
      <c r="T1" s="907"/>
      <c r="U1" s="907"/>
      <c r="V1" s="907"/>
      <c r="W1" s="907"/>
      <c r="X1" s="907"/>
      <c r="Y1" s="907"/>
      <c r="Z1" s="907"/>
      <c r="AA1" s="907"/>
      <c r="AB1" s="907"/>
      <c r="AC1" s="907"/>
      <c r="AD1" s="907"/>
      <c r="AE1" s="907"/>
      <c r="AF1" s="907"/>
      <c r="AG1" s="907"/>
      <c r="AH1" s="907"/>
      <c r="AI1" s="907"/>
      <c r="AJ1" s="907"/>
      <c r="AK1" s="907"/>
      <c r="AL1" s="907"/>
      <c r="AM1" s="907"/>
    </row>
    <row r="2" spans="1:39">
      <c r="A2" s="905"/>
      <c r="B2" s="906"/>
      <c r="C2" s="907"/>
      <c r="D2" s="907" t="s">
        <v>4259</v>
      </c>
      <c r="E2" s="907"/>
      <c r="F2" s="907"/>
      <c r="G2" s="907" t="s">
        <v>4260</v>
      </c>
      <c r="H2" s="907"/>
      <c r="I2" s="907"/>
      <c r="J2" s="907"/>
      <c r="K2" s="907"/>
      <c r="L2" s="907"/>
      <c r="M2" s="907"/>
      <c r="N2" s="907"/>
      <c r="O2" s="907"/>
      <c r="P2" s="907"/>
      <c r="Q2" s="907"/>
      <c r="R2" s="907"/>
      <c r="S2" s="907"/>
      <c r="T2" s="907"/>
      <c r="U2" s="907"/>
      <c r="V2" s="907"/>
      <c r="W2" s="907"/>
      <c r="X2" s="907"/>
      <c r="Y2" s="907"/>
      <c r="Z2" s="907"/>
      <c r="AA2" s="907"/>
      <c r="AB2" s="907"/>
      <c r="AC2" s="907"/>
      <c r="AD2" s="907"/>
      <c r="AE2" s="907"/>
      <c r="AF2" s="907"/>
      <c r="AG2" s="907"/>
      <c r="AH2" s="907"/>
      <c r="AI2" s="907"/>
      <c r="AJ2" s="907"/>
      <c r="AK2" s="907"/>
      <c r="AL2" s="907"/>
      <c r="AM2" s="907"/>
    </row>
    <row r="3" spans="1:39">
      <c r="A3" s="909" t="s">
        <v>4261</v>
      </c>
      <c r="B3" s="910" t="str">
        <f ca="1">IFERROR(__xludf.DUMMYFUNCTION("QUERY('管理表'!A:AP,""select B,C,D,G,J,K,L,N,O,Q,T where ((C = '本社' and R = '""&amp;D1&amp;N4&amp;""' and S = '""&amp;A4&amp;""') or (C = '協同本社' and R = '""&amp;D1&amp;N4&amp;""'and S = '""&amp;A4&amp;""')) and not(AH = '退職')"",1)"),"No")</f>
        <v>No</v>
      </c>
      <c r="C3" s="910" t="str">
        <f ca="1">IFERROR(__xludf.DUMMYFUNCTION("""COMPUTED_VALUE"""),"勤務地")</f>
        <v>勤務地</v>
      </c>
      <c r="D3" s="910" t="str">
        <f ca="1">IFERROR(__xludf.DUMMYFUNCTION("""COMPUTED_VALUE"""),"国籍")</f>
        <v>国籍</v>
      </c>
      <c r="E3" s="910" t="str">
        <f ca="1">IFERROR(__xludf.DUMMYFUNCTION("""COMPUTED_VALUE"""),"フリガナ")</f>
        <v>フリガナ</v>
      </c>
      <c r="F3" s="910" t="str">
        <f ca="1">IFERROR(__xludf.DUMMYFUNCTION("""COMPUTED_VALUE"""),"性別")</f>
        <v>性別</v>
      </c>
      <c r="G3" s="910" t="str">
        <f ca="1">IFERROR(__xludf.DUMMYFUNCTION("""COMPUTED_VALUE"""),"生年月日")</f>
        <v>生年月日</v>
      </c>
      <c r="H3" s="910" t="str">
        <f ca="1">IFERROR(__xludf.DUMMYFUNCTION("""COMPUTED_VALUE"""),"年齢")</f>
        <v>年齢</v>
      </c>
      <c r="I3" s="910" t="str">
        <f ca="1">IFERROR(__xludf.DUMMYFUNCTION("""COMPUTED_VALUE"""),"登録支援機関")</f>
        <v>登録支援機関</v>
      </c>
      <c r="J3" s="910" t="str">
        <f ca="1">IFERROR(__xludf.DUMMYFUNCTION("""COMPUTED_VALUE"""),"入社日")</f>
        <v>入社日</v>
      </c>
      <c r="K3" s="910" t="str">
        <f ca="1">IFERROR(__xludf.DUMMYFUNCTION("""COMPUTED_VALUE"""),"実習区分")</f>
        <v>実習区分</v>
      </c>
      <c r="L3" s="910" t="str">
        <f ca="1">IFERROR(__xludf.DUMMYFUNCTION("""COMPUTED_VALUE"""),"家賃負担")</f>
        <v>家賃負担</v>
      </c>
      <c r="M3" s="911"/>
      <c r="N3" s="912" t="s">
        <v>4262</v>
      </c>
      <c r="O3" s="907"/>
      <c r="P3" s="907"/>
      <c r="Q3" s="907"/>
      <c r="R3" s="907"/>
      <c r="S3" s="913" t="s">
        <v>4263</v>
      </c>
      <c r="T3" s="913" t="s">
        <v>4264</v>
      </c>
      <c r="U3" s="913" t="s">
        <v>4265</v>
      </c>
      <c r="V3" s="907"/>
      <c r="W3" s="907"/>
      <c r="X3" s="907"/>
      <c r="Y3" s="907"/>
      <c r="Z3" s="907"/>
      <c r="AA3" s="907"/>
      <c r="AB3" s="907"/>
      <c r="AC3" s="907"/>
      <c r="AD3" s="907"/>
      <c r="AE3" s="907"/>
      <c r="AF3" s="907"/>
      <c r="AG3" s="907"/>
      <c r="AH3" s="907"/>
      <c r="AI3" s="907"/>
      <c r="AJ3" s="907"/>
      <c r="AK3" s="907"/>
      <c r="AL3" s="907"/>
      <c r="AM3" s="907"/>
    </row>
    <row r="4" spans="1:39">
      <c r="A4" s="914" t="s">
        <v>137</v>
      </c>
      <c r="B4" s="915"/>
      <c r="C4" s="915"/>
      <c r="D4" s="915"/>
      <c r="E4" s="916" t="s">
        <v>4266</v>
      </c>
      <c r="F4" s="915"/>
      <c r="G4" s="915"/>
      <c r="H4" s="915"/>
      <c r="I4" s="915"/>
      <c r="J4" s="917"/>
      <c r="K4" s="915"/>
      <c r="L4" s="915"/>
      <c r="M4" s="907"/>
      <c r="N4" s="1647">
        <v>304</v>
      </c>
      <c r="O4" s="918" t="s">
        <v>4267</v>
      </c>
      <c r="P4" s="907"/>
      <c r="Q4" s="907"/>
      <c r="R4" s="907"/>
      <c r="S4" s="907">
        <v>33500</v>
      </c>
      <c r="T4" s="907">
        <v>4000</v>
      </c>
      <c r="U4" s="907"/>
      <c r="V4" s="907"/>
      <c r="W4" s="907"/>
      <c r="X4" s="907"/>
      <c r="Y4" s="907"/>
      <c r="Z4" s="907"/>
      <c r="AA4" s="907"/>
      <c r="AB4" s="907"/>
      <c r="AC4" s="907"/>
      <c r="AD4" s="907"/>
      <c r="AE4" s="907"/>
      <c r="AF4" s="907"/>
      <c r="AG4" s="907"/>
      <c r="AH4" s="907"/>
      <c r="AI4" s="907"/>
      <c r="AJ4" s="907"/>
      <c r="AK4" s="907"/>
      <c r="AL4" s="907"/>
      <c r="AM4" s="907"/>
    </row>
    <row r="5" spans="1:39">
      <c r="A5" s="919" t="s">
        <v>137</v>
      </c>
      <c r="B5" s="920"/>
      <c r="C5" s="920"/>
      <c r="D5" s="920"/>
      <c r="E5" s="920"/>
      <c r="F5" s="920"/>
      <c r="G5" s="920"/>
      <c r="H5" s="920"/>
      <c r="I5" s="920"/>
      <c r="J5" s="921"/>
      <c r="K5" s="920"/>
      <c r="L5" s="920"/>
      <c r="M5" s="907"/>
      <c r="N5" s="1648"/>
      <c r="O5" s="907"/>
      <c r="P5" s="907"/>
      <c r="Q5" s="907"/>
      <c r="R5" s="907"/>
      <c r="S5" s="907"/>
      <c r="T5" s="907"/>
      <c r="U5" s="907"/>
      <c r="V5" s="907"/>
      <c r="W5" s="907"/>
      <c r="X5" s="907"/>
      <c r="Y5" s="907"/>
      <c r="Z5" s="907"/>
      <c r="AA5" s="907"/>
      <c r="AB5" s="907"/>
      <c r="AC5" s="907"/>
      <c r="AD5" s="907"/>
      <c r="AE5" s="907"/>
      <c r="AF5" s="907"/>
      <c r="AG5" s="907"/>
      <c r="AH5" s="907"/>
      <c r="AI5" s="907"/>
      <c r="AJ5" s="907"/>
      <c r="AK5" s="907"/>
      <c r="AL5" s="907"/>
      <c r="AM5" s="907"/>
    </row>
    <row r="6" spans="1:39">
      <c r="A6" s="922" t="s">
        <v>400</v>
      </c>
      <c r="B6" s="923">
        <f ca="1">IFERROR(__xludf.DUMMYFUNCTION("QUERY('管理表'!A:AP,""select B,C,D,G,J,K,L,N,O,Q,T where ((C = '本社'and R = '""&amp;D1&amp;N4&amp;""' and S = '""&amp;A6&amp;""') or (C = '協同本社'and R = '""&amp;D1&amp;N4&amp;""'and S = '""&amp;A6&amp;""')) and not(AH = '退職')"",0)"),152)</f>
        <v>152</v>
      </c>
      <c r="C6" s="923" t="str">
        <f ca="1">IFERROR(__xludf.DUMMYFUNCTION("""COMPUTED_VALUE"""),"協同本社")</f>
        <v>協同本社</v>
      </c>
      <c r="D6" s="923" t="str">
        <f ca="1">IFERROR(__xludf.DUMMYFUNCTION("""COMPUTED_VALUE"""),"ベトナム")</f>
        <v>ベトナム</v>
      </c>
      <c r="E6" s="924" t="str">
        <f ca="1">IFERROR(__xludf.DUMMYFUNCTION("""COMPUTED_VALUE"""),"グエン ティ ホン ズエン")</f>
        <v>グエン ティ ホン ズエン</v>
      </c>
      <c r="F6" s="923" t="str">
        <f ca="1">IFERROR(__xludf.DUMMYFUNCTION("""COMPUTED_VALUE"""),"女")</f>
        <v>女</v>
      </c>
      <c r="G6" s="925">
        <f ca="1">IFERROR(__xludf.DUMMYFUNCTION("""COMPUTED_VALUE"""),37596)</f>
        <v>37596</v>
      </c>
      <c r="H6" s="923">
        <f ca="1">IFERROR(__xludf.DUMMYFUNCTION("""COMPUTED_VALUE"""),23)</f>
        <v>23</v>
      </c>
      <c r="I6" s="923" t="str">
        <f ca="1">IFERROR(__xludf.DUMMYFUNCTION("""COMPUTED_VALUE"""),"中四国")</f>
        <v>中四国</v>
      </c>
      <c r="J6" s="925">
        <f ca="1">IFERROR(__xludf.DUMMYFUNCTION("""COMPUTED_VALUE"""),45159)</f>
        <v>45159</v>
      </c>
      <c r="K6" s="923" t="str">
        <f ca="1">IFERROR(__xludf.DUMMYFUNCTION("""COMPUTED_VALUE"""),"技能実習2号")</f>
        <v>技能実習2号</v>
      </c>
      <c r="L6" s="926">
        <f ca="1">IFERROR(__xludf.DUMMYFUNCTION("""COMPUTED_VALUE"""),10000)</f>
        <v>10000</v>
      </c>
      <c r="M6" s="907"/>
      <c r="N6" s="1648"/>
      <c r="O6" s="918" t="s">
        <v>4268</v>
      </c>
      <c r="P6" s="907"/>
      <c r="Q6" s="907"/>
      <c r="R6" s="907"/>
      <c r="S6" s="907"/>
      <c r="T6" s="907"/>
      <c r="U6" s="907"/>
      <c r="V6" s="907"/>
      <c r="W6" s="907"/>
      <c r="X6" s="907"/>
      <c r="Y6" s="907"/>
      <c r="Z6" s="907"/>
      <c r="AA6" s="907"/>
      <c r="AB6" s="907"/>
      <c r="AC6" s="907"/>
      <c r="AD6" s="907"/>
      <c r="AE6" s="907"/>
      <c r="AF6" s="907"/>
      <c r="AG6" s="907"/>
      <c r="AH6" s="907"/>
      <c r="AI6" s="907"/>
      <c r="AJ6" s="907"/>
      <c r="AK6" s="907"/>
      <c r="AL6" s="907"/>
      <c r="AM6" s="907"/>
    </row>
    <row r="7" spans="1:39">
      <c r="A7" s="927" t="s">
        <v>400</v>
      </c>
      <c r="B7" s="928">
        <f ca="1">IFERROR(__xludf.DUMMYFUNCTION("""COMPUTED_VALUE"""),153)</f>
        <v>153</v>
      </c>
      <c r="C7" s="928" t="str">
        <f ca="1">IFERROR(__xludf.DUMMYFUNCTION("""COMPUTED_VALUE"""),"協同本社")</f>
        <v>協同本社</v>
      </c>
      <c r="D7" s="928" t="str">
        <f ca="1">IFERROR(__xludf.DUMMYFUNCTION("""COMPUTED_VALUE"""),"ベトナム")</f>
        <v>ベトナム</v>
      </c>
      <c r="E7" s="929" t="str">
        <f ca="1">IFERROR(__xludf.DUMMYFUNCTION("""COMPUTED_VALUE"""),"グエン ティ フオン")</f>
        <v>グエン ティ フオン</v>
      </c>
      <c r="F7" s="928" t="str">
        <f ca="1">IFERROR(__xludf.DUMMYFUNCTION("""COMPUTED_VALUE"""),"女")</f>
        <v>女</v>
      </c>
      <c r="G7" s="930">
        <f ca="1">IFERROR(__xludf.DUMMYFUNCTION("""COMPUTED_VALUE"""),32899)</f>
        <v>32899</v>
      </c>
      <c r="H7" s="928">
        <f ca="1">IFERROR(__xludf.DUMMYFUNCTION("""COMPUTED_VALUE"""),36)</f>
        <v>36</v>
      </c>
      <c r="I7" s="928" t="str">
        <f ca="1">IFERROR(__xludf.DUMMYFUNCTION("""COMPUTED_VALUE"""),"中四国")</f>
        <v>中四国</v>
      </c>
      <c r="J7" s="930">
        <f ca="1">IFERROR(__xludf.DUMMYFUNCTION("""COMPUTED_VALUE"""),45159)</f>
        <v>45159</v>
      </c>
      <c r="K7" s="928" t="str">
        <f ca="1">IFERROR(__xludf.DUMMYFUNCTION("""COMPUTED_VALUE"""),"技能実習2号")</f>
        <v>技能実習2号</v>
      </c>
      <c r="L7" s="931">
        <f ca="1">IFERROR(__xludf.DUMMYFUNCTION("""COMPUTED_VALUE"""),10000)</f>
        <v>10000</v>
      </c>
      <c r="M7" s="907"/>
      <c r="N7" s="1648"/>
      <c r="O7" s="918" t="s">
        <v>4269</v>
      </c>
      <c r="P7" s="907"/>
      <c r="Q7" s="907"/>
      <c r="R7" s="907"/>
      <c r="S7" s="907"/>
      <c r="T7" s="907"/>
      <c r="U7" s="907"/>
      <c r="V7" s="907"/>
      <c r="W7" s="907"/>
      <c r="X7" s="907"/>
      <c r="Y7" s="907"/>
      <c r="Z7" s="907"/>
      <c r="AA7" s="907"/>
      <c r="AB7" s="907"/>
      <c r="AC7" s="907"/>
      <c r="AD7" s="907"/>
      <c r="AE7" s="907"/>
      <c r="AF7" s="907"/>
      <c r="AG7" s="907"/>
      <c r="AH7" s="907"/>
      <c r="AI7" s="907"/>
      <c r="AJ7" s="907"/>
      <c r="AK7" s="907"/>
      <c r="AL7" s="907"/>
      <c r="AM7" s="907"/>
    </row>
    <row r="8" spans="1:39">
      <c r="A8" s="932" t="s">
        <v>149</v>
      </c>
      <c r="B8" s="933">
        <f ca="1">IFERROR(__xludf.DUMMYFUNCTION("QUERY('管理表'!A:AP,""select B,C,D,G,J,K,L,N,O,Q,T where ((C = '本社'and R = '""&amp;D1&amp;N8&amp;""' and S = '""&amp;A8&amp;""') or (C = '協同本社'and R = '""&amp;D1&amp;N8&amp;""'and S = '""&amp;A8&amp;""')) and not(AH = '退職')"",0)"),9)</f>
        <v>9</v>
      </c>
      <c r="C8" s="933" t="str">
        <f ca="1">IFERROR(__xludf.DUMMYFUNCTION("""COMPUTED_VALUE"""),"本社")</f>
        <v>本社</v>
      </c>
      <c r="D8" s="933" t="str">
        <f ca="1">IFERROR(__xludf.DUMMYFUNCTION("""COMPUTED_VALUE"""),"ベトナム")</f>
        <v>ベトナム</v>
      </c>
      <c r="E8" s="933" t="str">
        <f ca="1">IFERROR(__xludf.DUMMYFUNCTION("""COMPUTED_VALUE"""),"ブイ ティ ミン")</f>
        <v>ブイ ティ ミン</v>
      </c>
      <c r="F8" s="933" t="str">
        <f ca="1">IFERROR(__xludf.DUMMYFUNCTION("""COMPUTED_VALUE"""),"女")</f>
        <v>女</v>
      </c>
      <c r="G8" s="934">
        <f ca="1">IFERROR(__xludf.DUMMYFUNCTION("""COMPUTED_VALUE"""),36245)</f>
        <v>36245</v>
      </c>
      <c r="H8" s="933">
        <f ca="1">IFERROR(__xludf.DUMMYFUNCTION("""COMPUTED_VALUE"""),27)</f>
        <v>27</v>
      </c>
      <c r="I8" s="933" t="str">
        <f ca="1">IFERROR(__xludf.DUMMYFUNCTION("""COMPUTED_VALUE"""),"中四国")</f>
        <v>中四国</v>
      </c>
      <c r="J8" s="934">
        <f ca="1">IFERROR(__xludf.DUMMYFUNCTION("""COMPUTED_VALUE"""),43435)</f>
        <v>43435</v>
      </c>
      <c r="K8" s="933" t="str">
        <f ca="1">IFERROR(__xludf.DUMMYFUNCTION("""COMPUTED_VALUE"""),"特定技能１号")</f>
        <v>特定技能１号</v>
      </c>
      <c r="L8" s="935">
        <f ca="1">IFERROR(__xludf.DUMMYFUNCTION("""COMPUTED_VALUE"""),20000)</f>
        <v>20000</v>
      </c>
      <c r="M8" s="936"/>
      <c r="N8" s="1650">
        <v>305</v>
      </c>
      <c r="O8" s="907"/>
      <c r="P8" s="907"/>
      <c r="Q8" s="907"/>
      <c r="R8" s="907"/>
      <c r="S8" s="907">
        <v>33500</v>
      </c>
      <c r="T8" s="907">
        <v>4000</v>
      </c>
      <c r="U8" s="907">
        <v>4000</v>
      </c>
      <c r="V8" s="907"/>
      <c r="W8" s="907"/>
      <c r="X8" s="907"/>
      <c r="Y8" s="907"/>
      <c r="Z8" s="907"/>
      <c r="AA8" s="907"/>
      <c r="AB8" s="907"/>
      <c r="AC8" s="907"/>
      <c r="AD8" s="907"/>
      <c r="AE8" s="907"/>
      <c r="AF8" s="907"/>
      <c r="AG8" s="907"/>
      <c r="AH8" s="907"/>
      <c r="AI8" s="907"/>
      <c r="AJ8" s="907"/>
      <c r="AK8" s="907"/>
      <c r="AL8" s="907"/>
      <c r="AM8" s="907"/>
    </row>
    <row r="9" spans="1:39">
      <c r="A9" s="937" t="s">
        <v>149</v>
      </c>
      <c r="B9" s="938">
        <f ca="1">IFERROR(__xludf.DUMMYFUNCTION("""COMPUTED_VALUE"""),154)</f>
        <v>154</v>
      </c>
      <c r="C9" s="938" t="str">
        <f ca="1">IFERROR(__xludf.DUMMYFUNCTION("""COMPUTED_VALUE"""),"本社")</f>
        <v>本社</v>
      </c>
      <c r="D9" s="938" t="str">
        <f ca="1">IFERROR(__xludf.DUMMYFUNCTION("""COMPUTED_VALUE"""),"ベトナム")</f>
        <v>ベトナム</v>
      </c>
      <c r="E9" s="938" t="str">
        <f ca="1">IFERROR(__xludf.DUMMYFUNCTION("""COMPUTED_VALUE"""),"グエン タイン チュン")</f>
        <v>グエン タイン チュン</v>
      </c>
      <c r="F9" s="938" t="str">
        <f ca="1">IFERROR(__xludf.DUMMYFUNCTION("""COMPUTED_VALUE"""),"男")</f>
        <v>男</v>
      </c>
      <c r="G9" s="939">
        <f ca="1">IFERROR(__xludf.DUMMYFUNCTION("""COMPUTED_VALUE"""),35191)</f>
        <v>35191</v>
      </c>
      <c r="H9" s="938">
        <f ca="1">IFERROR(__xludf.DUMMYFUNCTION("""COMPUTED_VALUE"""),29)</f>
        <v>29</v>
      </c>
      <c r="I9" s="938" t="str">
        <f ca="1">IFERROR(__xludf.DUMMYFUNCTION("""COMPUTED_VALUE"""),"中四国")</f>
        <v>中四国</v>
      </c>
      <c r="J9" s="939">
        <f ca="1">IFERROR(__xludf.DUMMYFUNCTION("""COMPUTED_VALUE"""),45159)</f>
        <v>45159</v>
      </c>
      <c r="K9" s="940" t="str">
        <f ca="1">IFERROR(__xludf.DUMMYFUNCTION("""COMPUTED_VALUE"""),"特定技能２号")</f>
        <v>特定技能２号</v>
      </c>
      <c r="L9" s="941">
        <f ca="1">IFERROR(__xludf.DUMMYFUNCTION("""COMPUTED_VALUE"""),20000)</f>
        <v>20000</v>
      </c>
      <c r="M9" s="942"/>
      <c r="N9" s="1649"/>
      <c r="O9" s="907"/>
      <c r="P9" s="907"/>
      <c r="Q9" s="907"/>
      <c r="R9" s="907"/>
      <c r="S9" s="907"/>
      <c r="T9" s="907"/>
      <c r="U9" s="907"/>
      <c r="V9" s="907"/>
      <c r="W9" s="907"/>
      <c r="X9" s="907"/>
      <c r="Y9" s="907"/>
      <c r="Z9" s="907"/>
      <c r="AA9" s="907"/>
      <c r="AB9" s="907"/>
      <c r="AC9" s="907"/>
      <c r="AD9" s="907"/>
      <c r="AE9" s="907"/>
      <c r="AF9" s="907"/>
      <c r="AG9" s="907"/>
      <c r="AH9" s="907"/>
      <c r="AI9" s="907"/>
      <c r="AJ9" s="907"/>
      <c r="AK9" s="907"/>
      <c r="AL9" s="907"/>
      <c r="AM9" s="907"/>
    </row>
    <row r="10" spans="1:39">
      <c r="A10" s="922" t="s">
        <v>137</v>
      </c>
      <c r="B10" s="943">
        <f ca="1">IFERROR(__xludf.DUMMYFUNCTION("QUERY('管理表'!A:AP,""select B,C,D,G,J,K,L,N,O,Q,T where ((C = '本社'and R = '""&amp;D1&amp;N10&amp;""' and S = '""&amp;A10&amp;""') or (C = '協同本社'and R = '""&amp;D1&amp;N10&amp;""'and S = '""&amp;A10&amp;""')) and not(AH = '退職')"",0)"),192)</f>
        <v>192</v>
      </c>
      <c r="C10" s="943" t="str">
        <f ca="1">IFERROR(__xludf.DUMMYFUNCTION("""COMPUTED_VALUE"""),"本社")</f>
        <v>本社</v>
      </c>
      <c r="D10" s="943" t="str">
        <f ca="1">IFERROR(__xludf.DUMMYFUNCTION("""COMPUTED_VALUE"""),"ベトナム")</f>
        <v>ベトナム</v>
      </c>
      <c r="E10" s="944" t="str">
        <f ca="1">IFERROR(__xludf.DUMMYFUNCTION("""COMPUTED_VALUE"""),"ホー ティ ニュン")</f>
        <v>ホー ティ ニュン</v>
      </c>
      <c r="F10" s="943" t="str">
        <f ca="1">IFERROR(__xludf.DUMMYFUNCTION("""COMPUTED_VALUE"""),"女")</f>
        <v>女</v>
      </c>
      <c r="G10" s="945">
        <f ca="1">IFERROR(__xludf.DUMMYFUNCTION("""COMPUTED_VALUE"""),34556)</f>
        <v>34556</v>
      </c>
      <c r="H10" s="943">
        <f ca="1">IFERROR(__xludf.DUMMYFUNCTION("""COMPUTED_VALUE"""),31)</f>
        <v>31</v>
      </c>
      <c r="I10" s="943" t="str">
        <f ca="1">IFERROR(__xludf.DUMMYFUNCTION("""COMPUTED_VALUE"""),"中四国")</f>
        <v>中四国</v>
      </c>
      <c r="J10" s="945">
        <f ca="1">IFERROR(__xludf.DUMMYFUNCTION("""COMPUTED_VALUE"""),45581)</f>
        <v>45581</v>
      </c>
      <c r="K10" s="943" t="str">
        <f ca="1">IFERROR(__xludf.DUMMYFUNCTION("""COMPUTED_VALUE"""),"技能実習2号")</f>
        <v>技能実習2号</v>
      </c>
      <c r="L10" s="946">
        <f ca="1">IFERROR(__xludf.DUMMYFUNCTION("""COMPUTED_VALUE"""),10000)</f>
        <v>10000</v>
      </c>
      <c r="M10" s="907"/>
      <c r="N10" s="1647">
        <v>401</v>
      </c>
      <c r="O10" s="918" t="s">
        <v>4270</v>
      </c>
      <c r="P10" s="907"/>
      <c r="Q10" s="907"/>
      <c r="R10" s="907"/>
      <c r="S10" s="907">
        <v>53000</v>
      </c>
      <c r="T10" s="907">
        <v>4000</v>
      </c>
      <c r="U10" s="907"/>
      <c r="V10" s="907"/>
      <c r="W10" s="907"/>
      <c r="X10" s="907"/>
      <c r="Y10" s="907"/>
      <c r="Z10" s="907"/>
      <c r="AA10" s="907"/>
      <c r="AB10" s="907"/>
      <c r="AC10" s="907"/>
      <c r="AD10" s="907"/>
      <c r="AE10" s="907"/>
      <c r="AF10" s="907"/>
      <c r="AG10" s="907"/>
      <c r="AH10" s="907"/>
      <c r="AI10" s="907"/>
      <c r="AJ10" s="907"/>
      <c r="AK10" s="907"/>
      <c r="AL10" s="907"/>
      <c r="AM10" s="907"/>
    </row>
    <row r="11" spans="1:39">
      <c r="A11" s="922" t="s">
        <v>137</v>
      </c>
      <c r="B11" s="947"/>
      <c r="C11" s="947"/>
      <c r="D11" s="947"/>
      <c r="E11" s="924" t="s">
        <v>4271</v>
      </c>
      <c r="F11" s="947"/>
      <c r="G11" s="947"/>
      <c r="H11" s="947"/>
      <c r="I11" s="947"/>
      <c r="J11" s="948"/>
      <c r="K11" s="947"/>
      <c r="L11" s="947"/>
      <c r="M11" s="907"/>
      <c r="N11" s="1648"/>
      <c r="O11" s="918"/>
      <c r="P11" s="907"/>
      <c r="Q11" s="907"/>
      <c r="R11" s="907"/>
      <c r="S11" s="907"/>
      <c r="T11" s="907"/>
      <c r="U11" s="907"/>
      <c r="V11" s="907"/>
      <c r="W11" s="907"/>
      <c r="X11" s="907"/>
      <c r="Y11" s="907"/>
      <c r="Z11" s="907"/>
      <c r="AA11" s="907"/>
      <c r="AB11" s="907"/>
      <c r="AC11" s="907"/>
      <c r="AD11" s="907"/>
      <c r="AE11" s="907"/>
      <c r="AF11" s="907"/>
      <c r="AG11" s="907"/>
      <c r="AH11" s="907"/>
      <c r="AI11" s="907"/>
      <c r="AJ11" s="907"/>
      <c r="AK11" s="907"/>
      <c r="AL11" s="907"/>
      <c r="AM11" s="907"/>
    </row>
    <row r="12" spans="1:39">
      <c r="A12" s="922" t="s">
        <v>400</v>
      </c>
      <c r="B12" s="923">
        <f ca="1">IFERROR(__xludf.DUMMYFUNCTION("QUERY('管理表'!A:AP,""select B,C,D,G,J,K,L,N,O,Q,T where ((C = '本社'and R = '""&amp;D1&amp;N10&amp;""' and S = '""&amp;A12&amp;""') or (C = '協同本社'and R = '""&amp;D1&amp;N10&amp;""'and S = '""&amp;A12&amp;""')) and not(AH = '退職')"",0)"),143)</f>
        <v>143</v>
      </c>
      <c r="C12" s="923" t="str">
        <f ca="1">IFERROR(__xludf.DUMMYFUNCTION("""COMPUTED_VALUE"""),"本社")</f>
        <v>本社</v>
      </c>
      <c r="D12" s="923" t="str">
        <f ca="1">IFERROR(__xludf.DUMMYFUNCTION("""COMPUTED_VALUE"""),"ベトナム")</f>
        <v>ベトナム</v>
      </c>
      <c r="E12" s="923" t="str">
        <f ca="1">IFERROR(__xludf.DUMMYFUNCTION("""COMPUTED_VALUE"""),"グエン ティ ホン")</f>
        <v>グエン ティ ホン</v>
      </c>
      <c r="F12" s="923" t="str">
        <f ca="1">IFERROR(__xludf.DUMMYFUNCTION("""COMPUTED_VALUE"""),"女")</f>
        <v>女</v>
      </c>
      <c r="G12" s="925">
        <f ca="1">IFERROR(__xludf.DUMMYFUNCTION("""COMPUTED_VALUE"""),32623)</f>
        <v>32623</v>
      </c>
      <c r="H12" s="923">
        <f ca="1">IFERROR(__xludf.DUMMYFUNCTION("""COMPUTED_VALUE"""),36)</f>
        <v>36</v>
      </c>
      <c r="I12" s="923" t="str">
        <f ca="1">IFERROR(__xludf.DUMMYFUNCTION("""COMPUTED_VALUE"""),"中四国")</f>
        <v>中四国</v>
      </c>
      <c r="J12" s="925">
        <f ca="1">IFERROR(__xludf.DUMMYFUNCTION("""COMPUTED_VALUE"""),44706)</f>
        <v>44706</v>
      </c>
      <c r="K12" s="923" t="str">
        <f ca="1">IFERROR(__xludf.DUMMYFUNCTION("""COMPUTED_VALUE"""),"特定技能１号")</f>
        <v>特定技能１号</v>
      </c>
      <c r="L12" s="926">
        <f ca="1">IFERROR(__xludf.DUMMYFUNCTION("""COMPUTED_VALUE"""),10000)</f>
        <v>10000</v>
      </c>
      <c r="M12" s="907"/>
      <c r="N12" s="1648"/>
      <c r="O12" s="907"/>
      <c r="P12" s="907"/>
      <c r="Q12" s="907"/>
      <c r="R12" s="907"/>
      <c r="S12" s="907"/>
      <c r="T12" s="907"/>
      <c r="U12" s="907"/>
      <c r="V12" s="907"/>
      <c r="W12" s="907"/>
      <c r="X12" s="907"/>
      <c r="Y12" s="907"/>
      <c r="Z12" s="907"/>
      <c r="AA12" s="907"/>
      <c r="AB12" s="907"/>
      <c r="AC12" s="907"/>
      <c r="AD12" s="907"/>
      <c r="AE12" s="907"/>
      <c r="AF12" s="907"/>
      <c r="AG12" s="907"/>
      <c r="AH12" s="907"/>
      <c r="AI12" s="907"/>
      <c r="AJ12" s="907"/>
      <c r="AK12" s="907"/>
      <c r="AL12" s="907"/>
      <c r="AM12" s="907"/>
    </row>
    <row r="13" spans="1:39">
      <c r="A13" s="949" t="s">
        <v>400</v>
      </c>
      <c r="B13" s="928">
        <f ca="1">IFERROR(__xludf.DUMMYFUNCTION("""COMPUTED_VALUE"""),193)</f>
        <v>193</v>
      </c>
      <c r="C13" s="928" t="str">
        <f ca="1">IFERROR(__xludf.DUMMYFUNCTION("""COMPUTED_VALUE"""),"本社")</f>
        <v>本社</v>
      </c>
      <c r="D13" s="928" t="str">
        <f ca="1">IFERROR(__xludf.DUMMYFUNCTION("""COMPUTED_VALUE"""),"ベトナム")</f>
        <v>ベトナム</v>
      </c>
      <c r="E13" s="928" t="str">
        <f ca="1">IFERROR(__xludf.DUMMYFUNCTION("""COMPUTED_VALUE"""),"グエン ティ リエウ")</f>
        <v>グエン ティ リエウ</v>
      </c>
      <c r="F13" s="928" t="str">
        <f ca="1">IFERROR(__xludf.DUMMYFUNCTION("""COMPUTED_VALUE"""),"女")</f>
        <v>女</v>
      </c>
      <c r="G13" s="930">
        <f ca="1">IFERROR(__xludf.DUMMYFUNCTION("""COMPUTED_VALUE"""),34223)</f>
        <v>34223</v>
      </c>
      <c r="H13" s="928">
        <f ca="1">IFERROR(__xludf.DUMMYFUNCTION("""COMPUTED_VALUE"""),32)</f>
        <v>32</v>
      </c>
      <c r="I13" s="928" t="str">
        <f ca="1">IFERROR(__xludf.DUMMYFUNCTION("""COMPUTED_VALUE"""),"中四国")</f>
        <v>中四国</v>
      </c>
      <c r="J13" s="930">
        <f ca="1">IFERROR(__xludf.DUMMYFUNCTION("""COMPUTED_VALUE"""),45581)</f>
        <v>45581</v>
      </c>
      <c r="K13" s="928" t="str">
        <f ca="1">IFERROR(__xludf.DUMMYFUNCTION("""COMPUTED_VALUE"""),"技能実習2号")</f>
        <v>技能実習2号</v>
      </c>
      <c r="L13" s="931">
        <f ca="1">IFERROR(__xludf.DUMMYFUNCTION("""COMPUTED_VALUE"""),10000)</f>
        <v>10000</v>
      </c>
      <c r="M13" s="907"/>
      <c r="N13" s="1648"/>
      <c r="O13" s="907"/>
      <c r="P13" s="907"/>
      <c r="Q13" s="907"/>
      <c r="R13" s="907"/>
      <c r="S13" s="907"/>
      <c r="T13" s="907"/>
      <c r="U13" s="907"/>
      <c r="V13" s="907"/>
      <c r="W13" s="907"/>
      <c r="X13" s="907"/>
      <c r="Y13" s="907"/>
      <c r="Z13" s="907"/>
      <c r="AA13" s="907"/>
      <c r="AB13" s="907"/>
      <c r="AC13" s="907"/>
      <c r="AD13" s="907"/>
      <c r="AE13" s="907"/>
      <c r="AF13" s="907"/>
      <c r="AG13" s="907"/>
      <c r="AH13" s="907"/>
      <c r="AI13" s="907"/>
      <c r="AJ13" s="907"/>
      <c r="AK13" s="907"/>
      <c r="AL13" s="907"/>
      <c r="AM13" s="907"/>
    </row>
    <row r="14" spans="1:39">
      <c r="A14" s="950" t="s">
        <v>1339</v>
      </c>
      <c r="B14" s="951">
        <f ca="1">IFERROR(__xludf.DUMMYFUNCTION("QUERY('管理表'!A:AP,""select B,C,D,G,J,K,L,N,O,Q,T where ((C = '本社'and R = '""&amp;D1&amp;N10&amp;""' and S = '""&amp;A14&amp;""') or (C = '協同本社'and R = '""&amp;D1&amp;N10&amp;""'and S = '""&amp;A14&amp;""')) and not(AH = '退職')"",0)"),145)</f>
        <v>145</v>
      </c>
      <c r="C14" s="951" t="str">
        <f ca="1">IFERROR(__xludf.DUMMYFUNCTION("""COMPUTED_VALUE"""),"本社")</f>
        <v>本社</v>
      </c>
      <c r="D14" s="951" t="str">
        <f ca="1">IFERROR(__xludf.DUMMYFUNCTION("""COMPUTED_VALUE"""),"ベトナム")</f>
        <v>ベトナム</v>
      </c>
      <c r="E14" s="951" t="str">
        <f ca="1">IFERROR(__xludf.DUMMYFUNCTION("""COMPUTED_VALUE"""),"クアン ティ ハー")</f>
        <v>クアン ティ ハー</v>
      </c>
      <c r="F14" s="951" t="str">
        <f ca="1">IFERROR(__xludf.DUMMYFUNCTION("""COMPUTED_VALUE"""),"女")</f>
        <v>女</v>
      </c>
      <c r="G14" s="952">
        <f ca="1">IFERROR(__xludf.DUMMYFUNCTION("""COMPUTED_VALUE"""),33172)</f>
        <v>33172</v>
      </c>
      <c r="H14" s="951">
        <f ca="1">IFERROR(__xludf.DUMMYFUNCTION("""COMPUTED_VALUE"""),35)</f>
        <v>35</v>
      </c>
      <c r="I14" s="951" t="str">
        <f ca="1">IFERROR(__xludf.DUMMYFUNCTION("""COMPUTED_VALUE"""),"中四国")</f>
        <v>中四国</v>
      </c>
      <c r="J14" s="952">
        <f ca="1">IFERROR(__xludf.DUMMYFUNCTION("""COMPUTED_VALUE"""),44706)</f>
        <v>44706</v>
      </c>
      <c r="K14" s="951" t="str">
        <f ca="1">IFERROR(__xludf.DUMMYFUNCTION("""COMPUTED_VALUE"""),"特定技能１号")</f>
        <v>特定技能１号</v>
      </c>
      <c r="L14" s="953">
        <f ca="1">IFERROR(__xludf.DUMMYFUNCTION("""COMPUTED_VALUE"""),10000)</f>
        <v>10000</v>
      </c>
      <c r="M14" s="907"/>
      <c r="N14" s="1648"/>
      <c r="O14" s="907"/>
      <c r="P14" s="907"/>
      <c r="Q14" s="907"/>
      <c r="R14" s="907"/>
      <c r="S14" s="907"/>
      <c r="T14" s="907"/>
      <c r="U14" s="907"/>
      <c r="V14" s="907"/>
      <c r="W14" s="907"/>
      <c r="X14" s="907"/>
      <c r="Y14" s="907"/>
      <c r="Z14" s="907"/>
      <c r="AA14" s="907"/>
      <c r="AB14" s="907"/>
      <c r="AC14" s="907"/>
      <c r="AD14" s="907"/>
      <c r="AE14" s="907"/>
      <c r="AF14" s="907"/>
      <c r="AG14" s="907"/>
      <c r="AH14" s="907"/>
      <c r="AI14" s="907"/>
      <c r="AJ14" s="907"/>
      <c r="AK14" s="907"/>
      <c r="AL14" s="907"/>
      <c r="AM14" s="907"/>
    </row>
    <row r="15" spans="1:39">
      <c r="A15" s="954" t="s">
        <v>1339</v>
      </c>
      <c r="B15" s="955">
        <f ca="1">IFERROR(__xludf.DUMMYFUNCTION("""COMPUTED_VALUE"""),194)</f>
        <v>194</v>
      </c>
      <c r="C15" s="955" t="str">
        <f ca="1">IFERROR(__xludf.DUMMYFUNCTION("""COMPUTED_VALUE"""),"本社")</f>
        <v>本社</v>
      </c>
      <c r="D15" s="955" t="str">
        <f ca="1">IFERROR(__xludf.DUMMYFUNCTION("""COMPUTED_VALUE"""),"ベトナム")</f>
        <v>ベトナム</v>
      </c>
      <c r="E15" s="955" t="str">
        <f ca="1">IFERROR(__xludf.DUMMYFUNCTION("""COMPUTED_VALUE"""),"ディン ティ タオ グエン")</f>
        <v>ディン ティ タオ グエン</v>
      </c>
      <c r="F15" s="955" t="str">
        <f ca="1">IFERROR(__xludf.DUMMYFUNCTION("""COMPUTED_VALUE"""),"女")</f>
        <v>女</v>
      </c>
      <c r="G15" s="956">
        <f ca="1">IFERROR(__xludf.DUMMYFUNCTION("""COMPUTED_VALUE"""),37901)</f>
        <v>37901</v>
      </c>
      <c r="H15" s="955">
        <f ca="1">IFERROR(__xludf.DUMMYFUNCTION("""COMPUTED_VALUE"""),22)</f>
        <v>22</v>
      </c>
      <c r="I15" s="955" t="str">
        <f ca="1">IFERROR(__xludf.DUMMYFUNCTION("""COMPUTED_VALUE"""),"中四国")</f>
        <v>中四国</v>
      </c>
      <c r="J15" s="956">
        <f ca="1">IFERROR(__xludf.DUMMYFUNCTION("""COMPUTED_VALUE"""),45581)</f>
        <v>45581</v>
      </c>
      <c r="K15" s="955" t="str">
        <f ca="1">IFERROR(__xludf.DUMMYFUNCTION("""COMPUTED_VALUE"""),"技能実習2号")</f>
        <v>技能実習2号</v>
      </c>
      <c r="L15" s="957">
        <f ca="1">IFERROR(__xludf.DUMMYFUNCTION("""COMPUTED_VALUE"""),10000)</f>
        <v>10000</v>
      </c>
      <c r="M15" s="907"/>
      <c r="N15" s="1648"/>
      <c r="O15" s="918" t="s">
        <v>4272</v>
      </c>
      <c r="P15" s="907"/>
      <c r="Q15" s="907"/>
      <c r="R15" s="907"/>
      <c r="S15" s="907"/>
      <c r="T15" s="907"/>
      <c r="U15" s="907"/>
      <c r="V15" s="907"/>
      <c r="W15" s="907"/>
      <c r="X15" s="907"/>
      <c r="Y15" s="907"/>
      <c r="Z15" s="907"/>
      <c r="AA15" s="907"/>
      <c r="AB15" s="907"/>
      <c r="AC15" s="907"/>
      <c r="AD15" s="907"/>
      <c r="AE15" s="907"/>
      <c r="AF15" s="907"/>
      <c r="AG15" s="907"/>
      <c r="AH15" s="907"/>
      <c r="AI15" s="907"/>
      <c r="AJ15" s="907"/>
      <c r="AK15" s="907"/>
      <c r="AL15" s="907"/>
      <c r="AM15" s="907"/>
    </row>
    <row r="16" spans="1:39">
      <c r="A16" s="958" t="s">
        <v>165</v>
      </c>
      <c r="B16" s="933">
        <f ca="1">IFERROR(__xludf.DUMMYFUNCTION("QUERY('管理表'!A:AP,""select B,C,D,G,J,K,L,N,O,Q,T where ((C = '本社'and R = '""&amp;D1&amp;N16&amp;""' and S = '""&amp;A16&amp;""') or (C = '協同本社'and R = '""&amp;D1&amp;N16&amp;""'and S = '""&amp;A16&amp;""')) and not(AH = '退職')"",0)"),139)</f>
        <v>139</v>
      </c>
      <c r="C16" s="933" t="str">
        <f ca="1">IFERROR(__xludf.DUMMYFUNCTION("""COMPUTED_VALUE"""),"本社")</f>
        <v>本社</v>
      </c>
      <c r="D16" s="933" t="str">
        <f ca="1">IFERROR(__xludf.DUMMYFUNCTION("""COMPUTED_VALUE"""),"ベトナム")</f>
        <v>ベトナム</v>
      </c>
      <c r="E16" s="933" t="str">
        <f ca="1">IFERROR(__xludf.DUMMYFUNCTION("""COMPUTED_VALUE"""),"チャン ティ タイン タム")</f>
        <v>チャン ティ タイン タム</v>
      </c>
      <c r="F16" s="933" t="str">
        <f ca="1">IFERROR(__xludf.DUMMYFUNCTION("""COMPUTED_VALUE"""),"女")</f>
        <v>女</v>
      </c>
      <c r="G16" s="934">
        <f ca="1">IFERROR(__xludf.DUMMYFUNCTION("""COMPUTED_VALUE"""),37576)</f>
        <v>37576</v>
      </c>
      <c r="H16" s="933">
        <f ca="1">IFERROR(__xludf.DUMMYFUNCTION("""COMPUTED_VALUE"""),23)</f>
        <v>23</v>
      </c>
      <c r="I16" s="933" t="str">
        <f ca="1">IFERROR(__xludf.DUMMYFUNCTION("""COMPUTED_VALUE"""),"中四国")</f>
        <v>中四国</v>
      </c>
      <c r="J16" s="934">
        <f ca="1">IFERROR(__xludf.DUMMYFUNCTION("""COMPUTED_VALUE"""),44699)</f>
        <v>44699</v>
      </c>
      <c r="K16" s="933" t="str">
        <f ca="1">IFERROR(__xludf.DUMMYFUNCTION("""COMPUTED_VALUE"""),"特定技能１号")</f>
        <v>特定技能１号</v>
      </c>
      <c r="L16" s="935">
        <f ca="1">IFERROR(__xludf.DUMMYFUNCTION("""COMPUTED_VALUE"""),20000)</f>
        <v>20000</v>
      </c>
      <c r="M16" s="936"/>
      <c r="N16" s="1650">
        <v>402</v>
      </c>
      <c r="O16" s="959"/>
      <c r="P16" s="907"/>
      <c r="Q16" s="907"/>
      <c r="R16" s="907"/>
      <c r="S16" s="907">
        <v>53000</v>
      </c>
      <c r="T16" s="907">
        <v>4000</v>
      </c>
      <c r="U16" s="907"/>
      <c r="V16" s="907"/>
      <c r="W16" s="907"/>
      <c r="X16" s="907"/>
      <c r="Y16" s="907"/>
      <c r="Z16" s="907"/>
      <c r="AA16" s="907"/>
      <c r="AB16" s="907"/>
      <c r="AC16" s="907"/>
      <c r="AD16" s="907"/>
      <c r="AE16" s="907"/>
      <c r="AF16" s="907"/>
      <c r="AG16" s="907"/>
      <c r="AH16" s="907"/>
      <c r="AI16" s="907"/>
      <c r="AJ16" s="907"/>
      <c r="AK16" s="907"/>
      <c r="AL16" s="907"/>
      <c r="AM16" s="907"/>
    </row>
    <row r="17" spans="1:39">
      <c r="A17" s="960"/>
      <c r="B17" s="961"/>
      <c r="C17" s="961"/>
      <c r="D17" s="961"/>
      <c r="E17" s="961"/>
      <c r="F17" s="961"/>
      <c r="G17" s="961"/>
      <c r="H17" s="961"/>
      <c r="I17" s="961"/>
      <c r="J17" s="962"/>
      <c r="K17" s="961"/>
      <c r="L17" s="961"/>
      <c r="M17" s="907"/>
      <c r="N17" s="1648"/>
      <c r="O17" s="907"/>
      <c r="P17" s="907"/>
      <c r="Q17" s="907"/>
      <c r="S17" s="907"/>
      <c r="T17" s="907"/>
      <c r="U17" s="907"/>
      <c r="V17" s="907"/>
      <c r="W17" s="907"/>
      <c r="X17" s="907"/>
      <c r="Y17" s="907"/>
      <c r="Z17" s="907"/>
      <c r="AA17" s="907"/>
      <c r="AB17" s="907"/>
      <c r="AC17" s="907"/>
      <c r="AD17" s="907"/>
      <c r="AE17" s="907"/>
      <c r="AF17" s="907"/>
      <c r="AG17" s="907"/>
      <c r="AH17" s="907"/>
      <c r="AI17" s="907"/>
      <c r="AJ17" s="907"/>
      <c r="AK17" s="907"/>
      <c r="AL17" s="907"/>
      <c r="AM17" s="907"/>
    </row>
    <row r="18" spans="1:39">
      <c r="A18" s="963" t="s">
        <v>191</v>
      </c>
      <c r="B18" s="944">
        <f ca="1">IFERROR(__xludf.DUMMYFUNCTION("QUERY('管理表'!A:AP,""select B,C,D,G,J,K,L,N,O,Q,T where ((C = '本社'and R = '""&amp;D1&amp;N16&amp;""' and S = '""&amp;A18&amp;""') or (C = '協同本社'and R = '""&amp;D1&amp;N16&amp;""'and S = '""&amp;A18&amp;""')) and not(AH = '退職')"",0)"),138)</f>
        <v>138</v>
      </c>
      <c r="C18" s="923" t="str">
        <f ca="1">IFERROR(__xludf.DUMMYFUNCTION("""COMPUTED_VALUE"""),"本社")</f>
        <v>本社</v>
      </c>
      <c r="D18" s="923" t="str">
        <f ca="1">IFERROR(__xludf.DUMMYFUNCTION("""COMPUTED_VALUE"""),"ベトナム")</f>
        <v>ベトナム</v>
      </c>
      <c r="E18" s="923" t="str">
        <f ca="1">IFERROR(__xludf.DUMMYFUNCTION("""COMPUTED_VALUE"""),"レー ティ ダオ")</f>
        <v>レー ティ ダオ</v>
      </c>
      <c r="F18" s="923" t="str">
        <f ca="1">IFERROR(__xludf.DUMMYFUNCTION("""COMPUTED_VALUE"""),"女")</f>
        <v>女</v>
      </c>
      <c r="G18" s="925">
        <f ca="1">IFERROR(__xludf.DUMMYFUNCTION("""COMPUTED_VALUE"""),31894)</f>
        <v>31894</v>
      </c>
      <c r="H18" s="923">
        <f ca="1">IFERROR(__xludf.DUMMYFUNCTION("""COMPUTED_VALUE"""),38)</f>
        <v>38</v>
      </c>
      <c r="I18" s="923" t="str">
        <f ca="1">IFERROR(__xludf.DUMMYFUNCTION("""COMPUTED_VALUE"""),"中四国")</f>
        <v>中四国</v>
      </c>
      <c r="J18" s="925">
        <f ca="1">IFERROR(__xludf.DUMMYFUNCTION("""COMPUTED_VALUE"""),44699)</f>
        <v>44699</v>
      </c>
      <c r="K18" s="923" t="str">
        <f ca="1">IFERROR(__xludf.DUMMYFUNCTION("""COMPUTED_VALUE"""),"特定技能１号")</f>
        <v>特定技能１号</v>
      </c>
      <c r="L18" s="926">
        <f ca="1">IFERROR(__xludf.DUMMYFUNCTION("""COMPUTED_VALUE"""),20000)</f>
        <v>20000</v>
      </c>
      <c r="M18" s="907"/>
      <c r="N18" s="1648"/>
      <c r="O18" s="964"/>
      <c r="P18" s="907"/>
      <c r="Q18" s="907"/>
      <c r="S18" s="907"/>
      <c r="T18" s="907"/>
      <c r="U18" s="907"/>
      <c r="V18" s="907"/>
      <c r="W18" s="907"/>
      <c r="X18" s="907"/>
      <c r="Y18" s="907"/>
      <c r="Z18" s="907"/>
      <c r="AA18" s="907"/>
      <c r="AB18" s="907"/>
      <c r="AC18" s="907"/>
      <c r="AD18" s="907"/>
      <c r="AE18" s="907"/>
      <c r="AF18" s="907"/>
      <c r="AG18" s="907"/>
      <c r="AH18" s="907"/>
      <c r="AI18" s="907"/>
      <c r="AJ18" s="907"/>
      <c r="AK18" s="907"/>
      <c r="AL18" s="907"/>
      <c r="AM18" s="907"/>
    </row>
    <row r="19" spans="1:39">
      <c r="A19" s="960"/>
      <c r="B19" s="961"/>
      <c r="C19" s="961"/>
      <c r="D19" s="961"/>
      <c r="E19" s="961"/>
      <c r="F19" s="961"/>
      <c r="G19" s="961"/>
      <c r="H19" s="961"/>
      <c r="I19" s="961"/>
      <c r="J19" s="962"/>
      <c r="K19" s="961"/>
      <c r="L19" s="961"/>
      <c r="M19" s="907"/>
      <c r="N19" s="1648"/>
      <c r="O19" s="964" t="s">
        <v>4273</v>
      </c>
      <c r="P19" s="906"/>
      <c r="Q19" s="907"/>
      <c r="S19" s="907"/>
      <c r="T19" s="907"/>
      <c r="U19" s="907"/>
      <c r="V19" s="907"/>
      <c r="W19" s="907"/>
      <c r="X19" s="907"/>
      <c r="Y19" s="907"/>
      <c r="Z19" s="907"/>
      <c r="AA19" s="907"/>
      <c r="AB19" s="907"/>
      <c r="AC19" s="907"/>
      <c r="AD19" s="907"/>
      <c r="AE19" s="907"/>
      <c r="AF19" s="907"/>
      <c r="AG19" s="907"/>
      <c r="AH19" s="907"/>
      <c r="AI19" s="907"/>
      <c r="AJ19" s="907"/>
      <c r="AK19" s="907"/>
      <c r="AL19" s="907"/>
      <c r="AM19" s="907"/>
    </row>
    <row r="20" spans="1:39">
      <c r="A20" s="963" t="s">
        <v>1907</v>
      </c>
      <c r="B20" s="923">
        <f ca="1">IFERROR(__xludf.DUMMYFUNCTION("QUERY('管理表'!A:AP,""select B,C,D,G,J,K,L,N,O,Q,T where ((C = '本社'and R = '""&amp;D1&amp;N16&amp;""' and S = '""&amp;A20&amp;""') or (C = '協同本社'and R = '""&amp;D1&amp;N16&amp;""'and S = '""&amp;A20&amp;""')) and not(AH = '退職')"",0)"),207)</f>
        <v>207</v>
      </c>
      <c r="C20" s="923" t="str">
        <f ca="1">IFERROR(__xludf.DUMMYFUNCTION("""COMPUTED_VALUE"""),"本社")</f>
        <v>本社</v>
      </c>
      <c r="D20" s="923" t="str">
        <f ca="1">IFERROR(__xludf.DUMMYFUNCTION("""COMPUTED_VALUE"""),"ベトナム")</f>
        <v>ベトナム</v>
      </c>
      <c r="E20" s="923" t="str">
        <f ca="1">IFERROR(__xludf.DUMMYFUNCTION("""COMPUTED_VALUE"""),"チャン ティ ヌー")</f>
        <v>チャン ティ ヌー</v>
      </c>
      <c r="F20" s="923" t="str">
        <f ca="1">IFERROR(__xludf.DUMMYFUNCTION("""COMPUTED_VALUE"""),"女")</f>
        <v>女</v>
      </c>
      <c r="G20" s="925">
        <f ca="1">IFERROR(__xludf.DUMMYFUNCTION("""COMPUTED_VALUE"""),35882)</f>
        <v>35882</v>
      </c>
      <c r="H20" s="923">
        <f ca="1">IFERROR(__xludf.DUMMYFUNCTION("""COMPUTED_VALUE"""),28)</f>
        <v>28</v>
      </c>
      <c r="I20" s="923" t="str">
        <f ca="1">IFERROR(__xludf.DUMMYFUNCTION("""COMPUTED_VALUE"""),"中四国")</f>
        <v>中四国</v>
      </c>
      <c r="J20" s="925">
        <f ca="1">IFERROR(__xludf.DUMMYFUNCTION("""COMPUTED_VALUE"""),45890)</f>
        <v>45890</v>
      </c>
      <c r="K20" s="923" t="str">
        <f ca="1">IFERROR(__xludf.DUMMYFUNCTION("""COMPUTED_VALUE"""),"特定技能１号")</f>
        <v>特定技能１号</v>
      </c>
      <c r="L20" s="965">
        <f ca="1">IFERROR(__xludf.DUMMYFUNCTION("""COMPUTED_VALUE"""),20000)</f>
        <v>20000</v>
      </c>
      <c r="M20" s="907"/>
      <c r="N20" s="1648"/>
      <c r="O20" s="907" t="s">
        <v>4274</v>
      </c>
      <c r="P20" s="905" t="s">
        <v>4275</v>
      </c>
      <c r="Q20" s="906"/>
      <c r="S20" s="907"/>
      <c r="T20" s="907"/>
      <c r="U20" s="907"/>
      <c r="V20" s="907"/>
      <c r="W20" s="907"/>
      <c r="X20" s="907"/>
      <c r="Y20" s="907"/>
      <c r="Z20" s="907"/>
      <c r="AA20" s="907"/>
      <c r="AB20" s="907"/>
      <c r="AC20" s="907"/>
      <c r="AD20" s="907"/>
      <c r="AE20" s="907"/>
      <c r="AF20" s="907"/>
      <c r="AG20" s="907"/>
      <c r="AH20" s="907"/>
      <c r="AI20" s="907"/>
      <c r="AJ20" s="907"/>
      <c r="AK20" s="907"/>
      <c r="AL20" s="907"/>
      <c r="AM20" s="907"/>
    </row>
    <row r="21" spans="1:39">
      <c r="A21" s="966"/>
      <c r="B21" s="967"/>
      <c r="C21" s="967"/>
      <c r="D21" s="967"/>
      <c r="E21" s="967"/>
      <c r="F21" s="967"/>
      <c r="G21" s="967"/>
      <c r="H21" s="967"/>
      <c r="I21" s="967"/>
      <c r="J21" s="968"/>
      <c r="K21" s="967"/>
      <c r="L21" s="967"/>
      <c r="M21" s="942"/>
      <c r="N21" s="1649"/>
      <c r="O21" s="918" t="s">
        <v>4276</v>
      </c>
      <c r="P21" s="969"/>
      <c r="Q21" s="970"/>
      <c r="S21" s="907"/>
      <c r="T21" s="907"/>
      <c r="U21" s="907"/>
      <c r="V21" s="907"/>
      <c r="W21" s="907"/>
      <c r="X21" s="907"/>
      <c r="Y21" s="907"/>
      <c r="Z21" s="907"/>
      <c r="AA21" s="907"/>
      <c r="AB21" s="907"/>
      <c r="AC21" s="907"/>
      <c r="AD21" s="907"/>
      <c r="AE21" s="907"/>
      <c r="AF21" s="907"/>
      <c r="AG21" s="907"/>
      <c r="AH21" s="907"/>
      <c r="AI21" s="907"/>
      <c r="AJ21" s="907"/>
      <c r="AK21" s="907"/>
      <c r="AL21" s="907"/>
      <c r="AM21" s="907"/>
    </row>
    <row r="22" spans="1:39">
      <c r="A22" s="971" t="s">
        <v>165</v>
      </c>
      <c r="B22" s="915">
        <f ca="1">IFERROR(__xludf.DUMMYFUNCTION("QUERY('管理表'!A:AP,""select B,C,D,G,J,K,L,N,O,Q,T where ((C = '本社'and R = '""&amp;D1&amp;N22&amp;""' and S = '""&amp;A22&amp;""') or (C = '協同本社'and R = '""&amp;D1&amp;N22&amp;""'and S = '""&amp;A22&amp;""')) and not(AH = '退職')"",0)"),10)</f>
        <v>10</v>
      </c>
      <c r="C22" s="915" t="str">
        <f ca="1">IFERROR(__xludf.DUMMYFUNCTION("""COMPUTED_VALUE"""),"本社")</f>
        <v>本社</v>
      </c>
      <c r="D22" s="915" t="str">
        <f ca="1">IFERROR(__xludf.DUMMYFUNCTION("""COMPUTED_VALUE"""),"ベトナム")</f>
        <v>ベトナム</v>
      </c>
      <c r="E22" s="915" t="str">
        <f ca="1">IFERROR(__xludf.DUMMYFUNCTION("""COMPUTED_VALUE"""),"グエン ティ ロアン")</f>
        <v>グエン ティ ロアン</v>
      </c>
      <c r="F22" s="915" t="str">
        <f ca="1">IFERROR(__xludf.DUMMYFUNCTION("""COMPUTED_VALUE"""),"女")</f>
        <v>女</v>
      </c>
      <c r="G22" s="917">
        <f ca="1">IFERROR(__xludf.DUMMYFUNCTION("""COMPUTED_VALUE"""),31701)</f>
        <v>31701</v>
      </c>
      <c r="H22" s="915">
        <f ca="1">IFERROR(__xludf.DUMMYFUNCTION("""COMPUTED_VALUE"""),39)</f>
        <v>39</v>
      </c>
      <c r="I22" s="915" t="str">
        <f ca="1">IFERROR(__xludf.DUMMYFUNCTION("""COMPUTED_VALUE"""),"中四国")</f>
        <v>中四国</v>
      </c>
      <c r="J22" s="917">
        <f ca="1">IFERROR(__xludf.DUMMYFUNCTION("""COMPUTED_VALUE"""),43435)</f>
        <v>43435</v>
      </c>
      <c r="K22" s="915" t="str">
        <f ca="1">IFERROR(__xludf.DUMMYFUNCTION("""COMPUTED_VALUE"""),"特定技能１号")</f>
        <v>特定技能１号</v>
      </c>
      <c r="L22" s="972">
        <f ca="1">IFERROR(__xludf.DUMMYFUNCTION("""COMPUTED_VALUE"""),20000)</f>
        <v>20000</v>
      </c>
      <c r="M22" s="907"/>
      <c r="N22" s="1647">
        <v>403</v>
      </c>
      <c r="O22" s="907"/>
      <c r="P22" s="907"/>
      <c r="Q22" s="907"/>
      <c r="S22" s="907">
        <v>41000</v>
      </c>
      <c r="T22" s="907">
        <v>4000</v>
      </c>
      <c r="U22" s="907"/>
      <c r="V22" s="907"/>
      <c r="W22" s="907"/>
      <c r="X22" s="907"/>
      <c r="Y22" s="907"/>
      <c r="Z22" s="907"/>
      <c r="AA22" s="907"/>
      <c r="AB22" s="907"/>
      <c r="AC22" s="907"/>
      <c r="AD22" s="907"/>
      <c r="AE22" s="907"/>
      <c r="AF22" s="907"/>
      <c r="AG22" s="907"/>
      <c r="AH22" s="907"/>
      <c r="AI22" s="907"/>
      <c r="AJ22" s="907"/>
      <c r="AK22" s="907"/>
      <c r="AL22" s="907"/>
      <c r="AM22" s="907"/>
    </row>
    <row r="23" spans="1:39">
      <c r="A23" s="973" t="s">
        <v>191</v>
      </c>
      <c r="B23" s="928">
        <f ca="1">IFERROR(__xludf.DUMMYFUNCTION("QUERY('管理表'!A:AP,""select B,C,D,G,J,K,L,N,O,Q,T where ((C = '本社'and R = '""&amp;D1&amp;N22&amp;""' and S = '""&amp;A23&amp;""') or (C = '協同本社'and R = '""&amp;D1&amp;N22&amp;""'and S = '""&amp;A23&amp;""')) and not(AH = '退職')"",0)"),12)</f>
        <v>12</v>
      </c>
      <c r="C23" s="928" t="str">
        <f ca="1">IFERROR(__xludf.DUMMYFUNCTION("""COMPUTED_VALUE"""),"本社")</f>
        <v>本社</v>
      </c>
      <c r="D23" s="928" t="str">
        <f ca="1">IFERROR(__xludf.DUMMYFUNCTION("""COMPUTED_VALUE"""),"ベトナム")</f>
        <v>ベトナム</v>
      </c>
      <c r="E23" s="928" t="str">
        <f ca="1">IFERROR(__xludf.DUMMYFUNCTION("""COMPUTED_VALUE"""),"ホアン ティ チャン")</f>
        <v>ホアン ティ チャン</v>
      </c>
      <c r="F23" s="928" t="str">
        <f ca="1">IFERROR(__xludf.DUMMYFUNCTION("""COMPUTED_VALUE"""),"女")</f>
        <v>女</v>
      </c>
      <c r="G23" s="930">
        <f ca="1">IFERROR(__xludf.DUMMYFUNCTION("""COMPUTED_VALUE"""),34922)</f>
        <v>34922</v>
      </c>
      <c r="H23" s="928">
        <f ca="1">IFERROR(__xludf.DUMMYFUNCTION("""COMPUTED_VALUE"""),30)</f>
        <v>30</v>
      </c>
      <c r="I23" s="928" t="str">
        <f ca="1">IFERROR(__xludf.DUMMYFUNCTION("""COMPUTED_VALUE"""),"中四国")</f>
        <v>中四国</v>
      </c>
      <c r="J23" s="930">
        <f ca="1">IFERROR(__xludf.DUMMYFUNCTION("""COMPUTED_VALUE"""),43627)</f>
        <v>43627</v>
      </c>
      <c r="K23" s="928" t="str">
        <f ca="1">IFERROR(__xludf.DUMMYFUNCTION("""COMPUTED_VALUE"""),"特定技能１号")</f>
        <v>特定技能１号</v>
      </c>
      <c r="L23" s="931">
        <f ca="1">IFERROR(__xludf.DUMMYFUNCTION("""COMPUTED_VALUE"""),20000)</f>
        <v>20000</v>
      </c>
      <c r="M23" s="907"/>
      <c r="N23" s="1648"/>
      <c r="O23" s="907"/>
      <c r="P23" s="907"/>
      <c r="Q23" s="907"/>
      <c r="R23" s="907"/>
      <c r="S23" s="907"/>
      <c r="T23" s="907"/>
      <c r="U23" s="907"/>
      <c r="V23" s="907"/>
      <c r="W23" s="907"/>
      <c r="X23" s="907"/>
      <c r="Y23" s="907"/>
      <c r="Z23" s="907"/>
      <c r="AA23" s="907"/>
      <c r="AB23" s="907"/>
      <c r="AC23" s="907"/>
      <c r="AD23" s="907"/>
      <c r="AE23" s="907"/>
      <c r="AF23" s="907"/>
      <c r="AG23" s="907"/>
      <c r="AH23" s="907"/>
      <c r="AI23" s="907"/>
      <c r="AJ23" s="907"/>
      <c r="AK23" s="907"/>
      <c r="AL23" s="907"/>
      <c r="AM23" s="907"/>
    </row>
    <row r="24" spans="1:39">
      <c r="A24" s="958" t="s">
        <v>165</v>
      </c>
      <c r="B24" s="933">
        <f ca="1">IFERROR(__xludf.DUMMYFUNCTION("QUERY('管理表'!A:AP,""select B,C,D,G,J,K,L,N,O,Q,T where ((C = '本社'and R = '""&amp;D1&amp;N24&amp;""' and S = '""&amp;A24&amp;""') or (C = '協同本社'and R = '""&amp;D1&amp;N24&amp;""'and S = '""&amp;A24&amp;""')) and not(AH = '退職')"",0)"),131)</f>
        <v>131</v>
      </c>
      <c r="C24" s="933" t="str">
        <f ca="1">IFERROR(__xludf.DUMMYFUNCTION("""COMPUTED_VALUE"""),"本社")</f>
        <v>本社</v>
      </c>
      <c r="D24" s="933" t="str">
        <f ca="1">IFERROR(__xludf.DUMMYFUNCTION("""COMPUTED_VALUE"""),"ベトナム")</f>
        <v>ベトナム</v>
      </c>
      <c r="E24" s="933" t="str">
        <f ca="1">IFERROR(__xludf.DUMMYFUNCTION("""COMPUTED_VALUE"""),"グエン タン ロン")</f>
        <v>グエン タン ロン</v>
      </c>
      <c r="F24" s="933" t="str">
        <f ca="1">IFERROR(__xludf.DUMMYFUNCTION("""COMPUTED_VALUE"""),"男")</f>
        <v>男</v>
      </c>
      <c r="G24" s="934">
        <f ca="1">IFERROR(__xludf.DUMMYFUNCTION("""COMPUTED_VALUE"""),36864)</f>
        <v>36864</v>
      </c>
      <c r="H24" s="933">
        <f ca="1">IFERROR(__xludf.DUMMYFUNCTION("""COMPUTED_VALUE"""),25)</f>
        <v>25</v>
      </c>
      <c r="I24" s="933" t="str">
        <f ca="1">IFERROR(__xludf.DUMMYFUNCTION("""COMPUTED_VALUE"""),"中四国")</f>
        <v>中四国</v>
      </c>
      <c r="J24" s="934">
        <f ca="1">IFERROR(__xludf.DUMMYFUNCTION("""COMPUTED_VALUE"""),44699)</f>
        <v>44699</v>
      </c>
      <c r="K24" s="933" t="str">
        <f ca="1">IFERROR(__xludf.DUMMYFUNCTION("""COMPUTED_VALUE"""),"特定技能１号")</f>
        <v>特定技能１号</v>
      </c>
      <c r="L24" s="974">
        <f ca="1">IFERROR(__xludf.DUMMYFUNCTION("""COMPUTED_VALUE"""),20000)</f>
        <v>20000</v>
      </c>
      <c r="M24" s="936"/>
      <c r="N24" s="1650">
        <v>404</v>
      </c>
      <c r="O24" s="905" t="s">
        <v>4277</v>
      </c>
      <c r="P24" s="907"/>
      <c r="Q24" s="907"/>
      <c r="R24" s="907"/>
      <c r="S24" s="907">
        <v>41000</v>
      </c>
      <c r="T24" s="907">
        <v>4000</v>
      </c>
      <c r="U24" s="907"/>
      <c r="V24" s="907"/>
      <c r="W24" s="907"/>
      <c r="X24" s="907"/>
      <c r="Y24" s="907"/>
      <c r="Z24" s="907"/>
      <c r="AA24" s="907"/>
      <c r="AB24" s="907"/>
      <c r="AC24" s="907"/>
      <c r="AD24" s="907"/>
      <c r="AE24" s="907"/>
      <c r="AF24" s="907"/>
      <c r="AG24" s="907"/>
      <c r="AH24" s="907"/>
      <c r="AI24" s="907"/>
      <c r="AJ24" s="907"/>
      <c r="AK24" s="907"/>
      <c r="AL24" s="907"/>
      <c r="AM24" s="907"/>
    </row>
    <row r="25" spans="1:39">
      <c r="A25" s="960" t="s">
        <v>137</v>
      </c>
      <c r="B25" s="961"/>
      <c r="C25" s="961"/>
      <c r="D25" s="961"/>
      <c r="E25" s="961"/>
      <c r="F25" s="961"/>
      <c r="G25" s="961"/>
      <c r="H25" s="961"/>
      <c r="I25" s="961"/>
      <c r="J25" s="962"/>
      <c r="K25" s="961"/>
      <c r="L25" s="961"/>
      <c r="M25" s="907"/>
      <c r="N25" s="1648"/>
      <c r="O25" s="964" t="s">
        <v>4278</v>
      </c>
      <c r="P25" s="907"/>
      <c r="Q25" s="907"/>
      <c r="R25" s="907"/>
      <c r="S25" s="907"/>
      <c r="T25" s="907"/>
      <c r="U25" s="907"/>
      <c r="V25" s="907"/>
      <c r="W25" s="907"/>
      <c r="X25" s="907"/>
      <c r="Y25" s="907"/>
      <c r="Z25" s="907"/>
      <c r="AA25" s="907"/>
      <c r="AB25" s="907"/>
      <c r="AC25" s="907"/>
      <c r="AD25" s="907"/>
      <c r="AE25" s="907"/>
      <c r="AF25" s="907"/>
      <c r="AG25" s="907"/>
      <c r="AH25" s="907"/>
      <c r="AI25" s="907"/>
      <c r="AJ25" s="907"/>
      <c r="AK25" s="907"/>
      <c r="AL25" s="907"/>
      <c r="AM25" s="907"/>
    </row>
    <row r="26" spans="1:39">
      <c r="A26" s="963" t="s">
        <v>191</v>
      </c>
      <c r="B26" s="923">
        <f ca="1">IFERROR(__xludf.DUMMYFUNCTION("QUERY('管理表'!A:AP,""select B,C,D,G,J,K,L,N,O,Q,T where ((C = '本社'and R = '""&amp;D1&amp;N24&amp;""' and S = '""&amp;A26&amp;""') or (C = '協同本社'and R = '""&amp;D1&amp;N24&amp;""'and S = '""&amp;A26&amp;""')) and not(AH = '退職')"",0)"),191)</f>
        <v>191</v>
      </c>
      <c r="C26" s="923" t="str">
        <f ca="1">IFERROR(__xludf.DUMMYFUNCTION("""COMPUTED_VALUE"""),"本社")</f>
        <v>本社</v>
      </c>
      <c r="D26" s="923" t="str">
        <f ca="1">IFERROR(__xludf.DUMMYFUNCTION("""COMPUTED_VALUE"""),"ベトナム")</f>
        <v>ベトナム</v>
      </c>
      <c r="E26" s="924" t="str">
        <f ca="1">IFERROR(__xludf.DUMMYFUNCTION("""COMPUTED_VALUE"""),"ファム ヒュー タン")</f>
        <v>ファム ヒュー タン</v>
      </c>
      <c r="F26" s="923" t="str">
        <f ca="1">IFERROR(__xludf.DUMMYFUNCTION("""COMPUTED_VALUE"""),"男")</f>
        <v>男</v>
      </c>
      <c r="G26" s="925">
        <f ca="1">IFERROR(__xludf.DUMMYFUNCTION("""COMPUTED_VALUE"""),38231)</f>
        <v>38231</v>
      </c>
      <c r="H26" s="923">
        <f ca="1">IFERROR(__xludf.DUMMYFUNCTION("""COMPUTED_VALUE"""),21)</f>
        <v>21</v>
      </c>
      <c r="I26" s="923" t="str">
        <f ca="1">IFERROR(__xludf.DUMMYFUNCTION("""COMPUTED_VALUE"""),"中四国")</f>
        <v>中四国</v>
      </c>
      <c r="J26" s="925">
        <f ca="1">IFERROR(__xludf.DUMMYFUNCTION("""COMPUTED_VALUE"""),45581)</f>
        <v>45581</v>
      </c>
      <c r="K26" s="923" t="str">
        <f ca="1">IFERROR(__xludf.DUMMYFUNCTION("""COMPUTED_VALUE"""),"技能実習2号")</f>
        <v>技能実習2号</v>
      </c>
      <c r="L26" s="926">
        <f ca="1">IFERROR(__xludf.DUMMYFUNCTION("""COMPUTED_VALUE"""),20000)</f>
        <v>20000</v>
      </c>
      <c r="M26" s="907"/>
      <c r="N26" s="1648"/>
      <c r="O26" s="918" t="s">
        <v>4279</v>
      </c>
      <c r="P26" s="907"/>
      <c r="Q26" s="907"/>
      <c r="R26" s="907"/>
      <c r="S26" s="907"/>
      <c r="T26" s="907"/>
      <c r="U26" s="907"/>
      <c r="V26" s="907"/>
      <c r="W26" s="907"/>
      <c r="X26" s="907"/>
      <c r="Y26" s="907"/>
      <c r="Z26" s="907"/>
      <c r="AA26" s="907"/>
      <c r="AB26" s="907"/>
      <c r="AC26" s="907"/>
      <c r="AD26" s="907"/>
      <c r="AE26" s="907"/>
      <c r="AF26" s="907"/>
      <c r="AG26" s="907"/>
      <c r="AH26" s="907"/>
      <c r="AI26" s="907"/>
      <c r="AJ26" s="907"/>
      <c r="AK26" s="907"/>
      <c r="AL26" s="907"/>
      <c r="AM26" s="907"/>
    </row>
    <row r="27" spans="1:39">
      <c r="A27" s="975" t="s">
        <v>400</v>
      </c>
      <c r="B27" s="967"/>
      <c r="C27" s="967"/>
      <c r="D27" s="967"/>
      <c r="E27" s="967"/>
      <c r="F27" s="967"/>
      <c r="G27" s="967"/>
      <c r="H27" s="967"/>
      <c r="I27" s="967"/>
      <c r="J27" s="968"/>
      <c r="K27" s="967"/>
      <c r="L27" s="967"/>
      <c r="M27" s="942"/>
      <c r="N27" s="1649"/>
      <c r="O27" s="907"/>
      <c r="P27" s="907"/>
      <c r="Q27" s="907"/>
      <c r="R27" s="907"/>
      <c r="S27" s="907"/>
      <c r="T27" s="907"/>
      <c r="U27" s="907"/>
      <c r="V27" s="907"/>
      <c r="W27" s="907"/>
      <c r="X27" s="907"/>
      <c r="Y27" s="907"/>
      <c r="Z27" s="907"/>
      <c r="AA27" s="907"/>
      <c r="AB27" s="907"/>
      <c r="AC27" s="907"/>
      <c r="AD27" s="907"/>
      <c r="AE27" s="907"/>
      <c r="AF27" s="907"/>
      <c r="AG27" s="907"/>
      <c r="AH27" s="907"/>
      <c r="AI27" s="907"/>
      <c r="AJ27" s="907"/>
      <c r="AK27" s="907"/>
      <c r="AL27" s="907"/>
      <c r="AM27" s="907"/>
    </row>
    <row r="28" spans="1:39">
      <c r="A28" s="976" t="s">
        <v>149</v>
      </c>
      <c r="B28" s="933">
        <f ca="1">IFERROR(__xludf.DUMMYFUNCTION("QUERY('管理表'!A:AP,""select B,C,D,G,J,K,L,N,O,Q,T where ((C = '本社'and R = '""&amp;D1&amp;N28&amp;""' and S = '""&amp;A28&amp;""') or (C = '協同本社'and R = '""&amp;D1&amp;N28&amp;""'and S = '""&amp;A28&amp;""')) and not(AH = '退職')"",0)"),132)</f>
        <v>132</v>
      </c>
      <c r="C28" s="977" t="str">
        <f ca="1">IFERROR(__xludf.DUMMYFUNCTION("""COMPUTED_VALUE"""),"本社")</f>
        <v>本社</v>
      </c>
      <c r="D28" s="977" t="str">
        <f ca="1">IFERROR(__xludf.DUMMYFUNCTION("""COMPUTED_VALUE"""),"ベトナム")</f>
        <v>ベトナム</v>
      </c>
      <c r="E28" s="978" t="str">
        <f ca="1">IFERROR(__xludf.DUMMYFUNCTION("""COMPUTED_VALUE"""),"ダオ ヴァン ゴック")</f>
        <v>ダオ ヴァン ゴック</v>
      </c>
      <c r="F28" s="977" t="str">
        <f ca="1">IFERROR(__xludf.DUMMYFUNCTION("""COMPUTED_VALUE"""),"男")</f>
        <v>男</v>
      </c>
      <c r="G28" s="979">
        <f ca="1">IFERROR(__xludf.DUMMYFUNCTION("""COMPUTED_VALUE"""),36313)</f>
        <v>36313</v>
      </c>
      <c r="H28" s="977">
        <f ca="1">IFERROR(__xludf.DUMMYFUNCTION("""COMPUTED_VALUE"""),26)</f>
        <v>26</v>
      </c>
      <c r="I28" s="977" t="str">
        <f ca="1">IFERROR(__xludf.DUMMYFUNCTION("""COMPUTED_VALUE"""),"中四国")</f>
        <v>中四国</v>
      </c>
      <c r="J28" s="979">
        <f ca="1">IFERROR(__xludf.DUMMYFUNCTION("""COMPUTED_VALUE"""),44699)</f>
        <v>44699</v>
      </c>
      <c r="K28" s="977" t="str">
        <f ca="1">IFERROR(__xludf.DUMMYFUNCTION("""COMPUTED_VALUE"""),"特定技能１号")</f>
        <v>特定技能１号</v>
      </c>
      <c r="L28" s="980">
        <f ca="1">IFERROR(__xludf.DUMMYFUNCTION("""COMPUTED_VALUE"""),22500)</f>
        <v>22500</v>
      </c>
      <c r="M28" s="936"/>
      <c r="N28" s="1650">
        <v>406</v>
      </c>
      <c r="O28" s="918" t="s">
        <v>4280</v>
      </c>
      <c r="P28" s="907"/>
      <c r="Q28" s="907"/>
      <c r="R28" s="907"/>
      <c r="S28" s="906">
        <v>41000</v>
      </c>
      <c r="T28" s="906">
        <v>4000</v>
      </c>
      <c r="U28" s="907"/>
      <c r="V28" s="964" t="s">
        <v>4281</v>
      </c>
      <c r="W28" s="907"/>
      <c r="X28" s="907"/>
      <c r="Y28" s="907"/>
      <c r="Z28" s="907"/>
      <c r="AA28" s="907"/>
      <c r="AB28" s="907"/>
      <c r="AC28" s="907"/>
      <c r="AD28" s="907"/>
      <c r="AE28" s="907"/>
      <c r="AF28" s="907"/>
      <c r="AG28" s="907"/>
      <c r="AH28" s="907"/>
      <c r="AI28" s="907"/>
      <c r="AJ28" s="907"/>
      <c r="AK28" s="907"/>
      <c r="AL28" s="907"/>
      <c r="AM28" s="907"/>
    </row>
    <row r="29" spans="1:39">
      <c r="A29" s="981" t="s">
        <v>149</v>
      </c>
      <c r="B29" s="982">
        <f ca="1">IFERROR(__xludf.DUMMYFUNCTION("""COMPUTED_VALUE"""),238)</f>
        <v>238</v>
      </c>
      <c r="C29" s="982" t="str">
        <f ca="1">IFERROR(__xludf.DUMMYFUNCTION("""COMPUTED_VALUE"""),"本社")</f>
        <v>本社</v>
      </c>
      <c r="D29" s="982" t="str">
        <f ca="1">IFERROR(__xludf.DUMMYFUNCTION("""COMPUTED_VALUE"""),"ベトナム")</f>
        <v>ベトナム</v>
      </c>
      <c r="E29" s="983" t="str">
        <f ca="1">IFERROR(__xludf.DUMMYFUNCTION("""COMPUTED_VALUE"""),"ヴー ティ タオ")</f>
        <v>ヴー ティ タオ</v>
      </c>
      <c r="F29" s="982" t="str">
        <f ca="1">IFERROR(__xludf.DUMMYFUNCTION("""COMPUTED_VALUE"""),"女")</f>
        <v>女</v>
      </c>
      <c r="G29" s="984">
        <f ca="1">IFERROR(__xludf.DUMMYFUNCTION("""COMPUTED_VALUE"""),36452)</f>
        <v>36452</v>
      </c>
      <c r="H29" s="982">
        <f ca="1">IFERROR(__xludf.DUMMYFUNCTION("""COMPUTED_VALUE"""),26)</f>
        <v>26</v>
      </c>
      <c r="I29" s="982" t="str">
        <f ca="1">IFERROR(__xludf.DUMMYFUNCTION("""COMPUTED_VALUE"""),"中四国")</f>
        <v>中四国</v>
      </c>
      <c r="J29" s="984">
        <f ca="1">IFERROR(__xludf.DUMMYFUNCTION("""COMPUTED_VALUE"""),46056)</f>
        <v>46056</v>
      </c>
      <c r="K29" s="982" t="str">
        <f ca="1">IFERROR(__xludf.DUMMYFUNCTION("""COMPUTED_VALUE"""),"技能実習2号")</f>
        <v>技能実習2号</v>
      </c>
      <c r="L29" s="985">
        <f ca="1">IFERROR(__xludf.DUMMYFUNCTION("""COMPUTED_VALUE"""),22500)</f>
        <v>22500</v>
      </c>
      <c r="M29" s="942"/>
      <c r="N29" s="1649"/>
      <c r="O29" s="918" t="s">
        <v>4282</v>
      </c>
      <c r="P29" s="907"/>
      <c r="Q29" s="907"/>
      <c r="R29" s="907"/>
      <c r="S29" s="907"/>
      <c r="T29" s="907"/>
      <c r="U29" s="907"/>
      <c r="V29" s="907"/>
      <c r="W29" s="907"/>
      <c r="X29" s="907"/>
      <c r="Y29" s="907"/>
      <c r="Z29" s="907"/>
      <c r="AA29" s="907"/>
      <c r="AB29" s="907"/>
      <c r="AC29" s="907"/>
      <c r="AD29" s="907"/>
      <c r="AE29" s="907"/>
      <c r="AF29" s="907"/>
      <c r="AG29" s="907"/>
      <c r="AH29" s="907"/>
      <c r="AI29" s="907"/>
      <c r="AJ29" s="907"/>
      <c r="AK29" s="907"/>
      <c r="AL29" s="907"/>
      <c r="AM29" s="907"/>
    </row>
    <row r="30" spans="1:39">
      <c r="A30" s="971" t="s">
        <v>137</v>
      </c>
      <c r="B30" s="915">
        <f ca="1">IFERROR(__xludf.DUMMYFUNCTION("QUERY('管理表'!A:AP,""select B,C,D,G,J,K,L,N,O,Q,T where ((C = '本社'and R = '""&amp;D1&amp;N30&amp;""' and S = '""&amp;A30&amp;""') or (C = '協同本社'and R = '""&amp;D1&amp;N30&amp;""'and S = '""&amp;A30&amp;""')) and not(AH = '退職')"",0)"),29)</f>
        <v>29</v>
      </c>
      <c r="C30" s="915" t="str">
        <f ca="1">IFERROR(__xludf.DUMMYFUNCTION("""COMPUTED_VALUE"""),"本社")</f>
        <v>本社</v>
      </c>
      <c r="D30" s="915" t="str">
        <f ca="1">IFERROR(__xludf.DUMMYFUNCTION("""COMPUTED_VALUE"""),"ベトナム")</f>
        <v>ベトナム</v>
      </c>
      <c r="E30" s="915" t="str">
        <f ca="1">IFERROR(__xludf.DUMMYFUNCTION("""COMPUTED_VALUE"""),"チャン ヴァン ヴィエット")</f>
        <v>チャン ヴァン ヴィエット</v>
      </c>
      <c r="F30" s="915" t="str">
        <f ca="1">IFERROR(__xludf.DUMMYFUNCTION("""COMPUTED_VALUE"""),"男")</f>
        <v>男</v>
      </c>
      <c r="G30" s="917">
        <f ca="1">IFERROR(__xludf.DUMMYFUNCTION("""COMPUTED_VALUE"""),32955)</f>
        <v>32955</v>
      </c>
      <c r="H30" s="915">
        <f ca="1">IFERROR(__xludf.DUMMYFUNCTION("""COMPUTED_VALUE"""),36)</f>
        <v>36</v>
      </c>
      <c r="I30" s="915" t="str">
        <f ca="1">IFERROR(__xludf.DUMMYFUNCTION("""COMPUTED_VALUE"""),"中四国")</f>
        <v>中四国</v>
      </c>
      <c r="J30" s="917">
        <f ca="1">IFERROR(__xludf.DUMMYFUNCTION("""COMPUTED_VALUE"""),44119)</f>
        <v>44119</v>
      </c>
      <c r="K30" s="915" t="str">
        <f ca="1">IFERROR(__xludf.DUMMYFUNCTION("""COMPUTED_VALUE"""),"特定技能１号")</f>
        <v>特定技能１号</v>
      </c>
      <c r="L30" s="986">
        <f ca="1">IFERROR(__xludf.DUMMYFUNCTION("""COMPUTED_VALUE"""),20000)</f>
        <v>20000</v>
      </c>
      <c r="M30" s="907"/>
      <c r="N30" s="1647">
        <v>504</v>
      </c>
      <c r="O30" s="907" t="s">
        <v>4283</v>
      </c>
      <c r="P30" s="907"/>
      <c r="Q30" s="907"/>
      <c r="R30" s="907"/>
      <c r="S30" s="907">
        <v>41000</v>
      </c>
      <c r="T30" s="907">
        <v>4000</v>
      </c>
      <c r="U30" s="907"/>
      <c r="V30" s="907"/>
      <c r="W30" s="907"/>
      <c r="X30" s="907"/>
      <c r="Y30" s="907"/>
      <c r="Z30" s="907"/>
      <c r="AA30" s="907"/>
      <c r="AB30" s="907"/>
      <c r="AC30" s="907"/>
      <c r="AD30" s="907"/>
      <c r="AE30" s="907"/>
      <c r="AF30" s="907"/>
      <c r="AG30" s="907"/>
      <c r="AH30" s="907"/>
      <c r="AI30" s="907"/>
      <c r="AJ30" s="907"/>
      <c r="AK30" s="907"/>
      <c r="AL30" s="907"/>
      <c r="AM30" s="907"/>
    </row>
    <row r="31" spans="1:39">
      <c r="A31" s="960" t="s">
        <v>137</v>
      </c>
      <c r="B31" s="961"/>
      <c r="C31" s="961"/>
      <c r="D31" s="961"/>
      <c r="E31" s="961"/>
      <c r="F31" s="961"/>
      <c r="G31" s="961"/>
      <c r="H31" s="961"/>
      <c r="I31" s="961"/>
      <c r="J31" s="962"/>
      <c r="K31" s="961"/>
      <c r="L31" s="961"/>
      <c r="M31" s="907"/>
      <c r="N31" s="1648"/>
      <c r="O31" s="907" t="s">
        <v>4284</v>
      </c>
      <c r="P31" s="907"/>
      <c r="Q31" s="907"/>
      <c r="R31" s="907"/>
      <c r="S31" s="907"/>
      <c r="T31" s="907"/>
      <c r="U31" s="907"/>
      <c r="V31" s="907"/>
      <c r="W31" s="907"/>
      <c r="X31" s="907"/>
      <c r="Y31" s="907"/>
      <c r="Z31" s="907"/>
      <c r="AA31" s="907"/>
      <c r="AB31" s="907"/>
      <c r="AC31" s="907"/>
      <c r="AD31" s="907"/>
      <c r="AE31" s="907"/>
      <c r="AF31" s="907"/>
      <c r="AG31" s="907"/>
      <c r="AH31" s="907"/>
      <c r="AI31" s="907"/>
      <c r="AJ31" s="907"/>
      <c r="AK31" s="907"/>
      <c r="AL31" s="907"/>
      <c r="AM31" s="907"/>
    </row>
    <row r="32" spans="1:39">
      <c r="A32" s="987" t="s">
        <v>400</v>
      </c>
      <c r="B32" s="944">
        <f ca="1">IFERROR(__xludf.DUMMYFUNCTION("QUERY('管理表'!A:AP,""select B,C,D,G,J,K,L,N,O,Q,T where ((C = '本社'and R = '""&amp;D1&amp;N30&amp;""' and S = '""&amp;A32&amp;""') or (C = '協同本社'and R = '""&amp;D1&amp;N30&amp;""'and S = '""&amp;A32&amp;""')) and not(AH = '退職')"",0)"),36)</f>
        <v>36</v>
      </c>
      <c r="C32" s="923" t="str">
        <f ca="1">IFERROR(__xludf.DUMMYFUNCTION("""COMPUTED_VALUE"""),"本社")</f>
        <v>本社</v>
      </c>
      <c r="D32" s="923" t="str">
        <f ca="1">IFERROR(__xludf.DUMMYFUNCTION("""COMPUTED_VALUE"""),"ベトナム")</f>
        <v>ベトナム</v>
      </c>
      <c r="E32" s="923" t="str">
        <f ca="1">IFERROR(__xludf.DUMMYFUNCTION("""COMPUTED_VALUE"""),"グエン タイン ド―")</f>
        <v>グエン タイン ド―</v>
      </c>
      <c r="F32" s="923" t="str">
        <f ca="1">IFERROR(__xludf.DUMMYFUNCTION("""COMPUTED_VALUE"""),"男")</f>
        <v>男</v>
      </c>
      <c r="G32" s="925">
        <f ca="1">IFERROR(__xludf.DUMMYFUNCTION("""COMPUTED_VALUE"""),33529)</f>
        <v>33529</v>
      </c>
      <c r="H32" s="923">
        <f ca="1">IFERROR(__xludf.DUMMYFUNCTION("""COMPUTED_VALUE"""),34)</f>
        <v>34</v>
      </c>
      <c r="I32" s="923" t="str">
        <f ca="1">IFERROR(__xludf.DUMMYFUNCTION("""COMPUTED_VALUE"""),"中四国")</f>
        <v>中四国</v>
      </c>
      <c r="J32" s="925">
        <f ca="1">IFERROR(__xludf.DUMMYFUNCTION("""COMPUTED_VALUE"""),44221)</f>
        <v>44221</v>
      </c>
      <c r="K32" s="923" t="str">
        <f ca="1">IFERROR(__xludf.DUMMYFUNCTION("""COMPUTED_VALUE"""),"特定技能１号")</f>
        <v>特定技能１号</v>
      </c>
      <c r="L32" s="965">
        <f ca="1">IFERROR(__xludf.DUMMYFUNCTION("""COMPUTED_VALUE"""),20000)</f>
        <v>20000</v>
      </c>
      <c r="M32" s="907"/>
      <c r="N32" s="1648"/>
      <c r="O32" s="594"/>
      <c r="P32" s="907"/>
      <c r="Q32" s="907"/>
      <c r="R32" s="907"/>
      <c r="S32" s="907"/>
      <c r="T32" s="907"/>
      <c r="U32" s="907"/>
      <c r="V32" s="907"/>
      <c r="W32" s="907"/>
      <c r="X32" s="907"/>
      <c r="Y32" s="907"/>
      <c r="Z32" s="907"/>
      <c r="AA32" s="907"/>
      <c r="AB32" s="907"/>
      <c r="AC32" s="907"/>
      <c r="AD32" s="907"/>
      <c r="AE32" s="907"/>
      <c r="AF32" s="907"/>
      <c r="AG32" s="907"/>
      <c r="AH32" s="907"/>
      <c r="AI32" s="907"/>
      <c r="AJ32" s="907"/>
      <c r="AK32" s="907"/>
      <c r="AL32" s="907"/>
      <c r="AM32" s="907"/>
    </row>
    <row r="33" spans="1:39">
      <c r="A33" s="988" t="s">
        <v>400</v>
      </c>
      <c r="B33" s="989"/>
      <c r="C33" s="989"/>
      <c r="D33" s="989"/>
      <c r="E33" s="990"/>
      <c r="F33" s="989"/>
      <c r="G33" s="989"/>
      <c r="H33" s="989"/>
      <c r="I33" s="989"/>
      <c r="J33" s="991"/>
      <c r="K33" s="989"/>
      <c r="L33" s="989"/>
      <c r="M33" s="942"/>
      <c r="N33" s="1649"/>
      <c r="O33" s="964"/>
      <c r="P33" s="907"/>
      <c r="Q33" s="907"/>
      <c r="R33" s="907"/>
      <c r="S33" s="907"/>
      <c r="T33" s="907"/>
      <c r="U33" s="907"/>
      <c r="V33" s="907"/>
      <c r="W33" s="907"/>
      <c r="X33" s="907"/>
      <c r="Y33" s="907"/>
      <c r="Z33" s="907"/>
      <c r="AA33" s="907"/>
      <c r="AB33" s="907"/>
      <c r="AC33" s="907"/>
      <c r="AD33" s="907"/>
      <c r="AE33" s="907"/>
      <c r="AF33" s="907"/>
      <c r="AG33" s="907"/>
      <c r="AH33" s="907"/>
      <c r="AI33" s="907"/>
      <c r="AJ33" s="907"/>
      <c r="AK33" s="907"/>
      <c r="AL33" s="907"/>
      <c r="AM33" s="907"/>
    </row>
    <row r="34" spans="1:39">
      <c r="A34" s="908" t="s">
        <v>149</v>
      </c>
      <c r="B34" s="907">
        <f ca="1">IFERROR(__xludf.DUMMYFUNCTION("QUERY('管理表'!A:AP,""select B,C,D,G,J,K,L,N,O,Q,T where ((C = '本社'and R = '""&amp;D1&amp;N34&amp;""' and S = '""&amp;A34&amp;""') or (C = '協同本社'and R = '""&amp;D1&amp;N34&amp;""'and S = '""&amp;A34&amp;""')) and not(AH = '退職')"",0)"),133)</f>
        <v>133</v>
      </c>
      <c r="C34" s="907" t="str">
        <f ca="1">IFERROR(__xludf.DUMMYFUNCTION("""COMPUTED_VALUE"""),"本社")</f>
        <v>本社</v>
      </c>
      <c r="D34" s="907" t="str">
        <f ca="1">IFERROR(__xludf.DUMMYFUNCTION("""COMPUTED_VALUE"""),"ベトナム")</f>
        <v>ベトナム</v>
      </c>
      <c r="E34" s="907" t="str">
        <f ca="1">IFERROR(__xludf.DUMMYFUNCTION("""COMPUTED_VALUE"""),"ルオン トゥアン リン")</f>
        <v>ルオン トゥアン リン</v>
      </c>
      <c r="F34" s="907" t="str">
        <f ca="1">IFERROR(__xludf.DUMMYFUNCTION("""COMPUTED_VALUE"""),"男")</f>
        <v>男</v>
      </c>
      <c r="G34" s="992">
        <f ca="1">IFERROR(__xludf.DUMMYFUNCTION("""COMPUTED_VALUE"""),34672)</f>
        <v>34672</v>
      </c>
      <c r="H34" s="907">
        <f ca="1">IFERROR(__xludf.DUMMYFUNCTION("""COMPUTED_VALUE"""),31)</f>
        <v>31</v>
      </c>
      <c r="I34" s="907" t="str">
        <f ca="1">IFERROR(__xludf.DUMMYFUNCTION("""COMPUTED_VALUE"""),"中四国")</f>
        <v>中四国</v>
      </c>
      <c r="J34" s="992">
        <f ca="1">IFERROR(__xludf.DUMMYFUNCTION("""COMPUTED_VALUE"""),44699)</f>
        <v>44699</v>
      </c>
      <c r="K34" s="907" t="str">
        <f ca="1">IFERROR(__xludf.DUMMYFUNCTION("""COMPUTED_VALUE"""),"特定技能１号")</f>
        <v>特定技能１号</v>
      </c>
      <c r="L34" s="993">
        <f ca="1">IFERROR(__xludf.DUMMYFUNCTION("""COMPUTED_VALUE"""),22500)</f>
        <v>22500</v>
      </c>
      <c r="M34" s="907"/>
      <c r="N34" s="1647">
        <v>506</v>
      </c>
      <c r="O34" s="964" t="s">
        <v>4285</v>
      </c>
      <c r="P34" s="907"/>
      <c r="Q34" s="907"/>
      <c r="R34" s="907"/>
      <c r="S34" s="907">
        <v>41000</v>
      </c>
      <c r="T34" s="907">
        <v>4000</v>
      </c>
      <c r="U34" s="907"/>
      <c r="V34" s="907" t="s">
        <v>4286</v>
      </c>
      <c r="W34" s="907"/>
      <c r="X34" s="907"/>
      <c r="Y34" s="907"/>
      <c r="Z34" s="907"/>
      <c r="AA34" s="907"/>
      <c r="AB34" s="907"/>
      <c r="AC34" s="907"/>
      <c r="AD34" s="907"/>
      <c r="AE34" s="907"/>
      <c r="AF34" s="907"/>
      <c r="AG34" s="907"/>
      <c r="AH34" s="907"/>
      <c r="AI34" s="907"/>
      <c r="AJ34" s="907"/>
      <c r="AK34" s="907"/>
      <c r="AL34" s="907"/>
      <c r="AM34" s="907"/>
    </row>
    <row r="35" spans="1:39">
      <c r="A35" s="905" t="s">
        <v>149</v>
      </c>
      <c r="B35" s="907">
        <f ca="1">IFERROR(__xludf.DUMMYFUNCTION("""COMPUTED_VALUE"""),137)</f>
        <v>137</v>
      </c>
      <c r="C35" s="907" t="str">
        <f ca="1">IFERROR(__xludf.DUMMYFUNCTION("""COMPUTED_VALUE"""),"本社")</f>
        <v>本社</v>
      </c>
      <c r="D35" s="907" t="str">
        <f ca="1">IFERROR(__xludf.DUMMYFUNCTION("""COMPUTED_VALUE"""),"ベトナム")</f>
        <v>ベトナム</v>
      </c>
      <c r="E35" s="907" t="str">
        <f ca="1">IFERROR(__xludf.DUMMYFUNCTION("""COMPUTED_VALUE"""),"ハー ティ タイン アン")</f>
        <v>ハー ティ タイン アン</v>
      </c>
      <c r="F35" s="907" t="str">
        <f ca="1">IFERROR(__xludf.DUMMYFUNCTION("""COMPUTED_VALUE"""),"女")</f>
        <v>女</v>
      </c>
      <c r="G35" s="992">
        <f ca="1">IFERROR(__xludf.DUMMYFUNCTION("""COMPUTED_VALUE"""),36759)</f>
        <v>36759</v>
      </c>
      <c r="H35" s="907">
        <f ca="1">IFERROR(__xludf.DUMMYFUNCTION("""COMPUTED_VALUE"""),25)</f>
        <v>25</v>
      </c>
      <c r="I35" s="907" t="str">
        <f ca="1">IFERROR(__xludf.DUMMYFUNCTION("""COMPUTED_VALUE"""),"中四国")</f>
        <v>中四国</v>
      </c>
      <c r="J35" s="992">
        <f ca="1">IFERROR(__xludf.DUMMYFUNCTION("""COMPUTED_VALUE"""),44699)</f>
        <v>44699</v>
      </c>
      <c r="K35" s="907" t="str">
        <f ca="1">IFERROR(__xludf.DUMMYFUNCTION("""COMPUTED_VALUE"""),"特定技能１号")</f>
        <v>特定技能１号</v>
      </c>
      <c r="L35" s="993">
        <f ca="1">IFERROR(__xludf.DUMMYFUNCTION("""COMPUTED_VALUE"""),22500)</f>
        <v>22500</v>
      </c>
      <c r="M35" s="907"/>
      <c r="N35" s="1649"/>
      <c r="O35" s="907" t="s">
        <v>4286</v>
      </c>
      <c r="P35" s="907"/>
      <c r="Q35" s="907"/>
      <c r="R35" s="907"/>
      <c r="S35" s="907"/>
      <c r="T35" s="907"/>
      <c r="U35" s="907"/>
      <c r="V35" s="907"/>
      <c r="W35" s="907"/>
      <c r="X35" s="907"/>
      <c r="Y35" s="907"/>
      <c r="Z35" s="907"/>
      <c r="AA35" s="907"/>
      <c r="AB35" s="907"/>
      <c r="AC35" s="907"/>
      <c r="AD35" s="907"/>
      <c r="AE35" s="907"/>
      <c r="AF35" s="907"/>
      <c r="AG35" s="907"/>
      <c r="AH35" s="907"/>
      <c r="AI35" s="907"/>
      <c r="AJ35" s="907"/>
      <c r="AK35" s="907"/>
      <c r="AL35" s="907"/>
      <c r="AM35" s="907"/>
    </row>
    <row r="36" spans="1:39">
      <c r="A36" s="994" t="s">
        <v>137</v>
      </c>
      <c r="B36" s="933">
        <f ca="1">IFERROR(__xludf.DUMMYFUNCTION("QUERY('管理表'!A:AP,""select B,C,D,G,J,K,L,N,O,Q,T where ((C = '本社'and R = '""&amp;D1&amp;N36&amp;""' and S = '""&amp;A36&amp;""') or (C = '協同本社'and R = '""&amp;D1&amp;N36&amp;""'and S = '""&amp;A36&amp;""')) and not(AH = '退職')"",0)"),146)</f>
        <v>146</v>
      </c>
      <c r="C36" s="933" t="str">
        <f ca="1">IFERROR(__xludf.DUMMYFUNCTION("""COMPUTED_VALUE"""),"本社")</f>
        <v>本社</v>
      </c>
      <c r="D36" s="933" t="str">
        <f ca="1">IFERROR(__xludf.DUMMYFUNCTION("""COMPUTED_VALUE"""),"ベトナム")</f>
        <v>ベトナム</v>
      </c>
      <c r="E36" s="995" t="str">
        <f ca="1">IFERROR(__xludf.DUMMYFUNCTION("""COMPUTED_VALUE"""),"チン グエン ザー ハン")</f>
        <v>チン グエン ザー ハン</v>
      </c>
      <c r="F36" s="933" t="str">
        <f ca="1">IFERROR(__xludf.DUMMYFUNCTION("""COMPUTED_VALUE"""),"女")</f>
        <v>女</v>
      </c>
      <c r="G36" s="934">
        <f ca="1">IFERROR(__xludf.DUMMYFUNCTION("""COMPUTED_VALUE"""),38293)</f>
        <v>38293</v>
      </c>
      <c r="H36" s="933">
        <f ca="1">IFERROR(__xludf.DUMMYFUNCTION("""COMPUTED_VALUE"""),21)</f>
        <v>21</v>
      </c>
      <c r="I36" s="933" t="str">
        <f ca="1">IFERROR(__xludf.DUMMYFUNCTION("""COMPUTED_VALUE"""),"関東食肉")</f>
        <v>関東食肉</v>
      </c>
      <c r="J36" s="934">
        <f ca="1">IFERROR(__xludf.DUMMYFUNCTION("""COMPUTED_VALUE"""),45086)</f>
        <v>45086</v>
      </c>
      <c r="K36" s="933" t="str">
        <f ca="1">IFERROR(__xludf.DUMMYFUNCTION("""COMPUTED_VALUE"""),"技能実習2号")</f>
        <v>技能実習2号</v>
      </c>
      <c r="L36" s="935">
        <f ca="1">IFERROR(__xludf.DUMMYFUNCTION("""COMPUTED_VALUE"""),10000)</f>
        <v>10000</v>
      </c>
      <c r="M36" s="936"/>
      <c r="N36" s="1650">
        <v>602</v>
      </c>
      <c r="O36" s="918" t="s">
        <v>4287</v>
      </c>
      <c r="P36" s="907"/>
      <c r="Q36" s="907"/>
      <c r="R36" s="907"/>
      <c r="S36" s="907">
        <v>53000</v>
      </c>
      <c r="T36" s="907">
        <v>4000</v>
      </c>
      <c r="U36" s="907"/>
      <c r="V36" s="907"/>
      <c r="W36" s="907"/>
      <c r="X36" s="907"/>
      <c r="Y36" s="907"/>
      <c r="Z36" s="907"/>
      <c r="AA36" s="907"/>
      <c r="AB36" s="907"/>
      <c r="AC36" s="907"/>
      <c r="AD36" s="907"/>
      <c r="AE36" s="907"/>
      <c r="AF36" s="907"/>
      <c r="AG36" s="907"/>
      <c r="AH36" s="907"/>
      <c r="AI36" s="907"/>
      <c r="AJ36" s="907"/>
      <c r="AK36" s="907"/>
      <c r="AL36" s="907"/>
      <c r="AM36" s="907"/>
    </row>
    <row r="37" spans="1:39">
      <c r="A37" s="996" t="s">
        <v>137</v>
      </c>
      <c r="B37" s="923">
        <f ca="1">IFERROR(__xludf.DUMMYFUNCTION("""COMPUTED_VALUE"""),147)</f>
        <v>147</v>
      </c>
      <c r="C37" s="923" t="str">
        <f ca="1">IFERROR(__xludf.DUMMYFUNCTION("""COMPUTED_VALUE"""),"本社")</f>
        <v>本社</v>
      </c>
      <c r="D37" s="923" t="str">
        <f ca="1">IFERROR(__xludf.DUMMYFUNCTION("""COMPUTED_VALUE"""),"ベトナム")</f>
        <v>ベトナム</v>
      </c>
      <c r="E37" s="947" t="str">
        <f ca="1">IFERROR(__xludf.DUMMYFUNCTION("""COMPUTED_VALUE"""),"グエン タオ ヴァン")</f>
        <v>グエン タオ ヴァン</v>
      </c>
      <c r="F37" s="923" t="str">
        <f ca="1">IFERROR(__xludf.DUMMYFUNCTION("""COMPUTED_VALUE"""),"女")</f>
        <v>女</v>
      </c>
      <c r="G37" s="925">
        <f ca="1">IFERROR(__xludf.DUMMYFUNCTION("""COMPUTED_VALUE"""),38043)</f>
        <v>38043</v>
      </c>
      <c r="H37" s="923">
        <f ca="1">IFERROR(__xludf.DUMMYFUNCTION("""COMPUTED_VALUE"""),22)</f>
        <v>22</v>
      </c>
      <c r="I37" s="923" t="str">
        <f ca="1">IFERROR(__xludf.DUMMYFUNCTION("""COMPUTED_VALUE"""),"関東食肉")</f>
        <v>関東食肉</v>
      </c>
      <c r="J37" s="925">
        <f ca="1">IFERROR(__xludf.DUMMYFUNCTION("""COMPUTED_VALUE"""),45086)</f>
        <v>45086</v>
      </c>
      <c r="K37" s="923" t="str">
        <f ca="1">IFERROR(__xludf.DUMMYFUNCTION("""COMPUTED_VALUE"""),"技能実習2号")</f>
        <v>技能実習2号</v>
      </c>
      <c r="L37" s="926">
        <f ca="1">IFERROR(__xludf.DUMMYFUNCTION("""COMPUTED_VALUE"""),10000)</f>
        <v>10000</v>
      </c>
      <c r="M37" s="907"/>
      <c r="N37" s="1648"/>
      <c r="O37" s="918" t="s">
        <v>4288</v>
      </c>
      <c r="P37" s="907"/>
      <c r="Q37" s="907"/>
      <c r="R37" s="907"/>
      <c r="S37" s="907"/>
      <c r="T37" s="907"/>
      <c r="U37" s="907"/>
      <c r="V37" s="907"/>
      <c r="W37" s="907"/>
      <c r="X37" s="907"/>
      <c r="Y37" s="907"/>
      <c r="Z37" s="907"/>
      <c r="AA37" s="907"/>
      <c r="AB37" s="907"/>
      <c r="AC37" s="907"/>
      <c r="AD37" s="907"/>
      <c r="AE37" s="907"/>
      <c r="AF37" s="907"/>
      <c r="AG37" s="907"/>
      <c r="AH37" s="907"/>
      <c r="AI37" s="907"/>
      <c r="AJ37" s="907"/>
      <c r="AK37" s="907"/>
      <c r="AL37" s="907"/>
      <c r="AM37" s="907"/>
    </row>
    <row r="38" spans="1:39">
      <c r="A38" s="996" t="s">
        <v>400</v>
      </c>
      <c r="B38" s="923">
        <f ca="1">IFERROR(__xludf.DUMMYFUNCTION("QUERY('管理表'!A:AP,""select B,C,D,G,J,K,L,N,O,Q,T where ((C = '本社'and R = '""&amp;D1&amp;N36&amp;""' and S = '""&amp;A38&amp;""') or (C = '協同本社'and R = '""&amp;D1&amp;N36&amp;""'and S = '""&amp;A38&amp;""')) and not(AH = '退職')"",0)"),148)</f>
        <v>148</v>
      </c>
      <c r="C38" s="923" t="str">
        <f ca="1">IFERROR(__xludf.DUMMYFUNCTION("""COMPUTED_VALUE"""),"本社")</f>
        <v>本社</v>
      </c>
      <c r="D38" s="923" t="str">
        <f ca="1">IFERROR(__xludf.DUMMYFUNCTION("""COMPUTED_VALUE"""),"ベトナム")</f>
        <v>ベトナム</v>
      </c>
      <c r="E38" s="947" t="str">
        <f ca="1">IFERROR(__xludf.DUMMYFUNCTION("""COMPUTED_VALUE"""),"グエン ティ チュク アイン")</f>
        <v>グエン ティ チュク アイン</v>
      </c>
      <c r="F38" s="923" t="str">
        <f ca="1">IFERROR(__xludf.DUMMYFUNCTION("""COMPUTED_VALUE"""),"女")</f>
        <v>女</v>
      </c>
      <c r="G38" s="925">
        <f ca="1">IFERROR(__xludf.DUMMYFUNCTION("""COMPUTED_VALUE"""),38206)</f>
        <v>38206</v>
      </c>
      <c r="H38" s="923">
        <f ca="1">IFERROR(__xludf.DUMMYFUNCTION("""COMPUTED_VALUE"""),21)</f>
        <v>21</v>
      </c>
      <c r="I38" s="923" t="str">
        <f ca="1">IFERROR(__xludf.DUMMYFUNCTION("""COMPUTED_VALUE"""),"関東食肉")</f>
        <v>関東食肉</v>
      </c>
      <c r="J38" s="925">
        <f ca="1">IFERROR(__xludf.DUMMYFUNCTION("""COMPUTED_VALUE"""),45086)</f>
        <v>45086</v>
      </c>
      <c r="K38" s="923" t="str">
        <f ca="1">IFERROR(__xludf.DUMMYFUNCTION("""COMPUTED_VALUE"""),"技能実習2号")</f>
        <v>技能実習2号</v>
      </c>
      <c r="L38" s="926">
        <f ca="1">IFERROR(__xludf.DUMMYFUNCTION("""COMPUTED_VALUE"""),10000)</f>
        <v>10000</v>
      </c>
      <c r="M38" s="907"/>
      <c r="N38" s="1648"/>
      <c r="O38" s="918"/>
      <c r="P38" s="907"/>
      <c r="Q38" s="907"/>
      <c r="R38" s="907"/>
      <c r="S38" s="907"/>
      <c r="T38" s="907"/>
      <c r="U38" s="907"/>
      <c r="V38" s="907"/>
      <c r="W38" s="907"/>
      <c r="X38" s="907"/>
      <c r="Y38" s="907"/>
      <c r="Z38" s="907"/>
      <c r="AA38" s="907"/>
      <c r="AB38" s="907"/>
      <c r="AC38" s="907"/>
      <c r="AD38" s="907"/>
      <c r="AE38" s="907"/>
      <c r="AF38" s="907"/>
      <c r="AG38" s="907"/>
      <c r="AH38" s="907"/>
      <c r="AI38" s="907"/>
      <c r="AJ38" s="907"/>
      <c r="AK38" s="907"/>
      <c r="AL38" s="907"/>
      <c r="AM38" s="907"/>
    </row>
    <row r="39" spans="1:39">
      <c r="A39" s="996" t="s">
        <v>400</v>
      </c>
      <c r="B39" s="923">
        <f ca="1">IFERROR(__xludf.DUMMYFUNCTION("""COMPUTED_VALUE"""),149)</f>
        <v>149</v>
      </c>
      <c r="C39" s="923" t="str">
        <f ca="1">IFERROR(__xludf.DUMMYFUNCTION("""COMPUTED_VALUE"""),"本社")</f>
        <v>本社</v>
      </c>
      <c r="D39" s="923" t="str">
        <f ca="1">IFERROR(__xludf.DUMMYFUNCTION("""COMPUTED_VALUE"""),"ベトナム")</f>
        <v>ベトナム</v>
      </c>
      <c r="E39" s="947" t="str">
        <f ca="1">IFERROR(__xludf.DUMMYFUNCTION("""COMPUTED_VALUE"""),"チン ホアイ チャン")</f>
        <v>チン ホアイ チャン</v>
      </c>
      <c r="F39" s="923" t="str">
        <f ca="1">IFERROR(__xludf.DUMMYFUNCTION("""COMPUTED_VALUE"""),"女")</f>
        <v>女</v>
      </c>
      <c r="G39" s="925">
        <f ca="1">IFERROR(__xludf.DUMMYFUNCTION("""COMPUTED_VALUE"""),37960)</f>
        <v>37960</v>
      </c>
      <c r="H39" s="923">
        <f ca="1">IFERROR(__xludf.DUMMYFUNCTION("""COMPUTED_VALUE"""),22)</f>
        <v>22</v>
      </c>
      <c r="I39" s="923" t="str">
        <f ca="1">IFERROR(__xludf.DUMMYFUNCTION("""COMPUTED_VALUE"""),"関東食肉")</f>
        <v>関東食肉</v>
      </c>
      <c r="J39" s="925">
        <f ca="1">IFERROR(__xludf.DUMMYFUNCTION("""COMPUTED_VALUE"""),45086)</f>
        <v>45086</v>
      </c>
      <c r="K39" s="923" t="str">
        <f ca="1">IFERROR(__xludf.DUMMYFUNCTION("""COMPUTED_VALUE"""),"技能実習2号")</f>
        <v>技能実習2号</v>
      </c>
      <c r="L39" s="926">
        <f ca="1">IFERROR(__xludf.DUMMYFUNCTION("""COMPUTED_VALUE"""),10000)</f>
        <v>10000</v>
      </c>
      <c r="M39" s="907"/>
      <c r="N39" s="1648"/>
      <c r="O39" s="907"/>
      <c r="P39" s="907"/>
      <c r="Q39" s="907"/>
      <c r="R39" s="907"/>
      <c r="S39" s="907"/>
      <c r="T39" s="907"/>
      <c r="U39" s="907"/>
      <c r="V39" s="907"/>
      <c r="W39" s="907"/>
      <c r="X39" s="907"/>
      <c r="Y39" s="907"/>
      <c r="Z39" s="907"/>
      <c r="AA39" s="907"/>
      <c r="AB39" s="907"/>
      <c r="AC39" s="907"/>
      <c r="AD39" s="907"/>
      <c r="AE39" s="907"/>
      <c r="AF39" s="907"/>
      <c r="AG39" s="907"/>
      <c r="AH39" s="907"/>
      <c r="AI39" s="907"/>
      <c r="AJ39" s="907"/>
      <c r="AK39" s="907"/>
      <c r="AL39" s="907"/>
      <c r="AM39" s="907"/>
    </row>
    <row r="40" spans="1:39">
      <c r="A40" s="996" t="s">
        <v>1339</v>
      </c>
      <c r="B40" s="923">
        <f ca="1">IFERROR(__xludf.DUMMYFUNCTION("QUERY('管理表'!A:AP,""select B,C,D,G,J,K,L,N,O,Q,T where ((C = '本社'and R = '""&amp;D1&amp;N36&amp;""' and S = '""&amp;A40&amp;""') or (C = '協同本社'and R = '""&amp;D1&amp;N36&amp;""'and S = '""&amp;A40&amp;""')) and not(AH = '退職')"",0)"),150)</f>
        <v>150</v>
      </c>
      <c r="C40" s="923" t="str">
        <f ca="1">IFERROR(__xludf.DUMMYFUNCTION("""COMPUTED_VALUE"""),"本社")</f>
        <v>本社</v>
      </c>
      <c r="D40" s="923" t="str">
        <f ca="1">IFERROR(__xludf.DUMMYFUNCTION("""COMPUTED_VALUE"""),"ベトナム")</f>
        <v>ベトナム</v>
      </c>
      <c r="E40" s="947" t="str">
        <f ca="1">IFERROR(__xludf.DUMMYFUNCTION("""COMPUTED_VALUE"""),"ファム ターイ フォン ウエン")</f>
        <v>ファム ターイ フォン ウエン</v>
      </c>
      <c r="F40" s="923" t="str">
        <f ca="1">IFERROR(__xludf.DUMMYFUNCTION("""COMPUTED_VALUE"""),"女")</f>
        <v>女</v>
      </c>
      <c r="G40" s="925">
        <f ca="1">IFERROR(__xludf.DUMMYFUNCTION("""COMPUTED_VALUE"""),37935)</f>
        <v>37935</v>
      </c>
      <c r="H40" s="923">
        <f ca="1">IFERROR(__xludf.DUMMYFUNCTION("""COMPUTED_VALUE"""),22)</f>
        <v>22</v>
      </c>
      <c r="I40" s="923" t="str">
        <f ca="1">IFERROR(__xludf.DUMMYFUNCTION("""COMPUTED_VALUE"""),"関東食肉")</f>
        <v>関東食肉</v>
      </c>
      <c r="J40" s="925">
        <f ca="1">IFERROR(__xludf.DUMMYFUNCTION("""COMPUTED_VALUE"""),45086)</f>
        <v>45086</v>
      </c>
      <c r="K40" s="923" t="str">
        <f ca="1">IFERROR(__xludf.DUMMYFUNCTION("""COMPUTED_VALUE"""),"技能実習2号")</f>
        <v>技能実習2号</v>
      </c>
      <c r="L40" s="926">
        <f ca="1">IFERROR(__xludf.DUMMYFUNCTION("""COMPUTED_VALUE"""),10000)</f>
        <v>10000</v>
      </c>
      <c r="M40" s="907"/>
      <c r="N40" s="1648"/>
      <c r="O40" s="907"/>
      <c r="P40" s="907"/>
      <c r="Q40" s="907"/>
      <c r="R40" s="907"/>
      <c r="S40" s="907"/>
      <c r="T40" s="907"/>
      <c r="U40" s="907"/>
      <c r="V40" s="907"/>
      <c r="W40" s="907"/>
      <c r="X40" s="907"/>
      <c r="Y40" s="907"/>
      <c r="Z40" s="907"/>
      <c r="AA40" s="907"/>
      <c r="AB40" s="907"/>
      <c r="AC40" s="907"/>
      <c r="AD40" s="907"/>
      <c r="AE40" s="907"/>
      <c r="AF40" s="907"/>
      <c r="AG40" s="907"/>
      <c r="AH40" s="907"/>
      <c r="AI40" s="907"/>
      <c r="AJ40" s="907"/>
      <c r="AK40" s="907"/>
      <c r="AL40" s="907"/>
      <c r="AM40" s="907"/>
    </row>
    <row r="41" spans="1:39">
      <c r="A41" s="997" t="s">
        <v>1339</v>
      </c>
      <c r="B41" s="938">
        <f ca="1">IFERROR(__xludf.DUMMYFUNCTION("""COMPUTED_VALUE"""),151)</f>
        <v>151</v>
      </c>
      <c r="C41" s="938" t="str">
        <f ca="1">IFERROR(__xludf.DUMMYFUNCTION("""COMPUTED_VALUE"""),"本社")</f>
        <v>本社</v>
      </c>
      <c r="D41" s="938" t="str">
        <f ca="1">IFERROR(__xludf.DUMMYFUNCTION("""COMPUTED_VALUE"""),"ベトナム")</f>
        <v>ベトナム</v>
      </c>
      <c r="E41" s="998" t="str">
        <f ca="1">IFERROR(__xludf.DUMMYFUNCTION("""COMPUTED_VALUE"""),"カオ ティ チャン")</f>
        <v>カオ ティ チャン</v>
      </c>
      <c r="F41" s="938" t="str">
        <f ca="1">IFERROR(__xludf.DUMMYFUNCTION("""COMPUTED_VALUE"""),"女")</f>
        <v>女</v>
      </c>
      <c r="G41" s="939">
        <f ca="1">IFERROR(__xludf.DUMMYFUNCTION("""COMPUTED_VALUE"""),31735)</f>
        <v>31735</v>
      </c>
      <c r="H41" s="938">
        <f ca="1">IFERROR(__xludf.DUMMYFUNCTION("""COMPUTED_VALUE"""),39)</f>
        <v>39</v>
      </c>
      <c r="I41" s="938" t="str">
        <f ca="1">IFERROR(__xludf.DUMMYFUNCTION("""COMPUTED_VALUE"""),"関東食肉")</f>
        <v>関東食肉</v>
      </c>
      <c r="J41" s="939">
        <f ca="1">IFERROR(__xludf.DUMMYFUNCTION("""COMPUTED_VALUE"""),45086)</f>
        <v>45086</v>
      </c>
      <c r="K41" s="938" t="str">
        <f ca="1">IFERROR(__xludf.DUMMYFUNCTION("""COMPUTED_VALUE"""),"技能実習2号")</f>
        <v>技能実習2号</v>
      </c>
      <c r="L41" s="941">
        <f ca="1">IFERROR(__xludf.DUMMYFUNCTION("""COMPUTED_VALUE"""),10000)</f>
        <v>10000</v>
      </c>
      <c r="M41" s="942"/>
      <c r="N41" s="1649"/>
      <c r="O41" s="907"/>
      <c r="P41" s="907"/>
      <c r="Q41" s="907"/>
      <c r="R41" s="907"/>
      <c r="S41" s="907"/>
      <c r="T41" s="907"/>
      <c r="U41" s="907"/>
      <c r="V41" s="907"/>
      <c r="W41" s="907"/>
      <c r="X41" s="907"/>
      <c r="Y41" s="907"/>
      <c r="Z41" s="907"/>
      <c r="AA41" s="907"/>
      <c r="AB41" s="907"/>
      <c r="AC41" s="907"/>
      <c r="AD41" s="907"/>
      <c r="AE41" s="907"/>
      <c r="AF41" s="907"/>
      <c r="AG41" s="907"/>
      <c r="AH41" s="907"/>
      <c r="AI41" s="907"/>
      <c r="AJ41" s="907"/>
      <c r="AK41" s="907"/>
      <c r="AL41" s="907"/>
      <c r="AM41" s="907"/>
    </row>
    <row r="42" spans="1:39">
      <c r="A42" s="999" t="s">
        <v>137</v>
      </c>
      <c r="B42" s="933">
        <f ca="1">IFERROR(__xludf.DUMMYFUNCTION("QUERY('管理表'!A:AP,""select B,C,D,G,J,K,L,N,O,Q,T where ((C = '本社'and R = '""&amp;D1&amp;N42&amp;""' and S = '""&amp;A42&amp;""') or (C = '協同本社'and R = '""&amp;D11&amp;N42&amp;""'and S = '""&amp;A42&amp;""')) and not(AH = '退職')"",0)"),190)</f>
        <v>190</v>
      </c>
      <c r="C42" s="933" t="str">
        <f ca="1">IFERROR(__xludf.DUMMYFUNCTION("""COMPUTED_VALUE"""),"本社")</f>
        <v>本社</v>
      </c>
      <c r="D42" s="933" t="str">
        <f ca="1">IFERROR(__xludf.DUMMYFUNCTION("""COMPUTED_VALUE"""),"ベトナム")</f>
        <v>ベトナム</v>
      </c>
      <c r="E42" s="1000" t="str">
        <f ca="1">IFERROR(__xludf.DUMMYFUNCTION("""COMPUTED_VALUE"""),"ボー グエン ホアイ ナム")</f>
        <v>ボー グエン ホアイ ナム</v>
      </c>
      <c r="F42" s="933" t="str">
        <f ca="1">IFERROR(__xludf.DUMMYFUNCTION("""COMPUTED_VALUE"""),"男")</f>
        <v>男</v>
      </c>
      <c r="G42" s="934">
        <f ca="1">IFERROR(__xludf.DUMMYFUNCTION("""COMPUTED_VALUE"""),38676)</f>
        <v>38676</v>
      </c>
      <c r="H42" s="933">
        <f ca="1">IFERROR(__xludf.DUMMYFUNCTION("""COMPUTED_VALUE"""),20)</f>
        <v>20</v>
      </c>
      <c r="I42" s="933" t="str">
        <f ca="1">IFERROR(__xludf.DUMMYFUNCTION("""COMPUTED_VALUE"""),"中四国")</f>
        <v>中四国</v>
      </c>
      <c r="J42" s="934">
        <f ca="1">IFERROR(__xludf.DUMMYFUNCTION("""COMPUTED_VALUE"""),45581)</f>
        <v>45581</v>
      </c>
      <c r="K42" s="933" t="str">
        <f ca="1">IFERROR(__xludf.DUMMYFUNCTION("""COMPUTED_VALUE"""),"技能実習2号")</f>
        <v>技能実習2号</v>
      </c>
      <c r="L42" s="935">
        <f ca="1">IFERROR(__xludf.DUMMYFUNCTION("""COMPUTED_VALUE"""),10000)</f>
        <v>10000</v>
      </c>
      <c r="M42" s="936"/>
      <c r="N42" s="1650">
        <v>604</v>
      </c>
      <c r="O42" s="907" t="s">
        <v>4289</v>
      </c>
      <c r="P42" s="907"/>
      <c r="Q42" s="907"/>
      <c r="R42" s="907"/>
      <c r="S42" s="907">
        <v>41000</v>
      </c>
      <c r="T42" s="907">
        <v>4000</v>
      </c>
      <c r="U42" s="907"/>
      <c r="V42" s="907"/>
      <c r="W42" s="907"/>
      <c r="X42" s="907"/>
      <c r="Y42" s="907"/>
      <c r="Z42" s="907"/>
      <c r="AA42" s="907"/>
      <c r="AB42" s="907"/>
      <c r="AC42" s="907"/>
      <c r="AD42" s="907"/>
      <c r="AE42" s="907"/>
      <c r="AF42" s="907"/>
      <c r="AG42" s="907"/>
      <c r="AH42" s="907"/>
      <c r="AI42" s="907"/>
      <c r="AJ42" s="907"/>
      <c r="AK42" s="907"/>
      <c r="AL42" s="907"/>
      <c r="AM42" s="907"/>
    </row>
    <row r="43" spans="1:39">
      <c r="A43" s="1001" t="s">
        <v>137</v>
      </c>
      <c r="B43" s="920"/>
      <c r="C43" s="920"/>
      <c r="D43" s="920"/>
      <c r="E43" s="1002"/>
      <c r="F43" s="920"/>
      <c r="G43" s="920"/>
      <c r="H43" s="920"/>
      <c r="I43" s="920"/>
      <c r="J43" s="921"/>
      <c r="K43" s="920"/>
      <c r="L43" s="920"/>
      <c r="M43" s="907"/>
      <c r="N43" s="1648"/>
      <c r="O43" s="918" t="s">
        <v>4290</v>
      </c>
      <c r="P43" s="907"/>
      <c r="Q43" s="907"/>
      <c r="R43" s="907"/>
      <c r="S43" s="907"/>
      <c r="T43" s="907"/>
      <c r="U43" s="907"/>
      <c r="V43" s="907"/>
      <c r="W43" s="907"/>
      <c r="X43" s="907"/>
      <c r="Y43" s="907"/>
      <c r="Z43" s="907"/>
      <c r="AA43" s="907"/>
      <c r="AB43" s="907"/>
      <c r="AC43" s="907"/>
      <c r="AD43" s="907"/>
      <c r="AE43" s="907"/>
      <c r="AF43" s="907"/>
      <c r="AG43" s="907"/>
      <c r="AH43" s="907"/>
      <c r="AI43" s="907"/>
      <c r="AJ43" s="907"/>
      <c r="AK43" s="907"/>
      <c r="AL43" s="907"/>
      <c r="AM43" s="907"/>
    </row>
    <row r="44" spans="1:39">
      <c r="A44" s="987" t="s">
        <v>400</v>
      </c>
      <c r="B44" s="944">
        <f ca="1">IFERROR(__xludf.DUMMYFUNCTION("QUERY('管理表'!A:AP,""select B,C,D,G,J,K,L,N,O,Q,T where ((C = '本社'and R = '""&amp;D1&amp;N42&amp;""' and S = '""&amp;A44&amp;""') or (C = '協同本社'and R = '""&amp;D1&amp;N42&amp;""'and S = '""&amp;A44&amp;""')) and not(AH = '退職')"",0)"),195)</f>
        <v>195</v>
      </c>
      <c r="C44" s="923" t="str">
        <f ca="1">IFERROR(__xludf.DUMMYFUNCTION("""COMPUTED_VALUE"""),"本社")</f>
        <v>本社</v>
      </c>
      <c r="D44" s="923" t="str">
        <f ca="1">IFERROR(__xludf.DUMMYFUNCTION("""COMPUTED_VALUE"""),"ベトナム")</f>
        <v>ベトナム</v>
      </c>
      <c r="E44" s="923" t="str">
        <f ca="1">IFERROR(__xludf.DUMMYFUNCTION("""COMPUTED_VALUE"""),"チャン ヴァン チュン")</f>
        <v>チャン ヴァン チュン</v>
      </c>
      <c r="F44" s="923" t="str">
        <f ca="1">IFERROR(__xludf.DUMMYFUNCTION("""COMPUTED_VALUE"""),"男")</f>
        <v>男</v>
      </c>
      <c r="G44" s="925">
        <f ca="1">IFERROR(__xludf.DUMMYFUNCTION("""COMPUTED_VALUE"""),38705)</f>
        <v>38705</v>
      </c>
      <c r="H44" s="923">
        <f ca="1">IFERROR(__xludf.DUMMYFUNCTION("""COMPUTED_VALUE"""),20)</f>
        <v>20</v>
      </c>
      <c r="I44" s="923" t="str">
        <f ca="1">IFERROR(__xludf.DUMMYFUNCTION("""COMPUTED_VALUE"""),"関東食肉")</f>
        <v>関東食肉</v>
      </c>
      <c r="J44" s="925">
        <f ca="1">IFERROR(__xludf.DUMMYFUNCTION("""COMPUTED_VALUE"""),45667)</f>
        <v>45667</v>
      </c>
      <c r="K44" s="943" t="str">
        <f ca="1">IFERROR(__xludf.DUMMYFUNCTION("""COMPUTED_VALUE"""),"技能実習2号")</f>
        <v>技能実習2号</v>
      </c>
      <c r="L44" s="926">
        <f ca="1">IFERROR(__xludf.DUMMYFUNCTION("""COMPUTED_VALUE"""),10000)</f>
        <v>10000</v>
      </c>
      <c r="M44" s="907"/>
      <c r="N44" s="1648"/>
      <c r="O44" s="907"/>
      <c r="P44" s="907"/>
      <c r="Q44" s="907"/>
      <c r="R44" s="907"/>
      <c r="S44" s="907"/>
      <c r="T44" s="907"/>
      <c r="U44" s="907"/>
      <c r="V44" s="907"/>
      <c r="W44" s="907"/>
      <c r="X44" s="907"/>
      <c r="Y44" s="907"/>
      <c r="Z44" s="907"/>
      <c r="AA44" s="907"/>
      <c r="AB44" s="907"/>
      <c r="AC44" s="907"/>
      <c r="AD44" s="907"/>
      <c r="AE44" s="907"/>
      <c r="AF44" s="907"/>
      <c r="AG44" s="907"/>
      <c r="AH44" s="907"/>
      <c r="AI44" s="907"/>
      <c r="AJ44" s="907"/>
      <c r="AK44" s="907"/>
      <c r="AL44" s="907"/>
      <c r="AM44" s="907"/>
    </row>
    <row r="45" spans="1:39">
      <c r="A45" s="1003" t="s">
        <v>400</v>
      </c>
      <c r="B45" s="942">
        <f ca="1">IFERROR(__xludf.DUMMYFUNCTION("""COMPUTED_VALUE"""),196)</f>
        <v>196</v>
      </c>
      <c r="C45" s="942" t="str">
        <f ca="1">IFERROR(__xludf.DUMMYFUNCTION("""COMPUTED_VALUE"""),"本社")</f>
        <v>本社</v>
      </c>
      <c r="D45" s="942" t="str">
        <f ca="1">IFERROR(__xludf.DUMMYFUNCTION("""COMPUTED_VALUE"""),"ベトナム")</f>
        <v>ベトナム</v>
      </c>
      <c r="E45" s="942" t="str">
        <f ca="1">IFERROR(__xludf.DUMMYFUNCTION("""COMPUTED_VALUE"""),"ブイ ヴァン ライ")</f>
        <v>ブイ ヴァン ライ</v>
      </c>
      <c r="F45" s="942" t="str">
        <f ca="1">IFERROR(__xludf.DUMMYFUNCTION("""COMPUTED_VALUE"""),"男")</f>
        <v>男</v>
      </c>
      <c r="G45" s="1004">
        <f ca="1">IFERROR(__xludf.DUMMYFUNCTION("""COMPUTED_VALUE"""),36488)</f>
        <v>36488</v>
      </c>
      <c r="H45" s="942">
        <f ca="1">IFERROR(__xludf.DUMMYFUNCTION("""COMPUTED_VALUE"""),26)</f>
        <v>26</v>
      </c>
      <c r="I45" s="942" t="str">
        <f ca="1">IFERROR(__xludf.DUMMYFUNCTION("""COMPUTED_VALUE"""),"関東食肉")</f>
        <v>関東食肉</v>
      </c>
      <c r="J45" s="1005">
        <f ca="1">IFERROR(__xludf.DUMMYFUNCTION("""COMPUTED_VALUE"""),45667)</f>
        <v>45667</v>
      </c>
      <c r="K45" s="1006" t="str">
        <f ca="1">IFERROR(__xludf.DUMMYFUNCTION("""COMPUTED_VALUE"""),"技能実習2号")</f>
        <v>技能実習2号</v>
      </c>
      <c r="L45" s="1007">
        <f ca="1">IFERROR(__xludf.DUMMYFUNCTION("""COMPUTED_VALUE"""),10000)</f>
        <v>10000</v>
      </c>
      <c r="M45" s="942"/>
      <c r="N45" s="1649"/>
      <c r="O45" s="907"/>
      <c r="P45" s="907"/>
      <c r="Q45" s="907"/>
      <c r="R45" s="907"/>
      <c r="S45" s="907"/>
      <c r="T45" s="907"/>
      <c r="U45" s="907"/>
      <c r="V45" s="907"/>
      <c r="W45" s="907"/>
      <c r="X45" s="907"/>
      <c r="Y45" s="907"/>
      <c r="Z45" s="907"/>
      <c r="AA45" s="907"/>
      <c r="AB45" s="907"/>
      <c r="AC45" s="907"/>
      <c r="AD45" s="907"/>
      <c r="AE45" s="907"/>
      <c r="AF45" s="907"/>
      <c r="AG45" s="907"/>
      <c r="AH45" s="907"/>
      <c r="AI45" s="907"/>
      <c r="AJ45" s="907"/>
      <c r="AK45" s="907"/>
      <c r="AL45" s="907"/>
      <c r="AM45" s="907"/>
    </row>
    <row r="46" spans="1:39">
      <c r="A46" s="999" t="s">
        <v>137</v>
      </c>
      <c r="B46" s="915">
        <f ca="1">IFERROR(__xludf.DUMMYFUNCTION("QUERY('管理表'!A:AP,""select B,C,D,G,J,K,L,N,O,Q,T where ((C = '本社'and R = '""&amp;D1&amp;N46&amp;""' and S = '""&amp;A46&amp;""') or (C = '協同本社'and R = '""&amp;D1&amp;N46&amp;""'and S = '""&amp;A46&amp;""')) and not(AH = '退職')"",0)"),200)</f>
        <v>200</v>
      </c>
      <c r="C46" s="915" t="str">
        <f ca="1">IFERROR(__xludf.DUMMYFUNCTION("""COMPUTED_VALUE"""),"協同本社")</f>
        <v>協同本社</v>
      </c>
      <c r="D46" s="915" t="str">
        <f ca="1">IFERROR(__xludf.DUMMYFUNCTION("""COMPUTED_VALUE"""),"ベトナム")</f>
        <v>ベトナム</v>
      </c>
      <c r="E46" s="915" t="str">
        <f ca="1">IFERROR(__xludf.DUMMYFUNCTION("""COMPUTED_VALUE"""),"グエン シー マイン")</f>
        <v>グエン シー マイン</v>
      </c>
      <c r="F46" s="915" t="str">
        <f ca="1">IFERROR(__xludf.DUMMYFUNCTION("""COMPUTED_VALUE"""),"男")</f>
        <v>男</v>
      </c>
      <c r="G46" s="1008">
        <f ca="1">IFERROR(__xludf.DUMMYFUNCTION("""COMPUTED_VALUE"""),38672)</f>
        <v>38672</v>
      </c>
      <c r="H46" s="915">
        <f ca="1">IFERROR(__xludf.DUMMYFUNCTION("""COMPUTED_VALUE"""),20)</f>
        <v>20</v>
      </c>
      <c r="I46" s="915" t="str">
        <f ca="1">IFERROR(__xludf.DUMMYFUNCTION("""COMPUTED_VALUE"""),"中四国")</f>
        <v>中四国</v>
      </c>
      <c r="J46" s="917">
        <f ca="1">IFERROR(__xludf.DUMMYFUNCTION("""COMPUTED_VALUE"""),45778)</f>
        <v>45778</v>
      </c>
      <c r="K46" s="933" t="str">
        <f ca="1">IFERROR(__xludf.DUMMYFUNCTION("""COMPUTED_VALUE"""),"技能実習1号")</f>
        <v>技能実習1号</v>
      </c>
      <c r="L46" s="935">
        <f ca="1">IFERROR(__xludf.DUMMYFUNCTION("""COMPUTED_VALUE"""),10000)</f>
        <v>10000</v>
      </c>
      <c r="M46" s="907"/>
      <c r="N46" s="1647">
        <v>605</v>
      </c>
      <c r="O46" s="964" t="s">
        <v>4291</v>
      </c>
      <c r="P46" s="907"/>
      <c r="Q46" s="907"/>
      <c r="R46" s="907"/>
      <c r="S46" s="907">
        <v>41000</v>
      </c>
      <c r="T46" s="907">
        <v>4000</v>
      </c>
      <c r="U46" s="907"/>
      <c r="V46" s="907"/>
      <c r="W46" s="907"/>
      <c r="X46" s="907"/>
      <c r="Y46" s="907"/>
      <c r="Z46" s="907"/>
      <c r="AA46" s="907"/>
      <c r="AB46" s="907"/>
      <c r="AC46" s="907"/>
      <c r="AD46" s="907"/>
      <c r="AE46" s="907"/>
      <c r="AF46" s="907"/>
      <c r="AG46" s="907"/>
      <c r="AH46" s="907"/>
      <c r="AI46" s="907"/>
      <c r="AJ46" s="907"/>
      <c r="AK46" s="907"/>
      <c r="AL46" s="907"/>
      <c r="AM46" s="907"/>
    </row>
    <row r="47" spans="1:39">
      <c r="A47" s="1009" t="s">
        <v>137</v>
      </c>
      <c r="B47" s="923"/>
      <c r="C47" s="923"/>
      <c r="D47" s="923"/>
      <c r="E47" s="923"/>
      <c r="F47" s="923"/>
      <c r="G47" s="1010"/>
      <c r="H47" s="923"/>
      <c r="I47" s="923"/>
      <c r="J47" s="925"/>
      <c r="K47" s="923"/>
      <c r="L47" s="926"/>
      <c r="M47" s="907"/>
      <c r="N47" s="1648"/>
      <c r="O47" s="964"/>
      <c r="P47" s="907"/>
      <c r="Q47" s="907"/>
      <c r="R47" s="907"/>
      <c r="S47" s="907"/>
      <c r="T47" s="907"/>
      <c r="U47" s="907"/>
      <c r="V47" s="907"/>
      <c r="W47" s="907"/>
      <c r="X47" s="907"/>
      <c r="Y47" s="907"/>
      <c r="Z47" s="907"/>
      <c r="AA47" s="907"/>
      <c r="AB47" s="907"/>
      <c r="AC47" s="907"/>
      <c r="AD47" s="907"/>
      <c r="AE47" s="907"/>
      <c r="AF47" s="907"/>
      <c r="AG47" s="907"/>
      <c r="AH47" s="907"/>
      <c r="AI47" s="907"/>
      <c r="AJ47" s="907"/>
      <c r="AK47" s="907"/>
      <c r="AL47" s="907"/>
      <c r="AM47" s="907"/>
    </row>
    <row r="48" spans="1:39">
      <c r="A48" s="987" t="s">
        <v>400</v>
      </c>
      <c r="B48" s="944">
        <v>201</v>
      </c>
      <c r="C48" s="923" t="s">
        <v>175</v>
      </c>
      <c r="D48" s="923" t="s">
        <v>55</v>
      </c>
      <c r="E48" s="923" t="s">
        <v>1856</v>
      </c>
      <c r="F48" s="923" t="s">
        <v>261</v>
      </c>
      <c r="G48" s="1010">
        <v>36460</v>
      </c>
      <c r="H48" s="923">
        <v>26</v>
      </c>
      <c r="I48" s="923" t="s">
        <v>61</v>
      </c>
      <c r="J48" s="925">
        <v>45778</v>
      </c>
      <c r="K48" s="923" t="s">
        <v>1849</v>
      </c>
      <c r="L48" s="926">
        <v>10000</v>
      </c>
      <c r="M48" s="907"/>
      <c r="N48" s="1648"/>
      <c r="O48" s="964" t="s">
        <v>4291</v>
      </c>
      <c r="P48" s="907"/>
      <c r="Q48" s="907"/>
      <c r="R48" s="907"/>
      <c r="S48" s="907"/>
      <c r="T48" s="907"/>
      <c r="U48" s="907"/>
      <c r="V48" s="907"/>
      <c r="W48" s="907"/>
      <c r="X48" s="907"/>
      <c r="Y48" s="907"/>
      <c r="Z48" s="907"/>
      <c r="AA48" s="907"/>
      <c r="AB48" s="907"/>
      <c r="AC48" s="907"/>
      <c r="AD48" s="907"/>
      <c r="AE48" s="907"/>
      <c r="AF48" s="907"/>
      <c r="AG48" s="907"/>
      <c r="AH48" s="907"/>
      <c r="AI48" s="907"/>
      <c r="AJ48" s="907"/>
      <c r="AK48" s="907"/>
      <c r="AL48" s="907"/>
      <c r="AM48" s="907"/>
    </row>
    <row r="49" spans="1:39">
      <c r="A49" s="1003" t="s">
        <v>400</v>
      </c>
      <c r="B49" s="1011"/>
      <c r="C49" s="938"/>
      <c r="D49" s="938"/>
      <c r="E49" s="938"/>
      <c r="F49" s="938"/>
      <c r="G49" s="938"/>
      <c r="H49" s="938"/>
      <c r="I49" s="938"/>
      <c r="J49" s="939"/>
      <c r="K49" s="938"/>
      <c r="L49" s="938"/>
      <c r="M49" s="942"/>
      <c r="N49" s="1649"/>
      <c r="O49" s="907"/>
      <c r="P49" s="907"/>
      <c r="Q49" s="907"/>
      <c r="R49" s="907"/>
      <c r="S49" s="907"/>
      <c r="T49" s="907"/>
      <c r="U49" s="907"/>
      <c r="V49" s="907"/>
      <c r="W49" s="907"/>
      <c r="X49" s="907"/>
      <c r="Y49" s="907"/>
      <c r="Z49" s="907"/>
      <c r="AA49" s="907"/>
      <c r="AB49" s="907"/>
      <c r="AC49" s="907"/>
      <c r="AD49" s="907"/>
      <c r="AE49" s="907"/>
      <c r="AF49" s="907"/>
      <c r="AG49" s="907"/>
      <c r="AH49" s="907"/>
      <c r="AI49" s="907"/>
      <c r="AJ49" s="907"/>
      <c r="AK49" s="907"/>
      <c r="AL49" s="907"/>
      <c r="AM49" s="907"/>
    </row>
    <row r="50" spans="1:39">
      <c r="A50" s="932" t="s">
        <v>149</v>
      </c>
      <c r="B50" s="933">
        <f ca="1">IFERROR(__xludf.DUMMYFUNCTION("QUERY('管理表'!A:AP,""select B,C,D,G,J,K,L,N,O,Q,T where ((C = '本社'and R = '""&amp;D1&amp;N50&amp;""' and S = '""&amp;A50&amp;""') or (C = '協同本社'and R = '""&amp;D1&amp;N50&amp;""'and S = '""&amp;A50&amp;""')) and not(AH = '退職')"",0)"),197)</f>
        <v>197</v>
      </c>
      <c r="C50" s="933" t="str">
        <f ca="1">IFERROR(__xludf.DUMMYFUNCTION("""COMPUTED_VALUE"""),"本社")</f>
        <v>本社</v>
      </c>
      <c r="D50" s="933" t="str">
        <f ca="1">IFERROR(__xludf.DUMMYFUNCTION("""COMPUTED_VALUE"""),"ベトナム")</f>
        <v>ベトナム</v>
      </c>
      <c r="E50" s="933" t="str">
        <f ca="1">IFERROR(__xludf.DUMMYFUNCTION("""COMPUTED_VALUE"""),"チャン ティ トゥー ヒエン")</f>
        <v>チャン ティ トゥー ヒエン</v>
      </c>
      <c r="F50" s="933" t="str">
        <f ca="1">IFERROR(__xludf.DUMMYFUNCTION("""COMPUTED_VALUE"""),"女")</f>
        <v>女</v>
      </c>
      <c r="G50" s="934">
        <f ca="1">IFERROR(__xludf.DUMMYFUNCTION("""COMPUTED_VALUE"""),33673)</f>
        <v>33673</v>
      </c>
      <c r="H50" s="933">
        <f ca="1">IFERROR(__xludf.DUMMYFUNCTION("""COMPUTED_VALUE"""),34)</f>
        <v>34</v>
      </c>
      <c r="I50" s="933" t="str">
        <f ca="1">IFERROR(__xludf.DUMMYFUNCTION("""COMPUTED_VALUE"""),"中四国")</f>
        <v>中四国</v>
      </c>
      <c r="J50" s="934">
        <f ca="1">IFERROR(__xludf.DUMMYFUNCTION("""COMPUTED_VALUE"""),45714)</f>
        <v>45714</v>
      </c>
      <c r="K50" s="933" t="str">
        <f ca="1">IFERROR(__xludf.DUMMYFUNCTION("""COMPUTED_VALUE"""),"特定技能１号")</f>
        <v>特定技能１号</v>
      </c>
      <c r="L50" s="1012">
        <f ca="1">IFERROR(__xludf.DUMMYFUNCTION("""COMPUTED_VALUE"""),45000)</f>
        <v>45000</v>
      </c>
      <c r="M50" s="936"/>
      <c r="N50" s="1650">
        <v>705</v>
      </c>
      <c r="O50" s="907" t="s">
        <v>4292</v>
      </c>
      <c r="P50" s="918"/>
      <c r="Q50" s="907"/>
      <c r="R50" s="907"/>
      <c r="S50" s="907">
        <v>41000</v>
      </c>
      <c r="T50" s="907">
        <v>4000</v>
      </c>
      <c r="U50" s="907"/>
      <c r="V50" s="907"/>
      <c r="W50" s="907"/>
      <c r="X50" s="907"/>
      <c r="Y50" s="907"/>
      <c r="Z50" s="907"/>
      <c r="AA50" s="907"/>
      <c r="AB50" s="907"/>
      <c r="AC50" s="907"/>
      <c r="AD50" s="907"/>
      <c r="AE50" s="907"/>
      <c r="AF50" s="907"/>
      <c r="AG50" s="907"/>
      <c r="AH50" s="907"/>
      <c r="AI50" s="907"/>
      <c r="AJ50" s="907"/>
      <c r="AK50" s="907"/>
      <c r="AL50" s="907"/>
      <c r="AM50" s="907"/>
    </row>
    <row r="51" spans="1:39">
      <c r="A51" s="1013" t="s">
        <v>149</v>
      </c>
      <c r="B51" s="955"/>
      <c r="C51" s="955" t="s">
        <v>4293</v>
      </c>
      <c r="D51" s="955"/>
      <c r="E51" s="955" t="s">
        <v>4294</v>
      </c>
      <c r="F51" s="955"/>
      <c r="G51" s="955"/>
      <c r="H51" s="955"/>
      <c r="I51" s="955"/>
      <c r="J51" s="956"/>
      <c r="K51" s="955"/>
      <c r="L51" s="955"/>
      <c r="M51" s="907"/>
      <c r="N51" s="1648"/>
      <c r="O51" s="907"/>
      <c r="P51" s="907"/>
      <c r="Q51" s="907"/>
      <c r="R51" s="907"/>
      <c r="S51" s="907"/>
      <c r="T51" s="907"/>
      <c r="U51" s="907"/>
      <c r="V51" s="907"/>
      <c r="W51" s="907"/>
      <c r="X51" s="907"/>
      <c r="Y51" s="907"/>
      <c r="Z51" s="907"/>
      <c r="AA51" s="907"/>
      <c r="AB51" s="907"/>
      <c r="AC51" s="907"/>
      <c r="AD51" s="907"/>
      <c r="AE51" s="907"/>
      <c r="AF51" s="907"/>
      <c r="AG51" s="907"/>
      <c r="AH51" s="907"/>
      <c r="AI51" s="907"/>
      <c r="AJ51" s="907"/>
      <c r="AK51" s="907"/>
      <c r="AL51" s="907"/>
      <c r="AM51" s="907"/>
    </row>
    <row r="52" spans="1:39">
      <c r="A52" s="1014" t="s">
        <v>82</v>
      </c>
      <c r="B52" s="940">
        <v>236</v>
      </c>
      <c r="C52" s="940" t="s">
        <v>100</v>
      </c>
      <c r="D52" s="940" t="s">
        <v>55</v>
      </c>
      <c r="E52" s="1015" t="s">
        <v>4039</v>
      </c>
      <c r="F52" s="940" t="s">
        <v>60</v>
      </c>
      <c r="G52" s="1016">
        <v>34343</v>
      </c>
      <c r="H52" s="940">
        <v>31</v>
      </c>
      <c r="I52" s="940" t="s">
        <v>61</v>
      </c>
      <c r="J52" s="1016">
        <v>45982</v>
      </c>
      <c r="K52" s="940" t="s">
        <v>1849</v>
      </c>
      <c r="L52" s="940">
        <v>0</v>
      </c>
      <c r="M52" s="942"/>
      <c r="N52" s="1649"/>
      <c r="O52" s="918" t="s">
        <v>4295</v>
      </c>
      <c r="P52" s="907"/>
      <c r="Q52" s="907"/>
      <c r="R52" s="907"/>
      <c r="S52" s="907"/>
      <c r="T52" s="907"/>
      <c r="U52" s="907"/>
      <c r="V52" s="907"/>
      <c r="W52" s="907"/>
      <c r="X52" s="907"/>
      <c r="Y52" s="907"/>
      <c r="Z52" s="907"/>
      <c r="AA52" s="907"/>
      <c r="AB52" s="907"/>
      <c r="AC52" s="907"/>
      <c r="AD52" s="907"/>
      <c r="AE52" s="907"/>
      <c r="AF52" s="907"/>
      <c r="AG52" s="907"/>
      <c r="AH52" s="907"/>
      <c r="AI52" s="907"/>
      <c r="AJ52" s="907"/>
      <c r="AK52" s="907"/>
      <c r="AL52" s="907"/>
      <c r="AM52" s="907"/>
    </row>
    <row r="53" spans="1:39">
      <c r="A53" s="907"/>
      <c r="B53" s="907"/>
      <c r="C53" s="907"/>
      <c r="D53" s="907"/>
      <c r="E53" s="907"/>
      <c r="F53" s="907"/>
      <c r="G53" s="907"/>
      <c r="H53" s="907"/>
      <c r="I53" s="907"/>
      <c r="J53" s="907"/>
      <c r="K53" s="907"/>
      <c r="L53" s="907"/>
      <c r="M53" s="907"/>
      <c r="N53" s="907"/>
      <c r="O53" s="907"/>
      <c r="P53" s="907"/>
      <c r="Q53" s="907"/>
      <c r="R53" s="907"/>
      <c r="S53" s="907"/>
      <c r="T53" s="907"/>
      <c r="U53" s="907"/>
      <c r="V53" s="907"/>
      <c r="W53" s="907"/>
      <c r="X53" s="907"/>
      <c r="Y53" s="907"/>
      <c r="Z53" s="907"/>
      <c r="AA53" s="907"/>
      <c r="AB53" s="907"/>
      <c r="AC53" s="907"/>
      <c r="AD53" s="907"/>
      <c r="AE53" s="907"/>
      <c r="AF53" s="907"/>
      <c r="AG53" s="907"/>
      <c r="AH53" s="907"/>
      <c r="AI53" s="907"/>
      <c r="AJ53" s="907"/>
      <c r="AK53" s="907"/>
      <c r="AL53" s="907"/>
      <c r="AM53" s="907"/>
    </row>
    <row r="54" spans="1:39">
      <c r="A54" s="907"/>
      <c r="B54" s="907"/>
      <c r="C54" s="907"/>
      <c r="D54" s="907"/>
      <c r="E54" s="1017" t="s">
        <v>2274</v>
      </c>
      <c r="F54" s="907"/>
      <c r="G54" s="907"/>
      <c r="H54" s="907"/>
      <c r="I54" s="907"/>
      <c r="J54" s="907"/>
      <c r="K54" s="907"/>
      <c r="L54" s="907"/>
      <c r="M54" s="907"/>
      <c r="N54" s="907"/>
      <c r="O54" s="907"/>
      <c r="P54" s="907"/>
      <c r="Q54" s="907"/>
      <c r="R54" s="907"/>
      <c r="S54" s="907"/>
      <c r="T54" s="907"/>
      <c r="U54" s="907"/>
      <c r="V54" s="907"/>
      <c r="W54" s="907"/>
      <c r="X54" s="907"/>
      <c r="Y54" s="907"/>
      <c r="Z54" s="907"/>
      <c r="AA54" s="907"/>
      <c r="AB54" s="907"/>
      <c r="AC54" s="907"/>
      <c r="AD54" s="907"/>
      <c r="AE54" s="907"/>
      <c r="AF54" s="907"/>
      <c r="AG54" s="907"/>
      <c r="AH54" s="907"/>
      <c r="AI54" s="907"/>
      <c r="AJ54" s="907"/>
      <c r="AK54" s="907"/>
      <c r="AL54" s="907"/>
      <c r="AM54" s="907"/>
    </row>
    <row r="55" spans="1:39">
      <c r="A55" s="907"/>
      <c r="B55" s="907"/>
      <c r="C55" s="907"/>
      <c r="D55" s="907"/>
      <c r="E55" s="886"/>
      <c r="F55" s="907"/>
      <c r="G55" s="907"/>
      <c r="H55" s="907"/>
      <c r="I55" s="907"/>
      <c r="J55" s="907"/>
      <c r="K55" s="907"/>
      <c r="L55" s="907"/>
      <c r="M55" s="907"/>
      <c r="N55" s="907"/>
      <c r="O55" s="907"/>
      <c r="P55" s="907"/>
      <c r="Q55" s="907"/>
      <c r="R55" s="907"/>
      <c r="S55" s="907"/>
      <c r="T55" s="907"/>
      <c r="U55" s="907"/>
      <c r="V55" s="907"/>
      <c r="W55" s="907"/>
      <c r="X55" s="907"/>
      <c r="Y55" s="907"/>
      <c r="Z55" s="907"/>
      <c r="AA55" s="907"/>
      <c r="AB55" s="907"/>
      <c r="AC55" s="907"/>
      <c r="AD55" s="907"/>
      <c r="AE55" s="907"/>
      <c r="AF55" s="907"/>
      <c r="AG55" s="907"/>
      <c r="AH55" s="907"/>
      <c r="AI55" s="907"/>
      <c r="AJ55" s="907"/>
      <c r="AK55" s="907"/>
      <c r="AL55" s="907"/>
      <c r="AM55" s="907"/>
    </row>
    <row r="56" spans="1:39">
      <c r="A56" s="907"/>
      <c r="B56" s="907"/>
      <c r="C56" s="907"/>
      <c r="D56" s="907"/>
      <c r="E56" s="907"/>
      <c r="F56" s="907"/>
      <c r="G56" s="907"/>
      <c r="H56" s="907"/>
      <c r="I56" s="907"/>
      <c r="J56" s="907"/>
      <c r="K56" s="907"/>
      <c r="L56" s="907"/>
      <c r="M56" s="907"/>
      <c r="N56" s="907"/>
      <c r="O56" s="907"/>
      <c r="P56" s="907"/>
      <c r="Q56" s="907"/>
      <c r="R56" s="907"/>
      <c r="S56" s="907"/>
      <c r="T56" s="907"/>
      <c r="U56" s="907"/>
      <c r="V56" s="907"/>
      <c r="W56" s="907"/>
      <c r="X56" s="907"/>
      <c r="Y56" s="907"/>
      <c r="Z56" s="907"/>
      <c r="AA56" s="907"/>
      <c r="AB56" s="907"/>
      <c r="AC56" s="907"/>
      <c r="AD56" s="907"/>
      <c r="AE56" s="907"/>
      <c r="AF56" s="907"/>
      <c r="AG56" s="907"/>
      <c r="AH56" s="907"/>
      <c r="AI56" s="907"/>
      <c r="AJ56" s="907"/>
      <c r="AK56" s="907"/>
      <c r="AL56" s="907"/>
      <c r="AM56" s="907"/>
    </row>
    <row r="57" spans="1:39">
      <c r="A57" s="1018" t="s">
        <v>149</v>
      </c>
      <c r="B57" s="1019">
        <v>30</v>
      </c>
      <c r="C57" s="1019" t="s">
        <v>100</v>
      </c>
      <c r="D57" s="1019" t="s">
        <v>55</v>
      </c>
      <c r="E57" s="1019" t="s">
        <v>348</v>
      </c>
      <c r="F57" s="1019" t="s">
        <v>261</v>
      </c>
      <c r="G57" s="1020">
        <v>37255</v>
      </c>
      <c r="H57" s="1019">
        <v>23</v>
      </c>
      <c r="I57" s="1019" t="s">
        <v>61</v>
      </c>
      <c r="J57" s="1021">
        <v>44119</v>
      </c>
      <c r="K57" s="1019" t="s">
        <v>4296</v>
      </c>
      <c r="L57" s="1022">
        <v>21500</v>
      </c>
      <c r="M57" s="1023"/>
      <c r="N57" s="1651" t="s">
        <v>4297</v>
      </c>
      <c r="O57" s="907"/>
      <c r="P57" s="907"/>
      <c r="Q57" s="907"/>
      <c r="R57" s="907"/>
      <c r="S57" s="907">
        <v>40000</v>
      </c>
      <c r="T57" s="907">
        <v>3000</v>
      </c>
      <c r="U57" s="907"/>
      <c r="V57" s="907"/>
      <c r="W57" s="907"/>
      <c r="X57" s="907"/>
      <c r="Y57" s="907"/>
      <c r="Z57" s="907"/>
      <c r="AA57" s="907"/>
      <c r="AB57" s="907"/>
      <c r="AC57" s="907"/>
      <c r="AD57" s="907"/>
      <c r="AE57" s="907"/>
      <c r="AF57" s="907"/>
      <c r="AG57" s="907"/>
      <c r="AH57" s="907"/>
      <c r="AI57" s="907"/>
      <c r="AJ57" s="907"/>
      <c r="AK57" s="907"/>
      <c r="AL57" s="907"/>
      <c r="AM57" s="907"/>
    </row>
    <row r="58" spans="1:39">
      <c r="A58" s="1024" t="s">
        <v>149</v>
      </c>
      <c r="B58" s="1025">
        <v>165</v>
      </c>
      <c r="C58" s="1025" t="s">
        <v>100</v>
      </c>
      <c r="D58" s="1025" t="s">
        <v>55</v>
      </c>
      <c r="E58" s="1025" t="s">
        <v>1544</v>
      </c>
      <c r="F58" s="1025" t="s">
        <v>60</v>
      </c>
      <c r="G58" s="1026">
        <v>36709</v>
      </c>
      <c r="H58" s="1025">
        <v>25</v>
      </c>
      <c r="I58" s="1025" t="s">
        <v>61</v>
      </c>
      <c r="J58" s="1026">
        <v>45470</v>
      </c>
      <c r="K58" s="1025" t="s">
        <v>4296</v>
      </c>
      <c r="L58" s="1027">
        <v>21500</v>
      </c>
      <c r="M58" s="1023"/>
      <c r="N58" s="1652"/>
      <c r="O58" s="907"/>
      <c r="P58" s="907"/>
      <c r="Q58" s="907"/>
      <c r="R58" s="907"/>
      <c r="S58" s="907"/>
      <c r="T58" s="907"/>
      <c r="U58" s="907"/>
      <c r="V58" s="907"/>
      <c r="W58" s="907"/>
      <c r="X58" s="907"/>
      <c r="Y58" s="907"/>
      <c r="Z58" s="907"/>
      <c r="AA58" s="907"/>
      <c r="AB58" s="907"/>
      <c r="AC58" s="907"/>
      <c r="AD58" s="907"/>
      <c r="AE58" s="907"/>
      <c r="AF58" s="907"/>
      <c r="AG58" s="907"/>
      <c r="AH58" s="907"/>
      <c r="AI58" s="907"/>
      <c r="AJ58" s="907"/>
      <c r="AK58" s="907"/>
      <c r="AL58" s="907"/>
      <c r="AM58" s="907"/>
    </row>
    <row r="59" spans="1:39">
      <c r="A59" s="907"/>
      <c r="B59" s="907"/>
      <c r="C59" s="907"/>
      <c r="D59" s="907"/>
      <c r="E59" s="907"/>
      <c r="F59" s="907"/>
      <c r="G59" s="907"/>
      <c r="H59" s="907"/>
      <c r="I59" s="907"/>
      <c r="J59" s="907"/>
      <c r="K59" s="907"/>
      <c r="L59" s="907"/>
      <c r="M59" s="907"/>
      <c r="N59" s="907"/>
      <c r="O59" s="907"/>
      <c r="P59" s="907"/>
      <c r="Q59" s="907"/>
      <c r="R59" s="907"/>
      <c r="S59" s="907"/>
      <c r="T59" s="907"/>
      <c r="U59" s="907"/>
      <c r="V59" s="907"/>
      <c r="W59" s="907"/>
      <c r="X59" s="907"/>
      <c r="Y59" s="907"/>
      <c r="Z59" s="907"/>
      <c r="AA59" s="907"/>
      <c r="AB59" s="907"/>
      <c r="AC59" s="907"/>
      <c r="AD59" s="907"/>
      <c r="AE59" s="907"/>
      <c r="AF59" s="907"/>
      <c r="AG59" s="907"/>
      <c r="AH59" s="907"/>
      <c r="AI59" s="907"/>
      <c r="AJ59" s="907"/>
      <c r="AK59" s="907"/>
      <c r="AL59" s="907"/>
      <c r="AM59" s="907"/>
    </row>
    <row r="60" spans="1:39">
      <c r="A60" s="907"/>
      <c r="B60" s="907"/>
      <c r="C60" s="907"/>
      <c r="D60" s="907"/>
      <c r="E60" s="907"/>
      <c r="F60" s="907"/>
      <c r="G60" s="907"/>
      <c r="H60" s="907"/>
      <c r="I60" s="907"/>
      <c r="J60" s="907"/>
      <c r="K60" s="907"/>
      <c r="L60" s="907"/>
      <c r="M60" s="907"/>
      <c r="N60" s="907"/>
      <c r="O60" s="907"/>
      <c r="P60" s="907"/>
      <c r="Q60" s="907"/>
      <c r="R60" s="907"/>
      <c r="S60" s="907"/>
      <c r="T60" s="907"/>
      <c r="U60" s="907"/>
      <c r="V60" s="907"/>
      <c r="W60" s="907"/>
      <c r="X60" s="907"/>
      <c r="Y60" s="907"/>
      <c r="Z60" s="907"/>
      <c r="AA60" s="907"/>
      <c r="AB60" s="907"/>
      <c r="AC60" s="907"/>
      <c r="AD60" s="907"/>
      <c r="AE60" s="907"/>
      <c r="AF60" s="907"/>
      <c r="AG60" s="907"/>
      <c r="AH60" s="907"/>
      <c r="AI60" s="907"/>
      <c r="AJ60" s="907"/>
      <c r="AK60" s="907"/>
      <c r="AL60" s="907"/>
      <c r="AM60" s="907"/>
    </row>
    <row r="61" spans="1:39">
      <c r="A61" s="907"/>
      <c r="B61" s="907"/>
      <c r="C61" s="907"/>
      <c r="D61" s="907"/>
      <c r="E61" s="907"/>
      <c r="F61" s="907"/>
      <c r="G61" s="907"/>
      <c r="H61" s="907"/>
      <c r="I61" s="907"/>
      <c r="J61" s="907"/>
      <c r="K61" s="907"/>
      <c r="L61" s="907"/>
      <c r="M61" s="907"/>
      <c r="N61" s="907"/>
      <c r="O61" s="907"/>
      <c r="P61" s="907"/>
      <c r="Q61" s="907"/>
      <c r="R61" s="907"/>
      <c r="S61" s="907"/>
      <c r="T61" s="907"/>
      <c r="U61" s="907"/>
      <c r="V61" s="907"/>
      <c r="W61" s="907"/>
      <c r="X61" s="907"/>
      <c r="Y61" s="907"/>
      <c r="Z61" s="907"/>
      <c r="AA61" s="907"/>
      <c r="AB61" s="907"/>
      <c r="AC61" s="907"/>
      <c r="AD61" s="907"/>
      <c r="AE61" s="907"/>
      <c r="AF61" s="907"/>
      <c r="AG61" s="907"/>
      <c r="AH61" s="907"/>
      <c r="AI61" s="907"/>
      <c r="AJ61" s="907"/>
      <c r="AK61" s="907"/>
      <c r="AL61" s="907"/>
      <c r="AM61" s="907"/>
    </row>
    <row r="62" spans="1:39">
      <c r="A62" s="907"/>
      <c r="B62" s="907"/>
      <c r="C62" s="907"/>
      <c r="D62" s="907"/>
      <c r="E62" s="907"/>
      <c r="F62" s="907"/>
      <c r="G62" s="907" t="s">
        <v>4298</v>
      </c>
      <c r="H62" s="907"/>
      <c r="I62" s="907"/>
      <c r="J62" s="1028"/>
      <c r="K62" s="907"/>
      <c r="L62" s="907"/>
      <c r="M62" s="907"/>
      <c r="N62" s="907"/>
      <c r="O62" s="907"/>
      <c r="P62" s="907"/>
      <c r="Q62" s="907"/>
      <c r="R62" s="907"/>
      <c r="S62" s="907"/>
      <c r="T62" s="907"/>
      <c r="U62" s="907"/>
      <c r="V62" s="907"/>
      <c r="W62" s="907"/>
      <c r="X62" s="907"/>
      <c r="Y62" s="907"/>
      <c r="Z62" s="907"/>
      <c r="AA62" s="907"/>
      <c r="AB62" s="907"/>
      <c r="AC62" s="907"/>
      <c r="AD62" s="907"/>
      <c r="AE62" s="907"/>
      <c r="AF62" s="907"/>
      <c r="AG62" s="907"/>
      <c r="AH62" s="907"/>
      <c r="AI62" s="907"/>
      <c r="AJ62" s="907"/>
      <c r="AK62" s="907"/>
      <c r="AL62" s="907"/>
      <c r="AM62" s="907"/>
    </row>
    <row r="63" spans="1:39">
      <c r="A63" s="907"/>
      <c r="B63" s="907"/>
      <c r="C63" s="907"/>
      <c r="D63" s="907"/>
      <c r="E63" s="1029" t="s">
        <v>4299</v>
      </c>
      <c r="F63" s="907"/>
      <c r="G63" s="907" t="s">
        <v>4300</v>
      </c>
      <c r="H63" s="907"/>
      <c r="I63" s="907"/>
      <c r="J63" s="1028"/>
      <c r="K63" s="907"/>
      <c r="L63" s="907"/>
      <c r="M63" s="907"/>
      <c r="N63" s="907"/>
      <c r="O63" s="907"/>
      <c r="P63" s="907"/>
      <c r="Q63" s="907"/>
      <c r="R63" s="907"/>
      <c r="S63" s="907"/>
      <c r="T63" s="907"/>
      <c r="U63" s="907"/>
      <c r="V63" s="907"/>
      <c r="W63" s="907"/>
      <c r="X63" s="907"/>
      <c r="Y63" s="907"/>
      <c r="Z63" s="907"/>
      <c r="AA63" s="907"/>
      <c r="AB63" s="907"/>
      <c r="AC63" s="907"/>
      <c r="AD63" s="907"/>
      <c r="AE63" s="907"/>
      <c r="AF63" s="907"/>
      <c r="AG63" s="907"/>
      <c r="AH63" s="907"/>
      <c r="AI63" s="907"/>
      <c r="AJ63" s="907"/>
      <c r="AK63" s="907"/>
      <c r="AL63" s="907"/>
      <c r="AM63" s="907"/>
    </row>
    <row r="64" spans="1:39">
      <c r="A64" s="907"/>
      <c r="B64" s="907"/>
      <c r="C64" s="907"/>
      <c r="D64" s="907"/>
      <c r="E64" s="907"/>
      <c r="F64" s="907"/>
      <c r="G64" s="1030" t="s">
        <v>4301</v>
      </c>
      <c r="H64" s="907"/>
      <c r="I64" s="907"/>
      <c r="J64" s="907"/>
      <c r="K64" s="907"/>
      <c r="L64" s="907"/>
      <c r="M64" s="907"/>
      <c r="N64" s="907"/>
      <c r="O64" s="907"/>
      <c r="P64" s="907"/>
      <c r="Q64" s="907"/>
      <c r="R64" s="907"/>
      <c r="S64" s="907"/>
      <c r="T64" s="907"/>
      <c r="U64" s="907"/>
      <c r="V64" s="907"/>
      <c r="W64" s="907"/>
      <c r="X64" s="907"/>
      <c r="Y64" s="907"/>
      <c r="Z64" s="907"/>
      <c r="AA64" s="907"/>
      <c r="AB64" s="907"/>
      <c r="AC64" s="907"/>
      <c r="AD64" s="907"/>
      <c r="AE64" s="907"/>
      <c r="AF64" s="907"/>
      <c r="AG64" s="907"/>
      <c r="AH64" s="907"/>
      <c r="AI64" s="907"/>
      <c r="AJ64" s="907"/>
      <c r="AK64" s="907"/>
      <c r="AL64" s="907"/>
      <c r="AM64" s="907"/>
    </row>
    <row r="65" spans="1:39">
      <c r="A65" s="907"/>
      <c r="B65" s="907"/>
      <c r="C65" s="907"/>
      <c r="D65" s="907"/>
      <c r="E65" s="907"/>
      <c r="F65" s="907"/>
      <c r="G65" s="1030" t="s">
        <v>4302</v>
      </c>
      <c r="H65" s="907"/>
      <c r="I65" s="907"/>
      <c r="J65" s="907"/>
      <c r="K65" s="907"/>
      <c r="L65" s="907"/>
      <c r="M65" s="907"/>
      <c r="N65" s="907"/>
      <c r="O65" s="907"/>
      <c r="P65" s="907"/>
      <c r="Q65" s="907"/>
      <c r="R65" s="907"/>
      <c r="S65" s="907"/>
      <c r="T65" s="907"/>
      <c r="U65" s="907"/>
      <c r="V65" s="907"/>
      <c r="W65" s="907"/>
      <c r="X65" s="907"/>
      <c r="Y65" s="907"/>
      <c r="Z65" s="907"/>
      <c r="AA65" s="907"/>
      <c r="AB65" s="907"/>
      <c r="AC65" s="907"/>
      <c r="AD65" s="907"/>
      <c r="AE65" s="907"/>
      <c r="AF65" s="907"/>
      <c r="AG65" s="907"/>
      <c r="AH65" s="907"/>
      <c r="AI65" s="907"/>
      <c r="AJ65" s="907"/>
      <c r="AK65" s="907"/>
      <c r="AL65" s="907"/>
      <c r="AM65" s="907"/>
    </row>
    <row r="66" spans="1:39">
      <c r="A66" s="907"/>
      <c r="B66" s="907"/>
      <c r="C66" s="907"/>
      <c r="D66" s="907"/>
      <c r="E66" s="907"/>
      <c r="F66" s="907"/>
      <c r="G66" s="907" t="s">
        <v>4303</v>
      </c>
      <c r="H66" s="907"/>
      <c r="I66" s="907"/>
      <c r="J66" s="907"/>
      <c r="K66" s="907"/>
      <c r="L66" s="907"/>
      <c r="M66" s="907"/>
      <c r="N66" s="907"/>
      <c r="O66" s="907"/>
      <c r="P66" s="907"/>
      <c r="Q66" s="907"/>
      <c r="R66" s="907"/>
      <c r="S66" s="907"/>
      <c r="T66" s="907"/>
      <c r="U66" s="907"/>
      <c r="V66" s="907"/>
      <c r="W66" s="907"/>
      <c r="X66" s="907"/>
      <c r="Y66" s="907"/>
      <c r="Z66" s="907"/>
      <c r="AA66" s="907"/>
      <c r="AB66" s="907"/>
      <c r="AC66" s="907"/>
      <c r="AD66" s="907"/>
      <c r="AE66" s="907"/>
      <c r="AF66" s="907"/>
      <c r="AG66" s="907"/>
      <c r="AH66" s="907"/>
      <c r="AI66" s="907"/>
      <c r="AJ66" s="907"/>
      <c r="AK66" s="907"/>
      <c r="AL66" s="907"/>
      <c r="AM66" s="907"/>
    </row>
    <row r="67" spans="1:39">
      <c r="A67" s="907"/>
      <c r="B67" s="907"/>
      <c r="C67" s="907"/>
      <c r="D67" s="907"/>
      <c r="E67" s="907"/>
      <c r="F67" s="907"/>
      <c r="G67" s="907" t="s">
        <v>4304</v>
      </c>
      <c r="H67" s="907"/>
      <c r="I67" s="907"/>
      <c r="J67" s="907"/>
      <c r="K67" s="907"/>
      <c r="L67" s="907"/>
      <c r="M67" s="907"/>
      <c r="N67" s="907"/>
      <c r="O67" s="907"/>
      <c r="P67" s="907"/>
      <c r="Q67" s="907"/>
      <c r="R67" s="907"/>
      <c r="S67" s="907"/>
      <c r="T67" s="907"/>
      <c r="U67" s="907"/>
      <c r="V67" s="907"/>
      <c r="W67" s="907"/>
      <c r="X67" s="907"/>
      <c r="Y67" s="907"/>
      <c r="Z67" s="907"/>
      <c r="AA67" s="907"/>
      <c r="AB67" s="907"/>
      <c r="AC67" s="907"/>
      <c r="AD67" s="907"/>
      <c r="AE67" s="907"/>
      <c r="AF67" s="907"/>
      <c r="AG67" s="907"/>
      <c r="AH67" s="907"/>
      <c r="AI67" s="907"/>
      <c r="AJ67" s="907"/>
      <c r="AK67" s="907"/>
      <c r="AL67" s="907"/>
      <c r="AM67" s="907"/>
    </row>
    <row r="68" spans="1:39">
      <c r="A68" s="907"/>
      <c r="B68" s="907"/>
      <c r="C68" s="907"/>
      <c r="D68" s="907"/>
      <c r="E68" s="907"/>
      <c r="F68" s="907"/>
      <c r="G68" s="1030" t="s">
        <v>4305</v>
      </c>
      <c r="H68" s="907"/>
      <c r="I68" s="907"/>
      <c r="J68" s="907"/>
      <c r="K68" s="907"/>
      <c r="L68" s="907"/>
      <c r="M68" s="907"/>
      <c r="N68" s="907"/>
      <c r="O68" s="907"/>
      <c r="P68" s="907"/>
      <c r="Q68" s="907"/>
      <c r="R68" s="907"/>
      <c r="S68" s="907"/>
      <c r="T68" s="907"/>
      <c r="U68" s="907"/>
      <c r="V68" s="907"/>
      <c r="W68" s="907"/>
      <c r="X68" s="907"/>
      <c r="Y68" s="907"/>
      <c r="Z68" s="907"/>
      <c r="AA68" s="907"/>
      <c r="AB68" s="907"/>
      <c r="AC68" s="907"/>
      <c r="AD68" s="907"/>
      <c r="AE68" s="907"/>
      <c r="AF68" s="907"/>
      <c r="AG68" s="907"/>
      <c r="AH68" s="907"/>
      <c r="AI68" s="907"/>
      <c r="AJ68" s="907"/>
      <c r="AK68" s="907"/>
      <c r="AL68" s="907"/>
      <c r="AM68" s="907"/>
    </row>
    <row r="69" spans="1:39">
      <c r="A69" s="907"/>
      <c r="B69" s="907"/>
      <c r="C69" s="907"/>
      <c r="D69" s="907"/>
      <c r="E69" s="907"/>
      <c r="F69" s="907"/>
      <c r="G69" s="1030" t="s">
        <v>4306</v>
      </c>
      <c r="H69" s="907"/>
      <c r="I69" s="907"/>
      <c r="J69" s="907"/>
      <c r="K69" s="907"/>
      <c r="L69" s="907"/>
      <c r="M69" s="907"/>
      <c r="N69" s="907"/>
      <c r="O69" s="907"/>
      <c r="P69" s="907"/>
      <c r="Q69" s="907"/>
      <c r="R69" s="907"/>
      <c r="S69" s="907"/>
      <c r="T69" s="907"/>
      <c r="U69" s="907"/>
      <c r="V69" s="907"/>
      <c r="W69" s="907"/>
      <c r="X69" s="907"/>
      <c r="Y69" s="907"/>
      <c r="Z69" s="907"/>
      <c r="AA69" s="907"/>
      <c r="AB69" s="907"/>
      <c r="AC69" s="907"/>
      <c r="AD69" s="907"/>
      <c r="AE69" s="907"/>
      <c r="AF69" s="907"/>
      <c r="AG69" s="907"/>
      <c r="AH69" s="907"/>
      <c r="AI69" s="907"/>
      <c r="AJ69" s="907"/>
      <c r="AK69" s="907"/>
      <c r="AL69" s="907"/>
      <c r="AM69" s="907"/>
    </row>
    <row r="70" spans="1:39">
      <c r="A70" s="907"/>
      <c r="B70" s="907"/>
      <c r="C70" s="907"/>
      <c r="D70" s="907"/>
      <c r="E70" s="907"/>
      <c r="F70" s="907"/>
      <c r="G70" s="1030" t="s">
        <v>4307</v>
      </c>
      <c r="H70" s="907"/>
      <c r="I70" s="907"/>
      <c r="J70" s="907"/>
      <c r="K70" s="907"/>
      <c r="L70" s="907"/>
      <c r="M70" s="907"/>
      <c r="N70" s="907"/>
      <c r="O70" s="907"/>
      <c r="P70" s="907"/>
      <c r="Q70" s="907"/>
      <c r="R70" s="907"/>
      <c r="S70" s="907"/>
      <c r="T70" s="907"/>
      <c r="U70" s="907"/>
      <c r="V70" s="907"/>
      <c r="W70" s="907"/>
      <c r="X70" s="907"/>
      <c r="Y70" s="907"/>
      <c r="Z70" s="907"/>
      <c r="AA70" s="907"/>
      <c r="AB70" s="907"/>
      <c r="AC70" s="907"/>
      <c r="AD70" s="907"/>
      <c r="AE70" s="907"/>
      <c r="AF70" s="907"/>
      <c r="AG70" s="907"/>
      <c r="AH70" s="907"/>
      <c r="AI70" s="907"/>
      <c r="AJ70" s="907"/>
      <c r="AK70" s="907"/>
      <c r="AL70" s="907"/>
      <c r="AM70" s="907"/>
    </row>
    <row r="71" spans="1:39">
      <c r="A71" s="907"/>
      <c r="B71" s="907"/>
      <c r="C71" s="907"/>
      <c r="D71" s="907"/>
      <c r="E71" s="907"/>
      <c r="F71" s="907"/>
      <c r="G71" s="907"/>
      <c r="H71" s="907"/>
      <c r="I71" s="907"/>
      <c r="J71" s="907"/>
      <c r="K71" s="907"/>
      <c r="L71" s="907"/>
      <c r="M71" s="907"/>
      <c r="N71" s="907"/>
      <c r="O71" s="907"/>
      <c r="P71" s="907"/>
      <c r="Q71" s="907"/>
      <c r="R71" s="907"/>
      <c r="S71" s="907"/>
      <c r="T71" s="907"/>
      <c r="U71" s="907"/>
      <c r="V71" s="907"/>
      <c r="W71" s="907"/>
      <c r="X71" s="907"/>
      <c r="Y71" s="907"/>
      <c r="Z71" s="907"/>
      <c r="AA71" s="907"/>
      <c r="AB71" s="907"/>
      <c r="AC71" s="907"/>
      <c r="AD71" s="907"/>
      <c r="AE71" s="907"/>
      <c r="AF71" s="907"/>
      <c r="AG71" s="907"/>
      <c r="AH71" s="907"/>
      <c r="AI71" s="907"/>
      <c r="AJ71" s="907"/>
      <c r="AK71" s="907"/>
      <c r="AL71" s="907"/>
      <c r="AM71" s="907"/>
    </row>
    <row r="72" spans="1:39">
      <c r="A72" s="907"/>
      <c r="B72" s="907"/>
      <c r="C72" s="907"/>
      <c r="D72" s="907"/>
      <c r="E72" s="907"/>
      <c r="F72" s="907"/>
      <c r="G72" s="907"/>
      <c r="H72" s="907"/>
      <c r="I72" s="907"/>
      <c r="J72" s="907"/>
      <c r="K72" s="907"/>
      <c r="L72" s="907"/>
      <c r="M72" s="907"/>
      <c r="N72" s="907"/>
      <c r="O72" s="907"/>
      <c r="P72" s="907"/>
      <c r="Q72" s="907"/>
      <c r="R72" s="907"/>
      <c r="S72" s="907"/>
      <c r="T72" s="907"/>
      <c r="U72" s="907"/>
      <c r="V72" s="907"/>
      <c r="W72" s="907"/>
      <c r="X72" s="907"/>
      <c r="Y72" s="907"/>
      <c r="Z72" s="907"/>
      <c r="AA72" s="907"/>
      <c r="AB72" s="907"/>
      <c r="AC72" s="907"/>
      <c r="AD72" s="907"/>
      <c r="AE72" s="907"/>
      <c r="AF72" s="907"/>
      <c r="AG72" s="907"/>
      <c r="AH72" s="907"/>
      <c r="AI72" s="907"/>
      <c r="AJ72" s="907"/>
      <c r="AK72" s="907"/>
      <c r="AL72" s="907"/>
      <c r="AM72" s="907"/>
    </row>
    <row r="73" spans="1:39">
      <c r="A73" s="907"/>
      <c r="B73" s="907"/>
      <c r="C73" s="907"/>
      <c r="D73" s="907"/>
      <c r="E73" s="907"/>
      <c r="F73" s="907"/>
      <c r="G73" s="907"/>
      <c r="H73" s="907"/>
      <c r="I73" s="907"/>
      <c r="J73" s="907"/>
      <c r="K73" s="907"/>
      <c r="L73" s="907"/>
      <c r="M73" s="907"/>
      <c r="N73" s="907"/>
      <c r="O73" s="907"/>
      <c r="P73" s="907"/>
      <c r="Q73" s="907"/>
      <c r="R73" s="907"/>
      <c r="S73" s="907"/>
      <c r="T73" s="907"/>
      <c r="U73" s="907"/>
      <c r="V73" s="907"/>
      <c r="W73" s="907"/>
      <c r="X73" s="907"/>
      <c r="Y73" s="907"/>
      <c r="Z73" s="907"/>
      <c r="AA73" s="907"/>
      <c r="AB73" s="907"/>
      <c r="AC73" s="907"/>
      <c r="AD73" s="907"/>
      <c r="AE73" s="907"/>
      <c r="AF73" s="907"/>
      <c r="AG73" s="907"/>
      <c r="AH73" s="907"/>
      <c r="AI73" s="907"/>
      <c r="AJ73" s="907"/>
      <c r="AK73" s="907"/>
      <c r="AL73" s="907"/>
      <c r="AM73" s="907"/>
    </row>
    <row r="74" spans="1:39">
      <c r="A74" s="907"/>
      <c r="B74" s="907"/>
      <c r="C74" s="907"/>
      <c r="D74" s="907"/>
      <c r="E74" s="907"/>
      <c r="F74" s="907"/>
      <c r="G74" s="907"/>
      <c r="H74" s="907"/>
      <c r="I74" s="907"/>
      <c r="J74" s="907"/>
      <c r="K74" s="907"/>
      <c r="L74" s="907"/>
      <c r="M74" s="907"/>
      <c r="N74" s="907"/>
      <c r="O74" s="907"/>
      <c r="P74" s="907"/>
      <c r="Q74" s="907"/>
      <c r="R74" s="907"/>
      <c r="S74" s="907"/>
      <c r="T74" s="907"/>
      <c r="U74" s="907"/>
      <c r="V74" s="907"/>
      <c r="W74" s="907"/>
      <c r="X74" s="907"/>
      <c r="Y74" s="907"/>
      <c r="Z74" s="907"/>
      <c r="AA74" s="907"/>
      <c r="AB74" s="907"/>
      <c r="AC74" s="907"/>
      <c r="AD74" s="907"/>
      <c r="AE74" s="907"/>
      <c r="AF74" s="907"/>
      <c r="AG74" s="907"/>
      <c r="AH74" s="907"/>
      <c r="AI74" s="907"/>
      <c r="AJ74" s="907"/>
      <c r="AK74" s="907"/>
      <c r="AL74" s="907"/>
      <c r="AM74" s="907"/>
    </row>
    <row r="75" spans="1:39">
      <c r="A75" s="907"/>
      <c r="B75" s="907"/>
      <c r="C75" s="907"/>
      <c r="D75" s="907"/>
      <c r="E75" s="907"/>
      <c r="F75" s="907"/>
      <c r="G75" s="907"/>
      <c r="H75" s="907"/>
      <c r="I75" s="907"/>
      <c r="J75" s="907"/>
      <c r="K75" s="907"/>
      <c r="L75" s="907"/>
      <c r="M75" s="907"/>
      <c r="N75" s="907"/>
      <c r="O75" s="907"/>
      <c r="P75" s="907"/>
      <c r="Q75" s="907"/>
      <c r="R75" s="907"/>
      <c r="S75" s="907"/>
      <c r="T75" s="907"/>
      <c r="U75" s="907"/>
      <c r="V75" s="907"/>
      <c r="W75" s="907"/>
      <c r="X75" s="907"/>
      <c r="Y75" s="907"/>
      <c r="Z75" s="907"/>
      <c r="AA75" s="907"/>
      <c r="AB75" s="907"/>
      <c r="AC75" s="907"/>
      <c r="AD75" s="907"/>
      <c r="AE75" s="907"/>
      <c r="AF75" s="907"/>
      <c r="AG75" s="907"/>
      <c r="AH75" s="907"/>
      <c r="AI75" s="907"/>
      <c r="AJ75" s="907"/>
      <c r="AK75" s="907"/>
      <c r="AL75" s="907"/>
      <c r="AM75" s="907"/>
    </row>
    <row r="76" spans="1:39">
      <c r="A76" s="907"/>
      <c r="B76" s="907"/>
      <c r="C76" s="907"/>
      <c r="D76" s="907"/>
      <c r="E76" s="907"/>
      <c r="F76" s="907"/>
      <c r="G76" s="907"/>
      <c r="H76" s="907"/>
      <c r="I76" s="907"/>
      <c r="J76" s="907"/>
      <c r="K76" s="907"/>
      <c r="L76" s="907"/>
      <c r="M76" s="907"/>
      <c r="N76" s="907"/>
      <c r="O76" s="907"/>
      <c r="P76" s="907"/>
      <c r="Q76" s="907"/>
      <c r="R76" s="907"/>
      <c r="S76" s="907"/>
      <c r="T76" s="907"/>
      <c r="U76" s="907"/>
      <c r="V76" s="907"/>
      <c r="W76" s="907"/>
      <c r="X76" s="907"/>
      <c r="Y76" s="907"/>
      <c r="Z76" s="907"/>
      <c r="AA76" s="907"/>
      <c r="AB76" s="907"/>
      <c r="AC76" s="907"/>
      <c r="AD76" s="907"/>
      <c r="AE76" s="907"/>
      <c r="AF76" s="907"/>
      <c r="AG76" s="907"/>
      <c r="AH76" s="907"/>
      <c r="AI76" s="907"/>
      <c r="AJ76" s="907"/>
      <c r="AK76" s="907"/>
      <c r="AL76" s="907"/>
      <c r="AM76" s="907"/>
    </row>
    <row r="77" spans="1:39">
      <c r="A77" s="907"/>
      <c r="B77" s="907"/>
      <c r="C77" s="907"/>
      <c r="D77" s="907"/>
      <c r="E77" s="907"/>
      <c r="F77" s="907"/>
      <c r="G77" s="907"/>
      <c r="H77" s="907"/>
      <c r="I77" s="907"/>
      <c r="J77" s="907"/>
      <c r="K77" s="907"/>
      <c r="L77" s="907"/>
      <c r="M77" s="907"/>
      <c r="N77" s="907"/>
      <c r="O77" s="907"/>
      <c r="P77" s="907"/>
      <c r="Q77" s="907"/>
      <c r="R77" s="907"/>
      <c r="S77" s="907"/>
      <c r="T77" s="907"/>
      <c r="U77" s="907"/>
      <c r="V77" s="907"/>
      <c r="W77" s="907"/>
      <c r="X77" s="907"/>
      <c r="Y77" s="907"/>
      <c r="Z77" s="907"/>
      <c r="AA77" s="907"/>
      <c r="AB77" s="907"/>
      <c r="AC77" s="907"/>
      <c r="AD77" s="907"/>
      <c r="AE77" s="907"/>
      <c r="AF77" s="907"/>
      <c r="AG77" s="907"/>
      <c r="AH77" s="907"/>
      <c r="AI77" s="907"/>
      <c r="AJ77" s="907"/>
      <c r="AK77" s="907"/>
      <c r="AL77" s="907"/>
      <c r="AM77" s="907"/>
    </row>
    <row r="78" spans="1:39">
      <c r="A78" s="907"/>
      <c r="B78" s="907"/>
      <c r="C78" s="907"/>
      <c r="D78" s="907"/>
      <c r="E78" s="907"/>
      <c r="F78" s="907"/>
      <c r="G78" s="907"/>
      <c r="H78" s="907"/>
      <c r="I78" s="907"/>
      <c r="J78" s="907"/>
      <c r="K78" s="907"/>
      <c r="L78" s="907"/>
      <c r="M78" s="907"/>
      <c r="N78" s="907"/>
      <c r="O78" s="907"/>
      <c r="P78" s="907"/>
      <c r="Q78" s="907"/>
      <c r="R78" s="907"/>
      <c r="S78" s="907"/>
      <c r="T78" s="907"/>
      <c r="U78" s="907"/>
      <c r="V78" s="907"/>
      <c r="W78" s="907"/>
      <c r="X78" s="907"/>
      <c r="Y78" s="907"/>
      <c r="Z78" s="907"/>
      <c r="AA78" s="907"/>
      <c r="AB78" s="907"/>
      <c r="AC78" s="907"/>
      <c r="AD78" s="907"/>
      <c r="AE78" s="907"/>
      <c r="AF78" s="907"/>
      <c r="AG78" s="907"/>
      <c r="AH78" s="907"/>
      <c r="AI78" s="907"/>
      <c r="AJ78" s="907"/>
      <c r="AK78" s="907"/>
      <c r="AL78" s="907"/>
      <c r="AM78" s="907"/>
    </row>
    <row r="79" spans="1:39">
      <c r="A79" s="907"/>
      <c r="B79" s="907"/>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c r="AB79" s="907"/>
      <c r="AC79" s="907"/>
      <c r="AD79" s="907"/>
      <c r="AE79" s="907"/>
      <c r="AF79" s="907"/>
      <c r="AG79" s="907"/>
      <c r="AH79" s="907"/>
      <c r="AI79" s="907"/>
      <c r="AJ79" s="907"/>
      <c r="AK79" s="907"/>
      <c r="AL79" s="907"/>
      <c r="AM79" s="907"/>
    </row>
    <row r="80" spans="1:39">
      <c r="A80" s="907"/>
      <c r="B80" s="907"/>
      <c r="C80" s="907"/>
      <c r="D80" s="907"/>
      <c r="E80" s="907"/>
      <c r="F80" s="907"/>
      <c r="G80" s="907"/>
      <c r="H80" s="907"/>
      <c r="I80" s="907"/>
      <c r="J80" s="907"/>
      <c r="K80" s="907"/>
      <c r="L80" s="907"/>
      <c r="M80" s="907"/>
      <c r="N80" s="907"/>
      <c r="O80" s="907"/>
      <c r="P80" s="907"/>
      <c r="Q80" s="907"/>
      <c r="R80" s="907"/>
      <c r="S80" s="907"/>
      <c r="T80" s="907"/>
      <c r="U80" s="907"/>
      <c r="V80" s="907"/>
      <c r="W80" s="907"/>
      <c r="X80" s="907"/>
      <c r="Y80" s="907"/>
      <c r="Z80" s="907"/>
      <c r="AA80" s="907"/>
      <c r="AB80" s="907"/>
      <c r="AC80" s="907"/>
      <c r="AD80" s="907"/>
      <c r="AE80" s="907"/>
      <c r="AF80" s="907"/>
      <c r="AG80" s="907"/>
      <c r="AH80" s="907"/>
      <c r="AI80" s="907"/>
      <c r="AJ80" s="907"/>
      <c r="AK80" s="907"/>
      <c r="AL80" s="907"/>
      <c r="AM80" s="907"/>
    </row>
    <row r="81" spans="1:39">
      <c r="A81" s="907"/>
      <c r="B81" s="907"/>
      <c r="C81" s="907"/>
      <c r="D81" s="907"/>
      <c r="E81" s="907"/>
      <c r="F81" s="907"/>
      <c r="G81" s="907"/>
      <c r="H81" s="907"/>
      <c r="I81" s="907"/>
      <c r="J81" s="907"/>
      <c r="K81" s="907"/>
      <c r="L81" s="907"/>
      <c r="M81" s="907"/>
      <c r="N81" s="907"/>
      <c r="O81" s="907"/>
      <c r="P81" s="907"/>
      <c r="Q81" s="907"/>
      <c r="R81" s="907"/>
      <c r="S81" s="907"/>
      <c r="T81" s="907"/>
      <c r="U81" s="907"/>
      <c r="V81" s="907"/>
      <c r="W81" s="907"/>
      <c r="X81" s="907"/>
      <c r="Y81" s="907"/>
      <c r="Z81" s="907"/>
      <c r="AA81" s="907"/>
      <c r="AB81" s="907"/>
      <c r="AC81" s="907"/>
      <c r="AD81" s="907"/>
      <c r="AE81" s="907"/>
      <c r="AF81" s="907"/>
      <c r="AG81" s="907"/>
      <c r="AH81" s="907"/>
      <c r="AI81" s="907"/>
      <c r="AJ81" s="907"/>
      <c r="AK81" s="907"/>
      <c r="AL81" s="907"/>
      <c r="AM81" s="907"/>
    </row>
    <row r="82" spans="1:39">
      <c r="A82" s="907"/>
      <c r="B82" s="907"/>
      <c r="C82" s="907"/>
      <c r="D82" s="907"/>
      <c r="E82" s="907"/>
      <c r="F82" s="907"/>
      <c r="G82" s="907"/>
      <c r="H82" s="907"/>
      <c r="I82" s="907"/>
      <c r="J82" s="907"/>
      <c r="K82" s="907"/>
      <c r="L82" s="907"/>
      <c r="M82" s="907"/>
      <c r="N82" s="907"/>
      <c r="O82" s="907"/>
      <c r="P82" s="907"/>
      <c r="Q82" s="907"/>
      <c r="R82" s="907"/>
      <c r="S82" s="907"/>
      <c r="T82" s="907"/>
      <c r="U82" s="907"/>
      <c r="V82" s="907"/>
      <c r="W82" s="907"/>
      <c r="X82" s="907"/>
      <c r="Y82" s="907"/>
      <c r="Z82" s="907"/>
      <c r="AA82" s="907"/>
      <c r="AB82" s="907"/>
      <c r="AC82" s="907"/>
      <c r="AD82" s="907"/>
      <c r="AE82" s="907"/>
      <c r="AF82" s="907"/>
      <c r="AG82" s="907"/>
      <c r="AH82" s="907"/>
      <c r="AI82" s="907"/>
      <c r="AJ82" s="907"/>
      <c r="AK82" s="907"/>
      <c r="AL82" s="907"/>
      <c r="AM82" s="907"/>
    </row>
    <row r="83" spans="1:39">
      <c r="A83" s="907"/>
      <c r="B83" s="907"/>
      <c r="C83" s="907"/>
      <c r="D83" s="907"/>
      <c r="E83" s="907"/>
      <c r="F83" s="907"/>
      <c r="G83" s="907"/>
      <c r="H83" s="907"/>
      <c r="I83" s="907"/>
      <c r="J83" s="907"/>
      <c r="K83" s="907"/>
      <c r="L83" s="907"/>
      <c r="M83" s="907"/>
      <c r="N83" s="907"/>
      <c r="O83" s="907"/>
      <c r="P83" s="907"/>
      <c r="Q83" s="907"/>
      <c r="R83" s="907"/>
      <c r="S83" s="907"/>
      <c r="T83" s="907"/>
      <c r="U83" s="907"/>
      <c r="V83" s="907"/>
      <c r="W83" s="907"/>
      <c r="X83" s="907"/>
      <c r="Y83" s="907"/>
      <c r="Z83" s="907"/>
      <c r="AA83" s="907"/>
      <c r="AB83" s="907"/>
      <c r="AC83" s="907"/>
      <c r="AD83" s="907"/>
      <c r="AE83" s="907"/>
      <c r="AF83" s="907"/>
      <c r="AG83" s="907"/>
      <c r="AH83" s="907"/>
      <c r="AI83" s="907"/>
      <c r="AJ83" s="907"/>
      <c r="AK83" s="907"/>
      <c r="AL83" s="907"/>
      <c r="AM83" s="907"/>
    </row>
    <row r="84" spans="1:39">
      <c r="A84" s="907"/>
      <c r="B84" s="907"/>
      <c r="C84" s="907"/>
      <c r="D84" s="907"/>
      <c r="E84" s="907"/>
      <c r="F84" s="907"/>
      <c r="G84" s="907"/>
      <c r="H84" s="907"/>
      <c r="I84" s="907"/>
      <c r="J84" s="907"/>
      <c r="K84" s="907"/>
      <c r="L84" s="907"/>
      <c r="M84" s="907"/>
      <c r="N84" s="907"/>
      <c r="O84" s="907"/>
      <c r="P84" s="907"/>
      <c r="Q84" s="907"/>
      <c r="R84" s="907"/>
      <c r="S84" s="907"/>
      <c r="T84" s="907"/>
      <c r="U84" s="907"/>
      <c r="V84" s="907"/>
      <c r="W84" s="907"/>
      <c r="X84" s="907"/>
      <c r="Y84" s="907"/>
      <c r="Z84" s="907"/>
      <c r="AA84" s="907"/>
      <c r="AB84" s="907"/>
      <c r="AC84" s="907"/>
      <c r="AD84" s="907"/>
      <c r="AE84" s="907"/>
      <c r="AF84" s="907"/>
      <c r="AG84" s="907"/>
      <c r="AH84" s="907"/>
      <c r="AI84" s="907"/>
      <c r="AJ84" s="907"/>
      <c r="AK84" s="907"/>
      <c r="AL84" s="907"/>
      <c r="AM84" s="907"/>
    </row>
    <row r="85" spans="1:39">
      <c r="A85" s="907"/>
      <c r="B85" s="907"/>
      <c r="C85" s="907"/>
      <c r="D85" s="907"/>
      <c r="E85" s="907"/>
      <c r="F85" s="907"/>
      <c r="G85" s="907"/>
      <c r="H85" s="907"/>
      <c r="I85" s="907"/>
      <c r="J85" s="907"/>
      <c r="K85" s="907"/>
      <c r="L85" s="907"/>
      <c r="M85" s="907"/>
      <c r="N85" s="907"/>
      <c r="O85" s="907"/>
      <c r="P85" s="907"/>
      <c r="Q85" s="907"/>
      <c r="R85" s="907"/>
      <c r="S85" s="907"/>
      <c r="T85" s="907"/>
      <c r="U85" s="907"/>
      <c r="V85" s="907"/>
      <c r="W85" s="907"/>
      <c r="X85" s="907"/>
      <c r="Y85" s="907"/>
      <c r="Z85" s="907"/>
      <c r="AA85" s="907"/>
      <c r="AB85" s="907"/>
      <c r="AC85" s="907"/>
      <c r="AD85" s="907"/>
      <c r="AE85" s="907"/>
      <c r="AF85" s="907"/>
      <c r="AG85" s="907"/>
      <c r="AH85" s="907"/>
      <c r="AI85" s="907"/>
      <c r="AJ85" s="907"/>
      <c r="AK85" s="907"/>
      <c r="AL85" s="907"/>
      <c r="AM85" s="907"/>
    </row>
    <row r="86" spans="1:39">
      <c r="A86" s="907"/>
      <c r="B86" s="907"/>
      <c r="C86" s="907"/>
      <c r="D86" s="907"/>
      <c r="E86" s="907"/>
      <c r="F86" s="907"/>
      <c r="G86" s="907"/>
      <c r="H86" s="907"/>
      <c r="I86" s="907"/>
      <c r="J86" s="907"/>
      <c r="K86" s="907"/>
      <c r="L86" s="907"/>
      <c r="M86" s="907"/>
      <c r="N86" s="907"/>
      <c r="O86" s="907"/>
      <c r="P86" s="907"/>
      <c r="Q86" s="907"/>
      <c r="R86" s="907"/>
      <c r="S86" s="907"/>
      <c r="T86" s="907"/>
      <c r="U86" s="907"/>
      <c r="V86" s="907"/>
      <c r="W86" s="907"/>
      <c r="X86" s="907"/>
      <c r="Y86" s="907"/>
      <c r="Z86" s="907"/>
      <c r="AA86" s="907"/>
      <c r="AB86" s="907"/>
      <c r="AC86" s="907"/>
      <c r="AD86" s="907"/>
      <c r="AE86" s="907"/>
      <c r="AF86" s="907"/>
      <c r="AG86" s="907"/>
      <c r="AH86" s="907"/>
      <c r="AI86" s="907"/>
      <c r="AJ86" s="907"/>
      <c r="AK86" s="907"/>
      <c r="AL86" s="907"/>
      <c r="AM86" s="907"/>
    </row>
    <row r="87" spans="1:39">
      <c r="A87" s="907"/>
      <c r="B87" s="907"/>
      <c r="C87" s="907"/>
      <c r="D87" s="907"/>
      <c r="E87" s="907"/>
      <c r="F87" s="907"/>
      <c r="G87" s="907"/>
      <c r="H87" s="907"/>
      <c r="I87" s="907"/>
      <c r="J87" s="907"/>
      <c r="K87" s="907"/>
      <c r="L87" s="907"/>
      <c r="M87" s="907"/>
      <c r="N87" s="907"/>
      <c r="O87" s="907"/>
      <c r="P87" s="907"/>
      <c r="Q87" s="907"/>
      <c r="R87" s="907"/>
      <c r="S87" s="907"/>
      <c r="T87" s="907"/>
      <c r="U87" s="907"/>
      <c r="V87" s="907"/>
      <c r="W87" s="907"/>
      <c r="X87" s="907"/>
      <c r="Y87" s="907"/>
      <c r="Z87" s="907"/>
      <c r="AA87" s="907"/>
      <c r="AB87" s="907"/>
      <c r="AC87" s="907"/>
      <c r="AD87" s="907"/>
      <c r="AE87" s="907"/>
      <c r="AF87" s="907"/>
      <c r="AG87" s="907"/>
      <c r="AH87" s="907"/>
      <c r="AI87" s="907"/>
      <c r="AJ87" s="907"/>
      <c r="AK87" s="907"/>
      <c r="AL87" s="907"/>
      <c r="AM87" s="907"/>
    </row>
    <row r="88" spans="1:39">
      <c r="A88" s="907"/>
      <c r="B88" s="907"/>
      <c r="C88" s="907"/>
      <c r="D88" s="907"/>
      <c r="E88" s="907"/>
      <c r="F88" s="907"/>
      <c r="G88" s="907"/>
      <c r="H88" s="907"/>
      <c r="I88" s="907"/>
      <c r="J88" s="907"/>
      <c r="K88" s="907"/>
      <c r="L88" s="907"/>
      <c r="M88" s="907"/>
      <c r="N88" s="907"/>
      <c r="O88" s="907"/>
      <c r="P88" s="907"/>
      <c r="Q88" s="907"/>
      <c r="R88" s="907"/>
      <c r="S88" s="907"/>
      <c r="T88" s="907"/>
      <c r="U88" s="907"/>
      <c r="V88" s="907"/>
      <c r="W88" s="907"/>
      <c r="X88" s="907"/>
      <c r="Y88" s="907"/>
      <c r="Z88" s="907"/>
      <c r="AA88" s="907"/>
      <c r="AB88" s="907"/>
      <c r="AC88" s="907"/>
      <c r="AD88" s="907"/>
      <c r="AE88" s="907"/>
      <c r="AF88" s="907"/>
      <c r="AG88" s="907"/>
      <c r="AH88" s="907"/>
      <c r="AI88" s="907"/>
      <c r="AJ88" s="907"/>
      <c r="AK88" s="907"/>
      <c r="AL88" s="907"/>
      <c r="AM88" s="907"/>
    </row>
    <row r="89" spans="1:39">
      <c r="A89" s="907"/>
      <c r="B89" s="907"/>
      <c r="C89" s="907"/>
      <c r="D89" s="907"/>
      <c r="E89" s="907"/>
      <c r="F89" s="907"/>
      <c r="G89" s="907"/>
      <c r="H89" s="907"/>
      <c r="I89" s="907"/>
      <c r="J89" s="907"/>
      <c r="K89" s="907"/>
      <c r="L89" s="907"/>
      <c r="M89" s="907"/>
      <c r="N89" s="907"/>
      <c r="O89" s="907"/>
      <c r="P89" s="907"/>
      <c r="Q89" s="907"/>
      <c r="R89" s="907"/>
      <c r="S89" s="907"/>
      <c r="T89" s="907"/>
      <c r="U89" s="907"/>
      <c r="V89" s="907"/>
      <c r="W89" s="907"/>
      <c r="X89" s="907"/>
      <c r="Y89" s="907"/>
      <c r="Z89" s="907"/>
      <c r="AA89" s="907"/>
      <c r="AB89" s="907"/>
      <c r="AC89" s="907"/>
      <c r="AD89" s="907"/>
      <c r="AE89" s="907"/>
      <c r="AF89" s="907"/>
      <c r="AG89" s="907"/>
      <c r="AH89" s="907"/>
      <c r="AI89" s="907"/>
      <c r="AJ89" s="907"/>
      <c r="AK89" s="907"/>
      <c r="AL89" s="907"/>
      <c r="AM89" s="907"/>
    </row>
    <row r="90" spans="1:39">
      <c r="A90" s="907"/>
      <c r="B90" s="907"/>
      <c r="C90" s="907"/>
      <c r="D90" s="907"/>
      <c r="E90" s="907"/>
      <c r="F90" s="907"/>
      <c r="G90" s="907"/>
      <c r="H90" s="907"/>
      <c r="I90" s="907"/>
      <c r="J90" s="907"/>
      <c r="K90" s="907"/>
      <c r="L90" s="907"/>
      <c r="M90" s="907"/>
      <c r="N90" s="907"/>
      <c r="O90" s="907"/>
      <c r="P90" s="907"/>
      <c r="Q90" s="907"/>
      <c r="R90" s="907"/>
      <c r="S90" s="907"/>
      <c r="T90" s="907"/>
      <c r="U90" s="907"/>
      <c r="V90" s="907"/>
      <c r="W90" s="907"/>
      <c r="X90" s="907"/>
      <c r="Y90" s="907"/>
      <c r="Z90" s="907"/>
      <c r="AA90" s="907"/>
      <c r="AB90" s="907"/>
      <c r="AC90" s="907"/>
      <c r="AD90" s="907"/>
      <c r="AE90" s="907"/>
      <c r="AF90" s="907"/>
      <c r="AG90" s="907"/>
      <c r="AH90" s="907"/>
      <c r="AI90" s="907"/>
      <c r="AJ90" s="907"/>
      <c r="AK90" s="907"/>
      <c r="AL90" s="907"/>
      <c r="AM90" s="907"/>
    </row>
    <row r="91" spans="1:39">
      <c r="A91" s="907"/>
      <c r="B91" s="907"/>
      <c r="C91" s="907"/>
      <c r="D91" s="907"/>
      <c r="E91" s="907"/>
      <c r="F91" s="907"/>
      <c r="G91" s="907"/>
      <c r="H91" s="907"/>
      <c r="I91" s="907"/>
      <c r="J91" s="907"/>
      <c r="K91" s="907"/>
      <c r="L91" s="907"/>
      <c r="M91" s="907"/>
      <c r="N91" s="907"/>
      <c r="O91" s="907"/>
      <c r="P91" s="907"/>
      <c r="Q91" s="907"/>
      <c r="R91" s="907"/>
      <c r="S91" s="907"/>
      <c r="T91" s="907"/>
      <c r="U91" s="907"/>
      <c r="V91" s="907"/>
      <c r="W91" s="907"/>
      <c r="X91" s="907"/>
      <c r="Y91" s="907"/>
      <c r="Z91" s="907"/>
      <c r="AA91" s="907"/>
      <c r="AB91" s="907"/>
      <c r="AC91" s="907"/>
      <c r="AD91" s="907"/>
      <c r="AE91" s="907"/>
      <c r="AF91" s="907"/>
      <c r="AG91" s="907"/>
      <c r="AH91" s="907"/>
      <c r="AI91" s="907"/>
      <c r="AJ91" s="907"/>
      <c r="AK91" s="907"/>
      <c r="AL91" s="907"/>
      <c r="AM91" s="907"/>
    </row>
    <row r="92" spans="1:39">
      <c r="A92" s="907"/>
      <c r="B92" s="907"/>
      <c r="C92" s="907"/>
      <c r="D92" s="907"/>
      <c r="E92" s="907"/>
      <c r="F92" s="907"/>
      <c r="G92" s="907"/>
      <c r="H92" s="907"/>
      <c r="I92" s="907"/>
      <c r="J92" s="907"/>
      <c r="K92" s="907"/>
      <c r="L92" s="907"/>
      <c r="M92" s="907"/>
      <c r="N92" s="907"/>
      <c r="O92" s="907"/>
      <c r="P92" s="907"/>
      <c r="Q92" s="907"/>
      <c r="R92" s="907"/>
      <c r="S92" s="907"/>
      <c r="T92" s="907"/>
      <c r="U92" s="907"/>
      <c r="V92" s="907"/>
      <c r="W92" s="907"/>
      <c r="X92" s="907"/>
      <c r="Y92" s="907"/>
      <c r="Z92" s="907"/>
      <c r="AA92" s="907"/>
      <c r="AB92" s="907"/>
      <c r="AC92" s="907"/>
      <c r="AD92" s="907"/>
      <c r="AE92" s="907"/>
      <c r="AF92" s="907"/>
      <c r="AG92" s="907"/>
      <c r="AH92" s="907"/>
      <c r="AI92" s="907"/>
      <c r="AJ92" s="907"/>
      <c r="AK92" s="907"/>
      <c r="AL92" s="907"/>
      <c r="AM92" s="907"/>
    </row>
    <row r="93" spans="1:39">
      <c r="A93" s="907"/>
      <c r="B93" s="907"/>
      <c r="C93" s="907"/>
      <c r="D93" s="907"/>
      <c r="E93" s="907"/>
      <c r="F93" s="907"/>
      <c r="G93" s="907"/>
      <c r="H93" s="907"/>
      <c r="I93" s="907"/>
      <c r="J93" s="907"/>
      <c r="K93" s="907"/>
      <c r="L93" s="907"/>
      <c r="M93" s="907"/>
      <c r="N93" s="907"/>
      <c r="O93" s="907"/>
      <c r="P93" s="907"/>
      <c r="Q93" s="907"/>
      <c r="R93" s="907"/>
      <c r="S93" s="907"/>
      <c r="T93" s="907"/>
      <c r="U93" s="907"/>
      <c r="V93" s="907"/>
      <c r="W93" s="907"/>
      <c r="X93" s="907"/>
      <c r="Y93" s="907"/>
      <c r="Z93" s="907"/>
      <c r="AA93" s="907"/>
      <c r="AB93" s="907"/>
      <c r="AC93" s="907"/>
      <c r="AD93" s="907"/>
      <c r="AE93" s="907"/>
      <c r="AF93" s="907"/>
      <c r="AG93" s="907"/>
      <c r="AH93" s="907"/>
      <c r="AI93" s="907"/>
      <c r="AJ93" s="907"/>
      <c r="AK93" s="907"/>
      <c r="AL93" s="907"/>
      <c r="AM93" s="907"/>
    </row>
    <row r="94" spans="1:39">
      <c r="A94" s="907"/>
      <c r="B94" s="907"/>
      <c r="C94" s="907"/>
      <c r="D94" s="907"/>
      <c r="E94" s="907"/>
      <c r="F94" s="907"/>
      <c r="G94" s="907"/>
      <c r="H94" s="907"/>
      <c r="I94" s="907"/>
      <c r="J94" s="907"/>
      <c r="K94" s="907"/>
      <c r="L94" s="907"/>
      <c r="M94" s="907"/>
      <c r="N94" s="907"/>
      <c r="O94" s="907"/>
      <c r="P94" s="907"/>
      <c r="Q94" s="907"/>
      <c r="R94" s="907"/>
      <c r="S94" s="907"/>
      <c r="T94" s="907"/>
      <c r="U94" s="907"/>
      <c r="V94" s="907"/>
      <c r="W94" s="907"/>
      <c r="X94" s="907"/>
      <c r="Y94" s="907"/>
      <c r="Z94" s="907"/>
      <c r="AA94" s="907"/>
      <c r="AB94" s="907"/>
      <c r="AC94" s="907"/>
      <c r="AD94" s="907"/>
      <c r="AE94" s="907"/>
      <c r="AF94" s="907"/>
      <c r="AG94" s="907"/>
      <c r="AH94" s="907"/>
      <c r="AI94" s="907"/>
      <c r="AJ94" s="907"/>
      <c r="AK94" s="907"/>
      <c r="AL94" s="907"/>
      <c r="AM94" s="907"/>
    </row>
    <row r="95" spans="1:39">
      <c r="A95" s="907"/>
      <c r="B95" s="907"/>
      <c r="C95" s="907"/>
      <c r="D95" s="907"/>
      <c r="E95" s="907"/>
      <c r="F95" s="907"/>
      <c r="G95" s="907"/>
      <c r="H95" s="907"/>
      <c r="I95" s="907"/>
      <c r="J95" s="907"/>
      <c r="K95" s="907"/>
      <c r="L95" s="907"/>
      <c r="M95" s="907"/>
      <c r="N95" s="907"/>
      <c r="O95" s="907"/>
      <c r="P95" s="907"/>
      <c r="Q95" s="907"/>
      <c r="R95" s="907"/>
      <c r="S95" s="907"/>
      <c r="T95" s="907"/>
      <c r="U95" s="907"/>
      <c r="V95" s="907"/>
      <c r="W95" s="907"/>
      <c r="X95" s="907"/>
      <c r="Y95" s="907"/>
      <c r="Z95" s="907"/>
      <c r="AA95" s="907"/>
      <c r="AB95" s="907"/>
      <c r="AC95" s="907"/>
      <c r="AD95" s="907"/>
      <c r="AE95" s="907"/>
      <c r="AF95" s="907"/>
      <c r="AG95" s="907"/>
      <c r="AH95" s="907"/>
      <c r="AI95" s="907"/>
      <c r="AJ95" s="907"/>
      <c r="AK95" s="907"/>
      <c r="AL95" s="907"/>
      <c r="AM95" s="907"/>
    </row>
    <row r="96" spans="1:39">
      <c r="A96" s="907"/>
      <c r="B96" s="907"/>
      <c r="C96" s="907"/>
      <c r="D96" s="907"/>
      <c r="E96" s="907"/>
      <c r="F96" s="907"/>
      <c r="G96" s="907"/>
      <c r="H96" s="907"/>
      <c r="I96" s="907"/>
      <c r="J96" s="907"/>
      <c r="K96" s="907"/>
      <c r="L96" s="907"/>
      <c r="M96" s="907"/>
      <c r="N96" s="907"/>
      <c r="O96" s="907"/>
      <c r="P96" s="907"/>
      <c r="Q96" s="907"/>
      <c r="R96" s="907"/>
      <c r="S96" s="907"/>
      <c r="T96" s="907"/>
      <c r="U96" s="907"/>
      <c r="V96" s="907"/>
      <c r="W96" s="907"/>
      <c r="X96" s="907"/>
      <c r="Y96" s="907"/>
      <c r="Z96" s="907"/>
      <c r="AA96" s="907"/>
      <c r="AB96" s="907"/>
      <c r="AC96" s="907"/>
      <c r="AD96" s="907"/>
      <c r="AE96" s="907"/>
      <c r="AF96" s="907"/>
      <c r="AG96" s="907"/>
      <c r="AH96" s="907"/>
      <c r="AI96" s="907"/>
      <c r="AJ96" s="907"/>
      <c r="AK96" s="907"/>
      <c r="AL96" s="907"/>
      <c r="AM96" s="907"/>
    </row>
    <row r="97" spans="1:39">
      <c r="A97" s="907"/>
      <c r="B97" s="907"/>
      <c r="C97" s="907"/>
      <c r="D97" s="907"/>
      <c r="E97" s="907"/>
      <c r="F97" s="907"/>
      <c r="G97" s="907"/>
      <c r="H97" s="907"/>
      <c r="I97" s="907"/>
      <c r="J97" s="907"/>
      <c r="K97" s="907"/>
      <c r="L97" s="907"/>
      <c r="M97" s="907"/>
      <c r="N97" s="907"/>
      <c r="O97" s="907"/>
      <c r="P97" s="907"/>
      <c r="Q97" s="907"/>
      <c r="R97" s="907"/>
      <c r="S97" s="907"/>
      <c r="T97" s="907"/>
      <c r="U97" s="907"/>
      <c r="V97" s="907"/>
      <c r="W97" s="907"/>
      <c r="X97" s="907"/>
      <c r="Y97" s="907"/>
      <c r="Z97" s="907"/>
      <c r="AA97" s="907"/>
      <c r="AB97" s="907"/>
      <c r="AC97" s="907"/>
      <c r="AD97" s="907"/>
      <c r="AE97" s="907"/>
      <c r="AF97" s="907"/>
      <c r="AG97" s="907"/>
      <c r="AH97" s="907"/>
      <c r="AI97" s="907"/>
      <c r="AJ97" s="907"/>
      <c r="AK97" s="907"/>
      <c r="AL97" s="907"/>
      <c r="AM97" s="907"/>
    </row>
    <row r="98" spans="1:39">
      <c r="A98" s="907"/>
      <c r="B98" s="907"/>
      <c r="C98" s="907"/>
      <c r="D98" s="907"/>
      <c r="E98" s="907"/>
      <c r="F98" s="907"/>
      <c r="G98" s="907"/>
      <c r="H98" s="907"/>
      <c r="I98" s="907"/>
      <c r="J98" s="907"/>
      <c r="K98" s="907"/>
      <c r="L98" s="907"/>
      <c r="M98" s="907"/>
      <c r="N98" s="907"/>
      <c r="O98" s="907"/>
      <c r="P98" s="907"/>
      <c r="Q98" s="907"/>
      <c r="R98" s="907"/>
      <c r="S98" s="907"/>
      <c r="T98" s="907"/>
      <c r="U98" s="907"/>
      <c r="V98" s="907"/>
      <c r="W98" s="907"/>
      <c r="X98" s="907"/>
      <c r="Y98" s="907"/>
      <c r="Z98" s="907"/>
      <c r="AA98" s="907"/>
      <c r="AB98" s="907"/>
      <c r="AC98" s="907"/>
      <c r="AD98" s="907"/>
      <c r="AE98" s="907"/>
      <c r="AF98" s="907"/>
      <c r="AG98" s="907"/>
      <c r="AH98" s="907"/>
      <c r="AI98" s="907"/>
      <c r="AJ98" s="907"/>
      <c r="AK98" s="907"/>
      <c r="AL98" s="907"/>
      <c r="AM98" s="907"/>
    </row>
    <row r="99" spans="1:39">
      <c r="A99" s="907"/>
      <c r="B99" s="907"/>
      <c r="C99" s="907"/>
      <c r="D99" s="907"/>
      <c r="E99" s="907"/>
      <c r="F99" s="907"/>
      <c r="G99" s="907"/>
      <c r="H99" s="907"/>
      <c r="I99" s="907"/>
      <c r="J99" s="907"/>
      <c r="K99" s="907"/>
      <c r="L99" s="907"/>
      <c r="M99" s="907"/>
      <c r="N99" s="907"/>
      <c r="O99" s="907"/>
      <c r="P99" s="907"/>
      <c r="Q99" s="907"/>
      <c r="R99" s="907"/>
      <c r="S99" s="907"/>
      <c r="T99" s="907"/>
      <c r="U99" s="907"/>
      <c r="V99" s="907"/>
      <c r="W99" s="907"/>
      <c r="X99" s="907"/>
      <c r="Y99" s="907"/>
      <c r="Z99" s="907"/>
      <c r="AA99" s="907"/>
      <c r="AB99" s="907"/>
      <c r="AC99" s="907"/>
      <c r="AD99" s="907"/>
      <c r="AE99" s="907"/>
      <c r="AF99" s="907"/>
      <c r="AG99" s="907"/>
      <c r="AH99" s="907"/>
      <c r="AI99" s="907"/>
      <c r="AJ99" s="907"/>
      <c r="AK99" s="907"/>
      <c r="AL99" s="907"/>
      <c r="AM99" s="907"/>
    </row>
    <row r="100" spans="1:39">
      <c r="A100" s="907"/>
      <c r="B100" s="907"/>
      <c r="C100" s="907"/>
      <c r="D100" s="907"/>
      <c r="E100" s="907"/>
      <c r="F100" s="907"/>
      <c r="G100" s="907"/>
      <c r="H100" s="907"/>
      <c r="I100" s="907"/>
      <c r="J100" s="907"/>
      <c r="K100" s="907"/>
      <c r="L100" s="907"/>
      <c r="M100" s="907"/>
      <c r="N100" s="907"/>
      <c r="O100" s="907"/>
      <c r="P100" s="907"/>
      <c r="Q100" s="907"/>
      <c r="R100" s="907"/>
      <c r="S100" s="907"/>
      <c r="T100" s="907"/>
      <c r="U100" s="907"/>
      <c r="V100" s="907"/>
      <c r="W100" s="907"/>
      <c r="X100" s="907"/>
      <c r="Y100" s="907"/>
      <c r="Z100" s="907"/>
      <c r="AA100" s="907"/>
      <c r="AB100" s="907"/>
      <c r="AC100" s="907"/>
      <c r="AD100" s="907"/>
      <c r="AE100" s="907"/>
      <c r="AF100" s="907"/>
      <c r="AG100" s="907"/>
      <c r="AH100" s="907"/>
      <c r="AI100" s="907"/>
      <c r="AJ100" s="907"/>
      <c r="AK100" s="907"/>
      <c r="AL100" s="907"/>
      <c r="AM100" s="907"/>
    </row>
    <row r="101" spans="1:39">
      <c r="A101" s="907"/>
      <c r="B101" s="907"/>
      <c r="C101" s="907"/>
      <c r="D101" s="907"/>
      <c r="E101" s="907"/>
      <c r="F101" s="907"/>
      <c r="G101" s="907"/>
      <c r="H101" s="907"/>
      <c r="I101" s="907"/>
      <c r="J101" s="907"/>
      <c r="K101" s="907"/>
      <c r="L101" s="907"/>
      <c r="M101" s="907"/>
      <c r="N101" s="907"/>
      <c r="O101" s="907"/>
      <c r="P101" s="907"/>
      <c r="Q101" s="907"/>
      <c r="R101" s="907"/>
      <c r="S101" s="907"/>
      <c r="T101" s="907"/>
      <c r="U101" s="907"/>
      <c r="V101" s="907"/>
      <c r="W101" s="907"/>
      <c r="X101" s="907"/>
      <c r="Y101" s="907"/>
      <c r="Z101" s="907"/>
      <c r="AA101" s="907"/>
      <c r="AB101" s="907"/>
      <c r="AC101" s="907"/>
      <c r="AD101" s="907"/>
      <c r="AE101" s="907"/>
      <c r="AF101" s="907"/>
      <c r="AG101" s="907"/>
      <c r="AH101" s="907"/>
      <c r="AI101" s="907"/>
      <c r="AJ101" s="907"/>
      <c r="AK101" s="907"/>
      <c r="AL101" s="907"/>
      <c r="AM101" s="907"/>
    </row>
    <row r="102" spans="1:39">
      <c r="A102" s="907"/>
      <c r="B102" s="907"/>
      <c r="C102" s="907"/>
      <c r="D102" s="907"/>
      <c r="E102" s="907"/>
      <c r="F102" s="907"/>
      <c r="G102" s="907"/>
      <c r="H102" s="907"/>
      <c r="I102" s="907"/>
      <c r="J102" s="907"/>
      <c r="K102" s="907"/>
      <c r="L102" s="907"/>
      <c r="M102" s="907"/>
      <c r="N102" s="907"/>
      <c r="O102" s="907"/>
      <c r="P102" s="907"/>
      <c r="Q102" s="907"/>
      <c r="R102" s="907"/>
      <c r="S102" s="907"/>
      <c r="T102" s="907"/>
      <c r="U102" s="907"/>
      <c r="V102" s="907"/>
      <c r="W102" s="907"/>
      <c r="X102" s="907"/>
      <c r="Y102" s="907"/>
      <c r="Z102" s="907"/>
      <c r="AA102" s="907"/>
      <c r="AB102" s="907"/>
      <c r="AC102" s="907"/>
      <c r="AD102" s="907"/>
      <c r="AE102" s="907"/>
      <c r="AF102" s="907"/>
      <c r="AG102" s="907"/>
      <c r="AH102" s="907"/>
      <c r="AI102" s="907"/>
      <c r="AJ102" s="907"/>
      <c r="AK102" s="907"/>
      <c r="AL102" s="907"/>
      <c r="AM102" s="907"/>
    </row>
    <row r="103" spans="1:39">
      <c r="A103" s="907"/>
      <c r="B103" s="907"/>
      <c r="C103" s="907"/>
      <c r="D103" s="907"/>
      <c r="E103" s="907"/>
      <c r="F103" s="907"/>
      <c r="G103" s="907"/>
      <c r="H103" s="907"/>
      <c r="I103" s="907"/>
      <c r="J103" s="907"/>
      <c r="K103" s="907"/>
      <c r="L103" s="907"/>
      <c r="M103" s="907"/>
      <c r="N103" s="907"/>
      <c r="O103" s="907"/>
      <c r="P103" s="907"/>
      <c r="Q103" s="907"/>
      <c r="R103" s="907"/>
      <c r="S103" s="907"/>
      <c r="T103" s="907"/>
      <c r="U103" s="907"/>
      <c r="V103" s="907"/>
      <c r="W103" s="907"/>
      <c r="X103" s="907"/>
      <c r="Y103" s="907"/>
      <c r="Z103" s="907"/>
      <c r="AA103" s="907"/>
      <c r="AB103" s="907"/>
      <c r="AC103" s="907"/>
      <c r="AD103" s="907"/>
      <c r="AE103" s="907"/>
      <c r="AF103" s="907"/>
      <c r="AG103" s="907"/>
      <c r="AH103" s="907"/>
      <c r="AI103" s="907"/>
      <c r="AJ103" s="907"/>
      <c r="AK103" s="907"/>
      <c r="AL103" s="907"/>
      <c r="AM103" s="907"/>
    </row>
    <row r="104" spans="1:39">
      <c r="A104" s="907"/>
      <c r="B104" s="907"/>
      <c r="C104" s="907"/>
      <c r="D104" s="907"/>
      <c r="E104" s="907"/>
      <c r="F104" s="907"/>
      <c r="G104" s="907"/>
      <c r="H104" s="907"/>
      <c r="I104" s="907"/>
      <c r="J104" s="907"/>
      <c r="K104" s="907"/>
      <c r="L104" s="907"/>
      <c r="M104" s="907"/>
      <c r="N104" s="907"/>
      <c r="O104" s="907"/>
      <c r="P104" s="907"/>
      <c r="Q104" s="907"/>
      <c r="R104" s="907"/>
      <c r="S104" s="907"/>
      <c r="T104" s="907"/>
      <c r="U104" s="907"/>
      <c r="V104" s="907"/>
      <c r="W104" s="907"/>
      <c r="X104" s="907"/>
      <c r="Y104" s="907"/>
      <c r="Z104" s="907"/>
      <c r="AA104" s="907"/>
      <c r="AB104" s="907"/>
      <c r="AC104" s="907"/>
      <c r="AD104" s="907"/>
      <c r="AE104" s="907"/>
      <c r="AF104" s="907"/>
      <c r="AG104" s="907"/>
      <c r="AH104" s="907"/>
      <c r="AI104" s="907"/>
      <c r="AJ104" s="907"/>
      <c r="AK104" s="907"/>
      <c r="AL104" s="907"/>
      <c r="AM104" s="907"/>
    </row>
    <row r="105" spans="1:39">
      <c r="A105" s="907"/>
      <c r="B105" s="907"/>
      <c r="C105" s="907"/>
      <c r="D105" s="907"/>
      <c r="E105" s="907"/>
      <c r="F105" s="907"/>
      <c r="G105" s="907"/>
      <c r="H105" s="907"/>
      <c r="I105" s="907"/>
      <c r="J105" s="907"/>
      <c r="K105" s="907"/>
      <c r="L105" s="907"/>
      <c r="M105" s="907"/>
      <c r="N105" s="907"/>
      <c r="O105" s="907"/>
      <c r="P105" s="907"/>
      <c r="Q105" s="907"/>
      <c r="R105" s="907"/>
      <c r="S105" s="907"/>
      <c r="T105" s="907"/>
      <c r="U105" s="907"/>
      <c r="V105" s="907"/>
      <c r="W105" s="907"/>
      <c r="X105" s="907"/>
      <c r="Y105" s="907"/>
      <c r="Z105" s="907"/>
      <c r="AA105" s="907"/>
      <c r="AB105" s="907"/>
      <c r="AC105" s="907"/>
      <c r="AD105" s="907"/>
      <c r="AE105" s="907"/>
      <c r="AF105" s="907"/>
      <c r="AG105" s="907"/>
      <c r="AH105" s="907"/>
      <c r="AI105" s="907"/>
      <c r="AJ105" s="907"/>
      <c r="AK105" s="907"/>
      <c r="AL105" s="907"/>
      <c r="AM105" s="907"/>
    </row>
    <row r="106" spans="1:39">
      <c r="A106" s="907"/>
      <c r="B106" s="907"/>
      <c r="C106" s="907"/>
      <c r="D106" s="907"/>
      <c r="E106" s="907"/>
      <c r="F106" s="907"/>
      <c r="G106" s="907"/>
      <c r="H106" s="907"/>
      <c r="I106" s="907"/>
      <c r="J106" s="907"/>
      <c r="K106" s="907"/>
      <c r="L106" s="907"/>
      <c r="M106" s="907"/>
      <c r="N106" s="907"/>
      <c r="O106" s="907"/>
      <c r="P106" s="907"/>
      <c r="Q106" s="907"/>
      <c r="R106" s="907"/>
      <c r="S106" s="907"/>
      <c r="T106" s="907"/>
      <c r="U106" s="907"/>
      <c r="V106" s="907"/>
      <c r="W106" s="907"/>
      <c r="X106" s="907"/>
      <c r="Y106" s="907"/>
      <c r="Z106" s="907"/>
      <c r="AA106" s="907"/>
      <c r="AB106" s="907"/>
      <c r="AC106" s="907"/>
      <c r="AD106" s="907"/>
      <c r="AE106" s="907"/>
      <c r="AF106" s="907"/>
      <c r="AG106" s="907"/>
      <c r="AH106" s="907"/>
      <c r="AI106" s="907"/>
      <c r="AJ106" s="907"/>
      <c r="AK106" s="907"/>
      <c r="AL106" s="907"/>
      <c r="AM106" s="907"/>
    </row>
    <row r="107" spans="1:39">
      <c r="A107" s="907"/>
      <c r="B107" s="907"/>
      <c r="C107" s="907"/>
      <c r="D107" s="907"/>
      <c r="E107" s="907"/>
      <c r="F107" s="907"/>
      <c r="G107" s="907"/>
      <c r="H107" s="907"/>
      <c r="I107" s="907"/>
      <c r="J107" s="907"/>
      <c r="K107" s="907"/>
      <c r="L107" s="907"/>
      <c r="M107" s="907"/>
      <c r="N107" s="907"/>
      <c r="O107" s="907"/>
      <c r="P107" s="907"/>
      <c r="Q107" s="907"/>
      <c r="R107" s="907"/>
      <c r="S107" s="907"/>
      <c r="T107" s="907"/>
      <c r="U107" s="907"/>
      <c r="V107" s="907"/>
      <c r="W107" s="907"/>
      <c r="X107" s="907"/>
      <c r="Y107" s="907"/>
      <c r="Z107" s="907"/>
      <c r="AA107" s="907"/>
      <c r="AB107" s="907"/>
      <c r="AC107" s="907"/>
      <c r="AD107" s="907"/>
      <c r="AE107" s="907"/>
      <c r="AF107" s="907"/>
      <c r="AG107" s="907"/>
      <c r="AH107" s="907"/>
      <c r="AI107" s="907"/>
      <c r="AJ107" s="907"/>
      <c r="AK107" s="907"/>
      <c r="AL107" s="907"/>
      <c r="AM107" s="907"/>
    </row>
    <row r="108" spans="1:39">
      <c r="A108" s="907"/>
      <c r="B108" s="907"/>
      <c r="C108" s="907"/>
      <c r="D108" s="907"/>
      <c r="E108" s="907"/>
      <c r="F108" s="907"/>
      <c r="G108" s="907"/>
      <c r="H108" s="907"/>
      <c r="I108" s="907"/>
      <c r="J108" s="907"/>
      <c r="K108" s="907"/>
      <c r="L108" s="907"/>
      <c r="M108" s="907"/>
      <c r="N108" s="907"/>
      <c r="O108" s="907"/>
      <c r="P108" s="907"/>
      <c r="Q108" s="907"/>
      <c r="R108" s="907"/>
      <c r="S108" s="907"/>
      <c r="T108" s="907"/>
      <c r="U108" s="907"/>
      <c r="V108" s="907"/>
      <c r="W108" s="907"/>
      <c r="X108" s="907"/>
      <c r="Y108" s="907"/>
      <c r="Z108" s="907"/>
      <c r="AA108" s="907"/>
      <c r="AB108" s="907"/>
      <c r="AC108" s="907"/>
      <c r="AD108" s="907"/>
      <c r="AE108" s="907"/>
      <c r="AF108" s="907"/>
      <c r="AG108" s="907"/>
      <c r="AH108" s="907"/>
      <c r="AI108" s="907"/>
      <c r="AJ108" s="907"/>
      <c r="AK108" s="907"/>
      <c r="AL108" s="907"/>
      <c r="AM108" s="907"/>
    </row>
    <row r="109" spans="1:39">
      <c r="A109" s="907"/>
      <c r="B109" s="907"/>
      <c r="C109" s="907"/>
      <c r="D109" s="907"/>
      <c r="E109" s="907"/>
      <c r="F109" s="907"/>
      <c r="G109" s="907"/>
      <c r="H109" s="907"/>
      <c r="I109" s="907"/>
      <c r="J109" s="907"/>
      <c r="K109" s="907"/>
      <c r="L109" s="907"/>
      <c r="M109" s="907"/>
      <c r="N109" s="907"/>
      <c r="O109" s="907"/>
      <c r="P109" s="907"/>
      <c r="Q109" s="907"/>
      <c r="R109" s="907"/>
      <c r="S109" s="907"/>
      <c r="T109" s="907"/>
      <c r="U109" s="907"/>
      <c r="V109" s="907"/>
      <c r="W109" s="907"/>
      <c r="X109" s="907"/>
      <c r="Y109" s="907"/>
      <c r="Z109" s="907"/>
      <c r="AA109" s="907"/>
      <c r="AB109" s="907"/>
      <c r="AC109" s="907"/>
      <c r="AD109" s="907"/>
      <c r="AE109" s="907"/>
      <c r="AF109" s="907"/>
      <c r="AG109" s="907"/>
      <c r="AH109" s="907"/>
      <c r="AI109" s="907"/>
      <c r="AJ109" s="907"/>
      <c r="AK109" s="907"/>
      <c r="AL109" s="907"/>
      <c r="AM109" s="907"/>
    </row>
    <row r="110" spans="1:39">
      <c r="A110" s="907"/>
      <c r="B110" s="907"/>
      <c r="C110" s="907"/>
      <c r="D110" s="907"/>
      <c r="E110" s="907"/>
      <c r="F110" s="907"/>
      <c r="G110" s="907"/>
      <c r="H110" s="907"/>
      <c r="I110" s="907"/>
      <c r="J110" s="907"/>
      <c r="K110" s="907"/>
      <c r="L110" s="907"/>
      <c r="M110" s="907"/>
      <c r="N110" s="907"/>
      <c r="O110" s="907"/>
      <c r="P110" s="907"/>
      <c r="Q110" s="907"/>
      <c r="R110" s="907"/>
      <c r="S110" s="907"/>
      <c r="T110" s="907"/>
      <c r="U110" s="907"/>
      <c r="V110" s="907"/>
      <c r="W110" s="907"/>
      <c r="X110" s="907"/>
      <c r="Y110" s="907"/>
      <c r="Z110" s="907"/>
      <c r="AA110" s="907"/>
      <c r="AB110" s="907"/>
      <c r="AC110" s="907"/>
      <c r="AD110" s="907"/>
      <c r="AE110" s="907"/>
      <c r="AF110" s="907"/>
      <c r="AG110" s="907"/>
      <c r="AH110" s="907"/>
      <c r="AI110" s="907"/>
      <c r="AJ110" s="907"/>
      <c r="AK110" s="907"/>
      <c r="AL110" s="907"/>
      <c r="AM110" s="907"/>
    </row>
    <row r="111" spans="1:39">
      <c r="A111" s="907"/>
      <c r="B111" s="907"/>
      <c r="C111" s="907"/>
      <c r="D111" s="907"/>
      <c r="E111" s="907"/>
      <c r="F111" s="907"/>
      <c r="G111" s="907"/>
      <c r="H111" s="907"/>
      <c r="I111" s="907"/>
      <c r="J111" s="907"/>
      <c r="K111" s="907"/>
      <c r="L111" s="907"/>
      <c r="M111" s="907"/>
      <c r="N111" s="907"/>
      <c r="O111" s="907"/>
      <c r="P111" s="907"/>
      <c r="Q111" s="907"/>
      <c r="R111" s="907"/>
      <c r="S111" s="907"/>
      <c r="T111" s="907"/>
      <c r="U111" s="907"/>
      <c r="V111" s="907"/>
      <c r="W111" s="907"/>
      <c r="X111" s="907"/>
      <c r="Y111" s="907"/>
      <c r="Z111" s="907"/>
      <c r="AA111" s="907"/>
      <c r="AB111" s="907"/>
      <c r="AC111" s="907"/>
      <c r="AD111" s="907"/>
      <c r="AE111" s="907"/>
      <c r="AF111" s="907"/>
      <c r="AG111" s="907"/>
      <c r="AH111" s="907"/>
      <c r="AI111" s="907"/>
      <c r="AJ111" s="907"/>
      <c r="AK111" s="907"/>
      <c r="AL111" s="907"/>
      <c r="AM111" s="907"/>
    </row>
    <row r="112" spans="1:39">
      <c r="A112" s="907"/>
      <c r="B112" s="907"/>
      <c r="C112" s="907"/>
      <c r="D112" s="907"/>
      <c r="E112" s="907"/>
      <c r="F112" s="907"/>
      <c r="G112" s="907"/>
      <c r="H112" s="907"/>
      <c r="I112" s="907"/>
      <c r="J112" s="907"/>
      <c r="K112" s="907"/>
      <c r="L112" s="907"/>
      <c r="M112" s="907"/>
      <c r="N112" s="907"/>
      <c r="O112" s="907"/>
      <c r="P112" s="907"/>
      <c r="Q112" s="907"/>
      <c r="R112" s="907"/>
      <c r="S112" s="907"/>
      <c r="T112" s="907"/>
      <c r="U112" s="907"/>
      <c r="V112" s="907"/>
      <c r="W112" s="907"/>
      <c r="X112" s="907"/>
      <c r="Y112" s="907"/>
      <c r="Z112" s="907"/>
      <c r="AA112" s="907"/>
      <c r="AB112" s="907"/>
      <c r="AC112" s="907"/>
      <c r="AD112" s="907"/>
      <c r="AE112" s="907"/>
      <c r="AF112" s="907"/>
      <c r="AG112" s="907"/>
      <c r="AH112" s="907"/>
      <c r="AI112" s="907"/>
      <c r="AJ112" s="907"/>
      <c r="AK112" s="907"/>
      <c r="AL112" s="907"/>
      <c r="AM112" s="907"/>
    </row>
    <row r="113" spans="1:39">
      <c r="A113" s="907"/>
      <c r="B113" s="907"/>
      <c r="C113" s="907"/>
      <c r="D113" s="907"/>
      <c r="E113" s="907"/>
      <c r="F113" s="907"/>
      <c r="G113" s="907"/>
      <c r="H113" s="907"/>
      <c r="I113" s="907"/>
      <c r="J113" s="907"/>
      <c r="K113" s="907"/>
      <c r="L113" s="907"/>
      <c r="M113" s="907"/>
      <c r="N113" s="907"/>
      <c r="O113" s="907"/>
      <c r="P113" s="907"/>
      <c r="Q113" s="907"/>
      <c r="R113" s="907"/>
      <c r="S113" s="907"/>
      <c r="T113" s="907"/>
      <c r="U113" s="907"/>
      <c r="V113" s="907"/>
      <c r="W113" s="907"/>
      <c r="X113" s="907"/>
      <c r="Y113" s="907"/>
      <c r="Z113" s="907"/>
      <c r="AA113" s="907"/>
      <c r="AB113" s="907"/>
      <c r="AC113" s="907"/>
      <c r="AD113" s="907"/>
      <c r="AE113" s="907"/>
      <c r="AF113" s="907"/>
      <c r="AG113" s="907"/>
      <c r="AH113" s="907"/>
      <c r="AI113" s="907"/>
      <c r="AJ113" s="907"/>
      <c r="AK113" s="907"/>
      <c r="AL113" s="907"/>
      <c r="AM113" s="907"/>
    </row>
    <row r="114" spans="1:39">
      <c r="A114" s="907"/>
      <c r="B114" s="907"/>
      <c r="C114" s="907"/>
      <c r="D114" s="907"/>
      <c r="E114" s="907"/>
      <c r="F114" s="907"/>
      <c r="G114" s="907"/>
      <c r="H114" s="907"/>
      <c r="I114" s="907"/>
      <c r="J114" s="907"/>
      <c r="K114" s="907"/>
      <c r="L114" s="907"/>
      <c r="M114" s="907"/>
      <c r="N114" s="907"/>
      <c r="O114" s="907"/>
      <c r="P114" s="907"/>
      <c r="Q114" s="907"/>
      <c r="R114" s="907"/>
      <c r="S114" s="907"/>
      <c r="T114" s="907"/>
      <c r="U114" s="907"/>
      <c r="V114" s="907"/>
      <c r="W114" s="907"/>
      <c r="X114" s="907"/>
      <c r="Y114" s="907"/>
      <c r="Z114" s="907"/>
      <c r="AA114" s="907"/>
      <c r="AB114" s="907"/>
      <c r="AC114" s="907"/>
      <c r="AD114" s="907"/>
      <c r="AE114" s="907"/>
      <c r="AF114" s="907"/>
      <c r="AG114" s="907"/>
      <c r="AH114" s="907"/>
      <c r="AI114" s="907"/>
      <c r="AJ114" s="907"/>
      <c r="AK114" s="907"/>
      <c r="AL114" s="907"/>
      <c r="AM114" s="907"/>
    </row>
    <row r="115" spans="1:39">
      <c r="A115" s="907"/>
      <c r="B115" s="907"/>
      <c r="C115" s="907"/>
      <c r="D115" s="907"/>
      <c r="E115" s="907"/>
      <c r="F115" s="907"/>
      <c r="G115" s="907"/>
      <c r="H115" s="907"/>
      <c r="I115" s="907"/>
      <c r="J115" s="907"/>
      <c r="K115" s="907"/>
      <c r="L115" s="907"/>
      <c r="M115" s="907"/>
      <c r="N115" s="907"/>
      <c r="O115" s="907"/>
      <c r="P115" s="907"/>
      <c r="Q115" s="907"/>
      <c r="R115" s="907"/>
      <c r="S115" s="907"/>
      <c r="T115" s="907"/>
      <c r="U115" s="907"/>
      <c r="V115" s="907"/>
      <c r="W115" s="907"/>
      <c r="X115" s="907"/>
      <c r="Y115" s="907"/>
      <c r="Z115" s="907"/>
      <c r="AA115" s="907"/>
      <c r="AB115" s="907"/>
      <c r="AC115" s="907"/>
      <c r="AD115" s="907"/>
      <c r="AE115" s="907"/>
      <c r="AF115" s="907"/>
      <c r="AG115" s="907"/>
      <c r="AH115" s="907"/>
      <c r="AI115" s="907"/>
      <c r="AJ115" s="907"/>
      <c r="AK115" s="907"/>
      <c r="AL115" s="907"/>
      <c r="AM115" s="907"/>
    </row>
    <row r="116" spans="1:39">
      <c r="A116" s="907"/>
      <c r="B116" s="907"/>
      <c r="C116" s="907"/>
      <c r="D116" s="907"/>
      <c r="E116" s="907"/>
      <c r="F116" s="907"/>
      <c r="G116" s="907"/>
      <c r="H116" s="907"/>
      <c r="I116" s="907"/>
      <c r="J116" s="907"/>
      <c r="K116" s="907"/>
      <c r="L116" s="907"/>
      <c r="M116" s="907"/>
      <c r="N116" s="907"/>
      <c r="O116" s="907"/>
      <c r="P116" s="907"/>
      <c r="Q116" s="907"/>
      <c r="R116" s="907"/>
      <c r="S116" s="907"/>
      <c r="T116" s="907"/>
      <c r="U116" s="907"/>
      <c r="V116" s="907"/>
      <c r="W116" s="907"/>
      <c r="X116" s="907"/>
      <c r="Y116" s="907"/>
      <c r="Z116" s="907"/>
      <c r="AA116" s="907"/>
      <c r="AB116" s="907"/>
      <c r="AC116" s="907"/>
      <c r="AD116" s="907"/>
      <c r="AE116" s="907"/>
      <c r="AF116" s="907"/>
      <c r="AG116" s="907"/>
      <c r="AH116" s="907"/>
      <c r="AI116" s="907"/>
      <c r="AJ116" s="907"/>
      <c r="AK116" s="907"/>
      <c r="AL116" s="907"/>
      <c r="AM116" s="907"/>
    </row>
    <row r="117" spans="1:39">
      <c r="A117" s="907"/>
      <c r="B117" s="907"/>
      <c r="C117" s="907"/>
      <c r="D117" s="907"/>
      <c r="E117" s="907"/>
      <c r="F117" s="907"/>
      <c r="G117" s="907"/>
      <c r="H117" s="907"/>
      <c r="I117" s="907"/>
      <c r="J117" s="907"/>
      <c r="K117" s="907"/>
      <c r="L117" s="907"/>
      <c r="M117" s="907"/>
      <c r="N117" s="907"/>
      <c r="O117" s="907"/>
      <c r="P117" s="907"/>
      <c r="Q117" s="907"/>
      <c r="R117" s="907"/>
      <c r="S117" s="907"/>
      <c r="T117" s="907"/>
      <c r="U117" s="907"/>
      <c r="V117" s="907"/>
      <c r="W117" s="907"/>
      <c r="X117" s="907"/>
      <c r="Y117" s="907"/>
      <c r="Z117" s="907"/>
      <c r="AA117" s="907"/>
      <c r="AB117" s="907"/>
      <c r="AC117" s="907"/>
      <c r="AD117" s="907"/>
      <c r="AE117" s="907"/>
      <c r="AF117" s="907"/>
      <c r="AG117" s="907"/>
      <c r="AH117" s="907"/>
      <c r="AI117" s="907"/>
      <c r="AJ117" s="907"/>
      <c r="AK117" s="907"/>
      <c r="AL117" s="907"/>
      <c r="AM117" s="907"/>
    </row>
    <row r="118" spans="1:39">
      <c r="A118" s="907"/>
      <c r="B118" s="907"/>
      <c r="C118" s="907"/>
      <c r="D118" s="907"/>
      <c r="E118" s="907"/>
      <c r="F118" s="907"/>
      <c r="G118" s="907"/>
      <c r="H118" s="907"/>
      <c r="I118" s="907"/>
      <c r="J118" s="907"/>
      <c r="K118" s="907"/>
      <c r="L118" s="907"/>
      <c r="M118" s="907"/>
      <c r="N118" s="907"/>
      <c r="O118" s="907"/>
      <c r="P118" s="907"/>
      <c r="Q118" s="907"/>
      <c r="R118" s="907"/>
      <c r="S118" s="907"/>
      <c r="T118" s="907"/>
      <c r="U118" s="907"/>
      <c r="V118" s="907"/>
      <c r="W118" s="907"/>
      <c r="X118" s="907"/>
      <c r="Y118" s="907"/>
      <c r="Z118" s="907"/>
      <c r="AA118" s="907"/>
      <c r="AB118" s="907"/>
      <c r="AC118" s="907"/>
      <c r="AD118" s="907"/>
      <c r="AE118" s="907"/>
      <c r="AF118" s="907"/>
      <c r="AG118" s="907"/>
      <c r="AH118" s="907"/>
      <c r="AI118" s="907"/>
      <c r="AJ118" s="907"/>
      <c r="AK118" s="907"/>
      <c r="AL118" s="907"/>
      <c r="AM118" s="907"/>
    </row>
    <row r="119" spans="1:39">
      <c r="A119" s="907"/>
      <c r="B119" s="907"/>
      <c r="C119" s="907"/>
      <c r="D119" s="907"/>
      <c r="E119" s="907"/>
      <c r="F119" s="907"/>
      <c r="G119" s="907"/>
      <c r="H119" s="907"/>
      <c r="I119" s="907"/>
      <c r="J119" s="907"/>
      <c r="K119" s="907"/>
      <c r="L119" s="907"/>
      <c r="M119" s="907"/>
      <c r="N119" s="907"/>
      <c r="O119" s="907"/>
      <c r="P119" s="907"/>
      <c r="Q119" s="907"/>
      <c r="R119" s="907"/>
      <c r="S119" s="907"/>
      <c r="T119" s="907"/>
      <c r="U119" s="907"/>
      <c r="V119" s="907"/>
      <c r="W119" s="907"/>
      <c r="X119" s="907"/>
      <c r="Y119" s="907"/>
      <c r="Z119" s="907"/>
      <c r="AA119" s="907"/>
      <c r="AB119" s="907"/>
      <c r="AC119" s="907"/>
      <c r="AD119" s="907"/>
      <c r="AE119" s="907"/>
      <c r="AF119" s="907"/>
      <c r="AG119" s="907"/>
      <c r="AH119" s="907"/>
      <c r="AI119" s="907"/>
      <c r="AJ119" s="907"/>
      <c r="AK119" s="907"/>
      <c r="AL119" s="907"/>
      <c r="AM119" s="907"/>
    </row>
    <row r="120" spans="1:39">
      <c r="A120" s="907"/>
      <c r="B120" s="907"/>
      <c r="C120" s="907"/>
      <c r="D120" s="907"/>
      <c r="E120" s="907"/>
      <c r="F120" s="907"/>
      <c r="G120" s="907"/>
      <c r="H120" s="907"/>
      <c r="I120" s="907"/>
      <c r="J120" s="907"/>
      <c r="K120" s="907"/>
      <c r="L120" s="907"/>
      <c r="M120" s="907"/>
      <c r="N120" s="907"/>
      <c r="O120" s="907"/>
      <c r="P120" s="907"/>
      <c r="Q120" s="907"/>
      <c r="R120" s="907"/>
      <c r="S120" s="907"/>
      <c r="T120" s="907"/>
      <c r="U120" s="907"/>
      <c r="V120" s="907"/>
      <c r="W120" s="907"/>
      <c r="X120" s="907"/>
      <c r="Y120" s="907"/>
      <c r="Z120" s="907"/>
      <c r="AA120" s="907"/>
      <c r="AB120" s="907"/>
      <c r="AC120" s="907"/>
      <c r="AD120" s="907"/>
      <c r="AE120" s="907"/>
      <c r="AF120" s="907"/>
      <c r="AG120" s="907"/>
      <c r="AH120" s="907"/>
      <c r="AI120" s="907"/>
      <c r="AJ120" s="907"/>
      <c r="AK120" s="907"/>
      <c r="AL120" s="907"/>
      <c r="AM120" s="907"/>
    </row>
    <row r="121" spans="1:39">
      <c r="A121" s="907"/>
      <c r="B121" s="907"/>
      <c r="C121" s="907"/>
      <c r="D121" s="907"/>
      <c r="E121" s="907"/>
      <c r="F121" s="907"/>
      <c r="G121" s="907"/>
      <c r="H121" s="907"/>
      <c r="I121" s="907"/>
      <c r="J121" s="907"/>
      <c r="K121" s="907"/>
      <c r="L121" s="907"/>
      <c r="M121" s="907"/>
      <c r="N121" s="907"/>
      <c r="O121" s="907"/>
      <c r="P121" s="907"/>
      <c r="Q121" s="907"/>
      <c r="R121" s="907"/>
      <c r="S121" s="907"/>
      <c r="T121" s="907"/>
      <c r="U121" s="907"/>
      <c r="V121" s="907"/>
      <c r="W121" s="907"/>
      <c r="X121" s="907"/>
      <c r="Y121" s="907"/>
      <c r="Z121" s="907"/>
      <c r="AA121" s="907"/>
      <c r="AB121" s="907"/>
      <c r="AC121" s="907"/>
      <c r="AD121" s="907"/>
      <c r="AE121" s="907"/>
      <c r="AF121" s="907"/>
      <c r="AG121" s="907"/>
      <c r="AH121" s="907"/>
      <c r="AI121" s="907"/>
      <c r="AJ121" s="907"/>
      <c r="AK121" s="907"/>
      <c r="AL121" s="907"/>
      <c r="AM121" s="907"/>
    </row>
    <row r="122" spans="1:39">
      <c r="A122" s="907"/>
      <c r="B122" s="907"/>
      <c r="C122" s="907"/>
      <c r="D122" s="907"/>
      <c r="E122" s="907"/>
      <c r="F122" s="907"/>
      <c r="G122" s="907"/>
      <c r="H122" s="907"/>
      <c r="I122" s="907"/>
      <c r="J122" s="907"/>
      <c r="K122" s="907"/>
      <c r="L122" s="907"/>
      <c r="M122" s="907"/>
      <c r="N122" s="907"/>
      <c r="O122" s="907"/>
      <c r="P122" s="907"/>
      <c r="Q122" s="907"/>
      <c r="R122" s="907"/>
      <c r="S122" s="907"/>
      <c r="T122" s="907"/>
      <c r="U122" s="907"/>
      <c r="V122" s="907"/>
      <c r="W122" s="907"/>
      <c r="X122" s="907"/>
      <c r="Y122" s="907"/>
      <c r="Z122" s="907"/>
      <c r="AA122" s="907"/>
      <c r="AB122" s="907"/>
      <c r="AC122" s="907"/>
      <c r="AD122" s="907"/>
      <c r="AE122" s="907"/>
      <c r="AF122" s="907"/>
      <c r="AG122" s="907"/>
      <c r="AH122" s="907"/>
      <c r="AI122" s="907"/>
      <c r="AJ122" s="907"/>
      <c r="AK122" s="907"/>
      <c r="AL122" s="907"/>
      <c r="AM122" s="907"/>
    </row>
    <row r="123" spans="1:39">
      <c r="A123" s="907"/>
      <c r="B123" s="907"/>
      <c r="C123" s="907"/>
      <c r="D123" s="907"/>
      <c r="E123" s="907"/>
      <c r="F123" s="907"/>
      <c r="G123" s="907"/>
      <c r="H123" s="907"/>
      <c r="I123" s="907"/>
      <c r="J123" s="907"/>
      <c r="K123" s="907"/>
      <c r="L123" s="907"/>
      <c r="M123" s="907"/>
      <c r="N123" s="907"/>
      <c r="O123" s="907"/>
      <c r="P123" s="907"/>
      <c r="Q123" s="907"/>
      <c r="R123" s="907"/>
      <c r="S123" s="907"/>
      <c r="T123" s="907"/>
      <c r="U123" s="907"/>
      <c r="V123" s="907"/>
      <c r="W123" s="907"/>
      <c r="X123" s="907"/>
      <c r="Y123" s="907"/>
      <c r="Z123" s="907"/>
      <c r="AA123" s="907"/>
      <c r="AB123" s="907"/>
      <c r="AC123" s="907"/>
      <c r="AD123" s="907"/>
      <c r="AE123" s="907"/>
      <c r="AF123" s="907"/>
      <c r="AG123" s="907"/>
      <c r="AH123" s="907"/>
      <c r="AI123" s="907"/>
      <c r="AJ123" s="907"/>
      <c r="AK123" s="907"/>
      <c r="AL123" s="907"/>
      <c r="AM123" s="907"/>
    </row>
    <row r="124" spans="1:39">
      <c r="A124" s="907"/>
      <c r="B124" s="907"/>
      <c r="C124" s="907"/>
      <c r="D124" s="907"/>
      <c r="E124" s="907"/>
      <c r="F124" s="907"/>
      <c r="G124" s="907"/>
      <c r="H124" s="907"/>
      <c r="I124" s="907"/>
      <c r="J124" s="907"/>
      <c r="K124" s="907"/>
      <c r="L124" s="907"/>
      <c r="M124" s="907"/>
      <c r="N124" s="907"/>
      <c r="O124" s="907"/>
      <c r="P124" s="907"/>
      <c r="Q124" s="907"/>
      <c r="R124" s="907"/>
      <c r="S124" s="907"/>
      <c r="T124" s="907"/>
      <c r="U124" s="907"/>
      <c r="V124" s="907"/>
      <c r="W124" s="907"/>
      <c r="X124" s="907"/>
      <c r="Y124" s="907"/>
      <c r="Z124" s="907"/>
      <c r="AA124" s="907"/>
      <c r="AB124" s="907"/>
      <c r="AC124" s="907"/>
      <c r="AD124" s="907"/>
      <c r="AE124" s="907"/>
      <c r="AF124" s="907"/>
      <c r="AG124" s="907"/>
      <c r="AH124" s="907"/>
      <c r="AI124" s="907"/>
      <c r="AJ124" s="907"/>
      <c r="AK124" s="907"/>
      <c r="AL124" s="907"/>
      <c r="AM124" s="907"/>
    </row>
    <row r="125" spans="1:39">
      <c r="A125" s="907"/>
      <c r="B125" s="907"/>
      <c r="C125" s="907"/>
      <c r="D125" s="907"/>
      <c r="E125" s="907"/>
      <c r="F125" s="907"/>
      <c r="G125" s="907"/>
      <c r="H125" s="907"/>
      <c r="I125" s="907"/>
      <c r="J125" s="907"/>
      <c r="K125" s="907"/>
      <c r="L125" s="907"/>
      <c r="M125" s="907"/>
      <c r="N125" s="907"/>
      <c r="O125" s="907"/>
      <c r="P125" s="907"/>
      <c r="Q125" s="907"/>
      <c r="R125" s="907"/>
      <c r="S125" s="907"/>
      <c r="T125" s="907"/>
      <c r="U125" s="907"/>
      <c r="V125" s="907"/>
      <c r="W125" s="907"/>
      <c r="X125" s="907"/>
      <c r="Y125" s="907"/>
      <c r="Z125" s="907"/>
      <c r="AA125" s="907"/>
      <c r="AB125" s="907"/>
      <c r="AC125" s="907"/>
      <c r="AD125" s="907"/>
      <c r="AE125" s="907"/>
      <c r="AF125" s="907"/>
      <c r="AG125" s="907"/>
      <c r="AH125" s="907"/>
      <c r="AI125" s="907"/>
      <c r="AJ125" s="907"/>
      <c r="AK125" s="907"/>
      <c r="AL125" s="907"/>
      <c r="AM125" s="907"/>
    </row>
    <row r="126" spans="1:39">
      <c r="A126" s="907"/>
      <c r="B126" s="907"/>
      <c r="C126" s="907"/>
      <c r="D126" s="907"/>
      <c r="E126" s="907"/>
      <c r="F126" s="907"/>
      <c r="G126" s="907"/>
      <c r="H126" s="907"/>
      <c r="I126" s="907"/>
      <c r="J126" s="907"/>
      <c r="K126" s="907"/>
      <c r="L126" s="907"/>
      <c r="M126" s="907"/>
      <c r="N126" s="907"/>
      <c r="O126" s="907"/>
      <c r="P126" s="907"/>
      <c r="Q126" s="907"/>
      <c r="R126" s="907"/>
      <c r="S126" s="907"/>
      <c r="T126" s="907"/>
      <c r="U126" s="907"/>
      <c r="V126" s="907"/>
      <c r="W126" s="907"/>
      <c r="X126" s="907"/>
      <c r="Y126" s="907"/>
      <c r="Z126" s="907"/>
      <c r="AA126" s="907"/>
      <c r="AB126" s="907"/>
      <c r="AC126" s="907"/>
      <c r="AD126" s="907"/>
      <c r="AE126" s="907"/>
      <c r="AF126" s="907"/>
      <c r="AG126" s="907"/>
      <c r="AH126" s="907"/>
      <c r="AI126" s="907"/>
      <c r="AJ126" s="907"/>
      <c r="AK126" s="907"/>
      <c r="AL126" s="907"/>
      <c r="AM126" s="907"/>
    </row>
    <row r="127" spans="1:39">
      <c r="A127" s="907"/>
      <c r="B127" s="907"/>
      <c r="C127" s="907"/>
      <c r="D127" s="907"/>
      <c r="E127" s="907"/>
      <c r="F127" s="907"/>
      <c r="G127" s="907"/>
      <c r="H127" s="907"/>
      <c r="I127" s="907"/>
      <c r="J127" s="907"/>
      <c r="K127" s="907"/>
      <c r="L127" s="907"/>
      <c r="M127" s="907"/>
      <c r="N127" s="907"/>
      <c r="O127" s="907"/>
      <c r="P127" s="907"/>
      <c r="Q127" s="907"/>
      <c r="R127" s="907"/>
      <c r="S127" s="907"/>
      <c r="T127" s="907"/>
      <c r="U127" s="907"/>
      <c r="V127" s="907"/>
      <c r="W127" s="907"/>
      <c r="X127" s="907"/>
      <c r="Y127" s="907"/>
      <c r="Z127" s="907"/>
      <c r="AA127" s="907"/>
      <c r="AB127" s="907"/>
      <c r="AC127" s="907"/>
      <c r="AD127" s="907"/>
      <c r="AE127" s="907"/>
      <c r="AF127" s="907"/>
      <c r="AG127" s="907"/>
      <c r="AH127" s="907"/>
      <c r="AI127" s="907"/>
      <c r="AJ127" s="907"/>
      <c r="AK127" s="907"/>
      <c r="AL127" s="907"/>
      <c r="AM127" s="907"/>
    </row>
    <row r="128" spans="1:39">
      <c r="A128" s="907"/>
      <c r="B128" s="907"/>
      <c r="C128" s="907"/>
      <c r="D128" s="907"/>
      <c r="E128" s="907"/>
      <c r="F128" s="907"/>
      <c r="G128" s="907"/>
      <c r="H128" s="907"/>
      <c r="I128" s="907"/>
      <c r="J128" s="907"/>
      <c r="K128" s="907"/>
      <c r="L128" s="907"/>
      <c r="M128" s="907"/>
      <c r="N128" s="907"/>
      <c r="O128" s="907"/>
      <c r="P128" s="907"/>
      <c r="Q128" s="907"/>
      <c r="R128" s="907"/>
      <c r="S128" s="907"/>
      <c r="T128" s="907"/>
      <c r="U128" s="907"/>
      <c r="V128" s="907"/>
      <c r="W128" s="907"/>
      <c r="X128" s="907"/>
      <c r="Y128" s="907"/>
      <c r="Z128" s="907"/>
      <c r="AA128" s="907"/>
      <c r="AB128" s="907"/>
      <c r="AC128" s="907"/>
      <c r="AD128" s="907"/>
      <c r="AE128" s="907"/>
      <c r="AF128" s="907"/>
      <c r="AG128" s="907"/>
      <c r="AH128" s="907"/>
      <c r="AI128" s="907"/>
      <c r="AJ128" s="907"/>
      <c r="AK128" s="907"/>
      <c r="AL128" s="907"/>
      <c r="AM128" s="907"/>
    </row>
    <row r="129" spans="1:39">
      <c r="A129" s="907"/>
      <c r="B129" s="907"/>
      <c r="C129" s="907"/>
      <c r="D129" s="907"/>
      <c r="E129" s="907"/>
      <c r="F129" s="907"/>
      <c r="G129" s="907"/>
      <c r="H129" s="907"/>
      <c r="I129" s="907"/>
      <c r="J129" s="907"/>
      <c r="K129" s="907"/>
      <c r="L129" s="907"/>
      <c r="M129" s="907"/>
      <c r="N129" s="907"/>
      <c r="O129" s="907"/>
      <c r="P129" s="907"/>
      <c r="Q129" s="907"/>
      <c r="R129" s="907"/>
      <c r="S129" s="907"/>
      <c r="T129" s="907"/>
      <c r="U129" s="907"/>
      <c r="V129" s="907"/>
      <c r="W129" s="907"/>
      <c r="X129" s="907"/>
      <c r="Y129" s="907"/>
      <c r="Z129" s="907"/>
      <c r="AA129" s="907"/>
      <c r="AB129" s="907"/>
      <c r="AC129" s="907"/>
      <c r="AD129" s="907"/>
      <c r="AE129" s="907"/>
      <c r="AF129" s="907"/>
      <c r="AG129" s="907"/>
      <c r="AH129" s="907"/>
      <c r="AI129" s="907"/>
      <c r="AJ129" s="907"/>
      <c r="AK129" s="907"/>
      <c r="AL129" s="907"/>
      <c r="AM129" s="907"/>
    </row>
    <row r="130" spans="1:39">
      <c r="A130" s="907"/>
      <c r="B130" s="907"/>
      <c r="C130" s="907"/>
      <c r="D130" s="907"/>
      <c r="E130" s="907"/>
      <c r="F130" s="907"/>
      <c r="G130" s="907"/>
      <c r="H130" s="907"/>
      <c r="I130" s="907"/>
      <c r="J130" s="907"/>
      <c r="K130" s="907"/>
      <c r="L130" s="907"/>
      <c r="M130" s="907"/>
      <c r="N130" s="907"/>
      <c r="O130" s="907"/>
      <c r="P130" s="907"/>
      <c r="Q130" s="907"/>
      <c r="R130" s="907"/>
      <c r="S130" s="907"/>
      <c r="T130" s="907"/>
      <c r="U130" s="907"/>
      <c r="V130" s="907"/>
      <c r="W130" s="907"/>
      <c r="X130" s="907"/>
      <c r="Y130" s="907"/>
      <c r="Z130" s="907"/>
      <c r="AA130" s="907"/>
      <c r="AB130" s="907"/>
      <c r="AC130" s="907"/>
      <c r="AD130" s="907"/>
      <c r="AE130" s="907"/>
      <c r="AF130" s="907"/>
      <c r="AG130" s="907"/>
      <c r="AH130" s="907"/>
      <c r="AI130" s="907"/>
      <c r="AJ130" s="907"/>
      <c r="AK130" s="907"/>
      <c r="AL130" s="907"/>
      <c r="AM130" s="907"/>
    </row>
    <row r="131" spans="1:39">
      <c r="A131" s="907"/>
      <c r="B131" s="907"/>
      <c r="C131" s="907"/>
      <c r="D131" s="907"/>
      <c r="E131" s="907"/>
      <c r="F131" s="907"/>
      <c r="G131" s="907"/>
      <c r="H131" s="907"/>
      <c r="I131" s="907"/>
      <c r="J131" s="907"/>
      <c r="K131" s="907"/>
      <c r="L131" s="907"/>
      <c r="M131" s="907"/>
      <c r="N131" s="907"/>
      <c r="O131" s="907"/>
      <c r="P131" s="907"/>
      <c r="Q131" s="907"/>
      <c r="R131" s="907"/>
      <c r="S131" s="907"/>
      <c r="T131" s="907"/>
      <c r="U131" s="907"/>
      <c r="V131" s="907"/>
      <c r="W131" s="907"/>
      <c r="X131" s="907"/>
      <c r="Y131" s="907"/>
      <c r="Z131" s="907"/>
      <c r="AA131" s="907"/>
      <c r="AB131" s="907"/>
      <c r="AC131" s="907"/>
      <c r="AD131" s="907"/>
      <c r="AE131" s="907"/>
      <c r="AF131" s="907"/>
      <c r="AG131" s="907"/>
      <c r="AH131" s="907"/>
      <c r="AI131" s="907"/>
      <c r="AJ131" s="907"/>
      <c r="AK131" s="907"/>
      <c r="AL131" s="907"/>
      <c r="AM131" s="907"/>
    </row>
    <row r="132" spans="1:39">
      <c r="A132" s="907"/>
      <c r="B132" s="907"/>
      <c r="C132" s="907"/>
      <c r="D132" s="907"/>
      <c r="E132" s="907"/>
      <c r="F132" s="907"/>
      <c r="G132" s="907"/>
      <c r="H132" s="907"/>
      <c r="I132" s="907"/>
      <c r="J132" s="907"/>
      <c r="K132" s="907"/>
      <c r="L132" s="907"/>
      <c r="M132" s="907"/>
      <c r="N132" s="907"/>
      <c r="O132" s="907"/>
      <c r="P132" s="907"/>
      <c r="Q132" s="907"/>
      <c r="R132" s="907"/>
      <c r="S132" s="907"/>
      <c r="T132" s="907"/>
      <c r="U132" s="907"/>
      <c r="V132" s="907"/>
      <c r="W132" s="907"/>
      <c r="X132" s="907"/>
      <c r="Y132" s="907"/>
      <c r="Z132" s="907"/>
      <c r="AA132" s="907"/>
      <c r="AB132" s="907"/>
      <c r="AC132" s="907"/>
      <c r="AD132" s="907"/>
      <c r="AE132" s="907"/>
      <c r="AF132" s="907"/>
      <c r="AG132" s="907"/>
      <c r="AH132" s="907"/>
      <c r="AI132" s="907"/>
      <c r="AJ132" s="907"/>
      <c r="AK132" s="907"/>
      <c r="AL132" s="907"/>
      <c r="AM132" s="907"/>
    </row>
    <row r="133" spans="1:39">
      <c r="A133" s="907"/>
      <c r="B133" s="907"/>
      <c r="C133" s="907"/>
      <c r="D133" s="907"/>
      <c r="E133" s="907"/>
      <c r="F133" s="907"/>
      <c r="G133" s="907"/>
      <c r="H133" s="907"/>
      <c r="I133" s="907"/>
      <c r="J133" s="907"/>
      <c r="K133" s="907"/>
      <c r="L133" s="907"/>
      <c r="M133" s="907"/>
      <c r="N133" s="907"/>
      <c r="O133" s="907"/>
      <c r="P133" s="907"/>
      <c r="Q133" s="907"/>
      <c r="R133" s="907"/>
      <c r="S133" s="907"/>
      <c r="T133" s="907"/>
      <c r="U133" s="907"/>
      <c r="V133" s="907"/>
      <c r="W133" s="907"/>
      <c r="X133" s="907"/>
      <c r="Y133" s="907"/>
      <c r="Z133" s="907"/>
      <c r="AA133" s="907"/>
      <c r="AB133" s="907"/>
      <c r="AC133" s="907"/>
      <c r="AD133" s="907"/>
      <c r="AE133" s="907"/>
      <c r="AF133" s="907"/>
      <c r="AG133" s="907"/>
      <c r="AH133" s="907"/>
      <c r="AI133" s="907"/>
      <c r="AJ133" s="907"/>
      <c r="AK133" s="907"/>
      <c r="AL133" s="907"/>
      <c r="AM133" s="907"/>
    </row>
    <row r="134" spans="1:39">
      <c r="A134" s="907"/>
      <c r="B134" s="907"/>
      <c r="C134" s="907"/>
      <c r="D134" s="907"/>
      <c r="E134" s="907"/>
      <c r="F134" s="907"/>
      <c r="G134" s="907"/>
      <c r="H134" s="907"/>
      <c r="I134" s="907"/>
      <c r="J134" s="907"/>
      <c r="K134" s="907"/>
      <c r="L134" s="907"/>
      <c r="M134" s="907"/>
      <c r="N134" s="907"/>
      <c r="O134" s="907"/>
      <c r="P134" s="907"/>
      <c r="Q134" s="907"/>
      <c r="R134" s="907"/>
      <c r="S134" s="907"/>
      <c r="T134" s="907"/>
      <c r="U134" s="907"/>
      <c r="V134" s="907"/>
      <c r="W134" s="907"/>
      <c r="X134" s="907"/>
      <c r="Y134" s="907"/>
      <c r="Z134" s="907"/>
      <c r="AA134" s="907"/>
      <c r="AB134" s="907"/>
      <c r="AC134" s="907"/>
      <c r="AD134" s="907"/>
      <c r="AE134" s="907"/>
      <c r="AF134" s="907"/>
      <c r="AG134" s="907"/>
      <c r="AH134" s="907"/>
      <c r="AI134" s="907"/>
      <c r="AJ134" s="907"/>
      <c r="AK134" s="907"/>
      <c r="AL134" s="907"/>
      <c r="AM134" s="907"/>
    </row>
    <row r="135" spans="1:39">
      <c r="A135" s="907"/>
      <c r="B135" s="907"/>
      <c r="C135" s="907"/>
      <c r="D135" s="907"/>
      <c r="E135" s="907"/>
      <c r="F135" s="907"/>
      <c r="G135" s="907"/>
      <c r="H135" s="907"/>
      <c r="I135" s="907"/>
      <c r="J135" s="907"/>
      <c r="K135" s="907"/>
      <c r="L135" s="907"/>
      <c r="M135" s="907"/>
      <c r="N135" s="907"/>
      <c r="O135" s="907"/>
      <c r="P135" s="907"/>
      <c r="Q135" s="907"/>
      <c r="R135" s="907"/>
      <c r="S135" s="907"/>
      <c r="T135" s="907"/>
      <c r="U135" s="907"/>
      <c r="V135" s="907"/>
      <c r="W135" s="907"/>
      <c r="X135" s="907"/>
      <c r="Y135" s="907"/>
      <c r="Z135" s="907"/>
      <c r="AA135" s="907"/>
      <c r="AB135" s="907"/>
      <c r="AC135" s="907"/>
      <c r="AD135" s="907"/>
      <c r="AE135" s="907"/>
      <c r="AF135" s="907"/>
      <c r="AG135" s="907"/>
      <c r="AH135" s="907"/>
      <c r="AI135" s="907"/>
      <c r="AJ135" s="907"/>
      <c r="AK135" s="907"/>
      <c r="AL135" s="907"/>
      <c r="AM135" s="907"/>
    </row>
    <row r="136" spans="1:39">
      <c r="A136" s="907"/>
      <c r="B136" s="907"/>
      <c r="C136" s="907"/>
      <c r="D136" s="907"/>
      <c r="E136" s="907"/>
      <c r="F136" s="907"/>
      <c r="G136" s="907"/>
      <c r="H136" s="907"/>
      <c r="I136" s="907"/>
      <c r="J136" s="907"/>
      <c r="K136" s="907"/>
      <c r="L136" s="907"/>
      <c r="M136" s="907"/>
      <c r="N136" s="907"/>
      <c r="O136" s="907"/>
      <c r="P136" s="907"/>
      <c r="Q136" s="907"/>
      <c r="R136" s="907"/>
      <c r="S136" s="907"/>
      <c r="T136" s="907"/>
      <c r="U136" s="907"/>
      <c r="V136" s="907"/>
      <c r="W136" s="907"/>
      <c r="X136" s="907"/>
      <c r="Y136" s="907"/>
      <c r="Z136" s="907"/>
      <c r="AA136" s="907"/>
      <c r="AB136" s="907"/>
      <c r="AC136" s="907"/>
      <c r="AD136" s="907"/>
      <c r="AE136" s="907"/>
      <c r="AF136" s="907"/>
      <c r="AG136" s="907"/>
      <c r="AH136" s="907"/>
      <c r="AI136" s="907"/>
      <c r="AJ136" s="907"/>
      <c r="AK136" s="907"/>
      <c r="AL136" s="907"/>
      <c r="AM136" s="907"/>
    </row>
    <row r="137" spans="1:39">
      <c r="A137" s="907"/>
      <c r="B137" s="907"/>
      <c r="C137" s="907"/>
      <c r="D137" s="907"/>
      <c r="E137" s="907"/>
      <c r="F137" s="907"/>
      <c r="G137" s="907"/>
      <c r="H137" s="907"/>
      <c r="I137" s="907"/>
      <c r="J137" s="907"/>
      <c r="K137" s="907"/>
      <c r="L137" s="907"/>
      <c r="M137" s="907"/>
      <c r="N137" s="907"/>
      <c r="O137" s="907"/>
      <c r="P137" s="907"/>
      <c r="Q137" s="907"/>
      <c r="R137" s="907"/>
      <c r="S137" s="907"/>
      <c r="T137" s="907"/>
      <c r="U137" s="907"/>
      <c r="V137" s="907"/>
      <c r="W137" s="907"/>
      <c r="X137" s="907"/>
      <c r="Y137" s="907"/>
      <c r="Z137" s="907"/>
      <c r="AA137" s="907"/>
      <c r="AB137" s="907"/>
      <c r="AC137" s="907"/>
      <c r="AD137" s="907"/>
      <c r="AE137" s="907"/>
      <c r="AF137" s="907"/>
      <c r="AG137" s="907"/>
      <c r="AH137" s="907"/>
      <c r="AI137" s="907"/>
      <c r="AJ137" s="907"/>
      <c r="AK137" s="907"/>
      <c r="AL137" s="907"/>
      <c r="AM137" s="907"/>
    </row>
    <row r="138" spans="1:39">
      <c r="A138" s="907"/>
      <c r="B138" s="907"/>
      <c r="C138" s="907"/>
      <c r="D138" s="907"/>
      <c r="E138" s="907"/>
      <c r="F138" s="907"/>
      <c r="G138" s="907"/>
      <c r="H138" s="907"/>
      <c r="I138" s="907"/>
      <c r="J138" s="907"/>
      <c r="K138" s="907"/>
      <c r="L138" s="907"/>
      <c r="M138" s="907"/>
      <c r="N138" s="907"/>
      <c r="O138" s="907"/>
      <c r="P138" s="907"/>
      <c r="Q138" s="907"/>
      <c r="R138" s="907"/>
      <c r="S138" s="907"/>
      <c r="T138" s="907"/>
      <c r="U138" s="907"/>
      <c r="V138" s="907"/>
      <c r="W138" s="907"/>
      <c r="X138" s="907"/>
      <c r="Y138" s="907"/>
      <c r="Z138" s="907"/>
      <c r="AA138" s="907"/>
      <c r="AB138" s="907"/>
      <c r="AC138" s="907"/>
      <c r="AD138" s="907"/>
      <c r="AE138" s="907"/>
      <c r="AF138" s="907"/>
      <c r="AG138" s="907"/>
      <c r="AH138" s="907"/>
      <c r="AI138" s="907"/>
      <c r="AJ138" s="907"/>
      <c r="AK138" s="907"/>
      <c r="AL138" s="907"/>
      <c r="AM138" s="907"/>
    </row>
    <row r="139" spans="1:39">
      <c r="A139" s="907"/>
      <c r="B139" s="907"/>
      <c r="C139" s="907"/>
      <c r="D139" s="907"/>
      <c r="E139" s="907"/>
      <c r="F139" s="907"/>
      <c r="G139" s="907"/>
      <c r="H139" s="907"/>
      <c r="I139" s="907"/>
      <c r="J139" s="907"/>
      <c r="K139" s="907"/>
      <c r="L139" s="907"/>
      <c r="M139" s="907"/>
      <c r="N139" s="907"/>
      <c r="O139" s="907"/>
      <c r="P139" s="907"/>
      <c r="Q139" s="907"/>
      <c r="R139" s="907"/>
      <c r="S139" s="907"/>
      <c r="T139" s="907"/>
      <c r="U139" s="907"/>
      <c r="V139" s="907"/>
      <c r="W139" s="907"/>
      <c r="X139" s="907"/>
      <c r="Y139" s="907"/>
      <c r="Z139" s="907"/>
      <c r="AA139" s="907"/>
      <c r="AB139" s="907"/>
      <c r="AC139" s="907"/>
      <c r="AD139" s="907"/>
      <c r="AE139" s="907"/>
      <c r="AF139" s="907"/>
      <c r="AG139" s="907"/>
      <c r="AH139" s="907"/>
      <c r="AI139" s="907"/>
      <c r="AJ139" s="907"/>
      <c r="AK139" s="907"/>
      <c r="AL139" s="907"/>
      <c r="AM139" s="907"/>
    </row>
    <row r="140" spans="1:39">
      <c r="A140" s="907"/>
      <c r="B140" s="907"/>
      <c r="C140" s="907"/>
      <c r="D140" s="907"/>
      <c r="E140" s="907"/>
      <c r="F140" s="907"/>
      <c r="G140" s="907"/>
      <c r="H140" s="907"/>
      <c r="I140" s="907"/>
      <c r="J140" s="907"/>
      <c r="K140" s="907"/>
      <c r="L140" s="907"/>
      <c r="M140" s="907"/>
      <c r="N140" s="907"/>
      <c r="O140" s="907"/>
      <c r="P140" s="907"/>
      <c r="Q140" s="907"/>
      <c r="R140" s="907"/>
      <c r="S140" s="907"/>
      <c r="T140" s="907"/>
      <c r="U140" s="907"/>
      <c r="V140" s="907"/>
      <c r="W140" s="907"/>
      <c r="X140" s="907"/>
      <c r="Y140" s="907"/>
      <c r="Z140" s="907"/>
      <c r="AA140" s="907"/>
      <c r="AB140" s="907"/>
      <c r="AC140" s="907"/>
      <c r="AD140" s="907"/>
      <c r="AE140" s="907"/>
      <c r="AF140" s="907"/>
      <c r="AG140" s="907"/>
      <c r="AH140" s="907"/>
      <c r="AI140" s="907"/>
      <c r="AJ140" s="907"/>
      <c r="AK140" s="907"/>
      <c r="AL140" s="907"/>
      <c r="AM140" s="907"/>
    </row>
    <row r="141" spans="1:39">
      <c r="A141" s="907"/>
      <c r="B141" s="907"/>
      <c r="C141" s="907"/>
      <c r="D141" s="907"/>
      <c r="E141" s="907"/>
      <c r="F141" s="907"/>
      <c r="G141" s="907"/>
      <c r="H141" s="907"/>
      <c r="I141" s="907"/>
      <c r="J141" s="907"/>
      <c r="K141" s="907"/>
      <c r="L141" s="907"/>
      <c r="M141" s="907"/>
      <c r="N141" s="907"/>
      <c r="O141" s="907"/>
      <c r="P141" s="907"/>
      <c r="Q141" s="907"/>
      <c r="R141" s="907"/>
      <c r="S141" s="907"/>
      <c r="T141" s="907"/>
      <c r="U141" s="907"/>
      <c r="V141" s="907"/>
      <c r="W141" s="907"/>
      <c r="X141" s="907"/>
      <c r="Y141" s="907"/>
      <c r="Z141" s="907"/>
      <c r="AA141" s="907"/>
      <c r="AB141" s="907"/>
      <c r="AC141" s="907"/>
      <c r="AD141" s="907"/>
      <c r="AE141" s="907"/>
      <c r="AF141" s="907"/>
      <c r="AG141" s="907"/>
      <c r="AH141" s="907"/>
      <c r="AI141" s="907"/>
      <c r="AJ141" s="907"/>
      <c r="AK141" s="907"/>
      <c r="AL141" s="907"/>
      <c r="AM141" s="907"/>
    </row>
    <row r="142" spans="1:39">
      <c r="A142" s="907"/>
      <c r="B142" s="907"/>
      <c r="C142" s="907"/>
      <c r="D142" s="907"/>
      <c r="E142" s="907"/>
      <c r="F142" s="907"/>
      <c r="G142" s="907"/>
      <c r="H142" s="907"/>
      <c r="I142" s="907"/>
      <c r="J142" s="907"/>
      <c r="K142" s="907"/>
      <c r="L142" s="907"/>
      <c r="M142" s="907"/>
      <c r="N142" s="907"/>
      <c r="O142" s="907"/>
      <c r="P142" s="907"/>
      <c r="Q142" s="907"/>
      <c r="R142" s="907"/>
      <c r="S142" s="907"/>
      <c r="T142" s="907"/>
      <c r="U142" s="907"/>
      <c r="V142" s="907"/>
      <c r="W142" s="907"/>
      <c r="X142" s="907"/>
      <c r="Y142" s="907"/>
      <c r="Z142" s="907"/>
      <c r="AA142" s="907"/>
      <c r="AB142" s="907"/>
      <c r="AC142" s="907"/>
      <c r="AD142" s="907"/>
      <c r="AE142" s="907"/>
      <c r="AF142" s="907"/>
      <c r="AG142" s="907"/>
      <c r="AH142" s="907"/>
      <c r="AI142" s="907"/>
      <c r="AJ142" s="907"/>
      <c r="AK142" s="907"/>
      <c r="AL142" s="907"/>
      <c r="AM142" s="907"/>
    </row>
    <row r="143" spans="1:39">
      <c r="A143" s="907"/>
      <c r="B143" s="907"/>
      <c r="C143" s="907"/>
      <c r="D143" s="907"/>
      <c r="E143" s="907"/>
      <c r="F143" s="907"/>
      <c r="G143" s="907"/>
      <c r="H143" s="907"/>
      <c r="I143" s="907"/>
      <c r="J143" s="907"/>
      <c r="K143" s="907"/>
      <c r="L143" s="907"/>
      <c r="M143" s="907"/>
      <c r="N143" s="907"/>
      <c r="O143" s="907"/>
      <c r="P143" s="907"/>
      <c r="Q143" s="907"/>
      <c r="R143" s="907"/>
      <c r="S143" s="907"/>
      <c r="T143" s="907"/>
      <c r="U143" s="907"/>
      <c r="V143" s="907"/>
      <c r="W143" s="907"/>
      <c r="X143" s="907"/>
      <c r="Y143" s="907"/>
      <c r="Z143" s="907"/>
      <c r="AA143" s="907"/>
      <c r="AB143" s="907"/>
      <c r="AC143" s="907"/>
      <c r="AD143" s="907"/>
      <c r="AE143" s="907"/>
      <c r="AF143" s="907"/>
      <c r="AG143" s="907"/>
      <c r="AH143" s="907"/>
      <c r="AI143" s="907"/>
      <c r="AJ143" s="907"/>
      <c r="AK143" s="907"/>
      <c r="AL143" s="907"/>
      <c r="AM143" s="907"/>
    </row>
    <row r="144" spans="1:39">
      <c r="A144" s="907"/>
      <c r="B144" s="907"/>
      <c r="C144" s="907"/>
      <c r="D144" s="907"/>
      <c r="E144" s="907"/>
      <c r="F144" s="907"/>
      <c r="G144" s="907"/>
      <c r="H144" s="907"/>
      <c r="I144" s="907"/>
      <c r="J144" s="907"/>
      <c r="K144" s="907"/>
      <c r="L144" s="907"/>
      <c r="M144" s="907"/>
      <c r="N144" s="907"/>
      <c r="O144" s="907"/>
      <c r="P144" s="907"/>
      <c r="Q144" s="907"/>
      <c r="R144" s="907"/>
      <c r="S144" s="907"/>
      <c r="T144" s="907"/>
      <c r="U144" s="907"/>
      <c r="V144" s="907"/>
      <c r="W144" s="907"/>
      <c r="X144" s="907"/>
      <c r="Y144" s="907"/>
      <c r="Z144" s="907"/>
      <c r="AA144" s="907"/>
      <c r="AB144" s="907"/>
      <c r="AC144" s="907"/>
      <c r="AD144" s="907"/>
      <c r="AE144" s="907"/>
      <c r="AF144" s="907"/>
      <c r="AG144" s="907"/>
      <c r="AH144" s="907"/>
      <c r="AI144" s="907"/>
      <c r="AJ144" s="907"/>
      <c r="AK144" s="907"/>
      <c r="AL144" s="907"/>
      <c r="AM144" s="907"/>
    </row>
    <row r="145" spans="1:39">
      <c r="A145" s="907"/>
      <c r="B145" s="907"/>
      <c r="C145" s="907"/>
      <c r="D145" s="907"/>
      <c r="E145" s="907"/>
      <c r="F145" s="907"/>
      <c r="G145" s="907"/>
      <c r="H145" s="907"/>
      <c r="I145" s="907"/>
      <c r="J145" s="907"/>
      <c r="K145" s="907"/>
      <c r="L145" s="907"/>
      <c r="M145" s="907"/>
      <c r="N145" s="907"/>
      <c r="O145" s="907"/>
      <c r="P145" s="907"/>
      <c r="Q145" s="907"/>
      <c r="R145" s="907"/>
      <c r="S145" s="907"/>
      <c r="T145" s="907"/>
      <c r="U145" s="907"/>
      <c r="V145" s="907"/>
      <c r="W145" s="907"/>
      <c r="X145" s="907"/>
      <c r="Y145" s="907"/>
      <c r="Z145" s="907"/>
      <c r="AA145" s="907"/>
      <c r="AB145" s="907"/>
      <c r="AC145" s="907"/>
      <c r="AD145" s="907"/>
      <c r="AE145" s="907"/>
      <c r="AF145" s="907"/>
      <c r="AG145" s="907"/>
      <c r="AH145" s="907"/>
      <c r="AI145" s="907"/>
      <c r="AJ145" s="907"/>
      <c r="AK145" s="907"/>
      <c r="AL145" s="907"/>
      <c r="AM145" s="907"/>
    </row>
    <row r="146" spans="1:39">
      <c r="A146" s="907"/>
      <c r="B146" s="907"/>
      <c r="C146" s="907"/>
      <c r="D146" s="907"/>
      <c r="E146" s="907"/>
      <c r="F146" s="907"/>
      <c r="G146" s="907"/>
      <c r="H146" s="907"/>
      <c r="I146" s="907"/>
      <c r="J146" s="907"/>
      <c r="K146" s="907"/>
      <c r="L146" s="907"/>
      <c r="M146" s="907"/>
      <c r="N146" s="907"/>
      <c r="O146" s="907"/>
      <c r="P146" s="907"/>
      <c r="Q146" s="907"/>
      <c r="R146" s="907"/>
      <c r="S146" s="907"/>
      <c r="T146" s="907"/>
      <c r="U146" s="907"/>
      <c r="V146" s="907"/>
      <c r="W146" s="907"/>
      <c r="X146" s="907"/>
      <c r="Y146" s="907"/>
      <c r="Z146" s="907"/>
      <c r="AA146" s="907"/>
      <c r="AB146" s="907"/>
      <c r="AC146" s="907"/>
      <c r="AD146" s="907"/>
      <c r="AE146" s="907"/>
      <c r="AF146" s="907"/>
      <c r="AG146" s="907"/>
      <c r="AH146" s="907"/>
      <c r="AI146" s="907"/>
      <c r="AJ146" s="907"/>
      <c r="AK146" s="907"/>
      <c r="AL146" s="907"/>
      <c r="AM146" s="907"/>
    </row>
    <row r="147" spans="1:39">
      <c r="A147" s="907"/>
      <c r="B147" s="907"/>
      <c r="C147" s="907"/>
      <c r="D147" s="907"/>
      <c r="E147" s="907"/>
      <c r="F147" s="907"/>
      <c r="G147" s="907"/>
      <c r="H147" s="907"/>
      <c r="I147" s="907"/>
      <c r="J147" s="907"/>
      <c r="K147" s="907"/>
      <c r="L147" s="907"/>
      <c r="M147" s="907"/>
      <c r="N147" s="907"/>
      <c r="O147" s="907"/>
      <c r="P147" s="907"/>
      <c r="Q147" s="907"/>
      <c r="R147" s="907"/>
      <c r="S147" s="907"/>
      <c r="T147" s="907"/>
      <c r="U147" s="907"/>
      <c r="V147" s="907"/>
      <c r="W147" s="907"/>
      <c r="X147" s="907"/>
      <c r="Y147" s="907"/>
      <c r="Z147" s="907"/>
      <c r="AA147" s="907"/>
      <c r="AB147" s="907"/>
      <c r="AC147" s="907"/>
      <c r="AD147" s="907"/>
      <c r="AE147" s="907"/>
      <c r="AF147" s="907"/>
      <c r="AG147" s="907"/>
      <c r="AH147" s="907"/>
      <c r="AI147" s="907"/>
      <c r="AJ147" s="907"/>
      <c r="AK147" s="907"/>
      <c r="AL147" s="907"/>
      <c r="AM147" s="907"/>
    </row>
    <row r="148" spans="1:39">
      <c r="A148" s="907"/>
      <c r="B148" s="907"/>
      <c r="C148" s="907"/>
      <c r="D148" s="907"/>
      <c r="E148" s="907"/>
      <c r="F148" s="907"/>
      <c r="G148" s="907"/>
      <c r="H148" s="907"/>
      <c r="I148" s="907"/>
      <c r="J148" s="907"/>
      <c r="K148" s="907"/>
      <c r="L148" s="907"/>
      <c r="M148" s="907"/>
      <c r="N148" s="907"/>
      <c r="O148" s="907"/>
      <c r="P148" s="907"/>
      <c r="Q148" s="907"/>
      <c r="R148" s="907"/>
      <c r="S148" s="907"/>
      <c r="T148" s="907"/>
      <c r="U148" s="907"/>
      <c r="V148" s="907"/>
      <c r="W148" s="907"/>
      <c r="X148" s="907"/>
      <c r="Y148" s="907"/>
      <c r="Z148" s="907"/>
      <c r="AA148" s="907"/>
      <c r="AB148" s="907"/>
      <c r="AC148" s="907"/>
      <c r="AD148" s="907"/>
      <c r="AE148" s="907"/>
      <c r="AF148" s="907"/>
      <c r="AG148" s="907"/>
      <c r="AH148" s="907"/>
      <c r="AI148" s="907"/>
      <c r="AJ148" s="907"/>
      <c r="AK148" s="907"/>
      <c r="AL148" s="907"/>
      <c r="AM148" s="907"/>
    </row>
    <row r="149" spans="1:39">
      <c r="A149" s="907"/>
      <c r="B149" s="907"/>
      <c r="C149" s="907"/>
      <c r="D149" s="907"/>
      <c r="E149" s="907"/>
      <c r="F149" s="907"/>
      <c r="G149" s="907"/>
      <c r="H149" s="907"/>
      <c r="I149" s="907"/>
      <c r="J149" s="907"/>
      <c r="K149" s="907"/>
      <c r="L149" s="907"/>
      <c r="M149" s="907"/>
      <c r="N149" s="907"/>
      <c r="O149" s="907"/>
      <c r="P149" s="907"/>
      <c r="Q149" s="907"/>
      <c r="R149" s="907"/>
      <c r="S149" s="907"/>
      <c r="T149" s="907"/>
      <c r="U149" s="907"/>
      <c r="V149" s="907"/>
      <c r="W149" s="907"/>
      <c r="X149" s="907"/>
      <c r="Y149" s="907"/>
      <c r="Z149" s="907"/>
      <c r="AA149" s="907"/>
      <c r="AB149" s="907"/>
      <c r="AC149" s="907"/>
      <c r="AD149" s="907"/>
      <c r="AE149" s="907"/>
      <c r="AF149" s="907"/>
      <c r="AG149" s="907"/>
      <c r="AH149" s="907"/>
      <c r="AI149" s="907"/>
      <c r="AJ149" s="907"/>
      <c r="AK149" s="907"/>
      <c r="AL149" s="907"/>
      <c r="AM149" s="907"/>
    </row>
    <row r="150" spans="1:39">
      <c r="A150" s="907"/>
      <c r="B150" s="907"/>
      <c r="C150" s="907"/>
      <c r="D150" s="907"/>
      <c r="E150" s="907"/>
      <c r="F150" s="907"/>
      <c r="G150" s="907"/>
      <c r="H150" s="907"/>
      <c r="I150" s="907"/>
      <c r="J150" s="907"/>
      <c r="K150" s="907"/>
      <c r="L150" s="907"/>
      <c r="M150" s="907"/>
      <c r="N150" s="907"/>
      <c r="O150" s="907"/>
      <c r="P150" s="907"/>
      <c r="Q150" s="907"/>
      <c r="R150" s="907"/>
      <c r="S150" s="907"/>
      <c r="T150" s="907"/>
      <c r="U150" s="907"/>
      <c r="V150" s="907"/>
      <c r="W150" s="907"/>
      <c r="X150" s="907"/>
      <c r="Y150" s="907"/>
      <c r="Z150" s="907"/>
      <c r="AA150" s="907"/>
      <c r="AB150" s="907"/>
      <c r="AC150" s="907"/>
      <c r="AD150" s="907"/>
      <c r="AE150" s="907"/>
      <c r="AF150" s="907"/>
      <c r="AG150" s="907"/>
      <c r="AH150" s="907"/>
      <c r="AI150" s="907"/>
      <c r="AJ150" s="907"/>
      <c r="AK150" s="907"/>
      <c r="AL150" s="907"/>
      <c r="AM150" s="907"/>
    </row>
    <row r="151" spans="1:39">
      <c r="A151" s="907"/>
      <c r="B151" s="907"/>
      <c r="C151" s="907"/>
      <c r="D151" s="907"/>
      <c r="E151" s="907"/>
      <c r="F151" s="907"/>
      <c r="G151" s="907"/>
      <c r="H151" s="907"/>
      <c r="I151" s="907"/>
      <c r="J151" s="907"/>
      <c r="K151" s="907"/>
      <c r="L151" s="907"/>
      <c r="M151" s="907"/>
      <c r="N151" s="907"/>
      <c r="O151" s="907"/>
      <c r="P151" s="907"/>
      <c r="Q151" s="907"/>
      <c r="R151" s="907"/>
      <c r="S151" s="907"/>
      <c r="T151" s="907"/>
      <c r="U151" s="907"/>
      <c r="V151" s="907"/>
      <c r="W151" s="907"/>
      <c r="X151" s="907"/>
      <c r="Y151" s="907"/>
      <c r="Z151" s="907"/>
      <c r="AA151" s="907"/>
      <c r="AB151" s="907"/>
      <c r="AC151" s="907"/>
      <c r="AD151" s="907"/>
      <c r="AE151" s="907"/>
      <c r="AF151" s="907"/>
      <c r="AG151" s="907"/>
      <c r="AH151" s="907"/>
      <c r="AI151" s="907"/>
      <c r="AJ151" s="907"/>
      <c r="AK151" s="907"/>
      <c r="AL151" s="907"/>
      <c r="AM151" s="907"/>
    </row>
    <row r="152" spans="1:39">
      <c r="A152" s="907"/>
      <c r="B152" s="907"/>
      <c r="C152" s="907"/>
      <c r="D152" s="907"/>
      <c r="E152" s="907"/>
      <c r="F152" s="907"/>
      <c r="G152" s="907"/>
      <c r="H152" s="907"/>
      <c r="I152" s="907"/>
      <c r="J152" s="907"/>
      <c r="K152" s="907"/>
      <c r="L152" s="907"/>
      <c r="M152" s="907"/>
      <c r="N152" s="907"/>
      <c r="O152" s="907"/>
      <c r="P152" s="907"/>
      <c r="Q152" s="907"/>
      <c r="R152" s="907"/>
      <c r="S152" s="907"/>
      <c r="T152" s="907"/>
      <c r="U152" s="907"/>
      <c r="V152" s="907"/>
      <c r="W152" s="907"/>
      <c r="X152" s="907"/>
      <c r="Y152" s="907"/>
      <c r="Z152" s="907"/>
      <c r="AA152" s="907"/>
      <c r="AB152" s="907"/>
      <c r="AC152" s="907"/>
      <c r="AD152" s="907"/>
      <c r="AE152" s="907"/>
      <c r="AF152" s="907"/>
      <c r="AG152" s="907"/>
      <c r="AH152" s="907"/>
      <c r="AI152" s="907"/>
      <c r="AJ152" s="907"/>
      <c r="AK152" s="907"/>
      <c r="AL152" s="907"/>
      <c r="AM152" s="907"/>
    </row>
    <row r="153" spans="1:39">
      <c r="A153" s="907"/>
      <c r="B153" s="907"/>
      <c r="C153" s="907"/>
      <c r="D153" s="907"/>
      <c r="E153" s="907"/>
      <c r="F153" s="907"/>
      <c r="G153" s="907"/>
      <c r="H153" s="907"/>
      <c r="I153" s="907"/>
      <c r="J153" s="907"/>
      <c r="K153" s="907"/>
      <c r="L153" s="907"/>
      <c r="M153" s="907"/>
      <c r="N153" s="907"/>
      <c r="O153" s="907"/>
      <c r="P153" s="907"/>
      <c r="Q153" s="907"/>
      <c r="R153" s="907"/>
      <c r="S153" s="907"/>
      <c r="T153" s="907"/>
      <c r="U153" s="907"/>
      <c r="V153" s="907"/>
      <c r="W153" s="907"/>
      <c r="X153" s="907"/>
      <c r="Y153" s="907"/>
      <c r="Z153" s="907"/>
      <c r="AA153" s="907"/>
      <c r="AB153" s="907"/>
      <c r="AC153" s="907"/>
      <c r="AD153" s="907"/>
      <c r="AE153" s="907"/>
      <c r="AF153" s="907"/>
      <c r="AG153" s="907"/>
      <c r="AH153" s="907"/>
      <c r="AI153" s="907"/>
      <c r="AJ153" s="907"/>
      <c r="AK153" s="907"/>
      <c r="AL153" s="907"/>
      <c r="AM153" s="907"/>
    </row>
    <row r="154" spans="1:39">
      <c r="A154" s="907"/>
      <c r="B154" s="907"/>
      <c r="C154" s="907"/>
      <c r="D154" s="907"/>
      <c r="E154" s="907"/>
      <c r="F154" s="907"/>
      <c r="G154" s="907"/>
      <c r="H154" s="907"/>
      <c r="I154" s="907"/>
      <c r="J154" s="907"/>
      <c r="K154" s="907"/>
      <c r="L154" s="907"/>
      <c r="M154" s="907"/>
      <c r="N154" s="907"/>
      <c r="O154" s="907"/>
      <c r="P154" s="907"/>
      <c r="Q154" s="907"/>
      <c r="R154" s="907"/>
      <c r="S154" s="907"/>
      <c r="T154" s="907"/>
      <c r="U154" s="907"/>
      <c r="V154" s="907"/>
      <c r="W154" s="907"/>
      <c r="X154" s="907"/>
      <c r="Y154" s="907"/>
      <c r="Z154" s="907"/>
      <c r="AA154" s="907"/>
      <c r="AB154" s="907"/>
      <c r="AC154" s="907"/>
      <c r="AD154" s="907"/>
      <c r="AE154" s="907"/>
      <c r="AF154" s="907"/>
      <c r="AG154" s="907"/>
      <c r="AH154" s="907"/>
      <c r="AI154" s="907"/>
      <c r="AJ154" s="907"/>
      <c r="AK154" s="907"/>
      <c r="AL154" s="907"/>
      <c r="AM154" s="907"/>
    </row>
    <row r="155" spans="1:39">
      <c r="A155" s="907"/>
      <c r="B155" s="907"/>
      <c r="C155" s="907"/>
      <c r="D155" s="907"/>
      <c r="E155" s="907"/>
      <c r="F155" s="907"/>
      <c r="G155" s="907"/>
      <c r="H155" s="907"/>
      <c r="I155" s="907"/>
      <c r="J155" s="907"/>
      <c r="K155" s="907"/>
      <c r="L155" s="907"/>
      <c r="M155" s="907"/>
      <c r="N155" s="907"/>
      <c r="O155" s="907"/>
      <c r="P155" s="907"/>
      <c r="Q155" s="907"/>
      <c r="R155" s="907"/>
      <c r="S155" s="907"/>
      <c r="T155" s="907"/>
      <c r="U155" s="907"/>
      <c r="V155" s="907"/>
      <c r="W155" s="907"/>
      <c r="X155" s="907"/>
      <c r="Y155" s="907"/>
      <c r="Z155" s="907"/>
      <c r="AA155" s="907"/>
      <c r="AB155" s="907"/>
      <c r="AC155" s="907"/>
      <c r="AD155" s="907"/>
      <c r="AE155" s="907"/>
      <c r="AF155" s="907"/>
      <c r="AG155" s="907"/>
      <c r="AH155" s="907"/>
      <c r="AI155" s="907"/>
      <c r="AJ155" s="907"/>
      <c r="AK155" s="907"/>
      <c r="AL155" s="907"/>
      <c r="AM155" s="907"/>
    </row>
    <row r="156" spans="1:39">
      <c r="A156" s="907"/>
      <c r="B156" s="907"/>
      <c r="C156" s="907"/>
      <c r="D156" s="907"/>
      <c r="E156" s="907"/>
      <c r="F156" s="907"/>
      <c r="G156" s="907"/>
      <c r="H156" s="907"/>
      <c r="I156" s="907"/>
      <c r="J156" s="907"/>
      <c r="K156" s="907"/>
      <c r="L156" s="907"/>
      <c r="M156" s="907"/>
      <c r="N156" s="907"/>
      <c r="O156" s="907"/>
      <c r="P156" s="907"/>
      <c r="Q156" s="907"/>
      <c r="R156" s="907"/>
      <c r="S156" s="907"/>
      <c r="T156" s="907"/>
      <c r="U156" s="907"/>
      <c r="V156" s="907"/>
      <c r="W156" s="907"/>
      <c r="X156" s="907"/>
      <c r="Y156" s="907"/>
      <c r="Z156" s="907"/>
      <c r="AA156" s="907"/>
      <c r="AB156" s="907"/>
      <c r="AC156" s="907"/>
      <c r="AD156" s="907"/>
      <c r="AE156" s="907"/>
      <c r="AF156" s="907"/>
      <c r="AG156" s="907"/>
      <c r="AH156" s="907"/>
      <c r="AI156" s="907"/>
      <c r="AJ156" s="907"/>
      <c r="AK156" s="907"/>
      <c r="AL156" s="907"/>
      <c r="AM156" s="907"/>
    </row>
    <row r="157" spans="1:39">
      <c r="A157" s="907"/>
      <c r="B157" s="907"/>
      <c r="C157" s="907"/>
      <c r="D157" s="907"/>
      <c r="E157" s="907"/>
      <c r="F157" s="907"/>
      <c r="G157" s="907"/>
      <c r="H157" s="907"/>
      <c r="I157" s="907"/>
      <c r="J157" s="907"/>
      <c r="K157" s="907"/>
      <c r="L157" s="907"/>
      <c r="M157" s="907"/>
      <c r="N157" s="907"/>
      <c r="O157" s="907"/>
      <c r="P157" s="907"/>
      <c r="Q157" s="907"/>
      <c r="R157" s="907"/>
      <c r="S157" s="907"/>
      <c r="T157" s="907"/>
      <c r="U157" s="907"/>
      <c r="V157" s="907"/>
      <c r="W157" s="907"/>
      <c r="X157" s="907"/>
      <c r="Y157" s="907"/>
      <c r="Z157" s="907"/>
      <c r="AA157" s="907"/>
      <c r="AB157" s="907"/>
      <c r="AC157" s="907"/>
      <c r="AD157" s="907"/>
      <c r="AE157" s="907"/>
      <c r="AF157" s="907"/>
      <c r="AG157" s="907"/>
      <c r="AH157" s="907"/>
      <c r="AI157" s="907"/>
      <c r="AJ157" s="907"/>
      <c r="AK157" s="907"/>
      <c r="AL157" s="907"/>
      <c r="AM157" s="907"/>
    </row>
    <row r="158" spans="1:39">
      <c r="A158" s="907"/>
      <c r="B158" s="907"/>
      <c r="C158" s="907"/>
      <c r="D158" s="907"/>
      <c r="E158" s="907"/>
      <c r="F158" s="907"/>
      <c r="G158" s="907"/>
      <c r="H158" s="907"/>
      <c r="I158" s="907"/>
      <c r="J158" s="907"/>
      <c r="K158" s="907"/>
      <c r="L158" s="907"/>
      <c r="M158" s="907"/>
      <c r="N158" s="907"/>
      <c r="O158" s="907"/>
      <c r="P158" s="907"/>
      <c r="Q158" s="907"/>
      <c r="R158" s="907"/>
      <c r="S158" s="907"/>
      <c r="T158" s="907"/>
      <c r="U158" s="907"/>
      <c r="V158" s="907"/>
      <c r="W158" s="907"/>
      <c r="X158" s="907"/>
      <c r="Y158" s="907"/>
      <c r="Z158" s="907"/>
      <c r="AA158" s="907"/>
      <c r="AB158" s="907"/>
      <c r="AC158" s="907"/>
      <c r="AD158" s="907"/>
      <c r="AE158" s="907"/>
      <c r="AF158" s="907"/>
      <c r="AG158" s="907"/>
      <c r="AH158" s="907"/>
      <c r="AI158" s="907"/>
      <c r="AJ158" s="907"/>
      <c r="AK158" s="907"/>
      <c r="AL158" s="907"/>
      <c r="AM158" s="907"/>
    </row>
    <row r="159" spans="1:39">
      <c r="A159" s="907"/>
      <c r="B159" s="907"/>
      <c r="C159" s="907"/>
      <c r="D159" s="907"/>
      <c r="E159" s="907"/>
      <c r="F159" s="907"/>
      <c r="G159" s="907"/>
      <c r="H159" s="907"/>
      <c r="I159" s="907"/>
      <c r="J159" s="907"/>
      <c r="K159" s="907"/>
      <c r="L159" s="907"/>
      <c r="M159" s="907"/>
      <c r="N159" s="907"/>
      <c r="O159" s="907"/>
      <c r="P159" s="907"/>
      <c r="Q159" s="907"/>
      <c r="R159" s="907"/>
      <c r="S159" s="907"/>
      <c r="T159" s="907"/>
      <c r="U159" s="907"/>
      <c r="V159" s="907"/>
      <c r="W159" s="907"/>
      <c r="X159" s="907"/>
      <c r="Y159" s="907"/>
      <c r="Z159" s="907"/>
      <c r="AA159" s="907"/>
      <c r="AB159" s="907"/>
      <c r="AC159" s="907"/>
      <c r="AD159" s="907"/>
      <c r="AE159" s="907"/>
      <c r="AF159" s="907"/>
      <c r="AG159" s="907"/>
      <c r="AH159" s="907"/>
      <c r="AI159" s="907"/>
      <c r="AJ159" s="907"/>
      <c r="AK159" s="907"/>
      <c r="AL159" s="907"/>
      <c r="AM159" s="907"/>
    </row>
    <row r="160" spans="1:39">
      <c r="A160" s="907"/>
      <c r="B160" s="907"/>
      <c r="C160" s="907"/>
      <c r="D160" s="907"/>
      <c r="E160" s="907"/>
      <c r="F160" s="907"/>
      <c r="G160" s="907"/>
      <c r="H160" s="907"/>
      <c r="I160" s="907"/>
      <c r="J160" s="907"/>
      <c r="K160" s="907"/>
      <c r="L160" s="907"/>
      <c r="M160" s="907"/>
      <c r="N160" s="907"/>
      <c r="O160" s="907"/>
      <c r="P160" s="907"/>
      <c r="Q160" s="907"/>
      <c r="R160" s="907"/>
      <c r="S160" s="907"/>
      <c r="T160" s="907"/>
      <c r="U160" s="907"/>
      <c r="V160" s="907"/>
      <c r="W160" s="907"/>
      <c r="X160" s="907"/>
      <c r="Y160" s="907"/>
      <c r="Z160" s="907"/>
      <c r="AA160" s="907"/>
      <c r="AB160" s="907"/>
      <c r="AC160" s="907"/>
      <c r="AD160" s="907"/>
      <c r="AE160" s="907"/>
      <c r="AF160" s="907"/>
      <c r="AG160" s="907"/>
      <c r="AH160" s="907"/>
      <c r="AI160" s="907"/>
      <c r="AJ160" s="907"/>
      <c r="AK160" s="907"/>
      <c r="AL160" s="907"/>
      <c r="AM160" s="907"/>
    </row>
    <row r="161" spans="1:39">
      <c r="A161" s="907"/>
      <c r="B161" s="907"/>
      <c r="C161" s="907"/>
      <c r="D161" s="907"/>
      <c r="E161" s="907"/>
      <c r="F161" s="907"/>
      <c r="G161" s="907"/>
      <c r="H161" s="907"/>
      <c r="I161" s="907"/>
      <c r="J161" s="907"/>
      <c r="K161" s="907"/>
      <c r="L161" s="907"/>
      <c r="M161" s="907"/>
      <c r="N161" s="907"/>
      <c r="O161" s="907"/>
      <c r="P161" s="907"/>
      <c r="Q161" s="907"/>
      <c r="R161" s="907"/>
      <c r="S161" s="907"/>
      <c r="T161" s="907"/>
      <c r="U161" s="907"/>
      <c r="V161" s="907"/>
      <c r="W161" s="907"/>
      <c r="X161" s="907"/>
      <c r="Y161" s="907"/>
      <c r="Z161" s="907"/>
      <c r="AA161" s="907"/>
      <c r="AB161" s="907"/>
      <c r="AC161" s="907"/>
      <c r="AD161" s="907"/>
      <c r="AE161" s="907"/>
      <c r="AF161" s="907"/>
      <c r="AG161" s="907"/>
      <c r="AH161" s="907"/>
      <c r="AI161" s="907"/>
      <c r="AJ161" s="907"/>
      <c r="AK161" s="907"/>
      <c r="AL161" s="907"/>
      <c r="AM161" s="907"/>
    </row>
    <row r="162" spans="1:39">
      <c r="A162" s="907"/>
      <c r="B162" s="907"/>
      <c r="C162" s="907"/>
      <c r="D162" s="907"/>
      <c r="E162" s="907"/>
      <c r="F162" s="907"/>
      <c r="G162" s="907"/>
      <c r="H162" s="907"/>
      <c r="I162" s="907"/>
      <c r="J162" s="907"/>
      <c r="K162" s="907"/>
      <c r="L162" s="907"/>
      <c r="M162" s="907"/>
      <c r="N162" s="907"/>
      <c r="O162" s="907"/>
      <c r="P162" s="907"/>
      <c r="Q162" s="907"/>
      <c r="R162" s="907"/>
      <c r="S162" s="907"/>
      <c r="T162" s="907"/>
      <c r="U162" s="907"/>
      <c r="V162" s="907"/>
      <c r="W162" s="907"/>
      <c r="X162" s="907"/>
      <c r="Y162" s="907"/>
      <c r="Z162" s="907"/>
      <c r="AA162" s="907"/>
      <c r="AB162" s="907"/>
      <c r="AC162" s="907"/>
      <c r="AD162" s="907"/>
      <c r="AE162" s="907"/>
      <c r="AF162" s="907"/>
      <c r="AG162" s="907"/>
      <c r="AH162" s="907"/>
      <c r="AI162" s="907"/>
      <c r="AJ162" s="907"/>
      <c r="AK162" s="907"/>
      <c r="AL162" s="907"/>
      <c r="AM162" s="907"/>
    </row>
    <row r="163" spans="1:39">
      <c r="A163" s="907"/>
      <c r="B163" s="907"/>
      <c r="C163" s="907"/>
      <c r="D163" s="907"/>
      <c r="E163" s="907"/>
      <c r="F163" s="907"/>
      <c r="G163" s="907"/>
      <c r="H163" s="907"/>
      <c r="I163" s="907"/>
      <c r="J163" s="907"/>
      <c r="K163" s="907"/>
      <c r="L163" s="907"/>
      <c r="M163" s="907"/>
      <c r="N163" s="907"/>
      <c r="O163" s="907"/>
      <c r="P163" s="907"/>
      <c r="Q163" s="907"/>
      <c r="R163" s="907"/>
      <c r="S163" s="907"/>
      <c r="T163" s="907"/>
      <c r="U163" s="907"/>
      <c r="V163" s="907"/>
      <c r="W163" s="907"/>
      <c r="X163" s="907"/>
      <c r="Y163" s="907"/>
      <c r="Z163" s="907"/>
      <c r="AA163" s="907"/>
      <c r="AB163" s="907"/>
      <c r="AC163" s="907"/>
      <c r="AD163" s="907"/>
      <c r="AE163" s="907"/>
      <c r="AF163" s="907"/>
      <c r="AG163" s="907"/>
      <c r="AH163" s="907"/>
      <c r="AI163" s="907"/>
      <c r="AJ163" s="907"/>
      <c r="AK163" s="907"/>
      <c r="AL163" s="907"/>
      <c r="AM163" s="907"/>
    </row>
    <row r="164" spans="1:39">
      <c r="A164" s="907"/>
      <c r="B164" s="907"/>
      <c r="C164" s="907"/>
      <c r="D164" s="907"/>
      <c r="E164" s="907"/>
      <c r="F164" s="907"/>
      <c r="G164" s="907"/>
      <c r="H164" s="907"/>
      <c r="I164" s="907"/>
      <c r="J164" s="907"/>
      <c r="K164" s="907"/>
      <c r="L164" s="907"/>
      <c r="M164" s="907"/>
      <c r="N164" s="907"/>
      <c r="O164" s="907"/>
      <c r="P164" s="907"/>
      <c r="Q164" s="907"/>
      <c r="R164" s="907"/>
      <c r="S164" s="907"/>
      <c r="T164" s="907"/>
      <c r="U164" s="907"/>
      <c r="V164" s="907"/>
      <c r="W164" s="907"/>
      <c r="X164" s="907"/>
      <c r="Y164" s="907"/>
      <c r="Z164" s="907"/>
      <c r="AA164" s="907"/>
      <c r="AB164" s="907"/>
      <c r="AC164" s="907"/>
      <c r="AD164" s="907"/>
      <c r="AE164" s="907"/>
      <c r="AF164" s="907"/>
      <c r="AG164" s="907"/>
      <c r="AH164" s="907"/>
      <c r="AI164" s="907"/>
      <c r="AJ164" s="907"/>
      <c r="AK164" s="907"/>
      <c r="AL164" s="907"/>
      <c r="AM164" s="907"/>
    </row>
    <row r="165" spans="1:39">
      <c r="A165" s="907"/>
      <c r="B165" s="907"/>
      <c r="C165" s="907"/>
      <c r="D165" s="907"/>
      <c r="E165" s="907"/>
      <c r="F165" s="907"/>
      <c r="G165" s="907"/>
      <c r="H165" s="907"/>
      <c r="I165" s="907"/>
      <c r="J165" s="907"/>
      <c r="K165" s="907"/>
      <c r="L165" s="907"/>
      <c r="M165" s="907"/>
      <c r="N165" s="907"/>
      <c r="O165" s="907"/>
      <c r="P165" s="907"/>
      <c r="Q165" s="907"/>
      <c r="R165" s="907"/>
      <c r="S165" s="907"/>
      <c r="T165" s="907"/>
      <c r="U165" s="907"/>
      <c r="V165" s="907"/>
      <c r="W165" s="907"/>
      <c r="X165" s="907"/>
      <c r="Y165" s="907"/>
      <c r="Z165" s="907"/>
      <c r="AA165" s="907"/>
      <c r="AB165" s="907"/>
      <c r="AC165" s="907"/>
      <c r="AD165" s="907"/>
      <c r="AE165" s="907"/>
      <c r="AF165" s="907"/>
      <c r="AG165" s="907"/>
      <c r="AH165" s="907"/>
      <c r="AI165" s="907"/>
      <c r="AJ165" s="907"/>
      <c r="AK165" s="907"/>
      <c r="AL165" s="907"/>
      <c r="AM165" s="907"/>
    </row>
    <row r="166" spans="1:39">
      <c r="A166" s="907"/>
      <c r="B166" s="907"/>
      <c r="C166" s="907"/>
      <c r="D166" s="907"/>
      <c r="E166" s="907"/>
      <c r="F166" s="907"/>
      <c r="G166" s="907"/>
      <c r="H166" s="907"/>
      <c r="I166" s="907"/>
      <c r="J166" s="907"/>
      <c r="K166" s="907"/>
      <c r="L166" s="907"/>
      <c r="M166" s="907"/>
      <c r="N166" s="907"/>
      <c r="O166" s="907"/>
      <c r="P166" s="907"/>
      <c r="Q166" s="907"/>
      <c r="R166" s="907"/>
      <c r="S166" s="907"/>
      <c r="T166" s="907"/>
      <c r="U166" s="907"/>
      <c r="V166" s="907"/>
      <c r="W166" s="907"/>
      <c r="X166" s="907"/>
      <c r="Y166" s="907"/>
      <c r="Z166" s="907"/>
      <c r="AA166" s="907"/>
      <c r="AB166" s="907"/>
      <c r="AC166" s="907"/>
      <c r="AD166" s="907"/>
      <c r="AE166" s="907"/>
      <c r="AF166" s="907"/>
      <c r="AG166" s="907"/>
      <c r="AH166" s="907"/>
      <c r="AI166" s="907"/>
      <c r="AJ166" s="907"/>
      <c r="AK166" s="907"/>
      <c r="AL166" s="907"/>
      <c r="AM166" s="907"/>
    </row>
    <row r="167" spans="1:39">
      <c r="A167" s="907"/>
      <c r="B167" s="907"/>
      <c r="C167" s="907"/>
      <c r="D167" s="907"/>
      <c r="E167" s="907"/>
      <c r="F167" s="907"/>
      <c r="G167" s="907"/>
      <c r="H167" s="907"/>
      <c r="I167" s="907"/>
      <c r="J167" s="907"/>
      <c r="K167" s="907"/>
      <c r="L167" s="907"/>
      <c r="M167" s="907"/>
      <c r="N167" s="907"/>
      <c r="O167" s="907"/>
      <c r="P167" s="907"/>
      <c r="Q167" s="907"/>
      <c r="R167" s="907"/>
      <c r="S167" s="907"/>
      <c r="T167" s="907"/>
      <c r="U167" s="907"/>
      <c r="V167" s="907"/>
      <c r="W167" s="907"/>
      <c r="X167" s="907"/>
      <c r="Y167" s="907"/>
      <c r="Z167" s="907"/>
      <c r="AA167" s="907"/>
      <c r="AB167" s="907"/>
      <c r="AC167" s="907"/>
      <c r="AD167" s="907"/>
      <c r="AE167" s="907"/>
      <c r="AF167" s="907"/>
      <c r="AG167" s="907"/>
      <c r="AH167" s="907"/>
      <c r="AI167" s="907"/>
      <c r="AJ167" s="907"/>
      <c r="AK167" s="907"/>
      <c r="AL167" s="907"/>
      <c r="AM167" s="907"/>
    </row>
    <row r="168" spans="1:39">
      <c r="A168" s="907"/>
      <c r="B168" s="907"/>
      <c r="C168" s="907"/>
      <c r="D168" s="907"/>
      <c r="E168" s="907"/>
      <c r="F168" s="907"/>
      <c r="G168" s="907"/>
      <c r="H168" s="907"/>
      <c r="I168" s="907"/>
      <c r="J168" s="907"/>
      <c r="K168" s="907"/>
      <c r="L168" s="907"/>
      <c r="M168" s="907"/>
      <c r="N168" s="907"/>
      <c r="O168" s="907"/>
      <c r="P168" s="907"/>
      <c r="Q168" s="907"/>
      <c r="R168" s="907"/>
      <c r="S168" s="907"/>
      <c r="T168" s="907"/>
      <c r="U168" s="907"/>
      <c r="V168" s="907"/>
      <c r="W168" s="907"/>
      <c r="X168" s="907"/>
      <c r="Y168" s="907"/>
      <c r="Z168" s="907"/>
      <c r="AA168" s="907"/>
      <c r="AB168" s="907"/>
      <c r="AC168" s="907"/>
      <c r="AD168" s="907"/>
      <c r="AE168" s="907"/>
      <c r="AF168" s="907"/>
      <c r="AG168" s="907"/>
      <c r="AH168" s="907"/>
      <c r="AI168" s="907"/>
      <c r="AJ168" s="907"/>
      <c r="AK168" s="907"/>
      <c r="AL168" s="907"/>
      <c r="AM168" s="907"/>
    </row>
    <row r="169" spans="1:39">
      <c r="A169" s="907"/>
      <c r="B169" s="907"/>
      <c r="C169" s="907"/>
      <c r="D169" s="907"/>
      <c r="E169" s="907"/>
      <c r="F169" s="907"/>
      <c r="G169" s="907"/>
      <c r="H169" s="907"/>
      <c r="I169" s="907"/>
      <c r="J169" s="907"/>
      <c r="K169" s="907"/>
      <c r="L169" s="907"/>
      <c r="M169" s="907"/>
      <c r="N169" s="907"/>
      <c r="O169" s="907"/>
      <c r="P169" s="907"/>
      <c r="Q169" s="907"/>
      <c r="R169" s="907"/>
      <c r="S169" s="907"/>
      <c r="T169" s="907"/>
      <c r="U169" s="907"/>
      <c r="V169" s="907"/>
      <c r="W169" s="907"/>
      <c r="X169" s="907"/>
      <c r="Y169" s="907"/>
      <c r="Z169" s="907"/>
      <c r="AA169" s="907"/>
      <c r="AB169" s="907"/>
      <c r="AC169" s="907"/>
      <c r="AD169" s="907"/>
      <c r="AE169" s="907"/>
      <c r="AF169" s="907"/>
      <c r="AG169" s="907"/>
      <c r="AH169" s="907"/>
      <c r="AI169" s="907"/>
      <c r="AJ169" s="907"/>
      <c r="AK169" s="907"/>
      <c r="AL169" s="907"/>
      <c r="AM169" s="907"/>
    </row>
    <row r="170" spans="1:39">
      <c r="A170" s="907"/>
      <c r="B170" s="907"/>
      <c r="C170" s="907"/>
      <c r="D170" s="907"/>
      <c r="E170" s="907"/>
      <c r="F170" s="907"/>
      <c r="G170" s="907"/>
      <c r="H170" s="907"/>
      <c r="I170" s="907"/>
      <c r="J170" s="907"/>
      <c r="K170" s="907"/>
      <c r="L170" s="907"/>
      <c r="M170" s="907"/>
      <c r="N170" s="907"/>
      <c r="O170" s="907"/>
      <c r="P170" s="907"/>
      <c r="Q170" s="907"/>
      <c r="R170" s="907"/>
      <c r="S170" s="907"/>
      <c r="T170" s="907"/>
      <c r="U170" s="907"/>
      <c r="V170" s="907"/>
      <c r="W170" s="907"/>
      <c r="X170" s="907"/>
      <c r="Y170" s="907"/>
      <c r="Z170" s="907"/>
      <c r="AA170" s="907"/>
      <c r="AB170" s="907"/>
      <c r="AC170" s="907"/>
      <c r="AD170" s="907"/>
      <c r="AE170" s="907"/>
      <c r="AF170" s="907"/>
      <c r="AG170" s="907"/>
      <c r="AH170" s="907"/>
      <c r="AI170" s="907"/>
      <c r="AJ170" s="907"/>
      <c r="AK170" s="907"/>
      <c r="AL170" s="907"/>
      <c r="AM170" s="907"/>
    </row>
    <row r="171" spans="1:39">
      <c r="A171" s="907"/>
      <c r="B171" s="907"/>
      <c r="C171" s="907"/>
      <c r="D171" s="907"/>
      <c r="E171" s="907"/>
      <c r="F171" s="907"/>
      <c r="G171" s="907"/>
      <c r="H171" s="907"/>
      <c r="I171" s="907"/>
      <c r="J171" s="907"/>
      <c r="K171" s="907"/>
      <c r="L171" s="907"/>
      <c r="M171" s="907"/>
      <c r="N171" s="907"/>
      <c r="O171" s="907"/>
      <c r="P171" s="907"/>
      <c r="Q171" s="907"/>
      <c r="R171" s="907"/>
      <c r="S171" s="907"/>
      <c r="T171" s="907"/>
      <c r="U171" s="907"/>
      <c r="V171" s="907"/>
      <c r="W171" s="907"/>
      <c r="X171" s="907"/>
      <c r="Y171" s="907"/>
      <c r="Z171" s="907"/>
      <c r="AA171" s="907"/>
      <c r="AB171" s="907"/>
      <c r="AC171" s="907"/>
      <c r="AD171" s="907"/>
      <c r="AE171" s="907"/>
      <c r="AF171" s="907"/>
      <c r="AG171" s="907"/>
      <c r="AH171" s="907"/>
      <c r="AI171" s="907"/>
      <c r="AJ171" s="907"/>
      <c r="AK171" s="907"/>
      <c r="AL171" s="907"/>
      <c r="AM171" s="907"/>
    </row>
    <row r="172" spans="1:39">
      <c r="A172" s="907"/>
      <c r="B172" s="907"/>
      <c r="C172" s="907"/>
      <c r="D172" s="907"/>
      <c r="E172" s="907"/>
      <c r="F172" s="907"/>
      <c r="G172" s="907"/>
      <c r="H172" s="907"/>
      <c r="I172" s="907"/>
      <c r="J172" s="907"/>
      <c r="K172" s="907"/>
      <c r="L172" s="907"/>
      <c r="M172" s="907"/>
      <c r="N172" s="907"/>
      <c r="O172" s="907"/>
      <c r="P172" s="907"/>
      <c r="Q172" s="907"/>
      <c r="R172" s="907"/>
      <c r="S172" s="907"/>
      <c r="T172" s="907"/>
      <c r="U172" s="907"/>
      <c r="V172" s="907"/>
      <c r="W172" s="907"/>
      <c r="X172" s="907"/>
      <c r="Y172" s="907"/>
      <c r="Z172" s="907"/>
      <c r="AA172" s="907"/>
      <c r="AB172" s="907"/>
      <c r="AC172" s="907"/>
      <c r="AD172" s="907"/>
      <c r="AE172" s="907"/>
      <c r="AF172" s="907"/>
      <c r="AG172" s="907"/>
      <c r="AH172" s="907"/>
      <c r="AI172" s="907"/>
      <c r="AJ172" s="907"/>
      <c r="AK172" s="907"/>
      <c r="AL172" s="907"/>
      <c r="AM172" s="907"/>
    </row>
    <row r="173" spans="1:39">
      <c r="A173" s="907"/>
      <c r="B173" s="907"/>
      <c r="C173" s="907"/>
      <c r="D173" s="907"/>
      <c r="E173" s="907"/>
      <c r="F173" s="907"/>
      <c r="G173" s="907"/>
      <c r="H173" s="907"/>
      <c r="I173" s="907"/>
      <c r="J173" s="907"/>
      <c r="K173" s="907"/>
      <c r="L173" s="907"/>
      <c r="M173" s="907"/>
      <c r="N173" s="907"/>
      <c r="O173" s="907"/>
      <c r="P173" s="907"/>
      <c r="Q173" s="907"/>
      <c r="R173" s="907"/>
      <c r="S173" s="907"/>
      <c r="T173" s="907"/>
      <c r="U173" s="907"/>
      <c r="V173" s="907"/>
      <c r="W173" s="907"/>
      <c r="X173" s="907"/>
      <c r="Y173" s="907"/>
      <c r="Z173" s="907"/>
      <c r="AA173" s="907"/>
      <c r="AB173" s="907"/>
      <c r="AC173" s="907"/>
      <c r="AD173" s="907"/>
      <c r="AE173" s="907"/>
      <c r="AF173" s="907"/>
      <c r="AG173" s="907"/>
      <c r="AH173" s="907"/>
      <c r="AI173" s="907"/>
      <c r="AJ173" s="907"/>
      <c r="AK173" s="907"/>
      <c r="AL173" s="907"/>
      <c r="AM173" s="907"/>
    </row>
    <row r="174" spans="1:39">
      <c r="A174" s="907"/>
      <c r="B174" s="907"/>
      <c r="C174" s="907"/>
      <c r="D174" s="907"/>
      <c r="E174" s="907"/>
      <c r="F174" s="907"/>
      <c r="G174" s="907"/>
      <c r="H174" s="907"/>
      <c r="I174" s="907"/>
      <c r="J174" s="907"/>
      <c r="K174" s="907"/>
      <c r="L174" s="907"/>
      <c r="M174" s="907"/>
      <c r="N174" s="907"/>
      <c r="O174" s="907"/>
      <c r="P174" s="907"/>
      <c r="Q174" s="907"/>
      <c r="R174" s="907"/>
      <c r="S174" s="907"/>
      <c r="T174" s="907"/>
      <c r="U174" s="907"/>
      <c r="V174" s="907"/>
      <c r="W174" s="907"/>
      <c r="X174" s="907"/>
      <c r="Y174" s="907"/>
      <c r="Z174" s="907"/>
      <c r="AA174" s="907"/>
      <c r="AB174" s="907"/>
      <c r="AC174" s="907"/>
      <c r="AD174" s="907"/>
      <c r="AE174" s="907"/>
      <c r="AF174" s="907"/>
      <c r="AG174" s="907"/>
      <c r="AH174" s="907"/>
      <c r="AI174" s="907"/>
      <c r="AJ174" s="907"/>
      <c r="AK174" s="907"/>
      <c r="AL174" s="907"/>
      <c r="AM174" s="907"/>
    </row>
    <row r="175" spans="1:39">
      <c r="A175" s="907"/>
      <c r="B175" s="907"/>
      <c r="C175" s="907"/>
      <c r="D175" s="907"/>
      <c r="E175" s="907"/>
      <c r="F175" s="907"/>
      <c r="G175" s="907"/>
      <c r="H175" s="907"/>
      <c r="I175" s="907"/>
      <c r="J175" s="907"/>
      <c r="K175" s="907"/>
      <c r="L175" s="907"/>
      <c r="M175" s="907"/>
      <c r="N175" s="907"/>
      <c r="O175" s="907"/>
      <c r="P175" s="907"/>
      <c r="Q175" s="907"/>
      <c r="R175" s="907"/>
      <c r="S175" s="907"/>
      <c r="T175" s="907"/>
      <c r="U175" s="907"/>
      <c r="V175" s="907"/>
      <c r="W175" s="907"/>
      <c r="X175" s="907"/>
      <c r="Y175" s="907"/>
      <c r="Z175" s="907"/>
      <c r="AA175" s="907"/>
      <c r="AB175" s="907"/>
      <c r="AC175" s="907"/>
      <c r="AD175" s="907"/>
      <c r="AE175" s="907"/>
      <c r="AF175" s="907"/>
      <c r="AG175" s="907"/>
      <c r="AH175" s="907"/>
      <c r="AI175" s="907"/>
      <c r="AJ175" s="907"/>
      <c r="AK175" s="907"/>
      <c r="AL175" s="907"/>
      <c r="AM175" s="907"/>
    </row>
    <row r="176" spans="1:39">
      <c r="A176" s="907"/>
      <c r="B176" s="907"/>
      <c r="C176" s="907"/>
      <c r="D176" s="907"/>
      <c r="E176" s="907"/>
      <c r="F176" s="907"/>
      <c r="G176" s="907"/>
      <c r="H176" s="907"/>
      <c r="I176" s="907"/>
      <c r="J176" s="907"/>
      <c r="K176" s="907"/>
      <c r="L176" s="907"/>
      <c r="M176" s="907"/>
      <c r="N176" s="907"/>
      <c r="O176" s="907"/>
      <c r="P176" s="907"/>
      <c r="Q176" s="907"/>
      <c r="R176" s="907"/>
      <c r="S176" s="907"/>
      <c r="T176" s="907"/>
      <c r="U176" s="907"/>
      <c r="V176" s="907"/>
      <c r="W176" s="907"/>
      <c r="X176" s="907"/>
      <c r="Y176" s="907"/>
      <c r="Z176" s="907"/>
      <c r="AA176" s="907"/>
      <c r="AB176" s="907"/>
      <c r="AC176" s="907"/>
      <c r="AD176" s="907"/>
      <c r="AE176" s="907"/>
      <c r="AF176" s="907"/>
      <c r="AG176" s="907"/>
      <c r="AH176" s="907"/>
      <c r="AI176" s="907"/>
      <c r="AJ176" s="907"/>
      <c r="AK176" s="907"/>
      <c r="AL176" s="907"/>
      <c r="AM176" s="907"/>
    </row>
    <row r="177" spans="1:39">
      <c r="A177" s="907"/>
      <c r="B177" s="907"/>
      <c r="C177" s="907"/>
      <c r="D177" s="907"/>
      <c r="E177" s="907"/>
      <c r="F177" s="907"/>
      <c r="G177" s="907"/>
      <c r="H177" s="907"/>
      <c r="I177" s="907"/>
      <c r="J177" s="907"/>
      <c r="K177" s="907"/>
      <c r="L177" s="907"/>
      <c r="M177" s="907"/>
      <c r="N177" s="907"/>
      <c r="O177" s="907"/>
      <c r="P177" s="907"/>
      <c r="Q177" s="907"/>
      <c r="R177" s="907"/>
      <c r="S177" s="907"/>
      <c r="T177" s="907"/>
      <c r="U177" s="907"/>
      <c r="V177" s="907"/>
      <c r="W177" s="907"/>
      <c r="X177" s="907"/>
      <c r="Y177" s="907"/>
      <c r="Z177" s="907"/>
      <c r="AA177" s="907"/>
      <c r="AB177" s="907"/>
      <c r="AC177" s="907"/>
      <c r="AD177" s="907"/>
      <c r="AE177" s="907"/>
      <c r="AF177" s="907"/>
      <c r="AG177" s="907"/>
      <c r="AH177" s="907"/>
      <c r="AI177" s="907"/>
      <c r="AJ177" s="907"/>
      <c r="AK177" s="907"/>
      <c r="AL177" s="907"/>
      <c r="AM177" s="907"/>
    </row>
    <row r="178" spans="1:39">
      <c r="A178" s="907"/>
      <c r="B178" s="907"/>
      <c r="C178" s="907"/>
      <c r="D178" s="907"/>
      <c r="E178" s="907"/>
      <c r="F178" s="907"/>
      <c r="G178" s="907"/>
      <c r="H178" s="907"/>
      <c r="I178" s="907"/>
      <c r="J178" s="907"/>
      <c r="K178" s="907"/>
      <c r="L178" s="907"/>
      <c r="M178" s="907"/>
      <c r="N178" s="907"/>
      <c r="O178" s="907"/>
      <c r="P178" s="907"/>
      <c r="Q178" s="907"/>
      <c r="R178" s="907"/>
      <c r="S178" s="907"/>
      <c r="T178" s="907"/>
      <c r="U178" s="907"/>
      <c r="V178" s="907"/>
      <c r="W178" s="907"/>
      <c r="X178" s="907"/>
      <c r="Y178" s="907"/>
      <c r="Z178" s="907"/>
      <c r="AA178" s="907"/>
      <c r="AB178" s="907"/>
      <c r="AC178" s="907"/>
      <c r="AD178" s="907"/>
      <c r="AE178" s="907"/>
      <c r="AF178" s="907"/>
      <c r="AG178" s="907"/>
      <c r="AH178" s="907"/>
      <c r="AI178" s="907"/>
      <c r="AJ178" s="907"/>
      <c r="AK178" s="907"/>
      <c r="AL178" s="907"/>
      <c r="AM178" s="907"/>
    </row>
    <row r="179" spans="1:39">
      <c r="A179" s="907"/>
      <c r="B179" s="907"/>
      <c r="C179" s="907"/>
      <c r="D179" s="907"/>
      <c r="E179" s="907"/>
      <c r="F179" s="907"/>
      <c r="G179" s="907"/>
      <c r="H179" s="907"/>
      <c r="I179" s="907"/>
      <c r="J179" s="907"/>
      <c r="K179" s="907"/>
      <c r="L179" s="907"/>
      <c r="M179" s="907"/>
      <c r="N179" s="907"/>
      <c r="O179" s="907"/>
      <c r="P179" s="907"/>
      <c r="Q179" s="907"/>
      <c r="R179" s="907"/>
      <c r="S179" s="907"/>
      <c r="T179" s="907"/>
      <c r="U179" s="907"/>
      <c r="V179" s="907"/>
      <c r="W179" s="907"/>
      <c r="X179" s="907"/>
      <c r="Y179" s="907"/>
      <c r="Z179" s="907"/>
      <c r="AA179" s="907"/>
      <c r="AB179" s="907"/>
      <c r="AC179" s="907"/>
      <c r="AD179" s="907"/>
      <c r="AE179" s="907"/>
      <c r="AF179" s="907"/>
      <c r="AG179" s="907"/>
      <c r="AH179" s="907"/>
      <c r="AI179" s="907"/>
      <c r="AJ179" s="907"/>
      <c r="AK179" s="907"/>
      <c r="AL179" s="907"/>
      <c r="AM179" s="907"/>
    </row>
    <row r="180" spans="1:39">
      <c r="A180" s="907"/>
      <c r="B180" s="907"/>
      <c r="C180" s="907"/>
      <c r="D180" s="907"/>
      <c r="E180" s="907"/>
      <c r="F180" s="907"/>
      <c r="G180" s="907"/>
      <c r="H180" s="907"/>
      <c r="I180" s="907"/>
      <c r="J180" s="907"/>
      <c r="K180" s="907"/>
      <c r="L180" s="907"/>
      <c r="M180" s="907"/>
      <c r="N180" s="907"/>
      <c r="O180" s="907"/>
      <c r="P180" s="907"/>
      <c r="Q180" s="907"/>
      <c r="R180" s="907"/>
      <c r="S180" s="907"/>
      <c r="T180" s="907"/>
      <c r="U180" s="907"/>
      <c r="V180" s="907"/>
      <c r="W180" s="907"/>
      <c r="X180" s="907"/>
      <c r="Y180" s="907"/>
      <c r="Z180" s="907"/>
      <c r="AA180" s="907"/>
      <c r="AB180" s="907"/>
      <c r="AC180" s="907"/>
      <c r="AD180" s="907"/>
      <c r="AE180" s="907"/>
      <c r="AF180" s="907"/>
      <c r="AG180" s="907"/>
      <c r="AH180" s="907"/>
      <c r="AI180" s="907"/>
      <c r="AJ180" s="907"/>
      <c r="AK180" s="907"/>
      <c r="AL180" s="907"/>
      <c r="AM180" s="907"/>
    </row>
    <row r="181" spans="1:39">
      <c r="A181" s="907"/>
      <c r="B181" s="907"/>
      <c r="C181" s="907"/>
      <c r="D181" s="907"/>
      <c r="E181" s="907"/>
      <c r="F181" s="907"/>
      <c r="G181" s="907"/>
      <c r="H181" s="907"/>
      <c r="I181" s="907"/>
      <c r="J181" s="907"/>
      <c r="K181" s="907"/>
      <c r="L181" s="907"/>
      <c r="M181" s="907"/>
      <c r="N181" s="907"/>
      <c r="O181" s="907"/>
      <c r="P181" s="907"/>
      <c r="Q181" s="907"/>
      <c r="R181" s="907"/>
      <c r="S181" s="907"/>
      <c r="T181" s="907"/>
      <c r="U181" s="907"/>
      <c r="V181" s="907"/>
      <c r="W181" s="907"/>
      <c r="X181" s="907"/>
      <c r="Y181" s="907"/>
      <c r="Z181" s="907"/>
      <c r="AA181" s="907"/>
      <c r="AB181" s="907"/>
      <c r="AC181" s="907"/>
      <c r="AD181" s="907"/>
      <c r="AE181" s="907"/>
      <c r="AF181" s="907"/>
      <c r="AG181" s="907"/>
      <c r="AH181" s="907"/>
      <c r="AI181" s="907"/>
      <c r="AJ181" s="907"/>
      <c r="AK181" s="907"/>
      <c r="AL181" s="907"/>
      <c r="AM181" s="907"/>
    </row>
    <row r="182" spans="1:39">
      <c r="A182" s="907"/>
      <c r="B182" s="907"/>
      <c r="C182" s="907"/>
      <c r="D182" s="907"/>
      <c r="E182" s="907"/>
      <c r="F182" s="907"/>
      <c r="G182" s="907"/>
      <c r="H182" s="907"/>
      <c r="I182" s="907"/>
      <c r="J182" s="907"/>
      <c r="K182" s="907"/>
      <c r="L182" s="907"/>
      <c r="M182" s="907"/>
      <c r="N182" s="907"/>
      <c r="O182" s="907"/>
      <c r="P182" s="907"/>
      <c r="Q182" s="907"/>
      <c r="R182" s="907"/>
      <c r="S182" s="907"/>
      <c r="T182" s="907"/>
      <c r="U182" s="907"/>
      <c r="V182" s="907"/>
      <c r="W182" s="907"/>
      <c r="X182" s="907"/>
      <c r="Y182" s="907"/>
      <c r="Z182" s="907"/>
      <c r="AA182" s="907"/>
      <c r="AB182" s="907"/>
      <c r="AC182" s="907"/>
      <c r="AD182" s="907"/>
      <c r="AE182" s="907"/>
      <c r="AF182" s="907"/>
      <c r="AG182" s="907"/>
      <c r="AH182" s="907"/>
      <c r="AI182" s="907"/>
      <c r="AJ182" s="907"/>
      <c r="AK182" s="907"/>
      <c r="AL182" s="907"/>
      <c r="AM182" s="907"/>
    </row>
    <row r="183" spans="1:39">
      <c r="A183" s="907"/>
      <c r="B183" s="907"/>
      <c r="C183" s="907"/>
      <c r="D183" s="907"/>
      <c r="E183" s="907"/>
      <c r="F183" s="907"/>
      <c r="G183" s="907"/>
      <c r="H183" s="907"/>
      <c r="I183" s="907"/>
      <c r="J183" s="907"/>
      <c r="K183" s="907"/>
      <c r="L183" s="907"/>
      <c r="M183" s="907"/>
      <c r="N183" s="907"/>
      <c r="O183" s="907"/>
      <c r="P183" s="907"/>
      <c r="Q183" s="907"/>
      <c r="R183" s="907"/>
      <c r="S183" s="907"/>
      <c r="T183" s="907"/>
      <c r="U183" s="907"/>
      <c r="V183" s="907"/>
      <c r="W183" s="907"/>
      <c r="X183" s="907"/>
      <c r="Y183" s="907"/>
      <c r="Z183" s="907"/>
      <c r="AA183" s="907"/>
      <c r="AB183" s="907"/>
      <c r="AC183" s="907"/>
      <c r="AD183" s="907"/>
      <c r="AE183" s="907"/>
      <c r="AF183" s="907"/>
      <c r="AG183" s="907"/>
      <c r="AH183" s="907"/>
      <c r="AI183" s="907"/>
      <c r="AJ183" s="907"/>
      <c r="AK183" s="907"/>
      <c r="AL183" s="907"/>
      <c r="AM183" s="907"/>
    </row>
    <row r="184" spans="1:39">
      <c r="A184" s="907"/>
      <c r="B184" s="907"/>
      <c r="C184" s="907"/>
      <c r="D184" s="907"/>
      <c r="E184" s="907"/>
      <c r="F184" s="907"/>
      <c r="G184" s="907"/>
      <c r="H184" s="907"/>
      <c r="I184" s="907"/>
      <c r="J184" s="907"/>
      <c r="K184" s="907"/>
      <c r="L184" s="907"/>
      <c r="M184" s="907"/>
      <c r="N184" s="907"/>
      <c r="O184" s="907"/>
      <c r="P184" s="907"/>
      <c r="Q184" s="907"/>
      <c r="R184" s="907"/>
      <c r="S184" s="907"/>
      <c r="T184" s="907"/>
      <c r="U184" s="907"/>
      <c r="V184" s="907"/>
      <c r="W184" s="907"/>
      <c r="X184" s="907"/>
      <c r="Y184" s="907"/>
      <c r="Z184" s="907"/>
      <c r="AA184" s="907"/>
      <c r="AB184" s="907"/>
      <c r="AC184" s="907"/>
      <c r="AD184" s="907"/>
      <c r="AE184" s="907"/>
      <c r="AF184" s="907"/>
      <c r="AG184" s="907"/>
      <c r="AH184" s="907"/>
      <c r="AI184" s="907"/>
      <c r="AJ184" s="907"/>
      <c r="AK184" s="907"/>
      <c r="AL184" s="907"/>
      <c r="AM184" s="907"/>
    </row>
    <row r="185" spans="1:39">
      <c r="A185" s="907"/>
      <c r="B185" s="907"/>
      <c r="C185" s="907"/>
      <c r="D185" s="907"/>
      <c r="E185" s="907"/>
      <c r="F185" s="907"/>
      <c r="G185" s="907"/>
      <c r="H185" s="907"/>
      <c r="I185" s="907"/>
      <c r="J185" s="907"/>
      <c r="K185" s="907"/>
      <c r="L185" s="907"/>
      <c r="M185" s="907"/>
      <c r="N185" s="907"/>
      <c r="O185" s="907"/>
      <c r="P185" s="907"/>
      <c r="Q185" s="907"/>
      <c r="R185" s="907"/>
      <c r="S185" s="907"/>
      <c r="T185" s="907"/>
      <c r="U185" s="907"/>
      <c r="V185" s="907"/>
      <c r="W185" s="907"/>
      <c r="X185" s="907"/>
      <c r="Y185" s="907"/>
      <c r="Z185" s="907"/>
      <c r="AA185" s="907"/>
      <c r="AB185" s="907"/>
      <c r="AC185" s="907"/>
      <c r="AD185" s="907"/>
      <c r="AE185" s="907"/>
      <c r="AF185" s="907"/>
      <c r="AG185" s="907"/>
      <c r="AH185" s="907"/>
      <c r="AI185" s="907"/>
      <c r="AJ185" s="907"/>
      <c r="AK185" s="907"/>
      <c r="AL185" s="907"/>
      <c r="AM185" s="907"/>
    </row>
    <row r="186" spans="1:39">
      <c r="A186" s="907"/>
      <c r="B186" s="907"/>
      <c r="C186" s="907"/>
      <c r="D186" s="907"/>
      <c r="E186" s="907"/>
      <c r="F186" s="907"/>
      <c r="G186" s="907"/>
      <c r="H186" s="907"/>
      <c r="I186" s="907"/>
      <c r="J186" s="907"/>
      <c r="K186" s="907"/>
      <c r="L186" s="907"/>
      <c r="M186" s="907"/>
      <c r="N186" s="907"/>
      <c r="O186" s="907"/>
      <c r="P186" s="907"/>
      <c r="Q186" s="907"/>
      <c r="R186" s="907"/>
      <c r="S186" s="907"/>
      <c r="T186" s="907"/>
      <c r="U186" s="907"/>
      <c r="V186" s="907"/>
      <c r="W186" s="907"/>
      <c r="X186" s="907"/>
      <c r="Y186" s="907"/>
      <c r="Z186" s="907"/>
      <c r="AA186" s="907"/>
      <c r="AB186" s="907"/>
      <c r="AC186" s="907"/>
      <c r="AD186" s="907"/>
      <c r="AE186" s="907"/>
      <c r="AF186" s="907"/>
      <c r="AG186" s="907"/>
      <c r="AH186" s="907"/>
      <c r="AI186" s="907"/>
      <c r="AJ186" s="907"/>
      <c r="AK186" s="907"/>
      <c r="AL186" s="907"/>
      <c r="AM186" s="907"/>
    </row>
    <row r="187" spans="1:39">
      <c r="A187" s="907"/>
      <c r="B187" s="907"/>
      <c r="C187" s="907"/>
      <c r="D187" s="907"/>
      <c r="E187" s="907"/>
      <c r="F187" s="907"/>
      <c r="G187" s="907"/>
      <c r="H187" s="907"/>
      <c r="I187" s="907"/>
      <c r="J187" s="907"/>
      <c r="K187" s="907"/>
      <c r="L187" s="907"/>
      <c r="M187" s="907"/>
      <c r="N187" s="907"/>
      <c r="O187" s="907"/>
      <c r="P187" s="907"/>
      <c r="Q187" s="907"/>
      <c r="R187" s="907"/>
      <c r="S187" s="907"/>
      <c r="T187" s="907"/>
      <c r="U187" s="907"/>
      <c r="V187" s="907"/>
      <c r="W187" s="907"/>
      <c r="X187" s="907"/>
      <c r="Y187" s="907"/>
      <c r="Z187" s="907"/>
      <c r="AA187" s="907"/>
      <c r="AB187" s="907"/>
      <c r="AC187" s="907"/>
      <c r="AD187" s="907"/>
      <c r="AE187" s="907"/>
      <c r="AF187" s="907"/>
      <c r="AG187" s="907"/>
      <c r="AH187" s="907"/>
      <c r="AI187" s="907"/>
      <c r="AJ187" s="907"/>
      <c r="AK187" s="907"/>
      <c r="AL187" s="907"/>
      <c r="AM187" s="907"/>
    </row>
    <row r="188" spans="1:39">
      <c r="A188" s="907"/>
      <c r="B188" s="907"/>
      <c r="C188" s="907"/>
      <c r="D188" s="907"/>
      <c r="E188" s="907"/>
      <c r="F188" s="907"/>
      <c r="G188" s="907"/>
      <c r="H188" s="907"/>
      <c r="I188" s="907"/>
      <c r="J188" s="907"/>
      <c r="K188" s="907"/>
      <c r="L188" s="907"/>
      <c r="M188" s="907"/>
      <c r="N188" s="907"/>
      <c r="O188" s="907"/>
      <c r="P188" s="907"/>
      <c r="Q188" s="907"/>
      <c r="R188" s="907"/>
      <c r="S188" s="907"/>
      <c r="T188" s="907"/>
      <c r="U188" s="907"/>
      <c r="V188" s="907"/>
      <c r="W188" s="907"/>
      <c r="X188" s="907"/>
      <c r="Y188" s="907"/>
      <c r="Z188" s="907"/>
      <c r="AA188" s="907"/>
      <c r="AB188" s="907"/>
      <c r="AC188" s="907"/>
      <c r="AD188" s="907"/>
      <c r="AE188" s="907"/>
      <c r="AF188" s="907"/>
      <c r="AG188" s="907"/>
      <c r="AH188" s="907"/>
      <c r="AI188" s="907"/>
      <c r="AJ188" s="907"/>
      <c r="AK188" s="907"/>
      <c r="AL188" s="907"/>
      <c r="AM188" s="907"/>
    </row>
    <row r="189" spans="1:39">
      <c r="A189" s="907"/>
      <c r="B189" s="907"/>
      <c r="C189" s="907"/>
      <c r="D189" s="907"/>
      <c r="E189" s="907"/>
      <c r="F189" s="907"/>
      <c r="G189" s="907"/>
      <c r="H189" s="907"/>
      <c r="I189" s="907"/>
      <c r="J189" s="907"/>
      <c r="K189" s="907"/>
      <c r="L189" s="907"/>
      <c r="M189" s="907"/>
      <c r="N189" s="907"/>
      <c r="O189" s="907"/>
      <c r="P189" s="907"/>
      <c r="Q189" s="907"/>
      <c r="R189" s="907"/>
      <c r="S189" s="907"/>
      <c r="T189" s="907"/>
      <c r="U189" s="907"/>
      <c r="V189" s="907"/>
      <c r="W189" s="907"/>
      <c r="X189" s="907"/>
      <c r="Y189" s="907"/>
      <c r="Z189" s="907"/>
      <c r="AA189" s="907"/>
      <c r="AB189" s="907"/>
      <c r="AC189" s="907"/>
      <c r="AD189" s="907"/>
      <c r="AE189" s="907"/>
      <c r="AF189" s="907"/>
      <c r="AG189" s="907"/>
      <c r="AH189" s="907"/>
      <c r="AI189" s="907"/>
      <c r="AJ189" s="907"/>
      <c r="AK189" s="907"/>
      <c r="AL189" s="907"/>
      <c r="AM189" s="907"/>
    </row>
    <row r="190" spans="1:39">
      <c r="A190" s="907"/>
      <c r="B190" s="907"/>
      <c r="C190" s="907"/>
      <c r="D190" s="907"/>
      <c r="E190" s="907"/>
      <c r="F190" s="907"/>
      <c r="G190" s="907"/>
      <c r="H190" s="907"/>
      <c r="I190" s="907"/>
      <c r="J190" s="907"/>
      <c r="K190" s="907"/>
      <c r="L190" s="907"/>
      <c r="M190" s="907"/>
      <c r="N190" s="907"/>
      <c r="O190" s="907"/>
      <c r="P190" s="907"/>
      <c r="Q190" s="907"/>
      <c r="R190" s="907"/>
      <c r="S190" s="907"/>
      <c r="T190" s="907"/>
      <c r="U190" s="907"/>
      <c r="V190" s="907"/>
      <c r="W190" s="907"/>
      <c r="X190" s="907"/>
      <c r="Y190" s="907"/>
      <c r="Z190" s="907"/>
      <c r="AA190" s="907"/>
      <c r="AB190" s="907"/>
      <c r="AC190" s="907"/>
      <c r="AD190" s="907"/>
      <c r="AE190" s="907"/>
      <c r="AF190" s="907"/>
      <c r="AG190" s="907"/>
      <c r="AH190" s="907"/>
      <c r="AI190" s="907"/>
      <c r="AJ190" s="907"/>
      <c r="AK190" s="907"/>
      <c r="AL190" s="907"/>
      <c r="AM190" s="907"/>
    </row>
    <row r="191" spans="1:39">
      <c r="A191" s="907"/>
      <c r="B191" s="907"/>
      <c r="C191" s="907"/>
      <c r="D191" s="907"/>
      <c r="E191" s="907"/>
      <c r="F191" s="907"/>
      <c r="G191" s="907"/>
      <c r="H191" s="907"/>
      <c r="I191" s="907"/>
      <c r="J191" s="907"/>
      <c r="K191" s="907"/>
      <c r="L191" s="907"/>
      <c r="M191" s="907"/>
      <c r="N191" s="907"/>
      <c r="O191" s="907"/>
      <c r="P191" s="907"/>
      <c r="Q191" s="907"/>
      <c r="R191" s="907"/>
      <c r="S191" s="907"/>
      <c r="T191" s="907"/>
      <c r="U191" s="907"/>
      <c r="V191" s="907"/>
      <c r="W191" s="907"/>
      <c r="X191" s="907"/>
      <c r="Y191" s="907"/>
      <c r="Z191" s="907"/>
      <c r="AA191" s="907"/>
      <c r="AB191" s="907"/>
      <c r="AC191" s="907"/>
      <c r="AD191" s="907"/>
      <c r="AE191" s="907"/>
      <c r="AF191" s="907"/>
      <c r="AG191" s="907"/>
      <c r="AH191" s="907"/>
      <c r="AI191" s="907"/>
      <c r="AJ191" s="907"/>
      <c r="AK191" s="907"/>
      <c r="AL191" s="907"/>
      <c r="AM191" s="907"/>
    </row>
    <row r="192" spans="1:39">
      <c r="A192" s="907"/>
      <c r="B192" s="907"/>
      <c r="C192" s="907"/>
      <c r="D192" s="907"/>
      <c r="E192" s="907"/>
      <c r="F192" s="907"/>
      <c r="G192" s="907"/>
      <c r="H192" s="907"/>
      <c r="I192" s="907"/>
      <c r="J192" s="907"/>
      <c r="K192" s="907"/>
      <c r="L192" s="907"/>
      <c r="M192" s="907"/>
      <c r="N192" s="907"/>
      <c r="O192" s="907"/>
      <c r="P192" s="907"/>
      <c r="Q192" s="907"/>
      <c r="R192" s="907"/>
      <c r="S192" s="907"/>
      <c r="T192" s="907"/>
      <c r="U192" s="907"/>
      <c r="V192" s="907"/>
      <c r="W192" s="907"/>
      <c r="X192" s="907"/>
      <c r="Y192" s="907"/>
      <c r="Z192" s="907"/>
      <c r="AA192" s="907"/>
      <c r="AB192" s="907"/>
      <c r="AC192" s="907"/>
      <c r="AD192" s="907"/>
      <c r="AE192" s="907"/>
      <c r="AF192" s="907"/>
      <c r="AG192" s="907"/>
      <c r="AH192" s="907"/>
      <c r="AI192" s="907"/>
      <c r="AJ192" s="907"/>
      <c r="AK192" s="907"/>
      <c r="AL192" s="907"/>
      <c r="AM192" s="907"/>
    </row>
    <row r="193" spans="1:39">
      <c r="A193" s="907"/>
      <c r="B193" s="907"/>
      <c r="C193" s="907"/>
      <c r="D193" s="907"/>
      <c r="E193" s="907"/>
      <c r="F193" s="907"/>
      <c r="G193" s="907"/>
      <c r="H193" s="907"/>
      <c r="I193" s="907"/>
      <c r="J193" s="907"/>
      <c r="K193" s="907"/>
      <c r="L193" s="907"/>
      <c r="M193" s="907"/>
      <c r="N193" s="907"/>
      <c r="O193" s="907"/>
      <c r="P193" s="907"/>
      <c r="Q193" s="907"/>
      <c r="R193" s="907"/>
      <c r="S193" s="907"/>
      <c r="T193" s="907"/>
      <c r="U193" s="907"/>
      <c r="V193" s="907"/>
      <c r="W193" s="907"/>
      <c r="X193" s="907"/>
      <c r="Y193" s="907"/>
      <c r="Z193" s="907"/>
      <c r="AA193" s="907"/>
      <c r="AB193" s="907"/>
      <c r="AC193" s="907"/>
      <c r="AD193" s="907"/>
      <c r="AE193" s="907"/>
      <c r="AF193" s="907"/>
      <c r="AG193" s="907"/>
      <c r="AH193" s="907"/>
      <c r="AI193" s="907"/>
      <c r="AJ193" s="907"/>
      <c r="AK193" s="907"/>
      <c r="AL193" s="907"/>
      <c r="AM193" s="907"/>
    </row>
    <row r="194" spans="1:39">
      <c r="A194" s="907"/>
      <c r="B194" s="907"/>
      <c r="C194" s="907"/>
      <c r="D194" s="907"/>
      <c r="E194" s="907"/>
      <c r="F194" s="907"/>
      <c r="G194" s="907"/>
      <c r="H194" s="907"/>
      <c r="I194" s="907"/>
      <c r="J194" s="907"/>
      <c r="K194" s="907"/>
      <c r="L194" s="907"/>
      <c r="M194" s="907"/>
      <c r="N194" s="907"/>
      <c r="O194" s="907"/>
      <c r="P194" s="907"/>
      <c r="Q194" s="907"/>
      <c r="R194" s="907"/>
      <c r="S194" s="907"/>
      <c r="T194" s="907"/>
      <c r="U194" s="907"/>
      <c r="V194" s="907"/>
      <c r="W194" s="907"/>
      <c r="X194" s="907"/>
      <c r="Y194" s="907"/>
      <c r="Z194" s="907"/>
      <c r="AA194" s="907"/>
      <c r="AB194" s="907"/>
      <c r="AC194" s="907"/>
      <c r="AD194" s="907"/>
      <c r="AE194" s="907"/>
      <c r="AF194" s="907"/>
      <c r="AG194" s="907"/>
      <c r="AH194" s="907"/>
      <c r="AI194" s="907"/>
      <c r="AJ194" s="907"/>
      <c r="AK194" s="907"/>
      <c r="AL194" s="907"/>
      <c r="AM194" s="907"/>
    </row>
    <row r="195" spans="1:39">
      <c r="A195" s="907"/>
      <c r="B195" s="907"/>
      <c r="C195" s="907"/>
      <c r="D195" s="907"/>
      <c r="E195" s="907"/>
      <c r="F195" s="907"/>
      <c r="G195" s="907"/>
      <c r="H195" s="907"/>
      <c r="I195" s="907"/>
      <c r="J195" s="907"/>
      <c r="K195" s="907"/>
      <c r="L195" s="907"/>
      <c r="M195" s="907"/>
      <c r="N195" s="907"/>
      <c r="O195" s="907"/>
      <c r="P195" s="907"/>
      <c r="Q195" s="907"/>
      <c r="R195" s="907"/>
      <c r="S195" s="907"/>
      <c r="T195" s="907"/>
      <c r="U195" s="907"/>
      <c r="V195" s="907"/>
      <c r="W195" s="907"/>
      <c r="X195" s="907"/>
      <c r="Y195" s="907"/>
      <c r="Z195" s="907"/>
      <c r="AA195" s="907"/>
      <c r="AB195" s="907"/>
      <c r="AC195" s="907"/>
      <c r="AD195" s="907"/>
      <c r="AE195" s="907"/>
      <c r="AF195" s="907"/>
      <c r="AG195" s="907"/>
      <c r="AH195" s="907"/>
      <c r="AI195" s="907"/>
      <c r="AJ195" s="907"/>
      <c r="AK195" s="907"/>
      <c r="AL195" s="907"/>
      <c r="AM195" s="907"/>
    </row>
    <row r="196" spans="1:39">
      <c r="A196" s="907"/>
      <c r="B196" s="907"/>
      <c r="C196" s="907"/>
      <c r="D196" s="907"/>
      <c r="E196" s="907"/>
      <c r="F196" s="907"/>
      <c r="G196" s="907"/>
      <c r="H196" s="907"/>
      <c r="I196" s="907"/>
      <c r="J196" s="907"/>
      <c r="K196" s="907"/>
      <c r="L196" s="907"/>
      <c r="M196" s="907"/>
      <c r="N196" s="907"/>
      <c r="O196" s="907"/>
      <c r="P196" s="907"/>
      <c r="Q196" s="907"/>
      <c r="R196" s="907"/>
      <c r="S196" s="907"/>
      <c r="T196" s="907"/>
      <c r="U196" s="907"/>
      <c r="V196" s="907"/>
      <c r="W196" s="907"/>
      <c r="X196" s="907"/>
      <c r="Y196" s="907"/>
      <c r="Z196" s="907"/>
      <c r="AA196" s="907"/>
      <c r="AB196" s="907"/>
      <c r="AC196" s="907"/>
      <c r="AD196" s="907"/>
      <c r="AE196" s="907"/>
      <c r="AF196" s="907"/>
      <c r="AG196" s="907"/>
      <c r="AH196" s="907"/>
      <c r="AI196" s="907"/>
      <c r="AJ196" s="907"/>
      <c r="AK196" s="907"/>
      <c r="AL196" s="907"/>
      <c r="AM196" s="907"/>
    </row>
    <row r="197" spans="1:39">
      <c r="A197" s="907"/>
      <c r="B197" s="907"/>
      <c r="C197" s="907"/>
      <c r="D197" s="907"/>
      <c r="E197" s="907"/>
      <c r="F197" s="907"/>
      <c r="G197" s="907"/>
      <c r="H197" s="907"/>
      <c r="I197" s="907"/>
      <c r="J197" s="907"/>
      <c r="K197" s="907"/>
      <c r="L197" s="907"/>
      <c r="M197" s="907"/>
      <c r="N197" s="907"/>
      <c r="O197" s="907"/>
      <c r="P197" s="907"/>
      <c r="Q197" s="907"/>
      <c r="R197" s="907"/>
      <c r="S197" s="907"/>
      <c r="T197" s="907"/>
      <c r="U197" s="907"/>
      <c r="V197" s="907"/>
      <c r="W197" s="907"/>
      <c r="X197" s="907"/>
      <c r="Y197" s="907"/>
      <c r="Z197" s="907"/>
      <c r="AA197" s="907"/>
      <c r="AB197" s="907"/>
      <c r="AC197" s="907"/>
      <c r="AD197" s="907"/>
      <c r="AE197" s="907"/>
      <c r="AF197" s="907"/>
      <c r="AG197" s="907"/>
      <c r="AH197" s="907"/>
      <c r="AI197" s="907"/>
      <c r="AJ197" s="907"/>
      <c r="AK197" s="907"/>
      <c r="AL197" s="907"/>
      <c r="AM197" s="907"/>
    </row>
    <row r="198" spans="1:39">
      <c r="A198" s="907"/>
      <c r="B198" s="907"/>
      <c r="C198" s="907"/>
      <c r="D198" s="907"/>
      <c r="E198" s="907"/>
      <c r="F198" s="907"/>
      <c r="G198" s="907"/>
      <c r="H198" s="907"/>
      <c r="I198" s="907"/>
      <c r="J198" s="907"/>
      <c r="K198" s="907"/>
      <c r="L198" s="907"/>
      <c r="M198" s="907"/>
      <c r="N198" s="907"/>
      <c r="O198" s="907"/>
      <c r="P198" s="907"/>
      <c r="Q198" s="907"/>
      <c r="R198" s="907"/>
      <c r="S198" s="907"/>
      <c r="T198" s="907"/>
      <c r="U198" s="907"/>
      <c r="V198" s="907"/>
      <c r="W198" s="907"/>
      <c r="X198" s="907"/>
      <c r="Y198" s="907"/>
      <c r="Z198" s="907"/>
      <c r="AA198" s="907"/>
      <c r="AB198" s="907"/>
      <c r="AC198" s="907"/>
      <c r="AD198" s="907"/>
      <c r="AE198" s="907"/>
      <c r="AF198" s="907"/>
      <c r="AG198" s="907"/>
      <c r="AH198" s="907"/>
      <c r="AI198" s="907"/>
      <c r="AJ198" s="907"/>
      <c r="AK198" s="907"/>
      <c r="AL198" s="907"/>
      <c r="AM198" s="907"/>
    </row>
    <row r="199" spans="1:39">
      <c r="A199" s="907"/>
      <c r="B199" s="907"/>
      <c r="C199" s="907"/>
      <c r="D199" s="907"/>
      <c r="E199" s="907"/>
      <c r="F199" s="907"/>
      <c r="G199" s="907"/>
      <c r="H199" s="907"/>
      <c r="I199" s="907"/>
      <c r="J199" s="907"/>
      <c r="K199" s="907"/>
      <c r="L199" s="907"/>
      <c r="M199" s="907"/>
      <c r="N199" s="907"/>
      <c r="O199" s="907"/>
      <c r="P199" s="907"/>
      <c r="Q199" s="907"/>
      <c r="R199" s="907"/>
      <c r="S199" s="907"/>
      <c r="T199" s="907"/>
      <c r="U199" s="907"/>
      <c r="V199" s="907"/>
      <c r="W199" s="907"/>
      <c r="X199" s="907"/>
      <c r="Y199" s="907"/>
      <c r="Z199" s="907"/>
      <c r="AA199" s="907"/>
      <c r="AB199" s="907"/>
      <c r="AC199" s="907"/>
      <c r="AD199" s="907"/>
      <c r="AE199" s="907"/>
      <c r="AF199" s="907"/>
      <c r="AG199" s="907"/>
      <c r="AH199" s="907"/>
      <c r="AI199" s="907"/>
      <c r="AJ199" s="907"/>
      <c r="AK199" s="907"/>
      <c r="AL199" s="907"/>
      <c r="AM199" s="907"/>
    </row>
    <row r="200" spans="1:39">
      <c r="A200" s="907"/>
      <c r="B200" s="907"/>
      <c r="C200" s="907"/>
      <c r="D200" s="907"/>
      <c r="E200" s="907"/>
      <c r="F200" s="907"/>
      <c r="G200" s="907"/>
      <c r="H200" s="907"/>
      <c r="I200" s="907"/>
      <c r="J200" s="907"/>
      <c r="K200" s="907"/>
      <c r="L200" s="907"/>
      <c r="M200" s="907"/>
      <c r="N200" s="907"/>
      <c r="O200" s="907"/>
      <c r="P200" s="907"/>
      <c r="Q200" s="907"/>
      <c r="R200" s="907"/>
      <c r="S200" s="907"/>
      <c r="T200" s="907"/>
      <c r="U200" s="907"/>
      <c r="V200" s="907"/>
      <c r="W200" s="907"/>
      <c r="X200" s="907"/>
      <c r="Y200" s="907"/>
      <c r="Z200" s="907"/>
      <c r="AA200" s="907"/>
      <c r="AB200" s="907"/>
      <c r="AC200" s="907"/>
      <c r="AD200" s="907"/>
      <c r="AE200" s="907"/>
      <c r="AF200" s="907"/>
      <c r="AG200" s="907"/>
      <c r="AH200" s="907"/>
      <c r="AI200" s="907"/>
      <c r="AJ200" s="907"/>
      <c r="AK200" s="907"/>
      <c r="AL200" s="907"/>
      <c r="AM200" s="907"/>
    </row>
    <row r="201" spans="1:39">
      <c r="A201" s="907"/>
      <c r="B201" s="907"/>
      <c r="C201" s="907"/>
      <c r="D201" s="907"/>
      <c r="E201" s="907"/>
      <c r="F201" s="907"/>
      <c r="G201" s="907"/>
      <c r="H201" s="907"/>
      <c r="I201" s="907"/>
      <c r="J201" s="907"/>
      <c r="K201" s="907"/>
      <c r="L201" s="907"/>
      <c r="M201" s="907"/>
      <c r="N201" s="907"/>
      <c r="O201" s="907"/>
      <c r="P201" s="907"/>
      <c r="Q201" s="907"/>
      <c r="R201" s="907"/>
      <c r="S201" s="907"/>
      <c r="T201" s="907"/>
      <c r="U201" s="907"/>
      <c r="V201" s="907"/>
      <c r="W201" s="907"/>
      <c r="X201" s="907"/>
      <c r="Y201" s="907"/>
      <c r="Z201" s="907"/>
      <c r="AA201" s="907"/>
      <c r="AB201" s="907"/>
      <c r="AC201" s="907"/>
      <c r="AD201" s="907"/>
      <c r="AE201" s="907"/>
      <c r="AF201" s="907"/>
      <c r="AG201" s="907"/>
      <c r="AH201" s="907"/>
      <c r="AI201" s="907"/>
      <c r="AJ201" s="907"/>
      <c r="AK201" s="907"/>
      <c r="AL201" s="907"/>
      <c r="AM201" s="907"/>
    </row>
    <row r="202" spans="1:39">
      <c r="A202" s="907"/>
      <c r="B202" s="907"/>
      <c r="C202" s="907"/>
      <c r="D202" s="907"/>
      <c r="E202" s="907"/>
      <c r="F202" s="907"/>
      <c r="G202" s="907"/>
      <c r="H202" s="907"/>
      <c r="I202" s="907"/>
      <c r="J202" s="907"/>
      <c r="K202" s="907"/>
      <c r="L202" s="907"/>
      <c r="M202" s="907"/>
      <c r="N202" s="907"/>
      <c r="O202" s="907"/>
      <c r="P202" s="907"/>
      <c r="Q202" s="907"/>
      <c r="R202" s="907"/>
      <c r="S202" s="907"/>
      <c r="T202" s="907"/>
      <c r="U202" s="907"/>
      <c r="V202" s="907"/>
      <c r="W202" s="907"/>
      <c r="X202" s="907"/>
      <c r="Y202" s="907"/>
      <c r="Z202" s="907"/>
      <c r="AA202" s="907"/>
      <c r="AB202" s="907"/>
      <c r="AC202" s="907"/>
      <c r="AD202" s="907"/>
      <c r="AE202" s="907"/>
      <c r="AF202" s="907"/>
      <c r="AG202" s="907"/>
      <c r="AH202" s="907"/>
      <c r="AI202" s="907"/>
      <c r="AJ202" s="907"/>
      <c r="AK202" s="907"/>
      <c r="AL202" s="907"/>
      <c r="AM202" s="907"/>
    </row>
    <row r="203" spans="1:39">
      <c r="A203" s="907"/>
      <c r="B203" s="907"/>
      <c r="C203" s="907"/>
      <c r="D203" s="907"/>
      <c r="E203" s="907"/>
      <c r="F203" s="907"/>
      <c r="G203" s="907"/>
      <c r="H203" s="907"/>
      <c r="I203" s="907"/>
      <c r="J203" s="907"/>
      <c r="K203" s="907"/>
      <c r="L203" s="907"/>
      <c r="M203" s="907"/>
      <c r="N203" s="907"/>
      <c r="O203" s="907"/>
      <c r="P203" s="907"/>
      <c r="Q203" s="907"/>
      <c r="R203" s="907"/>
      <c r="S203" s="907"/>
      <c r="T203" s="907"/>
      <c r="U203" s="907"/>
      <c r="V203" s="907"/>
      <c r="W203" s="907"/>
      <c r="X203" s="907"/>
      <c r="Y203" s="907"/>
      <c r="Z203" s="907"/>
      <c r="AA203" s="907"/>
      <c r="AB203" s="907"/>
      <c r="AC203" s="907"/>
      <c r="AD203" s="907"/>
      <c r="AE203" s="907"/>
      <c r="AF203" s="907"/>
      <c r="AG203" s="907"/>
      <c r="AH203" s="907"/>
      <c r="AI203" s="907"/>
      <c r="AJ203" s="907"/>
      <c r="AK203" s="907"/>
      <c r="AL203" s="907"/>
      <c r="AM203" s="907"/>
    </row>
    <row r="204" spans="1:39">
      <c r="A204" s="907"/>
      <c r="B204" s="907"/>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c r="AB204" s="907"/>
      <c r="AC204" s="907"/>
      <c r="AD204" s="907"/>
      <c r="AE204" s="907"/>
      <c r="AF204" s="907"/>
      <c r="AG204" s="907"/>
      <c r="AH204" s="907"/>
      <c r="AI204" s="907"/>
      <c r="AJ204" s="907"/>
      <c r="AK204" s="907"/>
      <c r="AL204" s="907"/>
      <c r="AM204" s="907"/>
    </row>
    <row r="205" spans="1:39">
      <c r="A205" s="907"/>
      <c r="B205" s="907"/>
      <c r="C205" s="907"/>
      <c r="D205" s="907"/>
      <c r="E205" s="907"/>
      <c r="F205" s="907"/>
      <c r="G205" s="907"/>
      <c r="H205" s="907"/>
      <c r="I205" s="907"/>
      <c r="J205" s="907"/>
      <c r="K205" s="907"/>
      <c r="L205" s="907"/>
      <c r="M205" s="907"/>
      <c r="N205" s="907"/>
      <c r="O205" s="907"/>
      <c r="P205" s="907"/>
      <c r="Q205" s="907"/>
      <c r="R205" s="907"/>
      <c r="S205" s="907"/>
      <c r="T205" s="907"/>
      <c r="U205" s="907"/>
      <c r="V205" s="907"/>
      <c r="W205" s="907"/>
      <c r="X205" s="907"/>
      <c r="Y205" s="907"/>
      <c r="Z205" s="907"/>
      <c r="AA205" s="907"/>
      <c r="AB205" s="907"/>
      <c r="AC205" s="907"/>
      <c r="AD205" s="907"/>
      <c r="AE205" s="907"/>
      <c r="AF205" s="907"/>
      <c r="AG205" s="907"/>
      <c r="AH205" s="907"/>
      <c r="AI205" s="907"/>
      <c r="AJ205" s="907"/>
      <c r="AK205" s="907"/>
      <c r="AL205" s="907"/>
      <c r="AM205" s="907"/>
    </row>
    <row r="206" spans="1:39">
      <c r="A206" s="907"/>
      <c r="B206" s="907"/>
      <c r="C206" s="907"/>
      <c r="D206" s="907"/>
      <c r="E206" s="907"/>
      <c r="F206" s="907"/>
      <c r="G206" s="907"/>
      <c r="H206" s="907"/>
      <c r="I206" s="907"/>
      <c r="J206" s="907"/>
      <c r="K206" s="907"/>
      <c r="L206" s="907"/>
      <c r="M206" s="907"/>
      <c r="N206" s="907"/>
      <c r="O206" s="907"/>
      <c r="P206" s="907"/>
      <c r="Q206" s="907"/>
      <c r="R206" s="907"/>
      <c r="S206" s="907"/>
      <c r="T206" s="907"/>
      <c r="U206" s="907"/>
      <c r="V206" s="907"/>
      <c r="W206" s="907"/>
      <c r="X206" s="907"/>
      <c r="Y206" s="907"/>
      <c r="Z206" s="907"/>
      <c r="AA206" s="907"/>
      <c r="AB206" s="907"/>
      <c r="AC206" s="907"/>
      <c r="AD206" s="907"/>
      <c r="AE206" s="907"/>
      <c r="AF206" s="907"/>
      <c r="AG206" s="907"/>
      <c r="AH206" s="907"/>
      <c r="AI206" s="907"/>
      <c r="AJ206" s="907"/>
      <c r="AK206" s="907"/>
      <c r="AL206" s="907"/>
      <c r="AM206" s="907"/>
    </row>
    <row r="207" spans="1:39">
      <c r="A207" s="907"/>
      <c r="B207" s="907"/>
      <c r="C207" s="907"/>
      <c r="D207" s="907"/>
      <c r="E207" s="907"/>
      <c r="F207" s="907"/>
      <c r="G207" s="907"/>
      <c r="H207" s="907"/>
      <c r="I207" s="907"/>
      <c r="J207" s="907"/>
      <c r="K207" s="907"/>
      <c r="L207" s="907"/>
      <c r="M207" s="907"/>
      <c r="N207" s="907"/>
      <c r="O207" s="907"/>
      <c r="P207" s="907"/>
      <c r="Q207" s="907"/>
      <c r="R207" s="907"/>
      <c r="S207" s="907"/>
      <c r="T207" s="907"/>
      <c r="U207" s="907"/>
      <c r="V207" s="907"/>
      <c r="W207" s="907"/>
      <c r="X207" s="907"/>
      <c r="Y207" s="907"/>
      <c r="Z207" s="907"/>
      <c r="AA207" s="907"/>
      <c r="AB207" s="907"/>
      <c r="AC207" s="907"/>
      <c r="AD207" s="907"/>
      <c r="AE207" s="907"/>
      <c r="AF207" s="907"/>
      <c r="AG207" s="907"/>
      <c r="AH207" s="907"/>
      <c r="AI207" s="907"/>
      <c r="AJ207" s="907"/>
      <c r="AK207" s="907"/>
      <c r="AL207" s="907"/>
      <c r="AM207" s="907"/>
    </row>
    <row r="208" spans="1:39">
      <c r="A208" s="907"/>
      <c r="B208" s="907"/>
      <c r="C208" s="907"/>
      <c r="D208" s="907"/>
      <c r="E208" s="907"/>
      <c r="F208" s="907"/>
      <c r="G208" s="907"/>
      <c r="H208" s="907"/>
      <c r="I208" s="907"/>
      <c r="J208" s="907"/>
      <c r="K208" s="907"/>
      <c r="L208" s="907"/>
      <c r="M208" s="907"/>
      <c r="N208" s="907"/>
      <c r="O208" s="907"/>
      <c r="P208" s="907"/>
      <c r="Q208" s="907"/>
      <c r="R208" s="907"/>
      <c r="S208" s="907"/>
      <c r="T208" s="907"/>
      <c r="U208" s="907"/>
      <c r="V208" s="907"/>
      <c r="W208" s="907"/>
      <c r="X208" s="907"/>
      <c r="Y208" s="907"/>
      <c r="Z208" s="907"/>
      <c r="AA208" s="907"/>
      <c r="AB208" s="907"/>
      <c r="AC208" s="907"/>
      <c r="AD208" s="907"/>
      <c r="AE208" s="907"/>
      <c r="AF208" s="907"/>
      <c r="AG208" s="907"/>
      <c r="AH208" s="907"/>
      <c r="AI208" s="907"/>
      <c r="AJ208" s="907"/>
      <c r="AK208" s="907"/>
      <c r="AL208" s="907"/>
      <c r="AM208" s="907"/>
    </row>
    <row r="209" spans="1:39">
      <c r="A209" s="907"/>
      <c r="B209" s="907"/>
      <c r="C209" s="907"/>
      <c r="D209" s="907"/>
      <c r="E209" s="907"/>
      <c r="F209" s="907"/>
      <c r="G209" s="907"/>
      <c r="H209" s="907"/>
      <c r="I209" s="907"/>
      <c r="J209" s="907"/>
      <c r="K209" s="907"/>
      <c r="L209" s="907"/>
      <c r="M209" s="907"/>
      <c r="N209" s="907"/>
      <c r="O209" s="907"/>
      <c r="P209" s="907"/>
      <c r="Q209" s="907"/>
      <c r="R209" s="907"/>
      <c r="S209" s="907"/>
      <c r="T209" s="907"/>
      <c r="U209" s="907"/>
      <c r="V209" s="907"/>
      <c r="W209" s="907"/>
      <c r="X209" s="907"/>
      <c r="Y209" s="907"/>
      <c r="Z209" s="907"/>
      <c r="AA209" s="907"/>
      <c r="AB209" s="907"/>
      <c r="AC209" s="907"/>
      <c r="AD209" s="907"/>
      <c r="AE209" s="907"/>
      <c r="AF209" s="907"/>
      <c r="AG209" s="907"/>
      <c r="AH209" s="907"/>
      <c r="AI209" s="907"/>
      <c r="AJ209" s="907"/>
      <c r="AK209" s="907"/>
      <c r="AL209" s="907"/>
      <c r="AM209" s="907"/>
    </row>
    <row r="210" spans="1:39">
      <c r="A210" s="907"/>
      <c r="B210" s="907"/>
      <c r="C210" s="907"/>
      <c r="D210" s="907"/>
      <c r="E210" s="907"/>
      <c r="F210" s="907"/>
      <c r="G210" s="907"/>
      <c r="H210" s="907"/>
      <c r="I210" s="907"/>
      <c r="J210" s="907"/>
      <c r="K210" s="907"/>
      <c r="L210" s="907"/>
      <c r="M210" s="907"/>
      <c r="N210" s="907"/>
      <c r="O210" s="907"/>
      <c r="P210" s="907"/>
      <c r="Q210" s="907"/>
      <c r="R210" s="907"/>
      <c r="S210" s="907"/>
      <c r="T210" s="907"/>
      <c r="U210" s="907"/>
      <c r="V210" s="907"/>
      <c r="W210" s="907"/>
      <c r="X210" s="907"/>
      <c r="Y210" s="907"/>
      <c r="Z210" s="907"/>
      <c r="AA210" s="907"/>
      <c r="AB210" s="907"/>
      <c r="AC210" s="907"/>
      <c r="AD210" s="907"/>
      <c r="AE210" s="907"/>
      <c r="AF210" s="907"/>
      <c r="AG210" s="907"/>
      <c r="AH210" s="907"/>
      <c r="AI210" s="907"/>
      <c r="AJ210" s="907"/>
      <c r="AK210" s="907"/>
      <c r="AL210" s="907"/>
      <c r="AM210" s="907"/>
    </row>
    <row r="211" spans="1:39">
      <c r="A211" s="907"/>
      <c r="B211" s="907"/>
      <c r="C211" s="907"/>
      <c r="D211" s="907"/>
      <c r="E211" s="907"/>
      <c r="F211" s="907"/>
      <c r="G211" s="907"/>
      <c r="H211" s="907"/>
      <c r="I211" s="907"/>
      <c r="J211" s="907"/>
      <c r="K211" s="907"/>
      <c r="L211" s="907"/>
      <c r="M211" s="907"/>
      <c r="N211" s="907"/>
      <c r="O211" s="907"/>
      <c r="P211" s="907"/>
      <c r="Q211" s="907"/>
      <c r="R211" s="907"/>
      <c r="S211" s="907"/>
      <c r="T211" s="907"/>
      <c r="U211" s="907"/>
      <c r="V211" s="907"/>
      <c r="W211" s="907"/>
      <c r="X211" s="907"/>
      <c r="Y211" s="907"/>
      <c r="Z211" s="907"/>
      <c r="AA211" s="907"/>
      <c r="AB211" s="907"/>
      <c r="AC211" s="907"/>
      <c r="AD211" s="907"/>
      <c r="AE211" s="907"/>
      <c r="AF211" s="907"/>
      <c r="AG211" s="907"/>
      <c r="AH211" s="907"/>
      <c r="AI211" s="907"/>
      <c r="AJ211" s="907"/>
      <c r="AK211" s="907"/>
      <c r="AL211" s="907"/>
      <c r="AM211" s="907"/>
    </row>
    <row r="212" spans="1:39">
      <c r="A212" s="907"/>
      <c r="B212" s="907"/>
      <c r="C212" s="907"/>
      <c r="D212" s="907"/>
      <c r="E212" s="907"/>
      <c r="F212" s="907"/>
      <c r="G212" s="907"/>
      <c r="H212" s="907"/>
      <c r="I212" s="907"/>
      <c r="J212" s="907"/>
      <c r="K212" s="907"/>
      <c r="L212" s="907"/>
      <c r="M212" s="907"/>
      <c r="N212" s="907"/>
      <c r="O212" s="907"/>
      <c r="P212" s="907"/>
      <c r="Q212" s="907"/>
      <c r="R212" s="907"/>
      <c r="S212" s="907"/>
      <c r="T212" s="907"/>
      <c r="U212" s="907"/>
      <c r="V212" s="907"/>
      <c r="W212" s="907"/>
      <c r="X212" s="907"/>
      <c r="Y212" s="907"/>
      <c r="Z212" s="907"/>
      <c r="AA212" s="907"/>
      <c r="AB212" s="907"/>
      <c r="AC212" s="907"/>
      <c r="AD212" s="907"/>
      <c r="AE212" s="907"/>
      <c r="AF212" s="907"/>
      <c r="AG212" s="907"/>
      <c r="AH212" s="907"/>
      <c r="AI212" s="907"/>
      <c r="AJ212" s="907"/>
      <c r="AK212" s="907"/>
      <c r="AL212" s="907"/>
      <c r="AM212" s="907"/>
    </row>
    <row r="213" spans="1:39">
      <c r="A213" s="907"/>
      <c r="B213" s="907"/>
      <c r="C213" s="907"/>
      <c r="D213" s="907"/>
      <c r="E213" s="907"/>
      <c r="F213" s="907"/>
      <c r="G213" s="907"/>
      <c r="H213" s="907"/>
      <c r="I213" s="907"/>
      <c r="J213" s="907"/>
      <c r="K213" s="907"/>
      <c r="L213" s="907"/>
      <c r="M213" s="907"/>
      <c r="N213" s="907"/>
      <c r="O213" s="907"/>
      <c r="P213" s="907"/>
      <c r="Q213" s="907"/>
      <c r="R213" s="907"/>
      <c r="S213" s="907"/>
      <c r="T213" s="907"/>
      <c r="U213" s="907"/>
      <c r="V213" s="907"/>
      <c r="W213" s="907"/>
      <c r="X213" s="907"/>
      <c r="Y213" s="907"/>
      <c r="Z213" s="907"/>
      <c r="AA213" s="907"/>
      <c r="AB213" s="907"/>
      <c r="AC213" s="907"/>
      <c r="AD213" s="907"/>
      <c r="AE213" s="907"/>
      <c r="AF213" s="907"/>
      <c r="AG213" s="907"/>
      <c r="AH213" s="907"/>
      <c r="AI213" s="907"/>
      <c r="AJ213" s="907"/>
      <c r="AK213" s="907"/>
      <c r="AL213" s="907"/>
      <c r="AM213" s="907"/>
    </row>
    <row r="214" spans="1:39">
      <c r="A214" s="907"/>
      <c r="B214" s="907"/>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c r="AB214" s="907"/>
      <c r="AC214" s="907"/>
      <c r="AD214" s="907"/>
      <c r="AE214" s="907"/>
      <c r="AF214" s="907"/>
      <c r="AG214" s="907"/>
      <c r="AH214" s="907"/>
      <c r="AI214" s="907"/>
      <c r="AJ214" s="907"/>
      <c r="AK214" s="907"/>
      <c r="AL214" s="907"/>
      <c r="AM214" s="907"/>
    </row>
    <row r="215" spans="1:39">
      <c r="A215" s="907"/>
      <c r="B215" s="907"/>
      <c r="C215" s="907"/>
      <c r="D215" s="907"/>
      <c r="E215" s="907"/>
      <c r="F215" s="907"/>
      <c r="G215" s="907"/>
      <c r="H215" s="907"/>
      <c r="I215" s="907"/>
      <c r="J215" s="907"/>
      <c r="K215" s="907"/>
      <c r="L215" s="907"/>
      <c r="M215" s="907"/>
      <c r="N215" s="907"/>
      <c r="O215" s="907"/>
      <c r="P215" s="907"/>
      <c r="Q215" s="907"/>
      <c r="R215" s="907"/>
      <c r="S215" s="907"/>
      <c r="T215" s="907"/>
      <c r="U215" s="907"/>
      <c r="V215" s="907"/>
      <c r="W215" s="907"/>
      <c r="X215" s="907"/>
      <c r="Y215" s="907"/>
      <c r="Z215" s="907"/>
      <c r="AA215" s="907"/>
      <c r="AB215" s="907"/>
      <c r="AC215" s="907"/>
      <c r="AD215" s="907"/>
      <c r="AE215" s="907"/>
      <c r="AF215" s="907"/>
      <c r="AG215" s="907"/>
      <c r="AH215" s="907"/>
      <c r="AI215" s="907"/>
      <c r="AJ215" s="907"/>
      <c r="AK215" s="907"/>
      <c r="AL215" s="907"/>
      <c r="AM215" s="907"/>
    </row>
    <row r="216" spans="1:39">
      <c r="A216" s="907"/>
      <c r="B216" s="907"/>
      <c r="C216" s="907"/>
      <c r="D216" s="907"/>
      <c r="E216" s="907"/>
      <c r="F216" s="907"/>
      <c r="G216" s="907"/>
      <c r="H216" s="907"/>
      <c r="I216" s="907"/>
      <c r="J216" s="907"/>
      <c r="K216" s="907"/>
      <c r="L216" s="907"/>
      <c r="M216" s="907"/>
      <c r="N216" s="907"/>
      <c r="O216" s="907"/>
      <c r="P216" s="907"/>
      <c r="Q216" s="907"/>
      <c r="R216" s="907"/>
      <c r="S216" s="907"/>
      <c r="T216" s="907"/>
      <c r="U216" s="907"/>
      <c r="V216" s="907"/>
      <c r="W216" s="907"/>
      <c r="X216" s="907"/>
      <c r="Y216" s="907"/>
      <c r="Z216" s="907"/>
      <c r="AA216" s="907"/>
      <c r="AB216" s="907"/>
      <c r="AC216" s="907"/>
      <c r="AD216" s="907"/>
      <c r="AE216" s="907"/>
      <c r="AF216" s="907"/>
      <c r="AG216" s="907"/>
      <c r="AH216" s="907"/>
      <c r="AI216" s="907"/>
      <c r="AJ216" s="907"/>
      <c r="AK216" s="907"/>
      <c r="AL216" s="907"/>
      <c r="AM216" s="907"/>
    </row>
    <row r="217" spans="1:39">
      <c r="A217" s="907"/>
      <c r="B217" s="907"/>
      <c r="C217" s="907"/>
      <c r="D217" s="907"/>
      <c r="E217" s="907"/>
      <c r="F217" s="907"/>
      <c r="G217" s="907"/>
      <c r="H217" s="907"/>
      <c r="I217" s="907"/>
      <c r="J217" s="907"/>
      <c r="K217" s="907"/>
      <c r="L217" s="907"/>
      <c r="M217" s="907"/>
      <c r="N217" s="907"/>
      <c r="O217" s="907"/>
      <c r="P217" s="907"/>
      <c r="Q217" s="907"/>
      <c r="R217" s="907"/>
      <c r="S217" s="907"/>
      <c r="T217" s="907"/>
      <c r="U217" s="907"/>
      <c r="V217" s="907"/>
      <c r="W217" s="907"/>
      <c r="X217" s="907"/>
      <c r="Y217" s="907"/>
      <c r="Z217" s="907"/>
      <c r="AA217" s="907"/>
      <c r="AB217" s="907"/>
      <c r="AC217" s="907"/>
      <c r="AD217" s="907"/>
      <c r="AE217" s="907"/>
      <c r="AF217" s="907"/>
      <c r="AG217" s="907"/>
      <c r="AH217" s="907"/>
      <c r="AI217" s="907"/>
      <c r="AJ217" s="907"/>
      <c r="AK217" s="907"/>
      <c r="AL217" s="907"/>
      <c r="AM217" s="907"/>
    </row>
    <row r="218" spans="1:39">
      <c r="A218" s="907"/>
      <c r="B218" s="907"/>
      <c r="C218" s="907"/>
      <c r="D218" s="907"/>
      <c r="E218" s="907"/>
      <c r="F218" s="907"/>
      <c r="G218" s="907"/>
      <c r="H218" s="907"/>
      <c r="I218" s="907"/>
      <c r="J218" s="907"/>
      <c r="K218" s="907"/>
      <c r="L218" s="907"/>
      <c r="M218" s="907"/>
      <c r="N218" s="907"/>
      <c r="O218" s="907"/>
      <c r="P218" s="907"/>
      <c r="Q218" s="907"/>
      <c r="R218" s="907"/>
      <c r="S218" s="907"/>
      <c r="T218" s="907"/>
      <c r="U218" s="907"/>
      <c r="V218" s="907"/>
      <c r="W218" s="907"/>
      <c r="X218" s="907"/>
      <c r="Y218" s="907"/>
      <c r="Z218" s="907"/>
      <c r="AA218" s="907"/>
      <c r="AB218" s="907"/>
      <c r="AC218" s="907"/>
      <c r="AD218" s="907"/>
      <c r="AE218" s="907"/>
      <c r="AF218" s="907"/>
      <c r="AG218" s="907"/>
      <c r="AH218" s="907"/>
      <c r="AI218" s="907"/>
      <c r="AJ218" s="907"/>
      <c r="AK218" s="907"/>
      <c r="AL218" s="907"/>
      <c r="AM218" s="907"/>
    </row>
    <row r="219" spans="1:39">
      <c r="A219" s="907"/>
      <c r="B219" s="907"/>
      <c r="C219" s="907"/>
      <c r="D219" s="907"/>
      <c r="E219" s="907"/>
      <c r="F219" s="907"/>
      <c r="G219" s="907"/>
      <c r="H219" s="907"/>
      <c r="I219" s="907"/>
      <c r="J219" s="907"/>
      <c r="K219" s="907"/>
      <c r="L219" s="907"/>
      <c r="M219" s="907"/>
      <c r="N219" s="907"/>
      <c r="O219" s="907"/>
      <c r="P219" s="907"/>
      <c r="Q219" s="907"/>
      <c r="R219" s="907"/>
      <c r="S219" s="907"/>
      <c r="T219" s="907"/>
      <c r="U219" s="907"/>
      <c r="V219" s="907"/>
      <c r="W219" s="907"/>
      <c r="X219" s="907"/>
      <c r="Y219" s="907"/>
      <c r="Z219" s="907"/>
      <c r="AA219" s="907"/>
      <c r="AB219" s="907"/>
      <c r="AC219" s="907"/>
      <c r="AD219" s="907"/>
      <c r="AE219" s="907"/>
      <c r="AF219" s="907"/>
      <c r="AG219" s="907"/>
      <c r="AH219" s="907"/>
      <c r="AI219" s="907"/>
      <c r="AJ219" s="907"/>
      <c r="AK219" s="907"/>
      <c r="AL219" s="907"/>
      <c r="AM219" s="907"/>
    </row>
    <row r="220" spans="1:39">
      <c r="A220" s="907"/>
      <c r="B220" s="907"/>
      <c r="C220" s="907"/>
      <c r="D220" s="907"/>
      <c r="E220" s="907"/>
      <c r="F220" s="907"/>
      <c r="G220" s="907"/>
      <c r="H220" s="907"/>
      <c r="I220" s="907"/>
      <c r="J220" s="907"/>
      <c r="K220" s="907"/>
      <c r="L220" s="907"/>
      <c r="M220" s="907"/>
      <c r="N220" s="907"/>
      <c r="O220" s="907"/>
      <c r="P220" s="907"/>
      <c r="Q220" s="907"/>
      <c r="R220" s="907"/>
      <c r="S220" s="907"/>
      <c r="T220" s="907"/>
      <c r="U220" s="907"/>
      <c r="V220" s="907"/>
      <c r="W220" s="907"/>
      <c r="X220" s="907"/>
      <c r="Y220" s="907"/>
      <c r="Z220" s="907"/>
      <c r="AA220" s="907"/>
      <c r="AB220" s="907"/>
      <c r="AC220" s="907"/>
      <c r="AD220" s="907"/>
      <c r="AE220" s="907"/>
      <c r="AF220" s="907"/>
      <c r="AG220" s="907"/>
      <c r="AH220" s="907"/>
      <c r="AI220" s="907"/>
      <c r="AJ220" s="907"/>
      <c r="AK220" s="907"/>
      <c r="AL220" s="907"/>
      <c r="AM220" s="907"/>
    </row>
    <row r="221" spans="1:39">
      <c r="A221" s="907"/>
      <c r="B221" s="907"/>
      <c r="C221" s="907"/>
      <c r="D221" s="907"/>
      <c r="E221" s="907"/>
      <c r="F221" s="907"/>
      <c r="G221" s="907"/>
      <c r="H221" s="907"/>
      <c r="I221" s="907"/>
      <c r="J221" s="907"/>
      <c r="K221" s="907"/>
      <c r="L221" s="907"/>
      <c r="M221" s="907"/>
      <c r="N221" s="907"/>
      <c r="O221" s="907"/>
      <c r="P221" s="907"/>
      <c r="Q221" s="907"/>
      <c r="R221" s="907"/>
      <c r="S221" s="907"/>
      <c r="T221" s="907"/>
      <c r="U221" s="907"/>
      <c r="V221" s="907"/>
      <c r="W221" s="907"/>
      <c r="X221" s="907"/>
      <c r="Y221" s="907"/>
      <c r="Z221" s="907"/>
      <c r="AA221" s="907"/>
      <c r="AB221" s="907"/>
      <c r="AC221" s="907"/>
      <c r="AD221" s="907"/>
      <c r="AE221" s="907"/>
      <c r="AF221" s="907"/>
      <c r="AG221" s="907"/>
      <c r="AH221" s="907"/>
      <c r="AI221" s="907"/>
      <c r="AJ221" s="907"/>
      <c r="AK221" s="907"/>
      <c r="AL221" s="907"/>
      <c r="AM221" s="907"/>
    </row>
    <row r="222" spans="1:39">
      <c r="A222" s="907"/>
      <c r="B222" s="907"/>
      <c r="C222" s="907"/>
      <c r="D222" s="907"/>
      <c r="E222" s="907"/>
      <c r="F222" s="907"/>
      <c r="G222" s="907"/>
      <c r="H222" s="907"/>
      <c r="I222" s="907"/>
      <c r="J222" s="907"/>
      <c r="K222" s="907"/>
      <c r="L222" s="907"/>
      <c r="M222" s="907"/>
      <c r="N222" s="907"/>
      <c r="O222" s="907"/>
      <c r="P222" s="907"/>
      <c r="Q222" s="907"/>
      <c r="R222" s="907"/>
      <c r="S222" s="907"/>
      <c r="T222" s="907"/>
      <c r="U222" s="907"/>
      <c r="V222" s="907"/>
      <c r="W222" s="907"/>
      <c r="X222" s="907"/>
      <c r="Y222" s="907"/>
      <c r="Z222" s="907"/>
      <c r="AA222" s="907"/>
      <c r="AB222" s="907"/>
      <c r="AC222" s="907"/>
      <c r="AD222" s="907"/>
      <c r="AE222" s="907"/>
      <c r="AF222" s="907"/>
      <c r="AG222" s="907"/>
      <c r="AH222" s="907"/>
      <c r="AI222" s="907"/>
      <c r="AJ222" s="907"/>
      <c r="AK222" s="907"/>
      <c r="AL222" s="907"/>
      <c r="AM222" s="907"/>
    </row>
    <row r="223" spans="1:39">
      <c r="A223" s="907"/>
      <c r="B223" s="907"/>
      <c r="C223" s="907"/>
      <c r="D223" s="907"/>
      <c r="E223" s="907"/>
      <c r="F223" s="907"/>
      <c r="G223" s="907"/>
      <c r="H223" s="907"/>
      <c r="I223" s="907"/>
      <c r="J223" s="907"/>
      <c r="K223" s="907"/>
      <c r="L223" s="907"/>
      <c r="M223" s="907"/>
      <c r="N223" s="907"/>
      <c r="O223" s="907"/>
      <c r="P223" s="907"/>
      <c r="Q223" s="907"/>
      <c r="R223" s="907"/>
      <c r="S223" s="907"/>
      <c r="T223" s="907"/>
      <c r="U223" s="907"/>
      <c r="V223" s="907"/>
      <c r="W223" s="907"/>
      <c r="X223" s="907"/>
      <c r="Y223" s="907"/>
      <c r="Z223" s="907"/>
      <c r="AA223" s="907"/>
      <c r="AB223" s="907"/>
      <c r="AC223" s="907"/>
      <c r="AD223" s="907"/>
      <c r="AE223" s="907"/>
      <c r="AF223" s="907"/>
      <c r="AG223" s="907"/>
      <c r="AH223" s="907"/>
      <c r="AI223" s="907"/>
      <c r="AJ223" s="907"/>
      <c r="AK223" s="907"/>
      <c r="AL223" s="907"/>
      <c r="AM223" s="907"/>
    </row>
    <row r="224" spans="1:39">
      <c r="A224" s="907"/>
      <c r="B224" s="907"/>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c r="AB224" s="907"/>
      <c r="AC224" s="907"/>
      <c r="AD224" s="907"/>
      <c r="AE224" s="907"/>
      <c r="AF224" s="907"/>
      <c r="AG224" s="907"/>
      <c r="AH224" s="907"/>
      <c r="AI224" s="907"/>
      <c r="AJ224" s="907"/>
      <c r="AK224" s="907"/>
      <c r="AL224" s="907"/>
      <c r="AM224" s="907"/>
    </row>
    <row r="225" spans="1:39">
      <c r="A225" s="907"/>
      <c r="B225" s="907"/>
      <c r="C225" s="907"/>
      <c r="D225" s="907"/>
      <c r="E225" s="907"/>
      <c r="F225" s="907"/>
      <c r="G225" s="907"/>
      <c r="H225" s="907"/>
      <c r="I225" s="907"/>
      <c r="J225" s="907"/>
      <c r="K225" s="907"/>
      <c r="L225" s="907"/>
      <c r="M225" s="907"/>
      <c r="N225" s="907"/>
      <c r="O225" s="907"/>
      <c r="P225" s="907"/>
      <c r="Q225" s="907"/>
      <c r="R225" s="907"/>
      <c r="S225" s="907"/>
      <c r="T225" s="907"/>
      <c r="U225" s="907"/>
      <c r="V225" s="907"/>
      <c r="W225" s="907"/>
      <c r="X225" s="907"/>
      <c r="Y225" s="907"/>
      <c r="Z225" s="907"/>
      <c r="AA225" s="907"/>
      <c r="AB225" s="907"/>
      <c r="AC225" s="907"/>
      <c r="AD225" s="907"/>
      <c r="AE225" s="907"/>
      <c r="AF225" s="907"/>
      <c r="AG225" s="907"/>
      <c r="AH225" s="907"/>
      <c r="AI225" s="907"/>
      <c r="AJ225" s="907"/>
      <c r="AK225" s="907"/>
      <c r="AL225" s="907"/>
      <c r="AM225" s="907"/>
    </row>
    <row r="226" spans="1:39">
      <c r="A226" s="907"/>
      <c r="B226" s="907"/>
      <c r="C226" s="907"/>
      <c r="D226" s="907"/>
      <c r="E226" s="907"/>
      <c r="F226" s="907"/>
      <c r="G226" s="907"/>
      <c r="H226" s="907"/>
      <c r="I226" s="907"/>
      <c r="J226" s="907"/>
      <c r="K226" s="907"/>
      <c r="L226" s="907"/>
      <c r="M226" s="907"/>
      <c r="N226" s="907"/>
      <c r="O226" s="907"/>
      <c r="P226" s="907"/>
      <c r="Q226" s="907"/>
      <c r="R226" s="907"/>
      <c r="S226" s="907"/>
      <c r="T226" s="907"/>
      <c r="U226" s="907"/>
      <c r="V226" s="907"/>
      <c r="W226" s="907"/>
      <c r="X226" s="907"/>
      <c r="Y226" s="907"/>
      <c r="Z226" s="907"/>
      <c r="AA226" s="907"/>
      <c r="AB226" s="907"/>
      <c r="AC226" s="907"/>
      <c r="AD226" s="907"/>
      <c r="AE226" s="907"/>
      <c r="AF226" s="907"/>
      <c r="AG226" s="907"/>
      <c r="AH226" s="907"/>
      <c r="AI226" s="907"/>
      <c r="AJ226" s="907"/>
      <c r="AK226" s="907"/>
      <c r="AL226" s="907"/>
      <c r="AM226" s="907"/>
    </row>
    <row r="227" spans="1:39">
      <c r="A227" s="907"/>
      <c r="B227" s="907"/>
      <c r="C227" s="907"/>
      <c r="D227" s="907"/>
      <c r="E227" s="907"/>
      <c r="F227" s="907"/>
      <c r="G227" s="907"/>
      <c r="H227" s="907"/>
      <c r="I227" s="907"/>
      <c r="J227" s="907"/>
      <c r="K227" s="907"/>
      <c r="L227" s="907"/>
      <c r="M227" s="907"/>
      <c r="N227" s="907"/>
      <c r="O227" s="907"/>
      <c r="P227" s="907"/>
      <c r="Q227" s="907"/>
      <c r="R227" s="907"/>
      <c r="S227" s="907"/>
      <c r="T227" s="907"/>
      <c r="U227" s="907"/>
      <c r="V227" s="907"/>
      <c r="W227" s="907"/>
      <c r="X227" s="907"/>
      <c r="Y227" s="907"/>
      <c r="Z227" s="907"/>
      <c r="AA227" s="907"/>
      <c r="AB227" s="907"/>
      <c r="AC227" s="907"/>
      <c r="AD227" s="907"/>
      <c r="AE227" s="907"/>
      <c r="AF227" s="907"/>
      <c r="AG227" s="907"/>
      <c r="AH227" s="907"/>
      <c r="AI227" s="907"/>
      <c r="AJ227" s="907"/>
      <c r="AK227" s="907"/>
      <c r="AL227" s="907"/>
      <c r="AM227" s="907"/>
    </row>
    <row r="228" spans="1:39">
      <c r="A228" s="907"/>
      <c r="B228" s="907"/>
      <c r="C228" s="907"/>
      <c r="D228" s="907"/>
      <c r="E228" s="907"/>
      <c r="F228" s="907"/>
      <c r="G228" s="907"/>
      <c r="H228" s="907"/>
      <c r="I228" s="907"/>
      <c r="J228" s="907"/>
      <c r="K228" s="907"/>
      <c r="L228" s="907"/>
      <c r="M228" s="907"/>
      <c r="N228" s="907"/>
      <c r="O228" s="907"/>
      <c r="P228" s="907"/>
      <c r="Q228" s="907"/>
      <c r="R228" s="907"/>
      <c r="S228" s="907"/>
      <c r="T228" s="907"/>
      <c r="U228" s="907"/>
      <c r="V228" s="907"/>
      <c r="W228" s="907"/>
      <c r="X228" s="907"/>
      <c r="Y228" s="907"/>
      <c r="Z228" s="907"/>
      <c r="AA228" s="907"/>
      <c r="AB228" s="907"/>
      <c r="AC228" s="907"/>
      <c r="AD228" s="907"/>
      <c r="AE228" s="907"/>
      <c r="AF228" s="907"/>
      <c r="AG228" s="907"/>
      <c r="AH228" s="907"/>
      <c r="AI228" s="907"/>
      <c r="AJ228" s="907"/>
      <c r="AK228" s="907"/>
      <c r="AL228" s="907"/>
      <c r="AM228" s="907"/>
    </row>
    <row r="229" spans="1:39">
      <c r="A229" s="907"/>
      <c r="B229" s="907"/>
      <c r="C229" s="907"/>
      <c r="D229" s="907"/>
      <c r="E229" s="907"/>
      <c r="F229" s="907"/>
      <c r="G229" s="907"/>
      <c r="H229" s="907"/>
      <c r="I229" s="907"/>
      <c r="J229" s="907"/>
      <c r="K229" s="907"/>
      <c r="L229" s="907"/>
      <c r="M229" s="907"/>
      <c r="N229" s="907"/>
      <c r="O229" s="907"/>
      <c r="P229" s="907"/>
      <c r="Q229" s="907"/>
      <c r="R229" s="907"/>
      <c r="S229" s="907"/>
      <c r="T229" s="907"/>
      <c r="U229" s="907"/>
      <c r="V229" s="907"/>
      <c r="W229" s="907"/>
      <c r="X229" s="907"/>
      <c r="Y229" s="907"/>
      <c r="Z229" s="907"/>
      <c r="AA229" s="907"/>
      <c r="AB229" s="907"/>
      <c r="AC229" s="907"/>
      <c r="AD229" s="907"/>
      <c r="AE229" s="907"/>
      <c r="AF229" s="907"/>
      <c r="AG229" s="907"/>
      <c r="AH229" s="907"/>
      <c r="AI229" s="907"/>
      <c r="AJ229" s="907"/>
      <c r="AK229" s="907"/>
      <c r="AL229" s="907"/>
      <c r="AM229" s="907"/>
    </row>
    <row r="230" spans="1:39">
      <c r="A230" s="907"/>
      <c r="B230" s="907"/>
      <c r="C230" s="907"/>
      <c r="D230" s="907"/>
      <c r="E230" s="907"/>
      <c r="F230" s="907"/>
      <c r="G230" s="907"/>
      <c r="H230" s="907"/>
      <c r="I230" s="907"/>
      <c r="J230" s="907"/>
      <c r="K230" s="907"/>
      <c r="L230" s="907"/>
      <c r="M230" s="907"/>
      <c r="N230" s="907"/>
      <c r="O230" s="907"/>
      <c r="P230" s="907"/>
      <c r="Q230" s="907"/>
      <c r="R230" s="907"/>
      <c r="S230" s="907"/>
      <c r="T230" s="907"/>
      <c r="U230" s="907"/>
      <c r="V230" s="907"/>
      <c r="W230" s="907"/>
      <c r="X230" s="907"/>
      <c r="Y230" s="907"/>
      <c r="Z230" s="907"/>
      <c r="AA230" s="907"/>
      <c r="AB230" s="907"/>
      <c r="AC230" s="907"/>
      <c r="AD230" s="907"/>
      <c r="AE230" s="907"/>
      <c r="AF230" s="907"/>
      <c r="AG230" s="907"/>
      <c r="AH230" s="907"/>
      <c r="AI230" s="907"/>
      <c r="AJ230" s="907"/>
      <c r="AK230" s="907"/>
      <c r="AL230" s="907"/>
      <c r="AM230" s="907"/>
    </row>
    <row r="231" spans="1:39">
      <c r="A231" s="907"/>
      <c r="B231" s="907"/>
      <c r="C231" s="907"/>
      <c r="D231" s="907"/>
      <c r="E231" s="907"/>
      <c r="F231" s="907"/>
      <c r="G231" s="907"/>
      <c r="H231" s="907"/>
      <c r="I231" s="907"/>
      <c r="J231" s="907"/>
      <c r="K231" s="907"/>
      <c r="L231" s="907"/>
      <c r="M231" s="907"/>
      <c r="N231" s="907"/>
      <c r="O231" s="907"/>
      <c r="P231" s="907"/>
      <c r="Q231" s="907"/>
      <c r="R231" s="907"/>
      <c r="S231" s="907"/>
      <c r="T231" s="907"/>
      <c r="U231" s="907"/>
      <c r="V231" s="907"/>
      <c r="W231" s="907"/>
      <c r="X231" s="907"/>
      <c r="Y231" s="907"/>
      <c r="Z231" s="907"/>
      <c r="AA231" s="907"/>
      <c r="AB231" s="907"/>
      <c r="AC231" s="907"/>
      <c r="AD231" s="907"/>
      <c r="AE231" s="907"/>
      <c r="AF231" s="907"/>
      <c r="AG231" s="907"/>
      <c r="AH231" s="907"/>
      <c r="AI231" s="907"/>
      <c r="AJ231" s="907"/>
      <c r="AK231" s="907"/>
      <c r="AL231" s="907"/>
      <c r="AM231" s="907"/>
    </row>
    <row r="232" spans="1:39">
      <c r="A232" s="907"/>
      <c r="B232" s="907"/>
      <c r="C232" s="907"/>
      <c r="D232" s="907"/>
      <c r="E232" s="907"/>
      <c r="F232" s="907"/>
      <c r="G232" s="907"/>
      <c r="H232" s="907"/>
      <c r="I232" s="907"/>
      <c r="J232" s="907"/>
      <c r="K232" s="907"/>
      <c r="L232" s="907"/>
      <c r="M232" s="907"/>
      <c r="N232" s="907"/>
      <c r="O232" s="907"/>
      <c r="P232" s="907"/>
      <c r="Q232" s="907"/>
      <c r="R232" s="907"/>
      <c r="S232" s="907"/>
      <c r="T232" s="907"/>
      <c r="U232" s="907"/>
      <c r="V232" s="907"/>
      <c r="W232" s="907"/>
      <c r="X232" s="907"/>
      <c r="Y232" s="907"/>
      <c r="Z232" s="907"/>
      <c r="AA232" s="907"/>
      <c r="AB232" s="907"/>
      <c r="AC232" s="907"/>
      <c r="AD232" s="907"/>
      <c r="AE232" s="907"/>
      <c r="AF232" s="907"/>
      <c r="AG232" s="907"/>
      <c r="AH232" s="907"/>
      <c r="AI232" s="907"/>
      <c r="AJ232" s="907"/>
      <c r="AK232" s="907"/>
      <c r="AL232" s="907"/>
      <c r="AM232" s="907"/>
    </row>
    <row r="233" spans="1:39">
      <c r="A233" s="907"/>
      <c r="B233" s="907"/>
      <c r="C233" s="907"/>
      <c r="D233" s="907"/>
      <c r="E233" s="907"/>
      <c r="F233" s="907"/>
      <c r="G233" s="907"/>
      <c r="H233" s="907"/>
      <c r="I233" s="907"/>
      <c r="J233" s="907"/>
      <c r="K233" s="907"/>
      <c r="L233" s="907"/>
      <c r="M233" s="907"/>
      <c r="N233" s="907"/>
      <c r="O233" s="907"/>
      <c r="P233" s="907"/>
      <c r="Q233" s="907"/>
      <c r="R233" s="907"/>
      <c r="S233" s="907"/>
      <c r="T233" s="907"/>
      <c r="U233" s="907"/>
      <c r="V233" s="907"/>
      <c r="W233" s="907"/>
      <c r="X233" s="907"/>
      <c r="Y233" s="907"/>
      <c r="Z233" s="907"/>
      <c r="AA233" s="907"/>
      <c r="AB233" s="907"/>
      <c r="AC233" s="907"/>
      <c r="AD233" s="907"/>
      <c r="AE233" s="907"/>
      <c r="AF233" s="907"/>
      <c r="AG233" s="907"/>
      <c r="AH233" s="907"/>
      <c r="AI233" s="907"/>
      <c r="AJ233" s="907"/>
      <c r="AK233" s="907"/>
      <c r="AL233" s="907"/>
      <c r="AM233" s="907"/>
    </row>
    <row r="234" spans="1:39">
      <c r="A234" s="907"/>
      <c r="B234" s="907"/>
      <c r="C234" s="907"/>
      <c r="D234" s="907"/>
      <c r="E234" s="907"/>
      <c r="F234" s="907"/>
      <c r="G234" s="907"/>
      <c r="H234" s="907"/>
      <c r="I234" s="907"/>
      <c r="J234" s="907"/>
      <c r="K234" s="907"/>
      <c r="L234" s="907"/>
      <c r="M234" s="907"/>
      <c r="N234" s="907"/>
      <c r="O234" s="907"/>
      <c r="P234" s="907"/>
      <c r="Q234" s="907"/>
      <c r="R234" s="907"/>
      <c r="S234" s="907"/>
      <c r="T234" s="907"/>
      <c r="U234" s="907"/>
      <c r="V234" s="907"/>
      <c r="W234" s="907"/>
      <c r="X234" s="907"/>
      <c r="Y234" s="907"/>
      <c r="Z234" s="907"/>
      <c r="AA234" s="907"/>
      <c r="AB234" s="907"/>
      <c r="AC234" s="907"/>
      <c r="AD234" s="907"/>
      <c r="AE234" s="907"/>
      <c r="AF234" s="907"/>
      <c r="AG234" s="907"/>
      <c r="AH234" s="907"/>
      <c r="AI234" s="907"/>
      <c r="AJ234" s="907"/>
      <c r="AK234" s="907"/>
      <c r="AL234" s="907"/>
      <c r="AM234" s="907"/>
    </row>
    <row r="235" spans="1:39">
      <c r="A235" s="907"/>
      <c r="B235" s="907"/>
      <c r="C235" s="907"/>
      <c r="D235" s="907"/>
      <c r="E235" s="907"/>
      <c r="F235" s="907"/>
      <c r="G235" s="907"/>
      <c r="H235" s="907"/>
      <c r="I235" s="907"/>
      <c r="J235" s="907"/>
      <c r="K235" s="907"/>
      <c r="L235" s="907"/>
      <c r="M235" s="907"/>
      <c r="N235" s="907"/>
      <c r="O235" s="907"/>
      <c r="P235" s="907"/>
      <c r="Q235" s="907"/>
      <c r="R235" s="907"/>
      <c r="S235" s="907"/>
      <c r="T235" s="907"/>
      <c r="U235" s="907"/>
      <c r="V235" s="907"/>
      <c r="W235" s="907"/>
      <c r="X235" s="907"/>
      <c r="Y235" s="907"/>
      <c r="Z235" s="907"/>
      <c r="AA235" s="907"/>
      <c r="AB235" s="907"/>
      <c r="AC235" s="907"/>
      <c r="AD235" s="907"/>
      <c r="AE235" s="907"/>
      <c r="AF235" s="907"/>
      <c r="AG235" s="907"/>
      <c r="AH235" s="907"/>
      <c r="AI235" s="907"/>
      <c r="AJ235" s="907"/>
      <c r="AK235" s="907"/>
      <c r="AL235" s="907"/>
      <c r="AM235" s="907"/>
    </row>
    <row r="236" spans="1:39">
      <c r="A236" s="907"/>
      <c r="B236" s="907"/>
      <c r="C236" s="907"/>
      <c r="D236" s="907"/>
      <c r="E236" s="907"/>
      <c r="F236" s="907"/>
      <c r="G236" s="907"/>
      <c r="H236" s="907"/>
      <c r="I236" s="907"/>
      <c r="J236" s="907"/>
      <c r="K236" s="907"/>
      <c r="L236" s="907"/>
      <c r="M236" s="907"/>
      <c r="N236" s="907"/>
      <c r="O236" s="907"/>
      <c r="P236" s="907"/>
      <c r="Q236" s="907"/>
      <c r="R236" s="907"/>
      <c r="S236" s="907"/>
      <c r="T236" s="907"/>
      <c r="U236" s="907"/>
      <c r="V236" s="907"/>
      <c r="W236" s="907"/>
      <c r="X236" s="907"/>
      <c r="Y236" s="907"/>
      <c r="Z236" s="907"/>
      <c r="AA236" s="907"/>
      <c r="AB236" s="907"/>
      <c r="AC236" s="907"/>
      <c r="AD236" s="907"/>
      <c r="AE236" s="907"/>
      <c r="AF236" s="907"/>
      <c r="AG236" s="907"/>
      <c r="AH236" s="907"/>
      <c r="AI236" s="907"/>
      <c r="AJ236" s="907"/>
      <c r="AK236" s="907"/>
      <c r="AL236" s="907"/>
      <c r="AM236" s="907"/>
    </row>
    <row r="237" spans="1:39">
      <c r="A237" s="907"/>
      <c r="B237" s="907"/>
      <c r="C237" s="907"/>
      <c r="D237" s="907"/>
      <c r="E237" s="907"/>
      <c r="F237" s="907"/>
      <c r="G237" s="907"/>
      <c r="H237" s="907"/>
      <c r="I237" s="907"/>
      <c r="J237" s="907"/>
      <c r="K237" s="907"/>
      <c r="L237" s="907"/>
      <c r="M237" s="907"/>
      <c r="N237" s="907"/>
      <c r="O237" s="907"/>
      <c r="P237" s="907"/>
      <c r="Q237" s="907"/>
      <c r="R237" s="907"/>
      <c r="S237" s="907"/>
      <c r="T237" s="907"/>
      <c r="U237" s="907"/>
      <c r="V237" s="907"/>
      <c r="W237" s="907"/>
      <c r="X237" s="907"/>
      <c r="Y237" s="907"/>
      <c r="Z237" s="907"/>
      <c r="AA237" s="907"/>
      <c r="AB237" s="907"/>
      <c r="AC237" s="907"/>
      <c r="AD237" s="907"/>
      <c r="AE237" s="907"/>
      <c r="AF237" s="907"/>
      <c r="AG237" s="907"/>
      <c r="AH237" s="907"/>
      <c r="AI237" s="907"/>
      <c r="AJ237" s="907"/>
      <c r="AK237" s="907"/>
      <c r="AL237" s="907"/>
      <c r="AM237" s="907"/>
    </row>
    <row r="238" spans="1:39">
      <c r="A238" s="907"/>
      <c r="B238" s="907"/>
      <c r="C238" s="907"/>
      <c r="D238" s="907"/>
      <c r="E238" s="907"/>
      <c r="F238" s="907"/>
      <c r="G238" s="907"/>
      <c r="H238" s="907"/>
      <c r="I238" s="907"/>
      <c r="J238" s="907"/>
      <c r="K238" s="907"/>
      <c r="L238" s="907"/>
      <c r="M238" s="907"/>
      <c r="N238" s="907"/>
      <c r="O238" s="907"/>
      <c r="P238" s="907"/>
      <c r="Q238" s="907"/>
      <c r="R238" s="907"/>
      <c r="S238" s="907"/>
      <c r="T238" s="907"/>
      <c r="U238" s="907"/>
      <c r="V238" s="907"/>
      <c r="W238" s="907"/>
      <c r="X238" s="907"/>
      <c r="Y238" s="907"/>
      <c r="Z238" s="907"/>
      <c r="AA238" s="907"/>
      <c r="AB238" s="907"/>
      <c r="AC238" s="907"/>
      <c r="AD238" s="907"/>
      <c r="AE238" s="907"/>
      <c r="AF238" s="907"/>
      <c r="AG238" s="907"/>
      <c r="AH238" s="907"/>
      <c r="AI238" s="907"/>
      <c r="AJ238" s="907"/>
      <c r="AK238" s="907"/>
      <c r="AL238" s="907"/>
      <c r="AM238" s="907"/>
    </row>
    <row r="239" spans="1:39">
      <c r="A239" s="907"/>
      <c r="B239" s="907"/>
      <c r="C239" s="907"/>
      <c r="D239" s="907"/>
      <c r="E239" s="907"/>
      <c r="F239" s="907"/>
      <c r="G239" s="907"/>
      <c r="H239" s="907"/>
      <c r="I239" s="907"/>
      <c r="J239" s="907"/>
      <c r="K239" s="907"/>
      <c r="L239" s="907"/>
      <c r="M239" s="907"/>
      <c r="N239" s="907"/>
      <c r="O239" s="907"/>
      <c r="P239" s="907"/>
      <c r="Q239" s="907"/>
      <c r="R239" s="907"/>
      <c r="S239" s="907"/>
      <c r="T239" s="907"/>
      <c r="U239" s="907"/>
      <c r="V239" s="907"/>
      <c r="W239" s="907"/>
      <c r="X239" s="907"/>
      <c r="Y239" s="907"/>
      <c r="Z239" s="907"/>
      <c r="AA239" s="907"/>
      <c r="AB239" s="907"/>
      <c r="AC239" s="907"/>
      <c r="AD239" s="907"/>
      <c r="AE239" s="907"/>
      <c r="AF239" s="907"/>
      <c r="AG239" s="907"/>
      <c r="AH239" s="907"/>
      <c r="AI239" s="907"/>
      <c r="AJ239" s="907"/>
      <c r="AK239" s="907"/>
      <c r="AL239" s="907"/>
      <c r="AM239" s="907"/>
    </row>
    <row r="240" spans="1:39">
      <c r="A240" s="907"/>
      <c r="B240" s="907"/>
      <c r="C240" s="907"/>
      <c r="D240" s="907"/>
      <c r="E240" s="907"/>
      <c r="F240" s="907"/>
      <c r="G240" s="907"/>
      <c r="H240" s="907"/>
      <c r="I240" s="907"/>
      <c r="J240" s="907"/>
      <c r="K240" s="907"/>
      <c r="L240" s="907"/>
      <c r="M240" s="907"/>
      <c r="N240" s="907"/>
      <c r="O240" s="907"/>
      <c r="P240" s="907"/>
      <c r="Q240" s="907"/>
      <c r="R240" s="907"/>
      <c r="S240" s="907"/>
      <c r="T240" s="907"/>
      <c r="U240" s="907"/>
      <c r="V240" s="907"/>
      <c r="W240" s="907"/>
      <c r="X240" s="907"/>
      <c r="Y240" s="907"/>
      <c r="Z240" s="907"/>
      <c r="AA240" s="907"/>
      <c r="AB240" s="907"/>
      <c r="AC240" s="907"/>
      <c r="AD240" s="907"/>
      <c r="AE240" s="907"/>
      <c r="AF240" s="907"/>
      <c r="AG240" s="907"/>
      <c r="AH240" s="907"/>
      <c r="AI240" s="907"/>
      <c r="AJ240" s="907"/>
      <c r="AK240" s="907"/>
      <c r="AL240" s="907"/>
      <c r="AM240" s="907"/>
    </row>
    <row r="241" spans="1:39">
      <c r="A241" s="907"/>
      <c r="B241" s="907"/>
      <c r="C241" s="907"/>
      <c r="D241" s="907"/>
      <c r="E241" s="907"/>
      <c r="F241" s="907"/>
      <c r="G241" s="907"/>
      <c r="H241" s="907"/>
      <c r="I241" s="907"/>
      <c r="J241" s="907"/>
      <c r="K241" s="907"/>
      <c r="L241" s="907"/>
      <c r="M241" s="907"/>
      <c r="N241" s="907"/>
      <c r="O241" s="907"/>
      <c r="P241" s="907"/>
      <c r="Q241" s="907"/>
      <c r="R241" s="907"/>
      <c r="S241" s="907"/>
      <c r="T241" s="907"/>
      <c r="U241" s="907"/>
      <c r="V241" s="907"/>
      <c r="W241" s="907"/>
      <c r="X241" s="907"/>
      <c r="Y241" s="907"/>
      <c r="Z241" s="907"/>
      <c r="AA241" s="907"/>
      <c r="AB241" s="907"/>
      <c r="AC241" s="907"/>
      <c r="AD241" s="907"/>
      <c r="AE241" s="907"/>
      <c r="AF241" s="907"/>
      <c r="AG241" s="907"/>
      <c r="AH241" s="907"/>
      <c r="AI241" s="907"/>
      <c r="AJ241" s="907"/>
      <c r="AK241" s="907"/>
      <c r="AL241" s="907"/>
      <c r="AM241" s="907"/>
    </row>
    <row r="242" spans="1:39">
      <c r="A242" s="907"/>
      <c r="B242" s="907"/>
      <c r="C242" s="907"/>
      <c r="D242" s="907"/>
      <c r="E242" s="907"/>
      <c r="F242" s="907"/>
      <c r="G242" s="907"/>
      <c r="H242" s="907"/>
      <c r="I242" s="907"/>
      <c r="J242" s="907"/>
      <c r="K242" s="907"/>
      <c r="L242" s="907"/>
      <c r="M242" s="907"/>
      <c r="N242" s="907"/>
      <c r="O242" s="907"/>
      <c r="P242" s="907"/>
      <c r="Q242" s="907"/>
      <c r="R242" s="907"/>
      <c r="S242" s="907"/>
      <c r="T242" s="907"/>
      <c r="U242" s="907"/>
      <c r="V242" s="907"/>
      <c r="W242" s="907"/>
      <c r="X242" s="907"/>
      <c r="Y242" s="907"/>
      <c r="Z242" s="907"/>
      <c r="AA242" s="907"/>
      <c r="AB242" s="907"/>
      <c r="AC242" s="907"/>
      <c r="AD242" s="907"/>
      <c r="AE242" s="907"/>
      <c r="AF242" s="907"/>
      <c r="AG242" s="907"/>
      <c r="AH242" s="907"/>
      <c r="AI242" s="907"/>
      <c r="AJ242" s="907"/>
      <c r="AK242" s="907"/>
      <c r="AL242" s="907"/>
      <c r="AM242" s="907"/>
    </row>
    <row r="243" spans="1:39">
      <c r="A243" s="907"/>
      <c r="B243" s="907"/>
      <c r="C243" s="907"/>
      <c r="D243" s="907"/>
      <c r="E243" s="907"/>
      <c r="F243" s="907"/>
      <c r="G243" s="907"/>
      <c r="H243" s="907"/>
      <c r="I243" s="907"/>
      <c r="J243" s="907"/>
      <c r="K243" s="907"/>
      <c r="L243" s="907"/>
      <c r="M243" s="907"/>
      <c r="N243" s="907"/>
      <c r="O243" s="907"/>
      <c r="P243" s="907"/>
      <c r="Q243" s="907"/>
      <c r="R243" s="907"/>
      <c r="S243" s="907"/>
      <c r="T243" s="907"/>
      <c r="U243" s="907"/>
      <c r="V243" s="907"/>
      <c r="W243" s="907"/>
      <c r="X243" s="907"/>
      <c r="Y243" s="907"/>
      <c r="Z243" s="907"/>
      <c r="AA243" s="907"/>
      <c r="AB243" s="907"/>
      <c r="AC243" s="907"/>
      <c r="AD243" s="907"/>
      <c r="AE243" s="907"/>
      <c r="AF243" s="907"/>
      <c r="AG243" s="907"/>
      <c r="AH243" s="907"/>
      <c r="AI243" s="907"/>
      <c r="AJ243" s="907"/>
      <c r="AK243" s="907"/>
      <c r="AL243" s="907"/>
      <c r="AM243" s="907"/>
    </row>
    <row r="244" spans="1:39">
      <c r="A244" s="907"/>
      <c r="B244" s="907"/>
      <c r="C244" s="907"/>
      <c r="D244" s="907"/>
      <c r="E244" s="907"/>
      <c r="F244" s="907"/>
      <c r="G244" s="907"/>
      <c r="H244" s="907"/>
      <c r="I244" s="907"/>
      <c r="J244" s="907"/>
      <c r="K244" s="907"/>
      <c r="L244" s="907"/>
      <c r="M244" s="907"/>
      <c r="N244" s="907"/>
      <c r="O244" s="907"/>
      <c r="P244" s="907"/>
      <c r="Q244" s="907"/>
      <c r="R244" s="907"/>
      <c r="S244" s="907"/>
      <c r="T244" s="907"/>
      <c r="U244" s="907"/>
      <c r="V244" s="907"/>
      <c r="W244" s="907"/>
      <c r="X244" s="907"/>
      <c r="Y244" s="907"/>
      <c r="Z244" s="907"/>
      <c r="AA244" s="907"/>
      <c r="AB244" s="907"/>
      <c r="AC244" s="907"/>
      <c r="AD244" s="907"/>
      <c r="AE244" s="907"/>
      <c r="AF244" s="907"/>
      <c r="AG244" s="907"/>
      <c r="AH244" s="907"/>
      <c r="AI244" s="907"/>
      <c r="AJ244" s="907"/>
      <c r="AK244" s="907"/>
      <c r="AL244" s="907"/>
      <c r="AM244" s="907"/>
    </row>
    <row r="245" spans="1:39">
      <c r="A245" s="907"/>
      <c r="B245" s="907"/>
      <c r="C245" s="907"/>
      <c r="D245" s="907"/>
      <c r="E245" s="907"/>
      <c r="F245" s="907"/>
      <c r="G245" s="907"/>
      <c r="H245" s="907"/>
      <c r="I245" s="907"/>
      <c r="J245" s="907"/>
      <c r="K245" s="907"/>
      <c r="L245" s="907"/>
      <c r="M245" s="907"/>
      <c r="N245" s="907"/>
      <c r="O245" s="907"/>
      <c r="P245" s="907"/>
      <c r="Q245" s="907"/>
      <c r="R245" s="907"/>
      <c r="S245" s="907"/>
      <c r="T245" s="907"/>
      <c r="U245" s="907"/>
      <c r="V245" s="907"/>
      <c r="W245" s="907"/>
      <c r="X245" s="907"/>
      <c r="Y245" s="907"/>
      <c r="Z245" s="907"/>
      <c r="AA245" s="907"/>
      <c r="AB245" s="907"/>
      <c r="AC245" s="907"/>
      <c r="AD245" s="907"/>
      <c r="AE245" s="907"/>
      <c r="AF245" s="907"/>
      <c r="AG245" s="907"/>
      <c r="AH245" s="907"/>
      <c r="AI245" s="907"/>
      <c r="AJ245" s="907"/>
      <c r="AK245" s="907"/>
      <c r="AL245" s="907"/>
      <c r="AM245" s="907"/>
    </row>
    <row r="246" spans="1:39">
      <c r="A246" s="907"/>
      <c r="B246" s="907"/>
      <c r="C246" s="907"/>
      <c r="D246" s="907"/>
      <c r="E246" s="907"/>
      <c r="F246" s="907"/>
      <c r="G246" s="907"/>
      <c r="H246" s="907"/>
      <c r="I246" s="907"/>
      <c r="J246" s="907"/>
      <c r="K246" s="907"/>
      <c r="L246" s="907"/>
      <c r="M246" s="907"/>
      <c r="N246" s="907"/>
      <c r="O246" s="907"/>
      <c r="P246" s="907"/>
      <c r="Q246" s="907"/>
      <c r="R246" s="907"/>
      <c r="S246" s="907"/>
      <c r="T246" s="907"/>
      <c r="U246" s="907"/>
      <c r="V246" s="907"/>
      <c r="W246" s="907"/>
      <c r="X246" s="907"/>
      <c r="Y246" s="907"/>
      <c r="Z246" s="907"/>
      <c r="AA246" s="907"/>
      <c r="AB246" s="907"/>
      <c r="AC246" s="907"/>
      <c r="AD246" s="907"/>
      <c r="AE246" s="907"/>
      <c r="AF246" s="907"/>
      <c r="AG246" s="907"/>
      <c r="AH246" s="907"/>
      <c r="AI246" s="907"/>
      <c r="AJ246" s="907"/>
      <c r="AK246" s="907"/>
      <c r="AL246" s="907"/>
      <c r="AM246" s="907"/>
    </row>
    <row r="247" spans="1:39">
      <c r="A247" s="907"/>
      <c r="B247" s="907"/>
      <c r="C247" s="907"/>
      <c r="D247" s="907"/>
      <c r="E247" s="907"/>
      <c r="F247" s="907"/>
      <c r="G247" s="907"/>
      <c r="H247" s="907"/>
      <c r="I247" s="907"/>
      <c r="J247" s="907"/>
      <c r="K247" s="907"/>
      <c r="L247" s="907"/>
      <c r="M247" s="907"/>
      <c r="N247" s="907"/>
      <c r="O247" s="907"/>
      <c r="P247" s="907"/>
      <c r="Q247" s="907"/>
      <c r="R247" s="907"/>
      <c r="S247" s="907"/>
      <c r="T247" s="907"/>
      <c r="U247" s="907"/>
      <c r="V247" s="907"/>
      <c r="W247" s="907"/>
      <c r="X247" s="907"/>
      <c r="Y247" s="907"/>
      <c r="Z247" s="907"/>
      <c r="AA247" s="907"/>
      <c r="AB247" s="907"/>
      <c r="AC247" s="907"/>
      <c r="AD247" s="907"/>
      <c r="AE247" s="907"/>
      <c r="AF247" s="907"/>
      <c r="AG247" s="907"/>
      <c r="AH247" s="907"/>
      <c r="AI247" s="907"/>
      <c r="AJ247" s="907"/>
      <c r="AK247" s="907"/>
      <c r="AL247" s="907"/>
      <c r="AM247" s="907"/>
    </row>
    <row r="248" spans="1:39">
      <c r="A248" s="907"/>
      <c r="B248" s="907"/>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c r="AB248" s="907"/>
      <c r="AC248" s="907"/>
      <c r="AD248" s="907"/>
      <c r="AE248" s="907"/>
      <c r="AF248" s="907"/>
      <c r="AG248" s="907"/>
      <c r="AH248" s="907"/>
      <c r="AI248" s="907"/>
      <c r="AJ248" s="907"/>
      <c r="AK248" s="907"/>
      <c r="AL248" s="907"/>
      <c r="AM248" s="907"/>
    </row>
    <row r="249" spans="1:39">
      <c r="A249" s="907"/>
      <c r="B249" s="907"/>
      <c r="C249" s="907"/>
      <c r="D249" s="907"/>
      <c r="E249" s="907"/>
      <c r="F249" s="907"/>
      <c r="G249" s="907"/>
      <c r="H249" s="907"/>
      <c r="I249" s="907"/>
      <c r="J249" s="907"/>
      <c r="K249" s="907"/>
      <c r="L249" s="907"/>
      <c r="M249" s="907"/>
      <c r="N249" s="907"/>
      <c r="O249" s="907"/>
      <c r="P249" s="907"/>
      <c r="Q249" s="907"/>
      <c r="R249" s="907"/>
      <c r="S249" s="907"/>
      <c r="T249" s="907"/>
      <c r="U249" s="907"/>
      <c r="V249" s="907"/>
      <c r="W249" s="907"/>
      <c r="X249" s="907"/>
      <c r="Y249" s="907"/>
      <c r="Z249" s="907"/>
      <c r="AA249" s="907"/>
      <c r="AB249" s="907"/>
      <c r="AC249" s="907"/>
      <c r="AD249" s="907"/>
      <c r="AE249" s="907"/>
      <c r="AF249" s="907"/>
      <c r="AG249" s="907"/>
      <c r="AH249" s="907"/>
      <c r="AI249" s="907"/>
      <c r="AJ249" s="907"/>
      <c r="AK249" s="907"/>
      <c r="AL249" s="907"/>
      <c r="AM249" s="907"/>
    </row>
    <row r="250" spans="1:39">
      <c r="A250" s="907"/>
      <c r="B250" s="907"/>
      <c r="C250" s="907"/>
      <c r="D250" s="907"/>
      <c r="E250" s="907"/>
      <c r="F250" s="907"/>
      <c r="G250" s="907"/>
      <c r="H250" s="907"/>
      <c r="I250" s="907"/>
      <c r="J250" s="907"/>
      <c r="K250" s="907"/>
      <c r="L250" s="907"/>
      <c r="M250" s="907"/>
      <c r="N250" s="907"/>
      <c r="O250" s="907"/>
      <c r="P250" s="907"/>
      <c r="Q250" s="907"/>
      <c r="R250" s="907"/>
      <c r="S250" s="907"/>
      <c r="T250" s="907"/>
      <c r="U250" s="907"/>
      <c r="V250" s="907"/>
      <c r="W250" s="907"/>
      <c r="X250" s="907"/>
      <c r="Y250" s="907"/>
      <c r="Z250" s="907"/>
      <c r="AA250" s="907"/>
      <c r="AB250" s="907"/>
      <c r="AC250" s="907"/>
      <c r="AD250" s="907"/>
      <c r="AE250" s="907"/>
      <c r="AF250" s="907"/>
      <c r="AG250" s="907"/>
      <c r="AH250" s="907"/>
      <c r="AI250" s="907"/>
      <c r="AJ250" s="907"/>
      <c r="AK250" s="907"/>
      <c r="AL250" s="907"/>
      <c r="AM250" s="907"/>
    </row>
    <row r="251" spans="1:39">
      <c r="A251" s="907"/>
      <c r="B251" s="907"/>
      <c r="C251" s="907"/>
      <c r="D251" s="907"/>
      <c r="E251" s="907"/>
      <c r="F251" s="907"/>
      <c r="G251" s="907"/>
      <c r="H251" s="907"/>
      <c r="I251" s="907"/>
      <c r="J251" s="907"/>
      <c r="K251" s="907"/>
      <c r="L251" s="907"/>
      <c r="M251" s="907"/>
      <c r="N251" s="907"/>
      <c r="O251" s="907"/>
      <c r="P251" s="907"/>
      <c r="Q251" s="907"/>
      <c r="R251" s="907"/>
      <c r="S251" s="907"/>
      <c r="T251" s="907"/>
      <c r="U251" s="907"/>
      <c r="V251" s="907"/>
      <c r="W251" s="907"/>
      <c r="X251" s="907"/>
      <c r="Y251" s="907"/>
      <c r="Z251" s="907"/>
      <c r="AA251" s="907"/>
      <c r="AB251" s="907"/>
      <c r="AC251" s="907"/>
      <c r="AD251" s="907"/>
      <c r="AE251" s="907"/>
      <c r="AF251" s="907"/>
      <c r="AG251" s="907"/>
      <c r="AH251" s="907"/>
      <c r="AI251" s="907"/>
      <c r="AJ251" s="907"/>
      <c r="AK251" s="907"/>
      <c r="AL251" s="907"/>
      <c r="AM251" s="907"/>
    </row>
    <row r="252" spans="1:39">
      <c r="A252" s="907"/>
      <c r="B252" s="907"/>
      <c r="C252" s="907"/>
      <c r="D252" s="907"/>
      <c r="E252" s="907"/>
      <c r="F252" s="907"/>
      <c r="G252" s="907"/>
      <c r="H252" s="907"/>
      <c r="I252" s="907"/>
      <c r="J252" s="907"/>
      <c r="K252" s="907"/>
      <c r="L252" s="907"/>
      <c r="M252" s="907"/>
      <c r="N252" s="907"/>
      <c r="O252" s="907"/>
      <c r="P252" s="907"/>
      <c r="Q252" s="907"/>
      <c r="R252" s="907"/>
      <c r="S252" s="907"/>
      <c r="T252" s="907"/>
      <c r="U252" s="907"/>
      <c r="V252" s="907"/>
      <c r="W252" s="907"/>
      <c r="X252" s="907"/>
      <c r="Y252" s="907"/>
      <c r="Z252" s="907"/>
      <c r="AA252" s="907"/>
      <c r="AB252" s="907"/>
      <c r="AC252" s="907"/>
      <c r="AD252" s="907"/>
      <c r="AE252" s="907"/>
      <c r="AF252" s="907"/>
      <c r="AG252" s="907"/>
      <c r="AH252" s="907"/>
      <c r="AI252" s="907"/>
      <c r="AJ252" s="907"/>
      <c r="AK252" s="907"/>
      <c r="AL252" s="907"/>
      <c r="AM252" s="907"/>
    </row>
    <row r="253" spans="1:39">
      <c r="A253" s="907"/>
      <c r="B253" s="907"/>
      <c r="C253" s="907"/>
      <c r="D253" s="907"/>
      <c r="E253" s="907"/>
      <c r="F253" s="907"/>
      <c r="G253" s="907"/>
      <c r="H253" s="907"/>
      <c r="I253" s="907"/>
      <c r="J253" s="907"/>
      <c r="K253" s="907"/>
      <c r="L253" s="907"/>
      <c r="M253" s="907"/>
      <c r="N253" s="907"/>
      <c r="O253" s="907"/>
      <c r="P253" s="907"/>
      <c r="Q253" s="907"/>
      <c r="R253" s="907"/>
      <c r="S253" s="907"/>
      <c r="T253" s="907"/>
      <c r="U253" s="907"/>
      <c r="V253" s="907"/>
      <c r="W253" s="907"/>
      <c r="X253" s="907"/>
      <c r="Y253" s="907"/>
      <c r="Z253" s="907"/>
      <c r="AA253" s="907"/>
      <c r="AB253" s="907"/>
      <c r="AC253" s="907"/>
      <c r="AD253" s="907"/>
      <c r="AE253" s="907"/>
      <c r="AF253" s="907"/>
      <c r="AG253" s="907"/>
      <c r="AH253" s="907"/>
      <c r="AI253" s="907"/>
      <c r="AJ253" s="907"/>
      <c r="AK253" s="907"/>
      <c r="AL253" s="907"/>
      <c r="AM253" s="907"/>
    </row>
    <row r="254" spans="1:39">
      <c r="A254" s="907"/>
      <c r="B254" s="907"/>
      <c r="C254" s="907"/>
      <c r="D254" s="907"/>
      <c r="E254" s="907"/>
      <c r="F254" s="907"/>
      <c r="G254" s="907"/>
      <c r="H254" s="907"/>
      <c r="I254" s="907"/>
      <c r="J254" s="907"/>
      <c r="K254" s="907"/>
      <c r="L254" s="907"/>
      <c r="M254" s="907"/>
      <c r="N254" s="907"/>
      <c r="O254" s="907"/>
      <c r="P254" s="907"/>
      <c r="Q254" s="907"/>
      <c r="R254" s="907"/>
      <c r="S254" s="907"/>
      <c r="T254" s="907"/>
      <c r="U254" s="907"/>
      <c r="V254" s="907"/>
      <c r="W254" s="907"/>
      <c r="X254" s="907"/>
      <c r="Y254" s="907"/>
      <c r="Z254" s="907"/>
      <c r="AA254" s="907"/>
      <c r="AB254" s="907"/>
      <c r="AC254" s="907"/>
      <c r="AD254" s="907"/>
      <c r="AE254" s="907"/>
      <c r="AF254" s="907"/>
      <c r="AG254" s="907"/>
      <c r="AH254" s="907"/>
      <c r="AI254" s="907"/>
      <c r="AJ254" s="907"/>
      <c r="AK254" s="907"/>
      <c r="AL254" s="907"/>
      <c r="AM254" s="907"/>
    </row>
    <row r="255" spans="1:39">
      <c r="A255" s="907"/>
      <c r="B255" s="907"/>
      <c r="C255" s="907"/>
      <c r="D255" s="907"/>
      <c r="E255" s="907"/>
      <c r="F255" s="907"/>
      <c r="G255" s="907"/>
      <c r="H255" s="907"/>
      <c r="I255" s="907"/>
      <c r="J255" s="907"/>
      <c r="K255" s="907"/>
      <c r="L255" s="907"/>
      <c r="M255" s="907"/>
      <c r="N255" s="907"/>
      <c r="O255" s="907"/>
      <c r="P255" s="907"/>
      <c r="Q255" s="907"/>
      <c r="R255" s="907"/>
      <c r="S255" s="907"/>
      <c r="T255" s="907"/>
      <c r="U255" s="907"/>
      <c r="V255" s="907"/>
      <c r="W255" s="907"/>
      <c r="X255" s="907"/>
      <c r="Y255" s="907"/>
      <c r="Z255" s="907"/>
      <c r="AA255" s="907"/>
      <c r="AB255" s="907"/>
      <c r="AC255" s="907"/>
      <c r="AD255" s="907"/>
      <c r="AE255" s="907"/>
      <c r="AF255" s="907"/>
      <c r="AG255" s="907"/>
      <c r="AH255" s="907"/>
      <c r="AI255" s="907"/>
      <c r="AJ255" s="907"/>
      <c r="AK255" s="907"/>
      <c r="AL255" s="907"/>
      <c r="AM255" s="907"/>
    </row>
    <row r="256" spans="1:39">
      <c r="A256" s="907"/>
      <c r="B256" s="907"/>
      <c r="C256" s="907"/>
      <c r="D256" s="907"/>
      <c r="E256" s="907"/>
      <c r="F256" s="907"/>
      <c r="G256" s="907"/>
      <c r="H256" s="907"/>
      <c r="I256" s="907"/>
      <c r="J256" s="907"/>
      <c r="K256" s="907"/>
      <c r="L256" s="907"/>
      <c r="M256" s="907"/>
      <c r="N256" s="907"/>
      <c r="O256" s="907"/>
      <c r="P256" s="907"/>
      <c r="Q256" s="907"/>
      <c r="R256" s="907"/>
      <c r="S256" s="907"/>
      <c r="T256" s="907"/>
      <c r="U256" s="907"/>
      <c r="V256" s="907"/>
      <c r="W256" s="907"/>
      <c r="X256" s="907"/>
      <c r="Y256" s="907"/>
      <c r="Z256" s="907"/>
      <c r="AA256" s="907"/>
      <c r="AB256" s="907"/>
      <c r="AC256" s="907"/>
      <c r="AD256" s="907"/>
      <c r="AE256" s="907"/>
      <c r="AF256" s="907"/>
      <c r="AG256" s="907"/>
      <c r="AH256" s="907"/>
      <c r="AI256" s="907"/>
      <c r="AJ256" s="907"/>
      <c r="AK256" s="907"/>
      <c r="AL256" s="907"/>
      <c r="AM256" s="907"/>
    </row>
    <row r="257" spans="1:39">
      <c r="A257" s="907"/>
      <c r="B257" s="907"/>
      <c r="C257" s="907"/>
      <c r="D257" s="907"/>
      <c r="E257" s="907"/>
      <c r="F257" s="907"/>
      <c r="G257" s="907"/>
      <c r="H257" s="907"/>
      <c r="I257" s="907"/>
      <c r="J257" s="907"/>
      <c r="K257" s="907"/>
      <c r="L257" s="907"/>
      <c r="M257" s="907"/>
      <c r="N257" s="907"/>
      <c r="O257" s="907"/>
      <c r="P257" s="907"/>
      <c r="Q257" s="907"/>
      <c r="R257" s="907"/>
      <c r="S257" s="907"/>
      <c r="T257" s="907"/>
      <c r="U257" s="907"/>
      <c r="V257" s="907"/>
      <c r="W257" s="907"/>
      <c r="X257" s="907"/>
      <c r="Y257" s="907"/>
      <c r="Z257" s="907"/>
      <c r="AA257" s="907"/>
      <c r="AB257" s="907"/>
      <c r="AC257" s="907"/>
      <c r="AD257" s="907"/>
      <c r="AE257" s="907"/>
      <c r="AF257" s="907"/>
      <c r="AG257" s="907"/>
      <c r="AH257" s="907"/>
      <c r="AI257" s="907"/>
      <c r="AJ257" s="907"/>
      <c r="AK257" s="907"/>
      <c r="AL257" s="907"/>
      <c r="AM257" s="907"/>
    </row>
    <row r="258" spans="1:39">
      <c r="A258" s="907"/>
      <c r="B258" s="907"/>
      <c r="C258" s="907"/>
      <c r="D258" s="907"/>
      <c r="E258" s="907"/>
      <c r="F258" s="907"/>
      <c r="G258" s="907"/>
      <c r="H258" s="907"/>
      <c r="I258" s="907"/>
      <c r="J258" s="907"/>
      <c r="K258" s="907"/>
      <c r="L258" s="907"/>
      <c r="M258" s="907"/>
      <c r="N258" s="907"/>
      <c r="O258" s="907"/>
      <c r="P258" s="907"/>
      <c r="Q258" s="907"/>
      <c r="R258" s="907"/>
      <c r="S258" s="907"/>
      <c r="T258" s="907"/>
      <c r="U258" s="907"/>
      <c r="V258" s="907"/>
      <c r="W258" s="907"/>
      <c r="X258" s="907"/>
      <c r="Y258" s="907"/>
      <c r="Z258" s="907"/>
      <c r="AA258" s="907"/>
      <c r="AB258" s="907"/>
      <c r="AC258" s="907"/>
      <c r="AD258" s="907"/>
      <c r="AE258" s="907"/>
      <c r="AF258" s="907"/>
      <c r="AG258" s="907"/>
      <c r="AH258" s="907"/>
      <c r="AI258" s="907"/>
      <c r="AJ258" s="907"/>
      <c r="AK258" s="907"/>
      <c r="AL258" s="907"/>
      <c r="AM258" s="907"/>
    </row>
    <row r="259" spans="1:39">
      <c r="A259" s="907"/>
      <c r="B259" s="907"/>
      <c r="C259" s="907"/>
      <c r="D259" s="907"/>
      <c r="E259" s="907"/>
      <c r="F259" s="907"/>
      <c r="G259" s="907"/>
      <c r="H259" s="907"/>
      <c r="I259" s="907"/>
      <c r="J259" s="907"/>
      <c r="K259" s="907"/>
      <c r="L259" s="907"/>
      <c r="M259" s="907"/>
      <c r="N259" s="907"/>
      <c r="O259" s="907"/>
      <c r="P259" s="907"/>
      <c r="Q259" s="907"/>
      <c r="R259" s="907"/>
      <c r="S259" s="907"/>
      <c r="T259" s="907"/>
      <c r="U259" s="907"/>
      <c r="V259" s="907"/>
      <c r="W259" s="907"/>
      <c r="X259" s="907"/>
      <c r="Y259" s="907"/>
      <c r="Z259" s="907"/>
      <c r="AA259" s="907"/>
      <c r="AB259" s="907"/>
      <c r="AC259" s="907"/>
      <c r="AD259" s="907"/>
      <c r="AE259" s="907"/>
      <c r="AF259" s="907"/>
      <c r="AG259" s="907"/>
      <c r="AH259" s="907"/>
      <c r="AI259" s="907"/>
      <c r="AJ259" s="907"/>
      <c r="AK259" s="907"/>
      <c r="AL259" s="907"/>
      <c r="AM259" s="907"/>
    </row>
    <row r="260" spans="1:39">
      <c r="A260" s="907"/>
      <c r="B260" s="907"/>
      <c r="C260" s="907"/>
      <c r="D260" s="907"/>
      <c r="E260" s="907"/>
      <c r="F260" s="907"/>
      <c r="G260" s="907"/>
      <c r="H260" s="907"/>
      <c r="I260" s="907"/>
      <c r="J260" s="907"/>
      <c r="K260" s="907"/>
      <c r="L260" s="907"/>
      <c r="M260" s="907"/>
      <c r="N260" s="907"/>
      <c r="O260" s="907"/>
      <c r="P260" s="907"/>
      <c r="Q260" s="907"/>
      <c r="R260" s="907"/>
      <c r="S260" s="907"/>
      <c r="T260" s="907"/>
      <c r="U260" s="907"/>
      <c r="V260" s="907"/>
      <c r="W260" s="907"/>
      <c r="X260" s="907"/>
      <c r="Y260" s="907"/>
      <c r="Z260" s="907"/>
      <c r="AA260" s="907"/>
      <c r="AB260" s="907"/>
      <c r="AC260" s="907"/>
      <c r="AD260" s="907"/>
      <c r="AE260" s="907"/>
      <c r="AF260" s="907"/>
      <c r="AG260" s="907"/>
      <c r="AH260" s="907"/>
      <c r="AI260" s="907"/>
      <c r="AJ260" s="907"/>
      <c r="AK260" s="907"/>
      <c r="AL260" s="907"/>
      <c r="AM260" s="907"/>
    </row>
    <row r="261" spans="1:39">
      <c r="A261" s="907"/>
      <c r="B261" s="907"/>
      <c r="C261" s="907"/>
      <c r="D261" s="907"/>
      <c r="E261" s="907"/>
      <c r="F261" s="907"/>
      <c r="G261" s="907"/>
      <c r="H261" s="907"/>
      <c r="I261" s="907"/>
      <c r="J261" s="907"/>
      <c r="K261" s="907"/>
      <c r="L261" s="907"/>
      <c r="M261" s="907"/>
      <c r="N261" s="907"/>
      <c r="O261" s="907"/>
      <c r="P261" s="907"/>
      <c r="Q261" s="907"/>
      <c r="R261" s="907"/>
      <c r="S261" s="907"/>
      <c r="T261" s="907"/>
      <c r="U261" s="907"/>
      <c r="V261" s="907"/>
      <c r="W261" s="907"/>
      <c r="X261" s="907"/>
      <c r="Y261" s="907"/>
      <c r="Z261" s="907"/>
      <c r="AA261" s="907"/>
      <c r="AB261" s="907"/>
      <c r="AC261" s="907"/>
      <c r="AD261" s="907"/>
      <c r="AE261" s="907"/>
      <c r="AF261" s="907"/>
      <c r="AG261" s="907"/>
      <c r="AH261" s="907"/>
      <c r="AI261" s="907"/>
      <c r="AJ261" s="907"/>
      <c r="AK261" s="907"/>
      <c r="AL261" s="907"/>
      <c r="AM261" s="907"/>
    </row>
    <row r="262" spans="1:39">
      <c r="A262" s="907"/>
      <c r="B262" s="907"/>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c r="AB262" s="907"/>
      <c r="AC262" s="907"/>
      <c r="AD262" s="907"/>
      <c r="AE262" s="907"/>
      <c r="AF262" s="907"/>
      <c r="AG262" s="907"/>
      <c r="AH262" s="907"/>
      <c r="AI262" s="907"/>
      <c r="AJ262" s="907"/>
      <c r="AK262" s="907"/>
      <c r="AL262" s="907"/>
      <c r="AM262" s="907"/>
    </row>
    <row r="263" spans="1:39">
      <c r="A263" s="907"/>
      <c r="B263" s="907"/>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c r="AB263" s="907"/>
      <c r="AC263" s="907"/>
      <c r="AD263" s="907"/>
      <c r="AE263" s="907"/>
      <c r="AF263" s="907"/>
      <c r="AG263" s="907"/>
      <c r="AH263" s="907"/>
      <c r="AI263" s="907"/>
      <c r="AJ263" s="907"/>
      <c r="AK263" s="907"/>
      <c r="AL263" s="907"/>
      <c r="AM263" s="907"/>
    </row>
    <row r="264" spans="1:39">
      <c r="A264" s="907"/>
      <c r="B264" s="907"/>
      <c r="C264" s="907"/>
      <c r="D264" s="907"/>
      <c r="E264" s="907"/>
      <c r="F264" s="907"/>
      <c r="G264" s="907"/>
      <c r="H264" s="907"/>
      <c r="I264" s="907"/>
      <c r="J264" s="907"/>
      <c r="K264" s="907"/>
      <c r="L264" s="907"/>
      <c r="M264" s="907"/>
      <c r="N264" s="907"/>
      <c r="O264" s="907"/>
      <c r="P264" s="907"/>
      <c r="Q264" s="907"/>
      <c r="R264" s="907"/>
      <c r="S264" s="907"/>
      <c r="T264" s="907"/>
      <c r="U264" s="907"/>
      <c r="V264" s="907"/>
      <c r="W264" s="907"/>
      <c r="X264" s="907"/>
      <c r="Y264" s="907"/>
      <c r="Z264" s="907"/>
      <c r="AA264" s="907"/>
      <c r="AB264" s="907"/>
      <c r="AC264" s="907"/>
      <c r="AD264" s="907"/>
      <c r="AE264" s="907"/>
      <c r="AF264" s="907"/>
      <c r="AG264" s="907"/>
      <c r="AH264" s="907"/>
      <c r="AI264" s="907"/>
      <c r="AJ264" s="907"/>
      <c r="AK264" s="907"/>
      <c r="AL264" s="907"/>
      <c r="AM264" s="907"/>
    </row>
    <row r="265" spans="1:39">
      <c r="A265" s="907"/>
      <c r="B265" s="907"/>
      <c r="C265" s="907"/>
      <c r="D265" s="907"/>
      <c r="E265" s="907"/>
      <c r="F265" s="907"/>
      <c r="G265" s="907"/>
      <c r="H265" s="907"/>
      <c r="I265" s="907"/>
      <c r="J265" s="907"/>
      <c r="K265" s="907"/>
      <c r="L265" s="907"/>
      <c r="M265" s="907"/>
      <c r="N265" s="907"/>
      <c r="O265" s="907"/>
      <c r="P265" s="907"/>
      <c r="Q265" s="907"/>
      <c r="R265" s="907"/>
      <c r="S265" s="907"/>
      <c r="T265" s="907"/>
      <c r="U265" s="907"/>
      <c r="V265" s="907"/>
      <c r="W265" s="907"/>
      <c r="X265" s="907"/>
      <c r="Y265" s="907"/>
      <c r="Z265" s="907"/>
      <c r="AA265" s="907"/>
      <c r="AB265" s="907"/>
      <c r="AC265" s="907"/>
      <c r="AD265" s="907"/>
      <c r="AE265" s="907"/>
      <c r="AF265" s="907"/>
      <c r="AG265" s="907"/>
      <c r="AH265" s="907"/>
      <c r="AI265" s="907"/>
      <c r="AJ265" s="907"/>
      <c r="AK265" s="907"/>
      <c r="AL265" s="907"/>
      <c r="AM265" s="907"/>
    </row>
    <row r="266" spans="1:39">
      <c r="A266" s="907"/>
      <c r="B266" s="907"/>
      <c r="C266" s="907"/>
      <c r="D266" s="907"/>
      <c r="E266" s="907"/>
      <c r="F266" s="907"/>
      <c r="G266" s="907"/>
      <c r="H266" s="907"/>
      <c r="I266" s="907"/>
      <c r="J266" s="907"/>
      <c r="K266" s="907"/>
      <c r="L266" s="907"/>
      <c r="M266" s="907"/>
      <c r="N266" s="907"/>
      <c r="O266" s="907"/>
      <c r="P266" s="907"/>
      <c r="Q266" s="907"/>
      <c r="R266" s="907"/>
      <c r="S266" s="907"/>
      <c r="T266" s="907"/>
      <c r="U266" s="907"/>
      <c r="V266" s="907"/>
      <c r="W266" s="907"/>
      <c r="X266" s="907"/>
      <c r="Y266" s="907"/>
      <c r="Z266" s="907"/>
      <c r="AA266" s="907"/>
      <c r="AB266" s="907"/>
      <c r="AC266" s="907"/>
      <c r="AD266" s="907"/>
      <c r="AE266" s="907"/>
      <c r="AF266" s="907"/>
      <c r="AG266" s="907"/>
      <c r="AH266" s="907"/>
      <c r="AI266" s="907"/>
      <c r="AJ266" s="907"/>
      <c r="AK266" s="907"/>
      <c r="AL266" s="907"/>
      <c r="AM266" s="907"/>
    </row>
    <row r="267" spans="1:39">
      <c r="A267" s="907"/>
      <c r="B267" s="907"/>
      <c r="C267" s="907"/>
      <c r="D267" s="907"/>
      <c r="E267" s="907"/>
      <c r="F267" s="907"/>
      <c r="G267" s="907"/>
      <c r="H267" s="907"/>
      <c r="I267" s="907"/>
      <c r="J267" s="907"/>
      <c r="K267" s="907"/>
      <c r="L267" s="907"/>
      <c r="M267" s="907"/>
      <c r="N267" s="907"/>
      <c r="O267" s="907"/>
      <c r="P267" s="907"/>
      <c r="Q267" s="907"/>
      <c r="R267" s="907"/>
      <c r="S267" s="907"/>
      <c r="T267" s="907"/>
      <c r="U267" s="907"/>
      <c r="V267" s="907"/>
      <c r="W267" s="907"/>
      <c r="X267" s="907"/>
      <c r="Y267" s="907"/>
      <c r="Z267" s="907"/>
      <c r="AA267" s="907"/>
      <c r="AB267" s="907"/>
      <c r="AC267" s="907"/>
      <c r="AD267" s="907"/>
      <c r="AE267" s="907"/>
      <c r="AF267" s="907"/>
      <c r="AG267" s="907"/>
      <c r="AH267" s="907"/>
      <c r="AI267" s="907"/>
      <c r="AJ267" s="907"/>
      <c r="AK267" s="907"/>
      <c r="AL267" s="907"/>
      <c r="AM267" s="907"/>
    </row>
    <row r="268" spans="1:39">
      <c r="A268" s="907"/>
      <c r="B268" s="907"/>
      <c r="C268" s="907"/>
      <c r="D268" s="907"/>
      <c r="E268" s="907"/>
      <c r="F268" s="907"/>
      <c r="G268" s="907"/>
      <c r="H268" s="907"/>
      <c r="I268" s="907"/>
      <c r="J268" s="907"/>
      <c r="K268" s="907"/>
      <c r="L268" s="907"/>
      <c r="M268" s="907"/>
      <c r="N268" s="907"/>
      <c r="O268" s="907"/>
      <c r="P268" s="907"/>
      <c r="Q268" s="907"/>
      <c r="R268" s="907"/>
      <c r="S268" s="907"/>
      <c r="T268" s="907"/>
      <c r="U268" s="907"/>
      <c r="V268" s="907"/>
      <c r="W268" s="907"/>
      <c r="X268" s="907"/>
      <c r="Y268" s="907"/>
      <c r="Z268" s="907"/>
      <c r="AA268" s="907"/>
      <c r="AB268" s="907"/>
      <c r="AC268" s="907"/>
      <c r="AD268" s="907"/>
      <c r="AE268" s="907"/>
      <c r="AF268" s="907"/>
      <c r="AG268" s="907"/>
      <c r="AH268" s="907"/>
      <c r="AI268" s="907"/>
      <c r="AJ268" s="907"/>
      <c r="AK268" s="907"/>
      <c r="AL268" s="907"/>
      <c r="AM268" s="907"/>
    </row>
    <row r="269" spans="1:39">
      <c r="A269" s="907"/>
      <c r="B269" s="907"/>
      <c r="C269" s="907"/>
      <c r="D269" s="907"/>
      <c r="E269" s="907"/>
      <c r="F269" s="907"/>
      <c r="G269" s="907"/>
      <c r="H269" s="907"/>
      <c r="I269" s="907"/>
      <c r="J269" s="907"/>
      <c r="K269" s="907"/>
      <c r="L269" s="907"/>
      <c r="M269" s="907"/>
      <c r="N269" s="907"/>
      <c r="O269" s="907"/>
      <c r="P269" s="907"/>
      <c r="Q269" s="907"/>
      <c r="R269" s="907"/>
      <c r="S269" s="907"/>
      <c r="T269" s="907"/>
      <c r="U269" s="907"/>
      <c r="V269" s="907"/>
      <c r="W269" s="907"/>
      <c r="X269" s="907"/>
      <c r="Y269" s="907"/>
      <c r="Z269" s="907"/>
      <c r="AA269" s="907"/>
      <c r="AB269" s="907"/>
      <c r="AC269" s="907"/>
      <c r="AD269" s="907"/>
      <c r="AE269" s="907"/>
      <c r="AF269" s="907"/>
      <c r="AG269" s="907"/>
      <c r="AH269" s="907"/>
      <c r="AI269" s="907"/>
      <c r="AJ269" s="907"/>
      <c r="AK269" s="907"/>
      <c r="AL269" s="907"/>
      <c r="AM269" s="907"/>
    </row>
    <row r="270" spans="1:39">
      <c r="A270" s="907"/>
      <c r="B270" s="907"/>
      <c r="C270" s="907"/>
      <c r="D270" s="907"/>
      <c r="E270" s="907"/>
      <c r="F270" s="907"/>
      <c r="G270" s="907"/>
      <c r="H270" s="907"/>
      <c r="I270" s="907"/>
      <c r="J270" s="907"/>
      <c r="K270" s="907"/>
      <c r="L270" s="907"/>
      <c r="M270" s="907"/>
      <c r="N270" s="907"/>
      <c r="O270" s="907"/>
      <c r="P270" s="907"/>
      <c r="Q270" s="907"/>
      <c r="R270" s="907"/>
      <c r="S270" s="907"/>
      <c r="T270" s="907"/>
      <c r="U270" s="907"/>
      <c r="V270" s="907"/>
      <c r="W270" s="907"/>
      <c r="X270" s="907"/>
      <c r="Y270" s="907"/>
      <c r="Z270" s="907"/>
      <c r="AA270" s="907"/>
      <c r="AB270" s="907"/>
      <c r="AC270" s="907"/>
      <c r="AD270" s="907"/>
      <c r="AE270" s="907"/>
      <c r="AF270" s="907"/>
      <c r="AG270" s="907"/>
      <c r="AH270" s="907"/>
      <c r="AI270" s="907"/>
      <c r="AJ270" s="907"/>
      <c r="AK270" s="907"/>
      <c r="AL270" s="907"/>
      <c r="AM270" s="907"/>
    </row>
    <row r="271" spans="1:39">
      <c r="A271" s="907"/>
      <c r="B271" s="907"/>
      <c r="C271" s="907"/>
      <c r="D271" s="907"/>
      <c r="E271" s="907"/>
      <c r="F271" s="907"/>
      <c r="G271" s="907"/>
      <c r="H271" s="907"/>
      <c r="I271" s="907"/>
      <c r="J271" s="907"/>
      <c r="K271" s="907"/>
      <c r="L271" s="907"/>
      <c r="M271" s="907"/>
      <c r="N271" s="907"/>
      <c r="O271" s="907"/>
      <c r="P271" s="907"/>
      <c r="Q271" s="907"/>
      <c r="R271" s="907"/>
      <c r="S271" s="907"/>
      <c r="T271" s="907"/>
      <c r="U271" s="907"/>
      <c r="V271" s="907"/>
      <c r="W271" s="907"/>
      <c r="X271" s="907"/>
      <c r="Y271" s="907"/>
      <c r="Z271" s="907"/>
      <c r="AA271" s="907"/>
      <c r="AB271" s="907"/>
      <c r="AC271" s="907"/>
      <c r="AD271" s="907"/>
      <c r="AE271" s="907"/>
      <c r="AF271" s="907"/>
      <c r="AG271" s="907"/>
      <c r="AH271" s="907"/>
      <c r="AI271" s="907"/>
      <c r="AJ271" s="907"/>
      <c r="AK271" s="907"/>
      <c r="AL271" s="907"/>
      <c r="AM271" s="907"/>
    </row>
    <row r="272" spans="1:39">
      <c r="A272" s="907"/>
      <c r="B272" s="907"/>
      <c r="C272" s="907"/>
      <c r="D272" s="907"/>
      <c r="E272" s="907"/>
      <c r="F272" s="907"/>
      <c r="G272" s="907"/>
      <c r="H272" s="907"/>
      <c r="I272" s="907"/>
      <c r="J272" s="907"/>
      <c r="K272" s="907"/>
      <c r="L272" s="907"/>
      <c r="M272" s="907"/>
      <c r="N272" s="907"/>
      <c r="O272" s="907"/>
      <c r="P272" s="907"/>
      <c r="Q272" s="907"/>
      <c r="R272" s="907"/>
      <c r="S272" s="907"/>
      <c r="T272" s="907"/>
      <c r="U272" s="907"/>
      <c r="V272" s="907"/>
      <c r="W272" s="907"/>
      <c r="X272" s="907"/>
      <c r="Y272" s="907"/>
      <c r="Z272" s="907"/>
      <c r="AA272" s="907"/>
      <c r="AB272" s="907"/>
      <c r="AC272" s="907"/>
      <c r="AD272" s="907"/>
      <c r="AE272" s="907"/>
      <c r="AF272" s="907"/>
      <c r="AG272" s="907"/>
      <c r="AH272" s="907"/>
      <c r="AI272" s="907"/>
      <c r="AJ272" s="907"/>
      <c r="AK272" s="907"/>
      <c r="AL272" s="907"/>
      <c r="AM272" s="907"/>
    </row>
    <row r="273" spans="1:39">
      <c r="A273" s="907"/>
      <c r="B273" s="907"/>
      <c r="C273" s="907"/>
      <c r="D273" s="907"/>
      <c r="E273" s="907"/>
      <c r="F273" s="907"/>
      <c r="G273" s="907"/>
      <c r="H273" s="907"/>
      <c r="I273" s="907"/>
      <c r="J273" s="907"/>
      <c r="K273" s="907"/>
      <c r="L273" s="907"/>
      <c r="M273" s="907"/>
      <c r="N273" s="907"/>
      <c r="O273" s="907"/>
      <c r="P273" s="907"/>
      <c r="Q273" s="907"/>
      <c r="R273" s="907"/>
      <c r="S273" s="907"/>
      <c r="T273" s="907"/>
      <c r="U273" s="907"/>
      <c r="V273" s="907"/>
      <c r="W273" s="907"/>
      <c r="X273" s="907"/>
      <c r="Y273" s="907"/>
      <c r="Z273" s="907"/>
      <c r="AA273" s="907"/>
      <c r="AB273" s="907"/>
      <c r="AC273" s="907"/>
      <c r="AD273" s="907"/>
      <c r="AE273" s="907"/>
      <c r="AF273" s="907"/>
      <c r="AG273" s="907"/>
      <c r="AH273" s="907"/>
      <c r="AI273" s="907"/>
      <c r="AJ273" s="907"/>
      <c r="AK273" s="907"/>
      <c r="AL273" s="907"/>
      <c r="AM273" s="907"/>
    </row>
    <row r="274" spans="1:39">
      <c r="A274" s="907"/>
      <c r="B274" s="907"/>
      <c r="C274" s="907"/>
      <c r="D274" s="907"/>
      <c r="E274" s="907"/>
      <c r="F274" s="907"/>
      <c r="G274" s="907"/>
      <c r="H274" s="907"/>
      <c r="I274" s="907"/>
      <c r="J274" s="907"/>
      <c r="K274" s="907"/>
      <c r="L274" s="907"/>
      <c r="M274" s="907"/>
      <c r="N274" s="907"/>
      <c r="O274" s="907"/>
      <c r="P274" s="907"/>
      <c r="Q274" s="907"/>
      <c r="R274" s="907"/>
      <c r="S274" s="907"/>
      <c r="T274" s="907"/>
      <c r="U274" s="907"/>
      <c r="V274" s="907"/>
      <c r="W274" s="907"/>
      <c r="X274" s="907"/>
      <c r="Y274" s="907"/>
      <c r="Z274" s="907"/>
      <c r="AA274" s="907"/>
      <c r="AB274" s="907"/>
      <c r="AC274" s="907"/>
      <c r="AD274" s="907"/>
      <c r="AE274" s="907"/>
      <c r="AF274" s="907"/>
      <c r="AG274" s="907"/>
      <c r="AH274" s="907"/>
      <c r="AI274" s="907"/>
      <c r="AJ274" s="907"/>
      <c r="AK274" s="907"/>
      <c r="AL274" s="907"/>
      <c r="AM274" s="907"/>
    </row>
    <row r="275" spans="1:39">
      <c r="A275" s="907"/>
      <c r="B275" s="907"/>
      <c r="C275" s="907"/>
      <c r="D275" s="907"/>
      <c r="E275" s="907"/>
      <c r="F275" s="907"/>
      <c r="G275" s="907"/>
      <c r="H275" s="907"/>
      <c r="I275" s="907"/>
      <c r="J275" s="907"/>
      <c r="K275" s="907"/>
      <c r="L275" s="907"/>
      <c r="M275" s="907"/>
      <c r="N275" s="907"/>
      <c r="O275" s="907"/>
      <c r="P275" s="907"/>
      <c r="Q275" s="907"/>
      <c r="R275" s="907"/>
      <c r="S275" s="907"/>
      <c r="T275" s="907"/>
      <c r="U275" s="907"/>
      <c r="V275" s="907"/>
      <c r="W275" s="907"/>
      <c r="X275" s="907"/>
      <c r="Y275" s="907"/>
      <c r="Z275" s="907"/>
      <c r="AA275" s="907"/>
      <c r="AB275" s="907"/>
      <c r="AC275" s="907"/>
      <c r="AD275" s="907"/>
      <c r="AE275" s="907"/>
      <c r="AF275" s="907"/>
      <c r="AG275" s="907"/>
      <c r="AH275" s="907"/>
      <c r="AI275" s="907"/>
      <c r="AJ275" s="907"/>
      <c r="AK275" s="907"/>
      <c r="AL275" s="907"/>
      <c r="AM275" s="907"/>
    </row>
    <row r="276" spans="1:39">
      <c r="A276" s="907"/>
      <c r="B276" s="907"/>
      <c r="C276" s="907"/>
      <c r="D276" s="907"/>
      <c r="E276" s="907"/>
      <c r="F276" s="907"/>
      <c r="G276" s="907"/>
      <c r="H276" s="907"/>
      <c r="I276" s="907"/>
      <c r="J276" s="907"/>
      <c r="K276" s="907"/>
      <c r="L276" s="907"/>
      <c r="M276" s="907"/>
      <c r="N276" s="907"/>
      <c r="O276" s="907"/>
      <c r="P276" s="907"/>
      <c r="Q276" s="907"/>
      <c r="R276" s="907"/>
      <c r="S276" s="907"/>
      <c r="T276" s="907"/>
      <c r="U276" s="907"/>
      <c r="V276" s="907"/>
      <c r="W276" s="907"/>
      <c r="X276" s="907"/>
      <c r="Y276" s="907"/>
      <c r="Z276" s="907"/>
      <c r="AA276" s="907"/>
      <c r="AB276" s="907"/>
      <c r="AC276" s="907"/>
      <c r="AD276" s="907"/>
      <c r="AE276" s="907"/>
      <c r="AF276" s="907"/>
      <c r="AG276" s="907"/>
      <c r="AH276" s="907"/>
      <c r="AI276" s="907"/>
      <c r="AJ276" s="907"/>
      <c r="AK276" s="907"/>
      <c r="AL276" s="907"/>
      <c r="AM276" s="907"/>
    </row>
    <row r="277" spans="1:39">
      <c r="A277" s="907"/>
      <c r="B277" s="907"/>
      <c r="C277" s="907"/>
      <c r="D277" s="907"/>
      <c r="E277" s="907"/>
      <c r="F277" s="907"/>
      <c r="G277" s="907"/>
      <c r="H277" s="907"/>
      <c r="I277" s="907"/>
      <c r="J277" s="907"/>
      <c r="K277" s="907"/>
      <c r="L277" s="907"/>
      <c r="M277" s="907"/>
      <c r="N277" s="907"/>
      <c r="O277" s="907"/>
      <c r="P277" s="907"/>
      <c r="Q277" s="907"/>
      <c r="R277" s="907"/>
      <c r="S277" s="907"/>
      <c r="T277" s="907"/>
      <c r="U277" s="907"/>
      <c r="V277" s="907"/>
      <c r="W277" s="907"/>
      <c r="X277" s="907"/>
      <c r="Y277" s="907"/>
      <c r="Z277" s="907"/>
      <c r="AA277" s="907"/>
      <c r="AB277" s="907"/>
      <c r="AC277" s="907"/>
      <c r="AD277" s="907"/>
      <c r="AE277" s="907"/>
      <c r="AF277" s="907"/>
      <c r="AG277" s="907"/>
      <c r="AH277" s="907"/>
      <c r="AI277" s="907"/>
      <c r="AJ277" s="907"/>
      <c r="AK277" s="907"/>
      <c r="AL277" s="907"/>
      <c r="AM277" s="907"/>
    </row>
    <row r="278" spans="1:39">
      <c r="A278" s="907"/>
      <c r="B278" s="907"/>
      <c r="C278" s="907"/>
      <c r="D278" s="907"/>
      <c r="E278" s="907"/>
      <c r="F278" s="907"/>
      <c r="G278" s="907"/>
      <c r="H278" s="907"/>
      <c r="I278" s="907"/>
      <c r="J278" s="907"/>
      <c r="K278" s="907"/>
      <c r="L278" s="907"/>
      <c r="M278" s="907"/>
      <c r="N278" s="907"/>
      <c r="O278" s="907"/>
      <c r="P278" s="907"/>
      <c r="Q278" s="907"/>
      <c r="R278" s="907"/>
      <c r="S278" s="907"/>
      <c r="T278" s="907"/>
      <c r="U278" s="907"/>
      <c r="V278" s="907"/>
      <c r="W278" s="907"/>
      <c r="X278" s="907"/>
      <c r="Y278" s="907"/>
      <c r="Z278" s="907"/>
      <c r="AA278" s="907"/>
      <c r="AB278" s="907"/>
      <c r="AC278" s="907"/>
      <c r="AD278" s="907"/>
      <c r="AE278" s="907"/>
      <c r="AF278" s="907"/>
      <c r="AG278" s="907"/>
      <c r="AH278" s="907"/>
      <c r="AI278" s="907"/>
      <c r="AJ278" s="907"/>
      <c r="AK278" s="907"/>
      <c r="AL278" s="907"/>
      <c r="AM278" s="907"/>
    </row>
    <row r="279" spans="1:39">
      <c r="A279" s="907"/>
      <c r="B279" s="907"/>
      <c r="C279" s="907"/>
      <c r="D279" s="907"/>
      <c r="E279" s="907"/>
      <c r="F279" s="907"/>
      <c r="G279" s="907"/>
      <c r="H279" s="907"/>
      <c r="I279" s="907"/>
      <c r="J279" s="907"/>
      <c r="K279" s="907"/>
      <c r="L279" s="907"/>
      <c r="M279" s="907"/>
      <c r="N279" s="907"/>
      <c r="O279" s="907"/>
      <c r="P279" s="907"/>
      <c r="Q279" s="907"/>
      <c r="R279" s="907"/>
      <c r="S279" s="907"/>
      <c r="T279" s="907"/>
      <c r="U279" s="907"/>
      <c r="V279" s="907"/>
      <c r="W279" s="907"/>
      <c r="X279" s="907"/>
      <c r="Y279" s="907"/>
      <c r="Z279" s="907"/>
      <c r="AA279" s="907"/>
      <c r="AB279" s="907"/>
      <c r="AC279" s="907"/>
      <c r="AD279" s="907"/>
      <c r="AE279" s="907"/>
      <c r="AF279" s="907"/>
      <c r="AG279" s="907"/>
      <c r="AH279" s="907"/>
      <c r="AI279" s="907"/>
      <c r="AJ279" s="907"/>
      <c r="AK279" s="907"/>
      <c r="AL279" s="907"/>
      <c r="AM279" s="907"/>
    </row>
    <row r="280" spans="1:39">
      <c r="A280" s="907"/>
      <c r="B280" s="907"/>
      <c r="C280" s="907"/>
      <c r="D280" s="907"/>
      <c r="E280" s="907"/>
      <c r="F280" s="907"/>
      <c r="G280" s="907"/>
      <c r="H280" s="907"/>
      <c r="I280" s="907"/>
      <c r="J280" s="907"/>
      <c r="K280" s="907"/>
      <c r="L280" s="907"/>
      <c r="M280" s="907"/>
      <c r="N280" s="907"/>
      <c r="O280" s="907"/>
      <c r="P280" s="907"/>
      <c r="Q280" s="907"/>
      <c r="R280" s="907"/>
      <c r="S280" s="907"/>
      <c r="T280" s="907"/>
      <c r="U280" s="907"/>
      <c r="V280" s="907"/>
      <c r="W280" s="907"/>
      <c r="X280" s="907"/>
      <c r="Y280" s="907"/>
      <c r="Z280" s="907"/>
      <c r="AA280" s="907"/>
      <c r="AB280" s="907"/>
      <c r="AC280" s="907"/>
      <c r="AD280" s="907"/>
      <c r="AE280" s="907"/>
      <c r="AF280" s="907"/>
      <c r="AG280" s="907"/>
      <c r="AH280" s="907"/>
      <c r="AI280" s="907"/>
      <c r="AJ280" s="907"/>
      <c r="AK280" s="907"/>
      <c r="AL280" s="907"/>
      <c r="AM280" s="907"/>
    </row>
    <row r="281" spans="1:39">
      <c r="A281" s="907"/>
      <c r="B281" s="907"/>
      <c r="C281" s="907"/>
      <c r="D281" s="907"/>
      <c r="E281" s="907"/>
      <c r="F281" s="907"/>
      <c r="G281" s="907"/>
      <c r="H281" s="907"/>
      <c r="I281" s="907"/>
      <c r="J281" s="907"/>
      <c r="K281" s="907"/>
      <c r="L281" s="907"/>
      <c r="M281" s="907"/>
      <c r="N281" s="907"/>
      <c r="O281" s="907"/>
      <c r="P281" s="907"/>
      <c r="Q281" s="907"/>
      <c r="R281" s="907"/>
      <c r="S281" s="907"/>
      <c r="T281" s="907"/>
      <c r="U281" s="907"/>
      <c r="V281" s="907"/>
      <c r="W281" s="907"/>
      <c r="X281" s="907"/>
      <c r="Y281" s="907"/>
      <c r="Z281" s="907"/>
      <c r="AA281" s="907"/>
      <c r="AB281" s="907"/>
      <c r="AC281" s="907"/>
      <c r="AD281" s="907"/>
      <c r="AE281" s="907"/>
      <c r="AF281" s="907"/>
      <c r="AG281" s="907"/>
      <c r="AH281" s="907"/>
      <c r="AI281" s="907"/>
      <c r="AJ281" s="907"/>
      <c r="AK281" s="907"/>
      <c r="AL281" s="907"/>
      <c r="AM281" s="907"/>
    </row>
    <row r="282" spans="1:39">
      <c r="A282" s="907"/>
      <c r="B282" s="907"/>
      <c r="C282" s="907"/>
      <c r="D282" s="907"/>
      <c r="E282" s="907"/>
      <c r="F282" s="907"/>
      <c r="G282" s="907"/>
      <c r="H282" s="907"/>
      <c r="I282" s="907"/>
      <c r="J282" s="907"/>
      <c r="K282" s="907"/>
      <c r="L282" s="907"/>
      <c r="M282" s="907"/>
      <c r="N282" s="907"/>
      <c r="O282" s="907"/>
      <c r="P282" s="907"/>
      <c r="Q282" s="907"/>
      <c r="R282" s="907"/>
      <c r="S282" s="907"/>
      <c r="T282" s="907"/>
      <c r="U282" s="907"/>
      <c r="V282" s="907"/>
      <c r="W282" s="907"/>
      <c r="X282" s="907"/>
      <c r="Y282" s="907"/>
      <c r="Z282" s="907"/>
      <c r="AA282" s="907"/>
      <c r="AB282" s="907"/>
      <c r="AC282" s="907"/>
      <c r="AD282" s="907"/>
      <c r="AE282" s="907"/>
      <c r="AF282" s="907"/>
      <c r="AG282" s="907"/>
      <c r="AH282" s="907"/>
      <c r="AI282" s="907"/>
      <c r="AJ282" s="907"/>
      <c r="AK282" s="907"/>
      <c r="AL282" s="907"/>
      <c r="AM282" s="907"/>
    </row>
    <row r="283" spans="1:39">
      <c r="A283" s="907"/>
      <c r="B283" s="907"/>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c r="AB283" s="907"/>
      <c r="AC283" s="907"/>
      <c r="AD283" s="907"/>
      <c r="AE283" s="907"/>
      <c r="AF283" s="907"/>
      <c r="AG283" s="907"/>
      <c r="AH283" s="907"/>
      <c r="AI283" s="907"/>
      <c r="AJ283" s="907"/>
      <c r="AK283" s="907"/>
      <c r="AL283" s="907"/>
      <c r="AM283" s="907"/>
    </row>
    <row r="284" spans="1:39">
      <c r="A284" s="907"/>
      <c r="B284" s="907"/>
      <c r="C284" s="907"/>
      <c r="D284" s="907"/>
      <c r="E284" s="907"/>
      <c r="F284" s="907"/>
      <c r="G284" s="907"/>
      <c r="H284" s="907"/>
      <c r="I284" s="907"/>
      <c r="J284" s="907"/>
      <c r="K284" s="907"/>
      <c r="L284" s="907"/>
      <c r="M284" s="907"/>
      <c r="N284" s="907"/>
      <c r="O284" s="907"/>
      <c r="P284" s="907"/>
      <c r="Q284" s="907"/>
      <c r="R284" s="907"/>
      <c r="S284" s="907"/>
      <c r="T284" s="907"/>
      <c r="U284" s="907"/>
      <c r="V284" s="907"/>
      <c r="W284" s="907"/>
      <c r="X284" s="907"/>
      <c r="Y284" s="907"/>
      <c r="Z284" s="907"/>
      <c r="AA284" s="907"/>
      <c r="AB284" s="907"/>
      <c r="AC284" s="907"/>
      <c r="AD284" s="907"/>
      <c r="AE284" s="907"/>
      <c r="AF284" s="907"/>
      <c r="AG284" s="907"/>
      <c r="AH284" s="907"/>
      <c r="AI284" s="907"/>
      <c r="AJ284" s="907"/>
      <c r="AK284" s="907"/>
      <c r="AL284" s="907"/>
      <c r="AM284" s="907"/>
    </row>
    <row r="285" spans="1:39">
      <c r="A285" s="907"/>
      <c r="B285" s="907"/>
      <c r="C285" s="907"/>
      <c r="D285" s="907"/>
      <c r="E285" s="907"/>
      <c r="F285" s="907"/>
      <c r="G285" s="907"/>
      <c r="H285" s="907"/>
      <c r="I285" s="907"/>
      <c r="J285" s="907"/>
      <c r="K285" s="907"/>
      <c r="L285" s="907"/>
      <c r="M285" s="907"/>
      <c r="N285" s="907"/>
      <c r="O285" s="907"/>
      <c r="P285" s="907"/>
      <c r="Q285" s="907"/>
      <c r="R285" s="907"/>
      <c r="S285" s="907"/>
      <c r="T285" s="907"/>
      <c r="U285" s="907"/>
      <c r="V285" s="907"/>
      <c r="W285" s="907"/>
      <c r="X285" s="907"/>
      <c r="Y285" s="907"/>
      <c r="Z285" s="907"/>
      <c r="AA285" s="907"/>
      <c r="AB285" s="907"/>
      <c r="AC285" s="907"/>
      <c r="AD285" s="907"/>
      <c r="AE285" s="907"/>
      <c r="AF285" s="907"/>
      <c r="AG285" s="907"/>
      <c r="AH285" s="907"/>
      <c r="AI285" s="907"/>
      <c r="AJ285" s="907"/>
      <c r="AK285" s="907"/>
      <c r="AL285" s="907"/>
      <c r="AM285" s="907"/>
    </row>
    <row r="286" spans="1:39">
      <c r="A286" s="907"/>
      <c r="B286" s="907"/>
      <c r="C286" s="907"/>
      <c r="D286" s="907"/>
      <c r="E286" s="907"/>
      <c r="F286" s="907"/>
      <c r="G286" s="907"/>
      <c r="H286" s="907"/>
      <c r="I286" s="907"/>
      <c r="J286" s="907"/>
      <c r="K286" s="907"/>
      <c r="L286" s="907"/>
      <c r="M286" s="907"/>
      <c r="N286" s="907"/>
      <c r="O286" s="907"/>
      <c r="P286" s="907"/>
      <c r="Q286" s="907"/>
      <c r="R286" s="907"/>
      <c r="S286" s="907"/>
      <c r="T286" s="907"/>
      <c r="U286" s="907"/>
      <c r="V286" s="907"/>
      <c r="W286" s="907"/>
      <c r="X286" s="907"/>
      <c r="Y286" s="907"/>
      <c r="Z286" s="907"/>
      <c r="AA286" s="907"/>
      <c r="AB286" s="907"/>
      <c r="AC286" s="907"/>
      <c r="AD286" s="907"/>
      <c r="AE286" s="907"/>
      <c r="AF286" s="907"/>
      <c r="AG286" s="907"/>
      <c r="AH286" s="907"/>
      <c r="AI286" s="907"/>
      <c r="AJ286" s="907"/>
      <c r="AK286" s="907"/>
      <c r="AL286" s="907"/>
      <c r="AM286" s="907"/>
    </row>
    <row r="287" spans="1:39">
      <c r="A287" s="907"/>
      <c r="B287" s="907"/>
      <c r="C287" s="907"/>
      <c r="D287" s="907"/>
      <c r="E287" s="907"/>
      <c r="F287" s="907"/>
      <c r="G287" s="907"/>
      <c r="H287" s="907"/>
      <c r="I287" s="907"/>
      <c r="J287" s="907"/>
      <c r="K287" s="907"/>
      <c r="L287" s="907"/>
      <c r="M287" s="907"/>
      <c r="N287" s="907"/>
      <c r="O287" s="907"/>
      <c r="P287" s="907"/>
      <c r="Q287" s="907"/>
      <c r="R287" s="907"/>
      <c r="S287" s="907"/>
      <c r="T287" s="907"/>
      <c r="U287" s="907"/>
      <c r="V287" s="907"/>
      <c r="W287" s="907"/>
      <c r="X287" s="907"/>
      <c r="Y287" s="907"/>
      <c r="Z287" s="907"/>
      <c r="AA287" s="907"/>
      <c r="AB287" s="907"/>
      <c r="AC287" s="907"/>
      <c r="AD287" s="907"/>
      <c r="AE287" s="907"/>
      <c r="AF287" s="907"/>
      <c r="AG287" s="907"/>
      <c r="AH287" s="907"/>
      <c r="AI287" s="907"/>
      <c r="AJ287" s="907"/>
      <c r="AK287" s="907"/>
      <c r="AL287" s="907"/>
      <c r="AM287" s="907"/>
    </row>
    <row r="288" spans="1:39">
      <c r="A288" s="907"/>
      <c r="B288" s="907"/>
      <c r="C288" s="907"/>
      <c r="D288" s="907"/>
      <c r="E288" s="907"/>
      <c r="F288" s="907"/>
      <c r="G288" s="907"/>
      <c r="H288" s="907"/>
      <c r="I288" s="907"/>
      <c r="J288" s="907"/>
      <c r="K288" s="907"/>
      <c r="L288" s="907"/>
      <c r="M288" s="907"/>
      <c r="N288" s="907"/>
      <c r="O288" s="907"/>
      <c r="P288" s="907"/>
      <c r="Q288" s="907"/>
      <c r="R288" s="907"/>
      <c r="S288" s="907"/>
      <c r="T288" s="907"/>
      <c r="U288" s="907"/>
      <c r="V288" s="907"/>
      <c r="W288" s="907"/>
      <c r="X288" s="907"/>
      <c r="Y288" s="907"/>
      <c r="Z288" s="907"/>
      <c r="AA288" s="907"/>
      <c r="AB288" s="907"/>
      <c r="AC288" s="907"/>
      <c r="AD288" s="907"/>
      <c r="AE288" s="907"/>
      <c r="AF288" s="907"/>
      <c r="AG288" s="907"/>
      <c r="AH288" s="907"/>
      <c r="AI288" s="907"/>
      <c r="AJ288" s="907"/>
      <c r="AK288" s="907"/>
      <c r="AL288" s="907"/>
      <c r="AM288" s="907"/>
    </row>
    <row r="289" spans="1:39">
      <c r="A289" s="907"/>
      <c r="B289" s="907"/>
      <c r="C289" s="907"/>
      <c r="D289" s="907"/>
      <c r="E289" s="907"/>
      <c r="F289" s="907"/>
      <c r="G289" s="907"/>
      <c r="H289" s="907"/>
      <c r="I289" s="907"/>
      <c r="J289" s="907"/>
      <c r="K289" s="907"/>
      <c r="L289" s="907"/>
      <c r="M289" s="907"/>
      <c r="N289" s="907"/>
      <c r="O289" s="907"/>
      <c r="P289" s="907"/>
      <c r="Q289" s="907"/>
      <c r="R289" s="907"/>
      <c r="S289" s="907"/>
      <c r="T289" s="907"/>
      <c r="U289" s="907"/>
      <c r="V289" s="907"/>
      <c r="W289" s="907"/>
      <c r="X289" s="907"/>
      <c r="Y289" s="907"/>
      <c r="Z289" s="907"/>
      <c r="AA289" s="907"/>
      <c r="AB289" s="907"/>
      <c r="AC289" s="907"/>
      <c r="AD289" s="907"/>
      <c r="AE289" s="907"/>
      <c r="AF289" s="907"/>
      <c r="AG289" s="907"/>
      <c r="AH289" s="907"/>
      <c r="AI289" s="907"/>
      <c r="AJ289" s="907"/>
      <c r="AK289" s="907"/>
      <c r="AL289" s="907"/>
      <c r="AM289" s="907"/>
    </row>
    <row r="290" spans="1:39">
      <c r="A290" s="907"/>
      <c r="B290" s="907"/>
      <c r="C290" s="907"/>
      <c r="D290" s="907"/>
      <c r="E290" s="907"/>
      <c r="F290" s="907"/>
      <c r="G290" s="907"/>
      <c r="H290" s="907"/>
      <c r="I290" s="907"/>
      <c r="J290" s="907"/>
      <c r="K290" s="907"/>
      <c r="L290" s="907"/>
      <c r="M290" s="907"/>
      <c r="N290" s="907"/>
      <c r="O290" s="907"/>
      <c r="P290" s="907"/>
      <c r="Q290" s="907"/>
      <c r="R290" s="907"/>
      <c r="S290" s="907"/>
      <c r="T290" s="907"/>
      <c r="U290" s="907"/>
      <c r="V290" s="907"/>
      <c r="W290" s="907"/>
      <c r="X290" s="907"/>
      <c r="Y290" s="907"/>
      <c r="Z290" s="907"/>
      <c r="AA290" s="907"/>
      <c r="AB290" s="907"/>
      <c r="AC290" s="907"/>
      <c r="AD290" s="907"/>
      <c r="AE290" s="907"/>
      <c r="AF290" s="907"/>
      <c r="AG290" s="907"/>
      <c r="AH290" s="907"/>
      <c r="AI290" s="907"/>
      <c r="AJ290" s="907"/>
      <c r="AK290" s="907"/>
      <c r="AL290" s="907"/>
      <c r="AM290" s="907"/>
    </row>
    <row r="291" spans="1:39">
      <c r="A291" s="907"/>
      <c r="B291" s="907"/>
      <c r="C291" s="907"/>
      <c r="D291" s="907"/>
      <c r="E291" s="907"/>
      <c r="F291" s="907"/>
      <c r="G291" s="907"/>
      <c r="H291" s="907"/>
      <c r="I291" s="907"/>
      <c r="J291" s="907"/>
      <c r="K291" s="907"/>
      <c r="L291" s="907"/>
      <c r="M291" s="907"/>
      <c r="N291" s="907"/>
      <c r="O291" s="907"/>
      <c r="P291" s="907"/>
      <c r="Q291" s="907"/>
      <c r="R291" s="907"/>
      <c r="S291" s="907"/>
      <c r="T291" s="907"/>
      <c r="U291" s="907"/>
      <c r="V291" s="907"/>
      <c r="W291" s="907"/>
      <c r="X291" s="907"/>
      <c r="Y291" s="907"/>
      <c r="Z291" s="907"/>
      <c r="AA291" s="907"/>
      <c r="AB291" s="907"/>
      <c r="AC291" s="907"/>
      <c r="AD291" s="907"/>
      <c r="AE291" s="907"/>
      <c r="AF291" s="907"/>
      <c r="AG291" s="907"/>
      <c r="AH291" s="907"/>
      <c r="AI291" s="907"/>
      <c r="AJ291" s="907"/>
      <c r="AK291" s="907"/>
      <c r="AL291" s="907"/>
      <c r="AM291" s="907"/>
    </row>
    <row r="292" spans="1:39">
      <c r="A292" s="907"/>
      <c r="B292" s="907"/>
      <c r="C292" s="907"/>
      <c r="D292" s="907"/>
      <c r="E292" s="907"/>
      <c r="F292" s="907"/>
      <c r="G292" s="907"/>
      <c r="H292" s="907"/>
      <c r="I292" s="907"/>
      <c r="J292" s="907"/>
      <c r="K292" s="907"/>
      <c r="L292" s="907"/>
      <c r="M292" s="907"/>
      <c r="N292" s="907"/>
      <c r="O292" s="907"/>
      <c r="P292" s="907"/>
      <c r="Q292" s="907"/>
      <c r="R292" s="907"/>
      <c r="S292" s="907"/>
      <c r="T292" s="907"/>
      <c r="U292" s="907"/>
      <c r="V292" s="907"/>
      <c r="W292" s="907"/>
      <c r="X292" s="907"/>
      <c r="Y292" s="907"/>
      <c r="Z292" s="907"/>
      <c r="AA292" s="907"/>
      <c r="AB292" s="907"/>
      <c r="AC292" s="907"/>
      <c r="AD292" s="907"/>
      <c r="AE292" s="907"/>
      <c r="AF292" s="907"/>
      <c r="AG292" s="907"/>
      <c r="AH292" s="907"/>
      <c r="AI292" s="907"/>
      <c r="AJ292" s="907"/>
      <c r="AK292" s="907"/>
      <c r="AL292" s="907"/>
      <c r="AM292" s="907"/>
    </row>
    <row r="293" spans="1:39">
      <c r="A293" s="907"/>
      <c r="B293" s="907"/>
      <c r="C293" s="907"/>
      <c r="D293" s="907"/>
      <c r="E293" s="907"/>
      <c r="F293" s="907"/>
      <c r="G293" s="907"/>
      <c r="H293" s="907"/>
      <c r="I293" s="907"/>
      <c r="J293" s="907"/>
      <c r="K293" s="907"/>
      <c r="L293" s="907"/>
      <c r="M293" s="907"/>
      <c r="N293" s="907"/>
      <c r="O293" s="907"/>
      <c r="P293" s="907"/>
      <c r="Q293" s="907"/>
      <c r="R293" s="907"/>
      <c r="S293" s="907"/>
      <c r="T293" s="907"/>
      <c r="U293" s="907"/>
      <c r="V293" s="907"/>
      <c r="W293" s="907"/>
      <c r="X293" s="907"/>
      <c r="Y293" s="907"/>
      <c r="Z293" s="907"/>
      <c r="AA293" s="907"/>
      <c r="AB293" s="907"/>
      <c r="AC293" s="907"/>
      <c r="AD293" s="907"/>
      <c r="AE293" s="907"/>
      <c r="AF293" s="907"/>
      <c r="AG293" s="907"/>
      <c r="AH293" s="907"/>
      <c r="AI293" s="907"/>
      <c r="AJ293" s="907"/>
      <c r="AK293" s="907"/>
      <c r="AL293" s="907"/>
      <c r="AM293" s="907"/>
    </row>
    <row r="294" spans="1:39">
      <c r="A294" s="907"/>
      <c r="B294" s="907"/>
      <c r="C294" s="907"/>
      <c r="D294" s="907"/>
      <c r="E294" s="907"/>
      <c r="F294" s="907"/>
      <c r="G294" s="907"/>
      <c r="H294" s="907"/>
      <c r="I294" s="907"/>
      <c r="J294" s="907"/>
      <c r="K294" s="907"/>
      <c r="L294" s="907"/>
      <c r="M294" s="907"/>
      <c r="N294" s="907"/>
      <c r="O294" s="907"/>
      <c r="P294" s="907"/>
      <c r="Q294" s="907"/>
      <c r="R294" s="907"/>
      <c r="S294" s="907"/>
      <c r="T294" s="907"/>
      <c r="U294" s="907"/>
      <c r="V294" s="907"/>
      <c r="W294" s="907"/>
      <c r="X294" s="907"/>
      <c r="Y294" s="907"/>
      <c r="Z294" s="907"/>
      <c r="AA294" s="907"/>
      <c r="AB294" s="907"/>
      <c r="AC294" s="907"/>
      <c r="AD294" s="907"/>
      <c r="AE294" s="907"/>
      <c r="AF294" s="907"/>
      <c r="AG294" s="907"/>
      <c r="AH294" s="907"/>
      <c r="AI294" s="907"/>
      <c r="AJ294" s="907"/>
      <c r="AK294" s="907"/>
      <c r="AL294" s="907"/>
      <c r="AM294" s="907"/>
    </row>
    <row r="295" spans="1:39">
      <c r="A295" s="907"/>
      <c r="B295" s="907"/>
      <c r="C295" s="907"/>
      <c r="D295" s="907"/>
      <c r="E295" s="907"/>
      <c r="F295" s="907"/>
      <c r="G295" s="907"/>
      <c r="H295" s="907"/>
      <c r="I295" s="907"/>
      <c r="J295" s="907"/>
      <c r="K295" s="907"/>
      <c r="L295" s="907"/>
      <c r="M295" s="907"/>
      <c r="N295" s="907"/>
      <c r="O295" s="907"/>
      <c r="P295" s="907"/>
      <c r="Q295" s="907"/>
      <c r="R295" s="907"/>
      <c r="S295" s="907"/>
      <c r="T295" s="907"/>
      <c r="U295" s="907"/>
      <c r="V295" s="907"/>
      <c r="W295" s="907"/>
      <c r="X295" s="907"/>
      <c r="Y295" s="907"/>
      <c r="Z295" s="907"/>
      <c r="AA295" s="907"/>
      <c r="AB295" s="907"/>
      <c r="AC295" s="907"/>
      <c r="AD295" s="907"/>
      <c r="AE295" s="907"/>
      <c r="AF295" s="907"/>
      <c r="AG295" s="907"/>
      <c r="AH295" s="907"/>
      <c r="AI295" s="907"/>
      <c r="AJ295" s="907"/>
      <c r="AK295" s="907"/>
      <c r="AL295" s="907"/>
      <c r="AM295" s="907"/>
    </row>
    <row r="296" spans="1:39">
      <c r="A296" s="907"/>
      <c r="B296" s="907"/>
      <c r="C296" s="907"/>
      <c r="D296" s="907"/>
      <c r="E296" s="907"/>
      <c r="F296" s="907"/>
      <c r="G296" s="907"/>
      <c r="H296" s="907"/>
      <c r="I296" s="907"/>
      <c r="J296" s="907"/>
      <c r="K296" s="907"/>
      <c r="L296" s="907"/>
      <c r="M296" s="907"/>
      <c r="N296" s="907"/>
      <c r="O296" s="907"/>
      <c r="P296" s="907"/>
      <c r="Q296" s="907"/>
      <c r="R296" s="907"/>
      <c r="S296" s="907"/>
      <c r="T296" s="907"/>
      <c r="U296" s="907"/>
      <c r="V296" s="907"/>
      <c r="W296" s="907"/>
      <c r="X296" s="907"/>
      <c r="Y296" s="907"/>
      <c r="Z296" s="907"/>
      <c r="AA296" s="907"/>
      <c r="AB296" s="907"/>
      <c r="AC296" s="907"/>
      <c r="AD296" s="907"/>
      <c r="AE296" s="907"/>
      <c r="AF296" s="907"/>
      <c r="AG296" s="907"/>
      <c r="AH296" s="907"/>
      <c r="AI296" s="907"/>
      <c r="AJ296" s="907"/>
      <c r="AK296" s="907"/>
      <c r="AL296" s="907"/>
      <c r="AM296" s="907"/>
    </row>
    <row r="297" spans="1:39">
      <c r="A297" s="907"/>
      <c r="B297" s="907"/>
      <c r="C297" s="907"/>
      <c r="D297" s="907"/>
      <c r="E297" s="907"/>
      <c r="F297" s="907"/>
      <c r="G297" s="907"/>
      <c r="H297" s="907"/>
      <c r="I297" s="907"/>
      <c r="J297" s="907"/>
      <c r="K297" s="907"/>
      <c r="L297" s="907"/>
      <c r="M297" s="907"/>
      <c r="N297" s="907"/>
      <c r="O297" s="907"/>
      <c r="P297" s="907"/>
      <c r="Q297" s="907"/>
      <c r="R297" s="907"/>
      <c r="S297" s="907"/>
      <c r="T297" s="907"/>
      <c r="U297" s="907"/>
      <c r="V297" s="907"/>
      <c r="W297" s="907"/>
      <c r="X297" s="907"/>
      <c r="Y297" s="907"/>
      <c r="Z297" s="907"/>
      <c r="AA297" s="907"/>
      <c r="AB297" s="907"/>
      <c r="AC297" s="907"/>
      <c r="AD297" s="907"/>
      <c r="AE297" s="907"/>
      <c r="AF297" s="907"/>
      <c r="AG297" s="907"/>
      <c r="AH297" s="907"/>
      <c r="AI297" s="907"/>
      <c r="AJ297" s="907"/>
      <c r="AK297" s="907"/>
      <c r="AL297" s="907"/>
      <c r="AM297" s="907"/>
    </row>
    <row r="298" spans="1:39">
      <c r="A298" s="907"/>
      <c r="B298" s="907"/>
      <c r="C298" s="907"/>
      <c r="D298" s="907"/>
      <c r="E298" s="907"/>
      <c r="F298" s="907"/>
      <c r="G298" s="907"/>
      <c r="H298" s="907"/>
      <c r="I298" s="907"/>
      <c r="J298" s="907"/>
      <c r="K298" s="907"/>
      <c r="L298" s="907"/>
      <c r="M298" s="907"/>
      <c r="N298" s="907"/>
      <c r="O298" s="907"/>
      <c r="P298" s="907"/>
      <c r="Q298" s="907"/>
      <c r="R298" s="907"/>
      <c r="S298" s="907"/>
      <c r="T298" s="907"/>
      <c r="U298" s="907"/>
      <c r="V298" s="907"/>
      <c r="W298" s="907"/>
      <c r="X298" s="907"/>
      <c r="Y298" s="907"/>
      <c r="Z298" s="907"/>
      <c r="AA298" s="907"/>
      <c r="AB298" s="907"/>
      <c r="AC298" s="907"/>
      <c r="AD298" s="907"/>
      <c r="AE298" s="907"/>
      <c r="AF298" s="907"/>
      <c r="AG298" s="907"/>
      <c r="AH298" s="907"/>
      <c r="AI298" s="907"/>
      <c r="AJ298" s="907"/>
      <c r="AK298" s="907"/>
      <c r="AL298" s="907"/>
      <c r="AM298" s="907"/>
    </row>
    <row r="299" spans="1:39">
      <c r="A299" s="907"/>
      <c r="B299" s="907"/>
      <c r="C299" s="907"/>
      <c r="D299" s="907"/>
      <c r="E299" s="907"/>
      <c r="F299" s="907"/>
      <c r="G299" s="907"/>
      <c r="H299" s="907"/>
      <c r="I299" s="907"/>
      <c r="J299" s="907"/>
      <c r="K299" s="907"/>
      <c r="L299" s="907"/>
      <c r="M299" s="907"/>
      <c r="N299" s="907"/>
      <c r="O299" s="907"/>
      <c r="P299" s="907"/>
      <c r="Q299" s="907"/>
      <c r="R299" s="907"/>
      <c r="S299" s="907"/>
      <c r="T299" s="907"/>
      <c r="U299" s="907"/>
      <c r="V299" s="907"/>
      <c r="W299" s="907"/>
      <c r="X299" s="907"/>
      <c r="Y299" s="907"/>
      <c r="Z299" s="907"/>
      <c r="AA299" s="907"/>
      <c r="AB299" s="907"/>
      <c r="AC299" s="907"/>
      <c r="AD299" s="907"/>
      <c r="AE299" s="907"/>
      <c r="AF299" s="907"/>
      <c r="AG299" s="907"/>
      <c r="AH299" s="907"/>
      <c r="AI299" s="907"/>
      <c r="AJ299" s="907"/>
      <c r="AK299" s="907"/>
      <c r="AL299" s="907"/>
      <c r="AM299" s="907"/>
    </row>
    <row r="300" spans="1:39">
      <c r="A300" s="907"/>
      <c r="B300" s="907"/>
      <c r="C300" s="907"/>
      <c r="D300" s="907"/>
      <c r="E300" s="907"/>
      <c r="F300" s="907"/>
      <c r="G300" s="907"/>
      <c r="H300" s="907"/>
      <c r="I300" s="907"/>
      <c r="J300" s="907"/>
      <c r="K300" s="907"/>
      <c r="L300" s="907"/>
      <c r="M300" s="907"/>
      <c r="N300" s="907"/>
      <c r="O300" s="907"/>
      <c r="P300" s="907"/>
      <c r="Q300" s="907"/>
      <c r="R300" s="907"/>
      <c r="S300" s="907"/>
      <c r="T300" s="907"/>
      <c r="U300" s="907"/>
      <c r="V300" s="907"/>
      <c r="W300" s="907"/>
      <c r="X300" s="907"/>
      <c r="Y300" s="907"/>
      <c r="Z300" s="907"/>
      <c r="AA300" s="907"/>
      <c r="AB300" s="907"/>
      <c r="AC300" s="907"/>
      <c r="AD300" s="907"/>
      <c r="AE300" s="907"/>
      <c r="AF300" s="907"/>
      <c r="AG300" s="907"/>
      <c r="AH300" s="907"/>
      <c r="AI300" s="907"/>
      <c r="AJ300" s="907"/>
      <c r="AK300" s="907"/>
      <c r="AL300" s="907"/>
      <c r="AM300" s="907"/>
    </row>
    <row r="301" spans="1:39">
      <c r="A301" s="907"/>
      <c r="B301" s="907"/>
      <c r="C301" s="907"/>
      <c r="D301" s="907"/>
      <c r="E301" s="907"/>
      <c r="F301" s="907"/>
      <c r="G301" s="907"/>
      <c r="H301" s="907"/>
      <c r="I301" s="907"/>
      <c r="J301" s="907"/>
      <c r="K301" s="907"/>
      <c r="L301" s="907"/>
      <c r="M301" s="907"/>
      <c r="N301" s="907"/>
      <c r="O301" s="907"/>
      <c r="P301" s="907"/>
      <c r="Q301" s="907"/>
      <c r="R301" s="907"/>
      <c r="S301" s="907"/>
      <c r="T301" s="907"/>
      <c r="U301" s="907"/>
      <c r="V301" s="907"/>
      <c r="W301" s="907"/>
      <c r="X301" s="907"/>
      <c r="Y301" s="907"/>
      <c r="Z301" s="907"/>
      <c r="AA301" s="907"/>
      <c r="AB301" s="907"/>
      <c r="AC301" s="907"/>
      <c r="AD301" s="907"/>
      <c r="AE301" s="907"/>
      <c r="AF301" s="907"/>
      <c r="AG301" s="907"/>
      <c r="AH301" s="907"/>
      <c r="AI301" s="907"/>
      <c r="AJ301" s="907"/>
      <c r="AK301" s="907"/>
      <c r="AL301" s="907"/>
      <c r="AM301" s="907"/>
    </row>
    <row r="302" spans="1:39">
      <c r="A302" s="907"/>
      <c r="B302" s="907"/>
      <c r="C302" s="907"/>
      <c r="D302" s="907"/>
      <c r="E302" s="907"/>
      <c r="F302" s="907"/>
      <c r="G302" s="907"/>
      <c r="H302" s="907"/>
      <c r="I302" s="907"/>
      <c r="J302" s="907"/>
      <c r="K302" s="907"/>
      <c r="L302" s="907"/>
      <c r="M302" s="907"/>
      <c r="N302" s="907"/>
      <c r="O302" s="907"/>
      <c r="P302" s="907"/>
      <c r="Q302" s="907"/>
      <c r="R302" s="907"/>
      <c r="S302" s="907"/>
      <c r="T302" s="907"/>
      <c r="U302" s="907"/>
      <c r="V302" s="907"/>
      <c r="W302" s="907"/>
      <c r="X302" s="907"/>
      <c r="Y302" s="907"/>
      <c r="Z302" s="907"/>
      <c r="AA302" s="907"/>
      <c r="AB302" s="907"/>
      <c r="AC302" s="907"/>
      <c r="AD302" s="907"/>
      <c r="AE302" s="907"/>
      <c r="AF302" s="907"/>
      <c r="AG302" s="907"/>
      <c r="AH302" s="907"/>
      <c r="AI302" s="907"/>
      <c r="AJ302" s="907"/>
      <c r="AK302" s="907"/>
      <c r="AL302" s="907"/>
      <c r="AM302" s="907"/>
    </row>
    <row r="303" spans="1:39">
      <c r="A303" s="907"/>
      <c r="B303" s="907"/>
      <c r="C303" s="907"/>
      <c r="D303" s="907"/>
      <c r="E303" s="907"/>
      <c r="F303" s="907"/>
      <c r="G303" s="907"/>
      <c r="H303" s="907"/>
      <c r="I303" s="907"/>
      <c r="J303" s="907"/>
      <c r="K303" s="907"/>
      <c r="L303" s="907"/>
      <c r="M303" s="907"/>
      <c r="N303" s="907"/>
      <c r="O303" s="907"/>
      <c r="P303" s="907"/>
      <c r="Q303" s="907"/>
      <c r="R303" s="907"/>
      <c r="S303" s="907"/>
      <c r="T303" s="907"/>
      <c r="U303" s="907"/>
      <c r="V303" s="907"/>
      <c r="W303" s="907"/>
      <c r="X303" s="907"/>
      <c r="Y303" s="907"/>
      <c r="Z303" s="907"/>
      <c r="AA303" s="907"/>
      <c r="AB303" s="907"/>
      <c r="AC303" s="907"/>
      <c r="AD303" s="907"/>
      <c r="AE303" s="907"/>
      <c r="AF303" s="907"/>
      <c r="AG303" s="907"/>
      <c r="AH303" s="907"/>
      <c r="AI303" s="907"/>
      <c r="AJ303" s="907"/>
      <c r="AK303" s="907"/>
      <c r="AL303" s="907"/>
      <c r="AM303" s="907"/>
    </row>
    <row r="304" spans="1:39">
      <c r="A304" s="907"/>
      <c r="B304" s="907"/>
      <c r="C304" s="907"/>
      <c r="D304" s="907"/>
      <c r="E304" s="907"/>
      <c r="F304" s="907"/>
      <c r="G304" s="907"/>
      <c r="H304" s="907"/>
      <c r="I304" s="907"/>
      <c r="J304" s="907"/>
      <c r="K304" s="907"/>
      <c r="L304" s="907"/>
      <c r="M304" s="907"/>
      <c r="N304" s="907"/>
      <c r="O304" s="907"/>
      <c r="P304" s="907"/>
      <c r="Q304" s="907"/>
      <c r="R304" s="907"/>
      <c r="S304" s="907"/>
      <c r="T304" s="907"/>
      <c r="U304" s="907"/>
      <c r="V304" s="907"/>
      <c r="W304" s="907"/>
      <c r="X304" s="907"/>
      <c r="Y304" s="907"/>
      <c r="Z304" s="907"/>
      <c r="AA304" s="907"/>
      <c r="AB304" s="907"/>
      <c r="AC304" s="907"/>
      <c r="AD304" s="907"/>
      <c r="AE304" s="907"/>
      <c r="AF304" s="907"/>
      <c r="AG304" s="907"/>
      <c r="AH304" s="907"/>
      <c r="AI304" s="907"/>
      <c r="AJ304" s="907"/>
      <c r="AK304" s="907"/>
      <c r="AL304" s="907"/>
      <c r="AM304" s="907"/>
    </row>
    <row r="305" spans="1:39">
      <c r="A305" s="907"/>
      <c r="B305" s="907"/>
      <c r="C305" s="907"/>
      <c r="D305" s="907"/>
      <c r="E305" s="907"/>
      <c r="F305" s="907"/>
      <c r="G305" s="907"/>
      <c r="H305" s="907"/>
      <c r="I305" s="907"/>
      <c r="J305" s="907"/>
      <c r="K305" s="907"/>
      <c r="L305" s="907"/>
      <c r="M305" s="907"/>
      <c r="N305" s="907"/>
      <c r="O305" s="907"/>
      <c r="P305" s="907"/>
      <c r="Q305" s="907"/>
      <c r="R305" s="907"/>
      <c r="S305" s="907"/>
      <c r="T305" s="907"/>
      <c r="U305" s="907"/>
      <c r="V305" s="907"/>
      <c r="W305" s="907"/>
      <c r="X305" s="907"/>
      <c r="Y305" s="907"/>
      <c r="Z305" s="907"/>
      <c r="AA305" s="907"/>
      <c r="AB305" s="907"/>
      <c r="AC305" s="907"/>
      <c r="AD305" s="907"/>
      <c r="AE305" s="907"/>
      <c r="AF305" s="907"/>
      <c r="AG305" s="907"/>
      <c r="AH305" s="907"/>
      <c r="AI305" s="907"/>
      <c r="AJ305" s="907"/>
      <c r="AK305" s="907"/>
      <c r="AL305" s="907"/>
      <c r="AM305" s="907"/>
    </row>
    <row r="306" spans="1:39">
      <c r="A306" s="907"/>
      <c r="B306" s="907"/>
      <c r="C306" s="907"/>
      <c r="D306" s="907"/>
      <c r="E306" s="907"/>
      <c r="F306" s="907"/>
      <c r="G306" s="907"/>
      <c r="H306" s="907"/>
      <c r="I306" s="907"/>
      <c r="J306" s="907"/>
      <c r="K306" s="907"/>
      <c r="L306" s="907"/>
      <c r="M306" s="907"/>
      <c r="N306" s="907"/>
      <c r="O306" s="907"/>
      <c r="P306" s="907"/>
      <c r="Q306" s="907"/>
      <c r="R306" s="907"/>
      <c r="S306" s="907"/>
      <c r="T306" s="907"/>
      <c r="U306" s="907"/>
      <c r="V306" s="907"/>
      <c r="W306" s="907"/>
      <c r="X306" s="907"/>
      <c r="Y306" s="907"/>
      <c r="Z306" s="907"/>
      <c r="AA306" s="907"/>
      <c r="AB306" s="907"/>
      <c r="AC306" s="907"/>
      <c r="AD306" s="907"/>
      <c r="AE306" s="907"/>
      <c r="AF306" s="907"/>
      <c r="AG306" s="907"/>
      <c r="AH306" s="907"/>
      <c r="AI306" s="907"/>
      <c r="AJ306" s="907"/>
      <c r="AK306" s="907"/>
      <c r="AL306" s="907"/>
      <c r="AM306" s="907"/>
    </row>
    <row r="307" spans="1:39">
      <c r="A307" s="907"/>
      <c r="B307" s="907"/>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c r="AB307" s="907"/>
      <c r="AC307" s="907"/>
      <c r="AD307" s="907"/>
      <c r="AE307" s="907"/>
      <c r="AF307" s="907"/>
      <c r="AG307" s="907"/>
      <c r="AH307" s="907"/>
      <c r="AI307" s="907"/>
      <c r="AJ307" s="907"/>
      <c r="AK307" s="907"/>
      <c r="AL307" s="907"/>
      <c r="AM307" s="907"/>
    </row>
    <row r="308" spans="1:39">
      <c r="A308" s="907"/>
      <c r="B308" s="907"/>
      <c r="C308" s="907"/>
      <c r="D308" s="907"/>
      <c r="E308" s="907"/>
      <c r="F308" s="907"/>
      <c r="G308" s="907"/>
      <c r="H308" s="907"/>
      <c r="I308" s="907"/>
      <c r="J308" s="907"/>
      <c r="K308" s="907"/>
      <c r="L308" s="907"/>
      <c r="M308" s="907"/>
      <c r="N308" s="907"/>
      <c r="O308" s="907"/>
      <c r="P308" s="907"/>
      <c r="Q308" s="907"/>
      <c r="R308" s="907"/>
      <c r="S308" s="907"/>
      <c r="T308" s="907"/>
      <c r="U308" s="907"/>
      <c r="V308" s="907"/>
      <c r="W308" s="907"/>
      <c r="X308" s="907"/>
      <c r="Y308" s="907"/>
      <c r="Z308" s="907"/>
      <c r="AA308" s="907"/>
      <c r="AB308" s="907"/>
      <c r="AC308" s="907"/>
      <c r="AD308" s="907"/>
      <c r="AE308" s="907"/>
      <c r="AF308" s="907"/>
      <c r="AG308" s="907"/>
      <c r="AH308" s="907"/>
      <c r="AI308" s="907"/>
      <c r="AJ308" s="907"/>
      <c r="AK308" s="907"/>
      <c r="AL308" s="907"/>
      <c r="AM308" s="907"/>
    </row>
    <row r="309" spans="1:39">
      <c r="A309" s="907"/>
      <c r="B309" s="907"/>
      <c r="C309" s="907"/>
      <c r="D309" s="907"/>
      <c r="E309" s="907"/>
      <c r="F309" s="907"/>
      <c r="G309" s="907"/>
      <c r="H309" s="907"/>
      <c r="I309" s="907"/>
      <c r="J309" s="907"/>
      <c r="K309" s="907"/>
      <c r="L309" s="907"/>
      <c r="M309" s="907"/>
      <c r="N309" s="907"/>
      <c r="O309" s="907"/>
      <c r="P309" s="907"/>
      <c r="Q309" s="907"/>
      <c r="R309" s="907"/>
      <c r="S309" s="907"/>
      <c r="T309" s="907"/>
      <c r="U309" s="907"/>
      <c r="V309" s="907"/>
      <c r="W309" s="907"/>
      <c r="X309" s="907"/>
      <c r="Y309" s="907"/>
      <c r="Z309" s="907"/>
      <c r="AA309" s="907"/>
      <c r="AB309" s="907"/>
      <c r="AC309" s="907"/>
      <c r="AD309" s="907"/>
      <c r="AE309" s="907"/>
      <c r="AF309" s="907"/>
      <c r="AG309" s="907"/>
      <c r="AH309" s="907"/>
      <c r="AI309" s="907"/>
      <c r="AJ309" s="907"/>
      <c r="AK309" s="907"/>
      <c r="AL309" s="907"/>
      <c r="AM309" s="907"/>
    </row>
    <row r="310" spans="1:39">
      <c r="A310" s="907"/>
      <c r="B310" s="907"/>
      <c r="C310" s="907"/>
      <c r="D310" s="907"/>
      <c r="E310" s="907"/>
      <c r="F310" s="907"/>
      <c r="G310" s="907"/>
      <c r="H310" s="907"/>
      <c r="I310" s="907"/>
      <c r="J310" s="907"/>
      <c r="K310" s="907"/>
      <c r="L310" s="907"/>
      <c r="M310" s="907"/>
      <c r="N310" s="907"/>
      <c r="O310" s="907"/>
      <c r="P310" s="907"/>
      <c r="Q310" s="907"/>
      <c r="R310" s="907"/>
      <c r="S310" s="907"/>
      <c r="T310" s="907"/>
      <c r="U310" s="907"/>
      <c r="V310" s="907"/>
      <c r="W310" s="907"/>
      <c r="X310" s="907"/>
      <c r="Y310" s="907"/>
      <c r="Z310" s="907"/>
      <c r="AA310" s="907"/>
      <c r="AB310" s="907"/>
      <c r="AC310" s="907"/>
      <c r="AD310" s="907"/>
      <c r="AE310" s="907"/>
      <c r="AF310" s="907"/>
      <c r="AG310" s="907"/>
      <c r="AH310" s="907"/>
      <c r="AI310" s="907"/>
      <c r="AJ310" s="907"/>
      <c r="AK310" s="907"/>
      <c r="AL310" s="907"/>
      <c r="AM310" s="907"/>
    </row>
    <row r="311" spans="1:39">
      <c r="A311" s="907"/>
      <c r="B311" s="907"/>
      <c r="C311" s="907"/>
      <c r="D311" s="907"/>
      <c r="E311" s="907"/>
      <c r="F311" s="907"/>
      <c r="G311" s="907"/>
      <c r="H311" s="907"/>
      <c r="I311" s="907"/>
      <c r="J311" s="907"/>
      <c r="K311" s="907"/>
      <c r="L311" s="907"/>
      <c r="M311" s="907"/>
      <c r="N311" s="907"/>
      <c r="O311" s="907"/>
      <c r="P311" s="907"/>
      <c r="Q311" s="907"/>
      <c r="R311" s="907"/>
      <c r="S311" s="907"/>
      <c r="T311" s="907"/>
      <c r="U311" s="907"/>
      <c r="V311" s="907"/>
      <c r="W311" s="907"/>
      <c r="X311" s="907"/>
      <c r="Y311" s="907"/>
      <c r="Z311" s="907"/>
      <c r="AA311" s="907"/>
      <c r="AB311" s="907"/>
      <c r="AC311" s="907"/>
      <c r="AD311" s="907"/>
      <c r="AE311" s="907"/>
      <c r="AF311" s="907"/>
      <c r="AG311" s="907"/>
      <c r="AH311" s="907"/>
      <c r="AI311" s="907"/>
      <c r="AJ311" s="907"/>
      <c r="AK311" s="907"/>
      <c r="AL311" s="907"/>
      <c r="AM311" s="907"/>
    </row>
    <row r="312" spans="1:39">
      <c r="A312" s="907"/>
      <c r="B312" s="907"/>
      <c r="C312" s="907"/>
      <c r="D312" s="907"/>
      <c r="E312" s="907"/>
      <c r="F312" s="907"/>
      <c r="G312" s="907"/>
      <c r="H312" s="907"/>
      <c r="I312" s="907"/>
      <c r="J312" s="907"/>
      <c r="K312" s="907"/>
      <c r="L312" s="907"/>
      <c r="M312" s="907"/>
      <c r="N312" s="907"/>
      <c r="O312" s="907"/>
      <c r="P312" s="907"/>
      <c r="Q312" s="907"/>
      <c r="R312" s="907"/>
      <c r="S312" s="907"/>
      <c r="T312" s="907"/>
      <c r="U312" s="907"/>
      <c r="V312" s="907"/>
      <c r="W312" s="907"/>
      <c r="X312" s="907"/>
      <c r="Y312" s="907"/>
      <c r="Z312" s="907"/>
      <c r="AA312" s="907"/>
      <c r="AB312" s="907"/>
      <c r="AC312" s="907"/>
      <c r="AD312" s="907"/>
      <c r="AE312" s="907"/>
      <c r="AF312" s="907"/>
      <c r="AG312" s="907"/>
      <c r="AH312" s="907"/>
      <c r="AI312" s="907"/>
      <c r="AJ312" s="907"/>
      <c r="AK312" s="907"/>
      <c r="AL312" s="907"/>
      <c r="AM312" s="907"/>
    </row>
    <row r="313" spans="1:39">
      <c r="A313" s="907"/>
      <c r="B313" s="907"/>
      <c r="C313" s="907"/>
      <c r="D313" s="907"/>
      <c r="E313" s="907"/>
      <c r="F313" s="907"/>
      <c r="G313" s="907"/>
      <c r="H313" s="907"/>
      <c r="I313" s="907"/>
      <c r="J313" s="907"/>
      <c r="K313" s="907"/>
      <c r="L313" s="907"/>
      <c r="M313" s="907"/>
      <c r="N313" s="907"/>
      <c r="O313" s="907"/>
      <c r="P313" s="907"/>
      <c r="Q313" s="907"/>
      <c r="R313" s="907"/>
      <c r="S313" s="907"/>
      <c r="T313" s="907"/>
      <c r="U313" s="907"/>
      <c r="V313" s="907"/>
      <c r="W313" s="907"/>
      <c r="X313" s="907"/>
      <c r="Y313" s="907"/>
      <c r="Z313" s="907"/>
      <c r="AA313" s="907"/>
      <c r="AB313" s="907"/>
      <c r="AC313" s="907"/>
      <c r="AD313" s="907"/>
      <c r="AE313" s="907"/>
      <c r="AF313" s="907"/>
      <c r="AG313" s="907"/>
      <c r="AH313" s="907"/>
      <c r="AI313" s="907"/>
      <c r="AJ313" s="907"/>
      <c r="AK313" s="907"/>
      <c r="AL313" s="907"/>
      <c r="AM313" s="907"/>
    </row>
    <row r="314" spans="1:39">
      <c r="A314" s="907"/>
      <c r="B314" s="907"/>
      <c r="C314" s="907"/>
      <c r="D314" s="907"/>
      <c r="E314" s="907"/>
      <c r="F314" s="907"/>
      <c r="G314" s="907"/>
      <c r="H314" s="907"/>
      <c r="I314" s="907"/>
      <c r="J314" s="907"/>
      <c r="K314" s="907"/>
      <c r="L314" s="907"/>
      <c r="M314" s="907"/>
      <c r="N314" s="907"/>
      <c r="O314" s="907"/>
      <c r="P314" s="907"/>
      <c r="Q314" s="907"/>
      <c r="R314" s="907"/>
      <c r="S314" s="907"/>
      <c r="T314" s="907"/>
      <c r="U314" s="907"/>
      <c r="V314" s="907"/>
      <c r="W314" s="907"/>
      <c r="X314" s="907"/>
      <c r="Y314" s="907"/>
      <c r="Z314" s="907"/>
      <c r="AA314" s="907"/>
      <c r="AB314" s="907"/>
      <c r="AC314" s="907"/>
      <c r="AD314" s="907"/>
      <c r="AE314" s="907"/>
      <c r="AF314" s="907"/>
      <c r="AG314" s="907"/>
      <c r="AH314" s="907"/>
      <c r="AI314" s="907"/>
      <c r="AJ314" s="907"/>
      <c r="AK314" s="907"/>
      <c r="AL314" s="907"/>
      <c r="AM314" s="907"/>
    </row>
    <row r="315" spans="1:39">
      <c r="A315" s="907"/>
      <c r="B315" s="907"/>
      <c r="C315" s="907"/>
      <c r="D315" s="907"/>
      <c r="E315" s="907"/>
      <c r="F315" s="907"/>
      <c r="G315" s="907"/>
      <c r="H315" s="907"/>
      <c r="I315" s="907"/>
      <c r="J315" s="907"/>
      <c r="K315" s="907"/>
      <c r="L315" s="907"/>
      <c r="M315" s="907"/>
      <c r="N315" s="907"/>
      <c r="O315" s="907"/>
      <c r="P315" s="907"/>
      <c r="Q315" s="907"/>
      <c r="R315" s="907"/>
      <c r="S315" s="907"/>
      <c r="T315" s="907"/>
      <c r="U315" s="907"/>
      <c r="V315" s="907"/>
      <c r="W315" s="907"/>
      <c r="X315" s="907"/>
      <c r="Y315" s="907"/>
      <c r="Z315" s="907"/>
      <c r="AA315" s="907"/>
      <c r="AB315" s="907"/>
      <c r="AC315" s="907"/>
      <c r="AD315" s="907"/>
      <c r="AE315" s="907"/>
      <c r="AF315" s="907"/>
      <c r="AG315" s="907"/>
      <c r="AH315" s="907"/>
      <c r="AI315" s="907"/>
      <c r="AJ315" s="907"/>
      <c r="AK315" s="907"/>
      <c r="AL315" s="907"/>
      <c r="AM315" s="907"/>
    </row>
    <row r="316" spans="1:39">
      <c r="A316" s="907"/>
      <c r="B316" s="907"/>
      <c r="C316" s="907"/>
      <c r="D316" s="907"/>
      <c r="E316" s="907"/>
      <c r="F316" s="907"/>
      <c r="G316" s="907"/>
      <c r="H316" s="907"/>
      <c r="I316" s="907"/>
      <c r="J316" s="907"/>
      <c r="K316" s="907"/>
      <c r="L316" s="907"/>
      <c r="M316" s="907"/>
      <c r="N316" s="907"/>
      <c r="O316" s="907"/>
      <c r="P316" s="907"/>
      <c r="Q316" s="907"/>
      <c r="R316" s="907"/>
      <c r="S316" s="907"/>
      <c r="T316" s="907"/>
      <c r="U316" s="907"/>
      <c r="V316" s="907"/>
      <c r="W316" s="907"/>
      <c r="X316" s="907"/>
      <c r="Y316" s="907"/>
      <c r="Z316" s="907"/>
      <c r="AA316" s="907"/>
      <c r="AB316" s="907"/>
      <c r="AC316" s="907"/>
      <c r="AD316" s="907"/>
      <c r="AE316" s="907"/>
      <c r="AF316" s="907"/>
      <c r="AG316" s="907"/>
      <c r="AH316" s="907"/>
      <c r="AI316" s="907"/>
      <c r="AJ316" s="907"/>
      <c r="AK316" s="907"/>
      <c r="AL316" s="907"/>
      <c r="AM316" s="907"/>
    </row>
    <row r="317" spans="1:39">
      <c r="A317" s="907"/>
      <c r="B317" s="907"/>
      <c r="C317" s="907"/>
      <c r="D317" s="907"/>
      <c r="E317" s="907"/>
      <c r="F317" s="907"/>
      <c r="G317" s="907"/>
      <c r="H317" s="907"/>
      <c r="I317" s="907"/>
      <c r="J317" s="907"/>
      <c r="K317" s="907"/>
      <c r="L317" s="907"/>
      <c r="M317" s="907"/>
      <c r="N317" s="907"/>
      <c r="O317" s="907"/>
      <c r="P317" s="907"/>
      <c r="Q317" s="907"/>
      <c r="R317" s="907"/>
      <c r="S317" s="907"/>
      <c r="T317" s="907"/>
      <c r="U317" s="907"/>
      <c r="V317" s="907"/>
      <c r="W317" s="907"/>
      <c r="X317" s="907"/>
      <c r="Y317" s="907"/>
      <c r="Z317" s="907"/>
      <c r="AA317" s="907"/>
      <c r="AB317" s="907"/>
      <c r="AC317" s="907"/>
      <c r="AD317" s="907"/>
      <c r="AE317" s="907"/>
      <c r="AF317" s="907"/>
      <c r="AG317" s="907"/>
      <c r="AH317" s="907"/>
      <c r="AI317" s="907"/>
      <c r="AJ317" s="907"/>
      <c r="AK317" s="907"/>
      <c r="AL317" s="907"/>
      <c r="AM317" s="907"/>
    </row>
    <row r="318" spans="1:39">
      <c r="A318" s="907"/>
      <c r="B318" s="907"/>
      <c r="C318" s="907"/>
      <c r="D318" s="907"/>
      <c r="E318" s="907"/>
      <c r="F318" s="907"/>
      <c r="G318" s="907"/>
      <c r="H318" s="907"/>
      <c r="I318" s="907"/>
      <c r="J318" s="907"/>
      <c r="K318" s="907"/>
      <c r="L318" s="907"/>
      <c r="M318" s="907"/>
      <c r="N318" s="907"/>
      <c r="O318" s="907"/>
      <c r="P318" s="907"/>
      <c r="Q318" s="907"/>
      <c r="R318" s="907"/>
      <c r="S318" s="907"/>
      <c r="T318" s="907"/>
      <c r="U318" s="907"/>
      <c r="V318" s="907"/>
      <c r="W318" s="907"/>
      <c r="X318" s="907"/>
      <c r="Y318" s="907"/>
      <c r="Z318" s="907"/>
      <c r="AA318" s="907"/>
      <c r="AB318" s="907"/>
      <c r="AC318" s="907"/>
      <c r="AD318" s="907"/>
      <c r="AE318" s="907"/>
      <c r="AF318" s="907"/>
      <c r="AG318" s="907"/>
      <c r="AH318" s="907"/>
      <c r="AI318" s="907"/>
      <c r="AJ318" s="907"/>
      <c r="AK318" s="907"/>
      <c r="AL318" s="907"/>
      <c r="AM318" s="907"/>
    </row>
    <row r="319" spans="1:39">
      <c r="A319" s="907"/>
      <c r="B319" s="907"/>
      <c r="C319" s="907"/>
      <c r="D319" s="907"/>
      <c r="E319" s="907"/>
      <c r="F319" s="907"/>
      <c r="G319" s="907"/>
      <c r="H319" s="907"/>
      <c r="I319" s="907"/>
      <c r="J319" s="907"/>
      <c r="K319" s="907"/>
      <c r="L319" s="907"/>
      <c r="M319" s="907"/>
      <c r="N319" s="907"/>
      <c r="O319" s="907"/>
      <c r="P319" s="907"/>
      <c r="Q319" s="907"/>
      <c r="R319" s="907"/>
      <c r="S319" s="907"/>
      <c r="T319" s="907"/>
      <c r="U319" s="907"/>
      <c r="V319" s="907"/>
      <c r="W319" s="907"/>
      <c r="X319" s="907"/>
      <c r="Y319" s="907"/>
      <c r="Z319" s="907"/>
      <c r="AA319" s="907"/>
      <c r="AB319" s="907"/>
      <c r="AC319" s="907"/>
      <c r="AD319" s="907"/>
      <c r="AE319" s="907"/>
      <c r="AF319" s="907"/>
      <c r="AG319" s="907"/>
      <c r="AH319" s="907"/>
      <c r="AI319" s="907"/>
      <c r="AJ319" s="907"/>
      <c r="AK319" s="907"/>
      <c r="AL319" s="907"/>
      <c r="AM319" s="907"/>
    </row>
    <row r="320" spans="1:39">
      <c r="A320" s="907"/>
      <c r="B320" s="907"/>
      <c r="C320" s="907"/>
      <c r="D320" s="907"/>
      <c r="E320" s="907"/>
      <c r="F320" s="907"/>
      <c r="G320" s="907"/>
      <c r="H320" s="907"/>
      <c r="I320" s="907"/>
      <c r="J320" s="907"/>
      <c r="K320" s="907"/>
      <c r="L320" s="907"/>
      <c r="M320" s="907"/>
      <c r="N320" s="907"/>
      <c r="O320" s="907"/>
      <c r="P320" s="907"/>
      <c r="Q320" s="907"/>
      <c r="R320" s="907"/>
      <c r="S320" s="907"/>
      <c r="T320" s="907"/>
      <c r="U320" s="907"/>
      <c r="V320" s="907"/>
      <c r="W320" s="907"/>
      <c r="X320" s="907"/>
      <c r="Y320" s="907"/>
      <c r="Z320" s="907"/>
      <c r="AA320" s="907"/>
      <c r="AB320" s="907"/>
      <c r="AC320" s="907"/>
      <c r="AD320" s="907"/>
      <c r="AE320" s="907"/>
      <c r="AF320" s="907"/>
      <c r="AG320" s="907"/>
      <c r="AH320" s="907"/>
      <c r="AI320" s="907"/>
      <c r="AJ320" s="907"/>
      <c r="AK320" s="907"/>
      <c r="AL320" s="907"/>
      <c r="AM320" s="907"/>
    </row>
    <row r="321" spans="1:39">
      <c r="A321" s="907"/>
      <c r="B321" s="907"/>
      <c r="C321" s="907"/>
      <c r="D321" s="907"/>
      <c r="E321" s="907"/>
      <c r="F321" s="907"/>
      <c r="G321" s="907"/>
      <c r="H321" s="907"/>
      <c r="I321" s="907"/>
      <c r="J321" s="907"/>
      <c r="K321" s="907"/>
      <c r="L321" s="907"/>
      <c r="M321" s="907"/>
      <c r="N321" s="907"/>
      <c r="O321" s="907"/>
      <c r="P321" s="907"/>
      <c r="Q321" s="907"/>
      <c r="R321" s="907"/>
      <c r="S321" s="907"/>
      <c r="T321" s="907"/>
      <c r="U321" s="907"/>
      <c r="V321" s="907"/>
      <c r="W321" s="907"/>
      <c r="X321" s="907"/>
      <c r="Y321" s="907"/>
      <c r="Z321" s="907"/>
      <c r="AA321" s="907"/>
      <c r="AB321" s="907"/>
      <c r="AC321" s="907"/>
      <c r="AD321" s="907"/>
      <c r="AE321" s="907"/>
      <c r="AF321" s="907"/>
      <c r="AG321" s="907"/>
      <c r="AH321" s="907"/>
      <c r="AI321" s="907"/>
      <c r="AJ321" s="907"/>
      <c r="AK321" s="907"/>
      <c r="AL321" s="907"/>
      <c r="AM321" s="907"/>
    </row>
    <row r="322" spans="1:39">
      <c r="A322" s="907"/>
      <c r="B322" s="907"/>
      <c r="C322" s="907"/>
      <c r="D322" s="907"/>
      <c r="E322" s="907"/>
      <c r="F322" s="907"/>
      <c r="G322" s="907"/>
      <c r="H322" s="907"/>
      <c r="I322" s="907"/>
      <c r="J322" s="907"/>
      <c r="K322" s="907"/>
      <c r="L322" s="907"/>
      <c r="M322" s="907"/>
      <c r="N322" s="907"/>
      <c r="O322" s="907"/>
      <c r="P322" s="907"/>
      <c r="Q322" s="907"/>
      <c r="R322" s="907"/>
      <c r="S322" s="907"/>
      <c r="T322" s="907"/>
      <c r="U322" s="907"/>
      <c r="V322" s="907"/>
      <c r="W322" s="907"/>
      <c r="X322" s="907"/>
      <c r="Y322" s="907"/>
      <c r="Z322" s="907"/>
      <c r="AA322" s="907"/>
      <c r="AB322" s="907"/>
      <c r="AC322" s="907"/>
      <c r="AD322" s="907"/>
      <c r="AE322" s="907"/>
      <c r="AF322" s="907"/>
      <c r="AG322" s="907"/>
      <c r="AH322" s="907"/>
      <c r="AI322" s="907"/>
      <c r="AJ322" s="907"/>
      <c r="AK322" s="907"/>
      <c r="AL322" s="907"/>
      <c r="AM322" s="907"/>
    </row>
    <row r="323" spans="1:39">
      <c r="A323" s="907"/>
      <c r="B323" s="907"/>
      <c r="C323" s="907"/>
      <c r="D323" s="907"/>
      <c r="E323" s="907"/>
      <c r="F323" s="907"/>
      <c r="G323" s="907"/>
      <c r="H323" s="907"/>
      <c r="I323" s="907"/>
      <c r="J323" s="907"/>
      <c r="K323" s="907"/>
      <c r="L323" s="907"/>
      <c r="M323" s="907"/>
      <c r="N323" s="907"/>
      <c r="O323" s="907"/>
      <c r="P323" s="907"/>
      <c r="Q323" s="907"/>
      <c r="R323" s="907"/>
      <c r="S323" s="907"/>
      <c r="T323" s="907"/>
      <c r="U323" s="907"/>
      <c r="V323" s="907"/>
      <c r="W323" s="907"/>
      <c r="X323" s="907"/>
      <c r="Y323" s="907"/>
      <c r="Z323" s="907"/>
      <c r="AA323" s="907"/>
      <c r="AB323" s="907"/>
      <c r="AC323" s="907"/>
      <c r="AD323" s="907"/>
      <c r="AE323" s="907"/>
      <c r="AF323" s="907"/>
      <c r="AG323" s="907"/>
      <c r="AH323" s="907"/>
      <c r="AI323" s="907"/>
      <c r="AJ323" s="907"/>
      <c r="AK323" s="907"/>
      <c r="AL323" s="907"/>
      <c r="AM323" s="907"/>
    </row>
    <row r="324" spans="1:39">
      <c r="A324" s="907"/>
      <c r="B324" s="907"/>
      <c r="C324" s="907"/>
      <c r="D324" s="907"/>
      <c r="E324" s="907"/>
      <c r="F324" s="907"/>
      <c r="G324" s="907"/>
      <c r="H324" s="907"/>
      <c r="I324" s="907"/>
      <c r="J324" s="907"/>
      <c r="K324" s="907"/>
      <c r="L324" s="907"/>
      <c r="M324" s="907"/>
      <c r="N324" s="907"/>
      <c r="O324" s="907"/>
      <c r="P324" s="907"/>
      <c r="Q324" s="907"/>
      <c r="R324" s="907"/>
      <c r="S324" s="907"/>
      <c r="T324" s="907"/>
      <c r="U324" s="907"/>
      <c r="V324" s="907"/>
      <c r="W324" s="907"/>
      <c r="X324" s="907"/>
      <c r="Y324" s="907"/>
      <c r="Z324" s="907"/>
      <c r="AA324" s="907"/>
      <c r="AB324" s="907"/>
      <c r="AC324" s="907"/>
      <c r="AD324" s="907"/>
      <c r="AE324" s="907"/>
      <c r="AF324" s="907"/>
      <c r="AG324" s="907"/>
      <c r="AH324" s="907"/>
      <c r="AI324" s="907"/>
      <c r="AJ324" s="907"/>
      <c r="AK324" s="907"/>
      <c r="AL324" s="907"/>
      <c r="AM324" s="907"/>
    </row>
    <row r="325" spans="1:39">
      <c r="A325" s="907"/>
      <c r="B325" s="907"/>
      <c r="C325" s="907"/>
      <c r="D325" s="907"/>
      <c r="E325" s="907"/>
      <c r="F325" s="907"/>
      <c r="G325" s="907"/>
      <c r="H325" s="907"/>
      <c r="I325" s="907"/>
      <c r="J325" s="907"/>
      <c r="K325" s="907"/>
      <c r="L325" s="907"/>
      <c r="M325" s="907"/>
      <c r="N325" s="907"/>
      <c r="O325" s="907"/>
      <c r="P325" s="907"/>
      <c r="Q325" s="907"/>
      <c r="R325" s="907"/>
      <c r="S325" s="907"/>
      <c r="T325" s="907"/>
      <c r="U325" s="907"/>
      <c r="V325" s="907"/>
      <c r="W325" s="907"/>
      <c r="X325" s="907"/>
      <c r="Y325" s="907"/>
      <c r="Z325" s="907"/>
      <c r="AA325" s="907"/>
      <c r="AB325" s="907"/>
      <c r="AC325" s="907"/>
      <c r="AD325" s="907"/>
      <c r="AE325" s="907"/>
      <c r="AF325" s="907"/>
      <c r="AG325" s="907"/>
      <c r="AH325" s="907"/>
      <c r="AI325" s="907"/>
      <c r="AJ325" s="907"/>
      <c r="AK325" s="907"/>
      <c r="AL325" s="907"/>
      <c r="AM325" s="907"/>
    </row>
    <row r="326" spans="1:39">
      <c r="A326" s="907"/>
      <c r="B326" s="907"/>
      <c r="C326" s="907"/>
      <c r="D326" s="907"/>
      <c r="E326" s="907"/>
      <c r="F326" s="907"/>
      <c r="G326" s="907"/>
      <c r="H326" s="907"/>
      <c r="I326" s="907"/>
      <c r="J326" s="907"/>
      <c r="K326" s="907"/>
      <c r="L326" s="907"/>
      <c r="M326" s="907"/>
      <c r="N326" s="907"/>
      <c r="O326" s="907"/>
      <c r="P326" s="907"/>
      <c r="Q326" s="907"/>
      <c r="R326" s="907"/>
      <c r="S326" s="907"/>
      <c r="T326" s="907"/>
      <c r="U326" s="907"/>
      <c r="V326" s="907"/>
      <c r="W326" s="907"/>
      <c r="X326" s="907"/>
      <c r="Y326" s="907"/>
      <c r="Z326" s="907"/>
      <c r="AA326" s="907"/>
      <c r="AB326" s="907"/>
      <c r="AC326" s="907"/>
      <c r="AD326" s="907"/>
      <c r="AE326" s="907"/>
      <c r="AF326" s="907"/>
      <c r="AG326" s="907"/>
      <c r="AH326" s="907"/>
      <c r="AI326" s="907"/>
      <c r="AJ326" s="907"/>
      <c r="AK326" s="907"/>
      <c r="AL326" s="907"/>
      <c r="AM326" s="907"/>
    </row>
    <row r="327" spans="1:39">
      <c r="A327" s="907"/>
      <c r="B327" s="907"/>
      <c r="C327" s="907"/>
      <c r="D327" s="907"/>
      <c r="E327" s="907"/>
      <c r="F327" s="907"/>
      <c r="G327" s="907"/>
      <c r="H327" s="907"/>
      <c r="I327" s="907"/>
      <c r="J327" s="907"/>
      <c r="K327" s="907"/>
      <c r="L327" s="907"/>
      <c r="M327" s="907"/>
      <c r="N327" s="907"/>
      <c r="O327" s="907"/>
      <c r="P327" s="907"/>
      <c r="Q327" s="907"/>
      <c r="R327" s="907"/>
      <c r="S327" s="907"/>
      <c r="T327" s="907"/>
      <c r="U327" s="907"/>
      <c r="V327" s="907"/>
      <c r="W327" s="907"/>
      <c r="X327" s="907"/>
      <c r="Y327" s="907"/>
      <c r="Z327" s="907"/>
      <c r="AA327" s="907"/>
      <c r="AB327" s="907"/>
      <c r="AC327" s="907"/>
      <c r="AD327" s="907"/>
      <c r="AE327" s="907"/>
      <c r="AF327" s="907"/>
      <c r="AG327" s="907"/>
      <c r="AH327" s="907"/>
      <c r="AI327" s="907"/>
      <c r="AJ327" s="907"/>
      <c r="AK327" s="907"/>
      <c r="AL327" s="907"/>
      <c r="AM327" s="907"/>
    </row>
    <row r="328" spans="1:39">
      <c r="A328" s="907"/>
      <c r="B328" s="907"/>
      <c r="C328" s="907"/>
      <c r="D328" s="907"/>
      <c r="E328" s="907"/>
      <c r="F328" s="907"/>
      <c r="G328" s="907"/>
      <c r="H328" s="907"/>
      <c r="I328" s="907"/>
      <c r="J328" s="907"/>
      <c r="K328" s="907"/>
      <c r="L328" s="907"/>
      <c r="M328" s="907"/>
      <c r="N328" s="907"/>
      <c r="O328" s="907"/>
      <c r="P328" s="907"/>
      <c r="Q328" s="907"/>
      <c r="R328" s="907"/>
      <c r="S328" s="907"/>
      <c r="T328" s="907"/>
      <c r="U328" s="907"/>
      <c r="V328" s="907"/>
      <c r="W328" s="907"/>
      <c r="X328" s="907"/>
      <c r="Y328" s="907"/>
      <c r="Z328" s="907"/>
      <c r="AA328" s="907"/>
      <c r="AB328" s="907"/>
      <c r="AC328" s="907"/>
      <c r="AD328" s="907"/>
      <c r="AE328" s="907"/>
      <c r="AF328" s="907"/>
      <c r="AG328" s="907"/>
      <c r="AH328" s="907"/>
      <c r="AI328" s="907"/>
      <c r="AJ328" s="907"/>
      <c r="AK328" s="907"/>
      <c r="AL328" s="907"/>
      <c r="AM328" s="907"/>
    </row>
    <row r="329" spans="1:39">
      <c r="A329" s="907"/>
      <c r="B329" s="907"/>
      <c r="C329" s="907"/>
      <c r="D329" s="907"/>
      <c r="E329" s="907"/>
      <c r="F329" s="907"/>
      <c r="G329" s="907"/>
      <c r="H329" s="907"/>
      <c r="I329" s="907"/>
      <c r="J329" s="907"/>
      <c r="K329" s="907"/>
      <c r="L329" s="907"/>
      <c r="M329" s="907"/>
      <c r="N329" s="907"/>
      <c r="O329" s="907"/>
      <c r="P329" s="907"/>
      <c r="Q329" s="907"/>
      <c r="R329" s="907"/>
      <c r="S329" s="907"/>
      <c r="T329" s="907"/>
      <c r="U329" s="907"/>
      <c r="V329" s="907"/>
      <c r="W329" s="907"/>
      <c r="X329" s="907"/>
      <c r="Y329" s="907"/>
      <c r="Z329" s="907"/>
      <c r="AA329" s="907"/>
      <c r="AB329" s="907"/>
      <c r="AC329" s="907"/>
      <c r="AD329" s="907"/>
      <c r="AE329" s="907"/>
      <c r="AF329" s="907"/>
      <c r="AG329" s="907"/>
      <c r="AH329" s="907"/>
      <c r="AI329" s="907"/>
      <c r="AJ329" s="907"/>
      <c r="AK329" s="907"/>
      <c r="AL329" s="907"/>
      <c r="AM329" s="907"/>
    </row>
    <row r="330" spans="1:39">
      <c r="A330" s="907"/>
      <c r="B330" s="907"/>
      <c r="C330" s="907"/>
      <c r="D330" s="907"/>
      <c r="E330" s="907"/>
      <c r="F330" s="907"/>
      <c r="G330" s="907"/>
      <c r="H330" s="907"/>
      <c r="I330" s="907"/>
      <c r="J330" s="907"/>
      <c r="K330" s="907"/>
      <c r="L330" s="907"/>
      <c r="M330" s="907"/>
      <c r="N330" s="907"/>
      <c r="O330" s="907"/>
      <c r="P330" s="907"/>
      <c r="Q330" s="907"/>
      <c r="R330" s="907"/>
      <c r="S330" s="907"/>
      <c r="T330" s="907"/>
      <c r="U330" s="907"/>
      <c r="V330" s="907"/>
      <c r="W330" s="907"/>
      <c r="X330" s="907"/>
      <c r="Y330" s="907"/>
      <c r="Z330" s="907"/>
      <c r="AA330" s="907"/>
      <c r="AB330" s="907"/>
      <c r="AC330" s="907"/>
      <c r="AD330" s="907"/>
      <c r="AE330" s="907"/>
      <c r="AF330" s="907"/>
      <c r="AG330" s="907"/>
      <c r="AH330" s="907"/>
      <c r="AI330" s="907"/>
      <c r="AJ330" s="907"/>
      <c r="AK330" s="907"/>
      <c r="AL330" s="907"/>
      <c r="AM330" s="907"/>
    </row>
    <row r="331" spans="1:39">
      <c r="A331" s="907"/>
      <c r="B331" s="907"/>
      <c r="C331" s="907"/>
      <c r="D331" s="907"/>
      <c r="E331" s="907"/>
      <c r="F331" s="907"/>
      <c r="G331" s="907"/>
      <c r="H331" s="907"/>
      <c r="I331" s="907"/>
      <c r="J331" s="907"/>
      <c r="K331" s="907"/>
      <c r="L331" s="907"/>
      <c r="M331" s="907"/>
      <c r="N331" s="907"/>
      <c r="O331" s="907"/>
      <c r="P331" s="907"/>
      <c r="Q331" s="907"/>
      <c r="R331" s="907"/>
      <c r="S331" s="907"/>
      <c r="T331" s="907"/>
      <c r="U331" s="907"/>
      <c r="V331" s="907"/>
      <c r="W331" s="907"/>
      <c r="X331" s="907"/>
      <c r="Y331" s="907"/>
      <c r="Z331" s="907"/>
      <c r="AA331" s="907"/>
      <c r="AB331" s="907"/>
      <c r="AC331" s="907"/>
      <c r="AD331" s="907"/>
      <c r="AE331" s="907"/>
      <c r="AF331" s="907"/>
      <c r="AG331" s="907"/>
      <c r="AH331" s="907"/>
      <c r="AI331" s="907"/>
      <c r="AJ331" s="907"/>
      <c r="AK331" s="907"/>
      <c r="AL331" s="907"/>
      <c r="AM331" s="907"/>
    </row>
    <row r="332" spans="1:39">
      <c r="A332" s="907"/>
      <c r="B332" s="907"/>
      <c r="C332" s="907"/>
      <c r="D332" s="907"/>
      <c r="E332" s="907"/>
      <c r="F332" s="907"/>
      <c r="G332" s="907"/>
      <c r="H332" s="907"/>
      <c r="I332" s="907"/>
      <c r="J332" s="907"/>
      <c r="K332" s="907"/>
      <c r="L332" s="907"/>
      <c r="M332" s="907"/>
      <c r="N332" s="907"/>
      <c r="O332" s="907"/>
      <c r="P332" s="907"/>
      <c r="Q332" s="907"/>
      <c r="R332" s="907"/>
      <c r="S332" s="907"/>
      <c r="T332" s="907"/>
      <c r="U332" s="907"/>
      <c r="V332" s="907"/>
      <c r="W332" s="907"/>
      <c r="X332" s="907"/>
      <c r="Y332" s="907"/>
      <c r="Z332" s="907"/>
      <c r="AA332" s="907"/>
      <c r="AB332" s="907"/>
      <c r="AC332" s="907"/>
      <c r="AD332" s="907"/>
      <c r="AE332" s="907"/>
      <c r="AF332" s="907"/>
      <c r="AG332" s="907"/>
      <c r="AH332" s="907"/>
      <c r="AI332" s="907"/>
      <c r="AJ332" s="907"/>
      <c r="AK332" s="907"/>
      <c r="AL332" s="907"/>
      <c r="AM332" s="907"/>
    </row>
    <row r="333" spans="1:39">
      <c r="A333" s="907"/>
      <c r="B333" s="907"/>
      <c r="C333" s="907"/>
      <c r="D333" s="907"/>
      <c r="E333" s="907"/>
      <c r="F333" s="907"/>
      <c r="G333" s="907"/>
      <c r="H333" s="907"/>
      <c r="I333" s="907"/>
      <c r="J333" s="907"/>
      <c r="K333" s="907"/>
      <c r="L333" s="907"/>
      <c r="M333" s="907"/>
      <c r="N333" s="907"/>
      <c r="O333" s="907"/>
      <c r="P333" s="907"/>
      <c r="Q333" s="907"/>
      <c r="R333" s="907"/>
      <c r="S333" s="907"/>
      <c r="T333" s="907"/>
      <c r="U333" s="907"/>
      <c r="V333" s="907"/>
      <c r="W333" s="907"/>
      <c r="X333" s="907"/>
      <c r="Y333" s="907"/>
      <c r="Z333" s="907"/>
      <c r="AA333" s="907"/>
      <c r="AB333" s="907"/>
      <c r="AC333" s="907"/>
      <c r="AD333" s="907"/>
      <c r="AE333" s="907"/>
      <c r="AF333" s="907"/>
      <c r="AG333" s="907"/>
      <c r="AH333" s="907"/>
      <c r="AI333" s="907"/>
      <c r="AJ333" s="907"/>
      <c r="AK333" s="907"/>
      <c r="AL333" s="907"/>
      <c r="AM333" s="907"/>
    </row>
    <row r="334" spans="1:39">
      <c r="A334" s="907"/>
      <c r="B334" s="907"/>
      <c r="C334" s="907"/>
      <c r="D334" s="907"/>
      <c r="E334" s="907"/>
      <c r="F334" s="907"/>
      <c r="G334" s="907"/>
      <c r="H334" s="907"/>
      <c r="I334" s="907"/>
      <c r="J334" s="907"/>
      <c r="K334" s="907"/>
      <c r="L334" s="907"/>
      <c r="M334" s="907"/>
      <c r="N334" s="907"/>
      <c r="O334" s="907"/>
      <c r="P334" s="907"/>
      <c r="Q334" s="907"/>
      <c r="R334" s="907"/>
      <c r="S334" s="907"/>
      <c r="T334" s="907"/>
      <c r="U334" s="907"/>
      <c r="V334" s="907"/>
      <c r="W334" s="907"/>
      <c r="X334" s="907"/>
      <c r="Y334" s="907"/>
      <c r="Z334" s="907"/>
      <c r="AA334" s="907"/>
      <c r="AB334" s="907"/>
      <c r="AC334" s="907"/>
      <c r="AD334" s="907"/>
      <c r="AE334" s="907"/>
      <c r="AF334" s="907"/>
      <c r="AG334" s="907"/>
      <c r="AH334" s="907"/>
      <c r="AI334" s="907"/>
      <c r="AJ334" s="907"/>
      <c r="AK334" s="907"/>
      <c r="AL334" s="907"/>
      <c r="AM334" s="907"/>
    </row>
    <row r="335" spans="1:39">
      <c r="A335" s="907"/>
      <c r="B335" s="907"/>
      <c r="C335" s="907"/>
      <c r="D335" s="907"/>
      <c r="E335" s="907"/>
      <c r="F335" s="907"/>
      <c r="G335" s="907"/>
      <c r="H335" s="907"/>
      <c r="I335" s="907"/>
      <c r="J335" s="907"/>
      <c r="K335" s="907"/>
      <c r="L335" s="907"/>
      <c r="M335" s="907"/>
      <c r="N335" s="907"/>
      <c r="O335" s="907"/>
      <c r="P335" s="907"/>
      <c r="Q335" s="907"/>
      <c r="R335" s="907"/>
      <c r="S335" s="907"/>
      <c r="T335" s="907"/>
      <c r="U335" s="907"/>
      <c r="V335" s="907"/>
      <c r="W335" s="907"/>
      <c r="X335" s="907"/>
      <c r="Y335" s="907"/>
      <c r="Z335" s="907"/>
      <c r="AA335" s="907"/>
      <c r="AB335" s="907"/>
      <c r="AC335" s="907"/>
      <c r="AD335" s="907"/>
      <c r="AE335" s="907"/>
      <c r="AF335" s="907"/>
      <c r="AG335" s="907"/>
      <c r="AH335" s="907"/>
      <c r="AI335" s="907"/>
      <c r="AJ335" s="907"/>
      <c r="AK335" s="907"/>
      <c r="AL335" s="907"/>
      <c r="AM335" s="907"/>
    </row>
    <row r="336" spans="1:39">
      <c r="A336" s="907"/>
      <c r="B336" s="907"/>
      <c r="C336" s="907"/>
      <c r="D336" s="907"/>
      <c r="E336" s="907"/>
      <c r="F336" s="907"/>
      <c r="G336" s="907"/>
      <c r="H336" s="907"/>
      <c r="I336" s="907"/>
      <c r="J336" s="907"/>
      <c r="K336" s="907"/>
      <c r="L336" s="907"/>
      <c r="M336" s="907"/>
      <c r="N336" s="907"/>
      <c r="O336" s="907"/>
      <c r="P336" s="907"/>
      <c r="Q336" s="907"/>
      <c r="R336" s="907"/>
      <c r="S336" s="907"/>
      <c r="T336" s="907"/>
      <c r="U336" s="907"/>
      <c r="V336" s="907"/>
      <c r="W336" s="907"/>
      <c r="X336" s="907"/>
      <c r="Y336" s="907"/>
      <c r="Z336" s="907"/>
      <c r="AA336" s="907"/>
      <c r="AB336" s="907"/>
      <c r="AC336" s="907"/>
      <c r="AD336" s="907"/>
      <c r="AE336" s="907"/>
      <c r="AF336" s="907"/>
      <c r="AG336" s="907"/>
      <c r="AH336" s="907"/>
      <c r="AI336" s="907"/>
      <c r="AJ336" s="907"/>
      <c r="AK336" s="907"/>
      <c r="AL336" s="907"/>
      <c r="AM336" s="907"/>
    </row>
    <row r="337" spans="1:39">
      <c r="A337" s="907"/>
      <c r="B337" s="907"/>
      <c r="C337" s="907"/>
      <c r="D337" s="907"/>
      <c r="E337" s="907"/>
      <c r="F337" s="907"/>
      <c r="G337" s="907"/>
      <c r="H337" s="907"/>
      <c r="I337" s="907"/>
      <c r="J337" s="907"/>
      <c r="K337" s="907"/>
      <c r="L337" s="907"/>
      <c r="M337" s="907"/>
      <c r="N337" s="907"/>
      <c r="O337" s="907"/>
      <c r="P337" s="907"/>
      <c r="Q337" s="907"/>
      <c r="R337" s="907"/>
      <c r="S337" s="907"/>
      <c r="T337" s="907"/>
      <c r="U337" s="907"/>
      <c r="V337" s="907"/>
      <c r="W337" s="907"/>
      <c r="X337" s="907"/>
      <c r="Y337" s="907"/>
      <c r="Z337" s="907"/>
      <c r="AA337" s="907"/>
      <c r="AB337" s="907"/>
      <c r="AC337" s="907"/>
      <c r="AD337" s="907"/>
      <c r="AE337" s="907"/>
      <c r="AF337" s="907"/>
      <c r="AG337" s="907"/>
      <c r="AH337" s="907"/>
      <c r="AI337" s="907"/>
      <c r="AJ337" s="907"/>
      <c r="AK337" s="907"/>
      <c r="AL337" s="907"/>
      <c r="AM337" s="907"/>
    </row>
    <row r="338" spans="1:39">
      <c r="A338" s="907"/>
      <c r="B338" s="907"/>
      <c r="C338" s="907"/>
      <c r="D338" s="907"/>
      <c r="E338" s="907"/>
      <c r="F338" s="907"/>
      <c r="G338" s="907"/>
      <c r="H338" s="907"/>
      <c r="I338" s="907"/>
      <c r="J338" s="907"/>
      <c r="K338" s="907"/>
      <c r="L338" s="907"/>
      <c r="M338" s="907"/>
      <c r="N338" s="907"/>
      <c r="O338" s="907"/>
      <c r="P338" s="907"/>
      <c r="Q338" s="907"/>
      <c r="R338" s="907"/>
      <c r="S338" s="907"/>
      <c r="T338" s="907"/>
      <c r="U338" s="907"/>
      <c r="V338" s="907"/>
      <c r="W338" s="907"/>
      <c r="X338" s="907"/>
      <c r="Y338" s="907"/>
      <c r="Z338" s="907"/>
      <c r="AA338" s="907"/>
      <c r="AB338" s="907"/>
      <c r="AC338" s="907"/>
      <c r="AD338" s="907"/>
      <c r="AE338" s="907"/>
      <c r="AF338" s="907"/>
      <c r="AG338" s="907"/>
      <c r="AH338" s="907"/>
      <c r="AI338" s="907"/>
      <c r="AJ338" s="907"/>
      <c r="AK338" s="907"/>
      <c r="AL338" s="907"/>
      <c r="AM338" s="907"/>
    </row>
    <row r="339" spans="1:39">
      <c r="A339" s="907"/>
      <c r="B339" s="907"/>
      <c r="C339" s="907"/>
      <c r="D339" s="907"/>
      <c r="E339" s="907"/>
      <c r="F339" s="907"/>
      <c r="G339" s="907"/>
      <c r="H339" s="907"/>
      <c r="I339" s="907"/>
      <c r="J339" s="907"/>
      <c r="K339" s="907"/>
      <c r="L339" s="907"/>
      <c r="M339" s="907"/>
      <c r="N339" s="907"/>
      <c r="O339" s="907"/>
      <c r="P339" s="907"/>
      <c r="Q339" s="907"/>
      <c r="R339" s="907"/>
      <c r="S339" s="907"/>
      <c r="T339" s="907"/>
      <c r="U339" s="907"/>
      <c r="V339" s="907"/>
      <c r="W339" s="907"/>
      <c r="X339" s="907"/>
      <c r="Y339" s="907"/>
      <c r="Z339" s="907"/>
      <c r="AA339" s="907"/>
      <c r="AB339" s="907"/>
      <c r="AC339" s="907"/>
      <c r="AD339" s="907"/>
      <c r="AE339" s="907"/>
      <c r="AF339" s="907"/>
      <c r="AG339" s="907"/>
      <c r="AH339" s="907"/>
      <c r="AI339" s="907"/>
      <c r="AJ339" s="907"/>
      <c r="AK339" s="907"/>
      <c r="AL339" s="907"/>
      <c r="AM339" s="907"/>
    </row>
    <row r="340" spans="1:39">
      <c r="A340" s="907"/>
      <c r="B340" s="907"/>
      <c r="C340" s="907"/>
      <c r="D340" s="907"/>
      <c r="E340" s="907"/>
      <c r="F340" s="907"/>
      <c r="G340" s="907"/>
      <c r="H340" s="907"/>
      <c r="I340" s="907"/>
      <c r="J340" s="907"/>
      <c r="K340" s="907"/>
      <c r="L340" s="907"/>
      <c r="M340" s="907"/>
      <c r="N340" s="907"/>
      <c r="O340" s="907"/>
      <c r="P340" s="907"/>
      <c r="Q340" s="907"/>
      <c r="R340" s="907"/>
      <c r="S340" s="907"/>
      <c r="T340" s="907"/>
      <c r="U340" s="907"/>
      <c r="V340" s="907"/>
      <c r="W340" s="907"/>
      <c r="X340" s="907"/>
      <c r="Y340" s="907"/>
      <c r="Z340" s="907"/>
      <c r="AA340" s="907"/>
      <c r="AB340" s="907"/>
      <c r="AC340" s="907"/>
      <c r="AD340" s="907"/>
      <c r="AE340" s="907"/>
      <c r="AF340" s="907"/>
      <c r="AG340" s="907"/>
      <c r="AH340" s="907"/>
      <c r="AI340" s="907"/>
      <c r="AJ340" s="907"/>
      <c r="AK340" s="907"/>
      <c r="AL340" s="907"/>
      <c r="AM340" s="907"/>
    </row>
    <row r="341" spans="1:39">
      <c r="A341" s="907"/>
      <c r="B341" s="907"/>
      <c r="C341" s="907"/>
      <c r="D341" s="907"/>
      <c r="E341" s="907"/>
      <c r="F341" s="907"/>
      <c r="G341" s="907"/>
      <c r="H341" s="907"/>
      <c r="I341" s="907"/>
      <c r="J341" s="907"/>
      <c r="K341" s="907"/>
      <c r="L341" s="907"/>
      <c r="M341" s="907"/>
      <c r="N341" s="907"/>
      <c r="O341" s="907"/>
      <c r="P341" s="907"/>
      <c r="Q341" s="907"/>
      <c r="R341" s="907"/>
      <c r="S341" s="907"/>
      <c r="T341" s="907"/>
      <c r="U341" s="907"/>
      <c r="V341" s="907"/>
      <c r="W341" s="907"/>
      <c r="X341" s="907"/>
      <c r="Y341" s="907"/>
      <c r="Z341" s="907"/>
      <c r="AA341" s="907"/>
      <c r="AB341" s="907"/>
      <c r="AC341" s="907"/>
      <c r="AD341" s="907"/>
      <c r="AE341" s="907"/>
      <c r="AF341" s="907"/>
      <c r="AG341" s="907"/>
      <c r="AH341" s="907"/>
      <c r="AI341" s="907"/>
      <c r="AJ341" s="907"/>
      <c r="AK341" s="907"/>
      <c r="AL341" s="907"/>
      <c r="AM341" s="907"/>
    </row>
    <row r="342" spans="1:39">
      <c r="A342" s="907"/>
      <c r="B342" s="907"/>
      <c r="C342" s="907"/>
      <c r="D342" s="907"/>
      <c r="E342" s="907"/>
      <c r="F342" s="907"/>
      <c r="G342" s="907"/>
      <c r="H342" s="907"/>
      <c r="I342" s="907"/>
      <c r="J342" s="907"/>
      <c r="K342" s="907"/>
      <c r="L342" s="907"/>
      <c r="M342" s="907"/>
      <c r="N342" s="907"/>
      <c r="O342" s="907"/>
      <c r="P342" s="907"/>
      <c r="Q342" s="907"/>
      <c r="R342" s="907"/>
      <c r="S342" s="907"/>
      <c r="T342" s="907"/>
      <c r="U342" s="907"/>
      <c r="V342" s="907"/>
      <c r="W342" s="907"/>
      <c r="X342" s="907"/>
      <c r="Y342" s="907"/>
      <c r="Z342" s="907"/>
      <c r="AA342" s="907"/>
      <c r="AB342" s="907"/>
      <c r="AC342" s="907"/>
      <c r="AD342" s="907"/>
      <c r="AE342" s="907"/>
      <c r="AF342" s="907"/>
      <c r="AG342" s="907"/>
      <c r="AH342" s="907"/>
      <c r="AI342" s="907"/>
      <c r="AJ342" s="907"/>
      <c r="AK342" s="907"/>
      <c r="AL342" s="907"/>
      <c r="AM342" s="907"/>
    </row>
    <row r="343" spans="1:39">
      <c r="A343" s="907"/>
      <c r="B343" s="907"/>
      <c r="C343" s="907"/>
      <c r="D343" s="907"/>
      <c r="E343" s="907"/>
      <c r="F343" s="907"/>
      <c r="G343" s="907"/>
      <c r="H343" s="907"/>
      <c r="I343" s="907"/>
      <c r="J343" s="907"/>
      <c r="K343" s="907"/>
      <c r="L343" s="907"/>
      <c r="M343" s="907"/>
      <c r="N343" s="907"/>
      <c r="O343" s="907"/>
      <c r="P343" s="907"/>
      <c r="Q343" s="907"/>
      <c r="R343" s="907"/>
      <c r="S343" s="907"/>
      <c r="T343" s="907"/>
      <c r="U343" s="907"/>
      <c r="V343" s="907"/>
      <c r="W343" s="907"/>
      <c r="X343" s="907"/>
      <c r="Y343" s="907"/>
      <c r="Z343" s="907"/>
      <c r="AA343" s="907"/>
      <c r="AB343" s="907"/>
      <c r="AC343" s="907"/>
      <c r="AD343" s="907"/>
      <c r="AE343" s="907"/>
      <c r="AF343" s="907"/>
      <c r="AG343" s="907"/>
      <c r="AH343" s="907"/>
      <c r="AI343" s="907"/>
      <c r="AJ343" s="907"/>
      <c r="AK343" s="907"/>
      <c r="AL343" s="907"/>
      <c r="AM343" s="907"/>
    </row>
    <row r="344" spans="1:39">
      <c r="A344" s="907"/>
      <c r="B344" s="907"/>
      <c r="C344" s="907"/>
      <c r="D344" s="907"/>
      <c r="E344" s="907"/>
      <c r="F344" s="907"/>
      <c r="G344" s="907"/>
      <c r="H344" s="907"/>
      <c r="I344" s="907"/>
      <c r="J344" s="907"/>
      <c r="K344" s="907"/>
      <c r="L344" s="907"/>
      <c r="M344" s="907"/>
      <c r="N344" s="907"/>
      <c r="O344" s="907"/>
      <c r="P344" s="907"/>
      <c r="Q344" s="907"/>
      <c r="R344" s="907"/>
      <c r="S344" s="907"/>
      <c r="T344" s="907"/>
      <c r="U344" s="907"/>
      <c r="V344" s="907"/>
      <c r="W344" s="907"/>
      <c r="X344" s="907"/>
      <c r="Y344" s="907"/>
      <c r="Z344" s="907"/>
      <c r="AA344" s="907"/>
      <c r="AB344" s="907"/>
      <c r="AC344" s="907"/>
      <c r="AD344" s="907"/>
      <c r="AE344" s="907"/>
      <c r="AF344" s="907"/>
      <c r="AG344" s="907"/>
      <c r="AH344" s="907"/>
      <c r="AI344" s="907"/>
      <c r="AJ344" s="907"/>
      <c r="AK344" s="907"/>
      <c r="AL344" s="907"/>
      <c r="AM344" s="907"/>
    </row>
    <row r="345" spans="1:39">
      <c r="A345" s="907"/>
      <c r="B345" s="907"/>
      <c r="C345" s="907"/>
      <c r="D345" s="907"/>
      <c r="E345" s="907"/>
      <c r="F345" s="907"/>
      <c r="G345" s="907"/>
      <c r="H345" s="907"/>
      <c r="I345" s="907"/>
      <c r="J345" s="907"/>
      <c r="K345" s="907"/>
      <c r="L345" s="907"/>
      <c r="M345" s="907"/>
      <c r="N345" s="907"/>
      <c r="O345" s="907"/>
      <c r="P345" s="907"/>
      <c r="Q345" s="907"/>
      <c r="R345" s="907"/>
      <c r="S345" s="907"/>
      <c r="T345" s="907"/>
      <c r="U345" s="907"/>
      <c r="V345" s="907"/>
      <c r="W345" s="907"/>
      <c r="X345" s="907"/>
      <c r="Y345" s="907"/>
      <c r="Z345" s="907"/>
      <c r="AA345" s="907"/>
      <c r="AB345" s="907"/>
      <c r="AC345" s="907"/>
      <c r="AD345" s="907"/>
      <c r="AE345" s="907"/>
      <c r="AF345" s="907"/>
      <c r="AG345" s="907"/>
      <c r="AH345" s="907"/>
      <c r="AI345" s="907"/>
      <c r="AJ345" s="907"/>
      <c r="AK345" s="907"/>
      <c r="AL345" s="907"/>
      <c r="AM345" s="907"/>
    </row>
    <row r="346" spans="1:39">
      <c r="A346" s="907"/>
      <c r="B346" s="907"/>
      <c r="C346" s="907"/>
      <c r="D346" s="907"/>
      <c r="E346" s="907"/>
      <c r="F346" s="907"/>
      <c r="G346" s="907"/>
      <c r="H346" s="907"/>
      <c r="I346" s="907"/>
      <c r="J346" s="907"/>
      <c r="K346" s="907"/>
      <c r="L346" s="907"/>
      <c r="M346" s="907"/>
      <c r="N346" s="907"/>
      <c r="O346" s="907"/>
      <c r="P346" s="907"/>
      <c r="Q346" s="907"/>
      <c r="R346" s="907"/>
      <c r="S346" s="907"/>
      <c r="T346" s="907"/>
      <c r="U346" s="907"/>
      <c r="V346" s="907"/>
      <c r="W346" s="907"/>
      <c r="X346" s="907"/>
      <c r="Y346" s="907"/>
      <c r="Z346" s="907"/>
      <c r="AA346" s="907"/>
      <c r="AB346" s="907"/>
      <c r="AC346" s="907"/>
      <c r="AD346" s="907"/>
      <c r="AE346" s="907"/>
      <c r="AF346" s="907"/>
      <c r="AG346" s="907"/>
      <c r="AH346" s="907"/>
      <c r="AI346" s="907"/>
      <c r="AJ346" s="907"/>
      <c r="AK346" s="907"/>
      <c r="AL346" s="907"/>
      <c r="AM346" s="907"/>
    </row>
    <row r="347" spans="1:39">
      <c r="A347" s="907"/>
      <c r="B347" s="907"/>
      <c r="C347" s="907"/>
      <c r="D347" s="907"/>
      <c r="E347" s="907"/>
      <c r="F347" s="907"/>
      <c r="G347" s="907"/>
      <c r="H347" s="907"/>
      <c r="I347" s="907"/>
      <c r="J347" s="907"/>
      <c r="K347" s="907"/>
      <c r="L347" s="907"/>
      <c r="M347" s="907"/>
      <c r="N347" s="907"/>
      <c r="O347" s="907"/>
      <c r="P347" s="907"/>
      <c r="Q347" s="907"/>
      <c r="R347" s="907"/>
      <c r="S347" s="907"/>
      <c r="T347" s="907"/>
      <c r="U347" s="907"/>
      <c r="V347" s="907"/>
      <c r="W347" s="907"/>
      <c r="X347" s="907"/>
      <c r="Y347" s="907"/>
      <c r="Z347" s="907"/>
      <c r="AA347" s="907"/>
      <c r="AB347" s="907"/>
      <c r="AC347" s="907"/>
      <c r="AD347" s="907"/>
      <c r="AE347" s="907"/>
      <c r="AF347" s="907"/>
      <c r="AG347" s="907"/>
      <c r="AH347" s="907"/>
      <c r="AI347" s="907"/>
      <c r="AJ347" s="907"/>
      <c r="AK347" s="907"/>
      <c r="AL347" s="907"/>
      <c r="AM347" s="907"/>
    </row>
    <row r="348" spans="1:39">
      <c r="A348" s="907"/>
      <c r="B348" s="907"/>
      <c r="C348" s="907"/>
      <c r="D348" s="907"/>
      <c r="E348" s="907"/>
      <c r="F348" s="907"/>
      <c r="G348" s="907"/>
      <c r="H348" s="907"/>
      <c r="I348" s="907"/>
      <c r="J348" s="907"/>
      <c r="K348" s="907"/>
      <c r="L348" s="907"/>
      <c r="M348" s="907"/>
      <c r="N348" s="907"/>
      <c r="O348" s="907"/>
      <c r="P348" s="907"/>
      <c r="Q348" s="907"/>
      <c r="R348" s="907"/>
      <c r="S348" s="907"/>
      <c r="T348" s="907"/>
      <c r="U348" s="907"/>
      <c r="V348" s="907"/>
      <c r="W348" s="907"/>
      <c r="X348" s="907"/>
      <c r="Y348" s="907"/>
      <c r="Z348" s="907"/>
      <c r="AA348" s="907"/>
      <c r="AB348" s="907"/>
      <c r="AC348" s="907"/>
      <c r="AD348" s="907"/>
      <c r="AE348" s="907"/>
      <c r="AF348" s="907"/>
      <c r="AG348" s="907"/>
      <c r="AH348" s="907"/>
      <c r="AI348" s="907"/>
      <c r="AJ348" s="907"/>
      <c r="AK348" s="907"/>
      <c r="AL348" s="907"/>
      <c r="AM348" s="907"/>
    </row>
    <row r="349" spans="1:39">
      <c r="A349" s="907"/>
      <c r="B349" s="907"/>
      <c r="C349" s="907"/>
      <c r="D349" s="907"/>
      <c r="E349" s="907"/>
      <c r="F349" s="907"/>
      <c r="G349" s="907"/>
      <c r="H349" s="907"/>
      <c r="I349" s="907"/>
      <c r="J349" s="907"/>
      <c r="K349" s="907"/>
      <c r="L349" s="907"/>
      <c r="M349" s="907"/>
      <c r="N349" s="907"/>
      <c r="O349" s="907"/>
      <c r="P349" s="907"/>
      <c r="Q349" s="907"/>
      <c r="R349" s="907"/>
      <c r="S349" s="907"/>
      <c r="T349" s="907"/>
      <c r="U349" s="907"/>
      <c r="V349" s="907"/>
      <c r="W349" s="907"/>
      <c r="X349" s="907"/>
      <c r="Y349" s="907"/>
      <c r="Z349" s="907"/>
      <c r="AA349" s="907"/>
      <c r="AB349" s="907"/>
      <c r="AC349" s="907"/>
      <c r="AD349" s="907"/>
      <c r="AE349" s="907"/>
      <c r="AF349" s="907"/>
      <c r="AG349" s="907"/>
      <c r="AH349" s="907"/>
      <c r="AI349" s="907"/>
      <c r="AJ349" s="907"/>
      <c r="AK349" s="907"/>
      <c r="AL349" s="907"/>
      <c r="AM349" s="907"/>
    </row>
    <row r="350" spans="1:39">
      <c r="A350" s="907"/>
      <c r="B350" s="907"/>
      <c r="C350" s="907"/>
      <c r="D350" s="907"/>
      <c r="E350" s="907"/>
      <c r="F350" s="907"/>
      <c r="G350" s="907"/>
      <c r="H350" s="907"/>
      <c r="I350" s="907"/>
      <c r="J350" s="907"/>
      <c r="K350" s="907"/>
      <c r="L350" s="907"/>
      <c r="M350" s="907"/>
      <c r="N350" s="907"/>
      <c r="O350" s="907"/>
      <c r="P350" s="907"/>
      <c r="Q350" s="907"/>
      <c r="R350" s="907"/>
      <c r="S350" s="907"/>
      <c r="T350" s="907"/>
      <c r="U350" s="907"/>
      <c r="V350" s="907"/>
      <c r="W350" s="907"/>
      <c r="X350" s="907"/>
      <c r="Y350" s="907"/>
      <c r="Z350" s="907"/>
      <c r="AA350" s="907"/>
      <c r="AB350" s="907"/>
      <c r="AC350" s="907"/>
      <c r="AD350" s="907"/>
      <c r="AE350" s="907"/>
      <c r="AF350" s="907"/>
      <c r="AG350" s="907"/>
      <c r="AH350" s="907"/>
      <c r="AI350" s="907"/>
      <c r="AJ350" s="907"/>
      <c r="AK350" s="907"/>
      <c r="AL350" s="907"/>
      <c r="AM350" s="907"/>
    </row>
    <row r="351" spans="1:39">
      <c r="A351" s="907"/>
      <c r="B351" s="907"/>
      <c r="C351" s="907"/>
      <c r="D351" s="907"/>
      <c r="E351" s="907"/>
      <c r="F351" s="907"/>
      <c r="G351" s="907"/>
      <c r="H351" s="907"/>
      <c r="I351" s="907"/>
      <c r="J351" s="907"/>
      <c r="K351" s="907"/>
      <c r="L351" s="907"/>
      <c r="M351" s="907"/>
      <c r="N351" s="907"/>
      <c r="O351" s="907"/>
      <c r="P351" s="907"/>
      <c r="Q351" s="907"/>
      <c r="R351" s="907"/>
      <c r="S351" s="907"/>
      <c r="T351" s="907"/>
      <c r="U351" s="907"/>
      <c r="V351" s="907"/>
      <c r="W351" s="907"/>
      <c r="X351" s="907"/>
      <c r="Y351" s="907"/>
      <c r="Z351" s="907"/>
      <c r="AA351" s="907"/>
      <c r="AB351" s="907"/>
      <c r="AC351" s="907"/>
      <c r="AD351" s="907"/>
      <c r="AE351" s="907"/>
      <c r="AF351" s="907"/>
      <c r="AG351" s="907"/>
      <c r="AH351" s="907"/>
      <c r="AI351" s="907"/>
      <c r="AJ351" s="907"/>
      <c r="AK351" s="907"/>
      <c r="AL351" s="907"/>
      <c r="AM351" s="907"/>
    </row>
    <row r="352" spans="1:39">
      <c r="A352" s="907"/>
      <c r="B352" s="907"/>
      <c r="C352" s="907"/>
      <c r="D352" s="907"/>
      <c r="E352" s="907"/>
      <c r="F352" s="907"/>
      <c r="G352" s="907"/>
      <c r="H352" s="907"/>
      <c r="I352" s="907"/>
      <c r="J352" s="907"/>
      <c r="K352" s="907"/>
      <c r="L352" s="907"/>
      <c r="M352" s="907"/>
      <c r="N352" s="907"/>
      <c r="O352" s="907"/>
      <c r="P352" s="907"/>
      <c r="Q352" s="907"/>
      <c r="R352" s="907"/>
      <c r="S352" s="907"/>
      <c r="T352" s="907"/>
      <c r="U352" s="907"/>
      <c r="V352" s="907"/>
      <c r="W352" s="907"/>
      <c r="X352" s="907"/>
      <c r="Y352" s="907"/>
      <c r="Z352" s="907"/>
      <c r="AA352" s="907"/>
      <c r="AB352" s="907"/>
      <c r="AC352" s="907"/>
      <c r="AD352" s="907"/>
      <c r="AE352" s="907"/>
      <c r="AF352" s="907"/>
      <c r="AG352" s="907"/>
      <c r="AH352" s="907"/>
      <c r="AI352" s="907"/>
      <c r="AJ352" s="907"/>
      <c r="AK352" s="907"/>
      <c r="AL352" s="907"/>
      <c r="AM352" s="907"/>
    </row>
    <row r="353" spans="1:39">
      <c r="A353" s="907"/>
      <c r="B353" s="907"/>
      <c r="C353" s="907"/>
      <c r="D353" s="907"/>
      <c r="E353" s="907"/>
      <c r="F353" s="907"/>
      <c r="G353" s="907"/>
      <c r="H353" s="907"/>
      <c r="I353" s="907"/>
      <c r="J353" s="907"/>
      <c r="K353" s="907"/>
      <c r="L353" s="907"/>
      <c r="M353" s="907"/>
      <c r="N353" s="907"/>
      <c r="O353" s="907"/>
      <c r="P353" s="907"/>
      <c r="Q353" s="907"/>
      <c r="R353" s="907"/>
      <c r="S353" s="907"/>
      <c r="T353" s="907"/>
      <c r="U353" s="907"/>
      <c r="V353" s="907"/>
      <c r="W353" s="907"/>
      <c r="X353" s="907"/>
      <c r="Y353" s="907"/>
      <c r="Z353" s="907"/>
      <c r="AA353" s="907"/>
      <c r="AB353" s="907"/>
      <c r="AC353" s="907"/>
      <c r="AD353" s="907"/>
      <c r="AE353" s="907"/>
      <c r="AF353" s="907"/>
      <c r="AG353" s="907"/>
      <c r="AH353" s="907"/>
      <c r="AI353" s="907"/>
      <c r="AJ353" s="907"/>
      <c r="AK353" s="907"/>
      <c r="AL353" s="907"/>
      <c r="AM353" s="907"/>
    </row>
    <row r="354" spans="1:39">
      <c r="A354" s="907"/>
      <c r="B354" s="907"/>
      <c r="C354" s="907"/>
      <c r="D354" s="907"/>
      <c r="E354" s="907"/>
      <c r="F354" s="907"/>
      <c r="G354" s="907"/>
      <c r="H354" s="907"/>
      <c r="I354" s="907"/>
      <c r="J354" s="907"/>
      <c r="K354" s="907"/>
      <c r="L354" s="907"/>
      <c r="M354" s="907"/>
      <c r="N354" s="907"/>
      <c r="O354" s="907"/>
      <c r="P354" s="907"/>
      <c r="Q354" s="907"/>
      <c r="R354" s="907"/>
      <c r="S354" s="907"/>
      <c r="T354" s="907"/>
      <c r="U354" s="907"/>
      <c r="V354" s="907"/>
      <c r="W354" s="907"/>
      <c r="X354" s="907"/>
      <c r="Y354" s="907"/>
      <c r="Z354" s="907"/>
      <c r="AA354" s="907"/>
      <c r="AB354" s="907"/>
      <c r="AC354" s="907"/>
      <c r="AD354" s="907"/>
      <c r="AE354" s="907"/>
      <c r="AF354" s="907"/>
      <c r="AG354" s="907"/>
      <c r="AH354" s="907"/>
      <c r="AI354" s="907"/>
      <c r="AJ354" s="907"/>
      <c r="AK354" s="907"/>
      <c r="AL354" s="907"/>
      <c r="AM354" s="907"/>
    </row>
    <row r="355" spans="1:39">
      <c r="A355" s="907"/>
      <c r="B355" s="907"/>
      <c r="C355" s="907"/>
      <c r="D355" s="907"/>
      <c r="E355" s="907"/>
      <c r="F355" s="907"/>
      <c r="G355" s="907"/>
      <c r="H355" s="907"/>
      <c r="I355" s="907"/>
      <c r="J355" s="907"/>
      <c r="K355" s="907"/>
      <c r="L355" s="907"/>
      <c r="M355" s="907"/>
      <c r="N355" s="907"/>
      <c r="O355" s="907"/>
      <c r="P355" s="907"/>
      <c r="Q355" s="907"/>
      <c r="R355" s="907"/>
      <c r="S355" s="907"/>
      <c r="T355" s="907"/>
      <c r="U355" s="907"/>
      <c r="V355" s="907"/>
      <c r="W355" s="907"/>
      <c r="X355" s="907"/>
      <c r="Y355" s="907"/>
      <c r="Z355" s="907"/>
      <c r="AA355" s="907"/>
      <c r="AB355" s="907"/>
      <c r="AC355" s="907"/>
      <c r="AD355" s="907"/>
      <c r="AE355" s="907"/>
      <c r="AF355" s="907"/>
      <c r="AG355" s="907"/>
      <c r="AH355" s="907"/>
      <c r="AI355" s="907"/>
      <c r="AJ355" s="907"/>
      <c r="AK355" s="907"/>
      <c r="AL355" s="907"/>
      <c r="AM355" s="907"/>
    </row>
    <row r="356" spans="1:39">
      <c r="A356" s="907"/>
      <c r="B356" s="907"/>
      <c r="C356" s="907"/>
      <c r="D356" s="907"/>
      <c r="E356" s="907"/>
      <c r="F356" s="907"/>
      <c r="G356" s="907"/>
      <c r="H356" s="907"/>
      <c r="I356" s="907"/>
      <c r="J356" s="907"/>
      <c r="K356" s="907"/>
      <c r="L356" s="907"/>
      <c r="M356" s="907"/>
      <c r="N356" s="907"/>
      <c r="O356" s="907"/>
      <c r="P356" s="907"/>
      <c r="Q356" s="907"/>
      <c r="R356" s="907"/>
      <c r="S356" s="907"/>
      <c r="T356" s="907"/>
      <c r="U356" s="907"/>
      <c r="V356" s="907"/>
      <c r="W356" s="907"/>
      <c r="X356" s="907"/>
      <c r="Y356" s="907"/>
      <c r="Z356" s="907"/>
      <c r="AA356" s="907"/>
      <c r="AB356" s="907"/>
      <c r="AC356" s="907"/>
      <c r="AD356" s="907"/>
      <c r="AE356" s="907"/>
      <c r="AF356" s="907"/>
      <c r="AG356" s="907"/>
      <c r="AH356" s="907"/>
      <c r="AI356" s="907"/>
      <c r="AJ356" s="907"/>
      <c r="AK356" s="907"/>
      <c r="AL356" s="907"/>
      <c r="AM356" s="907"/>
    </row>
    <row r="357" spans="1:39">
      <c r="A357" s="907"/>
      <c r="B357" s="907"/>
      <c r="C357" s="907"/>
      <c r="D357" s="907"/>
      <c r="E357" s="907"/>
      <c r="F357" s="907"/>
      <c r="G357" s="907"/>
      <c r="H357" s="907"/>
      <c r="I357" s="907"/>
      <c r="J357" s="907"/>
      <c r="K357" s="907"/>
      <c r="L357" s="907"/>
      <c r="M357" s="907"/>
      <c r="N357" s="907"/>
      <c r="O357" s="907"/>
      <c r="P357" s="907"/>
      <c r="Q357" s="907"/>
      <c r="R357" s="907"/>
      <c r="S357" s="907"/>
      <c r="T357" s="907"/>
      <c r="U357" s="907"/>
      <c r="V357" s="907"/>
      <c r="W357" s="907"/>
      <c r="X357" s="907"/>
      <c r="Y357" s="907"/>
      <c r="Z357" s="907"/>
      <c r="AA357" s="907"/>
      <c r="AB357" s="907"/>
      <c r="AC357" s="907"/>
      <c r="AD357" s="907"/>
      <c r="AE357" s="907"/>
      <c r="AF357" s="907"/>
      <c r="AG357" s="907"/>
      <c r="AH357" s="907"/>
      <c r="AI357" s="907"/>
      <c r="AJ357" s="907"/>
      <c r="AK357" s="907"/>
      <c r="AL357" s="907"/>
      <c r="AM357" s="907"/>
    </row>
    <row r="358" spans="1:39">
      <c r="A358" s="907"/>
      <c r="B358" s="907"/>
      <c r="C358" s="907"/>
      <c r="D358" s="907"/>
      <c r="E358" s="907"/>
      <c r="F358" s="907"/>
      <c r="G358" s="907"/>
      <c r="H358" s="907"/>
      <c r="I358" s="907"/>
      <c r="J358" s="907"/>
      <c r="K358" s="907"/>
      <c r="L358" s="907"/>
      <c r="M358" s="907"/>
      <c r="N358" s="907"/>
      <c r="O358" s="907"/>
      <c r="P358" s="907"/>
      <c r="Q358" s="907"/>
      <c r="R358" s="907"/>
      <c r="S358" s="907"/>
      <c r="T358" s="907"/>
      <c r="U358" s="907"/>
      <c r="V358" s="907"/>
      <c r="W358" s="907"/>
      <c r="X358" s="907"/>
      <c r="Y358" s="907"/>
      <c r="Z358" s="907"/>
      <c r="AA358" s="907"/>
      <c r="AB358" s="907"/>
      <c r="AC358" s="907"/>
      <c r="AD358" s="907"/>
      <c r="AE358" s="907"/>
      <c r="AF358" s="907"/>
      <c r="AG358" s="907"/>
      <c r="AH358" s="907"/>
      <c r="AI358" s="907"/>
      <c r="AJ358" s="907"/>
      <c r="AK358" s="907"/>
      <c r="AL358" s="907"/>
      <c r="AM358" s="907"/>
    </row>
    <row r="359" spans="1:39">
      <c r="A359" s="907"/>
      <c r="B359" s="907"/>
      <c r="C359" s="907"/>
      <c r="D359" s="907"/>
      <c r="E359" s="907"/>
      <c r="F359" s="907"/>
      <c r="G359" s="907"/>
      <c r="H359" s="907"/>
      <c r="I359" s="907"/>
      <c r="J359" s="907"/>
      <c r="K359" s="907"/>
      <c r="L359" s="907"/>
      <c r="M359" s="907"/>
      <c r="N359" s="907"/>
      <c r="O359" s="907"/>
      <c r="P359" s="907"/>
      <c r="Q359" s="907"/>
      <c r="R359" s="907"/>
      <c r="S359" s="907"/>
      <c r="T359" s="907"/>
      <c r="U359" s="907"/>
      <c r="V359" s="907"/>
      <c r="W359" s="907"/>
      <c r="X359" s="907"/>
      <c r="Y359" s="907"/>
      <c r="Z359" s="907"/>
      <c r="AA359" s="907"/>
      <c r="AB359" s="907"/>
      <c r="AC359" s="907"/>
      <c r="AD359" s="907"/>
      <c r="AE359" s="907"/>
      <c r="AF359" s="907"/>
      <c r="AG359" s="907"/>
      <c r="AH359" s="907"/>
      <c r="AI359" s="907"/>
      <c r="AJ359" s="907"/>
      <c r="AK359" s="907"/>
      <c r="AL359" s="907"/>
      <c r="AM359" s="907"/>
    </row>
    <row r="360" spans="1:39">
      <c r="A360" s="907"/>
      <c r="B360" s="907"/>
      <c r="C360" s="907"/>
      <c r="D360" s="907"/>
      <c r="E360" s="907"/>
      <c r="F360" s="907"/>
      <c r="G360" s="907"/>
      <c r="H360" s="907"/>
      <c r="I360" s="907"/>
      <c r="J360" s="907"/>
      <c r="K360" s="907"/>
      <c r="L360" s="907"/>
      <c r="M360" s="907"/>
      <c r="N360" s="907"/>
      <c r="O360" s="907"/>
      <c r="P360" s="907"/>
      <c r="Q360" s="907"/>
      <c r="R360" s="907"/>
      <c r="S360" s="907"/>
      <c r="T360" s="907"/>
      <c r="U360" s="907"/>
      <c r="V360" s="907"/>
      <c r="W360" s="907"/>
      <c r="X360" s="907"/>
      <c r="Y360" s="907"/>
      <c r="Z360" s="907"/>
      <c r="AA360" s="907"/>
      <c r="AB360" s="907"/>
      <c r="AC360" s="907"/>
      <c r="AD360" s="907"/>
      <c r="AE360" s="907"/>
      <c r="AF360" s="907"/>
      <c r="AG360" s="907"/>
      <c r="AH360" s="907"/>
      <c r="AI360" s="907"/>
      <c r="AJ360" s="907"/>
      <c r="AK360" s="907"/>
      <c r="AL360" s="907"/>
      <c r="AM360" s="907"/>
    </row>
    <row r="361" spans="1:39">
      <c r="A361" s="907"/>
      <c r="B361" s="907"/>
      <c r="C361" s="907"/>
      <c r="D361" s="907"/>
      <c r="E361" s="907"/>
      <c r="F361" s="907"/>
      <c r="G361" s="907"/>
      <c r="H361" s="907"/>
      <c r="I361" s="907"/>
      <c r="J361" s="907"/>
      <c r="K361" s="907"/>
      <c r="L361" s="907"/>
      <c r="M361" s="907"/>
      <c r="N361" s="907"/>
      <c r="O361" s="907"/>
      <c r="P361" s="907"/>
      <c r="Q361" s="907"/>
      <c r="R361" s="907"/>
      <c r="S361" s="907"/>
      <c r="T361" s="907"/>
      <c r="U361" s="907"/>
      <c r="V361" s="907"/>
      <c r="W361" s="907"/>
      <c r="X361" s="907"/>
      <c r="Y361" s="907"/>
      <c r="Z361" s="907"/>
      <c r="AA361" s="907"/>
      <c r="AB361" s="907"/>
      <c r="AC361" s="907"/>
      <c r="AD361" s="907"/>
      <c r="AE361" s="907"/>
      <c r="AF361" s="907"/>
      <c r="AG361" s="907"/>
      <c r="AH361" s="907"/>
      <c r="AI361" s="907"/>
      <c r="AJ361" s="907"/>
      <c r="AK361" s="907"/>
      <c r="AL361" s="907"/>
      <c r="AM361" s="907"/>
    </row>
    <row r="362" spans="1:39">
      <c r="A362" s="907"/>
      <c r="B362" s="907"/>
      <c r="C362" s="907"/>
      <c r="D362" s="907"/>
      <c r="E362" s="907"/>
      <c r="F362" s="907"/>
      <c r="G362" s="907"/>
      <c r="H362" s="907"/>
      <c r="I362" s="907"/>
      <c r="J362" s="907"/>
      <c r="K362" s="907"/>
      <c r="L362" s="907"/>
      <c r="M362" s="907"/>
      <c r="N362" s="907"/>
      <c r="O362" s="907"/>
      <c r="P362" s="907"/>
      <c r="Q362" s="907"/>
      <c r="R362" s="907"/>
      <c r="S362" s="907"/>
      <c r="T362" s="907"/>
      <c r="U362" s="907"/>
      <c r="V362" s="907"/>
      <c r="W362" s="907"/>
      <c r="X362" s="907"/>
      <c r="Y362" s="907"/>
      <c r="Z362" s="907"/>
      <c r="AA362" s="907"/>
      <c r="AB362" s="907"/>
      <c r="AC362" s="907"/>
      <c r="AD362" s="907"/>
      <c r="AE362" s="907"/>
      <c r="AF362" s="907"/>
      <c r="AG362" s="907"/>
      <c r="AH362" s="907"/>
      <c r="AI362" s="907"/>
      <c r="AJ362" s="907"/>
      <c r="AK362" s="907"/>
      <c r="AL362" s="907"/>
      <c r="AM362" s="907"/>
    </row>
    <row r="363" spans="1:39">
      <c r="A363" s="907"/>
      <c r="B363" s="907"/>
      <c r="C363" s="907"/>
      <c r="D363" s="907"/>
      <c r="E363" s="907"/>
      <c r="F363" s="907"/>
      <c r="G363" s="907"/>
      <c r="H363" s="907"/>
      <c r="I363" s="907"/>
      <c r="J363" s="907"/>
      <c r="K363" s="907"/>
      <c r="L363" s="907"/>
      <c r="M363" s="907"/>
      <c r="N363" s="907"/>
      <c r="O363" s="907"/>
      <c r="P363" s="907"/>
      <c r="Q363" s="907"/>
      <c r="R363" s="907"/>
      <c r="S363" s="907"/>
      <c r="T363" s="907"/>
      <c r="U363" s="907"/>
      <c r="V363" s="907"/>
      <c r="W363" s="907"/>
      <c r="X363" s="907"/>
      <c r="Y363" s="907"/>
      <c r="Z363" s="907"/>
      <c r="AA363" s="907"/>
      <c r="AB363" s="907"/>
      <c r="AC363" s="907"/>
      <c r="AD363" s="907"/>
      <c r="AE363" s="907"/>
      <c r="AF363" s="907"/>
      <c r="AG363" s="907"/>
      <c r="AH363" s="907"/>
      <c r="AI363" s="907"/>
      <c r="AJ363" s="907"/>
      <c r="AK363" s="907"/>
      <c r="AL363" s="907"/>
      <c r="AM363" s="907"/>
    </row>
    <row r="364" spans="1:39">
      <c r="A364" s="907"/>
      <c r="B364" s="907"/>
      <c r="C364" s="907"/>
      <c r="D364" s="907"/>
      <c r="E364" s="907"/>
      <c r="F364" s="907"/>
      <c r="G364" s="907"/>
      <c r="H364" s="907"/>
      <c r="I364" s="907"/>
      <c r="J364" s="907"/>
      <c r="K364" s="907"/>
      <c r="L364" s="907"/>
      <c r="M364" s="907"/>
      <c r="N364" s="907"/>
      <c r="O364" s="907"/>
      <c r="P364" s="907"/>
      <c r="Q364" s="907"/>
      <c r="R364" s="907"/>
      <c r="S364" s="907"/>
      <c r="T364" s="907"/>
      <c r="U364" s="907"/>
      <c r="V364" s="907"/>
      <c r="W364" s="907"/>
      <c r="X364" s="907"/>
      <c r="Y364" s="907"/>
      <c r="Z364" s="907"/>
      <c r="AA364" s="907"/>
      <c r="AB364" s="907"/>
      <c r="AC364" s="907"/>
      <c r="AD364" s="907"/>
      <c r="AE364" s="907"/>
      <c r="AF364" s="907"/>
      <c r="AG364" s="907"/>
      <c r="AH364" s="907"/>
      <c r="AI364" s="907"/>
      <c r="AJ364" s="907"/>
      <c r="AK364" s="907"/>
      <c r="AL364" s="907"/>
      <c r="AM364" s="907"/>
    </row>
    <row r="365" spans="1:39">
      <c r="A365" s="907"/>
      <c r="B365" s="907"/>
      <c r="C365" s="907"/>
      <c r="D365" s="907"/>
      <c r="E365" s="907"/>
      <c r="F365" s="907"/>
      <c r="G365" s="907"/>
      <c r="H365" s="907"/>
      <c r="I365" s="907"/>
      <c r="J365" s="907"/>
      <c r="K365" s="907"/>
      <c r="L365" s="907"/>
      <c r="M365" s="907"/>
      <c r="N365" s="907"/>
      <c r="O365" s="907"/>
      <c r="P365" s="907"/>
      <c r="Q365" s="907"/>
      <c r="R365" s="907"/>
      <c r="S365" s="907"/>
      <c r="T365" s="907"/>
      <c r="U365" s="907"/>
      <c r="V365" s="907"/>
      <c r="W365" s="907"/>
      <c r="X365" s="907"/>
      <c r="Y365" s="907"/>
      <c r="Z365" s="907"/>
      <c r="AA365" s="907"/>
      <c r="AB365" s="907"/>
      <c r="AC365" s="907"/>
      <c r="AD365" s="907"/>
      <c r="AE365" s="907"/>
      <c r="AF365" s="907"/>
      <c r="AG365" s="907"/>
      <c r="AH365" s="907"/>
      <c r="AI365" s="907"/>
      <c r="AJ365" s="907"/>
      <c r="AK365" s="907"/>
      <c r="AL365" s="907"/>
      <c r="AM365" s="907"/>
    </row>
    <row r="366" spans="1:39">
      <c r="A366" s="907"/>
      <c r="B366" s="907"/>
      <c r="C366" s="907"/>
      <c r="D366" s="907"/>
      <c r="E366" s="907"/>
      <c r="F366" s="907"/>
      <c r="G366" s="907"/>
      <c r="H366" s="907"/>
      <c r="I366" s="907"/>
      <c r="J366" s="907"/>
      <c r="K366" s="907"/>
      <c r="L366" s="907"/>
      <c r="M366" s="907"/>
      <c r="N366" s="907"/>
      <c r="O366" s="907"/>
      <c r="P366" s="907"/>
      <c r="Q366" s="907"/>
      <c r="R366" s="907"/>
      <c r="S366" s="907"/>
      <c r="T366" s="907"/>
      <c r="U366" s="907"/>
      <c r="V366" s="907"/>
      <c r="W366" s="907"/>
      <c r="X366" s="907"/>
      <c r="Y366" s="907"/>
      <c r="Z366" s="907"/>
      <c r="AA366" s="907"/>
      <c r="AB366" s="907"/>
      <c r="AC366" s="907"/>
      <c r="AD366" s="907"/>
      <c r="AE366" s="907"/>
      <c r="AF366" s="907"/>
      <c r="AG366" s="907"/>
      <c r="AH366" s="907"/>
      <c r="AI366" s="907"/>
      <c r="AJ366" s="907"/>
      <c r="AK366" s="907"/>
      <c r="AL366" s="907"/>
      <c r="AM366" s="907"/>
    </row>
    <row r="367" spans="1:39">
      <c r="A367" s="907"/>
      <c r="B367" s="907"/>
      <c r="C367" s="907"/>
      <c r="D367" s="907"/>
      <c r="E367" s="907"/>
      <c r="F367" s="907"/>
      <c r="G367" s="907"/>
      <c r="H367" s="907"/>
      <c r="I367" s="907"/>
      <c r="J367" s="907"/>
      <c r="K367" s="907"/>
      <c r="L367" s="907"/>
      <c r="M367" s="907"/>
      <c r="N367" s="907"/>
      <c r="O367" s="907"/>
      <c r="P367" s="907"/>
      <c r="Q367" s="907"/>
      <c r="R367" s="907"/>
      <c r="S367" s="907"/>
      <c r="T367" s="907"/>
      <c r="U367" s="907"/>
      <c r="V367" s="907"/>
      <c r="W367" s="907"/>
      <c r="X367" s="907"/>
      <c r="Y367" s="907"/>
      <c r="Z367" s="907"/>
      <c r="AA367" s="907"/>
      <c r="AB367" s="907"/>
      <c r="AC367" s="907"/>
      <c r="AD367" s="907"/>
      <c r="AE367" s="907"/>
      <c r="AF367" s="907"/>
      <c r="AG367" s="907"/>
      <c r="AH367" s="907"/>
      <c r="AI367" s="907"/>
      <c r="AJ367" s="907"/>
      <c r="AK367" s="907"/>
      <c r="AL367" s="907"/>
      <c r="AM367" s="907"/>
    </row>
    <row r="368" spans="1:39">
      <c r="A368" s="907"/>
      <c r="B368" s="907"/>
      <c r="C368" s="907"/>
      <c r="D368" s="907"/>
      <c r="E368" s="907"/>
      <c r="F368" s="907"/>
      <c r="G368" s="907"/>
      <c r="H368" s="907"/>
      <c r="I368" s="907"/>
      <c r="J368" s="907"/>
      <c r="K368" s="907"/>
      <c r="L368" s="907"/>
      <c r="M368" s="907"/>
      <c r="N368" s="907"/>
      <c r="O368" s="907"/>
      <c r="P368" s="907"/>
      <c r="Q368" s="907"/>
      <c r="R368" s="907"/>
      <c r="S368" s="907"/>
      <c r="T368" s="907"/>
      <c r="U368" s="907"/>
      <c r="V368" s="907"/>
      <c r="W368" s="907"/>
      <c r="X368" s="907"/>
      <c r="Y368" s="907"/>
      <c r="Z368" s="907"/>
      <c r="AA368" s="907"/>
      <c r="AB368" s="907"/>
      <c r="AC368" s="907"/>
      <c r="AD368" s="907"/>
      <c r="AE368" s="907"/>
      <c r="AF368" s="907"/>
      <c r="AG368" s="907"/>
      <c r="AH368" s="907"/>
      <c r="AI368" s="907"/>
      <c r="AJ368" s="907"/>
      <c r="AK368" s="907"/>
      <c r="AL368" s="907"/>
      <c r="AM368" s="907"/>
    </row>
    <row r="369" spans="1:39">
      <c r="A369" s="907"/>
      <c r="B369" s="907"/>
      <c r="C369" s="907"/>
      <c r="D369" s="907"/>
      <c r="E369" s="907"/>
      <c r="F369" s="907"/>
      <c r="G369" s="907"/>
      <c r="H369" s="907"/>
      <c r="I369" s="907"/>
      <c r="J369" s="907"/>
      <c r="K369" s="907"/>
      <c r="L369" s="907"/>
      <c r="M369" s="907"/>
      <c r="N369" s="907"/>
      <c r="O369" s="907"/>
      <c r="P369" s="907"/>
      <c r="Q369" s="907"/>
      <c r="R369" s="907"/>
      <c r="S369" s="907"/>
      <c r="T369" s="907"/>
      <c r="U369" s="907"/>
      <c r="V369" s="907"/>
      <c r="W369" s="907"/>
      <c r="X369" s="907"/>
      <c r="Y369" s="907"/>
      <c r="Z369" s="907"/>
      <c r="AA369" s="907"/>
      <c r="AB369" s="907"/>
      <c r="AC369" s="907"/>
      <c r="AD369" s="907"/>
      <c r="AE369" s="907"/>
      <c r="AF369" s="907"/>
      <c r="AG369" s="907"/>
      <c r="AH369" s="907"/>
      <c r="AI369" s="907"/>
      <c r="AJ369" s="907"/>
      <c r="AK369" s="907"/>
      <c r="AL369" s="907"/>
      <c r="AM369" s="907"/>
    </row>
    <row r="370" spans="1:39">
      <c r="A370" s="907"/>
      <c r="B370" s="907"/>
      <c r="C370" s="907"/>
      <c r="D370" s="907"/>
      <c r="E370" s="907"/>
      <c r="F370" s="907"/>
      <c r="G370" s="907"/>
      <c r="H370" s="907"/>
      <c r="I370" s="907"/>
      <c r="J370" s="907"/>
      <c r="K370" s="907"/>
      <c r="L370" s="907"/>
      <c r="M370" s="907"/>
      <c r="N370" s="907"/>
      <c r="O370" s="907"/>
      <c r="P370" s="907"/>
      <c r="Q370" s="907"/>
      <c r="R370" s="907"/>
      <c r="S370" s="907"/>
      <c r="T370" s="907"/>
      <c r="U370" s="907"/>
      <c r="V370" s="907"/>
      <c r="W370" s="907"/>
      <c r="X370" s="907"/>
      <c r="Y370" s="907"/>
      <c r="Z370" s="907"/>
      <c r="AA370" s="907"/>
      <c r="AB370" s="907"/>
      <c r="AC370" s="907"/>
      <c r="AD370" s="907"/>
      <c r="AE370" s="907"/>
      <c r="AF370" s="907"/>
      <c r="AG370" s="907"/>
      <c r="AH370" s="907"/>
      <c r="AI370" s="907"/>
      <c r="AJ370" s="907"/>
      <c r="AK370" s="907"/>
      <c r="AL370" s="907"/>
      <c r="AM370" s="907"/>
    </row>
    <row r="371" spans="1:39">
      <c r="A371" s="907"/>
      <c r="B371" s="907"/>
      <c r="C371" s="907"/>
      <c r="D371" s="907"/>
      <c r="E371" s="907"/>
      <c r="F371" s="907"/>
      <c r="G371" s="907"/>
      <c r="H371" s="907"/>
      <c r="I371" s="907"/>
      <c r="J371" s="907"/>
      <c r="K371" s="907"/>
      <c r="L371" s="907"/>
      <c r="M371" s="907"/>
      <c r="N371" s="907"/>
      <c r="O371" s="907"/>
      <c r="P371" s="907"/>
      <c r="Q371" s="907"/>
      <c r="R371" s="907"/>
      <c r="S371" s="907"/>
      <c r="T371" s="907"/>
      <c r="U371" s="907"/>
      <c r="V371" s="907"/>
      <c r="W371" s="907"/>
      <c r="X371" s="907"/>
      <c r="Y371" s="907"/>
      <c r="Z371" s="907"/>
      <c r="AA371" s="907"/>
      <c r="AB371" s="907"/>
      <c r="AC371" s="907"/>
      <c r="AD371" s="907"/>
      <c r="AE371" s="907"/>
      <c r="AF371" s="907"/>
      <c r="AG371" s="907"/>
      <c r="AH371" s="907"/>
      <c r="AI371" s="907"/>
      <c r="AJ371" s="907"/>
      <c r="AK371" s="907"/>
      <c r="AL371" s="907"/>
      <c r="AM371" s="907"/>
    </row>
    <row r="372" spans="1:39">
      <c r="A372" s="907"/>
      <c r="B372" s="907"/>
      <c r="C372" s="907"/>
      <c r="D372" s="907"/>
      <c r="E372" s="907"/>
      <c r="F372" s="907"/>
      <c r="G372" s="907"/>
      <c r="H372" s="907"/>
      <c r="I372" s="907"/>
      <c r="J372" s="907"/>
      <c r="K372" s="907"/>
      <c r="L372" s="907"/>
      <c r="M372" s="907"/>
      <c r="N372" s="907"/>
      <c r="O372" s="907"/>
      <c r="P372" s="907"/>
      <c r="Q372" s="907"/>
      <c r="R372" s="907"/>
      <c r="S372" s="907"/>
      <c r="T372" s="907"/>
      <c r="U372" s="907"/>
      <c r="V372" s="907"/>
      <c r="W372" s="907"/>
      <c r="X372" s="907"/>
      <c r="Y372" s="907"/>
      <c r="Z372" s="907"/>
      <c r="AA372" s="907"/>
      <c r="AB372" s="907"/>
      <c r="AC372" s="907"/>
      <c r="AD372" s="907"/>
      <c r="AE372" s="907"/>
      <c r="AF372" s="907"/>
      <c r="AG372" s="907"/>
      <c r="AH372" s="907"/>
      <c r="AI372" s="907"/>
      <c r="AJ372" s="907"/>
      <c r="AK372" s="907"/>
      <c r="AL372" s="907"/>
      <c r="AM372" s="907"/>
    </row>
    <row r="373" spans="1:39">
      <c r="A373" s="907"/>
      <c r="B373" s="907"/>
      <c r="C373" s="907"/>
      <c r="D373" s="907"/>
      <c r="E373" s="907"/>
      <c r="F373" s="907"/>
      <c r="G373" s="907"/>
      <c r="H373" s="907"/>
      <c r="I373" s="907"/>
      <c r="J373" s="907"/>
      <c r="K373" s="907"/>
      <c r="L373" s="907"/>
      <c r="M373" s="907"/>
      <c r="N373" s="907"/>
      <c r="O373" s="907"/>
      <c r="P373" s="907"/>
      <c r="Q373" s="907"/>
      <c r="R373" s="907"/>
      <c r="S373" s="907"/>
      <c r="T373" s="907"/>
      <c r="U373" s="907"/>
      <c r="V373" s="907"/>
      <c r="W373" s="907"/>
      <c r="X373" s="907"/>
      <c r="Y373" s="907"/>
      <c r="Z373" s="907"/>
      <c r="AA373" s="907"/>
      <c r="AB373" s="907"/>
      <c r="AC373" s="907"/>
      <c r="AD373" s="907"/>
      <c r="AE373" s="907"/>
      <c r="AF373" s="907"/>
      <c r="AG373" s="907"/>
      <c r="AH373" s="907"/>
      <c r="AI373" s="907"/>
      <c r="AJ373" s="907"/>
      <c r="AK373" s="907"/>
      <c r="AL373" s="907"/>
      <c r="AM373" s="907"/>
    </row>
    <row r="374" spans="1:39">
      <c r="A374" s="907"/>
      <c r="B374" s="907"/>
      <c r="C374" s="907"/>
      <c r="D374" s="907"/>
      <c r="E374" s="907"/>
      <c r="F374" s="907"/>
      <c r="G374" s="907"/>
      <c r="H374" s="907"/>
      <c r="I374" s="907"/>
      <c r="J374" s="907"/>
      <c r="K374" s="907"/>
      <c r="L374" s="907"/>
      <c r="M374" s="907"/>
      <c r="N374" s="907"/>
      <c r="O374" s="907"/>
      <c r="P374" s="907"/>
      <c r="Q374" s="907"/>
      <c r="R374" s="907"/>
      <c r="S374" s="907"/>
      <c r="T374" s="907"/>
      <c r="U374" s="907"/>
      <c r="V374" s="907"/>
      <c r="W374" s="907"/>
      <c r="X374" s="907"/>
      <c r="Y374" s="907"/>
      <c r="Z374" s="907"/>
      <c r="AA374" s="907"/>
      <c r="AB374" s="907"/>
      <c r="AC374" s="907"/>
      <c r="AD374" s="907"/>
      <c r="AE374" s="907"/>
      <c r="AF374" s="907"/>
      <c r="AG374" s="907"/>
      <c r="AH374" s="907"/>
      <c r="AI374" s="907"/>
      <c r="AJ374" s="907"/>
      <c r="AK374" s="907"/>
      <c r="AL374" s="907"/>
      <c r="AM374" s="907"/>
    </row>
    <row r="375" spans="1:39">
      <c r="A375" s="907"/>
      <c r="B375" s="907"/>
      <c r="C375" s="907"/>
      <c r="D375" s="907"/>
      <c r="E375" s="907"/>
      <c r="F375" s="907"/>
      <c r="G375" s="907"/>
      <c r="H375" s="907"/>
      <c r="I375" s="907"/>
      <c r="J375" s="907"/>
      <c r="K375" s="907"/>
      <c r="L375" s="907"/>
      <c r="M375" s="907"/>
      <c r="N375" s="907"/>
      <c r="O375" s="907"/>
      <c r="P375" s="907"/>
      <c r="Q375" s="907"/>
      <c r="R375" s="907"/>
      <c r="S375" s="907"/>
      <c r="T375" s="907"/>
      <c r="U375" s="907"/>
      <c r="V375" s="907"/>
      <c r="W375" s="907"/>
      <c r="X375" s="907"/>
      <c r="Y375" s="907"/>
      <c r="Z375" s="907"/>
      <c r="AA375" s="907"/>
      <c r="AB375" s="907"/>
      <c r="AC375" s="907"/>
      <c r="AD375" s="907"/>
      <c r="AE375" s="907"/>
      <c r="AF375" s="907"/>
      <c r="AG375" s="907"/>
      <c r="AH375" s="907"/>
      <c r="AI375" s="907"/>
      <c r="AJ375" s="907"/>
      <c r="AK375" s="907"/>
      <c r="AL375" s="907"/>
      <c r="AM375" s="907"/>
    </row>
    <row r="376" spans="1:39">
      <c r="A376" s="907"/>
      <c r="B376" s="907"/>
      <c r="C376" s="907"/>
      <c r="D376" s="907"/>
      <c r="E376" s="907"/>
      <c r="F376" s="907"/>
      <c r="G376" s="907"/>
      <c r="H376" s="907"/>
      <c r="I376" s="907"/>
      <c r="J376" s="907"/>
      <c r="K376" s="907"/>
      <c r="L376" s="907"/>
      <c r="M376" s="907"/>
      <c r="N376" s="907"/>
      <c r="O376" s="907"/>
      <c r="P376" s="907"/>
      <c r="Q376" s="907"/>
      <c r="R376" s="907"/>
      <c r="S376" s="907"/>
      <c r="T376" s="907"/>
      <c r="U376" s="907"/>
      <c r="V376" s="907"/>
      <c r="W376" s="907"/>
      <c r="X376" s="907"/>
      <c r="Y376" s="907"/>
      <c r="Z376" s="907"/>
      <c r="AA376" s="907"/>
      <c r="AB376" s="907"/>
      <c r="AC376" s="907"/>
      <c r="AD376" s="907"/>
      <c r="AE376" s="907"/>
      <c r="AF376" s="907"/>
      <c r="AG376" s="907"/>
      <c r="AH376" s="907"/>
      <c r="AI376" s="907"/>
      <c r="AJ376" s="907"/>
      <c r="AK376" s="907"/>
      <c r="AL376" s="907"/>
      <c r="AM376" s="907"/>
    </row>
    <row r="377" spans="1:39">
      <c r="A377" s="907"/>
      <c r="B377" s="907"/>
      <c r="C377" s="907"/>
      <c r="D377" s="907"/>
      <c r="E377" s="907"/>
      <c r="F377" s="907"/>
      <c r="G377" s="907"/>
      <c r="H377" s="907"/>
      <c r="I377" s="907"/>
      <c r="J377" s="907"/>
      <c r="K377" s="907"/>
      <c r="L377" s="907"/>
      <c r="M377" s="907"/>
      <c r="N377" s="907"/>
      <c r="O377" s="907"/>
      <c r="P377" s="907"/>
      <c r="Q377" s="907"/>
      <c r="R377" s="907"/>
      <c r="S377" s="907"/>
      <c r="T377" s="907"/>
      <c r="U377" s="907"/>
      <c r="V377" s="907"/>
      <c r="W377" s="907"/>
      <c r="X377" s="907"/>
      <c r="Y377" s="907"/>
      <c r="Z377" s="907"/>
      <c r="AA377" s="907"/>
      <c r="AB377" s="907"/>
      <c r="AC377" s="907"/>
      <c r="AD377" s="907"/>
      <c r="AE377" s="907"/>
      <c r="AF377" s="907"/>
      <c r="AG377" s="907"/>
      <c r="AH377" s="907"/>
      <c r="AI377" s="907"/>
      <c r="AJ377" s="907"/>
      <c r="AK377" s="907"/>
      <c r="AL377" s="907"/>
      <c r="AM377" s="907"/>
    </row>
    <row r="378" spans="1:39">
      <c r="A378" s="907"/>
      <c r="B378" s="907"/>
      <c r="C378" s="907"/>
      <c r="D378" s="907"/>
      <c r="E378" s="907"/>
      <c r="F378" s="907"/>
      <c r="G378" s="907"/>
      <c r="H378" s="907"/>
      <c r="I378" s="907"/>
      <c r="J378" s="907"/>
      <c r="K378" s="907"/>
      <c r="L378" s="907"/>
      <c r="M378" s="907"/>
      <c r="N378" s="907"/>
      <c r="O378" s="907"/>
      <c r="P378" s="907"/>
      <c r="Q378" s="907"/>
      <c r="R378" s="907"/>
      <c r="S378" s="907"/>
      <c r="T378" s="907"/>
      <c r="U378" s="907"/>
      <c r="V378" s="907"/>
      <c r="W378" s="907"/>
      <c r="X378" s="907"/>
      <c r="Y378" s="907"/>
      <c r="Z378" s="907"/>
      <c r="AA378" s="907"/>
      <c r="AB378" s="907"/>
      <c r="AC378" s="907"/>
      <c r="AD378" s="907"/>
      <c r="AE378" s="907"/>
      <c r="AF378" s="907"/>
      <c r="AG378" s="907"/>
      <c r="AH378" s="907"/>
      <c r="AI378" s="907"/>
      <c r="AJ378" s="907"/>
      <c r="AK378" s="907"/>
      <c r="AL378" s="907"/>
      <c r="AM378" s="907"/>
    </row>
    <row r="379" spans="1:39">
      <c r="A379" s="907"/>
      <c r="B379" s="907"/>
      <c r="C379" s="907"/>
      <c r="D379" s="907"/>
      <c r="E379" s="907"/>
      <c r="F379" s="907"/>
      <c r="G379" s="907"/>
      <c r="H379" s="907"/>
      <c r="I379" s="907"/>
      <c r="J379" s="907"/>
      <c r="K379" s="907"/>
      <c r="L379" s="907"/>
      <c r="M379" s="907"/>
      <c r="N379" s="907"/>
      <c r="O379" s="907"/>
      <c r="P379" s="907"/>
      <c r="Q379" s="907"/>
      <c r="R379" s="907"/>
      <c r="S379" s="907"/>
      <c r="T379" s="907"/>
      <c r="U379" s="907"/>
      <c r="V379" s="907"/>
      <c r="W379" s="907"/>
      <c r="X379" s="907"/>
      <c r="Y379" s="907"/>
      <c r="Z379" s="907"/>
      <c r="AA379" s="907"/>
      <c r="AB379" s="907"/>
      <c r="AC379" s="907"/>
      <c r="AD379" s="907"/>
      <c r="AE379" s="907"/>
      <c r="AF379" s="907"/>
      <c r="AG379" s="907"/>
      <c r="AH379" s="907"/>
      <c r="AI379" s="907"/>
      <c r="AJ379" s="907"/>
      <c r="AK379" s="907"/>
      <c r="AL379" s="907"/>
      <c r="AM379" s="907"/>
    </row>
    <row r="380" spans="1:39">
      <c r="A380" s="907"/>
      <c r="B380" s="907"/>
      <c r="C380" s="907"/>
      <c r="D380" s="907"/>
      <c r="E380" s="907"/>
      <c r="F380" s="907"/>
      <c r="G380" s="907"/>
      <c r="H380" s="907"/>
      <c r="I380" s="907"/>
      <c r="J380" s="907"/>
      <c r="K380" s="907"/>
      <c r="L380" s="907"/>
      <c r="M380" s="907"/>
      <c r="N380" s="907"/>
      <c r="O380" s="907"/>
      <c r="P380" s="907"/>
      <c r="Q380" s="907"/>
      <c r="R380" s="907"/>
      <c r="S380" s="907"/>
      <c r="T380" s="907"/>
      <c r="U380" s="907"/>
      <c r="V380" s="907"/>
      <c r="W380" s="907"/>
      <c r="X380" s="907"/>
      <c r="Y380" s="907"/>
      <c r="Z380" s="907"/>
      <c r="AA380" s="907"/>
      <c r="AB380" s="907"/>
      <c r="AC380" s="907"/>
      <c r="AD380" s="907"/>
      <c r="AE380" s="907"/>
      <c r="AF380" s="907"/>
      <c r="AG380" s="907"/>
      <c r="AH380" s="907"/>
      <c r="AI380" s="907"/>
      <c r="AJ380" s="907"/>
      <c r="AK380" s="907"/>
      <c r="AL380" s="907"/>
      <c r="AM380" s="907"/>
    </row>
    <row r="381" spans="1:39">
      <c r="A381" s="907"/>
      <c r="B381" s="907"/>
      <c r="C381" s="907"/>
      <c r="D381" s="907"/>
      <c r="E381" s="907"/>
      <c r="F381" s="907"/>
      <c r="G381" s="907"/>
      <c r="H381" s="907"/>
      <c r="I381" s="907"/>
      <c r="J381" s="907"/>
      <c r="K381" s="907"/>
      <c r="L381" s="907"/>
      <c r="M381" s="907"/>
      <c r="N381" s="907"/>
      <c r="O381" s="907"/>
      <c r="P381" s="907"/>
      <c r="Q381" s="907"/>
      <c r="R381" s="907"/>
      <c r="S381" s="907"/>
      <c r="T381" s="907"/>
      <c r="U381" s="907"/>
      <c r="V381" s="907"/>
      <c r="W381" s="907"/>
      <c r="X381" s="907"/>
      <c r="Y381" s="907"/>
      <c r="Z381" s="907"/>
      <c r="AA381" s="907"/>
      <c r="AB381" s="907"/>
      <c r="AC381" s="907"/>
      <c r="AD381" s="907"/>
      <c r="AE381" s="907"/>
      <c r="AF381" s="907"/>
      <c r="AG381" s="907"/>
      <c r="AH381" s="907"/>
      <c r="AI381" s="907"/>
      <c r="AJ381" s="907"/>
      <c r="AK381" s="907"/>
      <c r="AL381" s="907"/>
      <c r="AM381" s="907"/>
    </row>
    <row r="382" spans="1:39">
      <c r="A382" s="907"/>
      <c r="B382" s="907"/>
      <c r="C382" s="907"/>
      <c r="D382" s="907"/>
      <c r="E382" s="907"/>
      <c r="F382" s="907"/>
      <c r="G382" s="907"/>
      <c r="H382" s="907"/>
      <c r="I382" s="907"/>
      <c r="J382" s="907"/>
      <c r="K382" s="907"/>
      <c r="L382" s="907"/>
      <c r="M382" s="907"/>
      <c r="N382" s="907"/>
      <c r="O382" s="907"/>
      <c r="P382" s="907"/>
      <c r="Q382" s="907"/>
      <c r="R382" s="907"/>
      <c r="S382" s="907"/>
      <c r="T382" s="907"/>
      <c r="U382" s="907"/>
      <c r="V382" s="907"/>
      <c r="W382" s="907"/>
      <c r="X382" s="907"/>
      <c r="Y382" s="907"/>
      <c r="Z382" s="907"/>
      <c r="AA382" s="907"/>
      <c r="AB382" s="907"/>
      <c r="AC382" s="907"/>
      <c r="AD382" s="907"/>
      <c r="AE382" s="907"/>
      <c r="AF382" s="907"/>
      <c r="AG382" s="907"/>
      <c r="AH382" s="907"/>
      <c r="AI382" s="907"/>
      <c r="AJ382" s="907"/>
      <c r="AK382" s="907"/>
      <c r="AL382" s="907"/>
      <c r="AM382" s="907"/>
    </row>
    <row r="383" spans="1:39">
      <c r="A383" s="907"/>
      <c r="B383" s="907"/>
      <c r="C383" s="907"/>
      <c r="D383" s="907"/>
      <c r="E383" s="907"/>
      <c r="F383" s="907"/>
      <c r="G383" s="907"/>
      <c r="H383" s="907"/>
      <c r="I383" s="907"/>
      <c r="J383" s="907"/>
      <c r="K383" s="907"/>
      <c r="L383" s="907"/>
      <c r="M383" s="907"/>
      <c r="N383" s="907"/>
      <c r="O383" s="907"/>
      <c r="P383" s="907"/>
      <c r="Q383" s="907"/>
      <c r="R383" s="907"/>
      <c r="S383" s="907"/>
      <c r="T383" s="907"/>
      <c r="U383" s="907"/>
      <c r="V383" s="907"/>
      <c r="W383" s="907"/>
      <c r="X383" s="907"/>
      <c r="Y383" s="907"/>
      <c r="Z383" s="907"/>
      <c r="AA383" s="907"/>
      <c r="AB383" s="907"/>
      <c r="AC383" s="907"/>
      <c r="AD383" s="907"/>
      <c r="AE383" s="907"/>
      <c r="AF383" s="907"/>
      <c r="AG383" s="907"/>
      <c r="AH383" s="907"/>
      <c r="AI383" s="907"/>
      <c r="AJ383" s="907"/>
      <c r="AK383" s="907"/>
      <c r="AL383" s="907"/>
      <c r="AM383" s="907"/>
    </row>
    <row r="384" spans="1:39">
      <c r="A384" s="907"/>
      <c r="B384" s="907"/>
      <c r="C384" s="907"/>
      <c r="D384" s="907"/>
      <c r="E384" s="907"/>
      <c r="F384" s="907"/>
      <c r="G384" s="907"/>
      <c r="H384" s="907"/>
      <c r="I384" s="907"/>
      <c r="J384" s="907"/>
      <c r="K384" s="907"/>
      <c r="L384" s="907"/>
      <c r="M384" s="907"/>
      <c r="N384" s="907"/>
      <c r="O384" s="907"/>
      <c r="P384" s="907"/>
      <c r="Q384" s="907"/>
      <c r="R384" s="907"/>
      <c r="S384" s="907"/>
      <c r="T384" s="907"/>
      <c r="U384" s="907"/>
      <c r="V384" s="907"/>
      <c r="W384" s="907"/>
      <c r="X384" s="907"/>
      <c r="Y384" s="907"/>
      <c r="Z384" s="907"/>
      <c r="AA384" s="907"/>
      <c r="AB384" s="907"/>
      <c r="AC384" s="907"/>
      <c r="AD384" s="907"/>
      <c r="AE384" s="907"/>
      <c r="AF384" s="907"/>
      <c r="AG384" s="907"/>
      <c r="AH384" s="907"/>
      <c r="AI384" s="907"/>
      <c r="AJ384" s="907"/>
      <c r="AK384" s="907"/>
      <c r="AL384" s="907"/>
      <c r="AM384" s="907"/>
    </row>
    <row r="385" spans="1:39">
      <c r="A385" s="907"/>
      <c r="B385" s="907"/>
      <c r="C385" s="907"/>
      <c r="D385" s="907"/>
      <c r="E385" s="907"/>
      <c r="F385" s="907"/>
      <c r="G385" s="907"/>
      <c r="H385" s="907"/>
      <c r="I385" s="907"/>
      <c r="J385" s="907"/>
      <c r="K385" s="907"/>
      <c r="L385" s="907"/>
      <c r="M385" s="907"/>
      <c r="N385" s="907"/>
      <c r="O385" s="907"/>
      <c r="P385" s="907"/>
      <c r="Q385" s="907"/>
      <c r="R385" s="907"/>
      <c r="S385" s="907"/>
      <c r="T385" s="907"/>
      <c r="U385" s="907"/>
      <c r="V385" s="907"/>
      <c r="W385" s="907"/>
      <c r="X385" s="907"/>
      <c r="Y385" s="907"/>
      <c r="Z385" s="907"/>
      <c r="AA385" s="907"/>
      <c r="AB385" s="907"/>
      <c r="AC385" s="907"/>
      <c r="AD385" s="907"/>
      <c r="AE385" s="907"/>
      <c r="AF385" s="907"/>
      <c r="AG385" s="907"/>
      <c r="AH385" s="907"/>
      <c r="AI385" s="907"/>
      <c r="AJ385" s="907"/>
      <c r="AK385" s="907"/>
      <c r="AL385" s="907"/>
      <c r="AM385" s="907"/>
    </row>
    <row r="386" spans="1:39">
      <c r="A386" s="907"/>
      <c r="B386" s="907"/>
      <c r="C386" s="907"/>
      <c r="D386" s="907"/>
      <c r="E386" s="907"/>
      <c r="F386" s="907"/>
      <c r="G386" s="907"/>
      <c r="H386" s="907"/>
      <c r="I386" s="907"/>
      <c r="J386" s="907"/>
      <c r="K386" s="907"/>
      <c r="L386" s="907"/>
      <c r="M386" s="907"/>
      <c r="N386" s="907"/>
      <c r="O386" s="907"/>
      <c r="P386" s="907"/>
      <c r="Q386" s="907"/>
      <c r="R386" s="907"/>
      <c r="S386" s="907"/>
      <c r="T386" s="907"/>
      <c r="U386" s="907"/>
      <c r="V386" s="907"/>
      <c r="W386" s="907"/>
      <c r="X386" s="907"/>
      <c r="Y386" s="907"/>
      <c r="Z386" s="907"/>
      <c r="AA386" s="907"/>
      <c r="AB386" s="907"/>
      <c r="AC386" s="907"/>
      <c r="AD386" s="907"/>
      <c r="AE386" s="907"/>
      <c r="AF386" s="907"/>
      <c r="AG386" s="907"/>
      <c r="AH386" s="907"/>
      <c r="AI386" s="907"/>
      <c r="AJ386" s="907"/>
      <c r="AK386" s="907"/>
      <c r="AL386" s="907"/>
      <c r="AM386" s="907"/>
    </row>
    <row r="387" spans="1:39">
      <c r="A387" s="907"/>
      <c r="B387" s="907"/>
      <c r="C387" s="907"/>
      <c r="D387" s="907"/>
      <c r="E387" s="907"/>
      <c r="F387" s="907"/>
      <c r="G387" s="907"/>
      <c r="H387" s="907"/>
      <c r="I387" s="907"/>
      <c r="J387" s="907"/>
      <c r="K387" s="907"/>
      <c r="L387" s="907"/>
      <c r="M387" s="907"/>
      <c r="N387" s="907"/>
      <c r="O387" s="907"/>
      <c r="P387" s="907"/>
      <c r="Q387" s="907"/>
      <c r="R387" s="907"/>
      <c r="S387" s="907"/>
      <c r="T387" s="907"/>
      <c r="U387" s="907"/>
      <c r="V387" s="907"/>
      <c r="W387" s="907"/>
      <c r="X387" s="907"/>
      <c r="Y387" s="907"/>
      <c r="Z387" s="907"/>
      <c r="AA387" s="907"/>
      <c r="AB387" s="907"/>
      <c r="AC387" s="907"/>
      <c r="AD387" s="907"/>
      <c r="AE387" s="907"/>
      <c r="AF387" s="907"/>
      <c r="AG387" s="907"/>
      <c r="AH387" s="907"/>
      <c r="AI387" s="907"/>
      <c r="AJ387" s="907"/>
      <c r="AK387" s="907"/>
      <c r="AL387" s="907"/>
      <c r="AM387" s="907"/>
    </row>
    <row r="388" spans="1:39">
      <c r="A388" s="907"/>
      <c r="B388" s="907"/>
      <c r="C388" s="907"/>
      <c r="D388" s="907"/>
      <c r="E388" s="907"/>
      <c r="F388" s="907"/>
      <c r="G388" s="907"/>
      <c r="H388" s="907"/>
      <c r="I388" s="907"/>
      <c r="J388" s="907"/>
      <c r="K388" s="907"/>
      <c r="L388" s="907"/>
      <c r="M388" s="907"/>
      <c r="N388" s="907"/>
      <c r="O388" s="907"/>
      <c r="P388" s="907"/>
      <c r="Q388" s="907"/>
      <c r="R388" s="907"/>
      <c r="S388" s="907"/>
      <c r="T388" s="907"/>
      <c r="U388" s="907"/>
      <c r="V388" s="907"/>
      <c r="W388" s="907"/>
      <c r="X388" s="907"/>
      <c r="Y388" s="907"/>
      <c r="Z388" s="907"/>
      <c r="AA388" s="907"/>
      <c r="AB388" s="907"/>
      <c r="AC388" s="907"/>
      <c r="AD388" s="907"/>
      <c r="AE388" s="907"/>
      <c r="AF388" s="907"/>
      <c r="AG388" s="907"/>
      <c r="AH388" s="907"/>
      <c r="AI388" s="907"/>
      <c r="AJ388" s="907"/>
      <c r="AK388" s="907"/>
      <c r="AL388" s="907"/>
      <c r="AM388" s="907"/>
    </row>
    <row r="389" spans="1:39">
      <c r="A389" s="907"/>
      <c r="B389" s="907"/>
      <c r="C389" s="907"/>
      <c r="D389" s="907"/>
      <c r="E389" s="907"/>
      <c r="F389" s="907"/>
      <c r="G389" s="907"/>
      <c r="H389" s="907"/>
      <c r="I389" s="907"/>
      <c r="J389" s="907"/>
      <c r="K389" s="907"/>
      <c r="L389" s="907"/>
      <c r="M389" s="907"/>
      <c r="N389" s="907"/>
      <c r="O389" s="907"/>
      <c r="P389" s="907"/>
      <c r="Q389" s="907"/>
      <c r="R389" s="907"/>
      <c r="S389" s="907"/>
      <c r="T389" s="907"/>
      <c r="U389" s="907"/>
      <c r="V389" s="907"/>
      <c r="W389" s="907"/>
      <c r="X389" s="907"/>
      <c r="Y389" s="907"/>
      <c r="Z389" s="907"/>
      <c r="AA389" s="907"/>
      <c r="AB389" s="907"/>
      <c r="AC389" s="907"/>
      <c r="AD389" s="907"/>
      <c r="AE389" s="907"/>
      <c r="AF389" s="907"/>
      <c r="AG389" s="907"/>
      <c r="AH389" s="907"/>
      <c r="AI389" s="907"/>
      <c r="AJ389" s="907"/>
      <c r="AK389" s="907"/>
      <c r="AL389" s="907"/>
      <c r="AM389" s="907"/>
    </row>
    <row r="390" spans="1:39">
      <c r="A390" s="907"/>
      <c r="B390" s="907"/>
      <c r="C390" s="907"/>
      <c r="D390" s="907"/>
      <c r="E390" s="907"/>
      <c r="F390" s="907"/>
      <c r="G390" s="907"/>
      <c r="H390" s="907"/>
      <c r="I390" s="907"/>
      <c r="J390" s="907"/>
      <c r="K390" s="907"/>
      <c r="L390" s="907"/>
      <c r="M390" s="907"/>
      <c r="N390" s="907"/>
      <c r="O390" s="907"/>
      <c r="P390" s="907"/>
      <c r="Q390" s="907"/>
      <c r="R390" s="907"/>
      <c r="S390" s="907"/>
      <c r="T390" s="907"/>
      <c r="U390" s="907"/>
      <c r="V390" s="907"/>
      <c r="W390" s="907"/>
      <c r="X390" s="907"/>
      <c r="Y390" s="907"/>
      <c r="Z390" s="907"/>
      <c r="AA390" s="907"/>
      <c r="AB390" s="907"/>
      <c r="AC390" s="907"/>
      <c r="AD390" s="907"/>
      <c r="AE390" s="907"/>
      <c r="AF390" s="907"/>
      <c r="AG390" s="907"/>
      <c r="AH390" s="907"/>
      <c r="AI390" s="907"/>
      <c r="AJ390" s="907"/>
      <c r="AK390" s="907"/>
      <c r="AL390" s="907"/>
      <c r="AM390" s="907"/>
    </row>
    <row r="391" spans="1:39">
      <c r="A391" s="907"/>
      <c r="B391" s="907"/>
      <c r="C391" s="907"/>
      <c r="D391" s="907"/>
      <c r="E391" s="907"/>
      <c r="F391" s="907"/>
      <c r="G391" s="907"/>
      <c r="H391" s="907"/>
      <c r="I391" s="907"/>
      <c r="J391" s="907"/>
      <c r="K391" s="907"/>
      <c r="L391" s="907"/>
      <c r="M391" s="907"/>
      <c r="N391" s="907"/>
      <c r="O391" s="907"/>
      <c r="P391" s="907"/>
      <c r="Q391" s="907"/>
      <c r="R391" s="907"/>
      <c r="S391" s="907"/>
      <c r="T391" s="907"/>
      <c r="U391" s="907"/>
      <c r="V391" s="907"/>
      <c r="W391" s="907"/>
      <c r="X391" s="907"/>
      <c r="Y391" s="907"/>
      <c r="Z391" s="907"/>
      <c r="AA391" s="907"/>
      <c r="AB391" s="907"/>
      <c r="AC391" s="907"/>
      <c r="AD391" s="907"/>
      <c r="AE391" s="907"/>
      <c r="AF391" s="907"/>
      <c r="AG391" s="907"/>
      <c r="AH391" s="907"/>
      <c r="AI391" s="907"/>
      <c r="AJ391" s="907"/>
      <c r="AK391" s="907"/>
      <c r="AL391" s="907"/>
      <c r="AM391" s="907"/>
    </row>
    <row r="392" spans="1:39">
      <c r="A392" s="907"/>
      <c r="B392" s="907"/>
      <c r="C392" s="907"/>
      <c r="D392" s="907"/>
      <c r="E392" s="907"/>
      <c r="F392" s="907"/>
      <c r="G392" s="907"/>
      <c r="H392" s="907"/>
      <c r="I392" s="907"/>
      <c r="J392" s="907"/>
      <c r="K392" s="907"/>
      <c r="L392" s="907"/>
      <c r="M392" s="907"/>
      <c r="N392" s="907"/>
      <c r="O392" s="907"/>
      <c r="P392" s="907"/>
      <c r="Q392" s="907"/>
      <c r="R392" s="907"/>
      <c r="S392" s="907"/>
      <c r="T392" s="907"/>
      <c r="U392" s="907"/>
      <c r="V392" s="907"/>
      <c r="W392" s="907"/>
      <c r="X392" s="907"/>
      <c r="Y392" s="907"/>
      <c r="Z392" s="907"/>
      <c r="AA392" s="907"/>
      <c r="AB392" s="907"/>
      <c r="AC392" s="907"/>
      <c r="AD392" s="907"/>
      <c r="AE392" s="907"/>
      <c r="AF392" s="907"/>
      <c r="AG392" s="907"/>
      <c r="AH392" s="907"/>
      <c r="AI392" s="907"/>
      <c r="AJ392" s="907"/>
      <c r="AK392" s="907"/>
      <c r="AL392" s="907"/>
      <c r="AM392" s="907"/>
    </row>
    <row r="393" spans="1:39">
      <c r="A393" s="907"/>
      <c r="B393" s="907"/>
      <c r="C393" s="907"/>
      <c r="D393" s="907"/>
      <c r="E393" s="907"/>
      <c r="F393" s="907"/>
      <c r="G393" s="907"/>
      <c r="H393" s="907"/>
      <c r="I393" s="907"/>
      <c r="J393" s="907"/>
      <c r="K393" s="907"/>
      <c r="L393" s="907"/>
      <c r="M393" s="907"/>
      <c r="N393" s="907"/>
      <c r="O393" s="907"/>
      <c r="P393" s="907"/>
      <c r="Q393" s="907"/>
      <c r="R393" s="907"/>
      <c r="S393" s="907"/>
      <c r="T393" s="907"/>
      <c r="U393" s="907"/>
      <c r="V393" s="907"/>
      <c r="W393" s="907"/>
      <c r="X393" s="907"/>
      <c r="Y393" s="907"/>
      <c r="Z393" s="907"/>
      <c r="AA393" s="907"/>
      <c r="AB393" s="907"/>
      <c r="AC393" s="907"/>
      <c r="AD393" s="907"/>
      <c r="AE393" s="907"/>
      <c r="AF393" s="907"/>
      <c r="AG393" s="907"/>
      <c r="AH393" s="907"/>
      <c r="AI393" s="907"/>
      <c r="AJ393" s="907"/>
      <c r="AK393" s="907"/>
      <c r="AL393" s="907"/>
      <c r="AM393" s="907"/>
    </row>
    <row r="394" spans="1:39">
      <c r="A394" s="907"/>
      <c r="B394" s="907"/>
      <c r="C394" s="907"/>
      <c r="D394" s="907"/>
      <c r="E394" s="907"/>
      <c r="F394" s="907"/>
      <c r="G394" s="907"/>
      <c r="H394" s="907"/>
      <c r="I394" s="907"/>
      <c r="J394" s="907"/>
      <c r="K394" s="907"/>
      <c r="L394" s="907"/>
      <c r="M394" s="907"/>
      <c r="N394" s="907"/>
      <c r="O394" s="907"/>
      <c r="P394" s="907"/>
      <c r="Q394" s="907"/>
      <c r="R394" s="907"/>
      <c r="S394" s="907"/>
      <c r="T394" s="907"/>
      <c r="U394" s="907"/>
      <c r="V394" s="907"/>
      <c r="W394" s="907"/>
      <c r="X394" s="907"/>
      <c r="Y394" s="907"/>
      <c r="Z394" s="907"/>
      <c r="AA394" s="907"/>
      <c r="AB394" s="907"/>
      <c r="AC394" s="907"/>
      <c r="AD394" s="907"/>
      <c r="AE394" s="907"/>
      <c r="AF394" s="907"/>
      <c r="AG394" s="907"/>
      <c r="AH394" s="907"/>
      <c r="AI394" s="907"/>
      <c r="AJ394" s="907"/>
      <c r="AK394" s="907"/>
      <c r="AL394" s="907"/>
      <c r="AM394" s="907"/>
    </row>
    <row r="395" spans="1:39">
      <c r="A395" s="907"/>
      <c r="B395" s="907"/>
      <c r="C395" s="907"/>
      <c r="D395" s="907"/>
      <c r="E395" s="907"/>
      <c r="F395" s="907"/>
      <c r="G395" s="907"/>
      <c r="H395" s="907"/>
      <c r="I395" s="907"/>
      <c r="J395" s="907"/>
      <c r="K395" s="907"/>
      <c r="L395" s="907"/>
      <c r="M395" s="907"/>
      <c r="N395" s="907"/>
      <c r="O395" s="907"/>
      <c r="P395" s="907"/>
      <c r="Q395" s="907"/>
      <c r="R395" s="907"/>
      <c r="S395" s="907"/>
      <c r="T395" s="907"/>
      <c r="U395" s="907"/>
      <c r="V395" s="907"/>
      <c r="W395" s="907"/>
      <c r="X395" s="907"/>
      <c r="Y395" s="907"/>
      <c r="Z395" s="907"/>
      <c r="AA395" s="907"/>
      <c r="AB395" s="907"/>
      <c r="AC395" s="907"/>
      <c r="AD395" s="907"/>
      <c r="AE395" s="907"/>
      <c r="AF395" s="907"/>
      <c r="AG395" s="907"/>
      <c r="AH395" s="907"/>
      <c r="AI395" s="907"/>
      <c r="AJ395" s="907"/>
      <c r="AK395" s="907"/>
      <c r="AL395" s="907"/>
      <c r="AM395" s="907"/>
    </row>
    <row r="396" spans="1:39">
      <c r="A396" s="907"/>
      <c r="B396" s="907"/>
      <c r="C396" s="907"/>
      <c r="D396" s="907"/>
      <c r="E396" s="907"/>
      <c r="F396" s="907"/>
      <c r="G396" s="907"/>
      <c r="H396" s="907"/>
      <c r="I396" s="907"/>
      <c r="J396" s="907"/>
      <c r="K396" s="907"/>
      <c r="L396" s="907"/>
      <c r="M396" s="907"/>
      <c r="N396" s="907"/>
      <c r="O396" s="907"/>
      <c r="P396" s="907"/>
      <c r="Q396" s="907"/>
      <c r="R396" s="907"/>
      <c r="S396" s="907"/>
      <c r="T396" s="907"/>
      <c r="U396" s="907"/>
      <c r="V396" s="907"/>
      <c r="W396" s="907"/>
      <c r="X396" s="907"/>
      <c r="Y396" s="907"/>
      <c r="Z396" s="907"/>
      <c r="AA396" s="907"/>
      <c r="AB396" s="907"/>
      <c r="AC396" s="907"/>
      <c r="AD396" s="907"/>
      <c r="AE396" s="907"/>
      <c r="AF396" s="907"/>
      <c r="AG396" s="907"/>
      <c r="AH396" s="907"/>
      <c r="AI396" s="907"/>
      <c r="AJ396" s="907"/>
      <c r="AK396" s="907"/>
      <c r="AL396" s="907"/>
      <c r="AM396" s="907"/>
    </row>
    <row r="397" spans="1:39">
      <c r="A397" s="907"/>
      <c r="B397" s="907"/>
      <c r="C397" s="907"/>
      <c r="D397" s="907"/>
      <c r="E397" s="907"/>
      <c r="F397" s="907"/>
      <c r="G397" s="907"/>
      <c r="H397" s="907"/>
      <c r="I397" s="907"/>
      <c r="J397" s="907"/>
      <c r="K397" s="907"/>
      <c r="L397" s="907"/>
      <c r="M397" s="907"/>
      <c r="N397" s="907"/>
      <c r="O397" s="907"/>
      <c r="P397" s="907"/>
      <c r="Q397" s="907"/>
      <c r="R397" s="907"/>
      <c r="S397" s="907"/>
      <c r="T397" s="907"/>
      <c r="U397" s="907"/>
      <c r="V397" s="907"/>
      <c r="W397" s="907"/>
      <c r="X397" s="907"/>
      <c r="Y397" s="907"/>
      <c r="Z397" s="907"/>
      <c r="AA397" s="907"/>
      <c r="AB397" s="907"/>
      <c r="AC397" s="907"/>
      <c r="AD397" s="907"/>
      <c r="AE397" s="907"/>
      <c r="AF397" s="907"/>
      <c r="AG397" s="907"/>
      <c r="AH397" s="907"/>
      <c r="AI397" s="907"/>
      <c r="AJ397" s="907"/>
      <c r="AK397" s="907"/>
      <c r="AL397" s="907"/>
      <c r="AM397" s="907"/>
    </row>
    <row r="398" spans="1:39">
      <c r="A398" s="907"/>
      <c r="B398" s="907"/>
      <c r="C398" s="907"/>
      <c r="D398" s="907"/>
      <c r="E398" s="907"/>
      <c r="F398" s="907"/>
      <c r="G398" s="907"/>
      <c r="H398" s="907"/>
      <c r="I398" s="907"/>
      <c r="J398" s="907"/>
      <c r="K398" s="907"/>
      <c r="L398" s="907"/>
      <c r="M398" s="907"/>
      <c r="N398" s="907"/>
      <c r="O398" s="907"/>
      <c r="P398" s="907"/>
      <c r="Q398" s="907"/>
      <c r="R398" s="907"/>
      <c r="S398" s="907"/>
      <c r="T398" s="907"/>
      <c r="U398" s="907"/>
      <c r="V398" s="907"/>
      <c r="W398" s="907"/>
      <c r="X398" s="907"/>
      <c r="Y398" s="907"/>
      <c r="Z398" s="907"/>
      <c r="AA398" s="907"/>
      <c r="AB398" s="907"/>
      <c r="AC398" s="907"/>
      <c r="AD398" s="907"/>
      <c r="AE398" s="907"/>
      <c r="AF398" s="907"/>
      <c r="AG398" s="907"/>
      <c r="AH398" s="907"/>
      <c r="AI398" s="907"/>
      <c r="AJ398" s="907"/>
      <c r="AK398" s="907"/>
      <c r="AL398" s="907"/>
      <c r="AM398" s="907"/>
    </row>
    <row r="399" spans="1:39">
      <c r="A399" s="907"/>
      <c r="B399" s="907"/>
      <c r="C399" s="907"/>
      <c r="D399" s="907"/>
      <c r="E399" s="907"/>
      <c r="F399" s="907"/>
      <c r="G399" s="907"/>
      <c r="H399" s="907"/>
      <c r="I399" s="907"/>
      <c r="J399" s="907"/>
      <c r="K399" s="907"/>
      <c r="L399" s="907"/>
      <c r="M399" s="907"/>
      <c r="N399" s="907"/>
      <c r="O399" s="907"/>
      <c r="P399" s="907"/>
      <c r="Q399" s="907"/>
      <c r="R399" s="907"/>
      <c r="S399" s="907"/>
      <c r="T399" s="907"/>
      <c r="U399" s="907"/>
      <c r="V399" s="907"/>
      <c r="W399" s="907"/>
      <c r="X399" s="907"/>
      <c r="Y399" s="907"/>
      <c r="Z399" s="907"/>
      <c r="AA399" s="907"/>
      <c r="AB399" s="907"/>
      <c r="AC399" s="907"/>
      <c r="AD399" s="907"/>
      <c r="AE399" s="907"/>
      <c r="AF399" s="907"/>
      <c r="AG399" s="907"/>
      <c r="AH399" s="907"/>
      <c r="AI399" s="907"/>
      <c r="AJ399" s="907"/>
      <c r="AK399" s="907"/>
      <c r="AL399" s="907"/>
      <c r="AM399" s="907"/>
    </row>
    <row r="400" spans="1:39">
      <c r="A400" s="907"/>
      <c r="B400" s="907"/>
      <c r="C400" s="907"/>
      <c r="D400" s="907"/>
      <c r="E400" s="907"/>
      <c r="F400" s="907"/>
      <c r="G400" s="907"/>
      <c r="H400" s="907"/>
      <c r="I400" s="907"/>
      <c r="J400" s="907"/>
      <c r="K400" s="907"/>
      <c r="L400" s="907"/>
      <c r="M400" s="907"/>
      <c r="N400" s="907"/>
      <c r="O400" s="907"/>
      <c r="P400" s="907"/>
      <c r="Q400" s="907"/>
      <c r="R400" s="907"/>
      <c r="S400" s="907"/>
      <c r="T400" s="907"/>
      <c r="U400" s="907"/>
      <c r="V400" s="907"/>
      <c r="W400" s="907"/>
      <c r="X400" s="907"/>
      <c r="Y400" s="907"/>
      <c r="Z400" s="907"/>
      <c r="AA400" s="907"/>
      <c r="AB400" s="907"/>
      <c r="AC400" s="907"/>
      <c r="AD400" s="907"/>
      <c r="AE400" s="907"/>
      <c r="AF400" s="907"/>
      <c r="AG400" s="907"/>
      <c r="AH400" s="907"/>
      <c r="AI400" s="907"/>
      <c r="AJ400" s="907"/>
      <c r="AK400" s="907"/>
      <c r="AL400" s="907"/>
      <c r="AM400" s="907"/>
    </row>
    <row r="401" spans="1:39">
      <c r="A401" s="907"/>
      <c r="B401" s="907"/>
      <c r="C401" s="907"/>
      <c r="D401" s="907"/>
      <c r="E401" s="907"/>
      <c r="F401" s="907"/>
      <c r="G401" s="907"/>
      <c r="H401" s="907"/>
      <c r="I401" s="907"/>
      <c r="J401" s="907"/>
      <c r="K401" s="907"/>
      <c r="L401" s="907"/>
      <c r="M401" s="907"/>
      <c r="N401" s="907"/>
      <c r="O401" s="907"/>
      <c r="P401" s="907"/>
      <c r="Q401" s="907"/>
      <c r="R401" s="907"/>
      <c r="S401" s="907"/>
      <c r="T401" s="907"/>
      <c r="U401" s="907"/>
      <c r="V401" s="907"/>
      <c r="W401" s="907"/>
      <c r="X401" s="907"/>
      <c r="Y401" s="907"/>
      <c r="Z401" s="907"/>
      <c r="AA401" s="907"/>
      <c r="AB401" s="907"/>
      <c r="AC401" s="907"/>
      <c r="AD401" s="907"/>
      <c r="AE401" s="907"/>
      <c r="AF401" s="907"/>
      <c r="AG401" s="907"/>
      <c r="AH401" s="907"/>
      <c r="AI401" s="907"/>
      <c r="AJ401" s="907"/>
      <c r="AK401" s="907"/>
      <c r="AL401" s="907"/>
      <c r="AM401" s="907"/>
    </row>
    <row r="402" spans="1:39">
      <c r="A402" s="907"/>
      <c r="B402" s="907"/>
      <c r="C402" s="907"/>
      <c r="D402" s="907"/>
      <c r="E402" s="907"/>
      <c r="F402" s="907"/>
      <c r="G402" s="907"/>
      <c r="H402" s="907"/>
      <c r="I402" s="907"/>
      <c r="J402" s="907"/>
      <c r="K402" s="907"/>
      <c r="L402" s="907"/>
      <c r="M402" s="907"/>
      <c r="N402" s="907"/>
      <c r="O402" s="907"/>
      <c r="P402" s="907"/>
      <c r="Q402" s="907"/>
      <c r="R402" s="907"/>
      <c r="S402" s="907"/>
      <c r="T402" s="907"/>
      <c r="U402" s="907"/>
      <c r="V402" s="907"/>
      <c r="W402" s="907"/>
      <c r="X402" s="907"/>
      <c r="Y402" s="907"/>
      <c r="Z402" s="907"/>
      <c r="AA402" s="907"/>
      <c r="AB402" s="907"/>
      <c r="AC402" s="907"/>
      <c r="AD402" s="907"/>
      <c r="AE402" s="907"/>
      <c r="AF402" s="907"/>
      <c r="AG402" s="907"/>
      <c r="AH402" s="907"/>
      <c r="AI402" s="907"/>
      <c r="AJ402" s="907"/>
      <c r="AK402" s="907"/>
      <c r="AL402" s="907"/>
      <c r="AM402" s="907"/>
    </row>
    <row r="403" spans="1:39">
      <c r="A403" s="907"/>
      <c r="B403" s="907"/>
      <c r="C403" s="907"/>
      <c r="D403" s="907"/>
      <c r="E403" s="907"/>
      <c r="F403" s="907"/>
      <c r="G403" s="907"/>
      <c r="H403" s="907"/>
      <c r="I403" s="907"/>
      <c r="J403" s="907"/>
      <c r="K403" s="907"/>
      <c r="L403" s="907"/>
      <c r="M403" s="907"/>
      <c r="N403" s="907"/>
      <c r="O403" s="907"/>
      <c r="P403" s="907"/>
      <c r="Q403" s="907"/>
      <c r="R403" s="907"/>
      <c r="S403" s="907"/>
      <c r="T403" s="907"/>
      <c r="U403" s="907"/>
      <c r="V403" s="907"/>
      <c r="W403" s="907"/>
      <c r="X403" s="907"/>
      <c r="Y403" s="907"/>
      <c r="Z403" s="907"/>
      <c r="AA403" s="907"/>
      <c r="AB403" s="907"/>
      <c r="AC403" s="907"/>
      <c r="AD403" s="907"/>
      <c r="AE403" s="907"/>
      <c r="AF403" s="907"/>
      <c r="AG403" s="907"/>
      <c r="AH403" s="907"/>
      <c r="AI403" s="907"/>
      <c r="AJ403" s="907"/>
      <c r="AK403" s="907"/>
      <c r="AL403" s="907"/>
      <c r="AM403" s="907"/>
    </row>
    <row r="404" spans="1:39">
      <c r="A404" s="907"/>
      <c r="B404" s="907"/>
      <c r="C404" s="907"/>
      <c r="D404" s="907"/>
      <c r="E404" s="907"/>
      <c r="F404" s="907"/>
      <c r="G404" s="907"/>
      <c r="H404" s="907"/>
      <c r="I404" s="907"/>
      <c r="J404" s="907"/>
      <c r="K404" s="907"/>
      <c r="L404" s="907"/>
      <c r="M404" s="907"/>
      <c r="N404" s="907"/>
      <c r="O404" s="907"/>
      <c r="P404" s="907"/>
      <c r="Q404" s="907"/>
      <c r="R404" s="907"/>
      <c r="S404" s="907"/>
      <c r="T404" s="907"/>
      <c r="U404" s="907"/>
      <c r="V404" s="907"/>
      <c r="W404" s="907"/>
      <c r="X404" s="907"/>
      <c r="Y404" s="907"/>
      <c r="Z404" s="907"/>
      <c r="AA404" s="907"/>
      <c r="AB404" s="907"/>
      <c r="AC404" s="907"/>
      <c r="AD404" s="907"/>
      <c r="AE404" s="907"/>
      <c r="AF404" s="907"/>
      <c r="AG404" s="907"/>
      <c r="AH404" s="907"/>
      <c r="AI404" s="907"/>
      <c r="AJ404" s="907"/>
      <c r="AK404" s="907"/>
      <c r="AL404" s="907"/>
      <c r="AM404" s="907"/>
    </row>
    <row r="405" spans="1:39">
      <c r="A405" s="907"/>
      <c r="B405" s="907"/>
      <c r="C405" s="907"/>
      <c r="D405" s="907"/>
      <c r="E405" s="907"/>
      <c r="F405" s="907"/>
      <c r="G405" s="907"/>
      <c r="H405" s="907"/>
      <c r="I405" s="907"/>
      <c r="J405" s="907"/>
      <c r="K405" s="907"/>
      <c r="L405" s="907"/>
      <c r="M405" s="907"/>
      <c r="N405" s="907"/>
      <c r="O405" s="907"/>
      <c r="P405" s="907"/>
      <c r="Q405" s="907"/>
      <c r="R405" s="907"/>
      <c r="S405" s="907"/>
      <c r="T405" s="907"/>
      <c r="U405" s="907"/>
      <c r="V405" s="907"/>
      <c r="W405" s="907"/>
      <c r="X405" s="907"/>
      <c r="Y405" s="907"/>
      <c r="Z405" s="907"/>
      <c r="AA405" s="907"/>
      <c r="AB405" s="907"/>
      <c r="AC405" s="907"/>
      <c r="AD405" s="907"/>
      <c r="AE405" s="907"/>
      <c r="AF405" s="907"/>
      <c r="AG405" s="907"/>
      <c r="AH405" s="907"/>
      <c r="AI405" s="907"/>
      <c r="AJ405" s="907"/>
      <c r="AK405" s="907"/>
      <c r="AL405" s="907"/>
      <c r="AM405" s="907"/>
    </row>
    <row r="406" spans="1:39">
      <c r="A406" s="907"/>
      <c r="B406" s="907"/>
      <c r="C406" s="907"/>
      <c r="D406" s="907"/>
      <c r="E406" s="907"/>
      <c r="F406" s="907"/>
      <c r="G406" s="907"/>
      <c r="H406" s="907"/>
      <c r="I406" s="907"/>
      <c r="J406" s="907"/>
      <c r="K406" s="907"/>
      <c r="L406" s="907"/>
      <c r="M406" s="907"/>
      <c r="N406" s="907"/>
      <c r="O406" s="907"/>
      <c r="P406" s="907"/>
      <c r="Q406" s="907"/>
      <c r="R406" s="907"/>
      <c r="S406" s="907"/>
      <c r="T406" s="907"/>
      <c r="U406" s="907"/>
      <c r="V406" s="907"/>
      <c r="W406" s="907"/>
      <c r="X406" s="907"/>
      <c r="Y406" s="907"/>
      <c r="Z406" s="907"/>
      <c r="AA406" s="907"/>
      <c r="AB406" s="907"/>
      <c r="AC406" s="907"/>
      <c r="AD406" s="907"/>
      <c r="AE406" s="907"/>
      <c r="AF406" s="907"/>
      <c r="AG406" s="907"/>
      <c r="AH406" s="907"/>
      <c r="AI406" s="907"/>
      <c r="AJ406" s="907"/>
      <c r="AK406" s="907"/>
      <c r="AL406" s="907"/>
      <c r="AM406" s="907"/>
    </row>
    <row r="407" spans="1:39">
      <c r="A407" s="907"/>
      <c r="B407" s="907"/>
      <c r="C407" s="907"/>
      <c r="D407" s="907"/>
      <c r="E407" s="907"/>
      <c r="F407" s="907"/>
      <c r="G407" s="907"/>
      <c r="H407" s="907"/>
      <c r="I407" s="907"/>
      <c r="J407" s="907"/>
      <c r="K407" s="907"/>
      <c r="L407" s="907"/>
      <c r="M407" s="907"/>
      <c r="N407" s="907"/>
      <c r="O407" s="907"/>
      <c r="P407" s="907"/>
      <c r="Q407" s="907"/>
      <c r="R407" s="907"/>
      <c r="S407" s="907"/>
      <c r="T407" s="907"/>
      <c r="U407" s="907"/>
      <c r="V407" s="907"/>
      <c r="W407" s="907"/>
      <c r="X407" s="907"/>
      <c r="Y407" s="907"/>
      <c r="Z407" s="907"/>
      <c r="AA407" s="907"/>
      <c r="AB407" s="907"/>
      <c r="AC407" s="907"/>
      <c r="AD407" s="907"/>
      <c r="AE407" s="907"/>
      <c r="AF407" s="907"/>
      <c r="AG407" s="907"/>
      <c r="AH407" s="907"/>
      <c r="AI407" s="907"/>
      <c r="AJ407" s="907"/>
      <c r="AK407" s="907"/>
      <c r="AL407" s="907"/>
      <c r="AM407" s="907"/>
    </row>
    <row r="408" spans="1:39">
      <c r="A408" s="907"/>
      <c r="B408" s="907"/>
      <c r="C408" s="907"/>
      <c r="D408" s="907"/>
      <c r="E408" s="907"/>
      <c r="F408" s="907"/>
      <c r="G408" s="907"/>
      <c r="H408" s="907"/>
      <c r="I408" s="907"/>
      <c r="J408" s="907"/>
      <c r="K408" s="907"/>
      <c r="L408" s="907"/>
      <c r="M408" s="907"/>
      <c r="N408" s="907"/>
      <c r="O408" s="907"/>
      <c r="P408" s="907"/>
      <c r="Q408" s="907"/>
      <c r="R408" s="907"/>
      <c r="S408" s="907"/>
      <c r="T408" s="907"/>
      <c r="U408" s="907"/>
      <c r="V408" s="907"/>
      <c r="W408" s="907"/>
      <c r="X408" s="907"/>
      <c r="Y408" s="907"/>
      <c r="Z408" s="907"/>
      <c r="AA408" s="907"/>
      <c r="AB408" s="907"/>
      <c r="AC408" s="907"/>
      <c r="AD408" s="907"/>
      <c r="AE408" s="907"/>
      <c r="AF408" s="907"/>
      <c r="AG408" s="907"/>
      <c r="AH408" s="907"/>
      <c r="AI408" s="907"/>
      <c r="AJ408" s="907"/>
      <c r="AK408" s="907"/>
      <c r="AL408" s="907"/>
      <c r="AM408" s="907"/>
    </row>
    <row r="409" spans="1:39">
      <c r="A409" s="907"/>
      <c r="B409" s="907"/>
      <c r="C409" s="907"/>
      <c r="D409" s="907"/>
      <c r="E409" s="907"/>
      <c r="F409" s="907"/>
      <c r="G409" s="907"/>
      <c r="H409" s="907"/>
      <c r="I409" s="907"/>
      <c r="J409" s="907"/>
      <c r="K409" s="907"/>
      <c r="L409" s="907"/>
      <c r="M409" s="907"/>
      <c r="N409" s="907"/>
      <c r="O409" s="907"/>
      <c r="P409" s="907"/>
      <c r="Q409" s="907"/>
      <c r="R409" s="907"/>
      <c r="S409" s="907"/>
      <c r="T409" s="907"/>
      <c r="U409" s="907"/>
      <c r="V409" s="907"/>
      <c r="W409" s="907"/>
      <c r="X409" s="907"/>
      <c r="Y409" s="907"/>
      <c r="Z409" s="907"/>
      <c r="AA409" s="907"/>
      <c r="AB409" s="907"/>
      <c r="AC409" s="907"/>
      <c r="AD409" s="907"/>
      <c r="AE409" s="907"/>
      <c r="AF409" s="907"/>
      <c r="AG409" s="907"/>
      <c r="AH409" s="907"/>
      <c r="AI409" s="907"/>
      <c r="AJ409" s="907"/>
      <c r="AK409" s="907"/>
      <c r="AL409" s="907"/>
      <c r="AM409" s="907"/>
    </row>
    <row r="410" spans="1:39">
      <c r="A410" s="907"/>
      <c r="B410" s="907"/>
      <c r="C410" s="907"/>
      <c r="D410" s="907"/>
      <c r="E410" s="907"/>
      <c r="F410" s="907"/>
      <c r="G410" s="907"/>
      <c r="H410" s="907"/>
      <c r="I410" s="907"/>
      <c r="J410" s="907"/>
      <c r="K410" s="907"/>
      <c r="L410" s="907"/>
      <c r="M410" s="907"/>
      <c r="N410" s="907"/>
      <c r="O410" s="907"/>
      <c r="P410" s="907"/>
      <c r="Q410" s="907"/>
      <c r="R410" s="907"/>
      <c r="S410" s="907"/>
      <c r="T410" s="907"/>
      <c r="U410" s="907"/>
      <c r="V410" s="907"/>
      <c r="W410" s="907"/>
      <c r="X410" s="907"/>
      <c r="Y410" s="907"/>
      <c r="Z410" s="907"/>
      <c r="AA410" s="907"/>
      <c r="AB410" s="907"/>
      <c r="AC410" s="907"/>
      <c r="AD410" s="907"/>
      <c r="AE410" s="907"/>
      <c r="AF410" s="907"/>
      <c r="AG410" s="907"/>
      <c r="AH410" s="907"/>
      <c r="AI410" s="907"/>
      <c r="AJ410" s="907"/>
      <c r="AK410" s="907"/>
      <c r="AL410" s="907"/>
      <c r="AM410" s="907"/>
    </row>
    <row r="411" spans="1:39">
      <c r="A411" s="907"/>
      <c r="B411" s="907"/>
      <c r="C411" s="907"/>
      <c r="D411" s="907"/>
      <c r="E411" s="907"/>
      <c r="F411" s="907"/>
      <c r="G411" s="907"/>
      <c r="H411" s="907"/>
      <c r="I411" s="907"/>
      <c r="J411" s="907"/>
      <c r="K411" s="907"/>
      <c r="L411" s="907"/>
      <c r="M411" s="907"/>
      <c r="N411" s="907"/>
      <c r="O411" s="907"/>
      <c r="P411" s="907"/>
      <c r="Q411" s="907"/>
      <c r="R411" s="907"/>
      <c r="S411" s="907"/>
      <c r="T411" s="907"/>
      <c r="U411" s="907"/>
      <c r="V411" s="907"/>
      <c r="W411" s="907"/>
      <c r="X411" s="907"/>
      <c r="Y411" s="907"/>
      <c r="Z411" s="907"/>
      <c r="AA411" s="907"/>
      <c r="AB411" s="907"/>
      <c r="AC411" s="907"/>
      <c r="AD411" s="907"/>
      <c r="AE411" s="907"/>
      <c r="AF411" s="907"/>
      <c r="AG411" s="907"/>
      <c r="AH411" s="907"/>
      <c r="AI411" s="907"/>
      <c r="AJ411" s="907"/>
      <c r="AK411" s="907"/>
      <c r="AL411" s="907"/>
      <c r="AM411" s="907"/>
    </row>
    <row r="412" spans="1:39">
      <c r="A412" s="907"/>
      <c r="B412" s="907"/>
      <c r="C412" s="907"/>
      <c r="D412" s="907"/>
      <c r="E412" s="907"/>
      <c r="F412" s="907"/>
      <c r="G412" s="907"/>
      <c r="H412" s="907"/>
      <c r="I412" s="907"/>
      <c r="J412" s="907"/>
      <c r="K412" s="907"/>
      <c r="L412" s="907"/>
      <c r="M412" s="907"/>
      <c r="N412" s="907"/>
      <c r="O412" s="907"/>
      <c r="P412" s="907"/>
      <c r="Q412" s="907"/>
      <c r="R412" s="907"/>
      <c r="S412" s="907"/>
      <c r="T412" s="907"/>
      <c r="U412" s="907"/>
      <c r="V412" s="907"/>
      <c r="W412" s="907"/>
      <c r="X412" s="907"/>
      <c r="Y412" s="907"/>
      <c r="Z412" s="907"/>
      <c r="AA412" s="907"/>
      <c r="AB412" s="907"/>
      <c r="AC412" s="907"/>
      <c r="AD412" s="907"/>
      <c r="AE412" s="907"/>
      <c r="AF412" s="907"/>
      <c r="AG412" s="907"/>
      <c r="AH412" s="907"/>
      <c r="AI412" s="907"/>
      <c r="AJ412" s="907"/>
      <c r="AK412" s="907"/>
      <c r="AL412" s="907"/>
      <c r="AM412" s="907"/>
    </row>
    <row r="413" spans="1:39">
      <c r="A413" s="907"/>
      <c r="B413" s="907"/>
      <c r="C413" s="907"/>
      <c r="D413" s="907"/>
      <c r="E413" s="907"/>
      <c r="F413" s="907"/>
      <c r="G413" s="907"/>
      <c r="H413" s="907"/>
      <c r="I413" s="907"/>
      <c r="J413" s="907"/>
      <c r="K413" s="907"/>
      <c r="L413" s="907"/>
      <c r="M413" s="907"/>
      <c r="N413" s="907"/>
      <c r="O413" s="907"/>
      <c r="P413" s="907"/>
      <c r="Q413" s="907"/>
      <c r="R413" s="907"/>
      <c r="S413" s="907"/>
      <c r="T413" s="907"/>
      <c r="U413" s="907"/>
      <c r="V413" s="907"/>
      <c r="W413" s="907"/>
      <c r="X413" s="907"/>
      <c r="Y413" s="907"/>
      <c r="Z413" s="907"/>
      <c r="AA413" s="907"/>
      <c r="AB413" s="907"/>
      <c r="AC413" s="907"/>
      <c r="AD413" s="907"/>
      <c r="AE413" s="907"/>
      <c r="AF413" s="907"/>
      <c r="AG413" s="907"/>
      <c r="AH413" s="907"/>
      <c r="AI413" s="907"/>
      <c r="AJ413" s="907"/>
      <c r="AK413" s="907"/>
      <c r="AL413" s="907"/>
      <c r="AM413" s="907"/>
    </row>
    <row r="414" spans="1:39">
      <c r="A414" s="907"/>
      <c r="B414" s="907"/>
      <c r="C414" s="907"/>
      <c r="D414" s="907"/>
      <c r="E414" s="907"/>
      <c r="F414" s="907"/>
      <c r="G414" s="907"/>
      <c r="H414" s="907"/>
      <c r="I414" s="907"/>
      <c r="J414" s="907"/>
      <c r="K414" s="907"/>
      <c r="L414" s="907"/>
      <c r="M414" s="907"/>
      <c r="N414" s="907"/>
      <c r="O414" s="907"/>
      <c r="P414" s="907"/>
      <c r="Q414" s="907"/>
      <c r="R414" s="907"/>
      <c r="S414" s="907"/>
      <c r="T414" s="907"/>
      <c r="U414" s="907"/>
      <c r="V414" s="907"/>
      <c r="W414" s="907"/>
      <c r="X414" s="907"/>
      <c r="Y414" s="907"/>
      <c r="Z414" s="907"/>
      <c r="AA414" s="907"/>
      <c r="AB414" s="907"/>
      <c r="AC414" s="907"/>
      <c r="AD414" s="907"/>
      <c r="AE414" s="907"/>
      <c r="AF414" s="907"/>
      <c r="AG414" s="907"/>
      <c r="AH414" s="907"/>
      <c r="AI414" s="907"/>
      <c r="AJ414" s="907"/>
      <c r="AK414" s="907"/>
      <c r="AL414" s="907"/>
      <c r="AM414" s="907"/>
    </row>
    <row r="415" spans="1:39">
      <c r="A415" s="907"/>
      <c r="B415" s="907"/>
      <c r="C415" s="907"/>
      <c r="D415" s="907"/>
      <c r="E415" s="907"/>
      <c r="F415" s="907"/>
      <c r="G415" s="907"/>
      <c r="H415" s="907"/>
      <c r="I415" s="907"/>
      <c r="J415" s="907"/>
      <c r="K415" s="907"/>
      <c r="L415" s="907"/>
      <c r="M415" s="907"/>
      <c r="N415" s="907"/>
      <c r="O415" s="907"/>
      <c r="P415" s="907"/>
      <c r="Q415" s="907"/>
      <c r="R415" s="907"/>
      <c r="S415" s="907"/>
      <c r="T415" s="907"/>
      <c r="U415" s="907"/>
      <c r="V415" s="907"/>
      <c r="W415" s="907"/>
      <c r="X415" s="907"/>
      <c r="Y415" s="907"/>
      <c r="Z415" s="907"/>
      <c r="AA415" s="907"/>
      <c r="AB415" s="907"/>
      <c r="AC415" s="907"/>
      <c r="AD415" s="907"/>
      <c r="AE415" s="907"/>
      <c r="AF415" s="907"/>
      <c r="AG415" s="907"/>
      <c r="AH415" s="907"/>
      <c r="AI415" s="907"/>
      <c r="AJ415" s="907"/>
      <c r="AK415" s="907"/>
      <c r="AL415" s="907"/>
      <c r="AM415" s="907"/>
    </row>
    <row r="416" spans="1:39">
      <c r="A416" s="907"/>
      <c r="B416" s="907"/>
      <c r="C416" s="907"/>
      <c r="D416" s="907"/>
      <c r="E416" s="907"/>
      <c r="F416" s="907"/>
      <c r="G416" s="907"/>
      <c r="H416" s="907"/>
      <c r="I416" s="907"/>
      <c r="J416" s="907"/>
      <c r="K416" s="907"/>
      <c r="L416" s="907"/>
      <c r="M416" s="907"/>
      <c r="N416" s="907"/>
      <c r="O416" s="907"/>
      <c r="P416" s="907"/>
      <c r="Q416" s="907"/>
      <c r="R416" s="907"/>
      <c r="S416" s="907"/>
      <c r="T416" s="907"/>
      <c r="U416" s="907"/>
      <c r="V416" s="907"/>
      <c r="W416" s="907"/>
      <c r="X416" s="907"/>
      <c r="Y416" s="907"/>
      <c r="Z416" s="907"/>
      <c r="AA416" s="907"/>
      <c r="AB416" s="907"/>
      <c r="AC416" s="907"/>
      <c r="AD416" s="907"/>
      <c r="AE416" s="907"/>
      <c r="AF416" s="907"/>
      <c r="AG416" s="907"/>
      <c r="AH416" s="907"/>
      <c r="AI416" s="907"/>
      <c r="AJ416" s="907"/>
      <c r="AK416" s="907"/>
      <c r="AL416" s="907"/>
      <c r="AM416" s="907"/>
    </row>
    <row r="417" spans="1:39">
      <c r="A417" s="907"/>
      <c r="B417" s="907"/>
      <c r="C417" s="907"/>
      <c r="D417" s="907"/>
      <c r="E417" s="907"/>
      <c r="F417" s="907"/>
      <c r="G417" s="907"/>
      <c r="H417" s="907"/>
      <c r="I417" s="907"/>
      <c r="J417" s="907"/>
      <c r="K417" s="907"/>
      <c r="L417" s="907"/>
      <c r="M417" s="907"/>
      <c r="N417" s="907"/>
      <c r="O417" s="907"/>
      <c r="P417" s="907"/>
      <c r="Q417" s="907"/>
      <c r="R417" s="907"/>
      <c r="S417" s="907"/>
      <c r="T417" s="907"/>
      <c r="U417" s="907"/>
      <c r="V417" s="907"/>
      <c r="W417" s="907"/>
      <c r="X417" s="907"/>
      <c r="Y417" s="907"/>
      <c r="Z417" s="907"/>
      <c r="AA417" s="907"/>
      <c r="AB417" s="907"/>
      <c r="AC417" s="907"/>
      <c r="AD417" s="907"/>
      <c r="AE417" s="907"/>
      <c r="AF417" s="907"/>
      <c r="AG417" s="907"/>
      <c r="AH417" s="907"/>
      <c r="AI417" s="907"/>
      <c r="AJ417" s="907"/>
      <c r="AK417" s="907"/>
      <c r="AL417" s="907"/>
      <c r="AM417" s="907"/>
    </row>
    <row r="418" spans="1:39">
      <c r="A418" s="907"/>
      <c r="B418" s="907"/>
      <c r="C418" s="907"/>
      <c r="D418" s="907"/>
      <c r="E418" s="907"/>
      <c r="F418" s="907"/>
      <c r="G418" s="907"/>
      <c r="H418" s="907"/>
      <c r="I418" s="907"/>
      <c r="J418" s="907"/>
      <c r="K418" s="907"/>
      <c r="L418" s="907"/>
      <c r="M418" s="907"/>
      <c r="N418" s="907"/>
      <c r="O418" s="907"/>
      <c r="P418" s="907"/>
      <c r="Q418" s="907"/>
      <c r="R418" s="907"/>
      <c r="S418" s="907"/>
      <c r="T418" s="907"/>
      <c r="U418" s="907"/>
      <c r="V418" s="907"/>
      <c r="W418" s="907"/>
      <c r="X418" s="907"/>
      <c r="Y418" s="907"/>
      <c r="Z418" s="907"/>
      <c r="AA418" s="907"/>
      <c r="AB418" s="907"/>
      <c r="AC418" s="907"/>
      <c r="AD418" s="907"/>
      <c r="AE418" s="907"/>
      <c r="AF418" s="907"/>
      <c r="AG418" s="907"/>
      <c r="AH418" s="907"/>
      <c r="AI418" s="907"/>
      <c r="AJ418" s="907"/>
      <c r="AK418" s="907"/>
      <c r="AL418" s="907"/>
      <c r="AM418" s="907"/>
    </row>
    <row r="419" spans="1:39">
      <c r="A419" s="907"/>
      <c r="B419" s="907"/>
      <c r="C419" s="907"/>
      <c r="D419" s="907"/>
      <c r="E419" s="907"/>
      <c r="F419" s="907"/>
      <c r="G419" s="907"/>
      <c r="H419" s="907"/>
      <c r="I419" s="907"/>
      <c r="J419" s="907"/>
      <c r="K419" s="907"/>
      <c r="L419" s="907"/>
      <c r="M419" s="907"/>
      <c r="N419" s="907"/>
      <c r="O419" s="907"/>
      <c r="P419" s="907"/>
      <c r="Q419" s="907"/>
      <c r="R419" s="907"/>
      <c r="S419" s="907"/>
      <c r="T419" s="907"/>
      <c r="U419" s="907"/>
      <c r="V419" s="907"/>
      <c r="W419" s="907"/>
      <c r="X419" s="907"/>
      <c r="Y419" s="907"/>
      <c r="Z419" s="907"/>
      <c r="AA419" s="907"/>
      <c r="AB419" s="907"/>
      <c r="AC419" s="907"/>
      <c r="AD419" s="907"/>
      <c r="AE419" s="907"/>
      <c r="AF419" s="907"/>
      <c r="AG419" s="907"/>
      <c r="AH419" s="907"/>
      <c r="AI419" s="907"/>
      <c r="AJ419" s="907"/>
      <c r="AK419" s="907"/>
      <c r="AL419" s="907"/>
      <c r="AM419" s="907"/>
    </row>
    <row r="420" spans="1:39">
      <c r="A420" s="907"/>
      <c r="B420" s="907"/>
      <c r="C420" s="907"/>
      <c r="D420" s="907"/>
      <c r="E420" s="907"/>
      <c r="F420" s="907"/>
      <c r="G420" s="907"/>
      <c r="H420" s="907"/>
      <c r="I420" s="907"/>
      <c r="J420" s="907"/>
      <c r="K420" s="907"/>
      <c r="L420" s="907"/>
      <c r="M420" s="907"/>
      <c r="N420" s="907"/>
      <c r="O420" s="907"/>
      <c r="P420" s="907"/>
      <c r="Q420" s="907"/>
      <c r="R420" s="907"/>
      <c r="S420" s="907"/>
      <c r="T420" s="907"/>
      <c r="U420" s="907"/>
      <c r="V420" s="907"/>
      <c r="W420" s="907"/>
      <c r="X420" s="907"/>
      <c r="Y420" s="907"/>
      <c r="Z420" s="907"/>
      <c r="AA420" s="907"/>
      <c r="AB420" s="907"/>
      <c r="AC420" s="907"/>
      <c r="AD420" s="907"/>
      <c r="AE420" s="907"/>
      <c r="AF420" s="907"/>
      <c r="AG420" s="907"/>
      <c r="AH420" s="907"/>
      <c r="AI420" s="907"/>
      <c r="AJ420" s="907"/>
      <c r="AK420" s="907"/>
      <c r="AL420" s="907"/>
      <c r="AM420" s="907"/>
    </row>
    <row r="421" spans="1:39">
      <c r="A421" s="907"/>
      <c r="B421" s="907"/>
      <c r="C421" s="907"/>
      <c r="D421" s="907"/>
      <c r="E421" s="907"/>
      <c r="F421" s="907"/>
      <c r="G421" s="907"/>
      <c r="H421" s="907"/>
      <c r="I421" s="907"/>
      <c r="J421" s="907"/>
      <c r="K421" s="907"/>
      <c r="L421" s="907"/>
      <c r="M421" s="907"/>
      <c r="N421" s="907"/>
      <c r="O421" s="907"/>
      <c r="P421" s="907"/>
      <c r="Q421" s="907"/>
      <c r="R421" s="907"/>
      <c r="S421" s="907"/>
      <c r="T421" s="907"/>
      <c r="U421" s="907"/>
      <c r="V421" s="907"/>
      <c r="W421" s="907"/>
      <c r="X421" s="907"/>
      <c r="Y421" s="907"/>
      <c r="Z421" s="907"/>
      <c r="AA421" s="907"/>
      <c r="AB421" s="907"/>
      <c r="AC421" s="907"/>
      <c r="AD421" s="907"/>
      <c r="AE421" s="907"/>
      <c r="AF421" s="907"/>
      <c r="AG421" s="907"/>
      <c r="AH421" s="907"/>
      <c r="AI421" s="907"/>
      <c r="AJ421" s="907"/>
      <c r="AK421" s="907"/>
      <c r="AL421" s="907"/>
      <c r="AM421" s="907"/>
    </row>
    <row r="422" spans="1:39">
      <c r="A422" s="907"/>
      <c r="B422" s="907"/>
      <c r="C422" s="907"/>
      <c r="D422" s="907"/>
      <c r="E422" s="907"/>
      <c r="F422" s="907"/>
      <c r="G422" s="907"/>
      <c r="H422" s="907"/>
      <c r="I422" s="907"/>
      <c r="J422" s="907"/>
      <c r="K422" s="907"/>
      <c r="L422" s="907"/>
      <c r="M422" s="907"/>
      <c r="N422" s="907"/>
      <c r="O422" s="907"/>
      <c r="P422" s="907"/>
      <c r="Q422" s="907"/>
      <c r="R422" s="907"/>
      <c r="S422" s="907"/>
      <c r="T422" s="907"/>
      <c r="U422" s="907"/>
      <c r="V422" s="907"/>
      <c r="W422" s="907"/>
      <c r="X422" s="907"/>
      <c r="Y422" s="907"/>
      <c r="Z422" s="907"/>
      <c r="AA422" s="907"/>
      <c r="AB422" s="907"/>
      <c r="AC422" s="907"/>
      <c r="AD422" s="907"/>
      <c r="AE422" s="907"/>
      <c r="AF422" s="907"/>
      <c r="AG422" s="907"/>
      <c r="AH422" s="907"/>
      <c r="AI422" s="907"/>
      <c r="AJ422" s="907"/>
      <c r="AK422" s="907"/>
      <c r="AL422" s="907"/>
      <c r="AM422" s="907"/>
    </row>
    <row r="423" spans="1:39">
      <c r="A423" s="907"/>
      <c r="B423" s="907"/>
      <c r="C423" s="907"/>
      <c r="D423" s="907"/>
      <c r="E423" s="907"/>
      <c r="F423" s="907"/>
      <c r="G423" s="907"/>
      <c r="H423" s="907"/>
      <c r="I423" s="907"/>
      <c r="J423" s="907"/>
      <c r="K423" s="907"/>
      <c r="L423" s="907"/>
      <c r="M423" s="907"/>
      <c r="N423" s="907"/>
      <c r="O423" s="907"/>
      <c r="P423" s="907"/>
      <c r="Q423" s="907"/>
      <c r="R423" s="907"/>
      <c r="S423" s="907"/>
      <c r="T423" s="907"/>
      <c r="U423" s="907"/>
      <c r="V423" s="907"/>
      <c r="W423" s="907"/>
      <c r="X423" s="907"/>
      <c r="Y423" s="907"/>
      <c r="Z423" s="907"/>
      <c r="AA423" s="907"/>
      <c r="AB423" s="907"/>
      <c r="AC423" s="907"/>
      <c r="AD423" s="907"/>
      <c r="AE423" s="907"/>
      <c r="AF423" s="907"/>
      <c r="AG423" s="907"/>
      <c r="AH423" s="907"/>
      <c r="AI423" s="907"/>
      <c r="AJ423" s="907"/>
      <c r="AK423" s="907"/>
      <c r="AL423" s="907"/>
      <c r="AM423" s="907"/>
    </row>
    <row r="424" spans="1:39">
      <c r="A424" s="907"/>
      <c r="B424" s="907"/>
      <c r="C424" s="907"/>
      <c r="D424" s="907"/>
      <c r="E424" s="907"/>
      <c r="F424" s="907"/>
      <c r="G424" s="907"/>
      <c r="H424" s="907"/>
      <c r="I424" s="907"/>
      <c r="J424" s="907"/>
      <c r="K424" s="907"/>
      <c r="L424" s="907"/>
      <c r="M424" s="907"/>
      <c r="N424" s="907"/>
      <c r="O424" s="907"/>
      <c r="P424" s="907"/>
      <c r="Q424" s="907"/>
      <c r="R424" s="907"/>
      <c r="S424" s="907"/>
      <c r="T424" s="907"/>
      <c r="U424" s="907"/>
      <c r="V424" s="907"/>
      <c r="W424" s="907"/>
      <c r="X424" s="907"/>
      <c r="Y424" s="907"/>
      <c r="Z424" s="907"/>
      <c r="AA424" s="907"/>
      <c r="AB424" s="907"/>
      <c r="AC424" s="907"/>
      <c r="AD424" s="907"/>
      <c r="AE424" s="907"/>
      <c r="AF424" s="907"/>
      <c r="AG424" s="907"/>
      <c r="AH424" s="907"/>
      <c r="AI424" s="907"/>
      <c r="AJ424" s="907"/>
      <c r="AK424" s="907"/>
      <c r="AL424" s="907"/>
      <c r="AM424" s="907"/>
    </row>
    <row r="425" spans="1:39">
      <c r="A425" s="907"/>
      <c r="B425" s="907"/>
      <c r="C425" s="907"/>
      <c r="D425" s="907"/>
      <c r="E425" s="907"/>
      <c r="F425" s="907"/>
      <c r="G425" s="907"/>
      <c r="H425" s="907"/>
      <c r="I425" s="907"/>
      <c r="J425" s="907"/>
      <c r="K425" s="907"/>
      <c r="L425" s="907"/>
      <c r="M425" s="907"/>
      <c r="N425" s="907"/>
      <c r="O425" s="907"/>
      <c r="P425" s="907"/>
      <c r="Q425" s="907"/>
      <c r="R425" s="907"/>
      <c r="S425" s="907"/>
      <c r="T425" s="907"/>
      <c r="U425" s="907"/>
      <c r="V425" s="907"/>
      <c r="W425" s="907"/>
      <c r="X425" s="907"/>
      <c r="Y425" s="907"/>
      <c r="Z425" s="907"/>
      <c r="AA425" s="907"/>
      <c r="AB425" s="907"/>
      <c r="AC425" s="907"/>
      <c r="AD425" s="907"/>
      <c r="AE425" s="907"/>
      <c r="AF425" s="907"/>
      <c r="AG425" s="907"/>
      <c r="AH425" s="907"/>
      <c r="AI425" s="907"/>
      <c r="AJ425" s="907"/>
      <c r="AK425" s="907"/>
      <c r="AL425" s="907"/>
      <c r="AM425" s="907"/>
    </row>
    <row r="426" spans="1:39">
      <c r="A426" s="907"/>
      <c r="B426" s="907"/>
      <c r="C426" s="907"/>
      <c r="D426" s="907"/>
      <c r="E426" s="907"/>
      <c r="F426" s="907"/>
      <c r="G426" s="907"/>
      <c r="H426" s="907"/>
      <c r="I426" s="907"/>
      <c r="J426" s="907"/>
      <c r="K426" s="907"/>
      <c r="L426" s="907"/>
      <c r="M426" s="907"/>
      <c r="N426" s="907"/>
      <c r="O426" s="907"/>
      <c r="P426" s="907"/>
      <c r="Q426" s="907"/>
      <c r="R426" s="907"/>
      <c r="S426" s="907"/>
      <c r="T426" s="907"/>
      <c r="U426" s="907"/>
      <c r="V426" s="907"/>
      <c r="W426" s="907"/>
      <c r="X426" s="907"/>
      <c r="Y426" s="907"/>
      <c r="Z426" s="907"/>
      <c r="AA426" s="907"/>
      <c r="AB426" s="907"/>
      <c r="AC426" s="907"/>
      <c r="AD426" s="907"/>
      <c r="AE426" s="907"/>
      <c r="AF426" s="907"/>
      <c r="AG426" s="907"/>
      <c r="AH426" s="907"/>
      <c r="AI426" s="907"/>
      <c r="AJ426" s="907"/>
      <c r="AK426" s="907"/>
      <c r="AL426" s="907"/>
      <c r="AM426" s="907"/>
    </row>
    <row r="427" spans="1:39">
      <c r="A427" s="907"/>
      <c r="B427" s="907"/>
      <c r="C427" s="907"/>
      <c r="D427" s="907"/>
      <c r="E427" s="907"/>
      <c r="F427" s="907"/>
      <c r="G427" s="907"/>
      <c r="H427" s="907"/>
      <c r="I427" s="907"/>
      <c r="J427" s="907"/>
      <c r="K427" s="907"/>
      <c r="L427" s="907"/>
      <c r="M427" s="907"/>
      <c r="N427" s="907"/>
      <c r="O427" s="907"/>
      <c r="P427" s="907"/>
      <c r="Q427" s="907"/>
      <c r="R427" s="907"/>
      <c r="S427" s="907"/>
      <c r="T427" s="907"/>
      <c r="U427" s="907"/>
      <c r="V427" s="907"/>
      <c r="W427" s="907"/>
      <c r="X427" s="907"/>
      <c r="Y427" s="907"/>
      <c r="Z427" s="907"/>
      <c r="AA427" s="907"/>
      <c r="AB427" s="907"/>
      <c r="AC427" s="907"/>
      <c r="AD427" s="907"/>
      <c r="AE427" s="907"/>
      <c r="AF427" s="907"/>
      <c r="AG427" s="907"/>
      <c r="AH427" s="907"/>
      <c r="AI427" s="907"/>
      <c r="AJ427" s="907"/>
      <c r="AK427" s="907"/>
      <c r="AL427" s="907"/>
      <c r="AM427" s="907"/>
    </row>
    <row r="428" spans="1:39">
      <c r="A428" s="907"/>
      <c r="B428" s="907"/>
      <c r="C428" s="907"/>
      <c r="D428" s="907"/>
      <c r="E428" s="907"/>
      <c r="F428" s="907"/>
      <c r="G428" s="907"/>
      <c r="H428" s="907"/>
      <c r="I428" s="907"/>
      <c r="J428" s="907"/>
      <c r="K428" s="907"/>
      <c r="L428" s="907"/>
      <c r="M428" s="907"/>
      <c r="N428" s="907"/>
      <c r="O428" s="907"/>
      <c r="P428" s="907"/>
      <c r="Q428" s="907"/>
      <c r="R428" s="907"/>
      <c r="S428" s="907"/>
      <c r="T428" s="907"/>
      <c r="U428" s="907"/>
      <c r="V428" s="907"/>
      <c r="W428" s="907"/>
      <c r="X428" s="907"/>
      <c r="Y428" s="907"/>
      <c r="Z428" s="907"/>
      <c r="AA428" s="907"/>
      <c r="AB428" s="907"/>
      <c r="AC428" s="907"/>
      <c r="AD428" s="907"/>
      <c r="AE428" s="907"/>
      <c r="AF428" s="907"/>
      <c r="AG428" s="907"/>
      <c r="AH428" s="907"/>
      <c r="AI428" s="907"/>
      <c r="AJ428" s="907"/>
      <c r="AK428" s="907"/>
      <c r="AL428" s="907"/>
      <c r="AM428" s="907"/>
    </row>
    <row r="429" spans="1:39">
      <c r="A429" s="907"/>
      <c r="B429" s="907"/>
      <c r="C429" s="907"/>
      <c r="D429" s="907"/>
      <c r="E429" s="907"/>
      <c r="F429" s="907"/>
      <c r="G429" s="907"/>
      <c r="H429" s="907"/>
      <c r="I429" s="907"/>
      <c r="J429" s="907"/>
      <c r="K429" s="907"/>
      <c r="L429" s="907"/>
      <c r="M429" s="907"/>
      <c r="N429" s="907"/>
      <c r="O429" s="907"/>
      <c r="P429" s="907"/>
      <c r="Q429" s="907"/>
      <c r="R429" s="907"/>
      <c r="S429" s="907"/>
      <c r="T429" s="907"/>
      <c r="U429" s="907"/>
      <c r="V429" s="907"/>
      <c r="W429" s="907"/>
      <c r="X429" s="907"/>
      <c r="Y429" s="907"/>
      <c r="Z429" s="907"/>
      <c r="AA429" s="907"/>
      <c r="AB429" s="907"/>
      <c r="AC429" s="907"/>
      <c r="AD429" s="907"/>
      <c r="AE429" s="907"/>
      <c r="AF429" s="907"/>
      <c r="AG429" s="907"/>
      <c r="AH429" s="907"/>
      <c r="AI429" s="907"/>
      <c r="AJ429" s="907"/>
      <c r="AK429" s="907"/>
      <c r="AL429" s="907"/>
      <c r="AM429" s="907"/>
    </row>
    <row r="430" spans="1:39">
      <c r="A430" s="907"/>
      <c r="B430" s="907"/>
      <c r="C430" s="907"/>
      <c r="D430" s="907"/>
      <c r="E430" s="907"/>
      <c r="F430" s="907"/>
      <c r="G430" s="907"/>
      <c r="H430" s="907"/>
      <c r="I430" s="907"/>
      <c r="J430" s="907"/>
      <c r="K430" s="907"/>
      <c r="L430" s="907"/>
      <c r="M430" s="907"/>
      <c r="N430" s="907"/>
      <c r="O430" s="907"/>
      <c r="P430" s="907"/>
      <c r="Q430" s="907"/>
      <c r="R430" s="907"/>
      <c r="S430" s="907"/>
      <c r="T430" s="907"/>
      <c r="U430" s="907"/>
      <c r="V430" s="907"/>
      <c r="W430" s="907"/>
      <c r="X430" s="907"/>
      <c r="Y430" s="907"/>
      <c r="Z430" s="907"/>
      <c r="AA430" s="907"/>
      <c r="AB430" s="907"/>
      <c r="AC430" s="907"/>
      <c r="AD430" s="907"/>
      <c r="AE430" s="907"/>
      <c r="AF430" s="907"/>
      <c r="AG430" s="907"/>
      <c r="AH430" s="907"/>
      <c r="AI430" s="907"/>
      <c r="AJ430" s="907"/>
      <c r="AK430" s="907"/>
      <c r="AL430" s="907"/>
      <c r="AM430" s="907"/>
    </row>
    <row r="431" spans="1:39">
      <c r="A431" s="907"/>
      <c r="B431" s="907"/>
      <c r="C431" s="907"/>
      <c r="D431" s="907"/>
      <c r="E431" s="907"/>
      <c r="F431" s="907"/>
      <c r="G431" s="907"/>
      <c r="H431" s="907"/>
      <c r="I431" s="907"/>
      <c r="J431" s="907"/>
      <c r="K431" s="907"/>
      <c r="L431" s="907"/>
      <c r="M431" s="907"/>
      <c r="N431" s="907"/>
      <c r="O431" s="907"/>
      <c r="P431" s="907"/>
      <c r="Q431" s="907"/>
      <c r="R431" s="907"/>
      <c r="S431" s="907"/>
      <c r="T431" s="907"/>
      <c r="U431" s="907"/>
      <c r="V431" s="907"/>
      <c r="W431" s="907"/>
      <c r="X431" s="907"/>
      <c r="Y431" s="907"/>
      <c r="Z431" s="907"/>
      <c r="AA431" s="907"/>
      <c r="AB431" s="907"/>
      <c r="AC431" s="907"/>
      <c r="AD431" s="907"/>
      <c r="AE431" s="907"/>
      <c r="AF431" s="907"/>
      <c r="AG431" s="907"/>
      <c r="AH431" s="907"/>
      <c r="AI431" s="907"/>
      <c r="AJ431" s="907"/>
      <c r="AK431" s="907"/>
      <c r="AL431" s="907"/>
      <c r="AM431" s="907"/>
    </row>
    <row r="432" spans="1:39">
      <c r="A432" s="907"/>
      <c r="B432" s="907"/>
      <c r="C432" s="907"/>
      <c r="D432" s="907"/>
      <c r="E432" s="907"/>
      <c r="F432" s="907"/>
      <c r="G432" s="907"/>
      <c r="H432" s="907"/>
      <c r="I432" s="907"/>
      <c r="J432" s="907"/>
      <c r="K432" s="907"/>
      <c r="L432" s="907"/>
      <c r="M432" s="907"/>
      <c r="N432" s="907"/>
      <c r="O432" s="907"/>
      <c r="P432" s="907"/>
      <c r="Q432" s="907"/>
      <c r="R432" s="907"/>
      <c r="S432" s="907"/>
      <c r="T432" s="907"/>
      <c r="U432" s="907"/>
      <c r="V432" s="907"/>
      <c r="W432" s="907"/>
      <c r="X432" s="907"/>
      <c r="Y432" s="907"/>
      <c r="Z432" s="907"/>
      <c r="AA432" s="907"/>
      <c r="AB432" s="907"/>
      <c r="AC432" s="907"/>
      <c r="AD432" s="907"/>
      <c r="AE432" s="907"/>
      <c r="AF432" s="907"/>
      <c r="AG432" s="907"/>
      <c r="AH432" s="907"/>
      <c r="AI432" s="907"/>
      <c r="AJ432" s="907"/>
      <c r="AK432" s="907"/>
      <c r="AL432" s="907"/>
      <c r="AM432" s="907"/>
    </row>
    <row r="433" spans="1:39">
      <c r="A433" s="907"/>
      <c r="B433" s="907"/>
      <c r="C433" s="907"/>
      <c r="D433" s="907"/>
      <c r="E433" s="907"/>
      <c r="F433" s="907"/>
      <c r="G433" s="907"/>
      <c r="H433" s="907"/>
      <c r="I433" s="907"/>
      <c r="J433" s="907"/>
      <c r="K433" s="907"/>
      <c r="L433" s="907"/>
      <c r="M433" s="907"/>
      <c r="N433" s="907"/>
      <c r="O433" s="907"/>
      <c r="P433" s="907"/>
      <c r="Q433" s="907"/>
      <c r="R433" s="907"/>
      <c r="S433" s="907"/>
      <c r="T433" s="907"/>
      <c r="U433" s="907"/>
      <c r="V433" s="907"/>
      <c r="W433" s="907"/>
      <c r="X433" s="907"/>
      <c r="Y433" s="907"/>
      <c r="Z433" s="907"/>
      <c r="AA433" s="907"/>
      <c r="AB433" s="907"/>
      <c r="AC433" s="907"/>
      <c r="AD433" s="907"/>
      <c r="AE433" s="907"/>
      <c r="AF433" s="907"/>
      <c r="AG433" s="907"/>
      <c r="AH433" s="907"/>
      <c r="AI433" s="907"/>
      <c r="AJ433" s="907"/>
      <c r="AK433" s="907"/>
      <c r="AL433" s="907"/>
      <c r="AM433" s="907"/>
    </row>
    <row r="434" spans="1:39">
      <c r="A434" s="907"/>
      <c r="B434" s="907"/>
      <c r="C434" s="907"/>
      <c r="D434" s="907"/>
      <c r="E434" s="907"/>
      <c r="F434" s="907"/>
      <c r="G434" s="907"/>
      <c r="H434" s="907"/>
      <c r="I434" s="907"/>
      <c r="J434" s="907"/>
      <c r="K434" s="907"/>
      <c r="L434" s="907"/>
      <c r="M434" s="907"/>
      <c r="N434" s="907"/>
      <c r="O434" s="907"/>
      <c r="P434" s="907"/>
      <c r="Q434" s="907"/>
      <c r="R434" s="907"/>
      <c r="S434" s="907"/>
      <c r="T434" s="907"/>
      <c r="U434" s="907"/>
      <c r="V434" s="907"/>
      <c r="W434" s="907"/>
      <c r="X434" s="907"/>
      <c r="Y434" s="907"/>
      <c r="Z434" s="907"/>
      <c r="AA434" s="907"/>
      <c r="AB434" s="907"/>
      <c r="AC434" s="907"/>
      <c r="AD434" s="907"/>
      <c r="AE434" s="907"/>
      <c r="AF434" s="907"/>
      <c r="AG434" s="907"/>
      <c r="AH434" s="907"/>
      <c r="AI434" s="907"/>
      <c r="AJ434" s="907"/>
      <c r="AK434" s="907"/>
      <c r="AL434" s="907"/>
      <c r="AM434" s="907"/>
    </row>
    <row r="435" spans="1:39">
      <c r="A435" s="907"/>
      <c r="B435" s="907"/>
      <c r="C435" s="907"/>
      <c r="D435" s="907"/>
      <c r="E435" s="907"/>
      <c r="F435" s="907"/>
      <c r="G435" s="907"/>
      <c r="H435" s="907"/>
      <c r="I435" s="907"/>
      <c r="J435" s="907"/>
      <c r="K435" s="907"/>
      <c r="L435" s="907"/>
      <c r="M435" s="907"/>
      <c r="N435" s="907"/>
      <c r="O435" s="907"/>
      <c r="P435" s="907"/>
      <c r="Q435" s="907"/>
      <c r="R435" s="907"/>
      <c r="S435" s="907"/>
      <c r="T435" s="907"/>
      <c r="U435" s="907"/>
      <c r="V435" s="907"/>
      <c r="W435" s="907"/>
      <c r="X435" s="907"/>
      <c r="Y435" s="907"/>
      <c r="Z435" s="907"/>
      <c r="AA435" s="907"/>
      <c r="AB435" s="907"/>
      <c r="AC435" s="907"/>
      <c r="AD435" s="907"/>
      <c r="AE435" s="907"/>
      <c r="AF435" s="907"/>
      <c r="AG435" s="907"/>
      <c r="AH435" s="907"/>
      <c r="AI435" s="907"/>
      <c r="AJ435" s="907"/>
      <c r="AK435" s="907"/>
      <c r="AL435" s="907"/>
      <c r="AM435" s="907"/>
    </row>
    <row r="436" spans="1:39">
      <c r="A436" s="907"/>
      <c r="B436" s="907"/>
      <c r="C436" s="907"/>
      <c r="D436" s="907"/>
      <c r="E436" s="907"/>
      <c r="F436" s="907"/>
      <c r="G436" s="907"/>
      <c r="H436" s="907"/>
      <c r="I436" s="907"/>
      <c r="J436" s="907"/>
      <c r="K436" s="907"/>
      <c r="L436" s="907"/>
      <c r="M436" s="907"/>
      <c r="N436" s="907"/>
      <c r="O436" s="907"/>
      <c r="P436" s="907"/>
      <c r="Q436" s="907"/>
      <c r="R436" s="907"/>
      <c r="S436" s="907"/>
      <c r="T436" s="907"/>
      <c r="U436" s="907"/>
      <c r="V436" s="907"/>
      <c r="W436" s="907"/>
      <c r="X436" s="907"/>
      <c r="Y436" s="907"/>
      <c r="Z436" s="907"/>
      <c r="AA436" s="907"/>
      <c r="AB436" s="907"/>
      <c r="AC436" s="907"/>
      <c r="AD436" s="907"/>
      <c r="AE436" s="907"/>
      <c r="AF436" s="907"/>
      <c r="AG436" s="907"/>
      <c r="AH436" s="907"/>
      <c r="AI436" s="907"/>
      <c r="AJ436" s="907"/>
      <c r="AK436" s="907"/>
      <c r="AL436" s="907"/>
      <c r="AM436" s="907"/>
    </row>
    <row r="437" spans="1:39">
      <c r="A437" s="907"/>
      <c r="B437" s="907"/>
      <c r="C437" s="907"/>
      <c r="D437" s="907"/>
      <c r="E437" s="907"/>
      <c r="F437" s="907"/>
      <c r="G437" s="907"/>
      <c r="H437" s="907"/>
      <c r="I437" s="907"/>
      <c r="J437" s="907"/>
      <c r="K437" s="907"/>
      <c r="L437" s="907"/>
      <c r="M437" s="907"/>
      <c r="N437" s="907"/>
      <c r="O437" s="907"/>
      <c r="P437" s="907"/>
      <c r="Q437" s="907"/>
      <c r="R437" s="907"/>
      <c r="S437" s="907"/>
      <c r="T437" s="907"/>
      <c r="U437" s="907"/>
      <c r="V437" s="907"/>
      <c r="W437" s="907"/>
      <c r="X437" s="907"/>
      <c r="Y437" s="907"/>
      <c r="Z437" s="907"/>
      <c r="AA437" s="907"/>
      <c r="AB437" s="907"/>
      <c r="AC437" s="907"/>
      <c r="AD437" s="907"/>
      <c r="AE437" s="907"/>
      <c r="AF437" s="907"/>
      <c r="AG437" s="907"/>
      <c r="AH437" s="907"/>
      <c r="AI437" s="907"/>
      <c r="AJ437" s="907"/>
      <c r="AK437" s="907"/>
      <c r="AL437" s="907"/>
      <c r="AM437" s="907"/>
    </row>
    <row r="438" spans="1:39">
      <c r="A438" s="907"/>
      <c r="B438" s="907"/>
      <c r="C438" s="907"/>
      <c r="D438" s="907"/>
      <c r="E438" s="907"/>
      <c r="F438" s="907"/>
      <c r="G438" s="907"/>
      <c r="H438" s="907"/>
      <c r="I438" s="907"/>
      <c r="J438" s="907"/>
      <c r="K438" s="907"/>
      <c r="L438" s="907"/>
      <c r="M438" s="907"/>
      <c r="N438" s="907"/>
      <c r="O438" s="907"/>
      <c r="P438" s="907"/>
      <c r="Q438" s="907"/>
      <c r="R438" s="907"/>
      <c r="S438" s="907"/>
      <c r="T438" s="907"/>
      <c r="U438" s="907"/>
      <c r="V438" s="907"/>
      <c r="W438" s="907"/>
      <c r="X438" s="907"/>
      <c r="Y438" s="907"/>
      <c r="Z438" s="907"/>
      <c r="AA438" s="907"/>
      <c r="AB438" s="907"/>
      <c r="AC438" s="907"/>
      <c r="AD438" s="907"/>
      <c r="AE438" s="907"/>
      <c r="AF438" s="907"/>
      <c r="AG438" s="907"/>
      <c r="AH438" s="907"/>
      <c r="AI438" s="907"/>
      <c r="AJ438" s="907"/>
      <c r="AK438" s="907"/>
      <c r="AL438" s="907"/>
      <c r="AM438" s="907"/>
    </row>
    <row r="439" spans="1:39">
      <c r="A439" s="907"/>
      <c r="B439" s="907"/>
      <c r="C439" s="907"/>
      <c r="D439" s="907"/>
      <c r="E439" s="907"/>
      <c r="F439" s="907"/>
      <c r="G439" s="907"/>
      <c r="H439" s="907"/>
      <c r="I439" s="907"/>
      <c r="J439" s="907"/>
      <c r="K439" s="907"/>
      <c r="L439" s="907"/>
      <c r="M439" s="907"/>
      <c r="N439" s="907"/>
      <c r="O439" s="907"/>
      <c r="P439" s="907"/>
      <c r="Q439" s="907"/>
      <c r="R439" s="907"/>
      <c r="S439" s="907"/>
      <c r="T439" s="907"/>
      <c r="U439" s="907"/>
      <c r="V439" s="907"/>
      <c r="W439" s="907"/>
      <c r="X439" s="907"/>
      <c r="Y439" s="907"/>
      <c r="Z439" s="907"/>
      <c r="AA439" s="907"/>
      <c r="AB439" s="907"/>
      <c r="AC439" s="907"/>
      <c r="AD439" s="907"/>
      <c r="AE439" s="907"/>
      <c r="AF439" s="907"/>
      <c r="AG439" s="907"/>
      <c r="AH439" s="907"/>
      <c r="AI439" s="907"/>
      <c r="AJ439" s="907"/>
      <c r="AK439" s="907"/>
      <c r="AL439" s="907"/>
      <c r="AM439" s="907"/>
    </row>
    <row r="440" spans="1:39">
      <c r="A440" s="907"/>
      <c r="B440" s="907"/>
      <c r="C440" s="907"/>
      <c r="D440" s="907"/>
      <c r="E440" s="907"/>
      <c r="F440" s="907"/>
      <c r="G440" s="907"/>
      <c r="H440" s="907"/>
      <c r="I440" s="907"/>
      <c r="J440" s="907"/>
      <c r="K440" s="907"/>
      <c r="L440" s="907"/>
      <c r="M440" s="907"/>
      <c r="N440" s="907"/>
      <c r="O440" s="907"/>
      <c r="P440" s="907"/>
      <c r="Q440" s="907"/>
      <c r="R440" s="907"/>
      <c r="S440" s="907"/>
      <c r="T440" s="907"/>
      <c r="U440" s="907"/>
      <c r="V440" s="907"/>
      <c r="W440" s="907"/>
      <c r="X440" s="907"/>
      <c r="Y440" s="907"/>
      <c r="Z440" s="907"/>
      <c r="AA440" s="907"/>
      <c r="AB440" s="907"/>
      <c r="AC440" s="907"/>
      <c r="AD440" s="907"/>
      <c r="AE440" s="907"/>
      <c r="AF440" s="907"/>
      <c r="AG440" s="907"/>
      <c r="AH440" s="907"/>
      <c r="AI440" s="907"/>
      <c r="AJ440" s="907"/>
      <c r="AK440" s="907"/>
      <c r="AL440" s="907"/>
      <c r="AM440" s="907"/>
    </row>
    <row r="441" spans="1:39">
      <c r="A441" s="907"/>
      <c r="B441" s="907"/>
      <c r="C441" s="907"/>
      <c r="D441" s="907"/>
      <c r="E441" s="907"/>
      <c r="F441" s="907"/>
      <c r="G441" s="907"/>
      <c r="H441" s="907"/>
      <c r="I441" s="907"/>
      <c r="J441" s="907"/>
      <c r="K441" s="907"/>
      <c r="L441" s="907"/>
      <c r="M441" s="907"/>
      <c r="N441" s="907"/>
      <c r="O441" s="907"/>
      <c r="P441" s="907"/>
      <c r="Q441" s="907"/>
      <c r="R441" s="907"/>
      <c r="S441" s="907"/>
      <c r="T441" s="907"/>
      <c r="U441" s="907"/>
      <c r="V441" s="907"/>
      <c r="W441" s="907"/>
      <c r="X441" s="907"/>
      <c r="Y441" s="907"/>
      <c r="Z441" s="907"/>
      <c r="AA441" s="907"/>
      <c r="AB441" s="907"/>
      <c r="AC441" s="907"/>
      <c r="AD441" s="907"/>
      <c r="AE441" s="907"/>
      <c r="AF441" s="907"/>
      <c r="AG441" s="907"/>
      <c r="AH441" s="907"/>
      <c r="AI441" s="907"/>
      <c r="AJ441" s="907"/>
      <c r="AK441" s="907"/>
      <c r="AL441" s="907"/>
      <c r="AM441" s="907"/>
    </row>
    <row r="442" spans="1:39">
      <c r="A442" s="907"/>
      <c r="B442" s="907"/>
      <c r="C442" s="907"/>
      <c r="D442" s="907"/>
      <c r="E442" s="907"/>
      <c r="F442" s="907"/>
      <c r="G442" s="907"/>
      <c r="H442" s="907"/>
      <c r="I442" s="907"/>
      <c r="J442" s="907"/>
      <c r="K442" s="907"/>
      <c r="L442" s="907"/>
      <c r="M442" s="907"/>
      <c r="N442" s="907"/>
      <c r="O442" s="907"/>
      <c r="P442" s="907"/>
      <c r="Q442" s="907"/>
      <c r="R442" s="907"/>
      <c r="S442" s="907"/>
      <c r="T442" s="907"/>
      <c r="U442" s="907"/>
      <c r="V442" s="907"/>
      <c r="W442" s="907"/>
      <c r="X442" s="907"/>
      <c r="Y442" s="907"/>
      <c r="Z442" s="907"/>
      <c r="AA442" s="907"/>
      <c r="AB442" s="907"/>
      <c r="AC442" s="907"/>
      <c r="AD442" s="907"/>
      <c r="AE442" s="907"/>
      <c r="AF442" s="907"/>
      <c r="AG442" s="907"/>
      <c r="AH442" s="907"/>
      <c r="AI442" s="907"/>
      <c r="AJ442" s="907"/>
      <c r="AK442" s="907"/>
      <c r="AL442" s="907"/>
      <c r="AM442" s="907"/>
    </row>
    <row r="443" spans="1:39">
      <c r="A443" s="907"/>
      <c r="B443" s="907"/>
      <c r="C443" s="907"/>
      <c r="D443" s="907"/>
      <c r="E443" s="907"/>
      <c r="F443" s="907"/>
      <c r="G443" s="907"/>
      <c r="H443" s="907"/>
      <c r="I443" s="907"/>
      <c r="J443" s="907"/>
      <c r="K443" s="907"/>
      <c r="L443" s="907"/>
      <c r="M443" s="907"/>
      <c r="N443" s="907"/>
      <c r="O443" s="907"/>
      <c r="P443" s="907"/>
      <c r="Q443" s="907"/>
      <c r="R443" s="907"/>
      <c r="S443" s="907"/>
      <c r="T443" s="907"/>
      <c r="U443" s="907"/>
      <c r="V443" s="907"/>
      <c r="W443" s="907"/>
      <c r="X443" s="907"/>
      <c r="Y443" s="907"/>
      <c r="Z443" s="907"/>
      <c r="AA443" s="907"/>
      <c r="AB443" s="907"/>
      <c r="AC443" s="907"/>
      <c r="AD443" s="907"/>
      <c r="AE443" s="907"/>
      <c r="AF443" s="907"/>
      <c r="AG443" s="907"/>
      <c r="AH443" s="907"/>
      <c r="AI443" s="907"/>
      <c r="AJ443" s="907"/>
      <c r="AK443" s="907"/>
      <c r="AL443" s="907"/>
      <c r="AM443" s="907"/>
    </row>
    <row r="444" spans="1:39">
      <c r="A444" s="907"/>
      <c r="B444" s="907"/>
      <c r="C444" s="907"/>
      <c r="D444" s="907"/>
      <c r="E444" s="907"/>
      <c r="F444" s="907"/>
      <c r="G444" s="907"/>
      <c r="H444" s="907"/>
      <c r="I444" s="907"/>
      <c r="J444" s="907"/>
      <c r="K444" s="907"/>
      <c r="L444" s="907"/>
      <c r="M444" s="907"/>
      <c r="N444" s="907"/>
      <c r="O444" s="907"/>
      <c r="P444" s="907"/>
      <c r="Q444" s="907"/>
      <c r="R444" s="907"/>
      <c r="S444" s="907"/>
      <c r="T444" s="907"/>
      <c r="U444" s="907"/>
      <c r="V444" s="907"/>
      <c r="W444" s="907"/>
      <c r="X444" s="907"/>
      <c r="Y444" s="907"/>
      <c r="Z444" s="907"/>
      <c r="AA444" s="907"/>
      <c r="AB444" s="907"/>
      <c r="AC444" s="907"/>
      <c r="AD444" s="907"/>
      <c r="AE444" s="907"/>
      <c r="AF444" s="907"/>
      <c r="AG444" s="907"/>
      <c r="AH444" s="907"/>
      <c r="AI444" s="907"/>
      <c r="AJ444" s="907"/>
      <c r="AK444" s="907"/>
      <c r="AL444" s="907"/>
      <c r="AM444" s="907"/>
    </row>
    <row r="445" spans="1:39">
      <c r="A445" s="907"/>
      <c r="B445" s="907"/>
      <c r="C445" s="907"/>
      <c r="D445" s="907"/>
      <c r="E445" s="907"/>
      <c r="F445" s="907"/>
      <c r="G445" s="907"/>
      <c r="H445" s="907"/>
      <c r="I445" s="907"/>
      <c r="J445" s="907"/>
      <c r="K445" s="907"/>
      <c r="L445" s="907"/>
      <c r="M445" s="907"/>
      <c r="N445" s="907"/>
      <c r="O445" s="907"/>
      <c r="P445" s="907"/>
      <c r="Q445" s="907"/>
      <c r="R445" s="907"/>
      <c r="S445" s="907"/>
      <c r="T445" s="907"/>
      <c r="U445" s="907"/>
      <c r="V445" s="907"/>
      <c r="W445" s="907"/>
      <c r="X445" s="907"/>
      <c r="Y445" s="907"/>
      <c r="Z445" s="907"/>
      <c r="AA445" s="907"/>
      <c r="AB445" s="907"/>
      <c r="AC445" s="907"/>
      <c r="AD445" s="907"/>
      <c r="AE445" s="907"/>
      <c r="AF445" s="907"/>
      <c r="AG445" s="907"/>
      <c r="AH445" s="907"/>
      <c r="AI445" s="907"/>
      <c r="AJ445" s="907"/>
      <c r="AK445" s="907"/>
      <c r="AL445" s="907"/>
      <c r="AM445" s="907"/>
    </row>
    <row r="446" spans="1:39">
      <c r="A446" s="907"/>
      <c r="B446" s="907"/>
      <c r="C446" s="907"/>
      <c r="D446" s="907"/>
      <c r="E446" s="907"/>
      <c r="F446" s="907"/>
      <c r="G446" s="907"/>
      <c r="H446" s="907"/>
      <c r="I446" s="907"/>
      <c r="J446" s="907"/>
      <c r="K446" s="907"/>
      <c r="L446" s="907"/>
      <c r="M446" s="907"/>
      <c r="N446" s="907"/>
      <c r="O446" s="907"/>
      <c r="P446" s="907"/>
      <c r="Q446" s="907"/>
      <c r="R446" s="907"/>
      <c r="S446" s="907"/>
      <c r="T446" s="907"/>
      <c r="U446" s="907"/>
      <c r="V446" s="907"/>
      <c r="W446" s="907"/>
      <c r="X446" s="907"/>
      <c r="Y446" s="907"/>
      <c r="Z446" s="907"/>
      <c r="AA446" s="907"/>
      <c r="AB446" s="907"/>
      <c r="AC446" s="907"/>
      <c r="AD446" s="907"/>
      <c r="AE446" s="907"/>
      <c r="AF446" s="907"/>
      <c r="AG446" s="907"/>
      <c r="AH446" s="907"/>
      <c r="AI446" s="907"/>
      <c r="AJ446" s="907"/>
      <c r="AK446" s="907"/>
      <c r="AL446" s="907"/>
      <c r="AM446" s="907"/>
    </row>
    <row r="447" spans="1:39">
      <c r="A447" s="907"/>
      <c r="B447" s="907"/>
      <c r="C447" s="907"/>
      <c r="D447" s="907"/>
      <c r="E447" s="907"/>
      <c r="F447" s="907"/>
      <c r="G447" s="907"/>
      <c r="H447" s="907"/>
      <c r="I447" s="907"/>
      <c r="J447" s="907"/>
      <c r="K447" s="907"/>
      <c r="L447" s="907"/>
      <c r="M447" s="907"/>
      <c r="N447" s="907"/>
      <c r="O447" s="907"/>
      <c r="P447" s="907"/>
      <c r="Q447" s="907"/>
      <c r="R447" s="907"/>
      <c r="S447" s="907"/>
      <c r="T447" s="907"/>
      <c r="U447" s="907"/>
      <c r="V447" s="907"/>
      <c r="W447" s="907"/>
      <c r="X447" s="907"/>
      <c r="Y447" s="907"/>
      <c r="Z447" s="907"/>
      <c r="AA447" s="907"/>
      <c r="AB447" s="907"/>
      <c r="AC447" s="907"/>
      <c r="AD447" s="907"/>
      <c r="AE447" s="907"/>
      <c r="AF447" s="907"/>
      <c r="AG447" s="907"/>
      <c r="AH447" s="907"/>
      <c r="AI447" s="907"/>
      <c r="AJ447" s="907"/>
      <c r="AK447" s="907"/>
      <c r="AL447" s="907"/>
      <c r="AM447" s="907"/>
    </row>
    <row r="448" spans="1:39">
      <c r="A448" s="907"/>
      <c r="B448" s="907"/>
      <c r="C448" s="907"/>
      <c r="D448" s="907"/>
      <c r="E448" s="907"/>
      <c r="F448" s="907"/>
      <c r="G448" s="907"/>
      <c r="H448" s="907"/>
      <c r="I448" s="907"/>
      <c r="J448" s="907"/>
      <c r="K448" s="907"/>
      <c r="L448" s="907"/>
      <c r="M448" s="907"/>
      <c r="N448" s="907"/>
      <c r="O448" s="907"/>
      <c r="P448" s="907"/>
      <c r="Q448" s="907"/>
      <c r="R448" s="907"/>
      <c r="S448" s="907"/>
      <c r="T448" s="907"/>
      <c r="U448" s="907"/>
      <c r="V448" s="907"/>
      <c r="W448" s="907"/>
      <c r="X448" s="907"/>
      <c r="Y448" s="907"/>
      <c r="Z448" s="907"/>
      <c r="AA448" s="907"/>
      <c r="AB448" s="907"/>
      <c r="AC448" s="907"/>
      <c r="AD448" s="907"/>
      <c r="AE448" s="907"/>
      <c r="AF448" s="907"/>
      <c r="AG448" s="907"/>
      <c r="AH448" s="907"/>
      <c r="AI448" s="907"/>
      <c r="AJ448" s="907"/>
      <c r="AK448" s="907"/>
      <c r="AL448" s="907"/>
      <c r="AM448" s="907"/>
    </row>
    <row r="449" spans="1:39">
      <c r="A449" s="907"/>
      <c r="B449" s="907"/>
      <c r="C449" s="907"/>
      <c r="D449" s="907"/>
      <c r="E449" s="907"/>
      <c r="F449" s="907"/>
      <c r="G449" s="907"/>
      <c r="H449" s="907"/>
      <c r="I449" s="907"/>
      <c r="J449" s="907"/>
      <c r="K449" s="907"/>
      <c r="L449" s="907"/>
      <c r="M449" s="907"/>
      <c r="N449" s="907"/>
      <c r="O449" s="907"/>
      <c r="P449" s="907"/>
      <c r="Q449" s="907"/>
      <c r="R449" s="907"/>
      <c r="S449" s="907"/>
      <c r="T449" s="907"/>
      <c r="U449" s="907"/>
      <c r="V449" s="907"/>
      <c r="W449" s="907"/>
      <c r="X449" s="907"/>
      <c r="Y449" s="907"/>
      <c r="Z449" s="907"/>
      <c r="AA449" s="907"/>
      <c r="AB449" s="907"/>
      <c r="AC449" s="907"/>
      <c r="AD449" s="907"/>
      <c r="AE449" s="907"/>
      <c r="AF449" s="907"/>
      <c r="AG449" s="907"/>
      <c r="AH449" s="907"/>
      <c r="AI449" s="907"/>
      <c r="AJ449" s="907"/>
      <c r="AK449" s="907"/>
      <c r="AL449" s="907"/>
      <c r="AM449" s="907"/>
    </row>
    <row r="450" spans="1:39">
      <c r="A450" s="907"/>
      <c r="B450" s="907"/>
      <c r="C450" s="907"/>
      <c r="D450" s="907"/>
      <c r="E450" s="907"/>
      <c r="F450" s="907"/>
      <c r="G450" s="907"/>
      <c r="H450" s="907"/>
      <c r="I450" s="907"/>
      <c r="J450" s="907"/>
      <c r="K450" s="907"/>
      <c r="L450" s="907"/>
      <c r="M450" s="907"/>
      <c r="N450" s="907"/>
      <c r="O450" s="907"/>
      <c r="P450" s="907"/>
      <c r="Q450" s="907"/>
      <c r="R450" s="907"/>
      <c r="S450" s="907"/>
      <c r="T450" s="907"/>
      <c r="U450" s="907"/>
      <c r="V450" s="907"/>
      <c r="W450" s="907"/>
      <c r="X450" s="907"/>
      <c r="Y450" s="907"/>
      <c r="Z450" s="907"/>
      <c r="AA450" s="907"/>
      <c r="AB450" s="907"/>
      <c r="AC450" s="907"/>
      <c r="AD450" s="907"/>
      <c r="AE450" s="907"/>
      <c r="AF450" s="907"/>
      <c r="AG450" s="907"/>
      <c r="AH450" s="907"/>
      <c r="AI450" s="907"/>
      <c r="AJ450" s="907"/>
      <c r="AK450" s="907"/>
      <c r="AL450" s="907"/>
      <c r="AM450" s="907"/>
    </row>
    <row r="451" spans="1:39">
      <c r="A451" s="907"/>
      <c r="B451" s="907"/>
      <c r="C451" s="907"/>
      <c r="D451" s="907"/>
      <c r="E451" s="907"/>
      <c r="F451" s="907"/>
      <c r="G451" s="907"/>
      <c r="H451" s="907"/>
      <c r="I451" s="907"/>
      <c r="J451" s="907"/>
      <c r="K451" s="907"/>
      <c r="L451" s="907"/>
      <c r="M451" s="907"/>
      <c r="N451" s="907"/>
      <c r="O451" s="907"/>
      <c r="P451" s="907"/>
      <c r="Q451" s="907"/>
      <c r="R451" s="907"/>
      <c r="S451" s="907"/>
      <c r="T451" s="907"/>
      <c r="U451" s="907"/>
      <c r="V451" s="907"/>
      <c r="W451" s="907"/>
      <c r="X451" s="907"/>
      <c r="Y451" s="907"/>
      <c r="Z451" s="907"/>
      <c r="AA451" s="907"/>
      <c r="AB451" s="907"/>
      <c r="AC451" s="907"/>
      <c r="AD451" s="907"/>
      <c r="AE451" s="907"/>
      <c r="AF451" s="907"/>
      <c r="AG451" s="907"/>
      <c r="AH451" s="907"/>
      <c r="AI451" s="907"/>
      <c r="AJ451" s="907"/>
      <c r="AK451" s="907"/>
      <c r="AL451" s="907"/>
      <c r="AM451" s="907"/>
    </row>
    <row r="452" spans="1:39">
      <c r="A452" s="907"/>
      <c r="B452" s="907"/>
      <c r="C452" s="907"/>
      <c r="D452" s="907"/>
      <c r="E452" s="907"/>
      <c r="F452" s="907"/>
      <c r="G452" s="907"/>
      <c r="H452" s="907"/>
      <c r="I452" s="907"/>
      <c r="J452" s="907"/>
      <c r="K452" s="907"/>
      <c r="L452" s="907"/>
      <c r="M452" s="907"/>
      <c r="N452" s="907"/>
      <c r="O452" s="907"/>
      <c r="P452" s="907"/>
      <c r="Q452" s="907"/>
      <c r="R452" s="907"/>
      <c r="S452" s="907"/>
      <c r="T452" s="907"/>
      <c r="U452" s="907"/>
      <c r="V452" s="907"/>
      <c r="W452" s="907"/>
      <c r="X452" s="907"/>
      <c r="Y452" s="907"/>
      <c r="Z452" s="907"/>
      <c r="AA452" s="907"/>
      <c r="AB452" s="907"/>
      <c r="AC452" s="907"/>
      <c r="AD452" s="907"/>
      <c r="AE452" s="907"/>
      <c r="AF452" s="907"/>
      <c r="AG452" s="907"/>
      <c r="AH452" s="907"/>
      <c r="AI452" s="907"/>
      <c r="AJ452" s="907"/>
      <c r="AK452" s="907"/>
      <c r="AL452" s="907"/>
      <c r="AM452" s="907"/>
    </row>
    <row r="453" spans="1:39">
      <c r="A453" s="907"/>
      <c r="B453" s="907"/>
      <c r="C453" s="907"/>
      <c r="D453" s="907"/>
      <c r="E453" s="907"/>
      <c r="F453" s="907"/>
      <c r="G453" s="907"/>
      <c r="H453" s="907"/>
      <c r="I453" s="907"/>
      <c r="J453" s="907"/>
      <c r="K453" s="907"/>
      <c r="L453" s="907"/>
      <c r="M453" s="907"/>
      <c r="N453" s="907"/>
      <c r="O453" s="907"/>
      <c r="P453" s="907"/>
      <c r="Q453" s="907"/>
      <c r="R453" s="907"/>
      <c r="S453" s="907"/>
      <c r="T453" s="907"/>
      <c r="U453" s="907"/>
      <c r="V453" s="907"/>
      <c r="W453" s="907"/>
      <c r="X453" s="907"/>
      <c r="Y453" s="907"/>
      <c r="Z453" s="907"/>
      <c r="AA453" s="907"/>
      <c r="AB453" s="907"/>
      <c r="AC453" s="907"/>
      <c r="AD453" s="907"/>
      <c r="AE453" s="907"/>
      <c r="AF453" s="907"/>
      <c r="AG453" s="907"/>
      <c r="AH453" s="907"/>
      <c r="AI453" s="907"/>
      <c r="AJ453" s="907"/>
      <c r="AK453" s="907"/>
      <c r="AL453" s="907"/>
      <c r="AM453" s="907"/>
    </row>
    <row r="454" spans="1:39">
      <c r="A454" s="907"/>
      <c r="B454" s="907"/>
      <c r="C454" s="907"/>
      <c r="D454" s="907"/>
      <c r="E454" s="907"/>
      <c r="F454" s="907"/>
      <c r="G454" s="907"/>
      <c r="H454" s="907"/>
      <c r="I454" s="907"/>
      <c r="J454" s="907"/>
      <c r="K454" s="907"/>
      <c r="L454" s="907"/>
      <c r="M454" s="907"/>
      <c r="N454" s="907"/>
      <c r="O454" s="907"/>
      <c r="P454" s="907"/>
      <c r="Q454" s="907"/>
      <c r="R454" s="907"/>
      <c r="S454" s="907"/>
      <c r="T454" s="907"/>
      <c r="U454" s="907"/>
      <c r="V454" s="907"/>
      <c r="W454" s="907"/>
      <c r="X454" s="907"/>
      <c r="Y454" s="907"/>
      <c r="Z454" s="907"/>
      <c r="AA454" s="907"/>
      <c r="AB454" s="907"/>
      <c r="AC454" s="907"/>
      <c r="AD454" s="907"/>
      <c r="AE454" s="907"/>
      <c r="AF454" s="907"/>
      <c r="AG454" s="907"/>
      <c r="AH454" s="907"/>
      <c r="AI454" s="907"/>
      <c r="AJ454" s="907"/>
      <c r="AK454" s="907"/>
      <c r="AL454" s="907"/>
      <c r="AM454" s="907"/>
    </row>
    <row r="455" spans="1:39">
      <c r="A455" s="907"/>
      <c r="B455" s="907"/>
      <c r="C455" s="907"/>
      <c r="D455" s="907"/>
      <c r="E455" s="907"/>
      <c r="F455" s="907"/>
      <c r="G455" s="907"/>
      <c r="H455" s="907"/>
      <c r="I455" s="907"/>
      <c r="J455" s="907"/>
      <c r="K455" s="907"/>
      <c r="L455" s="907"/>
      <c r="M455" s="907"/>
      <c r="N455" s="907"/>
      <c r="O455" s="907"/>
      <c r="P455" s="907"/>
      <c r="Q455" s="907"/>
      <c r="R455" s="907"/>
      <c r="S455" s="907"/>
      <c r="T455" s="907"/>
      <c r="U455" s="907"/>
      <c r="V455" s="907"/>
      <c r="W455" s="907"/>
      <c r="X455" s="907"/>
      <c r="Y455" s="907"/>
      <c r="Z455" s="907"/>
      <c r="AA455" s="907"/>
      <c r="AB455" s="907"/>
      <c r="AC455" s="907"/>
      <c r="AD455" s="907"/>
      <c r="AE455" s="907"/>
      <c r="AF455" s="907"/>
      <c r="AG455" s="907"/>
      <c r="AH455" s="907"/>
      <c r="AI455" s="907"/>
      <c r="AJ455" s="907"/>
      <c r="AK455" s="907"/>
      <c r="AL455" s="907"/>
      <c r="AM455" s="907"/>
    </row>
    <row r="456" spans="1:39">
      <c r="A456" s="907"/>
      <c r="B456" s="907"/>
      <c r="C456" s="907"/>
      <c r="D456" s="907"/>
      <c r="E456" s="907"/>
      <c r="F456" s="907"/>
      <c r="G456" s="907"/>
      <c r="H456" s="907"/>
      <c r="I456" s="907"/>
      <c r="J456" s="907"/>
      <c r="K456" s="907"/>
      <c r="L456" s="907"/>
      <c r="M456" s="907"/>
      <c r="N456" s="907"/>
      <c r="O456" s="907"/>
      <c r="P456" s="907"/>
      <c r="Q456" s="907"/>
      <c r="R456" s="907"/>
      <c r="S456" s="907"/>
      <c r="T456" s="907"/>
      <c r="U456" s="907"/>
      <c r="V456" s="907"/>
      <c r="W456" s="907"/>
      <c r="X456" s="907"/>
      <c r="Y456" s="907"/>
      <c r="Z456" s="907"/>
      <c r="AA456" s="907"/>
      <c r="AB456" s="907"/>
      <c r="AC456" s="907"/>
      <c r="AD456" s="907"/>
      <c r="AE456" s="907"/>
      <c r="AF456" s="907"/>
      <c r="AG456" s="907"/>
      <c r="AH456" s="907"/>
      <c r="AI456" s="907"/>
      <c r="AJ456" s="907"/>
      <c r="AK456" s="907"/>
      <c r="AL456" s="907"/>
      <c r="AM456" s="907"/>
    </row>
    <row r="457" spans="1:39">
      <c r="A457" s="907"/>
      <c r="B457" s="907"/>
      <c r="C457" s="907"/>
      <c r="D457" s="907"/>
      <c r="E457" s="907"/>
      <c r="F457" s="907"/>
      <c r="G457" s="907"/>
      <c r="H457" s="907"/>
      <c r="I457" s="907"/>
      <c r="J457" s="907"/>
      <c r="K457" s="907"/>
      <c r="L457" s="907"/>
      <c r="M457" s="907"/>
      <c r="N457" s="907"/>
      <c r="O457" s="907"/>
      <c r="P457" s="907"/>
      <c r="Q457" s="907"/>
      <c r="R457" s="907"/>
      <c r="S457" s="907"/>
      <c r="T457" s="907"/>
      <c r="U457" s="907"/>
      <c r="V457" s="907"/>
      <c r="W457" s="907"/>
      <c r="X457" s="907"/>
      <c r="Y457" s="907"/>
      <c r="Z457" s="907"/>
      <c r="AA457" s="907"/>
      <c r="AB457" s="907"/>
      <c r="AC457" s="907"/>
      <c r="AD457" s="907"/>
      <c r="AE457" s="907"/>
      <c r="AF457" s="907"/>
      <c r="AG457" s="907"/>
      <c r="AH457" s="907"/>
      <c r="AI457" s="907"/>
      <c r="AJ457" s="907"/>
      <c r="AK457" s="907"/>
      <c r="AL457" s="907"/>
      <c r="AM457" s="907"/>
    </row>
    <row r="458" spans="1:39">
      <c r="A458" s="907"/>
      <c r="B458" s="907"/>
      <c r="C458" s="907"/>
      <c r="D458" s="907"/>
      <c r="E458" s="907"/>
      <c r="F458" s="907"/>
      <c r="G458" s="907"/>
      <c r="H458" s="907"/>
      <c r="I458" s="907"/>
      <c r="J458" s="907"/>
      <c r="K458" s="907"/>
      <c r="L458" s="907"/>
      <c r="M458" s="907"/>
      <c r="N458" s="907"/>
      <c r="O458" s="907"/>
      <c r="P458" s="907"/>
      <c r="Q458" s="907"/>
      <c r="R458" s="907"/>
      <c r="S458" s="907"/>
      <c r="T458" s="907"/>
      <c r="U458" s="907"/>
      <c r="V458" s="907"/>
      <c r="W458" s="907"/>
      <c r="X458" s="907"/>
      <c r="Y458" s="907"/>
      <c r="Z458" s="907"/>
      <c r="AA458" s="907"/>
      <c r="AB458" s="907"/>
      <c r="AC458" s="907"/>
      <c r="AD458" s="907"/>
      <c r="AE458" s="907"/>
      <c r="AF458" s="907"/>
      <c r="AG458" s="907"/>
      <c r="AH458" s="907"/>
      <c r="AI458" s="907"/>
      <c r="AJ458" s="907"/>
      <c r="AK458" s="907"/>
      <c r="AL458" s="907"/>
      <c r="AM458" s="907"/>
    </row>
    <row r="459" spans="1:39">
      <c r="A459" s="907"/>
      <c r="B459" s="907"/>
      <c r="C459" s="907"/>
      <c r="D459" s="907"/>
      <c r="E459" s="907"/>
      <c r="F459" s="907"/>
      <c r="G459" s="907"/>
      <c r="H459" s="907"/>
      <c r="I459" s="907"/>
      <c r="J459" s="907"/>
      <c r="K459" s="907"/>
      <c r="L459" s="907"/>
      <c r="M459" s="907"/>
      <c r="N459" s="907"/>
      <c r="O459" s="907"/>
      <c r="P459" s="907"/>
      <c r="Q459" s="907"/>
      <c r="R459" s="907"/>
      <c r="S459" s="907"/>
      <c r="T459" s="907"/>
      <c r="U459" s="907"/>
      <c r="V459" s="907"/>
      <c r="W459" s="907"/>
      <c r="X459" s="907"/>
      <c r="Y459" s="907"/>
      <c r="Z459" s="907"/>
      <c r="AA459" s="907"/>
      <c r="AB459" s="907"/>
      <c r="AC459" s="907"/>
      <c r="AD459" s="907"/>
      <c r="AE459" s="907"/>
      <c r="AF459" s="907"/>
      <c r="AG459" s="907"/>
      <c r="AH459" s="907"/>
      <c r="AI459" s="907"/>
      <c r="AJ459" s="907"/>
      <c r="AK459" s="907"/>
      <c r="AL459" s="907"/>
      <c r="AM459" s="907"/>
    </row>
    <row r="460" spans="1:39">
      <c r="A460" s="907"/>
      <c r="B460" s="907"/>
      <c r="C460" s="907"/>
      <c r="D460" s="907"/>
      <c r="E460" s="907"/>
      <c r="F460" s="907"/>
      <c r="G460" s="907"/>
      <c r="H460" s="907"/>
      <c r="I460" s="907"/>
      <c r="J460" s="907"/>
      <c r="K460" s="907"/>
      <c r="L460" s="907"/>
      <c r="M460" s="907"/>
      <c r="N460" s="907"/>
      <c r="O460" s="907"/>
      <c r="P460" s="907"/>
      <c r="Q460" s="907"/>
      <c r="R460" s="907"/>
      <c r="S460" s="907"/>
      <c r="T460" s="907"/>
      <c r="U460" s="907"/>
      <c r="V460" s="907"/>
      <c r="W460" s="907"/>
      <c r="X460" s="907"/>
      <c r="Y460" s="907"/>
      <c r="Z460" s="907"/>
      <c r="AA460" s="907"/>
      <c r="AB460" s="907"/>
      <c r="AC460" s="907"/>
      <c r="AD460" s="907"/>
      <c r="AE460" s="907"/>
      <c r="AF460" s="907"/>
      <c r="AG460" s="907"/>
      <c r="AH460" s="907"/>
      <c r="AI460" s="907"/>
      <c r="AJ460" s="907"/>
      <c r="AK460" s="907"/>
      <c r="AL460" s="907"/>
      <c r="AM460" s="907"/>
    </row>
    <row r="461" spans="1:39">
      <c r="A461" s="907"/>
      <c r="B461" s="907"/>
      <c r="C461" s="907"/>
      <c r="D461" s="907"/>
      <c r="E461" s="907"/>
      <c r="F461" s="907"/>
      <c r="G461" s="907"/>
      <c r="H461" s="907"/>
      <c r="I461" s="907"/>
      <c r="J461" s="907"/>
      <c r="K461" s="907"/>
      <c r="L461" s="907"/>
      <c r="M461" s="907"/>
      <c r="N461" s="907"/>
      <c r="O461" s="907"/>
      <c r="P461" s="907"/>
      <c r="Q461" s="907"/>
      <c r="R461" s="907"/>
      <c r="S461" s="907"/>
      <c r="T461" s="907"/>
      <c r="U461" s="907"/>
      <c r="V461" s="907"/>
      <c r="W461" s="907"/>
      <c r="X461" s="907"/>
      <c r="Y461" s="907"/>
      <c r="Z461" s="907"/>
      <c r="AA461" s="907"/>
      <c r="AB461" s="907"/>
      <c r="AC461" s="907"/>
      <c r="AD461" s="907"/>
      <c r="AE461" s="907"/>
      <c r="AF461" s="907"/>
      <c r="AG461" s="907"/>
      <c r="AH461" s="907"/>
      <c r="AI461" s="907"/>
      <c r="AJ461" s="907"/>
      <c r="AK461" s="907"/>
      <c r="AL461" s="907"/>
      <c r="AM461" s="907"/>
    </row>
    <row r="462" spans="1:39">
      <c r="A462" s="907"/>
      <c r="B462" s="907"/>
      <c r="C462" s="907"/>
      <c r="D462" s="907"/>
      <c r="E462" s="907"/>
      <c r="F462" s="907"/>
      <c r="G462" s="907"/>
      <c r="H462" s="907"/>
      <c r="I462" s="907"/>
      <c r="J462" s="907"/>
      <c r="K462" s="907"/>
      <c r="L462" s="907"/>
      <c r="M462" s="907"/>
      <c r="N462" s="907"/>
      <c r="O462" s="907"/>
      <c r="P462" s="907"/>
      <c r="Q462" s="907"/>
      <c r="R462" s="907"/>
      <c r="S462" s="907"/>
      <c r="T462" s="907"/>
      <c r="U462" s="907"/>
      <c r="V462" s="907"/>
      <c r="W462" s="907"/>
      <c r="X462" s="907"/>
      <c r="Y462" s="907"/>
      <c r="Z462" s="907"/>
      <c r="AA462" s="907"/>
      <c r="AB462" s="907"/>
      <c r="AC462" s="907"/>
      <c r="AD462" s="907"/>
      <c r="AE462" s="907"/>
      <c r="AF462" s="907"/>
      <c r="AG462" s="907"/>
      <c r="AH462" s="907"/>
      <c r="AI462" s="907"/>
      <c r="AJ462" s="907"/>
      <c r="AK462" s="907"/>
      <c r="AL462" s="907"/>
      <c r="AM462" s="907"/>
    </row>
    <row r="463" spans="1:39">
      <c r="A463" s="907"/>
      <c r="B463" s="907"/>
      <c r="C463" s="907"/>
      <c r="D463" s="907"/>
      <c r="E463" s="907"/>
      <c r="F463" s="907"/>
      <c r="G463" s="907"/>
      <c r="H463" s="907"/>
      <c r="I463" s="907"/>
      <c r="J463" s="907"/>
      <c r="K463" s="907"/>
      <c r="L463" s="907"/>
      <c r="M463" s="907"/>
      <c r="N463" s="907"/>
      <c r="O463" s="907"/>
      <c r="P463" s="907"/>
      <c r="Q463" s="907"/>
      <c r="R463" s="907"/>
      <c r="S463" s="907"/>
      <c r="T463" s="907"/>
      <c r="U463" s="907"/>
      <c r="V463" s="907"/>
      <c r="W463" s="907"/>
      <c r="X463" s="907"/>
      <c r="Y463" s="907"/>
      <c r="Z463" s="907"/>
      <c r="AA463" s="907"/>
      <c r="AB463" s="907"/>
      <c r="AC463" s="907"/>
      <c r="AD463" s="907"/>
      <c r="AE463" s="907"/>
      <c r="AF463" s="907"/>
      <c r="AG463" s="907"/>
      <c r="AH463" s="907"/>
      <c r="AI463" s="907"/>
      <c r="AJ463" s="907"/>
      <c r="AK463" s="907"/>
      <c r="AL463" s="907"/>
      <c r="AM463" s="907"/>
    </row>
    <row r="464" spans="1:39">
      <c r="A464" s="907"/>
      <c r="B464" s="907"/>
      <c r="C464" s="907"/>
      <c r="D464" s="907"/>
      <c r="E464" s="907"/>
      <c r="F464" s="907"/>
      <c r="G464" s="907"/>
      <c r="H464" s="907"/>
      <c r="I464" s="907"/>
      <c r="J464" s="907"/>
      <c r="K464" s="907"/>
      <c r="L464" s="907"/>
      <c r="M464" s="907"/>
      <c r="N464" s="907"/>
      <c r="O464" s="907"/>
      <c r="P464" s="907"/>
      <c r="Q464" s="907"/>
      <c r="R464" s="907"/>
      <c r="S464" s="907"/>
      <c r="T464" s="907"/>
      <c r="U464" s="907"/>
      <c r="V464" s="907"/>
      <c r="W464" s="907"/>
      <c r="X464" s="907"/>
      <c r="Y464" s="907"/>
      <c r="Z464" s="907"/>
      <c r="AA464" s="907"/>
      <c r="AB464" s="907"/>
      <c r="AC464" s="907"/>
      <c r="AD464" s="907"/>
      <c r="AE464" s="907"/>
      <c r="AF464" s="907"/>
      <c r="AG464" s="907"/>
      <c r="AH464" s="907"/>
      <c r="AI464" s="907"/>
      <c r="AJ464" s="907"/>
      <c r="AK464" s="907"/>
      <c r="AL464" s="907"/>
      <c r="AM464" s="907"/>
    </row>
    <row r="465" spans="1:39">
      <c r="A465" s="907"/>
      <c r="B465" s="907"/>
      <c r="C465" s="907"/>
      <c r="D465" s="907"/>
      <c r="E465" s="907"/>
      <c r="F465" s="907"/>
      <c r="G465" s="907"/>
      <c r="H465" s="907"/>
      <c r="I465" s="907"/>
      <c r="J465" s="907"/>
      <c r="K465" s="907"/>
      <c r="L465" s="907"/>
      <c r="M465" s="907"/>
      <c r="N465" s="907"/>
      <c r="O465" s="907"/>
      <c r="P465" s="907"/>
      <c r="Q465" s="907"/>
      <c r="R465" s="907"/>
      <c r="S465" s="907"/>
      <c r="T465" s="907"/>
      <c r="U465" s="907"/>
      <c r="V465" s="907"/>
      <c r="W465" s="907"/>
      <c r="X465" s="907"/>
      <c r="Y465" s="907"/>
      <c r="Z465" s="907"/>
      <c r="AA465" s="907"/>
      <c r="AB465" s="907"/>
      <c r="AC465" s="907"/>
      <c r="AD465" s="907"/>
      <c r="AE465" s="907"/>
      <c r="AF465" s="907"/>
      <c r="AG465" s="907"/>
      <c r="AH465" s="907"/>
      <c r="AI465" s="907"/>
      <c r="AJ465" s="907"/>
      <c r="AK465" s="907"/>
      <c r="AL465" s="907"/>
      <c r="AM465" s="907"/>
    </row>
    <row r="466" spans="1:39">
      <c r="A466" s="907"/>
      <c r="B466" s="907"/>
      <c r="C466" s="907"/>
      <c r="D466" s="907"/>
      <c r="E466" s="907"/>
      <c r="F466" s="907"/>
      <c r="G466" s="907"/>
      <c r="H466" s="907"/>
      <c r="I466" s="907"/>
      <c r="J466" s="907"/>
      <c r="K466" s="907"/>
      <c r="L466" s="907"/>
      <c r="M466" s="907"/>
      <c r="N466" s="907"/>
      <c r="O466" s="907"/>
      <c r="P466" s="907"/>
      <c r="Q466" s="907"/>
      <c r="R466" s="907"/>
      <c r="S466" s="907"/>
      <c r="T466" s="907"/>
      <c r="U466" s="907"/>
      <c r="V466" s="907"/>
      <c r="W466" s="907"/>
      <c r="X466" s="907"/>
      <c r="Y466" s="907"/>
      <c r="Z466" s="907"/>
      <c r="AA466" s="907"/>
      <c r="AB466" s="907"/>
      <c r="AC466" s="907"/>
      <c r="AD466" s="907"/>
      <c r="AE466" s="907"/>
      <c r="AF466" s="907"/>
      <c r="AG466" s="907"/>
      <c r="AH466" s="907"/>
      <c r="AI466" s="907"/>
      <c r="AJ466" s="907"/>
      <c r="AK466" s="907"/>
      <c r="AL466" s="907"/>
      <c r="AM466" s="907"/>
    </row>
    <row r="467" spans="1:39">
      <c r="A467" s="907"/>
      <c r="B467" s="907"/>
      <c r="C467" s="907"/>
      <c r="D467" s="907"/>
      <c r="E467" s="907"/>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c r="AB467" s="907"/>
      <c r="AC467" s="907"/>
      <c r="AD467" s="907"/>
      <c r="AE467" s="907"/>
      <c r="AF467" s="907"/>
      <c r="AG467" s="907"/>
      <c r="AH467" s="907"/>
      <c r="AI467" s="907"/>
      <c r="AJ467" s="907"/>
      <c r="AK467" s="907"/>
      <c r="AL467" s="907"/>
      <c r="AM467" s="907"/>
    </row>
    <row r="468" spans="1:39">
      <c r="A468" s="907"/>
      <c r="B468" s="907"/>
      <c r="C468" s="907"/>
      <c r="D468" s="907"/>
      <c r="E468" s="90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c r="AB468" s="907"/>
      <c r="AC468" s="907"/>
      <c r="AD468" s="907"/>
      <c r="AE468" s="907"/>
      <c r="AF468" s="907"/>
      <c r="AG468" s="907"/>
      <c r="AH468" s="907"/>
      <c r="AI468" s="907"/>
      <c r="AJ468" s="907"/>
      <c r="AK468" s="907"/>
      <c r="AL468" s="907"/>
      <c r="AM468" s="907"/>
    </row>
    <row r="469" spans="1:39">
      <c r="A469" s="907"/>
      <c r="B469" s="907"/>
      <c r="C469" s="907"/>
      <c r="D469" s="907"/>
      <c r="E469" s="907"/>
      <c r="F469" s="907"/>
      <c r="G469" s="907"/>
      <c r="H469" s="907"/>
      <c r="I469" s="907"/>
      <c r="J469" s="907"/>
      <c r="K469" s="907"/>
      <c r="L469" s="907"/>
      <c r="M469" s="907"/>
      <c r="N469" s="907"/>
      <c r="O469" s="907"/>
      <c r="P469" s="907"/>
      <c r="Q469" s="907"/>
      <c r="R469" s="907"/>
      <c r="S469" s="907"/>
      <c r="T469" s="907"/>
      <c r="U469" s="907"/>
      <c r="V469" s="907"/>
      <c r="W469" s="907"/>
      <c r="X469" s="907"/>
      <c r="Y469" s="907"/>
      <c r="Z469" s="907"/>
      <c r="AA469" s="907"/>
      <c r="AB469" s="907"/>
      <c r="AC469" s="907"/>
      <c r="AD469" s="907"/>
      <c r="AE469" s="907"/>
      <c r="AF469" s="907"/>
      <c r="AG469" s="907"/>
      <c r="AH469" s="907"/>
      <c r="AI469" s="907"/>
      <c r="AJ469" s="907"/>
      <c r="AK469" s="907"/>
      <c r="AL469" s="907"/>
      <c r="AM469" s="907"/>
    </row>
    <row r="470" spans="1:39">
      <c r="A470" s="907"/>
      <c r="B470" s="907"/>
      <c r="C470" s="907"/>
      <c r="D470" s="907"/>
      <c r="E470" s="907"/>
      <c r="F470" s="907"/>
      <c r="G470" s="907"/>
      <c r="H470" s="907"/>
      <c r="I470" s="907"/>
      <c r="J470" s="907"/>
      <c r="K470" s="907"/>
      <c r="L470" s="907"/>
      <c r="M470" s="907"/>
      <c r="N470" s="907"/>
      <c r="O470" s="907"/>
      <c r="P470" s="907"/>
      <c r="Q470" s="907"/>
      <c r="R470" s="907"/>
      <c r="S470" s="907"/>
      <c r="T470" s="907"/>
      <c r="U470" s="907"/>
      <c r="V470" s="907"/>
      <c r="W470" s="907"/>
      <c r="X470" s="907"/>
      <c r="Y470" s="907"/>
      <c r="Z470" s="907"/>
      <c r="AA470" s="907"/>
      <c r="AB470" s="907"/>
      <c r="AC470" s="907"/>
      <c r="AD470" s="907"/>
      <c r="AE470" s="907"/>
      <c r="AF470" s="907"/>
      <c r="AG470" s="907"/>
      <c r="AH470" s="907"/>
      <c r="AI470" s="907"/>
      <c r="AJ470" s="907"/>
      <c r="AK470" s="907"/>
      <c r="AL470" s="907"/>
      <c r="AM470" s="907"/>
    </row>
    <row r="471" spans="1:39">
      <c r="A471" s="907"/>
      <c r="B471" s="907"/>
      <c r="C471" s="907"/>
      <c r="D471" s="907"/>
      <c r="E471" s="907"/>
      <c r="F471" s="907"/>
      <c r="G471" s="907"/>
      <c r="H471" s="907"/>
      <c r="I471" s="907"/>
      <c r="J471" s="907"/>
      <c r="K471" s="907"/>
      <c r="L471" s="907"/>
      <c r="M471" s="907"/>
      <c r="N471" s="907"/>
      <c r="O471" s="907"/>
      <c r="P471" s="907"/>
      <c r="Q471" s="907"/>
      <c r="R471" s="907"/>
      <c r="S471" s="907"/>
      <c r="T471" s="907"/>
      <c r="U471" s="907"/>
      <c r="V471" s="907"/>
      <c r="W471" s="907"/>
      <c r="X471" s="907"/>
      <c r="Y471" s="907"/>
      <c r="Z471" s="907"/>
      <c r="AA471" s="907"/>
      <c r="AB471" s="907"/>
      <c r="AC471" s="907"/>
      <c r="AD471" s="907"/>
      <c r="AE471" s="907"/>
      <c r="AF471" s="907"/>
      <c r="AG471" s="907"/>
      <c r="AH471" s="907"/>
      <c r="AI471" s="907"/>
      <c r="AJ471" s="907"/>
      <c r="AK471" s="907"/>
      <c r="AL471" s="907"/>
      <c r="AM471" s="907"/>
    </row>
    <row r="472" spans="1:39">
      <c r="A472" s="907"/>
      <c r="B472" s="907"/>
      <c r="C472" s="907"/>
      <c r="D472" s="907"/>
      <c r="E472" s="907"/>
      <c r="F472" s="907"/>
      <c r="G472" s="907"/>
      <c r="H472" s="907"/>
      <c r="I472" s="907"/>
      <c r="J472" s="907"/>
      <c r="K472" s="907"/>
      <c r="L472" s="907"/>
      <c r="M472" s="907"/>
      <c r="N472" s="907"/>
      <c r="O472" s="907"/>
      <c r="P472" s="907"/>
      <c r="Q472" s="907"/>
      <c r="R472" s="907"/>
      <c r="S472" s="907"/>
      <c r="T472" s="907"/>
      <c r="U472" s="907"/>
      <c r="V472" s="907"/>
      <c r="W472" s="907"/>
      <c r="X472" s="907"/>
      <c r="Y472" s="907"/>
      <c r="Z472" s="907"/>
      <c r="AA472" s="907"/>
      <c r="AB472" s="907"/>
      <c r="AC472" s="907"/>
      <c r="AD472" s="907"/>
      <c r="AE472" s="907"/>
      <c r="AF472" s="907"/>
      <c r="AG472" s="907"/>
      <c r="AH472" s="907"/>
      <c r="AI472" s="907"/>
      <c r="AJ472" s="907"/>
      <c r="AK472" s="907"/>
      <c r="AL472" s="907"/>
      <c r="AM472" s="907"/>
    </row>
    <row r="473" spans="1:39">
      <c r="A473" s="907"/>
      <c r="B473" s="907"/>
      <c r="C473" s="907"/>
      <c r="D473" s="907"/>
      <c r="E473" s="907"/>
      <c r="F473" s="907"/>
      <c r="G473" s="907"/>
      <c r="H473" s="907"/>
      <c r="I473" s="907"/>
      <c r="J473" s="907"/>
      <c r="K473" s="907"/>
      <c r="L473" s="907"/>
      <c r="M473" s="907"/>
      <c r="N473" s="907"/>
      <c r="O473" s="907"/>
      <c r="P473" s="907"/>
      <c r="Q473" s="907"/>
      <c r="R473" s="907"/>
      <c r="S473" s="907"/>
      <c r="T473" s="907"/>
      <c r="U473" s="907"/>
      <c r="V473" s="907"/>
      <c r="W473" s="907"/>
      <c r="X473" s="907"/>
      <c r="Y473" s="907"/>
      <c r="Z473" s="907"/>
      <c r="AA473" s="907"/>
      <c r="AB473" s="907"/>
      <c r="AC473" s="907"/>
      <c r="AD473" s="907"/>
      <c r="AE473" s="907"/>
      <c r="AF473" s="907"/>
      <c r="AG473" s="907"/>
      <c r="AH473" s="907"/>
      <c r="AI473" s="907"/>
      <c r="AJ473" s="907"/>
      <c r="AK473" s="907"/>
      <c r="AL473" s="907"/>
      <c r="AM473" s="907"/>
    </row>
    <row r="474" spans="1:39">
      <c r="A474" s="907"/>
      <c r="B474" s="907"/>
      <c r="C474" s="907"/>
      <c r="D474" s="907"/>
      <c r="E474" s="907"/>
      <c r="F474" s="907"/>
      <c r="G474" s="907"/>
      <c r="H474" s="907"/>
      <c r="I474" s="907"/>
      <c r="J474" s="907"/>
      <c r="K474" s="907"/>
      <c r="L474" s="907"/>
      <c r="M474" s="907"/>
      <c r="N474" s="907"/>
      <c r="O474" s="907"/>
      <c r="P474" s="907"/>
      <c r="Q474" s="907"/>
      <c r="R474" s="907"/>
      <c r="S474" s="907"/>
      <c r="T474" s="907"/>
      <c r="U474" s="907"/>
      <c r="V474" s="907"/>
      <c r="W474" s="907"/>
      <c r="X474" s="907"/>
      <c r="Y474" s="907"/>
      <c r="Z474" s="907"/>
      <c r="AA474" s="907"/>
      <c r="AB474" s="907"/>
      <c r="AC474" s="907"/>
      <c r="AD474" s="907"/>
      <c r="AE474" s="907"/>
      <c r="AF474" s="907"/>
      <c r="AG474" s="907"/>
      <c r="AH474" s="907"/>
      <c r="AI474" s="907"/>
      <c r="AJ474" s="907"/>
      <c r="AK474" s="907"/>
      <c r="AL474" s="907"/>
      <c r="AM474" s="907"/>
    </row>
    <row r="475" spans="1:39">
      <c r="A475" s="907"/>
      <c r="B475" s="907"/>
      <c r="C475" s="907"/>
      <c r="D475" s="907"/>
      <c r="E475" s="907"/>
      <c r="F475" s="907"/>
      <c r="G475" s="907"/>
      <c r="H475" s="907"/>
      <c r="I475" s="907"/>
      <c r="J475" s="907"/>
      <c r="K475" s="907"/>
      <c r="L475" s="907"/>
      <c r="M475" s="907"/>
      <c r="N475" s="907"/>
      <c r="O475" s="907"/>
      <c r="P475" s="907"/>
      <c r="Q475" s="907"/>
      <c r="R475" s="907"/>
      <c r="S475" s="907"/>
      <c r="T475" s="907"/>
      <c r="U475" s="907"/>
      <c r="V475" s="907"/>
      <c r="W475" s="907"/>
      <c r="X475" s="907"/>
      <c r="Y475" s="907"/>
      <c r="Z475" s="907"/>
      <c r="AA475" s="907"/>
      <c r="AB475" s="907"/>
      <c r="AC475" s="907"/>
      <c r="AD475" s="907"/>
      <c r="AE475" s="907"/>
      <c r="AF475" s="907"/>
      <c r="AG475" s="907"/>
      <c r="AH475" s="907"/>
      <c r="AI475" s="907"/>
      <c r="AJ475" s="907"/>
      <c r="AK475" s="907"/>
      <c r="AL475" s="907"/>
      <c r="AM475" s="907"/>
    </row>
    <row r="476" spans="1:39">
      <c r="A476" s="907"/>
      <c r="B476" s="907"/>
      <c r="C476" s="907"/>
      <c r="D476" s="907"/>
      <c r="E476" s="907"/>
      <c r="F476" s="907"/>
      <c r="G476" s="907"/>
      <c r="H476" s="907"/>
      <c r="I476" s="907"/>
      <c r="J476" s="907"/>
      <c r="K476" s="907"/>
      <c r="L476" s="907"/>
      <c r="M476" s="907"/>
      <c r="N476" s="907"/>
      <c r="O476" s="907"/>
      <c r="P476" s="907"/>
      <c r="Q476" s="907"/>
      <c r="R476" s="907"/>
      <c r="S476" s="907"/>
      <c r="T476" s="907"/>
      <c r="U476" s="907"/>
      <c r="V476" s="907"/>
      <c r="W476" s="907"/>
      <c r="X476" s="907"/>
      <c r="Y476" s="907"/>
      <c r="Z476" s="907"/>
      <c r="AA476" s="907"/>
      <c r="AB476" s="907"/>
      <c r="AC476" s="907"/>
      <c r="AD476" s="907"/>
      <c r="AE476" s="907"/>
      <c r="AF476" s="907"/>
      <c r="AG476" s="907"/>
      <c r="AH476" s="907"/>
      <c r="AI476" s="907"/>
      <c r="AJ476" s="907"/>
      <c r="AK476" s="907"/>
      <c r="AL476" s="907"/>
      <c r="AM476" s="907"/>
    </row>
    <row r="477" spans="1:39">
      <c r="A477" s="907"/>
      <c r="B477" s="907"/>
      <c r="C477" s="907"/>
      <c r="D477" s="907"/>
      <c r="E477" s="907"/>
      <c r="F477" s="907"/>
      <c r="G477" s="907"/>
      <c r="H477" s="907"/>
      <c r="I477" s="907"/>
      <c r="J477" s="907"/>
      <c r="K477" s="907"/>
      <c r="L477" s="907"/>
      <c r="M477" s="907"/>
      <c r="N477" s="907"/>
      <c r="O477" s="907"/>
      <c r="P477" s="907"/>
      <c r="Q477" s="907"/>
      <c r="R477" s="907"/>
      <c r="S477" s="907"/>
      <c r="T477" s="907"/>
      <c r="U477" s="907"/>
      <c r="V477" s="907"/>
      <c r="W477" s="907"/>
      <c r="X477" s="907"/>
      <c r="Y477" s="907"/>
      <c r="Z477" s="907"/>
      <c r="AA477" s="907"/>
      <c r="AB477" s="907"/>
      <c r="AC477" s="907"/>
      <c r="AD477" s="907"/>
      <c r="AE477" s="907"/>
      <c r="AF477" s="907"/>
      <c r="AG477" s="907"/>
      <c r="AH477" s="907"/>
      <c r="AI477" s="907"/>
      <c r="AJ477" s="907"/>
      <c r="AK477" s="907"/>
      <c r="AL477" s="907"/>
      <c r="AM477" s="907"/>
    </row>
    <row r="478" spans="1:39">
      <c r="A478" s="907"/>
      <c r="B478" s="907"/>
      <c r="C478" s="907"/>
      <c r="D478" s="907"/>
      <c r="E478" s="907"/>
      <c r="F478" s="907"/>
      <c r="G478" s="907"/>
      <c r="H478" s="907"/>
      <c r="I478" s="907"/>
      <c r="J478" s="907"/>
      <c r="K478" s="907"/>
      <c r="L478" s="907"/>
      <c r="M478" s="907"/>
      <c r="N478" s="907"/>
      <c r="O478" s="907"/>
      <c r="P478" s="907"/>
      <c r="Q478" s="907"/>
      <c r="R478" s="907"/>
      <c r="S478" s="907"/>
      <c r="T478" s="907"/>
      <c r="U478" s="907"/>
      <c r="V478" s="907"/>
      <c r="W478" s="907"/>
      <c r="X478" s="907"/>
      <c r="Y478" s="907"/>
      <c r="Z478" s="907"/>
      <c r="AA478" s="907"/>
      <c r="AB478" s="907"/>
      <c r="AC478" s="907"/>
      <c r="AD478" s="907"/>
      <c r="AE478" s="907"/>
      <c r="AF478" s="907"/>
      <c r="AG478" s="907"/>
      <c r="AH478" s="907"/>
      <c r="AI478" s="907"/>
      <c r="AJ478" s="907"/>
      <c r="AK478" s="907"/>
      <c r="AL478" s="907"/>
      <c r="AM478" s="907"/>
    </row>
    <row r="479" spans="1:39">
      <c r="A479" s="907"/>
      <c r="B479" s="907"/>
      <c r="C479" s="907"/>
      <c r="D479" s="907"/>
      <c r="E479" s="907"/>
      <c r="F479" s="907"/>
      <c r="G479" s="907"/>
      <c r="H479" s="907"/>
      <c r="I479" s="907"/>
      <c r="J479" s="907"/>
      <c r="K479" s="907"/>
      <c r="L479" s="907"/>
      <c r="M479" s="907"/>
      <c r="N479" s="907"/>
      <c r="O479" s="907"/>
      <c r="P479" s="907"/>
      <c r="Q479" s="907"/>
      <c r="R479" s="907"/>
      <c r="S479" s="907"/>
      <c r="T479" s="907"/>
      <c r="U479" s="907"/>
      <c r="V479" s="907"/>
      <c r="W479" s="907"/>
      <c r="X479" s="907"/>
      <c r="Y479" s="907"/>
      <c r="Z479" s="907"/>
      <c r="AA479" s="907"/>
      <c r="AB479" s="907"/>
      <c r="AC479" s="907"/>
      <c r="AD479" s="907"/>
      <c r="AE479" s="907"/>
      <c r="AF479" s="907"/>
      <c r="AG479" s="907"/>
      <c r="AH479" s="907"/>
      <c r="AI479" s="907"/>
      <c r="AJ479" s="907"/>
      <c r="AK479" s="907"/>
      <c r="AL479" s="907"/>
      <c r="AM479" s="907"/>
    </row>
    <row r="480" spans="1:39">
      <c r="A480" s="907"/>
      <c r="B480" s="907"/>
      <c r="C480" s="907"/>
      <c r="D480" s="907"/>
      <c r="E480" s="907"/>
      <c r="F480" s="907"/>
      <c r="G480" s="907"/>
      <c r="H480" s="907"/>
      <c r="I480" s="907"/>
      <c r="J480" s="907"/>
      <c r="K480" s="907"/>
      <c r="L480" s="907"/>
      <c r="M480" s="907"/>
      <c r="N480" s="907"/>
      <c r="O480" s="907"/>
      <c r="P480" s="907"/>
      <c r="Q480" s="907"/>
      <c r="R480" s="907"/>
      <c r="S480" s="907"/>
      <c r="T480" s="907"/>
      <c r="U480" s="907"/>
      <c r="V480" s="907"/>
      <c r="W480" s="907"/>
      <c r="X480" s="907"/>
      <c r="Y480" s="907"/>
      <c r="Z480" s="907"/>
      <c r="AA480" s="907"/>
      <c r="AB480" s="907"/>
      <c r="AC480" s="907"/>
      <c r="AD480" s="907"/>
      <c r="AE480" s="907"/>
      <c r="AF480" s="907"/>
      <c r="AG480" s="907"/>
      <c r="AH480" s="907"/>
      <c r="AI480" s="907"/>
      <c r="AJ480" s="907"/>
      <c r="AK480" s="907"/>
      <c r="AL480" s="907"/>
      <c r="AM480" s="907"/>
    </row>
    <row r="481" spans="1:39">
      <c r="A481" s="907"/>
      <c r="B481" s="907"/>
      <c r="C481" s="907"/>
      <c r="D481" s="907"/>
      <c r="E481" s="907"/>
      <c r="F481" s="907"/>
      <c r="G481" s="907"/>
      <c r="H481" s="907"/>
      <c r="I481" s="907"/>
      <c r="J481" s="907"/>
      <c r="K481" s="907"/>
      <c r="L481" s="907"/>
      <c r="M481" s="907"/>
      <c r="N481" s="907"/>
      <c r="O481" s="907"/>
      <c r="P481" s="907"/>
      <c r="Q481" s="907"/>
      <c r="R481" s="907"/>
      <c r="S481" s="907"/>
      <c r="T481" s="907"/>
      <c r="U481" s="907"/>
      <c r="V481" s="907"/>
      <c r="W481" s="907"/>
      <c r="X481" s="907"/>
      <c r="Y481" s="907"/>
      <c r="Z481" s="907"/>
      <c r="AA481" s="907"/>
      <c r="AB481" s="907"/>
      <c r="AC481" s="907"/>
      <c r="AD481" s="907"/>
      <c r="AE481" s="907"/>
      <c r="AF481" s="907"/>
      <c r="AG481" s="907"/>
      <c r="AH481" s="907"/>
      <c r="AI481" s="907"/>
      <c r="AJ481" s="907"/>
      <c r="AK481" s="907"/>
      <c r="AL481" s="907"/>
      <c r="AM481" s="907"/>
    </row>
    <row r="482" spans="1:39">
      <c r="A482" s="907"/>
      <c r="B482" s="907"/>
      <c r="C482" s="907"/>
      <c r="D482" s="907"/>
      <c r="E482" s="907"/>
      <c r="F482" s="907"/>
      <c r="G482" s="907"/>
      <c r="H482" s="907"/>
      <c r="I482" s="907"/>
      <c r="J482" s="907"/>
      <c r="K482" s="907"/>
      <c r="L482" s="907"/>
      <c r="M482" s="907"/>
      <c r="N482" s="907"/>
      <c r="O482" s="907"/>
      <c r="P482" s="907"/>
      <c r="Q482" s="907"/>
      <c r="R482" s="907"/>
      <c r="S482" s="907"/>
      <c r="T482" s="907"/>
      <c r="U482" s="907"/>
      <c r="V482" s="907"/>
      <c r="W482" s="907"/>
      <c r="X482" s="907"/>
      <c r="Y482" s="907"/>
      <c r="Z482" s="907"/>
      <c r="AA482" s="907"/>
      <c r="AB482" s="907"/>
      <c r="AC482" s="907"/>
      <c r="AD482" s="907"/>
      <c r="AE482" s="907"/>
      <c r="AF482" s="907"/>
      <c r="AG482" s="907"/>
      <c r="AH482" s="907"/>
      <c r="AI482" s="907"/>
      <c r="AJ482" s="907"/>
      <c r="AK482" s="907"/>
      <c r="AL482" s="907"/>
      <c r="AM482" s="907"/>
    </row>
    <row r="483" spans="1:39">
      <c r="A483" s="907"/>
      <c r="B483" s="907"/>
      <c r="C483" s="907"/>
      <c r="D483" s="907"/>
      <c r="E483" s="907"/>
      <c r="F483" s="907"/>
      <c r="G483" s="907"/>
      <c r="H483" s="907"/>
      <c r="I483" s="907"/>
      <c r="J483" s="907"/>
      <c r="K483" s="907"/>
      <c r="L483" s="907"/>
      <c r="M483" s="907"/>
      <c r="N483" s="907"/>
      <c r="O483" s="907"/>
      <c r="P483" s="907"/>
      <c r="Q483" s="907"/>
      <c r="R483" s="907"/>
      <c r="S483" s="907"/>
      <c r="T483" s="907"/>
      <c r="U483" s="907"/>
      <c r="V483" s="907"/>
      <c r="W483" s="907"/>
      <c r="X483" s="907"/>
      <c r="Y483" s="907"/>
      <c r="Z483" s="907"/>
      <c r="AA483" s="907"/>
      <c r="AB483" s="907"/>
      <c r="AC483" s="907"/>
      <c r="AD483" s="907"/>
      <c r="AE483" s="907"/>
      <c r="AF483" s="907"/>
      <c r="AG483" s="907"/>
      <c r="AH483" s="907"/>
      <c r="AI483" s="907"/>
      <c r="AJ483" s="907"/>
      <c r="AK483" s="907"/>
      <c r="AL483" s="907"/>
      <c r="AM483" s="907"/>
    </row>
    <row r="484" spans="1:39">
      <c r="A484" s="907"/>
      <c r="B484" s="907"/>
      <c r="C484" s="907"/>
      <c r="D484" s="907"/>
      <c r="E484" s="907"/>
      <c r="F484" s="907"/>
      <c r="G484" s="907"/>
      <c r="H484" s="907"/>
      <c r="I484" s="907"/>
      <c r="J484" s="907"/>
      <c r="K484" s="907"/>
      <c r="L484" s="907"/>
      <c r="M484" s="907"/>
      <c r="N484" s="907"/>
      <c r="O484" s="907"/>
      <c r="P484" s="907"/>
      <c r="Q484" s="907"/>
      <c r="R484" s="907"/>
      <c r="S484" s="907"/>
      <c r="T484" s="907"/>
      <c r="U484" s="907"/>
      <c r="V484" s="907"/>
      <c r="W484" s="907"/>
      <c r="X484" s="907"/>
      <c r="Y484" s="907"/>
      <c r="Z484" s="907"/>
      <c r="AA484" s="907"/>
      <c r="AB484" s="907"/>
      <c r="AC484" s="907"/>
      <c r="AD484" s="907"/>
      <c r="AE484" s="907"/>
      <c r="AF484" s="907"/>
      <c r="AG484" s="907"/>
      <c r="AH484" s="907"/>
      <c r="AI484" s="907"/>
      <c r="AJ484" s="907"/>
      <c r="AK484" s="907"/>
      <c r="AL484" s="907"/>
      <c r="AM484" s="907"/>
    </row>
    <row r="485" spans="1:39">
      <c r="A485" s="907"/>
      <c r="B485" s="907"/>
      <c r="C485" s="907"/>
      <c r="D485" s="907"/>
      <c r="E485" s="907"/>
      <c r="F485" s="907"/>
      <c r="G485" s="907"/>
      <c r="H485" s="907"/>
      <c r="I485" s="907"/>
      <c r="J485" s="907"/>
      <c r="K485" s="907"/>
      <c r="L485" s="907"/>
      <c r="M485" s="907"/>
      <c r="N485" s="907"/>
      <c r="O485" s="907"/>
      <c r="P485" s="907"/>
      <c r="Q485" s="907"/>
      <c r="R485" s="907"/>
      <c r="S485" s="907"/>
      <c r="T485" s="907"/>
      <c r="U485" s="907"/>
      <c r="V485" s="907"/>
      <c r="W485" s="907"/>
      <c r="X485" s="907"/>
      <c r="Y485" s="907"/>
      <c r="Z485" s="907"/>
      <c r="AA485" s="907"/>
      <c r="AB485" s="907"/>
      <c r="AC485" s="907"/>
      <c r="AD485" s="907"/>
      <c r="AE485" s="907"/>
      <c r="AF485" s="907"/>
      <c r="AG485" s="907"/>
      <c r="AH485" s="907"/>
      <c r="AI485" s="907"/>
      <c r="AJ485" s="907"/>
      <c r="AK485" s="907"/>
      <c r="AL485" s="907"/>
      <c r="AM485" s="907"/>
    </row>
    <row r="486" spans="1:39">
      <c r="A486" s="907"/>
      <c r="B486" s="907"/>
      <c r="C486" s="907"/>
      <c r="D486" s="907"/>
      <c r="E486" s="907"/>
      <c r="F486" s="907"/>
      <c r="G486" s="907"/>
      <c r="H486" s="907"/>
      <c r="I486" s="907"/>
      <c r="J486" s="907"/>
      <c r="K486" s="907"/>
      <c r="L486" s="907"/>
      <c r="M486" s="907"/>
      <c r="N486" s="907"/>
      <c r="O486" s="907"/>
      <c r="P486" s="907"/>
      <c r="Q486" s="907"/>
      <c r="R486" s="907"/>
      <c r="S486" s="907"/>
      <c r="T486" s="907"/>
      <c r="U486" s="907"/>
      <c r="V486" s="907"/>
      <c r="W486" s="907"/>
      <c r="X486" s="907"/>
      <c r="Y486" s="907"/>
      <c r="Z486" s="907"/>
      <c r="AA486" s="907"/>
      <c r="AB486" s="907"/>
      <c r="AC486" s="907"/>
      <c r="AD486" s="907"/>
      <c r="AE486" s="907"/>
      <c r="AF486" s="907"/>
      <c r="AG486" s="907"/>
      <c r="AH486" s="907"/>
      <c r="AI486" s="907"/>
      <c r="AJ486" s="907"/>
      <c r="AK486" s="907"/>
      <c r="AL486" s="907"/>
      <c r="AM486" s="907"/>
    </row>
    <row r="487" spans="1:39">
      <c r="A487" s="907"/>
      <c r="B487" s="907"/>
      <c r="C487" s="907"/>
      <c r="D487" s="907"/>
      <c r="E487" s="907"/>
      <c r="F487" s="907"/>
      <c r="G487" s="907"/>
      <c r="H487" s="907"/>
      <c r="I487" s="907"/>
      <c r="J487" s="907"/>
      <c r="K487" s="907"/>
      <c r="L487" s="907"/>
      <c r="M487" s="907"/>
      <c r="N487" s="907"/>
      <c r="O487" s="907"/>
      <c r="P487" s="907"/>
      <c r="Q487" s="907"/>
      <c r="R487" s="907"/>
      <c r="S487" s="907"/>
      <c r="T487" s="907"/>
      <c r="U487" s="907"/>
      <c r="V487" s="907"/>
      <c r="W487" s="907"/>
      <c r="X487" s="907"/>
      <c r="Y487" s="907"/>
      <c r="Z487" s="907"/>
      <c r="AA487" s="907"/>
      <c r="AB487" s="907"/>
      <c r="AC487" s="907"/>
      <c r="AD487" s="907"/>
      <c r="AE487" s="907"/>
      <c r="AF487" s="907"/>
      <c r="AG487" s="907"/>
      <c r="AH487" s="907"/>
      <c r="AI487" s="907"/>
      <c r="AJ487" s="907"/>
      <c r="AK487" s="907"/>
      <c r="AL487" s="907"/>
      <c r="AM487" s="907"/>
    </row>
    <row r="488" spans="1:39">
      <c r="A488" s="907"/>
      <c r="B488" s="907"/>
      <c r="C488" s="907"/>
      <c r="D488" s="907"/>
      <c r="E488" s="907"/>
      <c r="F488" s="907"/>
      <c r="G488" s="907"/>
      <c r="H488" s="907"/>
      <c r="I488" s="907"/>
      <c r="J488" s="907"/>
      <c r="K488" s="907"/>
      <c r="L488" s="907"/>
      <c r="M488" s="907"/>
      <c r="N488" s="907"/>
      <c r="O488" s="907"/>
      <c r="P488" s="907"/>
      <c r="Q488" s="907"/>
      <c r="R488" s="907"/>
      <c r="S488" s="907"/>
      <c r="T488" s="907"/>
      <c r="U488" s="907"/>
      <c r="V488" s="907"/>
      <c r="W488" s="907"/>
      <c r="X488" s="907"/>
      <c r="Y488" s="907"/>
      <c r="Z488" s="907"/>
      <c r="AA488" s="907"/>
      <c r="AB488" s="907"/>
      <c r="AC488" s="907"/>
      <c r="AD488" s="907"/>
      <c r="AE488" s="907"/>
      <c r="AF488" s="907"/>
      <c r="AG488" s="907"/>
      <c r="AH488" s="907"/>
      <c r="AI488" s="907"/>
      <c r="AJ488" s="907"/>
      <c r="AK488" s="907"/>
      <c r="AL488" s="907"/>
      <c r="AM488" s="907"/>
    </row>
    <row r="489" spans="1:39">
      <c r="A489" s="907"/>
      <c r="B489" s="907"/>
      <c r="C489" s="907"/>
      <c r="D489" s="907"/>
      <c r="E489" s="907"/>
      <c r="F489" s="907"/>
      <c r="G489" s="907"/>
      <c r="H489" s="907"/>
      <c r="I489" s="907"/>
      <c r="J489" s="907"/>
      <c r="K489" s="907"/>
      <c r="L489" s="907"/>
      <c r="M489" s="907"/>
      <c r="N489" s="907"/>
      <c r="O489" s="907"/>
      <c r="P489" s="907"/>
      <c r="Q489" s="907"/>
      <c r="R489" s="907"/>
      <c r="S489" s="907"/>
      <c r="T489" s="907"/>
      <c r="U489" s="907"/>
      <c r="V489" s="907"/>
      <c r="W489" s="907"/>
      <c r="X489" s="907"/>
      <c r="Y489" s="907"/>
      <c r="Z489" s="907"/>
      <c r="AA489" s="907"/>
      <c r="AB489" s="907"/>
      <c r="AC489" s="907"/>
      <c r="AD489" s="907"/>
      <c r="AE489" s="907"/>
      <c r="AF489" s="907"/>
      <c r="AG489" s="907"/>
      <c r="AH489" s="907"/>
      <c r="AI489" s="907"/>
      <c r="AJ489" s="907"/>
      <c r="AK489" s="907"/>
      <c r="AL489" s="907"/>
      <c r="AM489" s="907"/>
    </row>
    <row r="490" spans="1:39">
      <c r="A490" s="907"/>
      <c r="B490" s="907"/>
      <c r="C490" s="907"/>
      <c r="D490" s="907"/>
      <c r="E490" s="907"/>
      <c r="F490" s="907"/>
      <c r="G490" s="907"/>
      <c r="H490" s="907"/>
      <c r="I490" s="907"/>
      <c r="J490" s="907"/>
      <c r="K490" s="907"/>
      <c r="L490" s="907"/>
      <c r="M490" s="907"/>
      <c r="N490" s="907"/>
      <c r="O490" s="907"/>
      <c r="P490" s="907"/>
      <c r="Q490" s="907"/>
      <c r="R490" s="907"/>
      <c r="S490" s="907"/>
      <c r="T490" s="907"/>
      <c r="U490" s="907"/>
      <c r="V490" s="907"/>
      <c r="W490" s="907"/>
      <c r="X490" s="907"/>
      <c r="Y490" s="907"/>
      <c r="Z490" s="907"/>
      <c r="AA490" s="907"/>
      <c r="AB490" s="907"/>
      <c r="AC490" s="907"/>
      <c r="AD490" s="907"/>
      <c r="AE490" s="907"/>
      <c r="AF490" s="907"/>
      <c r="AG490" s="907"/>
      <c r="AH490" s="907"/>
      <c r="AI490" s="907"/>
      <c r="AJ490" s="907"/>
      <c r="AK490" s="907"/>
      <c r="AL490" s="907"/>
      <c r="AM490" s="907"/>
    </row>
    <row r="491" spans="1:39">
      <c r="A491" s="907"/>
      <c r="B491" s="907"/>
      <c r="C491" s="907"/>
      <c r="D491" s="907"/>
      <c r="E491" s="907"/>
      <c r="F491" s="907"/>
      <c r="G491" s="907"/>
      <c r="H491" s="907"/>
      <c r="I491" s="907"/>
      <c r="J491" s="907"/>
      <c r="K491" s="907"/>
      <c r="L491" s="907"/>
      <c r="M491" s="907"/>
      <c r="N491" s="907"/>
      <c r="O491" s="907"/>
      <c r="P491" s="907"/>
      <c r="Q491" s="907"/>
      <c r="R491" s="907"/>
      <c r="S491" s="907"/>
      <c r="T491" s="907"/>
      <c r="U491" s="907"/>
      <c r="V491" s="907"/>
      <c r="W491" s="907"/>
      <c r="X491" s="907"/>
      <c r="Y491" s="907"/>
      <c r="Z491" s="907"/>
      <c r="AA491" s="907"/>
      <c r="AB491" s="907"/>
      <c r="AC491" s="907"/>
      <c r="AD491" s="907"/>
      <c r="AE491" s="907"/>
      <c r="AF491" s="907"/>
      <c r="AG491" s="907"/>
      <c r="AH491" s="907"/>
      <c r="AI491" s="907"/>
      <c r="AJ491" s="907"/>
      <c r="AK491" s="907"/>
      <c r="AL491" s="907"/>
      <c r="AM491" s="907"/>
    </row>
    <row r="492" spans="1:39">
      <c r="A492" s="907"/>
      <c r="B492" s="907"/>
      <c r="C492" s="907"/>
      <c r="D492" s="907"/>
      <c r="E492" s="907"/>
      <c r="F492" s="907"/>
      <c r="G492" s="907"/>
      <c r="H492" s="907"/>
      <c r="I492" s="907"/>
      <c r="J492" s="907"/>
      <c r="K492" s="907"/>
      <c r="L492" s="907"/>
      <c r="M492" s="907"/>
      <c r="N492" s="907"/>
      <c r="O492" s="907"/>
      <c r="P492" s="907"/>
      <c r="Q492" s="907"/>
      <c r="R492" s="907"/>
      <c r="S492" s="907"/>
      <c r="T492" s="907"/>
      <c r="U492" s="907"/>
      <c r="V492" s="907"/>
      <c r="W492" s="907"/>
      <c r="X492" s="907"/>
      <c r="Y492" s="907"/>
      <c r="Z492" s="907"/>
      <c r="AA492" s="907"/>
      <c r="AB492" s="907"/>
      <c r="AC492" s="907"/>
      <c r="AD492" s="907"/>
      <c r="AE492" s="907"/>
      <c r="AF492" s="907"/>
      <c r="AG492" s="907"/>
      <c r="AH492" s="907"/>
      <c r="AI492" s="907"/>
      <c r="AJ492" s="907"/>
      <c r="AK492" s="907"/>
      <c r="AL492" s="907"/>
      <c r="AM492" s="907"/>
    </row>
    <row r="493" spans="1:39">
      <c r="A493" s="907"/>
      <c r="B493" s="907"/>
      <c r="C493" s="907"/>
      <c r="D493" s="907"/>
      <c r="E493" s="907"/>
      <c r="F493" s="907"/>
      <c r="G493" s="907"/>
      <c r="H493" s="907"/>
      <c r="I493" s="907"/>
      <c r="J493" s="907"/>
      <c r="K493" s="907"/>
      <c r="L493" s="907"/>
      <c r="M493" s="907"/>
      <c r="N493" s="907"/>
      <c r="O493" s="907"/>
      <c r="P493" s="907"/>
      <c r="Q493" s="907"/>
      <c r="R493" s="907"/>
      <c r="S493" s="907"/>
      <c r="T493" s="907"/>
      <c r="U493" s="907"/>
      <c r="V493" s="907"/>
      <c r="W493" s="907"/>
      <c r="X493" s="907"/>
      <c r="Y493" s="907"/>
      <c r="Z493" s="907"/>
      <c r="AA493" s="907"/>
      <c r="AB493" s="907"/>
      <c r="AC493" s="907"/>
      <c r="AD493" s="907"/>
      <c r="AE493" s="907"/>
      <c r="AF493" s="907"/>
      <c r="AG493" s="907"/>
      <c r="AH493" s="907"/>
      <c r="AI493" s="907"/>
      <c r="AJ493" s="907"/>
      <c r="AK493" s="907"/>
      <c r="AL493" s="907"/>
      <c r="AM493" s="907"/>
    </row>
    <row r="494" spans="1:39">
      <c r="A494" s="907"/>
      <c r="B494" s="907"/>
      <c r="C494" s="907"/>
      <c r="D494" s="907"/>
      <c r="E494" s="907"/>
      <c r="F494" s="907"/>
      <c r="G494" s="907"/>
      <c r="H494" s="907"/>
      <c r="I494" s="907"/>
      <c r="J494" s="907"/>
      <c r="K494" s="907"/>
      <c r="L494" s="907"/>
      <c r="M494" s="907"/>
      <c r="N494" s="907"/>
      <c r="O494" s="907"/>
      <c r="P494" s="907"/>
      <c r="Q494" s="907"/>
      <c r="R494" s="907"/>
      <c r="S494" s="907"/>
      <c r="T494" s="907"/>
      <c r="U494" s="907"/>
      <c r="V494" s="907"/>
      <c r="W494" s="907"/>
      <c r="X494" s="907"/>
      <c r="Y494" s="907"/>
      <c r="Z494" s="907"/>
      <c r="AA494" s="907"/>
      <c r="AB494" s="907"/>
      <c r="AC494" s="907"/>
      <c r="AD494" s="907"/>
      <c r="AE494" s="907"/>
      <c r="AF494" s="907"/>
      <c r="AG494" s="907"/>
      <c r="AH494" s="907"/>
      <c r="AI494" s="907"/>
      <c r="AJ494" s="907"/>
      <c r="AK494" s="907"/>
      <c r="AL494" s="907"/>
      <c r="AM494" s="907"/>
    </row>
    <row r="495" spans="1:39">
      <c r="A495" s="907"/>
      <c r="B495" s="907"/>
      <c r="C495" s="907"/>
      <c r="D495" s="907"/>
      <c r="E495" s="907"/>
      <c r="F495" s="907"/>
      <c r="G495" s="907"/>
      <c r="H495" s="907"/>
      <c r="I495" s="907"/>
      <c r="J495" s="907"/>
      <c r="K495" s="907"/>
      <c r="L495" s="907"/>
      <c r="M495" s="907"/>
      <c r="N495" s="907"/>
      <c r="O495" s="907"/>
      <c r="P495" s="907"/>
      <c r="Q495" s="907"/>
      <c r="R495" s="907"/>
      <c r="S495" s="907"/>
      <c r="T495" s="907"/>
      <c r="U495" s="907"/>
      <c r="V495" s="907"/>
      <c r="W495" s="907"/>
      <c r="X495" s="907"/>
      <c r="Y495" s="907"/>
      <c r="Z495" s="907"/>
      <c r="AA495" s="907"/>
      <c r="AB495" s="907"/>
      <c r="AC495" s="907"/>
      <c r="AD495" s="907"/>
      <c r="AE495" s="907"/>
      <c r="AF495" s="907"/>
      <c r="AG495" s="907"/>
      <c r="AH495" s="907"/>
      <c r="AI495" s="907"/>
      <c r="AJ495" s="907"/>
      <c r="AK495" s="907"/>
      <c r="AL495" s="907"/>
      <c r="AM495" s="907"/>
    </row>
    <row r="496" spans="1:39">
      <c r="A496" s="907"/>
      <c r="B496" s="907"/>
      <c r="C496" s="907"/>
      <c r="D496" s="907"/>
      <c r="E496" s="907"/>
      <c r="F496" s="907"/>
      <c r="G496" s="907"/>
      <c r="H496" s="907"/>
      <c r="I496" s="907"/>
      <c r="J496" s="907"/>
      <c r="K496" s="907"/>
      <c r="L496" s="907"/>
      <c r="M496" s="907"/>
      <c r="N496" s="907"/>
      <c r="O496" s="907"/>
      <c r="P496" s="907"/>
      <c r="Q496" s="907"/>
      <c r="R496" s="907"/>
      <c r="S496" s="907"/>
      <c r="T496" s="907"/>
      <c r="U496" s="907"/>
      <c r="V496" s="907"/>
      <c r="W496" s="907"/>
      <c r="X496" s="907"/>
      <c r="Y496" s="907"/>
      <c r="Z496" s="907"/>
      <c r="AA496" s="907"/>
      <c r="AB496" s="907"/>
      <c r="AC496" s="907"/>
      <c r="AD496" s="907"/>
      <c r="AE496" s="907"/>
      <c r="AF496" s="907"/>
      <c r="AG496" s="907"/>
      <c r="AH496" s="907"/>
      <c r="AI496" s="907"/>
      <c r="AJ496" s="907"/>
      <c r="AK496" s="907"/>
      <c r="AL496" s="907"/>
      <c r="AM496" s="907"/>
    </row>
    <row r="497" spans="1:39">
      <c r="A497" s="907"/>
      <c r="B497" s="907"/>
      <c r="C497" s="907"/>
      <c r="D497" s="907"/>
      <c r="E497" s="907"/>
      <c r="F497" s="907"/>
      <c r="G497" s="907"/>
      <c r="H497" s="907"/>
      <c r="I497" s="907"/>
      <c r="J497" s="907"/>
      <c r="K497" s="907"/>
      <c r="L497" s="907"/>
      <c r="M497" s="907"/>
      <c r="N497" s="907"/>
      <c r="O497" s="907"/>
      <c r="P497" s="907"/>
      <c r="Q497" s="907"/>
      <c r="R497" s="907"/>
      <c r="S497" s="907"/>
      <c r="T497" s="907"/>
      <c r="U497" s="907"/>
      <c r="V497" s="907"/>
      <c r="W497" s="907"/>
      <c r="X497" s="907"/>
      <c r="Y497" s="907"/>
      <c r="Z497" s="907"/>
      <c r="AA497" s="907"/>
      <c r="AB497" s="907"/>
      <c r="AC497" s="907"/>
      <c r="AD497" s="907"/>
      <c r="AE497" s="907"/>
      <c r="AF497" s="907"/>
      <c r="AG497" s="907"/>
      <c r="AH497" s="907"/>
      <c r="AI497" s="907"/>
      <c r="AJ497" s="907"/>
      <c r="AK497" s="907"/>
      <c r="AL497" s="907"/>
      <c r="AM497" s="907"/>
    </row>
    <row r="498" spans="1:39">
      <c r="A498" s="907"/>
      <c r="B498" s="907"/>
      <c r="C498" s="907"/>
      <c r="D498" s="907"/>
      <c r="E498" s="907"/>
      <c r="F498" s="907"/>
      <c r="G498" s="907"/>
      <c r="H498" s="907"/>
      <c r="I498" s="907"/>
      <c r="J498" s="907"/>
      <c r="K498" s="907"/>
      <c r="L498" s="907"/>
      <c r="M498" s="907"/>
      <c r="N498" s="907"/>
      <c r="O498" s="907"/>
      <c r="P498" s="907"/>
      <c r="Q498" s="907"/>
      <c r="R498" s="907"/>
      <c r="S498" s="907"/>
      <c r="T498" s="907"/>
      <c r="U498" s="907"/>
      <c r="V498" s="907"/>
      <c r="W498" s="907"/>
      <c r="X498" s="907"/>
      <c r="Y498" s="907"/>
      <c r="Z498" s="907"/>
      <c r="AA498" s="907"/>
      <c r="AB498" s="907"/>
      <c r="AC498" s="907"/>
      <c r="AD498" s="907"/>
      <c r="AE498" s="907"/>
      <c r="AF498" s="907"/>
      <c r="AG498" s="907"/>
      <c r="AH498" s="907"/>
      <c r="AI498" s="907"/>
      <c r="AJ498" s="907"/>
      <c r="AK498" s="907"/>
      <c r="AL498" s="907"/>
      <c r="AM498" s="907"/>
    </row>
    <row r="499" spans="1:39">
      <c r="A499" s="907"/>
      <c r="B499" s="907"/>
      <c r="C499" s="907"/>
      <c r="D499" s="907"/>
      <c r="E499" s="907"/>
      <c r="F499" s="907"/>
      <c r="G499" s="907"/>
      <c r="H499" s="907"/>
      <c r="I499" s="907"/>
      <c r="J499" s="907"/>
      <c r="K499" s="907"/>
      <c r="L499" s="907"/>
      <c r="M499" s="907"/>
      <c r="N499" s="907"/>
      <c r="O499" s="907"/>
      <c r="P499" s="907"/>
      <c r="Q499" s="907"/>
      <c r="R499" s="907"/>
      <c r="S499" s="907"/>
      <c r="T499" s="907"/>
      <c r="U499" s="907"/>
      <c r="V499" s="907"/>
      <c r="W499" s="907"/>
      <c r="X499" s="907"/>
      <c r="Y499" s="907"/>
      <c r="Z499" s="907"/>
      <c r="AA499" s="907"/>
      <c r="AB499" s="907"/>
      <c r="AC499" s="907"/>
      <c r="AD499" s="907"/>
      <c r="AE499" s="907"/>
      <c r="AF499" s="907"/>
      <c r="AG499" s="907"/>
      <c r="AH499" s="907"/>
      <c r="AI499" s="907"/>
      <c r="AJ499" s="907"/>
      <c r="AK499" s="907"/>
      <c r="AL499" s="907"/>
      <c r="AM499" s="907"/>
    </row>
    <row r="500" spans="1:39">
      <c r="A500" s="907"/>
      <c r="B500" s="907"/>
      <c r="C500" s="907"/>
      <c r="D500" s="907"/>
      <c r="E500" s="907"/>
      <c r="F500" s="907"/>
      <c r="G500" s="907"/>
      <c r="H500" s="907"/>
      <c r="I500" s="907"/>
      <c r="J500" s="907"/>
      <c r="K500" s="907"/>
      <c r="L500" s="907"/>
      <c r="M500" s="907"/>
      <c r="N500" s="907"/>
      <c r="O500" s="907"/>
      <c r="P500" s="907"/>
      <c r="Q500" s="907"/>
      <c r="R500" s="907"/>
      <c r="S500" s="907"/>
      <c r="T500" s="907"/>
      <c r="U500" s="907"/>
      <c r="V500" s="907"/>
      <c r="W500" s="907"/>
      <c r="X500" s="907"/>
      <c r="Y500" s="907"/>
      <c r="Z500" s="907"/>
      <c r="AA500" s="907"/>
      <c r="AB500" s="907"/>
      <c r="AC500" s="907"/>
      <c r="AD500" s="907"/>
      <c r="AE500" s="907"/>
      <c r="AF500" s="907"/>
      <c r="AG500" s="907"/>
      <c r="AH500" s="907"/>
      <c r="AI500" s="907"/>
      <c r="AJ500" s="907"/>
      <c r="AK500" s="907"/>
      <c r="AL500" s="907"/>
      <c r="AM500" s="907"/>
    </row>
    <row r="501" spans="1:39">
      <c r="A501" s="907"/>
      <c r="B501" s="907"/>
      <c r="C501" s="907"/>
      <c r="D501" s="907"/>
      <c r="E501" s="907"/>
      <c r="F501" s="907"/>
      <c r="G501" s="907"/>
      <c r="H501" s="907"/>
      <c r="I501" s="907"/>
      <c r="J501" s="907"/>
      <c r="K501" s="907"/>
      <c r="L501" s="907"/>
      <c r="M501" s="907"/>
      <c r="N501" s="907"/>
      <c r="O501" s="907"/>
      <c r="P501" s="907"/>
      <c r="Q501" s="907"/>
      <c r="R501" s="907"/>
      <c r="S501" s="907"/>
      <c r="T501" s="907"/>
      <c r="U501" s="907"/>
      <c r="V501" s="907"/>
      <c r="W501" s="907"/>
      <c r="X501" s="907"/>
      <c r="Y501" s="907"/>
      <c r="Z501" s="907"/>
      <c r="AA501" s="907"/>
      <c r="AB501" s="907"/>
      <c r="AC501" s="907"/>
      <c r="AD501" s="907"/>
      <c r="AE501" s="907"/>
      <c r="AF501" s="907"/>
      <c r="AG501" s="907"/>
      <c r="AH501" s="907"/>
      <c r="AI501" s="907"/>
      <c r="AJ501" s="907"/>
      <c r="AK501" s="907"/>
      <c r="AL501" s="907"/>
      <c r="AM501" s="907"/>
    </row>
    <row r="502" spans="1:39">
      <c r="A502" s="907"/>
      <c r="B502" s="907"/>
      <c r="C502" s="907"/>
      <c r="D502" s="907"/>
      <c r="E502" s="907"/>
      <c r="F502" s="907"/>
      <c r="G502" s="907"/>
      <c r="H502" s="907"/>
      <c r="I502" s="907"/>
      <c r="J502" s="907"/>
      <c r="K502" s="907"/>
      <c r="L502" s="907"/>
      <c r="M502" s="907"/>
      <c r="N502" s="907"/>
      <c r="O502" s="907"/>
      <c r="P502" s="907"/>
      <c r="Q502" s="907"/>
      <c r="R502" s="907"/>
      <c r="S502" s="907"/>
      <c r="T502" s="907"/>
      <c r="U502" s="907"/>
      <c r="V502" s="907"/>
      <c r="W502" s="907"/>
      <c r="X502" s="907"/>
      <c r="Y502" s="907"/>
      <c r="Z502" s="907"/>
      <c r="AA502" s="907"/>
      <c r="AB502" s="907"/>
      <c r="AC502" s="907"/>
      <c r="AD502" s="907"/>
      <c r="AE502" s="907"/>
      <c r="AF502" s="907"/>
      <c r="AG502" s="907"/>
      <c r="AH502" s="907"/>
      <c r="AI502" s="907"/>
      <c r="AJ502" s="907"/>
      <c r="AK502" s="907"/>
      <c r="AL502" s="907"/>
      <c r="AM502" s="907"/>
    </row>
    <row r="503" spans="1:39">
      <c r="A503" s="907"/>
      <c r="B503" s="907"/>
      <c r="C503" s="907"/>
      <c r="D503" s="907"/>
      <c r="E503" s="907"/>
      <c r="F503" s="907"/>
      <c r="G503" s="907"/>
      <c r="H503" s="907"/>
      <c r="I503" s="907"/>
      <c r="J503" s="907"/>
      <c r="K503" s="907"/>
      <c r="L503" s="907"/>
      <c r="M503" s="907"/>
      <c r="N503" s="907"/>
      <c r="O503" s="907"/>
      <c r="P503" s="907"/>
      <c r="Q503" s="907"/>
      <c r="R503" s="907"/>
      <c r="S503" s="907"/>
      <c r="T503" s="907"/>
      <c r="U503" s="907"/>
      <c r="V503" s="907"/>
      <c r="W503" s="907"/>
      <c r="X503" s="907"/>
      <c r="Y503" s="907"/>
      <c r="Z503" s="907"/>
      <c r="AA503" s="907"/>
      <c r="AB503" s="907"/>
      <c r="AC503" s="907"/>
      <c r="AD503" s="907"/>
      <c r="AE503" s="907"/>
      <c r="AF503" s="907"/>
      <c r="AG503" s="907"/>
      <c r="AH503" s="907"/>
      <c r="AI503" s="907"/>
      <c r="AJ503" s="907"/>
      <c r="AK503" s="907"/>
      <c r="AL503" s="907"/>
      <c r="AM503" s="907"/>
    </row>
    <row r="504" spans="1:39">
      <c r="A504" s="907"/>
      <c r="B504" s="907"/>
      <c r="C504" s="907"/>
      <c r="D504" s="907"/>
      <c r="E504" s="907"/>
      <c r="F504" s="907"/>
      <c r="G504" s="907"/>
      <c r="H504" s="907"/>
      <c r="I504" s="907"/>
      <c r="J504" s="907"/>
      <c r="K504" s="907"/>
      <c r="L504" s="907"/>
      <c r="M504" s="907"/>
      <c r="N504" s="907"/>
      <c r="O504" s="907"/>
      <c r="P504" s="907"/>
      <c r="Q504" s="907"/>
      <c r="R504" s="907"/>
      <c r="S504" s="907"/>
      <c r="T504" s="907"/>
      <c r="U504" s="907"/>
      <c r="V504" s="907"/>
      <c r="W504" s="907"/>
      <c r="X504" s="907"/>
      <c r="Y504" s="907"/>
      <c r="Z504" s="907"/>
      <c r="AA504" s="907"/>
      <c r="AB504" s="907"/>
      <c r="AC504" s="907"/>
      <c r="AD504" s="907"/>
      <c r="AE504" s="907"/>
      <c r="AF504" s="907"/>
      <c r="AG504" s="907"/>
      <c r="AH504" s="907"/>
      <c r="AI504" s="907"/>
      <c r="AJ504" s="907"/>
      <c r="AK504" s="907"/>
      <c r="AL504" s="907"/>
      <c r="AM504" s="907"/>
    </row>
    <row r="505" spans="1:39">
      <c r="A505" s="907"/>
      <c r="B505" s="907"/>
      <c r="C505" s="907"/>
      <c r="D505" s="907"/>
      <c r="E505" s="907"/>
      <c r="F505" s="907"/>
      <c r="G505" s="907"/>
      <c r="H505" s="907"/>
      <c r="I505" s="907"/>
      <c r="J505" s="907"/>
      <c r="K505" s="907"/>
      <c r="L505" s="907"/>
      <c r="M505" s="907"/>
      <c r="N505" s="907"/>
      <c r="O505" s="907"/>
      <c r="P505" s="907"/>
      <c r="Q505" s="907"/>
      <c r="R505" s="907"/>
      <c r="S505" s="907"/>
      <c r="T505" s="907"/>
      <c r="U505" s="907"/>
      <c r="V505" s="907"/>
      <c r="W505" s="907"/>
      <c r="X505" s="907"/>
      <c r="Y505" s="907"/>
      <c r="Z505" s="907"/>
      <c r="AA505" s="907"/>
      <c r="AB505" s="907"/>
      <c r="AC505" s="907"/>
      <c r="AD505" s="907"/>
      <c r="AE505" s="907"/>
      <c r="AF505" s="907"/>
      <c r="AG505" s="907"/>
      <c r="AH505" s="907"/>
      <c r="AI505" s="907"/>
      <c r="AJ505" s="907"/>
      <c r="AK505" s="907"/>
      <c r="AL505" s="907"/>
      <c r="AM505" s="907"/>
    </row>
    <row r="506" spans="1:39">
      <c r="A506" s="907"/>
      <c r="B506" s="907"/>
      <c r="C506" s="907"/>
      <c r="D506" s="907"/>
      <c r="E506" s="907"/>
      <c r="F506" s="907"/>
      <c r="G506" s="907"/>
      <c r="H506" s="907"/>
      <c r="I506" s="907"/>
      <c r="J506" s="907"/>
      <c r="K506" s="907"/>
      <c r="L506" s="907"/>
      <c r="M506" s="907"/>
      <c r="N506" s="907"/>
      <c r="O506" s="907"/>
      <c r="P506" s="907"/>
      <c r="Q506" s="907"/>
      <c r="R506" s="907"/>
      <c r="S506" s="907"/>
      <c r="T506" s="907"/>
      <c r="U506" s="907"/>
      <c r="V506" s="907"/>
      <c r="W506" s="907"/>
      <c r="X506" s="907"/>
      <c r="Y506" s="907"/>
      <c r="Z506" s="907"/>
      <c r="AA506" s="907"/>
      <c r="AB506" s="907"/>
      <c r="AC506" s="907"/>
      <c r="AD506" s="907"/>
      <c r="AE506" s="907"/>
      <c r="AF506" s="907"/>
      <c r="AG506" s="907"/>
      <c r="AH506" s="907"/>
      <c r="AI506" s="907"/>
      <c r="AJ506" s="907"/>
      <c r="AK506" s="907"/>
      <c r="AL506" s="907"/>
      <c r="AM506" s="907"/>
    </row>
    <row r="507" spans="1:39">
      <c r="A507" s="907"/>
      <c r="B507" s="907"/>
      <c r="C507" s="907"/>
      <c r="D507" s="907"/>
      <c r="E507" s="907"/>
      <c r="F507" s="907"/>
      <c r="G507" s="907"/>
      <c r="H507" s="907"/>
      <c r="I507" s="907"/>
      <c r="J507" s="907"/>
      <c r="K507" s="907"/>
      <c r="L507" s="907"/>
      <c r="M507" s="907"/>
      <c r="N507" s="907"/>
      <c r="O507" s="907"/>
      <c r="P507" s="907"/>
      <c r="Q507" s="907"/>
      <c r="R507" s="907"/>
      <c r="S507" s="907"/>
      <c r="T507" s="907"/>
      <c r="U507" s="907"/>
      <c r="V507" s="907"/>
      <c r="W507" s="907"/>
      <c r="X507" s="907"/>
      <c r="Y507" s="907"/>
      <c r="Z507" s="907"/>
      <c r="AA507" s="907"/>
      <c r="AB507" s="907"/>
      <c r="AC507" s="907"/>
      <c r="AD507" s="907"/>
      <c r="AE507" s="907"/>
      <c r="AF507" s="907"/>
      <c r="AG507" s="907"/>
      <c r="AH507" s="907"/>
      <c r="AI507" s="907"/>
      <c r="AJ507" s="907"/>
      <c r="AK507" s="907"/>
      <c r="AL507" s="907"/>
      <c r="AM507" s="907"/>
    </row>
    <row r="508" spans="1:39">
      <c r="A508" s="907"/>
      <c r="B508" s="907"/>
      <c r="C508" s="907"/>
      <c r="D508" s="907"/>
      <c r="E508" s="907"/>
      <c r="F508" s="907"/>
      <c r="G508" s="907"/>
      <c r="H508" s="907"/>
      <c r="I508" s="907"/>
      <c r="J508" s="907"/>
      <c r="K508" s="907"/>
      <c r="L508" s="907"/>
      <c r="M508" s="907"/>
      <c r="N508" s="907"/>
      <c r="O508" s="907"/>
      <c r="P508" s="907"/>
      <c r="Q508" s="907"/>
      <c r="R508" s="907"/>
      <c r="S508" s="907"/>
      <c r="T508" s="907"/>
      <c r="U508" s="907"/>
      <c r="V508" s="907"/>
      <c r="W508" s="907"/>
      <c r="X508" s="907"/>
      <c r="Y508" s="907"/>
      <c r="Z508" s="907"/>
      <c r="AA508" s="907"/>
      <c r="AB508" s="907"/>
      <c r="AC508" s="907"/>
      <c r="AD508" s="907"/>
      <c r="AE508" s="907"/>
      <c r="AF508" s="907"/>
      <c r="AG508" s="907"/>
      <c r="AH508" s="907"/>
      <c r="AI508" s="907"/>
      <c r="AJ508" s="907"/>
      <c r="AK508" s="907"/>
      <c r="AL508" s="907"/>
      <c r="AM508" s="907"/>
    </row>
    <row r="509" spans="1:39">
      <c r="A509" s="907"/>
      <c r="B509" s="907"/>
      <c r="C509" s="907"/>
      <c r="D509" s="907"/>
      <c r="E509" s="907"/>
      <c r="F509" s="907"/>
      <c r="G509" s="907"/>
      <c r="H509" s="907"/>
      <c r="I509" s="907"/>
      <c r="J509" s="907"/>
      <c r="K509" s="907"/>
      <c r="L509" s="907"/>
      <c r="M509" s="907"/>
      <c r="N509" s="907"/>
      <c r="O509" s="907"/>
      <c r="P509" s="907"/>
      <c r="Q509" s="907"/>
      <c r="R509" s="907"/>
      <c r="S509" s="907"/>
      <c r="T509" s="907"/>
      <c r="U509" s="907"/>
      <c r="V509" s="907"/>
      <c r="W509" s="907"/>
      <c r="X509" s="907"/>
      <c r="Y509" s="907"/>
      <c r="Z509" s="907"/>
      <c r="AA509" s="907"/>
      <c r="AB509" s="907"/>
      <c r="AC509" s="907"/>
      <c r="AD509" s="907"/>
      <c r="AE509" s="907"/>
      <c r="AF509" s="907"/>
      <c r="AG509" s="907"/>
      <c r="AH509" s="907"/>
      <c r="AI509" s="907"/>
      <c r="AJ509" s="907"/>
      <c r="AK509" s="907"/>
      <c r="AL509" s="907"/>
      <c r="AM509" s="907"/>
    </row>
    <row r="510" spans="1:39">
      <c r="A510" s="907"/>
      <c r="B510" s="907"/>
      <c r="C510" s="907"/>
      <c r="D510" s="907"/>
      <c r="E510" s="907"/>
      <c r="F510" s="907"/>
      <c r="G510" s="907"/>
      <c r="H510" s="907"/>
      <c r="I510" s="907"/>
      <c r="J510" s="907"/>
      <c r="K510" s="907"/>
      <c r="L510" s="907"/>
      <c r="M510" s="907"/>
      <c r="N510" s="907"/>
      <c r="O510" s="907"/>
      <c r="P510" s="907"/>
      <c r="Q510" s="907"/>
      <c r="R510" s="907"/>
      <c r="S510" s="907"/>
      <c r="T510" s="907"/>
      <c r="U510" s="907"/>
      <c r="V510" s="907"/>
      <c r="W510" s="907"/>
      <c r="X510" s="907"/>
      <c r="Y510" s="907"/>
      <c r="Z510" s="907"/>
      <c r="AA510" s="907"/>
      <c r="AB510" s="907"/>
      <c r="AC510" s="907"/>
      <c r="AD510" s="907"/>
      <c r="AE510" s="907"/>
      <c r="AF510" s="907"/>
      <c r="AG510" s="907"/>
      <c r="AH510" s="907"/>
      <c r="AI510" s="907"/>
      <c r="AJ510" s="907"/>
      <c r="AK510" s="907"/>
      <c r="AL510" s="907"/>
      <c r="AM510" s="907"/>
    </row>
    <row r="511" spans="1:39">
      <c r="A511" s="907"/>
      <c r="B511" s="907"/>
      <c r="C511" s="907"/>
      <c r="D511" s="907"/>
      <c r="E511" s="907"/>
      <c r="F511" s="907"/>
      <c r="G511" s="907"/>
      <c r="H511" s="907"/>
      <c r="I511" s="907"/>
      <c r="J511" s="907"/>
      <c r="K511" s="907"/>
      <c r="L511" s="907"/>
      <c r="M511" s="907"/>
      <c r="N511" s="907"/>
      <c r="O511" s="907"/>
      <c r="P511" s="907"/>
      <c r="Q511" s="907"/>
      <c r="R511" s="907"/>
      <c r="S511" s="907"/>
      <c r="T511" s="907"/>
      <c r="U511" s="907"/>
      <c r="V511" s="907"/>
      <c r="W511" s="907"/>
      <c r="X511" s="907"/>
      <c r="Y511" s="907"/>
      <c r="Z511" s="907"/>
      <c r="AA511" s="907"/>
      <c r="AB511" s="907"/>
      <c r="AC511" s="907"/>
      <c r="AD511" s="907"/>
      <c r="AE511" s="907"/>
      <c r="AF511" s="907"/>
      <c r="AG511" s="907"/>
      <c r="AH511" s="907"/>
      <c r="AI511" s="907"/>
      <c r="AJ511" s="907"/>
      <c r="AK511" s="907"/>
      <c r="AL511" s="907"/>
      <c r="AM511" s="907"/>
    </row>
    <row r="512" spans="1:39">
      <c r="A512" s="907"/>
      <c r="B512" s="907"/>
      <c r="C512" s="907"/>
      <c r="D512" s="907"/>
      <c r="E512" s="907"/>
      <c r="F512" s="907"/>
      <c r="G512" s="907"/>
      <c r="H512" s="907"/>
      <c r="I512" s="907"/>
      <c r="J512" s="907"/>
      <c r="K512" s="907"/>
      <c r="L512" s="907"/>
      <c r="M512" s="907"/>
      <c r="N512" s="907"/>
      <c r="O512" s="907"/>
      <c r="P512" s="907"/>
      <c r="Q512" s="907"/>
      <c r="R512" s="907"/>
      <c r="S512" s="907"/>
      <c r="T512" s="907"/>
      <c r="U512" s="907"/>
      <c r="V512" s="907"/>
      <c r="W512" s="907"/>
      <c r="X512" s="907"/>
      <c r="Y512" s="907"/>
      <c r="Z512" s="907"/>
      <c r="AA512" s="907"/>
      <c r="AB512" s="907"/>
      <c r="AC512" s="907"/>
      <c r="AD512" s="907"/>
      <c r="AE512" s="907"/>
      <c r="AF512" s="907"/>
      <c r="AG512" s="907"/>
      <c r="AH512" s="907"/>
      <c r="AI512" s="907"/>
      <c r="AJ512" s="907"/>
      <c r="AK512" s="907"/>
      <c r="AL512" s="907"/>
      <c r="AM512" s="907"/>
    </row>
    <row r="513" spans="1:39">
      <c r="A513" s="907"/>
      <c r="B513" s="907"/>
      <c r="C513" s="907"/>
      <c r="D513" s="907"/>
      <c r="E513" s="907"/>
      <c r="F513" s="907"/>
      <c r="G513" s="907"/>
      <c r="H513" s="907"/>
      <c r="I513" s="907"/>
      <c r="J513" s="907"/>
      <c r="K513" s="907"/>
      <c r="L513" s="907"/>
      <c r="M513" s="907"/>
      <c r="N513" s="907"/>
      <c r="O513" s="907"/>
      <c r="P513" s="907"/>
      <c r="Q513" s="907"/>
      <c r="R513" s="907"/>
      <c r="S513" s="907"/>
      <c r="T513" s="907"/>
      <c r="U513" s="907"/>
      <c r="V513" s="907"/>
      <c r="W513" s="907"/>
      <c r="X513" s="907"/>
      <c r="Y513" s="907"/>
      <c r="Z513" s="907"/>
      <c r="AA513" s="907"/>
      <c r="AB513" s="907"/>
      <c r="AC513" s="907"/>
      <c r="AD513" s="907"/>
      <c r="AE513" s="907"/>
      <c r="AF513" s="907"/>
      <c r="AG513" s="907"/>
      <c r="AH513" s="907"/>
      <c r="AI513" s="907"/>
      <c r="AJ513" s="907"/>
      <c r="AK513" s="907"/>
      <c r="AL513" s="907"/>
      <c r="AM513" s="907"/>
    </row>
    <row r="514" spans="1:39">
      <c r="A514" s="907"/>
      <c r="B514" s="907"/>
      <c r="C514" s="907"/>
      <c r="D514" s="907"/>
      <c r="E514" s="907"/>
      <c r="F514" s="907"/>
      <c r="G514" s="907"/>
      <c r="H514" s="907"/>
      <c r="I514" s="907"/>
      <c r="J514" s="907"/>
      <c r="K514" s="907"/>
      <c r="L514" s="907"/>
      <c r="M514" s="907"/>
      <c r="N514" s="907"/>
      <c r="O514" s="907"/>
      <c r="P514" s="907"/>
      <c r="Q514" s="907"/>
      <c r="R514" s="907"/>
      <c r="S514" s="907"/>
      <c r="T514" s="907"/>
      <c r="U514" s="907"/>
      <c r="V514" s="907"/>
      <c r="W514" s="907"/>
      <c r="X514" s="907"/>
      <c r="Y514" s="907"/>
      <c r="Z514" s="907"/>
      <c r="AA514" s="907"/>
      <c r="AB514" s="907"/>
      <c r="AC514" s="907"/>
      <c r="AD514" s="907"/>
      <c r="AE514" s="907"/>
      <c r="AF514" s="907"/>
      <c r="AG514" s="907"/>
      <c r="AH514" s="907"/>
      <c r="AI514" s="907"/>
      <c r="AJ514" s="907"/>
      <c r="AK514" s="907"/>
      <c r="AL514" s="907"/>
      <c r="AM514" s="907"/>
    </row>
    <row r="515" spans="1:39">
      <c r="A515" s="907"/>
      <c r="B515" s="907"/>
      <c r="C515" s="907"/>
      <c r="D515" s="907"/>
      <c r="E515" s="907"/>
      <c r="F515" s="907"/>
      <c r="G515" s="907"/>
      <c r="H515" s="907"/>
      <c r="I515" s="907"/>
      <c r="J515" s="907"/>
      <c r="K515" s="907"/>
      <c r="L515" s="907"/>
      <c r="M515" s="907"/>
      <c r="N515" s="907"/>
      <c r="O515" s="907"/>
      <c r="P515" s="907"/>
      <c r="Q515" s="907"/>
      <c r="R515" s="907"/>
      <c r="S515" s="907"/>
      <c r="T515" s="907"/>
      <c r="U515" s="907"/>
      <c r="V515" s="907"/>
      <c r="W515" s="907"/>
      <c r="X515" s="907"/>
      <c r="Y515" s="907"/>
      <c r="Z515" s="907"/>
      <c r="AA515" s="907"/>
      <c r="AB515" s="907"/>
      <c r="AC515" s="907"/>
      <c r="AD515" s="907"/>
      <c r="AE515" s="907"/>
      <c r="AF515" s="907"/>
      <c r="AG515" s="907"/>
      <c r="AH515" s="907"/>
      <c r="AI515" s="907"/>
      <c r="AJ515" s="907"/>
      <c r="AK515" s="907"/>
      <c r="AL515" s="907"/>
      <c r="AM515" s="907"/>
    </row>
    <row r="516" spans="1:39">
      <c r="A516" s="907"/>
      <c r="B516" s="907"/>
      <c r="C516" s="907"/>
      <c r="D516" s="907"/>
      <c r="E516" s="907"/>
      <c r="F516" s="907"/>
      <c r="G516" s="907"/>
      <c r="H516" s="907"/>
      <c r="I516" s="907"/>
      <c r="J516" s="907"/>
      <c r="K516" s="907"/>
      <c r="L516" s="907"/>
      <c r="M516" s="907"/>
      <c r="N516" s="907"/>
      <c r="O516" s="907"/>
      <c r="P516" s="907"/>
      <c r="Q516" s="907"/>
      <c r="R516" s="907"/>
      <c r="S516" s="907"/>
      <c r="T516" s="907"/>
      <c r="U516" s="907"/>
      <c r="V516" s="907"/>
      <c r="W516" s="907"/>
      <c r="X516" s="907"/>
      <c r="Y516" s="907"/>
      <c r="Z516" s="907"/>
      <c r="AA516" s="907"/>
      <c r="AB516" s="907"/>
      <c r="AC516" s="907"/>
      <c r="AD516" s="907"/>
      <c r="AE516" s="907"/>
      <c r="AF516" s="907"/>
      <c r="AG516" s="907"/>
      <c r="AH516" s="907"/>
      <c r="AI516" s="907"/>
      <c r="AJ516" s="907"/>
      <c r="AK516" s="907"/>
      <c r="AL516" s="907"/>
      <c r="AM516" s="907"/>
    </row>
    <row r="517" spans="1:39">
      <c r="A517" s="907"/>
      <c r="B517" s="907"/>
      <c r="C517" s="907"/>
      <c r="D517" s="907"/>
      <c r="E517" s="907"/>
      <c r="F517" s="907"/>
      <c r="G517" s="907"/>
      <c r="H517" s="907"/>
      <c r="I517" s="907"/>
      <c r="J517" s="907"/>
      <c r="K517" s="907"/>
      <c r="L517" s="907"/>
      <c r="M517" s="907"/>
      <c r="N517" s="907"/>
      <c r="O517" s="907"/>
      <c r="P517" s="907"/>
      <c r="Q517" s="907"/>
      <c r="R517" s="907"/>
      <c r="S517" s="907"/>
      <c r="T517" s="907"/>
      <c r="U517" s="907"/>
      <c r="V517" s="907"/>
      <c r="W517" s="907"/>
      <c r="X517" s="907"/>
      <c r="Y517" s="907"/>
      <c r="Z517" s="907"/>
      <c r="AA517" s="907"/>
      <c r="AB517" s="907"/>
      <c r="AC517" s="907"/>
      <c r="AD517" s="907"/>
      <c r="AE517" s="907"/>
      <c r="AF517" s="907"/>
      <c r="AG517" s="907"/>
      <c r="AH517" s="907"/>
      <c r="AI517" s="907"/>
      <c r="AJ517" s="907"/>
      <c r="AK517" s="907"/>
      <c r="AL517" s="907"/>
      <c r="AM517" s="907"/>
    </row>
    <row r="518" spans="1:39">
      <c r="A518" s="907"/>
      <c r="B518" s="907"/>
      <c r="C518" s="907"/>
      <c r="D518" s="907"/>
      <c r="E518" s="907"/>
      <c r="F518" s="907"/>
      <c r="G518" s="907"/>
      <c r="H518" s="907"/>
      <c r="I518" s="907"/>
      <c r="J518" s="907"/>
      <c r="K518" s="907"/>
      <c r="L518" s="907"/>
      <c r="M518" s="907"/>
      <c r="N518" s="907"/>
      <c r="O518" s="907"/>
      <c r="P518" s="907"/>
      <c r="Q518" s="907"/>
      <c r="R518" s="907"/>
      <c r="S518" s="907"/>
      <c r="T518" s="907"/>
      <c r="U518" s="907"/>
      <c r="V518" s="907"/>
      <c r="W518" s="907"/>
      <c r="X518" s="907"/>
      <c r="Y518" s="907"/>
      <c r="Z518" s="907"/>
      <c r="AA518" s="907"/>
      <c r="AB518" s="907"/>
      <c r="AC518" s="907"/>
      <c r="AD518" s="907"/>
      <c r="AE518" s="907"/>
      <c r="AF518" s="907"/>
      <c r="AG518" s="907"/>
      <c r="AH518" s="907"/>
      <c r="AI518" s="907"/>
      <c r="AJ518" s="907"/>
      <c r="AK518" s="907"/>
      <c r="AL518" s="907"/>
      <c r="AM518" s="907"/>
    </row>
    <row r="519" spans="1:39">
      <c r="A519" s="907"/>
      <c r="B519" s="907"/>
      <c r="C519" s="907"/>
      <c r="D519" s="907"/>
      <c r="E519" s="907"/>
      <c r="F519" s="907"/>
      <c r="G519" s="907"/>
      <c r="H519" s="907"/>
      <c r="I519" s="907"/>
      <c r="J519" s="907"/>
      <c r="K519" s="907"/>
      <c r="L519" s="907"/>
      <c r="M519" s="907"/>
      <c r="N519" s="907"/>
      <c r="O519" s="907"/>
      <c r="P519" s="907"/>
      <c r="Q519" s="907"/>
      <c r="R519" s="907"/>
      <c r="S519" s="907"/>
      <c r="T519" s="907"/>
      <c r="U519" s="907"/>
      <c r="V519" s="907"/>
      <c r="W519" s="907"/>
      <c r="X519" s="907"/>
      <c r="Y519" s="907"/>
      <c r="Z519" s="907"/>
      <c r="AA519" s="907"/>
      <c r="AB519" s="907"/>
      <c r="AC519" s="907"/>
      <c r="AD519" s="907"/>
      <c r="AE519" s="907"/>
      <c r="AF519" s="907"/>
      <c r="AG519" s="907"/>
      <c r="AH519" s="907"/>
      <c r="AI519" s="907"/>
      <c r="AJ519" s="907"/>
      <c r="AK519" s="907"/>
      <c r="AL519" s="907"/>
      <c r="AM519" s="907"/>
    </row>
    <row r="520" spans="1:39">
      <c r="A520" s="907"/>
      <c r="B520" s="907"/>
      <c r="C520" s="907"/>
      <c r="D520" s="907"/>
      <c r="E520" s="907"/>
      <c r="F520" s="907"/>
      <c r="G520" s="907"/>
      <c r="H520" s="907"/>
      <c r="I520" s="907"/>
      <c r="J520" s="907"/>
      <c r="K520" s="907"/>
      <c r="L520" s="907"/>
      <c r="M520" s="907"/>
      <c r="N520" s="907"/>
      <c r="O520" s="907"/>
      <c r="P520" s="907"/>
      <c r="Q520" s="907"/>
      <c r="R520" s="907"/>
      <c r="S520" s="907"/>
      <c r="T520" s="907"/>
      <c r="U520" s="907"/>
      <c r="V520" s="907"/>
      <c r="W520" s="907"/>
      <c r="X520" s="907"/>
      <c r="Y520" s="907"/>
      <c r="Z520" s="907"/>
      <c r="AA520" s="907"/>
      <c r="AB520" s="907"/>
      <c r="AC520" s="907"/>
      <c r="AD520" s="907"/>
      <c r="AE520" s="907"/>
      <c r="AF520" s="907"/>
      <c r="AG520" s="907"/>
      <c r="AH520" s="907"/>
      <c r="AI520" s="907"/>
      <c r="AJ520" s="907"/>
      <c r="AK520" s="907"/>
      <c r="AL520" s="907"/>
      <c r="AM520" s="907"/>
    </row>
    <row r="521" spans="1:39">
      <c r="A521" s="907"/>
      <c r="B521" s="907"/>
      <c r="C521" s="907"/>
      <c r="D521" s="907"/>
      <c r="E521" s="907"/>
      <c r="F521" s="907"/>
      <c r="G521" s="907"/>
      <c r="H521" s="907"/>
      <c r="I521" s="907"/>
      <c r="J521" s="907"/>
      <c r="K521" s="907"/>
      <c r="L521" s="907"/>
      <c r="M521" s="907"/>
      <c r="N521" s="907"/>
      <c r="O521" s="907"/>
      <c r="P521" s="907"/>
      <c r="Q521" s="907"/>
      <c r="R521" s="907"/>
      <c r="S521" s="907"/>
      <c r="T521" s="907"/>
      <c r="U521" s="907"/>
      <c r="V521" s="907"/>
      <c r="W521" s="907"/>
      <c r="X521" s="907"/>
      <c r="Y521" s="907"/>
      <c r="Z521" s="907"/>
      <c r="AA521" s="907"/>
      <c r="AB521" s="907"/>
      <c r="AC521" s="907"/>
      <c r="AD521" s="907"/>
      <c r="AE521" s="907"/>
      <c r="AF521" s="907"/>
      <c r="AG521" s="907"/>
      <c r="AH521" s="907"/>
      <c r="AI521" s="907"/>
      <c r="AJ521" s="907"/>
      <c r="AK521" s="907"/>
      <c r="AL521" s="907"/>
      <c r="AM521" s="907"/>
    </row>
    <row r="522" spans="1:39">
      <c r="A522" s="907"/>
      <c r="B522" s="907"/>
      <c r="C522" s="907"/>
      <c r="D522" s="907"/>
      <c r="E522" s="907"/>
      <c r="F522" s="907"/>
      <c r="G522" s="907"/>
      <c r="H522" s="907"/>
      <c r="I522" s="907"/>
      <c r="J522" s="907"/>
      <c r="K522" s="907"/>
      <c r="L522" s="907"/>
      <c r="M522" s="907"/>
      <c r="N522" s="907"/>
      <c r="O522" s="907"/>
      <c r="P522" s="907"/>
      <c r="Q522" s="907"/>
      <c r="R522" s="907"/>
      <c r="S522" s="907"/>
      <c r="T522" s="907"/>
      <c r="U522" s="907"/>
      <c r="V522" s="907"/>
      <c r="W522" s="907"/>
      <c r="X522" s="907"/>
      <c r="Y522" s="907"/>
      <c r="Z522" s="907"/>
      <c r="AA522" s="907"/>
      <c r="AB522" s="907"/>
      <c r="AC522" s="907"/>
      <c r="AD522" s="907"/>
      <c r="AE522" s="907"/>
      <c r="AF522" s="907"/>
      <c r="AG522" s="907"/>
      <c r="AH522" s="907"/>
      <c r="AI522" s="907"/>
      <c r="AJ522" s="907"/>
      <c r="AK522" s="907"/>
      <c r="AL522" s="907"/>
      <c r="AM522" s="907"/>
    </row>
    <row r="523" spans="1:39">
      <c r="A523" s="907"/>
      <c r="B523" s="907"/>
      <c r="C523" s="907"/>
      <c r="D523" s="907"/>
      <c r="E523" s="907"/>
      <c r="F523" s="907"/>
      <c r="G523" s="907"/>
      <c r="H523" s="907"/>
      <c r="I523" s="907"/>
      <c r="J523" s="907"/>
      <c r="K523" s="907"/>
      <c r="L523" s="907"/>
      <c r="M523" s="907"/>
      <c r="N523" s="907"/>
      <c r="O523" s="907"/>
      <c r="P523" s="907"/>
      <c r="Q523" s="907"/>
      <c r="R523" s="907"/>
      <c r="S523" s="907"/>
      <c r="T523" s="907"/>
      <c r="U523" s="907"/>
      <c r="V523" s="907"/>
      <c r="W523" s="907"/>
      <c r="X523" s="907"/>
      <c r="Y523" s="907"/>
      <c r="Z523" s="907"/>
      <c r="AA523" s="907"/>
      <c r="AB523" s="907"/>
      <c r="AC523" s="907"/>
      <c r="AD523" s="907"/>
      <c r="AE523" s="907"/>
      <c r="AF523" s="907"/>
      <c r="AG523" s="907"/>
      <c r="AH523" s="907"/>
      <c r="AI523" s="907"/>
      <c r="AJ523" s="907"/>
      <c r="AK523" s="907"/>
      <c r="AL523" s="907"/>
      <c r="AM523" s="907"/>
    </row>
    <row r="524" spans="1:39">
      <c r="A524" s="907"/>
      <c r="B524" s="907"/>
      <c r="C524" s="907"/>
      <c r="D524" s="907"/>
      <c r="E524" s="907"/>
      <c r="F524" s="907"/>
      <c r="G524" s="907"/>
      <c r="H524" s="907"/>
      <c r="I524" s="907"/>
      <c r="J524" s="907"/>
      <c r="K524" s="907"/>
      <c r="L524" s="907"/>
      <c r="M524" s="907"/>
      <c r="N524" s="907"/>
      <c r="O524" s="907"/>
      <c r="P524" s="907"/>
      <c r="Q524" s="907"/>
      <c r="R524" s="907"/>
      <c r="S524" s="907"/>
      <c r="T524" s="907"/>
      <c r="U524" s="907"/>
      <c r="V524" s="907"/>
      <c r="W524" s="907"/>
      <c r="X524" s="907"/>
      <c r="Y524" s="907"/>
      <c r="Z524" s="907"/>
      <c r="AA524" s="907"/>
      <c r="AB524" s="907"/>
      <c r="AC524" s="907"/>
      <c r="AD524" s="907"/>
      <c r="AE524" s="907"/>
      <c r="AF524" s="907"/>
      <c r="AG524" s="907"/>
      <c r="AH524" s="907"/>
      <c r="AI524" s="907"/>
      <c r="AJ524" s="907"/>
      <c r="AK524" s="907"/>
      <c r="AL524" s="907"/>
      <c r="AM524" s="907"/>
    </row>
    <row r="525" spans="1:39">
      <c r="A525" s="907"/>
      <c r="B525" s="907"/>
      <c r="C525" s="907"/>
      <c r="D525" s="907"/>
      <c r="E525" s="907"/>
      <c r="F525" s="907"/>
      <c r="G525" s="907"/>
      <c r="H525" s="907"/>
      <c r="I525" s="907"/>
      <c r="J525" s="907"/>
      <c r="K525" s="907"/>
      <c r="L525" s="907"/>
      <c r="M525" s="907"/>
      <c r="N525" s="907"/>
      <c r="O525" s="907"/>
      <c r="P525" s="907"/>
      <c r="Q525" s="907"/>
      <c r="R525" s="907"/>
      <c r="S525" s="907"/>
      <c r="T525" s="907"/>
      <c r="U525" s="907"/>
      <c r="V525" s="907"/>
      <c r="W525" s="907"/>
      <c r="X525" s="907"/>
      <c r="Y525" s="907"/>
      <c r="Z525" s="907"/>
      <c r="AA525" s="907"/>
      <c r="AB525" s="907"/>
      <c r="AC525" s="907"/>
      <c r="AD525" s="907"/>
      <c r="AE525" s="907"/>
      <c r="AF525" s="907"/>
      <c r="AG525" s="907"/>
      <c r="AH525" s="907"/>
      <c r="AI525" s="907"/>
      <c r="AJ525" s="907"/>
      <c r="AK525" s="907"/>
      <c r="AL525" s="907"/>
      <c r="AM525" s="907"/>
    </row>
    <row r="526" spans="1:39">
      <c r="A526" s="907"/>
      <c r="B526" s="907"/>
      <c r="C526" s="907"/>
      <c r="D526" s="907"/>
      <c r="E526" s="907"/>
      <c r="F526" s="907"/>
      <c r="G526" s="907"/>
      <c r="H526" s="907"/>
      <c r="I526" s="907"/>
      <c r="J526" s="907"/>
      <c r="K526" s="907"/>
      <c r="L526" s="907"/>
      <c r="M526" s="907"/>
      <c r="N526" s="907"/>
      <c r="O526" s="907"/>
      <c r="P526" s="907"/>
      <c r="Q526" s="907"/>
      <c r="R526" s="907"/>
      <c r="S526" s="907"/>
      <c r="T526" s="907"/>
      <c r="U526" s="907"/>
      <c r="V526" s="907"/>
      <c r="W526" s="907"/>
      <c r="X526" s="907"/>
      <c r="Y526" s="907"/>
      <c r="Z526" s="907"/>
      <c r="AA526" s="907"/>
      <c r="AB526" s="907"/>
      <c r="AC526" s="907"/>
      <c r="AD526" s="907"/>
      <c r="AE526" s="907"/>
      <c r="AF526" s="907"/>
      <c r="AG526" s="907"/>
      <c r="AH526" s="907"/>
      <c r="AI526" s="907"/>
      <c r="AJ526" s="907"/>
      <c r="AK526" s="907"/>
      <c r="AL526" s="907"/>
      <c r="AM526" s="907"/>
    </row>
    <row r="527" spans="1:39">
      <c r="A527" s="907"/>
      <c r="B527" s="907"/>
      <c r="C527" s="907"/>
      <c r="D527" s="907"/>
      <c r="E527" s="907"/>
      <c r="F527" s="907"/>
      <c r="G527" s="907"/>
      <c r="H527" s="907"/>
      <c r="I527" s="907"/>
      <c r="J527" s="907"/>
      <c r="K527" s="907"/>
      <c r="L527" s="907"/>
      <c r="M527" s="907"/>
      <c r="N527" s="907"/>
      <c r="O527" s="907"/>
      <c r="P527" s="907"/>
      <c r="Q527" s="907"/>
      <c r="R527" s="907"/>
      <c r="S527" s="907"/>
      <c r="T527" s="907"/>
      <c r="U527" s="907"/>
      <c r="V527" s="907"/>
      <c r="W527" s="907"/>
      <c r="X527" s="907"/>
      <c r="Y527" s="907"/>
      <c r="Z527" s="907"/>
      <c r="AA527" s="907"/>
      <c r="AB527" s="907"/>
      <c r="AC527" s="907"/>
      <c r="AD527" s="907"/>
      <c r="AE527" s="907"/>
      <c r="AF527" s="907"/>
      <c r="AG527" s="907"/>
      <c r="AH527" s="907"/>
      <c r="AI527" s="907"/>
      <c r="AJ527" s="907"/>
      <c r="AK527" s="907"/>
      <c r="AL527" s="907"/>
      <c r="AM527" s="907"/>
    </row>
    <row r="528" spans="1:39">
      <c r="A528" s="907"/>
      <c r="B528" s="907"/>
      <c r="C528" s="907"/>
      <c r="D528" s="907"/>
      <c r="E528" s="907"/>
      <c r="F528" s="907"/>
      <c r="G528" s="907"/>
      <c r="H528" s="907"/>
      <c r="I528" s="907"/>
      <c r="J528" s="907"/>
      <c r="K528" s="907"/>
      <c r="L528" s="907"/>
      <c r="M528" s="907"/>
      <c r="N528" s="907"/>
      <c r="O528" s="907"/>
      <c r="P528" s="907"/>
      <c r="Q528" s="907"/>
      <c r="R528" s="907"/>
      <c r="S528" s="907"/>
      <c r="T528" s="907"/>
      <c r="U528" s="907"/>
      <c r="V528" s="907"/>
      <c r="W528" s="907"/>
      <c r="X528" s="907"/>
      <c r="Y528" s="907"/>
      <c r="Z528" s="907"/>
      <c r="AA528" s="907"/>
      <c r="AB528" s="907"/>
      <c r="AC528" s="907"/>
      <c r="AD528" s="907"/>
      <c r="AE528" s="907"/>
      <c r="AF528" s="907"/>
      <c r="AG528" s="907"/>
      <c r="AH528" s="907"/>
      <c r="AI528" s="907"/>
      <c r="AJ528" s="907"/>
      <c r="AK528" s="907"/>
      <c r="AL528" s="907"/>
      <c r="AM528" s="907"/>
    </row>
    <row r="529" spans="1:39">
      <c r="A529" s="907"/>
      <c r="B529" s="907"/>
      <c r="C529" s="907"/>
      <c r="D529" s="907"/>
      <c r="E529" s="907"/>
      <c r="F529" s="907"/>
      <c r="G529" s="907"/>
      <c r="H529" s="907"/>
      <c r="I529" s="907"/>
      <c r="J529" s="907"/>
      <c r="K529" s="907"/>
      <c r="L529" s="907"/>
      <c r="M529" s="907"/>
      <c r="N529" s="907"/>
      <c r="O529" s="907"/>
      <c r="P529" s="907"/>
      <c r="Q529" s="907"/>
      <c r="R529" s="907"/>
      <c r="S529" s="907"/>
      <c r="T529" s="907"/>
      <c r="U529" s="907"/>
      <c r="V529" s="907"/>
      <c r="W529" s="907"/>
      <c r="X529" s="907"/>
      <c r="Y529" s="907"/>
      <c r="Z529" s="907"/>
      <c r="AA529" s="907"/>
      <c r="AB529" s="907"/>
      <c r="AC529" s="907"/>
      <c r="AD529" s="907"/>
      <c r="AE529" s="907"/>
      <c r="AF529" s="907"/>
      <c r="AG529" s="907"/>
      <c r="AH529" s="907"/>
      <c r="AI529" s="907"/>
      <c r="AJ529" s="907"/>
      <c r="AK529" s="907"/>
      <c r="AL529" s="907"/>
      <c r="AM529" s="907"/>
    </row>
    <row r="530" spans="1:39">
      <c r="A530" s="907"/>
      <c r="B530" s="907"/>
      <c r="C530" s="907"/>
      <c r="D530" s="907"/>
      <c r="E530" s="907"/>
      <c r="F530" s="907"/>
      <c r="G530" s="907"/>
      <c r="H530" s="907"/>
      <c r="I530" s="907"/>
      <c r="J530" s="907"/>
      <c r="K530" s="907"/>
      <c r="L530" s="907"/>
      <c r="M530" s="907"/>
      <c r="N530" s="907"/>
      <c r="O530" s="907"/>
      <c r="P530" s="907"/>
      <c r="Q530" s="907"/>
      <c r="R530" s="907"/>
      <c r="S530" s="907"/>
      <c r="T530" s="907"/>
      <c r="U530" s="907"/>
      <c r="V530" s="907"/>
      <c r="W530" s="907"/>
      <c r="X530" s="907"/>
      <c r="Y530" s="907"/>
      <c r="Z530" s="907"/>
      <c r="AA530" s="907"/>
      <c r="AB530" s="907"/>
      <c r="AC530" s="907"/>
      <c r="AD530" s="907"/>
      <c r="AE530" s="907"/>
      <c r="AF530" s="907"/>
      <c r="AG530" s="907"/>
      <c r="AH530" s="907"/>
      <c r="AI530" s="907"/>
      <c r="AJ530" s="907"/>
      <c r="AK530" s="907"/>
      <c r="AL530" s="907"/>
      <c r="AM530" s="907"/>
    </row>
    <row r="531" spans="1:39">
      <c r="A531" s="907"/>
      <c r="B531" s="907"/>
      <c r="C531" s="907"/>
      <c r="D531" s="907"/>
      <c r="E531" s="907"/>
      <c r="F531" s="907"/>
      <c r="G531" s="907"/>
      <c r="H531" s="907"/>
      <c r="I531" s="907"/>
      <c r="J531" s="907"/>
      <c r="K531" s="907"/>
      <c r="L531" s="907"/>
      <c r="M531" s="907"/>
      <c r="N531" s="907"/>
      <c r="O531" s="907"/>
      <c r="P531" s="907"/>
      <c r="Q531" s="907"/>
      <c r="R531" s="907"/>
      <c r="S531" s="907"/>
      <c r="T531" s="907"/>
      <c r="U531" s="907"/>
      <c r="V531" s="907"/>
      <c r="W531" s="907"/>
      <c r="X531" s="907"/>
      <c r="Y531" s="907"/>
      <c r="Z531" s="907"/>
      <c r="AA531" s="907"/>
      <c r="AB531" s="907"/>
      <c r="AC531" s="907"/>
      <c r="AD531" s="907"/>
      <c r="AE531" s="907"/>
      <c r="AF531" s="907"/>
      <c r="AG531" s="907"/>
      <c r="AH531" s="907"/>
      <c r="AI531" s="907"/>
      <c r="AJ531" s="907"/>
      <c r="AK531" s="907"/>
      <c r="AL531" s="907"/>
      <c r="AM531" s="907"/>
    </row>
    <row r="532" spans="1:39">
      <c r="A532" s="907"/>
      <c r="B532" s="907"/>
      <c r="C532" s="907"/>
      <c r="D532" s="907"/>
      <c r="E532" s="907"/>
      <c r="F532" s="907"/>
      <c r="G532" s="907"/>
      <c r="H532" s="907"/>
      <c r="I532" s="907"/>
      <c r="J532" s="907"/>
      <c r="K532" s="907"/>
      <c r="L532" s="907"/>
      <c r="M532" s="907"/>
      <c r="N532" s="907"/>
      <c r="O532" s="907"/>
      <c r="P532" s="907"/>
      <c r="Q532" s="907"/>
      <c r="R532" s="907"/>
      <c r="S532" s="907"/>
      <c r="T532" s="907"/>
      <c r="U532" s="907"/>
      <c r="V532" s="907"/>
      <c r="W532" s="907"/>
      <c r="X532" s="907"/>
      <c r="Y532" s="907"/>
      <c r="Z532" s="907"/>
      <c r="AA532" s="907"/>
      <c r="AB532" s="907"/>
      <c r="AC532" s="907"/>
      <c r="AD532" s="907"/>
      <c r="AE532" s="907"/>
      <c r="AF532" s="907"/>
      <c r="AG532" s="907"/>
      <c r="AH532" s="907"/>
      <c r="AI532" s="907"/>
      <c r="AJ532" s="907"/>
      <c r="AK532" s="907"/>
      <c r="AL532" s="907"/>
      <c r="AM532" s="907"/>
    </row>
    <row r="533" spans="1:39">
      <c r="A533" s="907"/>
      <c r="B533" s="907"/>
      <c r="C533" s="907"/>
      <c r="D533" s="907"/>
      <c r="E533" s="907"/>
      <c r="F533" s="907"/>
      <c r="G533" s="907"/>
      <c r="H533" s="907"/>
      <c r="I533" s="907"/>
      <c r="J533" s="907"/>
      <c r="K533" s="907"/>
      <c r="L533" s="907"/>
      <c r="M533" s="907"/>
      <c r="N533" s="907"/>
      <c r="O533" s="907"/>
      <c r="P533" s="907"/>
      <c r="Q533" s="907"/>
      <c r="R533" s="907"/>
      <c r="S533" s="907"/>
      <c r="T533" s="907"/>
      <c r="U533" s="907"/>
      <c r="V533" s="907"/>
      <c r="W533" s="907"/>
      <c r="X533" s="907"/>
      <c r="Y533" s="907"/>
      <c r="Z533" s="907"/>
      <c r="AA533" s="907"/>
      <c r="AB533" s="907"/>
      <c r="AC533" s="907"/>
      <c r="AD533" s="907"/>
      <c r="AE533" s="907"/>
      <c r="AF533" s="907"/>
      <c r="AG533" s="907"/>
      <c r="AH533" s="907"/>
      <c r="AI533" s="907"/>
      <c r="AJ533" s="907"/>
      <c r="AK533" s="907"/>
      <c r="AL533" s="907"/>
      <c r="AM533" s="907"/>
    </row>
    <row r="534" spans="1:39">
      <c r="A534" s="907"/>
      <c r="B534" s="907"/>
      <c r="C534" s="907"/>
      <c r="D534" s="907"/>
      <c r="E534" s="907"/>
      <c r="F534" s="907"/>
      <c r="G534" s="907"/>
      <c r="H534" s="907"/>
      <c r="I534" s="907"/>
      <c r="J534" s="907"/>
      <c r="K534" s="907"/>
      <c r="L534" s="907"/>
      <c r="M534" s="907"/>
      <c r="N534" s="907"/>
      <c r="O534" s="907"/>
      <c r="P534" s="907"/>
      <c r="Q534" s="907"/>
      <c r="R534" s="907"/>
      <c r="S534" s="907"/>
      <c r="T534" s="907"/>
      <c r="U534" s="907"/>
      <c r="V534" s="907"/>
      <c r="W534" s="907"/>
      <c r="X534" s="907"/>
      <c r="Y534" s="907"/>
      <c r="Z534" s="907"/>
      <c r="AA534" s="907"/>
      <c r="AB534" s="907"/>
      <c r="AC534" s="907"/>
      <c r="AD534" s="907"/>
      <c r="AE534" s="907"/>
      <c r="AF534" s="907"/>
      <c r="AG534" s="907"/>
      <c r="AH534" s="907"/>
      <c r="AI534" s="907"/>
      <c r="AJ534" s="907"/>
      <c r="AK534" s="907"/>
      <c r="AL534" s="907"/>
      <c r="AM534" s="907"/>
    </row>
    <row r="535" spans="1:39">
      <c r="A535" s="907"/>
      <c r="B535" s="907"/>
      <c r="C535" s="907"/>
      <c r="D535" s="907"/>
      <c r="E535" s="907"/>
      <c r="F535" s="907"/>
      <c r="G535" s="907"/>
      <c r="H535" s="907"/>
      <c r="I535" s="907"/>
      <c r="J535" s="907"/>
      <c r="K535" s="907"/>
      <c r="L535" s="907"/>
      <c r="M535" s="907"/>
      <c r="N535" s="907"/>
      <c r="O535" s="907"/>
      <c r="P535" s="907"/>
      <c r="Q535" s="907"/>
      <c r="R535" s="907"/>
      <c r="S535" s="907"/>
      <c r="T535" s="907"/>
      <c r="U535" s="907"/>
      <c r="V535" s="907"/>
      <c r="W535" s="907"/>
      <c r="X535" s="907"/>
      <c r="Y535" s="907"/>
      <c r="Z535" s="907"/>
      <c r="AA535" s="907"/>
      <c r="AB535" s="907"/>
      <c r="AC535" s="907"/>
      <c r="AD535" s="907"/>
      <c r="AE535" s="907"/>
      <c r="AF535" s="907"/>
      <c r="AG535" s="907"/>
      <c r="AH535" s="907"/>
      <c r="AI535" s="907"/>
      <c r="AJ535" s="907"/>
      <c r="AK535" s="907"/>
      <c r="AL535" s="907"/>
      <c r="AM535" s="907"/>
    </row>
    <row r="536" spans="1:39">
      <c r="A536" s="907"/>
      <c r="B536" s="907"/>
      <c r="C536" s="907"/>
      <c r="D536" s="907"/>
      <c r="E536" s="907"/>
      <c r="F536" s="907"/>
      <c r="G536" s="907"/>
      <c r="H536" s="907"/>
      <c r="I536" s="907"/>
      <c r="J536" s="907"/>
      <c r="K536" s="907"/>
      <c r="L536" s="907"/>
      <c r="M536" s="907"/>
      <c r="N536" s="907"/>
      <c r="O536" s="907"/>
      <c r="P536" s="907"/>
      <c r="Q536" s="907"/>
      <c r="R536" s="907"/>
      <c r="S536" s="907"/>
      <c r="T536" s="907"/>
      <c r="U536" s="907"/>
      <c r="V536" s="907"/>
      <c r="W536" s="907"/>
      <c r="X536" s="907"/>
      <c r="Y536" s="907"/>
      <c r="Z536" s="907"/>
      <c r="AA536" s="907"/>
      <c r="AB536" s="907"/>
      <c r="AC536" s="907"/>
      <c r="AD536" s="907"/>
      <c r="AE536" s="907"/>
      <c r="AF536" s="907"/>
      <c r="AG536" s="907"/>
      <c r="AH536" s="907"/>
      <c r="AI536" s="907"/>
      <c r="AJ536" s="907"/>
      <c r="AK536" s="907"/>
      <c r="AL536" s="907"/>
      <c r="AM536" s="907"/>
    </row>
    <row r="537" spans="1:39">
      <c r="A537" s="907"/>
      <c r="B537" s="907"/>
      <c r="C537" s="907"/>
      <c r="D537" s="907"/>
      <c r="E537" s="907"/>
      <c r="F537" s="907"/>
      <c r="G537" s="907"/>
      <c r="H537" s="907"/>
      <c r="I537" s="907"/>
      <c r="J537" s="907"/>
      <c r="K537" s="907"/>
      <c r="L537" s="907"/>
      <c r="M537" s="907"/>
      <c r="N537" s="907"/>
      <c r="O537" s="907"/>
      <c r="P537" s="907"/>
      <c r="Q537" s="907"/>
      <c r="R537" s="907"/>
      <c r="S537" s="907"/>
      <c r="T537" s="907"/>
      <c r="U537" s="907"/>
      <c r="V537" s="907"/>
      <c r="W537" s="907"/>
      <c r="X537" s="907"/>
      <c r="Y537" s="907"/>
      <c r="Z537" s="907"/>
      <c r="AA537" s="907"/>
      <c r="AB537" s="907"/>
      <c r="AC537" s="907"/>
      <c r="AD537" s="907"/>
      <c r="AE537" s="907"/>
      <c r="AF537" s="907"/>
      <c r="AG537" s="907"/>
      <c r="AH537" s="907"/>
      <c r="AI537" s="907"/>
      <c r="AJ537" s="907"/>
      <c r="AK537" s="907"/>
      <c r="AL537" s="907"/>
      <c r="AM537" s="907"/>
    </row>
    <row r="538" spans="1:39">
      <c r="A538" s="907"/>
      <c r="B538" s="907"/>
      <c r="C538" s="907"/>
      <c r="D538" s="907"/>
      <c r="E538" s="907"/>
      <c r="F538" s="907"/>
      <c r="G538" s="907"/>
      <c r="H538" s="907"/>
      <c r="I538" s="907"/>
      <c r="J538" s="907"/>
      <c r="K538" s="907"/>
      <c r="L538" s="907"/>
      <c r="M538" s="907"/>
      <c r="N538" s="907"/>
      <c r="O538" s="907"/>
      <c r="P538" s="907"/>
      <c r="Q538" s="907"/>
      <c r="R538" s="907"/>
      <c r="S538" s="907"/>
      <c r="T538" s="907"/>
      <c r="U538" s="907"/>
      <c r="V538" s="907"/>
      <c r="W538" s="907"/>
      <c r="X538" s="907"/>
      <c r="Y538" s="907"/>
      <c r="Z538" s="907"/>
      <c r="AA538" s="907"/>
      <c r="AB538" s="907"/>
      <c r="AC538" s="907"/>
      <c r="AD538" s="907"/>
      <c r="AE538" s="907"/>
      <c r="AF538" s="907"/>
      <c r="AG538" s="907"/>
      <c r="AH538" s="907"/>
      <c r="AI538" s="907"/>
      <c r="AJ538" s="907"/>
      <c r="AK538" s="907"/>
      <c r="AL538" s="907"/>
      <c r="AM538" s="907"/>
    </row>
    <row r="539" spans="1:39">
      <c r="A539" s="907"/>
      <c r="B539" s="907"/>
      <c r="C539" s="907"/>
      <c r="D539" s="907"/>
      <c r="E539" s="907"/>
      <c r="F539" s="907"/>
      <c r="G539" s="907"/>
      <c r="H539" s="907"/>
      <c r="I539" s="907"/>
      <c r="J539" s="907"/>
      <c r="K539" s="907"/>
      <c r="L539" s="907"/>
      <c r="M539" s="907"/>
      <c r="N539" s="907"/>
      <c r="O539" s="907"/>
      <c r="P539" s="907"/>
      <c r="Q539" s="907"/>
      <c r="R539" s="907"/>
      <c r="S539" s="907"/>
      <c r="T539" s="907"/>
      <c r="U539" s="907"/>
      <c r="V539" s="907"/>
      <c r="W539" s="907"/>
      <c r="X539" s="907"/>
      <c r="Y539" s="907"/>
      <c r="Z539" s="907"/>
      <c r="AA539" s="907"/>
      <c r="AB539" s="907"/>
      <c r="AC539" s="907"/>
      <c r="AD539" s="907"/>
      <c r="AE539" s="907"/>
      <c r="AF539" s="907"/>
      <c r="AG539" s="907"/>
      <c r="AH539" s="907"/>
      <c r="AI539" s="907"/>
      <c r="AJ539" s="907"/>
      <c r="AK539" s="907"/>
      <c r="AL539" s="907"/>
      <c r="AM539" s="907"/>
    </row>
    <row r="540" spans="1:39">
      <c r="A540" s="907"/>
      <c r="B540" s="907"/>
      <c r="C540" s="907"/>
      <c r="D540" s="907"/>
      <c r="E540" s="907"/>
      <c r="F540" s="907"/>
      <c r="G540" s="907"/>
      <c r="H540" s="907"/>
      <c r="I540" s="907"/>
      <c r="J540" s="907"/>
      <c r="K540" s="907"/>
      <c r="L540" s="907"/>
      <c r="M540" s="907"/>
      <c r="N540" s="907"/>
      <c r="O540" s="907"/>
      <c r="P540" s="907"/>
      <c r="Q540" s="907"/>
      <c r="R540" s="907"/>
      <c r="S540" s="907"/>
      <c r="T540" s="907"/>
      <c r="U540" s="907"/>
      <c r="V540" s="907"/>
      <c r="W540" s="907"/>
      <c r="X540" s="907"/>
      <c r="Y540" s="907"/>
      <c r="Z540" s="907"/>
      <c r="AA540" s="907"/>
      <c r="AB540" s="907"/>
      <c r="AC540" s="907"/>
      <c r="AD540" s="907"/>
      <c r="AE540" s="907"/>
      <c r="AF540" s="907"/>
      <c r="AG540" s="907"/>
      <c r="AH540" s="907"/>
      <c r="AI540" s="907"/>
      <c r="AJ540" s="907"/>
      <c r="AK540" s="907"/>
      <c r="AL540" s="907"/>
      <c r="AM540" s="907"/>
    </row>
    <row r="541" spans="1:39">
      <c r="A541" s="907"/>
      <c r="B541" s="907"/>
      <c r="C541" s="907"/>
      <c r="D541" s="907"/>
      <c r="E541" s="907"/>
      <c r="F541" s="907"/>
      <c r="G541" s="907"/>
      <c r="H541" s="907"/>
      <c r="I541" s="907"/>
      <c r="J541" s="907"/>
      <c r="K541" s="907"/>
      <c r="L541" s="907"/>
      <c r="M541" s="907"/>
      <c r="N541" s="907"/>
      <c r="O541" s="907"/>
      <c r="P541" s="907"/>
      <c r="Q541" s="907"/>
      <c r="R541" s="907"/>
      <c r="S541" s="907"/>
      <c r="T541" s="907"/>
      <c r="U541" s="907"/>
      <c r="V541" s="907"/>
      <c r="W541" s="907"/>
      <c r="X541" s="907"/>
      <c r="Y541" s="907"/>
      <c r="Z541" s="907"/>
      <c r="AA541" s="907"/>
      <c r="AB541" s="907"/>
      <c r="AC541" s="907"/>
      <c r="AD541" s="907"/>
      <c r="AE541" s="907"/>
      <c r="AF541" s="907"/>
      <c r="AG541" s="907"/>
      <c r="AH541" s="907"/>
      <c r="AI541" s="907"/>
      <c r="AJ541" s="907"/>
      <c r="AK541" s="907"/>
      <c r="AL541" s="907"/>
      <c r="AM541" s="907"/>
    </row>
    <row r="542" spans="1:39">
      <c r="A542" s="907"/>
      <c r="B542" s="907"/>
      <c r="C542" s="907"/>
      <c r="D542" s="907"/>
      <c r="E542" s="907"/>
      <c r="F542" s="907"/>
      <c r="G542" s="907"/>
      <c r="H542" s="907"/>
      <c r="I542" s="907"/>
      <c r="J542" s="907"/>
      <c r="K542" s="907"/>
      <c r="L542" s="907"/>
      <c r="M542" s="907"/>
      <c r="N542" s="907"/>
      <c r="O542" s="907"/>
      <c r="P542" s="907"/>
      <c r="Q542" s="907"/>
      <c r="R542" s="907"/>
      <c r="S542" s="907"/>
      <c r="T542" s="907"/>
      <c r="U542" s="907"/>
      <c r="V542" s="907"/>
      <c r="W542" s="907"/>
      <c r="X542" s="907"/>
      <c r="Y542" s="907"/>
      <c r="Z542" s="907"/>
      <c r="AA542" s="907"/>
      <c r="AB542" s="907"/>
      <c r="AC542" s="907"/>
      <c r="AD542" s="907"/>
      <c r="AE542" s="907"/>
      <c r="AF542" s="907"/>
      <c r="AG542" s="907"/>
      <c r="AH542" s="907"/>
      <c r="AI542" s="907"/>
      <c r="AJ542" s="907"/>
      <c r="AK542" s="907"/>
      <c r="AL542" s="907"/>
      <c r="AM542" s="907"/>
    </row>
    <row r="543" spans="1:39">
      <c r="A543" s="907"/>
      <c r="B543" s="907"/>
      <c r="C543" s="907"/>
      <c r="D543" s="907"/>
      <c r="E543" s="907"/>
      <c r="F543" s="907"/>
      <c r="G543" s="907"/>
      <c r="H543" s="907"/>
      <c r="I543" s="907"/>
      <c r="J543" s="907"/>
      <c r="K543" s="907"/>
      <c r="L543" s="907"/>
      <c r="M543" s="907"/>
      <c r="N543" s="907"/>
      <c r="O543" s="907"/>
      <c r="P543" s="907"/>
      <c r="Q543" s="907"/>
      <c r="R543" s="907"/>
      <c r="S543" s="907"/>
      <c r="T543" s="907"/>
      <c r="U543" s="907"/>
      <c r="V543" s="907"/>
      <c r="W543" s="907"/>
      <c r="X543" s="907"/>
      <c r="Y543" s="907"/>
      <c r="Z543" s="907"/>
      <c r="AA543" s="907"/>
      <c r="AB543" s="907"/>
      <c r="AC543" s="907"/>
      <c r="AD543" s="907"/>
      <c r="AE543" s="907"/>
      <c r="AF543" s="907"/>
      <c r="AG543" s="907"/>
      <c r="AH543" s="907"/>
      <c r="AI543" s="907"/>
      <c r="AJ543" s="907"/>
      <c r="AK543" s="907"/>
      <c r="AL543" s="907"/>
      <c r="AM543" s="907"/>
    </row>
    <row r="544" spans="1:39">
      <c r="A544" s="907"/>
      <c r="B544" s="907"/>
      <c r="C544" s="907"/>
      <c r="D544" s="907"/>
      <c r="E544" s="907"/>
      <c r="F544" s="907"/>
      <c r="G544" s="907"/>
      <c r="H544" s="907"/>
      <c r="I544" s="907"/>
      <c r="J544" s="907"/>
      <c r="K544" s="907"/>
      <c r="L544" s="907"/>
      <c r="M544" s="907"/>
      <c r="N544" s="907"/>
      <c r="O544" s="907"/>
      <c r="P544" s="907"/>
      <c r="Q544" s="907"/>
      <c r="R544" s="907"/>
      <c r="S544" s="907"/>
      <c r="T544" s="907"/>
      <c r="U544" s="907"/>
      <c r="V544" s="907"/>
      <c r="W544" s="907"/>
      <c r="X544" s="907"/>
      <c r="Y544" s="907"/>
      <c r="Z544" s="907"/>
      <c r="AA544" s="907"/>
      <c r="AB544" s="907"/>
      <c r="AC544" s="907"/>
      <c r="AD544" s="907"/>
      <c r="AE544" s="907"/>
      <c r="AF544" s="907"/>
      <c r="AG544" s="907"/>
      <c r="AH544" s="907"/>
      <c r="AI544" s="907"/>
      <c r="AJ544" s="907"/>
      <c r="AK544" s="907"/>
      <c r="AL544" s="907"/>
      <c r="AM544" s="907"/>
    </row>
    <row r="545" spans="1:39">
      <c r="A545" s="907"/>
      <c r="B545" s="907"/>
      <c r="C545" s="907"/>
      <c r="D545" s="907"/>
      <c r="E545" s="907"/>
      <c r="F545" s="907"/>
      <c r="G545" s="907"/>
      <c r="H545" s="907"/>
      <c r="I545" s="907"/>
      <c r="J545" s="907"/>
      <c r="K545" s="907"/>
      <c r="L545" s="907"/>
      <c r="M545" s="907"/>
      <c r="N545" s="907"/>
      <c r="O545" s="907"/>
      <c r="P545" s="907"/>
      <c r="Q545" s="907"/>
      <c r="R545" s="907"/>
      <c r="S545" s="907"/>
      <c r="T545" s="907"/>
      <c r="U545" s="907"/>
      <c r="V545" s="907"/>
      <c r="W545" s="907"/>
      <c r="X545" s="907"/>
      <c r="Y545" s="907"/>
      <c r="Z545" s="907"/>
      <c r="AA545" s="907"/>
      <c r="AB545" s="907"/>
      <c r="AC545" s="907"/>
      <c r="AD545" s="907"/>
      <c r="AE545" s="907"/>
      <c r="AF545" s="907"/>
      <c r="AG545" s="907"/>
      <c r="AH545" s="907"/>
      <c r="AI545" s="907"/>
      <c r="AJ545" s="907"/>
      <c r="AK545" s="907"/>
      <c r="AL545" s="907"/>
      <c r="AM545" s="907"/>
    </row>
    <row r="546" spans="1:39">
      <c r="A546" s="907"/>
      <c r="B546" s="907"/>
      <c r="C546" s="907"/>
      <c r="D546" s="907"/>
      <c r="E546" s="907"/>
      <c r="F546" s="907"/>
      <c r="G546" s="907"/>
      <c r="H546" s="907"/>
      <c r="I546" s="907"/>
      <c r="J546" s="907"/>
      <c r="K546" s="907"/>
      <c r="L546" s="907"/>
      <c r="M546" s="907"/>
      <c r="N546" s="907"/>
      <c r="O546" s="907"/>
      <c r="P546" s="907"/>
      <c r="Q546" s="907"/>
      <c r="R546" s="907"/>
      <c r="S546" s="907"/>
      <c r="T546" s="907"/>
      <c r="U546" s="907"/>
      <c r="V546" s="907"/>
      <c r="W546" s="907"/>
      <c r="X546" s="907"/>
      <c r="Y546" s="907"/>
      <c r="Z546" s="907"/>
      <c r="AA546" s="907"/>
      <c r="AB546" s="907"/>
      <c r="AC546" s="907"/>
      <c r="AD546" s="907"/>
      <c r="AE546" s="907"/>
      <c r="AF546" s="907"/>
      <c r="AG546" s="907"/>
      <c r="AH546" s="907"/>
      <c r="AI546" s="907"/>
      <c r="AJ546" s="907"/>
      <c r="AK546" s="907"/>
      <c r="AL546" s="907"/>
      <c r="AM546" s="907"/>
    </row>
    <row r="547" spans="1:39">
      <c r="A547" s="907"/>
      <c r="B547" s="907"/>
      <c r="C547" s="907"/>
      <c r="D547" s="907"/>
      <c r="E547" s="907"/>
      <c r="F547" s="907"/>
      <c r="G547" s="907"/>
      <c r="H547" s="907"/>
      <c r="I547" s="907"/>
      <c r="J547" s="907"/>
      <c r="K547" s="907"/>
      <c r="L547" s="907"/>
      <c r="M547" s="907"/>
      <c r="N547" s="907"/>
      <c r="O547" s="907"/>
      <c r="P547" s="907"/>
      <c r="Q547" s="907"/>
      <c r="R547" s="907"/>
      <c r="S547" s="907"/>
      <c r="T547" s="907"/>
      <c r="U547" s="907"/>
      <c r="V547" s="907"/>
      <c r="W547" s="907"/>
      <c r="X547" s="907"/>
      <c r="Y547" s="907"/>
      <c r="Z547" s="907"/>
      <c r="AA547" s="907"/>
      <c r="AB547" s="907"/>
      <c r="AC547" s="907"/>
      <c r="AD547" s="907"/>
      <c r="AE547" s="907"/>
      <c r="AF547" s="907"/>
      <c r="AG547" s="907"/>
      <c r="AH547" s="907"/>
      <c r="AI547" s="907"/>
      <c r="AJ547" s="907"/>
      <c r="AK547" s="907"/>
      <c r="AL547" s="907"/>
      <c r="AM547" s="907"/>
    </row>
    <row r="548" spans="1:39">
      <c r="A548" s="907"/>
      <c r="B548" s="907"/>
      <c r="C548" s="907"/>
      <c r="D548" s="907"/>
      <c r="E548" s="907"/>
      <c r="F548" s="907"/>
      <c r="G548" s="907"/>
      <c r="H548" s="907"/>
      <c r="I548" s="907"/>
      <c r="J548" s="907"/>
      <c r="K548" s="907"/>
      <c r="L548" s="907"/>
      <c r="M548" s="907"/>
      <c r="N548" s="907"/>
      <c r="O548" s="907"/>
      <c r="P548" s="907"/>
      <c r="Q548" s="907"/>
      <c r="R548" s="907"/>
      <c r="S548" s="907"/>
      <c r="T548" s="907"/>
      <c r="U548" s="907"/>
      <c r="V548" s="907"/>
      <c r="W548" s="907"/>
      <c r="X548" s="907"/>
      <c r="Y548" s="907"/>
      <c r="Z548" s="907"/>
      <c r="AA548" s="907"/>
      <c r="AB548" s="907"/>
      <c r="AC548" s="907"/>
      <c r="AD548" s="907"/>
      <c r="AE548" s="907"/>
      <c r="AF548" s="907"/>
      <c r="AG548" s="907"/>
      <c r="AH548" s="907"/>
      <c r="AI548" s="907"/>
      <c r="AJ548" s="907"/>
      <c r="AK548" s="907"/>
      <c r="AL548" s="907"/>
      <c r="AM548" s="907"/>
    </row>
    <row r="549" spans="1:39">
      <c r="A549" s="907"/>
      <c r="B549" s="907"/>
      <c r="C549" s="907"/>
      <c r="D549" s="907"/>
      <c r="E549" s="907"/>
      <c r="F549" s="907"/>
      <c r="G549" s="907"/>
      <c r="H549" s="907"/>
      <c r="I549" s="907"/>
      <c r="J549" s="907"/>
      <c r="K549" s="907"/>
      <c r="L549" s="907"/>
      <c r="M549" s="907"/>
      <c r="N549" s="907"/>
      <c r="O549" s="907"/>
      <c r="P549" s="907"/>
      <c r="Q549" s="907"/>
      <c r="R549" s="907"/>
      <c r="S549" s="907"/>
      <c r="T549" s="907"/>
      <c r="U549" s="907"/>
      <c r="V549" s="907"/>
      <c r="W549" s="907"/>
      <c r="X549" s="907"/>
      <c r="Y549" s="907"/>
      <c r="Z549" s="907"/>
      <c r="AA549" s="907"/>
      <c r="AB549" s="907"/>
      <c r="AC549" s="907"/>
      <c r="AD549" s="907"/>
      <c r="AE549" s="907"/>
      <c r="AF549" s="907"/>
      <c r="AG549" s="907"/>
      <c r="AH549" s="907"/>
      <c r="AI549" s="907"/>
      <c r="AJ549" s="907"/>
      <c r="AK549" s="907"/>
      <c r="AL549" s="907"/>
      <c r="AM549" s="907"/>
    </row>
    <row r="550" spans="1:39">
      <c r="A550" s="907"/>
      <c r="B550" s="907"/>
      <c r="C550" s="907"/>
      <c r="D550" s="907"/>
      <c r="E550" s="907"/>
      <c r="F550" s="907"/>
      <c r="G550" s="907"/>
      <c r="H550" s="907"/>
      <c r="I550" s="907"/>
      <c r="J550" s="907"/>
      <c r="K550" s="907"/>
      <c r="L550" s="907"/>
      <c r="M550" s="907"/>
      <c r="N550" s="907"/>
      <c r="O550" s="907"/>
      <c r="P550" s="907"/>
      <c r="Q550" s="907"/>
      <c r="R550" s="907"/>
      <c r="S550" s="907"/>
      <c r="T550" s="907"/>
      <c r="U550" s="907"/>
      <c r="V550" s="907"/>
      <c r="W550" s="907"/>
      <c r="X550" s="907"/>
      <c r="Y550" s="907"/>
      <c r="Z550" s="907"/>
      <c r="AA550" s="907"/>
      <c r="AB550" s="907"/>
      <c r="AC550" s="907"/>
      <c r="AD550" s="907"/>
      <c r="AE550" s="907"/>
      <c r="AF550" s="907"/>
      <c r="AG550" s="907"/>
      <c r="AH550" s="907"/>
      <c r="AI550" s="907"/>
      <c r="AJ550" s="907"/>
      <c r="AK550" s="907"/>
      <c r="AL550" s="907"/>
      <c r="AM550" s="907"/>
    </row>
    <row r="551" spans="1:39">
      <c r="A551" s="907"/>
      <c r="B551" s="907"/>
      <c r="C551" s="907"/>
      <c r="D551" s="907"/>
      <c r="E551" s="907"/>
      <c r="F551" s="907"/>
      <c r="G551" s="907"/>
      <c r="H551" s="907"/>
      <c r="I551" s="907"/>
      <c r="J551" s="907"/>
      <c r="K551" s="907"/>
      <c r="L551" s="907"/>
      <c r="M551" s="907"/>
      <c r="N551" s="907"/>
      <c r="O551" s="907"/>
      <c r="P551" s="907"/>
      <c r="Q551" s="907"/>
      <c r="R551" s="907"/>
      <c r="S551" s="907"/>
      <c r="T551" s="907"/>
      <c r="U551" s="907"/>
      <c r="V551" s="907"/>
      <c r="W551" s="907"/>
      <c r="X551" s="907"/>
      <c r="Y551" s="907"/>
      <c r="Z551" s="907"/>
      <c r="AA551" s="907"/>
      <c r="AB551" s="907"/>
      <c r="AC551" s="907"/>
      <c r="AD551" s="907"/>
      <c r="AE551" s="907"/>
      <c r="AF551" s="907"/>
      <c r="AG551" s="907"/>
      <c r="AH551" s="907"/>
      <c r="AI551" s="907"/>
      <c r="AJ551" s="907"/>
      <c r="AK551" s="907"/>
      <c r="AL551" s="907"/>
      <c r="AM551" s="907"/>
    </row>
    <row r="552" spans="1:39">
      <c r="A552" s="907"/>
      <c r="B552" s="907"/>
      <c r="C552" s="907"/>
      <c r="D552" s="907"/>
      <c r="E552" s="907"/>
      <c r="F552" s="907"/>
      <c r="G552" s="907"/>
      <c r="H552" s="907"/>
      <c r="I552" s="907"/>
      <c r="J552" s="907"/>
      <c r="K552" s="907"/>
      <c r="L552" s="907"/>
      <c r="M552" s="907"/>
      <c r="N552" s="907"/>
      <c r="O552" s="907"/>
      <c r="P552" s="907"/>
      <c r="Q552" s="907"/>
      <c r="R552" s="907"/>
      <c r="S552" s="907"/>
      <c r="T552" s="907"/>
      <c r="U552" s="907"/>
      <c r="V552" s="907"/>
      <c r="W552" s="907"/>
      <c r="X552" s="907"/>
      <c r="Y552" s="907"/>
      <c r="Z552" s="907"/>
      <c r="AA552" s="907"/>
      <c r="AB552" s="907"/>
      <c r="AC552" s="907"/>
      <c r="AD552" s="907"/>
      <c r="AE552" s="907"/>
      <c r="AF552" s="907"/>
      <c r="AG552" s="907"/>
      <c r="AH552" s="907"/>
      <c r="AI552" s="907"/>
      <c r="AJ552" s="907"/>
      <c r="AK552" s="907"/>
      <c r="AL552" s="907"/>
      <c r="AM552" s="907"/>
    </row>
    <row r="553" spans="1:39">
      <c r="A553" s="907"/>
      <c r="B553" s="907"/>
      <c r="C553" s="907"/>
      <c r="D553" s="907"/>
      <c r="E553" s="907"/>
      <c r="F553" s="907"/>
      <c r="G553" s="907"/>
      <c r="H553" s="907"/>
      <c r="I553" s="907"/>
      <c r="J553" s="907"/>
      <c r="K553" s="907"/>
      <c r="L553" s="907"/>
      <c r="M553" s="907"/>
      <c r="N553" s="907"/>
      <c r="O553" s="907"/>
      <c r="P553" s="907"/>
      <c r="Q553" s="907"/>
      <c r="R553" s="907"/>
      <c r="S553" s="907"/>
      <c r="T553" s="907"/>
      <c r="U553" s="907"/>
      <c r="V553" s="907"/>
      <c r="W553" s="907"/>
      <c r="X553" s="907"/>
      <c r="Y553" s="907"/>
      <c r="Z553" s="907"/>
      <c r="AA553" s="907"/>
      <c r="AB553" s="907"/>
      <c r="AC553" s="907"/>
      <c r="AD553" s="907"/>
      <c r="AE553" s="907"/>
      <c r="AF553" s="907"/>
      <c r="AG553" s="907"/>
      <c r="AH553" s="907"/>
      <c r="AI553" s="907"/>
      <c r="AJ553" s="907"/>
      <c r="AK553" s="907"/>
      <c r="AL553" s="907"/>
      <c r="AM553" s="907"/>
    </row>
    <row r="554" spans="1:39">
      <c r="A554" s="907"/>
      <c r="B554" s="907"/>
      <c r="C554" s="907"/>
      <c r="D554" s="907"/>
      <c r="E554" s="907"/>
      <c r="F554" s="907"/>
      <c r="G554" s="907"/>
      <c r="H554" s="907"/>
      <c r="I554" s="907"/>
      <c r="J554" s="907"/>
      <c r="K554" s="907"/>
      <c r="L554" s="907"/>
      <c r="M554" s="907"/>
      <c r="N554" s="907"/>
      <c r="O554" s="907"/>
      <c r="P554" s="907"/>
      <c r="Q554" s="907"/>
      <c r="R554" s="907"/>
      <c r="S554" s="907"/>
      <c r="T554" s="907"/>
      <c r="U554" s="907"/>
      <c r="V554" s="907"/>
      <c r="W554" s="907"/>
      <c r="X554" s="907"/>
      <c r="Y554" s="907"/>
      <c r="Z554" s="907"/>
      <c r="AA554" s="907"/>
      <c r="AB554" s="907"/>
      <c r="AC554" s="907"/>
      <c r="AD554" s="907"/>
      <c r="AE554" s="907"/>
      <c r="AF554" s="907"/>
      <c r="AG554" s="907"/>
      <c r="AH554" s="907"/>
      <c r="AI554" s="907"/>
      <c r="AJ554" s="907"/>
      <c r="AK554" s="907"/>
      <c r="AL554" s="907"/>
      <c r="AM554" s="907"/>
    </row>
    <row r="555" spans="1:39">
      <c r="A555" s="907"/>
      <c r="B555" s="907"/>
      <c r="C555" s="907"/>
      <c r="D555" s="907"/>
      <c r="E555" s="907"/>
      <c r="F555" s="907"/>
      <c r="G555" s="907"/>
      <c r="H555" s="907"/>
      <c r="I555" s="907"/>
      <c r="J555" s="907"/>
      <c r="K555" s="907"/>
      <c r="L555" s="907"/>
      <c r="M555" s="907"/>
      <c r="N555" s="907"/>
      <c r="O555" s="907"/>
      <c r="P555" s="907"/>
      <c r="Q555" s="907"/>
      <c r="R555" s="907"/>
      <c r="S555" s="907"/>
      <c r="T555" s="907"/>
      <c r="U555" s="907"/>
      <c r="V555" s="907"/>
      <c r="W555" s="907"/>
      <c r="X555" s="907"/>
      <c r="Y555" s="907"/>
      <c r="Z555" s="907"/>
      <c r="AA555" s="907"/>
      <c r="AB555" s="907"/>
      <c r="AC555" s="907"/>
      <c r="AD555" s="907"/>
      <c r="AE555" s="907"/>
      <c r="AF555" s="907"/>
      <c r="AG555" s="907"/>
      <c r="AH555" s="907"/>
      <c r="AI555" s="907"/>
      <c r="AJ555" s="907"/>
      <c r="AK555" s="907"/>
      <c r="AL555" s="907"/>
      <c r="AM555" s="907"/>
    </row>
    <row r="556" spans="1:39">
      <c r="A556" s="907"/>
      <c r="B556" s="907"/>
      <c r="C556" s="907"/>
      <c r="D556" s="907"/>
      <c r="E556" s="907"/>
      <c r="F556" s="907"/>
      <c r="G556" s="907"/>
      <c r="H556" s="907"/>
      <c r="I556" s="907"/>
      <c r="J556" s="907"/>
      <c r="K556" s="907"/>
      <c r="L556" s="907"/>
      <c r="M556" s="907"/>
      <c r="N556" s="907"/>
      <c r="O556" s="907"/>
      <c r="P556" s="907"/>
      <c r="Q556" s="907"/>
      <c r="R556" s="907"/>
      <c r="S556" s="907"/>
      <c r="T556" s="907"/>
      <c r="U556" s="907"/>
      <c r="V556" s="907"/>
      <c r="W556" s="907"/>
      <c r="X556" s="907"/>
      <c r="Y556" s="907"/>
      <c r="Z556" s="907"/>
      <c r="AA556" s="907"/>
      <c r="AB556" s="907"/>
      <c r="AC556" s="907"/>
      <c r="AD556" s="907"/>
      <c r="AE556" s="907"/>
      <c r="AF556" s="907"/>
      <c r="AG556" s="907"/>
      <c r="AH556" s="907"/>
      <c r="AI556" s="907"/>
      <c r="AJ556" s="907"/>
      <c r="AK556" s="907"/>
      <c r="AL556" s="907"/>
      <c r="AM556" s="907"/>
    </row>
    <row r="557" spans="1:39">
      <c r="A557" s="907"/>
      <c r="B557" s="907"/>
      <c r="C557" s="907"/>
      <c r="D557" s="907"/>
      <c r="E557" s="907"/>
      <c r="F557" s="907"/>
      <c r="G557" s="907"/>
      <c r="H557" s="907"/>
      <c r="I557" s="907"/>
      <c r="J557" s="907"/>
      <c r="K557" s="907"/>
      <c r="L557" s="907"/>
      <c r="M557" s="907"/>
      <c r="N557" s="907"/>
      <c r="O557" s="907"/>
      <c r="P557" s="907"/>
      <c r="Q557" s="907"/>
      <c r="R557" s="907"/>
      <c r="S557" s="907"/>
      <c r="T557" s="907"/>
      <c r="U557" s="907"/>
      <c r="V557" s="907"/>
      <c r="W557" s="907"/>
      <c r="X557" s="907"/>
      <c r="Y557" s="907"/>
      <c r="Z557" s="907"/>
      <c r="AA557" s="907"/>
      <c r="AB557" s="907"/>
      <c r="AC557" s="907"/>
      <c r="AD557" s="907"/>
      <c r="AE557" s="907"/>
      <c r="AF557" s="907"/>
      <c r="AG557" s="907"/>
      <c r="AH557" s="907"/>
      <c r="AI557" s="907"/>
      <c r="AJ557" s="907"/>
      <c r="AK557" s="907"/>
      <c r="AL557" s="907"/>
      <c r="AM557" s="907"/>
    </row>
    <row r="558" spans="1:39">
      <c r="A558" s="907"/>
      <c r="B558" s="907"/>
      <c r="C558" s="907"/>
      <c r="D558" s="907"/>
      <c r="E558" s="907"/>
      <c r="F558" s="907"/>
      <c r="G558" s="907"/>
      <c r="H558" s="907"/>
      <c r="I558" s="907"/>
      <c r="J558" s="907"/>
      <c r="K558" s="907"/>
      <c r="L558" s="907"/>
      <c r="M558" s="907"/>
      <c r="N558" s="907"/>
      <c r="O558" s="907"/>
      <c r="P558" s="907"/>
      <c r="Q558" s="907"/>
      <c r="R558" s="907"/>
      <c r="S558" s="907"/>
      <c r="T558" s="907"/>
      <c r="U558" s="907"/>
      <c r="V558" s="907"/>
      <c r="W558" s="907"/>
      <c r="X558" s="907"/>
      <c r="Y558" s="907"/>
      <c r="Z558" s="907"/>
      <c r="AA558" s="907"/>
      <c r="AB558" s="907"/>
      <c r="AC558" s="907"/>
      <c r="AD558" s="907"/>
      <c r="AE558" s="907"/>
      <c r="AF558" s="907"/>
      <c r="AG558" s="907"/>
      <c r="AH558" s="907"/>
      <c r="AI558" s="907"/>
      <c r="AJ558" s="907"/>
      <c r="AK558" s="907"/>
      <c r="AL558" s="907"/>
      <c r="AM558" s="907"/>
    </row>
    <row r="559" spans="1:39">
      <c r="A559" s="907"/>
      <c r="B559" s="907"/>
      <c r="C559" s="907"/>
      <c r="D559" s="907"/>
      <c r="E559" s="907"/>
      <c r="F559" s="907"/>
      <c r="G559" s="907"/>
      <c r="H559" s="907"/>
      <c r="I559" s="907"/>
      <c r="J559" s="907"/>
      <c r="K559" s="907"/>
      <c r="L559" s="907"/>
      <c r="M559" s="907"/>
      <c r="N559" s="907"/>
      <c r="O559" s="907"/>
      <c r="P559" s="907"/>
      <c r="Q559" s="907"/>
      <c r="R559" s="907"/>
      <c r="S559" s="907"/>
      <c r="T559" s="907"/>
      <c r="U559" s="907"/>
      <c r="V559" s="907"/>
      <c r="W559" s="907"/>
      <c r="X559" s="907"/>
      <c r="Y559" s="907"/>
      <c r="Z559" s="907"/>
      <c r="AA559" s="907"/>
      <c r="AB559" s="907"/>
      <c r="AC559" s="907"/>
      <c r="AD559" s="907"/>
      <c r="AE559" s="907"/>
      <c r="AF559" s="907"/>
      <c r="AG559" s="907"/>
      <c r="AH559" s="907"/>
      <c r="AI559" s="907"/>
      <c r="AJ559" s="907"/>
      <c r="AK559" s="907"/>
      <c r="AL559" s="907"/>
      <c r="AM559" s="907"/>
    </row>
    <row r="560" spans="1:39">
      <c r="A560" s="907"/>
      <c r="B560" s="907"/>
      <c r="C560" s="907"/>
      <c r="D560" s="907"/>
      <c r="E560" s="907"/>
      <c r="F560" s="907"/>
      <c r="G560" s="907"/>
      <c r="H560" s="907"/>
      <c r="I560" s="907"/>
      <c r="J560" s="907"/>
      <c r="K560" s="907"/>
      <c r="L560" s="907"/>
      <c r="M560" s="907"/>
      <c r="N560" s="907"/>
      <c r="O560" s="907"/>
      <c r="P560" s="907"/>
      <c r="Q560" s="907"/>
      <c r="R560" s="907"/>
      <c r="S560" s="907"/>
      <c r="T560" s="907"/>
      <c r="U560" s="907"/>
      <c r="V560" s="907"/>
      <c r="W560" s="907"/>
      <c r="X560" s="907"/>
      <c r="Y560" s="907"/>
      <c r="Z560" s="907"/>
      <c r="AA560" s="907"/>
      <c r="AB560" s="907"/>
      <c r="AC560" s="907"/>
      <c r="AD560" s="907"/>
      <c r="AE560" s="907"/>
      <c r="AF560" s="907"/>
      <c r="AG560" s="907"/>
      <c r="AH560" s="907"/>
      <c r="AI560" s="907"/>
      <c r="AJ560" s="907"/>
      <c r="AK560" s="907"/>
      <c r="AL560" s="907"/>
      <c r="AM560" s="907"/>
    </row>
    <row r="561" spans="1:39">
      <c r="A561" s="907"/>
      <c r="B561" s="907"/>
      <c r="C561" s="907"/>
      <c r="D561" s="907"/>
      <c r="E561" s="907"/>
      <c r="F561" s="907"/>
      <c r="G561" s="907"/>
      <c r="H561" s="907"/>
      <c r="I561" s="907"/>
      <c r="J561" s="907"/>
      <c r="K561" s="907"/>
      <c r="L561" s="907"/>
      <c r="M561" s="907"/>
      <c r="N561" s="907"/>
      <c r="O561" s="907"/>
      <c r="P561" s="907"/>
      <c r="Q561" s="907"/>
      <c r="R561" s="907"/>
      <c r="S561" s="907"/>
      <c r="T561" s="907"/>
      <c r="U561" s="907"/>
      <c r="V561" s="907"/>
      <c r="W561" s="907"/>
      <c r="X561" s="907"/>
      <c r="Y561" s="907"/>
      <c r="Z561" s="907"/>
      <c r="AA561" s="907"/>
      <c r="AB561" s="907"/>
      <c r="AC561" s="907"/>
      <c r="AD561" s="907"/>
      <c r="AE561" s="907"/>
      <c r="AF561" s="907"/>
      <c r="AG561" s="907"/>
      <c r="AH561" s="907"/>
      <c r="AI561" s="907"/>
      <c r="AJ561" s="907"/>
      <c r="AK561" s="907"/>
      <c r="AL561" s="907"/>
      <c r="AM561" s="907"/>
    </row>
    <row r="562" spans="1:39">
      <c r="A562" s="907"/>
      <c r="B562" s="907"/>
      <c r="C562" s="907"/>
      <c r="D562" s="907"/>
      <c r="E562" s="907"/>
      <c r="F562" s="907"/>
      <c r="G562" s="907"/>
      <c r="H562" s="907"/>
      <c r="I562" s="907"/>
      <c r="J562" s="907"/>
      <c r="K562" s="907"/>
      <c r="L562" s="907"/>
      <c r="M562" s="907"/>
      <c r="N562" s="907"/>
      <c r="O562" s="907"/>
      <c r="P562" s="907"/>
      <c r="Q562" s="907"/>
      <c r="R562" s="907"/>
      <c r="S562" s="907"/>
      <c r="T562" s="907"/>
      <c r="U562" s="907"/>
      <c r="V562" s="907"/>
      <c r="W562" s="907"/>
      <c r="X562" s="907"/>
      <c r="Y562" s="907"/>
      <c r="Z562" s="907"/>
      <c r="AA562" s="907"/>
      <c r="AB562" s="907"/>
      <c r="AC562" s="907"/>
      <c r="AD562" s="907"/>
      <c r="AE562" s="907"/>
      <c r="AF562" s="907"/>
      <c r="AG562" s="907"/>
      <c r="AH562" s="907"/>
      <c r="AI562" s="907"/>
      <c r="AJ562" s="907"/>
      <c r="AK562" s="907"/>
      <c r="AL562" s="907"/>
      <c r="AM562" s="907"/>
    </row>
    <row r="563" spans="1:39">
      <c r="A563" s="907"/>
      <c r="B563" s="907"/>
      <c r="C563" s="907"/>
      <c r="D563" s="907"/>
      <c r="E563" s="907"/>
      <c r="F563" s="907"/>
      <c r="G563" s="907"/>
      <c r="H563" s="907"/>
      <c r="I563" s="907"/>
      <c r="J563" s="907"/>
      <c r="K563" s="907"/>
      <c r="L563" s="907"/>
      <c r="M563" s="907"/>
      <c r="N563" s="907"/>
      <c r="O563" s="907"/>
      <c r="P563" s="907"/>
      <c r="Q563" s="907"/>
      <c r="R563" s="907"/>
      <c r="S563" s="907"/>
      <c r="T563" s="907"/>
      <c r="U563" s="907"/>
      <c r="V563" s="907"/>
      <c r="W563" s="907"/>
      <c r="X563" s="907"/>
      <c r="Y563" s="907"/>
      <c r="Z563" s="907"/>
      <c r="AA563" s="907"/>
      <c r="AB563" s="907"/>
      <c r="AC563" s="907"/>
      <c r="AD563" s="907"/>
      <c r="AE563" s="907"/>
      <c r="AF563" s="907"/>
      <c r="AG563" s="907"/>
      <c r="AH563" s="907"/>
      <c r="AI563" s="907"/>
      <c r="AJ563" s="907"/>
      <c r="AK563" s="907"/>
      <c r="AL563" s="907"/>
      <c r="AM563" s="907"/>
    </row>
    <row r="564" spans="1:39">
      <c r="A564" s="907"/>
      <c r="B564" s="907"/>
      <c r="C564" s="907"/>
      <c r="D564" s="907"/>
      <c r="E564" s="907"/>
      <c r="F564" s="907"/>
      <c r="G564" s="907"/>
      <c r="H564" s="907"/>
      <c r="I564" s="907"/>
      <c r="J564" s="907"/>
      <c r="K564" s="907"/>
      <c r="L564" s="907"/>
      <c r="M564" s="907"/>
      <c r="N564" s="907"/>
      <c r="O564" s="907"/>
      <c r="P564" s="907"/>
      <c r="Q564" s="907"/>
      <c r="R564" s="907"/>
      <c r="S564" s="907"/>
      <c r="T564" s="907"/>
      <c r="U564" s="907"/>
      <c r="V564" s="907"/>
      <c r="W564" s="907"/>
      <c r="X564" s="907"/>
      <c r="Y564" s="907"/>
      <c r="Z564" s="907"/>
      <c r="AA564" s="907"/>
      <c r="AB564" s="907"/>
      <c r="AC564" s="907"/>
      <c r="AD564" s="907"/>
      <c r="AE564" s="907"/>
      <c r="AF564" s="907"/>
      <c r="AG564" s="907"/>
      <c r="AH564" s="907"/>
      <c r="AI564" s="907"/>
      <c r="AJ564" s="907"/>
      <c r="AK564" s="907"/>
      <c r="AL564" s="907"/>
      <c r="AM564" s="907"/>
    </row>
    <row r="565" spans="1:39">
      <c r="A565" s="907"/>
      <c r="B565" s="907"/>
      <c r="C565" s="907"/>
      <c r="D565" s="907"/>
      <c r="E565" s="907"/>
      <c r="F565" s="907"/>
      <c r="G565" s="907"/>
      <c r="H565" s="907"/>
      <c r="I565" s="907"/>
      <c r="J565" s="907"/>
      <c r="K565" s="907"/>
      <c r="L565" s="907"/>
      <c r="M565" s="907"/>
      <c r="N565" s="907"/>
      <c r="O565" s="907"/>
      <c r="P565" s="907"/>
      <c r="Q565" s="907"/>
      <c r="R565" s="907"/>
      <c r="S565" s="907"/>
      <c r="T565" s="907"/>
      <c r="U565" s="907"/>
      <c r="V565" s="907"/>
      <c r="W565" s="907"/>
      <c r="X565" s="907"/>
      <c r="Y565" s="907"/>
      <c r="Z565" s="907"/>
      <c r="AA565" s="907"/>
      <c r="AB565" s="907"/>
      <c r="AC565" s="907"/>
      <c r="AD565" s="907"/>
      <c r="AE565" s="907"/>
      <c r="AF565" s="907"/>
      <c r="AG565" s="907"/>
      <c r="AH565" s="907"/>
      <c r="AI565" s="907"/>
      <c r="AJ565" s="907"/>
      <c r="AK565" s="907"/>
      <c r="AL565" s="907"/>
      <c r="AM565" s="907"/>
    </row>
    <row r="566" spans="1:39">
      <c r="A566" s="907"/>
      <c r="B566" s="907"/>
      <c r="C566" s="907"/>
      <c r="D566" s="907"/>
      <c r="E566" s="907"/>
      <c r="F566" s="907"/>
      <c r="G566" s="907"/>
      <c r="H566" s="907"/>
      <c r="I566" s="907"/>
      <c r="J566" s="907"/>
      <c r="K566" s="907"/>
      <c r="L566" s="907"/>
      <c r="M566" s="907"/>
      <c r="N566" s="907"/>
      <c r="O566" s="907"/>
      <c r="P566" s="907"/>
      <c r="Q566" s="907"/>
      <c r="R566" s="907"/>
      <c r="S566" s="907"/>
      <c r="T566" s="907"/>
      <c r="U566" s="907"/>
      <c r="V566" s="907"/>
      <c r="W566" s="907"/>
      <c r="X566" s="907"/>
      <c r="Y566" s="907"/>
      <c r="Z566" s="907"/>
      <c r="AA566" s="907"/>
      <c r="AB566" s="907"/>
      <c r="AC566" s="907"/>
      <c r="AD566" s="907"/>
      <c r="AE566" s="907"/>
      <c r="AF566" s="907"/>
      <c r="AG566" s="907"/>
      <c r="AH566" s="907"/>
      <c r="AI566" s="907"/>
      <c r="AJ566" s="907"/>
      <c r="AK566" s="907"/>
      <c r="AL566" s="907"/>
      <c r="AM566" s="907"/>
    </row>
    <row r="567" spans="1:39">
      <c r="A567" s="907"/>
      <c r="B567" s="907"/>
      <c r="C567" s="907"/>
      <c r="D567" s="907"/>
      <c r="E567" s="907"/>
      <c r="F567" s="907"/>
      <c r="G567" s="907"/>
      <c r="H567" s="907"/>
      <c r="I567" s="907"/>
      <c r="J567" s="907"/>
      <c r="K567" s="907"/>
      <c r="L567" s="907"/>
      <c r="M567" s="907"/>
      <c r="N567" s="907"/>
      <c r="O567" s="907"/>
      <c r="P567" s="907"/>
      <c r="Q567" s="907"/>
      <c r="R567" s="907"/>
      <c r="S567" s="907"/>
      <c r="T567" s="907"/>
      <c r="U567" s="907"/>
      <c r="V567" s="907"/>
      <c r="W567" s="907"/>
      <c r="X567" s="907"/>
      <c r="Y567" s="907"/>
      <c r="Z567" s="907"/>
      <c r="AA567" s="907"/>
      <c r="AB567" s="907"/>
      <c r="AC567" s="907"/>
      <c r="AD567" s="907"/>
      <c r="AE567" s="907"/>
      <c r="AF567" s="907"/>
      <c r="AG567" s="907"/>
      <c r="AH567" s="907"/>
      <c r="AI567" s="907"/>
      <c r="AJ567" s="907"/>
      <c r="AK567" s="907"/>
      <c r="AL567" s="907"/>
      <c r="AM567" s="907"/>
    </row>
    <row r="568" spans="1:39">
      <c r="A568" s="907"/>
      <c r="B568" s="907"/>
      <c r="C568" s="907"/>
      <c r="D568" s="907"/>
      <c r="E568" s="907"/>
      <c r="F568" s="907"/>
      <c r="G568" s="907"/>
      <c r="H568" s="907"/>
      <c r="I568" s="907"/>
      <c r="J568" s="907"/>
      <c r="K568" s="907"/>
      <c r="L568" s="907"/>
      <c r="M568" s="907"/>
      <c r="N568" s="907"/>
      <c r="O568" s="907"/>
      <c r="P568" s="907"/>
      <c r="Q568" s="907"/>
      <c r="R568" s="907"/>
      <c r="S568" s="907"/>
      <c r="T568" s="907"/>
      <c r="U568" s="907"/>
      <c r="V568" s="907"/>
      <c r="W568" s="907"/>
      <c r="X568" s="907"/>
      <c r="Y568" s="907"/>
      <c r="Z568" s="907"/>
      <c r="AA568" s="907"/>
      <c r="AB568" s="907"/>
      <c r="AC568" s="907"/>
      <c r="AD568" s="907"/>
      <c r="AE568" s="907"/>
      <c r="AF568" s="907"/>
      <c r="AG568" s="907"/>
      <c r="AH568" s="907"/>
      <c r="AI568" s="907"/>
      <c r="AJ568" s="907"/>
      <c r="AK568" s="907"/>
      <c r="AL568" s="907"/>
      <c r="AM568" s="907"/>
    </row>
    <row r="569" spans="1:39">
      <c r="A569" s="907"/>
      <c r="B569" s="907"/>
      <c r="C569" s="907"/>
      <c r="D569" s="907"/>
      <c r="E569" s="907"/>
      <c r="F569" s="907"/>
      <c r="G569" s="907"/>
      <c r="H569" s="907"/>
      <c r="I569" s="907"/>
      <c r="J569" s="907"/>
      <c r="K569" s="907"/>
      <c r="L569" s="907"/>
      <c r="M569" s="907"/>
      <c r="N569" s="907"/>
      <c r="O569" s="907"/>
      <c r="P569" s="907"/>
      <c r="Q569" s="907"/>
      <c r="R569" s="907"/>
      <c r="S569" s="907"/>
      <c r="T569" s="907"/>
      <c r="U569" s="907"/>
      <c r="V569" s="907"/>
      <c r="W569" s="907"/>
      <c r="X569" s="907"/>
      <c r="Y569" s="907"/>
      <c r="Z569" s="907"/>
      <c r="AA569" s="907"/>
      <c r="AB569" s="907"/>
      <c r="AC569" s="907"/>
      <c r="AD569" s="907"/>
      <c r="AE569" s="907"/>
      <c r="AF569" s="907"/>
      <c r="AG569" s="907"/>
      <c r="AH569" s="907"/>
      <c r="AI569" s="907"/>
      <c r="AJ569" s="907"/>
      <c r="AK569" s="907"/>
      <c r="AL569" s="907"/>
      <c r="AM569" s="907"/>
    </row>
    <row r="570" spans="1:39">
      <c r="A570" s="907"/>
      <c r="B570" s="907"/>
      <c r="C570" s="907"/>
      <c r="D570" s="907"/>
      <c r="E570" s="907"/>
      <c r="F570" s="907"/>
      <c r="G570" s="907"/>
      <c r="H570" s="907"/>
      <c r="I570" s="907"/>
      <c r="J570" s="907"/>
      <c r="K570" s="907"/>
      <c r="L570" s="907"/>
      <c r="M570" s="907"/>
      <c r="N570" s="907"/>
      <c r="O570" s="907"/>
      <c r="P570" s="907"/>
      <c r="Q570" s="907"/>
      <c r="R570" s="907"/>
      <c r="S570" s="907"/>
      <c r="T570" s="907"/>
      <c r="U570" s="907"/>
      <c r="V570" s="907"/>
      <c r="W570" s="907"/>
      <c r="X570" s="907"/>
      <c r="Y570" s="907"/>
      <c r="Z570" s="907"/>
      <c r="AA570" s="907"/>
      <c r="AB570" s="907"/>
      <c r="AC570" s="907"/>
      <c r="AD570" s="907"/>
      <c r="AE570" s="907"/>
      <c r="AF570" s="907"/>
      <c r="AG570" s="907"/>
      <c r="AH570" s="907"/>
      <c r="AI570" s="907"/>
      <c r="AJ570" s="907"/>
      <c r="AK570" s="907"/>
      <c r="AL570" s="907"/>
      <c r="AM570" s="907"/>
    </row>
    <row r="571" spans="1:39">
      <c r="A571" s="907"/>
      <c r="B571" s="907"/>
      <c r="C571" s="907"/>
      <c r="D571" s="907"/>
      <c r="E571" s="907"/>
      <c r="F571" s="907"/>
      <c r="G571" s="907"/>
      <c r="H571" s="907"/>
      <c r="I571" s="907"/>
      <c r="J571" s="907"/>
      <c r="K571" s="907"/>
      <c r="L571" s="907"/>
      <c r="M571" s="907"/>
      <c r="N571" s="907"/>
      <c r="O571" s="907"/>
      <c r="P571" s="907"/>
      <c r="Q571" s="907"/>
      <c r="R571" s="907"/>
      <c r="S571" s="907"/>
      <c r="T571" s="907"/>
      <c r="U571" s="907"/>
      <c r="V571" s="907"/>
      <c r="W571" s="907"/>
      <c r="X571" s="907"/>
      <c r="Y571" s="907"/>
      <c r="Z571" s="907"/>
      <c r="AA571" s="907"/>
      <c r="AB571" s="907"/>
      <c r="AC571" s="907"/>
      <c r="AD571" s="907"/>
      <c r="AE571" s="907"/>
      <c r="AF571" s="907"/>
      <c r="AG571" s="907"/>
      <c r="AH571" s="907"/>
      <c r="AI571" s="907"/>
      <c r="AJ571" s="907"/>
      <c r="AK571" s="907"/>
      <c r="AL571" s="907"/>
      <c r="AM571" s="907"/>
    </row>
    <row r="572" spans="1:39">
      <c r="A572" s="907"/>
      <c r="B572" s="907"/>
      <c r="C572" s="907"/>
      <c r="D572" s="907"/>
      <c r="E572" s="907"/>
      <c r="F572" s="907"/>
      <c r="G572" s="907"/>
      <c r="H572" s="907"/>
      <c r="I572" s="907"/>
      <c r="J572" s="907"/>
      <c r="K572" s="907"/>
      <c r="L572" s="907"/>
      <c r="M572" s="907"/>
      <c r="N572" s="907"/>
      <c r="O572" s="907"/>
      <c r="P572" s="907"/>
      <c r="Q572" s="907"/>
      <c r="R572" s="907"/>
      <c r="S572" s="907"/>
      <c r="T572" s="907"/>
      <c r="U572" s="907"/>
      <c r="V572" s="907"/>
      <c r="W572" s="907"/>
      <c r="X572" s="907"/>
      <c r="Y572" s="907"/>
      <c r="Z572" s="907"/>
      <c r="AA572" s="907"/>
      <c r="AB572" s="907"/>
      <c r="AC572" s="907"/>
      <c r="AD572" s="907"/>
      <c r="AE572" s="907"/>
      <c r="AF572" s="907"/>
      <c r="AG572" s="907"/>
      <c r="AH572" s="907"/>
      <c r="AI572" s="907"/>
      <c r="AJ572" s="907"/>
      <c r="AK572" s="907"/>
      <c r="AL572" s="907"/>
      <c r="AM572" s="907"/>
    </row>
    <row r="573" spans="1:39">
      <c r="A573" s="907"/>
      <c r="B573" s="907"/>
      <c r="C573" s="907"/>
      <c r="D573" s="907"/>
      <c r="E573" s="907"/>
      <c r="F573" s="907"/>
      <c r="G573" s="907"/>
      <c r="H573" s="907"/>
      <c r="I573" s="907"/>
      <c r="J573" s="907"/>
      <c r="K573" s="907"/>
      <c r="L573" s="907"/>
      <c r="M573" s="907"/>
      <c r="N573" s="907"/>
      <c r="O573" s="907"/>
      <c r="P573" s="907"/>
      <c r="Q573" s="907"/>
      <c r="R573" s="907"/>
      <c r="S573" s="907"/>
      <c r="T573" s="907"/>
      <c r="U573" s="907"/>
      <c r="V573" s="907"/>
      <c r="W573" s="907"/>
      <c r="X573" s="907"/>
      <c r="Y573" s="907"/>
      <c r="Z573" s="907"/>
      <c r="AA573" s="907"/>
      <c r="AB573" s="907"/>
      <c r="AC573" s="907"/>
      <c r="AD573" s="907"/>
      <c r="AE573" s="907"/>
      <c r="AF573" s="907"/>
      <c r="AG573" s="907"/>
      <c r="AH573" s="907"/>
      <c r="AI573" s="907"/>
      <c r="AJ573" s="907"/>
      <c r="AK573" s="907"/>
      <c r="AL573" s="907"/>
      <c r="AM573" s="907"/>
    </row>
    <row r="574" spans="1:39">
      <c r="A574" s="907"/>
      <c r="B574" s="907"/>
      <c r="C574" s="907"/>
      <c r="D574" s="907"/>
      <c r="E574" s="907"/>
      <c r="F574" s="907"/>
      <c r="G574" s="907"/>
      <c r="H574" s="907"/>
      <c r="I574" s="907"/>
      <c r="J574" s="907"/>
      <c r="K574" s="907"/>
      <c r="L574" s="907"/>
      <c r="M574" s="907"/>
      <c r="N574" s="907"/>
      <c r="O574" s="907"/>
      <c r="P574" s="907"/>
      <c r="Q574" s="907"/>
      <c r="R574" s="907"/>
      <c r="S574" s="907"/>
      <c r="T574" s="907"/>
      <c r="U574" s="907"/>
      <c r="V574" s="907"/>
      <c r="W574" s="907"/>
      <c r="X574" s="907"/>
      <c r="Y574" s="907"/>
      <c r="Z574" s="907"/>
      <c r="AA574" s="907"/>
      <c r="AB574" s="907"/>
      <c r="AC574" s="907"/>
      <c r="AD574" s="907"/>
      <c r="AE574" s="907"/>
      <c r="AF574" s="907"/>
      <c r="AG574" s="907"/>
      <c r="AH574" s="907"/>
      <c r="AI574" s="907"/>
      <c r="AJ574" s="907"/>
      <c r="AK574" s="907"/>
      <c r="AL574" s="907"/>
      <c r="AM574" s="907"/>
    </row>
    <row r="575" spans="1:39">
      <c r="A575" s="907"/>
      <c r="B575" s="907"/>
      <c r="C575" s="907"/>
      <c r="D575" s="907"/>
      <c r="E575" s="907"/>
      <c r="F575" s="907"/>
      <c r="G575" s="907"/>
      <c r="H575" s="907"/>
      <c r="I575" s="907"/>
      <c r="J575" s="907"/>
      <c r="K575" s="907"/>
      <c r="L575" s="907"/>
      <c r="M575" s="907"/>
      <c r="N575" s="907"/>
      <c r="O575" s="907"/>
      <c r="P575" s="907"/>
      <c r="Q575" s="907"/>
      <c r="R575" s="907"/>
      <c r="S575" s="907"/>
      <c r="T575" s="907"/>
      <c r="U575" s="907"/>
      <c r="V575" s="907"/>
      <c r="W575" s="907"/>
      <c r="X575" s="907"/>
      <c r="Y575" s="907"/>
      <c r="Z575" s="907"/>
      <c r="AA575" s="907"/>
      <c r="AB575" s="907"/>
      <c r="AC575" s="907"/>
      <c r="AD575" s="907"/>
      <c r="AE575" s="907"/>
      <c r="AF575" s="907"/>
      <c r="AG575" s="907"/>
      <c r="AH575" s="907"/>
      <c r="AI575" s="907"/>
      <c r="AJ575" s="907"/>
      <c r="AK575" s="907"/>
      <c r="AL575" s="907"/>
      <c r="AM575" s="907"/>
    </row>
    <row r="576" spans="1:39">
      <c r="A576" s="907"/>
      <c r="B576" s="907"/>
      <c r="C576" s="907"/>
      <c r="D576" s="907"/>
      <c r="E576" s="907"/>
      <c r="F576" s="907"/>
      <c r="G576" s="907"/>
      <c r="H576" s="907"/>
      <c r="I576" s="907"/>
      <c r="J576" s="907"/>
      <c r="K576" s="907"/>
      <c r="L576" s="907"/>
      <c r="M576" s="907"/>
      <c r="N576" s="907"/>
      <c r="O576" s="907"/>
      <c r="P576" s="907"/>
      <c r="Q576" s="907"/>
      <c r="R576" s="907"/>
      <c r="S576" s="907"/>
      <c r="T576" s="907"/>
      <c r="U576" s="907"/>
      <c r="V576" s="907"/>
      <c r="W576" s="907"/>
      <c r="X576" s="907"/>
      <c r="Y576" s="907"/>
      <c r="Z576" s="907"/>
      <c r="AA576" s="907"/>
      <c r="AB576" s="907"/>
      <c r="AC576" s="907"/>
      <c r="AD576" s="907"/>
      <c r="AE576" s="907"/>
      <c r="AF576" s="907"/>
      <c r="AG576" s="907"/>
      <c r="AH576" s="907"/>
      <c r="AI576" s="907"/>
      <c r="AJ576" s="907"/>
      <c r="AK576" s="907"/>
      <c r="AL576" s="907"/>
      <c r="AM576" s="907"/>
    </row>
    <row r="577" spans="1:39">
      <c r="A577" s="907"/>
      <c r="B577" s="907"/>
      <c r="C577" s="907"/>
      <c r="D577" s="907"/>
      <c r="E577" s="907"/>
      <c r="F577" s="907"/>
      <c r="G577" s="907"/>
      <c r="H577" s="907"/>
      <c r="I577" s="907"/>
      <c r="J577" s="907"/>
      <c r="K577" s="907"/>
      <c r="L577" s="907"/>
      <c r="M577" s="907"/>
      <c r="N577" s="907"/>
      <c r="O577" s="907"/>
      <c r="P577" s="907"/>
      <c r="Q577" s="907"/>
      <c r="R577" s="907"/>
      <c r="S577" s="907"/>
      <c r="T577" s="907"/>
      <c r="U577" s="907"/>
      <c r="V577" s="907"/>
      <c r="W577" s="907"/>
      <c r="X577" s="907"/>
      <c r="Y577" s="907"/>
      <c r="Z577" s="907"/>
      <c r="AA577" s="907"/>
      <c r="AB577" s="907"/>
      <c r="AC577" s="907"/>
      <c r="AD577" s="907"/>
      <c r="AE577" s="907"/>
      <c r="AF577" s="907"/>
      <c r="AG577" s="907"/>
      <c r="AH577" s="907"/>
      <c r="AI577" s="907"/>
      <c r="AJ577" s="907"/>
      <c r="AK577" s="907"/>
      <c r="AL577" s="907"/>
      <c r="AM577" s="907"/>
    </row>
    <row r="578" spans="1:39">
      <c r="A578" s="907"/>
      <c r="B578" s="907"/>
      <c r="C578" s="907"/>
      <c r="D578" s="907"/>
      <c r="E578" s="907"/>
      <c r="F578" s="907"/>
      <c r="G578" s="907"/>
      <c r="H578" s="907"/>
      <c r="I578" s="907"/>
      <c r="J578" s="907"/>
      <c r="K578" s="907"/>
      <c r="L578" s="907"/>
      <c r="M578" s="907"/>
      <c r="N578" s="907"/>
      <c r="O578" s="907"/>
      <c r="P578" s="907"/>
      <c r="Q578" s="907"/>
      <c r="R578" s="907"/>
      <c r="S578" s="907"/>
      <c r="T578" s="907"/>
      <c r="U578" s="907"/>
      <c r="V578" s="907"/>
      <c r="W578" s="907"/>
      <c r="X578" s="907"/>
      <c r="Y578" s="907"/>
      <c r="Z578" s="907"/>
      <c r="AA578" s="907"/>
      <c r="AB578" s="907"/>
      <c r="AC578" s="907"/>
      <c r="AD578" s="907"/>
      <c r="AE578" s="907"/>
      <c r="AF578" s="907"/>
      <c r="AG578" s="907"/>
      <c r="AH578" s="907"/>
      <c r="AI578" s="907"/>
      <c r="AJ578" s="907"/>
      <c r="AK578" s="907"/>
      <c r="AL578" s="907"/>
      <c r="AM578" s="907"/>
    </row>
    <row r="579" spans="1:39">
      <c r="A579" s="907"/>
      <c r="B579" s="907"/>
      <c r="C579" s="907"/>
      <c r="D579" s="907"/>
      <c r="E579" s="907"/>
      <c r="F579" s="907"/>
      <c r="G579" s="907"/>
      <c r="H579" s="907"/>
      <c r="I579" s="907"/>
      <c r="J579" s="907"/>
      <c r="K579" s="907"/>
      <c r="L579" s="907"/>
      <c r="M579" s="907"/>
      <c r="N579" s="907"/>
      <c r="O579" s="907"/>
      <c r="P579" s="907"/>
      <c r="Q579" s="907"/>
      <c r="R579" s="907"/>
      <c r="S579" s="907"/>
      <c r="T579" s="907"/>
      <c r="U579" s="907"/>
      <c r="V579" s="907"/>
      <c r="W579" s="907"/>
      <c r="X579" s="907"/>
      <c r="Y579" s="907"/>
      <c r="Z579" s="907"/>
      <c r="AA579" s="907"/>
      <c r="AB579" s="907"/>
      <c r="AC579" s="907"/>
      <c r="AD579" s="907"/>
      <c r="AE579" s="907"/>
      <c r="AF579" s="907"/>
      <c r="AG579" s="907"/>
      <c r="AH579" s="907"/>
      <c r="AI579" s="907"/>
      <c r="AJ579" s="907"/>
      <c r="AK579" s="907"/>
      <c r="AL579" s="907"/>
      <c r="AM579" s="907"/>
    </row>
    <row r="580" spans="1:39">
      <c r="A580" s="907"/>
      <c r="B580" s="907"/>
      <c r="C580" s="907"/>
      <c r="D580" s="907"/>
      <c r="E580" s="907"/>
      <c r="F580" s="907"/>
      <c r="G580" s="907"/>
      <c r="H580" s="907"/>
      <c r="I580" s="907"/>
      <c r="J580" s="907"/>
      <c r="K580" s="907"/>
      <c r="L580" s="907"/>
      <c r="M580" s="907"/>
      <c r="N580" s="907"/>
      <c r="O580" s="907"/>
      <c r="P580" s="907"/>
      <c r="Q580" s="907"/>
      <c r="R580" s="907"/>
      <c r="S580" s="907"/>
      <c r="T580" s="907"/>
      <c r="U580" s="907"/>
      <c r="V580" s="907"/>
      <c r="W580" s="907"/>
      <c r="X580" s="907"/>
      <c r="Y580" s="907"/>
      <c r="Z580" s="907"/>
      <c r="AA580" s="907"/>
      <c r="AB580" s="907"/>
      <c r="AC580" s="907"/>
      <c r="AD580" s="907"/>
      <c r="AE580" s="907"/>
      <c r="AF580" s="907"/>
      <c r="AG580" s="907"/>
      <c r="AH580" s="907"/>
      <c r="AI580" s="907"/>
      <c r="AJ580" s="907"/>
      <c r="AK580" s="907"/>
      <c r="AL580" s="907"/>
      <c r="AM580" s="907"/>
    </row>
    <row r="581" spans="1:39">
      <c r="A581" s="907"/>
      <c r="B581" s="907"/>
      <c r="C581" s="907"/>
      <c r="D581" s="907"/>
      <c r="E581" s="907"/>
      <c r="F581" s="907"/>
      <c r="G581" s="907"/>
      <c r="H581" s="907"/>
      <c r="I581" s="907"/>
      <c r="J581" s="907"/>
      <c r="K581" s="907"/>
      <c r="L581" s="907"/>
      <c r="M581" s="907"/>
      <c r="N581" s="907"/>
      <c r="O581" s="907"/>
      <c r="P581" s="907"/>
      <c r="Q581" s="907"/>
      <c r="R581" s="907"/>
      <c r="S581" s="907"/>
      <c r="T581" s="907"/>
      <c r="U581" s="907"/>
      <c r="V581" s="907"/>
      <c r="W581" s="907"/>
      <c r="X581" s="907"/>
      <c r="Y581" s="907"/>
      <c r="Z581" s="907"/>
      <c r="AA581" s="907"/>
      <c r="AB581" s="907"/>
      <c r="AC581" s="907"/>
      <c r="AD581" s="907"/>
      <c r="AE581" s="907"/>
      <c r="AF581" s="907"/>
      <c r="AG581" s="907"/>
      <c r="AH581" s="907"/>
      <c r="AI581" s="907"/>
      <c r="AJ581" s="907"/>
      <c r="AK581" s="907"/>
      <c r="AL581" s="907"/>
      <c r="AM581" s="907"/>
    </row>
    <row r="582" spans="1:39">
      <c r="A582" s="907"/>
      <c r="B582" s="907"/>
      <c r="C582" s="907"/>
      <c r="D582" s="907"/>
      <c r="E582" s="907"/>
      <c r="F582" s="907"/>
      <c r="G582" s="907"/>
      <c r="H582" s="907"/>
      <c r="I582" s="907"/>
      <c r="J582" s="907"/>
      <c r="K582" s="907"/>
      <c r="L582" s="907"/>
      <c r="M582" s="907"/>
      <c r="N582" s="907"/>
      <c r="O582" s="907"/>
      <c r="P582" s="907"/>
      <c r="Q582" s="907"/>
      <c r="R582" s="907"/>
      <c r="S582" s="907"/>
      <c r="T582" s="907"/>
      <c r="U582" s="907"/>
      <c r="V582" s="907"/>
      <c r="W582" s="907"/>
      <c r="X582" s="907"/>
      <c r="Y582" s="907"/>
      <c r="Z582" s="907"/>
      <c r="AA582" s="907"/>
      <c r="AB582" s="907"/>
      <c r="AC582" s="907"/>
      <c r="AD582" s="907"/>
      <c r="AE582" s="907"/>
      <c r="AF582" s="907"/>
      <c r="AG582" s="907"/>
      <c r="AH582" s="907"/>
      <c r="AI582" s="907"/>
      <c r="AJ582" s="907"/>
      <c r="AK582" s="907"/>
      <c r="AL582" s="907"/>
      <c r="AM582" s="907"/>
    </row>
    <row r="583" spans="1:39">
      <c r="A583" s="907"/>
      <c r="B583" s="907"/>
      <c r="C583" s="907"/>
      <c r="D583" s="907"/>
      <c r="E583" s="907"/>
      <c r="F583" s="907"/>
      <c r="G583" s="907"/>
      <c r="H583" s="907"/>
      <c r="I583" s="907"/>
      <c r="J583" s="907"/>
      <c r="K583" s="907"/>
      <c r="L583" s="907"/>
      <c r="M583" s="907"/>
      <c r="N583" s="907"/>
      <c r="O583" s="907"/>
      <c r="P583" s="907"/>
      <c r="Q583" s="907"/>
      <c r="R583" s="907"/>
      <c r="S583" s="907"/>
      <c r="T583" s="907"/>
      <c r="U583" s="907"/>
      <c r="V583" s="907"/>
      <c r="W583" s="907"/>
      <c r="X583" s="907"/>
      <c r="Y583" s="907"/>
      <c r="Z583" s="907"/>
      <c r="AA583" s="907"/>
      <c r="AB583" s="907"/>
      <c r="AC583" s="907"/>
      <c r="AD583" s="907"/>
      <c r="AE583" s="907"/>
      <c r="AF583" s="907"/>
      <c r="AG583" s="907"/>
      <c r="AH583" s="907"/>
      <c r="AI583" s="907"/>
      <c r="AJ583" s="907"/>
      <c r="AK583" s="907"/>
      <c r="AL583" s="907"/>
      <c r="AM583" s="907"/>
    </row>
    <row r="584" spans="1:39">
      <c r="A584" s="907"/>
      <c r="B584" s="907"/>
      <c r="C584" s="907"/>
      <c r="D584" s="907"/>
      <c r="E584" s="907"/>
      <c r="F584" s="907"/>
      <c r="G584" s="907"/>
      <c r="H584" s="907"/>
      <c r="I584" s="907"/>
      <c r="J584" s="907"/>
      <c r="K584" s="907"/>
      <c r="L584" s="907"/>
      <c r="M584" s="907"/>
      <c r="N584" s="907"/>
      <c r="O584" s="907"/>
      <c r="P584" s="907"/>
      <c r="Q584" s="907"/>
      <c r="R584" s="907"/>
      <c r="S584" s="907"/>
      <c r="T584" s="907"/>
      <c r="U584" s="907"/>
      <c r="V584" s="907"/>
      <c r="W584" s="907"/>
      <c r="X584" s="907"/>
      <c r="Y584" s="907"/>
      <c r="Z584" s="907"/>
      <c r="AA584" s="907"/>
      <c r="AB584" s="907"/>
      <c r="AC584" s="907"/>
      <c r="AD584" s="907"/>
      <c r="AE584" s="907"/>
      <c r="AF584" s="907"/>
      <c r="AG584" s="907"/>
      <c r="AH584" s="907"/>
      <c r="AI584" s="907"/>
      <c r="AJ584" s="907"/>
      <c r="AK584" s="907"/>
      <c r="AL584" s="907"/>
      <c r="AM584" s="907"/>
    </row>
    <row r="585" spans="1:39">
      <c r="A585" s="907"/>
      <c r="B585" s="907"/>
      <c r="C585" s="907"/>
      <c r="D585" s="907"/>
      <c r="E585" s="907"/>
      <c r="F585" s="907"/>
      <c r="G585" s="907"/>
      <c r="H585" s="907"/>
      <c r="I585" s="907"/>
      <c r="J585" s="907"/>
      <c r="K585" s="907"/>
      <c r="L585" s="907"/>
      <c r="M585" s="907"/>
      <c r="N585" s="907"/>
      <c r="O585" s="907"/>
      <c r="P585" s="907"/>
      <c r="Q585" s="907"/>
      <c r="R585" s="907"/>
      <c r="S585" s="907"/>
      <c r="T585" s="907"/>
      <c r="U585" s="907"/>
      <c r="V585" s="907"/>
      <c r="W585" s="907"/>
      <c r="X585" s="907"/>
      <c r="Y585" s="907"/>
      <c r="Z585" s="907"/>
      <c r="AA585" s="907"/>
      <c r="AB585" s="907"/>
      <c r="AC585" s="907"/>
      <c r="AD585" s="907"/>
      <c r="AE585" s="907"/>
      <c r="AF585" s="907"/>
      <c r="AG585" s="907"/>
      <c r="AH585" s="907"/>
      <c r="AI585" s="907"/>
      <c r="AJ585" s="907"/>
      <c r="AK585" s="907"/>
      <c r="AL585" s="907"/>
      <c r="AM585" s="907"/>
    </row>
    <row r="586" spans="1:39">
      <c r="A586" s="907"/>
      <c r="B586" s="907"/>
      <c r="C586" s="907"/>
      <c r="D586" s="907"/>
      <c r="E586" s="907"/>
      <c r="F586" s="907"/>
      <c r="G586" s="907"/>
      <c r="H586" s="907"/>
      <c r="I586" s="907"/>
      <c r="J586" s="907"/>
      <c r="K586" s="907"/>
      <c r="L586" s="907"/>
      <c r="M586" s="907"/>
      <c r="N586" s="907"/>
      <c r="O586" s="907"/>
      <c r="P586" s="907"/>
      <c r="Q586" s="907"/>
      <c r="R586" s="907"/>
      <c r="S586" s="907"/>
      <c r="T586" s="907"/>
      <c r="U586" s="907"/>
      <c r="V586" s="907"/>
      <c r="W586" s="907"/>
      <c r="X586" s="907"/>
      <c r="Y586" s="907"/>
      <c r="Z586" s="907"/>
      <c r="AA586" s="907"/>
      <c r="AB586" s="907"/>
      <c r="AC586" s="907"/>
      <c r="AD586" s="907"/>
      <c r="AE586" s="907"/>
      <c r="AF586" s="907"/>
      <c r="AG586" s="907"/>
      <c r="AH586" s="907"/>
      <c r="AI586" s="907"/>
      <c r="AJ586" s="907"/>
      <c r="AK586" s="907"/>
      <c r="AL586" s="907"/>
      <c r="AM586" s="907"/>
    </row>
    <row r="587" spans="1:39">
      <c r="A587" s="907"/>
      <c r="B587" s="907"/>
      <c r="C587" s="907"/>
      <c r="D587" s="907"/>
      <c r="E587" s="907"/>
      <c r="F587" s="907"/>
      <c r="G587" s="907"/>
      <c r="H587" s="907"/>
      <c r="I587" s="907"/>
      <c r="J587" s="907"/>
      <c r="K587" s="907"/>
      <c r="L587" s="907"/>
      <c r="M587" s="907"/>
      <c r="N587" s="907"/>
      <c r="O587" s="907"/>
      <c r="P587" s="907"/>
      <c r="Q587" s="907"/>
      <c r="R587" s="907"/>
      <c r="S587" s="907"/>
      <c r="T587" s="907"/>
      <c r="U587" s="907"/>
      <c r="V587" s="907"/>
      <c r="W587" s="907"/>
      <c r="X587" s="907"/>
      <c r="Y587" s="907"/>
      <c r="Z587" s="907"/>
      <c r="AA587" s="907"/>
      <c r="AB587" s="907"/>
      <c r="AC587" s="907"/>
      <c r="AD587" s="907"/>
      <c r="AE587" s="907"/>
      <c r="AF587" s="907"/>
      <c r="AG587" s="907"/>
      <c r="AH587" s="907"/>
      <c r="AI587" s="907"/>
      <c r="AJ587" s="907"/>
      <c r="AK587" s="907"/>
      <c r="AL587" s="907"/>
      <c r="AM587" s="907"/>
    </row>
    <row r="588" spans="1:39">
      <c r="A588" s="907"/>
      <c r="B588" s="907"/>
      <c r="C588" s="907"/>
      <c r="D588" s="907"/>
      <c r="E588" s="907"/>
      <c r="F588" s="907"/>
      <c r="G588" s="907"/>
      <c r="H588" s="907"/>
      <c r="I588" s="907"/>
      <c r="J588" s="907"/>
      <c r="K588" s="907"/>
      <c r="L588" s="907"/>
      <c r="M588" s="907"/>
      <c r="N588" s="907"/>
      <c r="O588" s="907"/>
      <c r="P588" s="907"/>
      <c r="Q588" s="907"/>
      <c r="R588" s="907"/>
      <c r="S588" s="907"/>
      <c r="T588" s="907"/>
      <c r="U588" s="907"/>
      <c r="V588" s="907"/>
      <c r="W588" s="907"/>
      <c r="X588" s="907"/>
      <c r="Y588" s="907"/>
      <c r="Z588" s="907"/>
      <c r="AA588" s="907"/>
      <c r="AB588" s="907"/>
      <c r="AC588" s="907"/>
      <c r="AD588" s="907"/>
      <c r="AE588" s="907"/>
      <c r="AF588" s="907"/>
      <c r="AG588" s="907"/>
      <c r="AH588" s="907"/>
      <c r="AI588" s="907"/>
      <c r="AJ588" s="907"/>
      <c r="AK588" s="907"/>
      <c r="AL588" s="907"/>
      <c r="AM588" s="907"/>
    </row>
    <row r="589" spans="1:39">
      <c r="A589" s="907"/>
      <c r="B589" s="907"/>
      <c r="C589" s="907"/>
      <c r="D589" s="907"/>
      <c r="E589" s="907"/>
      <c r="F589" s="907"/>
      <c r="G589" s="907"/>
      <c r="H589" s="907"/>
      <c r="I589" s="907"/>
      <c r="J589" s="907"/>
      <c r="K589" s="907"/>
      <c r="L589" s="907"/>
      <c r="M589" s="907"/>
      <c r="N589" s="907"/>
      <c r="O589" s="907"/>
      <c r="P589" s="907"/>
      <c r="Q589" s="907"/>
      <c r="R589" s="907"/>
      <c r="S589" s="907"/>
      <c r="T589" s="907"/>
      <c r="U589" s="907"/>
      <c r="V589" s="907"/>
      <c r="W589" s="907"/>
      <c r="X589" s="907"/>
      <c r="Y589" s="907"/>
      <c r="Z589" s="907"/>
      <c r="AA589" s="907"/>
      <c r="AB589" s="907"/>
      <c r="AC589" s="907"/>
      <c r="AD589" s="907"/>
      <c r="AE589" s="907"/>
      <c r="AF589" s="907"/>
      <c r="AG589" s="907"/>
      <c r="AH589" s="907"/>
      <c r="AI589" s="907"/>
      <c r="AJ589" s="907"/>
      <c r="AK589" s="907"/>
      <c r="AL589" s="907"/>
      <c r="AM589" s="907"/>
    </row>
    <row r="590" spans="1:39">
      <c r="A590" s="907"/>
      <c r="B590" s="907"/>
      <c r="C590" s="907"/>
      <c r="D590" s="907"/>
      <c r="E590" s="907"/>
      <c r="F590" s="907"/>
      <c r="G590" s="907"/>
      <c r="H590" s="907"/>
      <c r="I590" s="907"/>
      <c r="J590" s="907"/>
      <c r="K590" s="907"/>
      <c r="L590" s="907"/>
      <c r="M590" s="907"/>
      <c r="N590" s="907"/>
      <c r="O590" s="907"/>
      <c r="P590" s="907"/>
      <c r="Q590" s="907"/>
      <c r="R590" s="907"/>
      <c r="S590" s="907"/>
      <c r="T590" s="907"/>
      <c r="U590" s="907"/>
      <c r="V590" s="907"/>
      <c r="W590" s="907"/>
      <c r="X590" s="907"/>
      <c r="Y590" s="907"/>
      <c r="Z590" s="907"/>
      <c r="AA590" s="907"/>
      <c r="AB590" s="907"/>
      <c r="AC590" s="907"/>
      <c r="AD590" s="907"/>
      <c r="AE590" s="907"/>
      <c r="AF590" s="907"/>
      <c r="AG590" s="907"/>
      <c r="AH590" s="907"/>
      <c r="AI590" s="907"/>
      <c r="AJ590" s="907"/>
      <c r="AK590" s="907"/>
      <c r="AL590" s="907"/>
      <c r="AM590" s="907"/>
    </row>
    <row r="591" spans="1:39">
      <c r="A591" s="907"/>
      <c r="B591" s="907"/>
      <c r="C591" s="907"/>
      <c r="D591" s="907"/>
      <c r="E591" s="907"/>
      <c r="F591" s="907"/>
      <c r="G591" s="907"/>
      <c r="H591" s="907"/>
      <c r="I591" s="907"/>
      <c r="J591" s="907"/>
      <c r="K591" s="907"/>
      <c r="L591" s="907"/>
      <c r="M591" s="907"/>
      <c r="N591" s="907"/>
      <c r="O591" s="907"/>
      <c r="P591" s="907"/>
      <c r="Q591" s="907"/>
      <c r="R591" s="907"/>
      <c r="S591" s="907"/>
      <c r="T591" s="907"/>
      <c r="U591" s="907"/>
      <c r="V591" s="907"/>
      <c r="W591" s="907"/>
      <c r="X591" s="907"/>
      <c r="Y591" s="907"/>
      <c r="Z591" s="907"/>
      <c r="AA591" s="907"/>
      <c r="AB591" s="907"/>
      <c r="AC591" s="907"/>
      <c r="AD591" s="907"/>
      <c r="AE591" s="907"/>
      <c r="AF591" s="907"/>
      <c r="AG591" s="907"/>
      <c r="AH591" s="907"/>
      <c r="AI591" s="907"/>
      <c r="AJ591" s="907"/>
      <c r="AK591" s="907"/>
      <c r="AL591" s="907"/>
      <c r="AM591" s="907"/>
    </row>
    <row r="592" spans="1:39">
      <c r="A592" s="907"/>
      <c r="B592" s="907"/>
      <c r="C592" s="907"/>
      <c r="D592" s="907"/>
      <c r="E592" s="907"/>
      <c r="F592" s="907"/>
      <c r="G592" s="907"/>
      <c r="H592" s="907"/>
      <c r="I592" s="907"/>
      <c r="J592" s="907"/>
      <c r="K592" s="907"/>
      <c r="L592" s="907"/>
      <c r="M592" s="907"/>
      <c r="N592" s="907"/>
      <c r="O592" s="907"/>
      <c r="P592" s="907"/>
      <c r="Q592" s="907"/>
      <c r="R592" s="907"/>
      <c r="S592" s="907"/>
      <c r="T592" s="907"/>
      <c r="U592" s="907"/>
      <c r="V592" s="907"/>
      <c r="W592" s="907"/>
      <c r="X592" s="907"/>
      <c r="Y592" s="907"/>
      <c r="Z592" s="907"/>
      <c r="AA592" s="907"/>
      <c r="AB592" s="907"/>
      <c r="AC592" s="907"/>
      <c r="AD592" s="907"/>
      <c r="AE592" s="907"/>
      <c r="AF592" s="907"/>
      <c r="AG592" s="907"/>
      <c r="AH592" s="907"/>
      <c r="AI592" s="907"/>
      <c r="AJ592" s="907"/>
      <c r="AK592" s="907"/>
      <c r="AL592" s="907"/>
      <c r="AM592" s="907"/>
    </row>
    <row r="593" spans="1:39">
      <c r="A593" s="907"/>
      <c r="B593" s="907"/>
      <c r="C593" s="907"/>
      <c r="D593" s="907"/>
      <c r="E593" s="907"/>
      <c r="F593" s="907"/>
      <c r="G593" s="907"/>
      <c r="H593" s="907"/>
      <c r="I593" s="907"/>
      <c r="J593" s="907"/>
      <c r="K593" s="907"/>
      <c r="L593" s="907"/>
      <c r="M593" s="907"/>
      <c r="N593" s="907"/>
      <c r="O593" s="907"/>
      <c r="P593" s="907"/>
      <c r="Q593" s="907"/>
      <c r="R593" s="907"/>
      <c r="S593" s="907"/>
      <c r="T593" s="907"/>
      <c r="U593" s="907"/>
      <c r="V593" s="907"/>
      <c r="W593" s="907"/>
      <c r="X593" s="907"/>
      <c r="Y593" s="907"/>
      <c r="Z593" s="907"/>
      <c r="AA593" s="907"/>
      <c r="AB593" s="907"/>
      <c r="AC593" s="907"/>
      <c r="AD593" s="907"/>
      <c r="AE593" s="907"/>
      <c r="AF593" s="907"/>
      <c r="AG593" s="907"/>
      <c r="AH593" s="907"/>
      <c r="AI593" s="907"/>
      <c r="AJ593" s="907"/>
      <c r="AK593" s="907"/>
      <c r="AL593" s="907"/>
      <c r="AM593" s="907"/>
    </row>
    <row r="594" spans="1:39">
      <c r="A594" s="907"/>
      <c r="B594" s="907"/>
      <c r="C594" s="907"/>
      <c r="D594" s="907"/>
      <c r="E594" s="907"/>
      <c r="F594" s="907"/>
      <c r="G594" s="907"/>
      <c r="H594" s="907"/>
      <c r="I594" s="907"/>
      <c r="J594" s="907"/>
      <c r="K594" s="907"/>
      <c r="L594" s="907"/>
      <c r="M594" s="907"/>
      <c r="N594" s="907"/>
      <c r="O594" s="907"/>
      <c r="P594" s="907"/>
      <c r="Q594" s="907"/>
      <c r="R594" s="907"/>
      <c r="S594" s="907"/>
      <c r="T594" s="907"/>
      <c r="U594" s="907"/>
      <c r="V594" s="907"/>
      <c r="W594" s="907"/>
      <c r="X594" s="907"/>
      <c r="Y594" s="907"/>
      <c r="Z594" s="907"/>
      <c r="AA594" s="907"/>
      <c r="AB594" s="907"/>
      <c r="AC594" s="907"/>
      <c r="AD594" s="907"/>
      <c r="AE594" s="907"/>
      <c r="AF594" s="907"/>
      <c r="AG594" s="907"/>
      <c r="AH594" s="907"/>
      <c r="AI594" s="907"/>
      <c r="AJ594" s="907"/>
      <c r="AK594" s="907"/>
      <c r="AL594" s="907"/>
      <c r="AM594" s="907"/>
    </row>
    <row r="595" spans="1:39">
      <c r="A595" s="907"/>
      <c r="B595" s="907"/>
      <c r="C595" s="907"/>
      <c r="D595" s="907"/>
      <c r="E595" s="907"/>
      <c r="F595" s="907"/>
      <c r="G595" s="907"/>
      <c r="H595" s="907"/>
      <c r="I595" s="907"/>
      <c r="J595" s="907"/>
      <c r="K595" s="907"/>
      <c r="L595" s="907"/>
      <c r="M595" s="907"/>
      <c r="N595" s="907"/>
      <c r="O595" s="907"/>
      <c r="P595" s="907"/>
      <c r="Q595" s="907"/>
      <c r="R595" s="907"/>
      <c r="S595" s="907"/>
      <c r="T595" s="907"/>
      <c r="U595" s="907"/>
      <c r="V595" s="907"/>
      <c r="W595" s="907"/>
      <c r="X595" s="907"/>
      <c r="Y595" s="907"/>
      <c r="Z595" s="907"/>
      <c r="AA595" s="907"/>
      <c r="AB595" s="907"/>
      <c r="AC595" s="907"/>
      <c r="AD595" s="907"/>
      <c r="AE595" s="907"/>
      <c r="AF595" s="907"/>
      <c r="AG595" s="907"/>
      <c r="AH595" s="907"/>
      <c r="AI595" s="907"/>
      <c r="AJ595" s="907"/>
      <c r="AK595" s="907"/>
      <c r="AL595" s="907"/>
      <c r="AM595" s="907"/>
    </row>
    <row r="596" spans="1:39">
      <c r="A596" s="907"/>
      <c r="B596" s="907"/>
      <c r="C596" s="907"/>
      <c r="D596" s="907"/>
      <c r="E596" s="907"/>
      <c r="F596" s="907"/>
      <c r="G596" s="907"/>
      <c r="H596" s="907"/>
      <c r="I596" s="907"/>
      <c r="J596" s="907"/>
      <c r="K596" s="907"/>
      <c r="L596" s="907"/>
      <c r="M596" s="907"/>
      <c r="N596" s="907"/>
      <c r="O596" s="907"/>
      <c r="P596" s="907"/>
      <c r="Q596" s="907"/>
      <c r="R596" s="907"/>
      <c r="S596" s="907"/>
      <c r="T596" s="907"/>
      <c r="U596" s="907"/>
      <c r="V596" s="907"/>
      <c r="W596" s="907"/>
      <c r="X596" s="907"/>
      <c r="Y596" s="907"/>
      <c r="Z596" s="907"/>
      <c r="AA596" s="907"/>
      <c r="AB596" s="907"/>
      <c r="AC596" s="907"/>
      <c r="AD596" s="907"/>
      <c r="AE596" s="907"/>
      <c r="AF596" s="907"/>
      <c r="AG596" s="907"/>
      <c r="AH596" s="907"/>
      <c r="AI596" s="907"/>
      <c r="AJ596" s="907"/>
      <c r="AK596" s="907"/>
      <c r="AL596" s="907"/>
      <c r="AM596" s="907"/>
    </row>
    <row r="597" spans="1:39">
      <c r="A597" s="907"/>
      <c r="B597" s="907"/>
      <c r="C597" s="907"/>
      <c r="D597" s="907"/>
      <c r="E597" s="907"/>
      <c r="F597" s="907"/>
      <c r="G597" s="907"/>
      <c r="H597" s="907"/>
      <c r="I597" s="907"/>
      <c r="J597" s="907"/>
      <c r="K597" s="907"/>
      <c r="L597" s="907"/>
      <c r="M597" s="907"/>
      <c r="N597" s="907"/>
      <c r="O597" s="907"/>
      <c r="P597" s="907"/>
      <c r="Q597" s="907"/>
      <c r="R597" s="907"/>
      <c r="S597" s="907"/>
      <c r="T597" s="907"/>
      <c r="U597" s="907"/>
      <c r="V597" s="907"/>
      <c r="W597" s="907"/>
      <c r="X597" s="907"/>
      <c r="Y597" s="907"/>
      <c r="Z597" s="907"/>
      <c r="AA597" s="907"/>
      <c r="AB597" s="907"/>
      <c r="AC597" s="907"/>
      <c r="AD597" s="907"/>
      <c r="AE597" s="907"/>
      <c r="AF597" s="907"/>
      <c r="AG597" s="907"/>
      <c r="AH597" s="907"/>
      <c r="AI597" s="907"/>
      <c r="AJ597" s="907"/>
      <c r="AK597" s="907"/>
      <c r="AL597" s="907"/>
      <c r="AM597" s="907"/>
    </row>
    <row r="598" spans="1:39">
      <c r="A598" s="907"/>
      <c r="B598" s="907"/>
      <c r="C598" s="907"/>
      <c r="D598" s="907"/>
      <c r="E598" s="907"/>
      <c r="F598" s="907"/>
      <c r="G598" s="907"/>
      <c r="H598" s="907"/>
      <c r="I598" s="907"/>
      <c r="J598" s="907"/>
      <c r="K598" s="907"/>
      <c r="L598" s="907"/>
      <c r="M598" s="907"/>
      <c r="N598" s="907"/>
      <c r="O598" s="907"/>
      <c r="P598" s="907"/>
      <c r="Q598" s="907"/>
      <c r="R598" s="907"/>
      <c r="S598" s="907"/>
      <c r="T598" s="907"/>
      <c r="U598" s="907"/>
      <c r="V598" s="907"/>
      <c r="W598" s="907"/>
      <c r="X598" s="907"/>
      <c r="Y598" s="907"/>
      <c r="Z598" s="907"/>
      <c r="AA598" s="907"/>
      <c r="AB598" s="907"/>
      <c r="AC598" s="907"/>
      <c r="AD598" s="907"/>
      <c r="AE598" s="907"/>
      <c r="AF598" s="907"/>
      <c r="AG598" s="907"/>
      <c r="AH598" s="907"/>
      <c r="AI598" s="907"/>
      <c r="AJ598" s="907"/>
      <c r="AK598" s="907"/>
      <c r="AL598" s="907"/>
      <c r="AM598" s="907"/>
    </row>
    <row r="599" spans="1:39">
      <c r="A599" s="907"/>
      <c r="B599" s="907"/>
      <c r="C599" s="907"/>
      <c r="D599" s="907"/>
      <c r="E599" s="907"/>
      <c r="F599" s="907"/>
      <c r="G599" s="907"/>
      <c r="H599" s="907"/>
      <c r="I599" s="907"/>
      <c r="J599" s="907"/>
      <c r="K599" s="907"/>
      <c r="L599" s="907"/>
      <c r="M599" s="907"/>
      <c r="N599" s="907"/>
      <c r="O599" s="907"/>
      <c r="P599" s="907"/>
      <c r="Q599" s="907"/>
      <c r="R599" s="907"/>
      <c r="S599" s="907"/>
      <c r="T599" s="907"/>
      <c r="U599" s="907"/>
      <c r="V599" s="907"/>
      <c r="W599" s="907"/>
      <c r="X599" s="907"/>
      <c r="Y599" s="907"/>
      <c r="Z599" s="907"/>
      <c r="AA599" s="907"/>
      <c r="AB599" s="907"/>
      <c r="AC599" s="907"/>
      <c r="AD599" s="907"/>
      <c r="AE599" s="907"/>
      <c r="AF599" s="907"/>
      <c r="AG599" s="907"/>
      <c r="AH599" s="907"/>
      <c r="AI599" s="907"/>
      <c r="AJ599" s="907"/>
      <c r="AK599" s="907"/>
      <c r="AL599" s="907"/>
      <c r="AM599" s="907"/>
    </row>
    <row r="600" spans="1:39">
      <c r="A600" s="907"/>
      <c r="B600" s="907"/>
      <c r="C600" s="907"/>
      <c r="D600" s="907"/>
      <c r="E600" s="907"/>
      <c r="F600" s="907"/>
      <c r="G600" s="907"/>
      <c r="H600" s="907"/>
      <c r="I600" s="907"/>
      <c r="J600" s="907"/>
      <c r="K600" s="907"/>
      <c r="L600" s="907"/>
      <c r="M600" s="907"/>
      <c r="N600" s="907"/>
      <c r="O600" s="907"/>
      <c r="P600" s="907"/>
      <c r="Q600" s="907"/>
      <c r="R600" s="907"/>
      <c r="S600" s="907"/>
      <c r="T600" s="907"/>
      <c r="U600" s="907"/>
      <c r="V600" s="907"/>
      <c r="W600" s="907"/>
      <c r="X600" s="907"/>
      <c r="Y600" s="907"/>
      <c r="Z600" s="907"/>
      <c r="AA600" s="907"/>
      <c r="AB600" s="907"/>
      <c r="AC600" s="907"/>
      <c r="AD600" s="907"/>
      <c r="AE600" s="907"/>
      <c r="AF600" s="907"/>
      <c r="AG600" s="907"/>
      <c r="AH600" s="907"/>
      <c r="AI600" s="907"/>
      <c r="AJ600" s="907"/>
      <c r="AK600" s="907"/>
      <c r="AL600" s="907"/>
      <c r="AM600" s="907"/>
    </row>
    <row r="601" spans="1:39">
      <c r="A601" s="907"/>
      <c r="B601" s="907"/>
      <c r="C601" s="907"/>
      <c r="D601" s="907"/>
      <c r="E601" s="907"/>
      <c r="F601" s="907"/>
      <c r="G601" s="907"/>
      <c r="H601" s="907"/>
      <c r="I601" s="907"/>
      <c r="J601" s="907"/>
      <c r="K601" s="907"/>
      <c r="L601" s="907"/>
      <c r="M601" s="907"/>
      <c r="N601" s="907"/>
      <c r="O601" s="907"/>
      <c r="P601" s="907"/>
      <c r="Q601" s="907"/>
      <c r="R601" s="907"/>
      <c r="S601" s="907"/>
      <c r="T601" s="907"/>
      <c r="U601" s="907"/>
      <c r="V601" s="907"/>
      <c r="W601" s="907"/>
      <c r="X601" s="907"/>
      <c r="Y601" s="907"/>
      <c r="Z601" s="907"/>
      <c r="AA601" s="907"/>
      <c r="AB601" s="907"/>
      <c r="AC601" s="907"/>
      <c r="AD601" s="907"/>
      <c r="AE601" s="907"/>
      <c r="AF601" s="907"/>
      <c r="AG601" s="907"/>
      <c r="AH601" s="907"/>
      <c r="AI601" s="907"/>
      <c r="AJ601" s="907"/>
      <c r="AK601" s="907"/>
      <c r="AL601" s="907"/>
      <c r="AM601" s="907"/>
    </row>
    <row r="602" spans="1:39">
      <c r="A602" s="907"/>
      <c r="B602" s="907"/>
      <c r="C602" s="907"/>
      <c r="D602" s="907"/>
      <c r="E602" s="907"/>
      <c r="F602" s="907"/>
      <c r="G602" s="907"/>
      <c r="H602" s="907"/>
      <c r="I602" s="907"/>
      <c r="J602" s="907"/>
      <c r="K602" s="907"/>
      <c r="L602" s="907"/>
      <c r="M602" s="907"/>
      <c r="N602" s="907"/>
      <c r="O602" s="907"/>
      <c r="P602" s="907"/>
      <c r="Q602" s="907"/>
      <c r="R602" s="907"/>
      <c r="S602" s="907"/>
      <c r="T602" s="907"/>
      <c r="U602" s="907"/>
      <c r="V602" s="907"/>
      <c r="W602" s="907"/>
      <c r="X602" s="907"/>
      <c r="Y602" s="907"/>
      <c r="Z602" s="907"/>
      <c r="AA602" s="907"/>
      <c r="AB602" s="907"/>
      <c r="AC602" s="907"/>
      <c r="AD602" s="907"/>
      <c r="AE602" s="907"/>
      <c r="AF602" s="907"/>
      <c r="AG602" s="907"/>
      <c r="AH602" s="907"/>
      <c r="AI602" s="907"/>
      <c r="AJ602" s="907"/>
      <c r="AK602" s="907"/>
      <c r="AL602" s="907"/>
      <c r="AM602" s="907"/>
    </row>
    <row r="603" spans="1:39">
      <c r="A603" s="907"/>
      <c r="B603" s="907"/>
      <c r="C603" s="907"/>
      <c r="D603" s="907"/>
      <c r="E603" s="907"/>
      <c r="F603" s="907"/>
      <c r="G603" s="907"/>
      <c r="H603" s="907"/>
      <c r="I603" s="907"/>
      <c r="J603" s="907"/>
      <c r="K603" s="907"/>
      <c r="L603" s="907"/>
      <c r="M603" s="907"/>
      <c r="N603" s="907"/>
      <c r="O603" s="907"/>
      <c r="P603" s="907"/>
      <c r="Q603" s="907"/>
      <c r="R603" s="907"/>
      <c r="S603" s="907"/>
      <c r="T603" s="907"/>
      <c r="U603" s="907"/>
      <c r="V603" s="907"/>
      <c r="W603" s="907"/>
      <c r="X603" s="907"/>
      <c r="Y603" s="907"/>
      <c r="Z603" s="907"/>
      <c r="AA603" s="907"/>
      <c r="AB603" s="907"/>
      <c r="AC603" s="907"/>
      <c r="AD603" s="907"/>
      <c r="AE603" s="907"/>
      <c r="AF603" s="907"/>
      <c r="AG603" s="907"/>
      <c r="AH603" s="907"/>
      <c r="AI603" s="907"/>
      <c r="AJ603" s="907"/>
      <c r="AK603" s="907"/>
      <c r="AL603" s="907"/>
      <c r="AM603" s="907"/>
    </row>
    <row r="604" spans="1:39">
      <c r="A604" s="907"/>
      <c r="B604" s="907"/>
      <c r="C604" s="907"/>
      <c r="D604" s="907"/>
      <c r="E604" s="907"/>
      <c r="F604" s="907"/>
      <c r="G604" s="907"/>
      <c r="H604" s="907"/>
      <c r="I604" s="907"/>
      <c r="J604" s="907"/>
      <c r="K604" s="907"/>
      <c r="L604" s="907"/>
      <c r="M604" s="907"/>
      <c r="N604" s="907"/>
      <c r="O604" s="907"/>
      <c r="P604" s="907"/>
      <c r="Q604" s="907"/>
      <c r="R604" s="907"/>
      <c r="S604" s="907"/>
      <c r="T604" s="907"/>
      <c r="U604" s="907"/>
      <c r="V604" s="907"/>
      <c r="W604" s="907"/>
      <c r="X604" s="907"/>
      <c r="Y604" s="907"/>
      <c r="Z604" s="907"/>
      <c r="AA604" s="907"/>
      <c r="AB604" s="907"/>
      <c r="AC604" s="907"/>
      <c r="AD604" s="907"/>
      <c r="AE604" s="907"/>
      <c r="AF604" s="907"/>
      <c r="AG604" s="907"/>
      <c r="AH604" s="907"/>
      <c r="AI604" s="907"/>
      <c r="AJ604" s="907"/>
      <c r="AK604" s="907"/>
      <c r="AL604" s="907"/>
      <c r="AM604" s="907"/>
    </row>
    <row r="605" spans="1:39">
      <c r="A605" s="907"/>
      <c r="B605" s="907"/>
      <c r="C605" s="907"/>
      <c r="D605" s="907"/>
      <c r="E605" s="907"/>
      <c r="F605" s="907"/>
      <c r="G605" s="907"/>
      <c r="H605" s="907"/>
      <c r="I605" s="907"/>
      <c r="J605" s="907"/>
      <c r="K605" s="907"/>
      <c r="L605" s="907"/>
      <c r="M605" s="907"/>
      <c r="N605" s="907"/>
      <c r="O605" s="907"/>
      <c r="P605" s="907"/>
      <c r="Q605" s="907"/>
      <c r="R605" s="907"/>
      <c r="S605" s="907"/>
      <c r="T605" s="907"/>
      <c r="U605" s="907"/>
      <c r="V605" s="907"/>
      <c r="W605" s="907"/>
      <c r="X605" s="907"/>
      <c r="Y605" s="907"/>
      <c r="Z605" s="907"/>
      <c r="AA605" s="907"/>
      <c r="AB605" s="907"/>
      <c r="AC605" s="907"/>
      <c r="AD605" s="907"/>
      <c r="AE605" s="907"/>
      <c r="AF605" s="907"/>
      <c r="AG605" s="907"/>
      <c r="AH605" s="907"/>
      <c r="AI605" s="907"/>
      <c r="AJ605" s="907"/>
      <c r="AK605" s="907"/>
      <c r="AL605" s="907"/>
      <c r="AM605" s="907"/>
    </row>
    <row r="606" spans="1:39">
      <c r="A606" s="907"/>
      <c r="B606" s="907"/>
      <c r="C606" s="907"/>
      <c r="D606" s="907"/>
      <c r="E606" s="907"/>
      <c r="F606" s="907"/>
      <c r="G606" s="907"/>
      <c r="H606" s="907"/>
      <c r="I606" s="907"/>
      <c r="J606" s="907"/>
      <c r="K606" s="907"/>
      <c r="L606" s="907"/>
      <c r="M606" s="907"/>
      <c r="N606" s="907"/>
      <c r="O606" s="907"/>
      <c r="P606" s="907"/>
      <c r="Q606" s="907"/>
      <c r="R606" s="907"/>
      <c r="S606" s="907"/>
      <c r="T606" s="907"/>
      <c r="U606" s="907"/>
      <c r="V606" s="907"/>
      <c r="W606" s="907"/>
      <c r="X606" s="907"/>
      <c r="Y606" s="907"/>
      <c r="Z606" s="907"/>
      <c r="AA606" s="907"/>
      <c r="AB606" s="907"/>
      <c r="AC606" s="907"/>
      <c r="AD606" s="907"/>
      <c r="AE606" s="907"/>
      <c r="AF606" s="907"/>
      <c r="AG606" s="907"/>
      <c r="AH606" s="907"/>
      <c r="AI606" s="907"/>
      <c r="AJ606" s="907"/>
      <c r="AK606" s="907"/>
      <c r="AL606" s="907"/>
      <c r="AM606" s="907"/>
    </row>
    <row r="607" spans="1:39">
      <c r="A607" s="907"/>
      <c r="B607" s="907"/>
      <c r="C607" s="907"/>
      <c r="D607" s="907"/>
      <c r="E607" s="907"/>
      <c r="F607" s="907"/>
      <c r="G607" s="907"/>
      <c r="H607" s="907"/>
      <c r="I607" s="907"/>
      <c r="J607" s="907"/>
      <c r="K607" s="907"/>
      <c r="L607" s="907"/>
      <c r="M607" s="907"/>
      <c r="N607" s="907"/>
      <c r="O607" s="907"/>
      <c r="P607" s="907"/>
      <c r="Q607" s="907"/>
      <c r="R607" s="907"/>
      <c r="S607" s="907"/>
      <c r="T607" s="907"/>
      <c r="U607" s="907"/>
      <c r="V607" s="907"/>
      <c r="W607" s="907"/>
      <c r="X607" s="907"/>
      <c r="Y607" s="907"/>
      <c r="Z607" s="907"/>
      <c r="AA607" s="907"/>
      <c r="AB607" s="907"/>
      <c r="AC607" s="907"/>
      <c r="AD607" s="907"/>
      <c r="AE607" s="907"/>
      <c r="AF607" s="907"/>
      <c r="AG607" s="907"/>
      <c r="AH607" s="907"/>
      <c r="AI607" s="907"/>
      <c r="AJ607" s="907"/>
      <c r="AK607" s="907"/>
      <c r="AL607" s="907"/>
      <c r="AM607" s="907"/>
    </row>
    <row r="608" spans="1:39">
      <c r="A608" s="907"/>
      <c r="B608" s="907"/>
      <c r="C608" s="907"/>
      <c r="D608" s="907"/>
      <c r="E608" s="907"/>
      <c r="F608" s="907"/>
      <c r="G608" s="907"/>
      <c r="H608" s="907"/>
      <c r="I608" s="907"/>
      <c r="J608" s="907"/>
      <c r="K608" s="907"/>
      <c r="L608" s="907"/>
      <c r="M608" s="907"/>
      <c r="N608" s="907"/>
      <c r="O608" s="907"/>
      <c r="P608" s="907"/>
      <c r="Q608" s="907"/>
      <c r="R608" s="907"/>
      <c r="S608" s="907"/>
      <c r="T608" s="907"/>
      <c r="U608" s="907"/>
      <c r="V608" s="907"/>
      <c r="W608" s="907"/>
      <c r="X608" s="907"/>
      <c r="Y608" s="907"/>
      <c r="Z608" s="907"/>
      <c r="AA608" s="907"/>
      <c r="AB608" s="907"/>
      <c r="AC608" s="907"/>
      <c r="AD608" s="907"/>
      <c r="AE608" s="907"/>
      <c r="AF608" s="907"/>
      <c r="AG608" s="907"/>
      <c r="AH608" s="907"/>
      <c r="AI608" s="907"/>
      <c r="AJ608" s="907"/>
      <c r="AK608" s="907"/>
      <c r="AL608" s="907"/>
      <c r="AM608" s="907"/>
    </row>
    <row r="609" spans="1:39">
      <c r="A609" s="907"/>
      <c r="B609" s="907"/>
      <c r="C609" s="907"/>
      <c r="D609" s="907"/>
      <c r="E609" s="907"/>
      <c r="F609" s="907"/>
      <c r="G609" s="907"/>
      <c r="H609" s="907"/>
      <c r="I609" s="907"/>
      <c r="J609" s="907"/>
      <c r="K609" s="907"/>
      <c r="L609" s="907"/>
      <c r="M609" s="907"/>
      <c r="N609" s="907"/>
      <c r="O609" s="907"/>
      <c r="P609" s="907"/>
      <c r="Q609" s="907"/>
      <c r="R609" s="907"/>
      <c r="S609" s="907"/>
      <c r="T609" s="907"/>
      <c r="U609" s="907"/>
      <c r="V609" s="907"/>
      <c r="W609" s="907"/>
      <c r="X609" s="907"/>
      <c r="Y609" s="907"/>
      <c r="Z609" s="907"/>
      <c r="AA609" s="907"/>
      <c r="AB609" s="907"/>
      <c r="AC609" s="907"/>
      <c r="AD609" s="907"/>
      <c r="AE609" s="907"/>
      <c r="AF609" s="907"/>
      <c r="AG609" s="907"/>
      <c r="AH609" s="907"/>
      <c r="AI609" s="907"/>
      <c r="AJ609" s="907"/>
      <c r="AK609" s="907"/>
      <c r="AL609" s="907"/>
      <c r="AM609" s="907"/>
    </row>
    <row r="610" spans="1:39">
      <c r="A610" s="907"/>
      <c r="B610" s="907"/>
      <c r="C610" s="907"/>
      <c r="D610" s="907"/>
      <c r="E610" s="907"/>
      <c r="F610" s="907"/>
      <c r="G610" s="907"/>
      <c r="H610" s="907"/>
      <c r="I610" s="907"/>
      <c r="J610" s="907"/>
      <c r="K610" s="907"/>
      <c r="L610" s="907"/>
      <c r="M610" s="907"/>
      <c r="N610" s="907"/>
      <c r="O610" s="907"/>
      <c r="P610" s="907"/>
      <c r="Q610" s="907"/>
      <c r="R610" s="907"/>
      <c r="S610" s="907"/>
      <c r="T610" s="907"/>
      <c r="U610" s="907"/>
      <c r="V610" s="907"/>
      <c r="W610" s="907"/>
      <c r="X610" s="907"/>
      <c r="Y610" s="907"/>
      <c r="Z610" s="907"/>
      <c r="AA610" s="907"/>
      <c r="AB610" s="907"/>
      <c r="AC610" s="907"/>
      <c r="AD610" s="907"/>
      <c r="AE610" s="907"/>
      <c r="AF610" s="907"/>
      <c r="AG610" s="907"/>
      <c r="AH610" s="907"/>
      <c r="AI610" s="907"/>
      <c r="AJ610" s="907"/>
      <c r="AK610" s="907"/>
      <c r="AL610" s="907"/>
      <c r="AM610" s="907"/>
    </row>
    <row r="611" spans="1:39">
      <c r="A611" s="907"/>
      <c r="B611" s="907"/>
      <c r="C611" s="907"/>
      <c r="D611" s="907"/>
      <c r="E611" s="907"/>
      <c r="F611" s="907"/>
      <c r="G611" s="907"/>
      <c r="H611" s="907"/>
      <c r="I611" s="907"/>
      <c r="J611" s="907"/>
      <c r="K611" s="907"/>
      <c r="L611" s="907"/>
      <c r="M611" s="907"/>
      <c r="N611" s="907"/>
      <c r="O611" s="907"/>
      <c r="P611" s="907"/>
      <c r="Q611" s="907"/>
      <c r="R611" s="907"/>
      <c r="S611" s="907"/>
      <c r="T611" s="907"/>
      <c r="U611" s="907"/>
      <c r="V611" s="907"/>
      <c r="W611" s="907"/>
      <c r="X611" s="907"/>
      <c r="Y611" s="907"/>
      <c r="Z611" s="907"/>
      <c r="AA611" s="907"/>
      <c r="AB611" s="907"/>
      <c r="AC611" s="907"/>
      <c r="AD611" s="907"/>
      <c r="AE611" s="907"/>
      <c r="AF611" s="907"/>
      <c r="AG611" s="907"/>
      <c r="AH611" s="907"/>
      <c r="AI611" s="907"/>
      <c r="AJ611" s="907"/>
      <c r="AK611" s="907"/>
      <c r="AL611" s="907"/>
      <c r="AM611" s="907"/>
    </row>
    <row r="612" spans="1:39">
      <c r="A612" s="907"/>
      <c r="B612" s="907"/>
      <c r="C612" s="907"/>
      <c r="D612" s="907"/>
      <c r="E612" s="907"/>
      <c r="F612" s="907"/>
      <c r="G612" s="907"/>
      <c r="H612" s="907"/>
      <c r="I612" s="907"/>
      <c r="J612" s="907"/>
      <c r="K612" s="907"/>
      <c r="L612" s="907"/>
      <c r="M612" s="907"/>
      <c r="N612" s="907"/>
      <c r="O612" s="907"/>
      <c r="P612" s="907"/>
      <c r="Q612" s="907"/>
      <c r="R612" s="907"/>
      <c r="S612" s="907"/>
      <c r="T612" s="907"/>
      <c r="U612" s="907"/>
      <c r="V612" s="907"/>
      <c r="W612" s="907"/>
      <c r="X612" s="907"/>
      <c r="Y612" s="907"/>
      <c r="Z612" s="907"/>
      <c r="AA612" s="907"/>
      <c r="AB612" s="907"/>
      <c r="AC612" s="907"/>
      <c r="AD612" s="907"/>
      <c r="AE612" s="907"/>
      <c r="AF612" s="907"/>
      <c r="AG612" s="907"/>
      <c r="AH612" s="907"/>
      <c r="AI612" s="907"/>
      <c r="AJ612" s="907"/>
      <c r="AK612" s="907"/>
      <c r="AL612" s="907"/>
      <c r="AM612" s="907"/>
    </row>
    <row r="613" spans="1:39">
      <c r="A613" s="907"/>
      <c r="B613" s="907"/>
      <c r="C613" s="907"/>
      <c r="D613" s="907"/>
      <c r="E613" s="907"/>
      <c r="F613" s="907"/>
      <c r="G613" s="907"/>
      <c r="H613" s="907"/>
      <c r="I613" s="907"/>
      <c r="J613" s="907"/>
      <c r="K613" s="907"/>
      <c r="L613" s="907"/>
      <c r="M613" s="907"/>
      <c r="N613" s="907"/>
      <c r="O613" s="907"/>
      <c r="P613" s="907"/>
      <c r="Q613" s="907"/>
      <c r="R613" s="907"/>
      <c r="S613" s="907"/>
      <c r="T613" s="907"/>
      <c r="U613" s="907"/>
      <c r="V613" s="907"/>
      <c r="W613" s="907"/>
      <c r="X613" s="907"/>
      <c r="Y613" s="907"/>
      <c r="Z613" s="907"/>
      <c r="AA613" s="907"/>
      <c r="AB613" s="907"/>
      <c r="AC613" s="907"/>
      <c r="AD613" s="907"/>
      <c r="AE613" s="907"/>
      <c r="AF613" s="907"/>
      <c r="AG613" s="907"/>
      <c r="AH613" s="907"/>
      <c r="AI613" s="907"/>
      <c r="AJ613" s="907"/>
      <c r="AK613" s="907"/>
      <c r="AL613" s="907"/>
      <c r="AM613" s="907"/>
    </row>
    <row r="614" spans="1:39">
      <c r="A614" s="907"/>
      <c r="B614" s="907"/>
      <c r="C614" s="907"/>
      <c r="D614" s="907"/>
      <c r="E614" s="907"/>
      <c r="F614" s="907"/>
      <c r="G614" s="907"/>
      <c r="H614" s="907"/>
      <c r="I614" s="907"/>
      <c r="J614" s="907"/>
      <c r="K614" s="907"/>
      <c r="L614" s="907"/>
      <c r="M614" s="907"/>
      <c r="N614" s="907"/>
      <c r="O614" s="907"/>
      <c r="P614" s="907"/>
      <c r="Q614" s="907"/>
      <c r="R614" s="907"/>
      <c r="S614" s="907"/>
      <c r="T614" s="907"/>
      <c r="U614" s="907"/>
      <c r="V614" s="907"/>
      <c r="W614" s="907"/>
      <c r="X614" s="907"/>
      <c r="Y614" s="907"/>
      <c r="Z614" s="907"/>
      <c r="AA614" s="907"/>
      <c r="AB614" s="907"/>
      <c r="AC614" s="907"/>
      <c r="AD614" s="907"/>
      <c r="AE614" s="907"/>
      <c r="AF614" s="907"/>
      <c r="AG614" s="907"/>
      <c r="AH614" s="907"/>
      <c r="AI614" s="907"/>
      <c r="AJ614" s="907"/>
      <c r="AK614" s="907"/>
      <c r="AL614" s="907"/>
      <c r="AM614" s="907"/>
    </row>
    <row r="615" spans="1:39">
      <c r="A615" s="907"/>
      <c r="B615" s="907"/>
      <c r="C615" s="907"/>
      <c r="D615" s="907"/>
      <c r="E615" s="907"/>
      <c r="F615" s="907"/>
      <c r="G615" s="907"/>
      <c r="H615" s="907"/>
      <c r="I615" s="907"/>
      <c r="J615" s="907"/>
      <c r="K615" s="907"/>
      <c r="L615" s="907"/>
      <c r="M615" s="907"/>
      <c r="N615" s="907"/>
      <c r="O615" s="907"/>
      <c r="P615" s="907"/>
      <c r="Q615" s="907"/>
      <c r="R615" s="907"/>
      <c r="S615" s="907"/>
      <c r="T615" s="907"/>
      <c r="U615" s="907"/>
      <c r="V615" s="907"/>
      <c r="W615" s="907"/>
      <c r="X615" s="907"/>
      <c r="Y615" s="907"/>
      <c r="Z615" s="907"/>
      <c r="AA615" s="907"/>
      <c r="AB615" s="907"/>
      <c r="AC615" s="907"/>
      <c r="AD615" s="907"/>
      <c r="AE615" s="907"/>
      <c r="AF615" s="907"/>
      <c r="AG615" s="907"/>
      <c r="AH615" s="907"/>
      <c r="AI615" s="907"/>
      <c r="AJ615" s="907"/>
      <c r="AK615" s="907"/>
      <c r="AL615" s="907"/>
      <c r="AM615" s="907"/>
    </row>
    <row r="616" spans="1:39">
      <c r="A616" s="907"/>
      <c r="B616" s="907"/>
      <c r="C616" s="907"/>
      <c r="D616" s="907"/>
      <c r="E616" s="907"/>
      <c r="F616" s="907"/>
      <c r="G616" s="907"/>
      <c r="H616" s="907"/>
      <c r="I616" s="907"/>
      <c r="J616" s="907"/>
      <c r="K616" s="907"/>
      <c r="L616" s="907"/>
      <c r="M616" s="907"/>
      <c r="N616" s="907"/>
      <c r="O616" s="907"/>
      <c r="P616" s="907"/>
      <c r="Q616" s="907"/>
      <c r="R616" s="907"/>
      <c r="S616" s="907"/>
      <c r="T616" s="907"/>
      <c r="U616" s="907"/>
      <c r="V616" s="907"/>
      <c r="W616" s="907"/>
      <c r="X616" s="907"/>
      <c r="Y616" s="907"/>
      <c r="Z616" s="907"/>
      <c r="AA616" s="907"/>
      <c r="AB616" s="907"/>
      <c r="AC616" s="907"/>
      <c r="AD616" s="907"/>
      <c r="AE616" s="907"/>
      <c r="AF616" s="907"/>
      <c r="AG616" s="907"/>
      <c r="AH616" s="907"/>
      <c r="AI616" s="907"/>
      <c r="AJ616" s="907"/>
      <c r="AK616" s="907"/>
      <c r="AL616" s="907"/>
      <c r="AM616" s="907"/>
    </row>
    <row r="617" spans="1:39">
      <c r="A617" s="907"/>
      <c r="B617" s="907"/>
      <c r="C617" s="907"/>
      <c r="D617" s="907"/>
      <c r="E617" s="907"/>
      <c r="F617" s="907"/>
      <c r="G617" s="907"/>
      <c r="H617" s="907"/>
      <c r="I617" s="907"/>
      <c r="J617" s="907"/>
      <c r="K617" s="907"/>
      <c r="L617" s="907"/>
      <c r="M617" s="907"/>
      <c r="N617" s="907"/>
      <c r="O617" s="907"/>
      <c r="P617" s="907"/>
      <c r="Q617" s="907"/>
      <c r="R617" s="907"/>
      <c r="S617" s="907"/>
      <c r="T617" s="907"/>
      <c r="U617" s="907"/>
      <c r="V617" s="907"/>
      <c r="W617" s="907"/>
      <c r="X617" s="907"/>
      <c r="Y617" s="907"/>
      <c r="Z617" s="907"/>
      <c r="AA617" s="907"/>
      <c r="AB617" s="907"/>
      <c r="AC617" s="907"/>
      <c r="AD617" s="907"/>
      <c r="AE617" s="907"/>
      <c r="AF617" s="907"/>
      <c r="AG617" s="907"/>
      <c r="AH617" s="907"/>
      <c r="AI617" s="907"/>
      <c r="AJ617" s="907"/>
      <c r="AK617" s="907"/>
      <c r="AL617" s="907"/>
      <c r="AM617" s="907"/>
    </row>
    <row r="618" spans="1:39">
      <c r="A618" s="907"/>
      <c r="B618" s="907"/>
      <c r="C618" s="907"/>
      <c r="D618" s="907"/>
      <c r="E618" s="907"/>
      <c r="F618" s="907"/>
      <c r="G618" s="907"/>
      <c r="H618" s="907"/>
      <c r="I618" s="907"/>
      <c r="J618" s="907"/>
      <c r="K618" s="907"/>
      <c r="L618" s="907"/>
      <c r="M618" s="907"/>
      <c r="N618" s="907"/>
      <c r="O618" s="907"/>
      <c r="P618" s="907"/>
      <c r="Q618" s="907"/>
      <c r="R618" s="907"/>
      <c r="S618" s="907"/>
      <c r="T618" s="907"/>
      <c r="U618" s="907"/>
      <c r="V618" s="907"/>
      <c r="W618" s="907"/>
      <c r="X618" s="907"/>
      <c r="Y618" s="907"/>
      <c r="Z618" s="907"/>
      <c r="AA618" s="907"/>
      <c r="AB618" s="907"/>
      <c r="AC618" s="907"/>
      <c r="AD618" s="907"/>
      <c r="AE618" s="907"/>
      <c r="AF618" s="907"/>
      <c r="AG618" s="907"/>
      <c r="AH618" s="907"/>
      <c r="AI618" s="907"/>
      <c r="AJ618" s="907"/>
      <c r="AK618" s="907"/>
      <c r="AL618" s="907"/>
      <c r="AM618" s="907"/>
    </row>
    <row r="619" spans="1:39">
      <c r="A619" s="907"/>
      <c r="B619" s="907"/>
      <c r="C619" s="907"/>
      <c r="D619" s="907"/>
      <c r="E619" s="907"/>
      <c r="F619" s="907"/>
      <c r="G619" s="907"/>
      <c r="H619" s="907"/>
      <c r="I619" s="907"/>
      <c r="J619" s="907"/>
      <c r="K619" s="907"/>
      <c r="L619" s="907"/>
      <c r="M619" s="907"/>
      <c r="N619" s="907"/>
      <c r="O619" s="907"/>
      <c r="P619" s="907"/>
      <c r="Q619" s="907"/>
      <c r="R619" s="907"/>
      <c r="S619" s="907"/>
      <c r="T619" s="907"/>
      <c r="U619" s="907"/>
      <c r="V619" s="907"/>
      <c r="W619" s="907"/>
      <c r="X619" s="907"/>
      <c r="Y619" s="907"/>
      <c r="Z619" s="907"/>
      <c r="AA619" s="907"/>
      <c r="AB619" s="907"/>
      <c r="AC619" s="907"/>
      <c r="AD619" s="907"/>
      <c r="AE619" s="907"/>
      <c r="AF619" s="907"/>
      <c r="AG619" s="907"/>
      <c r="AH619" s="907"/>
      <c r="AI619" s="907"/>
      <c r="AJ619" s="907"/>
      <c r="AK619" s="907"/>
      <c r="AL619" s="907"/>
      <c r="AM619" s="907"/>
    </row>
    <row r="620" spans="1:39">
      <c r="A620" s="907"/>
      <c r="B620" s="907"/>
      <c r="C620" s="907"/>
      <c r="D620" s="907"/>
      <c r="E620" s="907"/>
      <c r="F620" s="907"/>
      <c r="G620" s="907"/>
      <c r="H620" s="907"/>
      <c r="I620" s="907"/>
      <c r="J620" s="907"/>
      <c r="K620" s="907"/>
      <c r="L620" s="907"/>
      <c r="M620" s="907"/>
      <c r="N620" s="907"/>
      <c r="O620" s="907"/>
      <c r="P620" s="907"/>
      <c r="Q620" s="907"/>
      <c r="R620" s="907"/>
      <c r="S620" s="907"/>
      <c r="T620" s="907"/>
      <c r="U620" s="907"/>
      <c r="V620" s="907"/>
      <c r="W620" s="907"/>
      <c r="X620" s="907"/>
      <c r="Y620" s="907"/>
      <c r="Z620" s="907"/>
      <c r="AA620" s="907"/>
      <c r="AB620" s="907"/>
      <c r="AC620" s="907"/>
      <c r="AD620" s="907"/>
      <c r="AE620" s="907"/>
      <c r="AF620" s="907"/>
      <c r="AG620" s="907"/>
      <c r="AH620" s="907"/>
      <c r="AI620" s="907"/>
      <c r="AJ620" s="907"/>
      <c r="AK620" s="907"/>
      <c r="AL620" s="907"/>
      <c r="AM620" s="907"/>
    </row>
    <row r="621" spans="1:39">
      <c r="A621" s="907"/>
      <c r="B621" s="907"/>
      <c r="C621" s="907"/>
      <c r="D621" s="907"/>
      <c r="E621" s="907"/>
      <c r="F621" s="907"/>
      <c r="G621" s="907"/>
      <c r="H621" s="907"/>
      <c r="I621" s="907"/>
      <c r="J621" s="907"/>
      <c r="K621" s="907"/>
      <c r="L621" s="907"/>
      <c r="M621" s="907"/>
      <c r="N621" s="907"/>
      <c r="O621" s="907"/>
      <c r="P621" s="907"/>
      <c r="Q621" s="907"/>
      <c r="R621" s="907"/>
      <c r="S621" s="907"/>
      <c r="T621" s="907"/>
      <c r="U621" s="907"/>
      <c r="V621" s="907"/>
      <c r="W621" s="907"/>
      <c r="X621" s="907"/>
      <c r="Y621" s="907"/>
      <c r="Z621" s="907"/>
      <c r="AA621" s="907"/>
      <c r="AB621" s="907"/>
      <c r="AC621" s="907"/>
      <c r="AD621" s="907"/>
      <c r="AE621" s="907"/>
      <c r="AF621" s="907"/>
      <c r="AG621" s="907"/>
      <c r="AH621" s="907"/>
      <c r="AI621" s="907"/>
      <c r="AJ621" s="907"/>
      <c r="AK621" s="907"/>
      <c r="AL621" s="907"/>
      <c r="AM621" s="907"/>
    </row>
    <row r="622" spans="1:39">
      <c r="A622" s="907"/>
      <c r="B622" s="907"/>
      <c r="C622" s="907"/>
      <c r="D622" s="907"/>
      <c r="E622" s="907"/>
      <c r="F622" s="907"/>
      <c r="G622" s="907"/>
      <c r="H622" s="907"/>
      <c r="I622" s="907"/>
      <c r="J622" s="907"/>
      <c r="K622" s="907"/>
      <c r="L622" s="907"/>
      <c r="M622" s="907"/>
      <c r="N622" s="907"/>
      <c r="O622" s="907"/>
      <c r="P622" s="907"/>
      <c r="Q622" s="907"/>
      <c r="R622" s="907"/>
      <c r="S622" s="907"/>
      <c r="T622" s="907"/>
      <c r="U622" s="907"/>
      <c r="V622" s="907"/>
      <c r="W622" s="907"/>
      <c r="X622" s="907"/>
      <c r="Y622" s="907"/>
      <c r="Z622" s="907"/>
      <c r="AA622" s="907"/>
      <c r="AB622" s="907"/>
      <c r="AC622" s="907"/>
      <c r="AD622" s="907"/>
      <c r="AE622" s="907"/>
      <c r="AF622" s="907"/>
      <c r="AG622" s="907"/>
      <c r="AH622" s="907"/>
      <c r="AI622" s="907"/>
      <c r="AJ622" s="907"/>
      <c r="AK622" s="907"/>
      <c r="AL622" s="907"/>
      <c r="AM622" s="907"/>
    </row>
    <row r="623" spans="1:39">
      <c r="A623" s="907"/>
      <c r="B623" s="907"/>
      <c r="C623" s="907"/>
      <c r="D623" s="907"/>
      <c r="E623" s="907"/>
      <c r="F623" s="907"/>
      <c r="G623" s="907"/>
      <c r="H623" s="907"/>
      <c r="I623" s="907"/>
      <c r="J623" s="907"/>
      <c r="K623" s="907"/>
      <c r="L623" s="907"/>
      <c r="M623" s="907"/>
      <c r="N623" s="907"/>
      <c r="O623" s="907"/>
      <c r="P623" s="907"/>
      <c r="Q623" s="907"/>
      <c r="R623" s="907"/>
      <c r="S623" s="907"/>
      <c r="T623" s="907"/>
      <c r="U623" s="907"/>
      <c r="V623" s="907"/>
      <c r="W623" s="907"/>
      <c r="X623" s="907"/>
      <c r="Y623" s="907"/>
      <c r="Z623" s="907"/>
      <c r="AA623" s="907"/>
      <c r="AB623" s="907"/>
      <c r="AC623" s="907"/>
      <c r="AD623" s="907"/>
      <c r="AE623" s="907"/>
      <c r="AF623" s="907"/>
      <c r="AG623" s="907"/>
      <c r="AH623" s="907"/>
      <c r="AI623" s="907"/>
      <c r="AJ623" s="907"/>
      <c r="AK623" s="907"/>
      <c r="AL623" s="907"/>
      <c r="AM623" s="907"/>
    </row>
    <row r="624" spans="1:39">
      <c r="A624" s="907"/>
      <c r="B624" s="907"/>
      <c r="C624" s="907"/>
      <c r="D624" s="907"/>
      <c r="E624" s="907"/>
      <c r="F624" s="907"/>
      <c r="G624" s="907"/>
      <c r="H624" s="907"/>
      <c r="I624" s="907"/>
      <c r="J624" s="907"/>
      <c r="K624" s="907"/>
      <c r="L624" s="907"/>
      <c r="M624" s="907"/>
      <c r="N624" s="907"/>
      <c r="O624" s="907"/>
      <c r="P624" s="907"/>
      <c r="Q624" s="907"/>
      <c r="R624" s="907"/>
      <c r="S624" s="907"/>
      <c r="T624" s="907"/>
      <c r="U624" s="907"/>
      <c r="V624" s="907"/>
      <c r="W624" s="907"/>
      <c r="X624" s="907"/>
      <c r="Y624" s="907"/>
      <c r="Z624" s="907"/>
      <c r="AA624" s="907"/>
      <c r="AB624" s="907"/>
      <c r="AC624" s="907"/>
      <c r="AD624" s="907"/>
      <c r="AE624" s="907"/>
      <c r="AF624" s="907"/>
      <c r="AG624" s="907"/>
      <c r="AH624" s="907"/>
      <c r="AI624" s="907"/>
      <c r="AJ624" s="907"/>
      <c r="AK624" s="907"/>
      <c r="AL624" s="907"/>
      <c r="AM624" s="907"/>
    </row>
    <row r="625" spans="1:39">
      <c r="A625" s="907"/>
      <c r="B625" s="907"/>
      <c r="C625" s="907"/>
      <c r="D625" s="907"/>
      <c r="E625" s="907"/>
      <c r="F625" s="907"/>
      <c r="G625" s="907"/>
      <c r="H625" s="907"/>
      <c r="I625" s="907"/>
      <c r="J625" s="907"/>
      <c r="K625" s="907"/>
      <c r="L625" s="907"/>
      <c r="M625" s="907"/>
      <c r="N625" s="907"/>
      <c r="O625" s="907"/>
      <c r="P625" s="907"/>
      <c r="Q625" s="907"/>
      <c r="R625" s="907"/>
      <c r="S625" s="907"/>
      <c r="T625" s="907"/>
      <c r="U625" s="907"/>
      <c r="V625" s="907"/>
      <c r="W625" s="907"/>
      <c r="X625" s="907"/>
      <c r="Y625" s="907"/>
      <c r="Z625" s="907"/>
      <c r="AA625" s="907"/>
      <c r="AB625" s="907"/>
      <c r="AC625" s="907"/>
      <c r="AD625" s="907"/>
      <c r="AE625" s="907"/>
      <c r="AF625" s="907"/>
      <c r="AG625" s="907"/>
      <c r="AH625" s="907"/>
      <c r="AI625" s="907"/>
      <c r="AJ625" s="907"/>
      <c r="AK625" s="907"/>
      <c r="AL625" s="907"/>
      <c r="AM625" s="907"/>
    </row>
    <row r="626" spans="1:39">
      <c r="A626" s="907"/>
      <c r="B626" s="907"/>
      <c r="C626" s="907"/>
      <c r="D626" s="907"/>
      <c r="E626" s="907"/>
      <c r="F626" s="907"/>
      <c r="G626" s="907"/>
      <c r="H626" s="907"/>
      <c r="I626" s="907"/>
      <c r="J626" s="907"/>
      <c r="K626" s="907"/>
      <c r="L626" s="907"/>
      <c r="M626" s="907"/>
      <c r="N626" s="907"/>
      <c r="O626" s="907"/>
      <c r="P626" s="907"/>
      <c r="Q626" s="907"/>
      <c r="R626" s="907"/>
      <c r="S626" s="907"/>
      <c r="T626" s="907"/>
      <c r="U626" s="907"/>
      <c r="V626" s="907"/>
      <c r="W626" s="907"/>
      <c r="X626" s="907"/>
      <c r="Y626" s="907"/>
      <c r="Z626" s="907"/>
      <c r="AA626" s="907"/>
      <c r="AB626" s="907"/>
      <c r="AC626" s="907"/>
      <c r="AD626" s="907"/>
      <c r="AE626" s="907"/>
      <c r="AF626" s="907"/>
      <c r="AG626" s="907"/>
      <c r="AH626" s="907"/>
      <c r="AI626" s="907"/>
      <c r="AJ626" s="907"/>
      <c r="AK626" s="907"/>
      <c r="AL626" s="907"/>
      <c r="AM626" s="907"/>
    </row>
    <row r="627" spans="1:39">
      <c r="A627" s="907"/>
      <c r="B627" s="907"/>
      <c r="C627" s="907"/>
      <c r="D627" s="907"/>
      <c r="E627" s="907"/>
      <c r="F627" s="907"/>
      <c r="G627" s="907"/>
      <c r="H627" s="907"/>
      <c r="I627" s="907"/>
      <c r="J627" s="907"/>
      <c r="K627" s="907"/>
      <c r="L627" s="907"/>
      <c r="M627" s="907"/>
      <c r="N627" s="907"/>
      <c r="O627" s="907"/>
      <c r="P627" s="907"/>
      <c r="Q627" s="907"/>
      <c r="R627" s="907"/>
      <c r="S627" s="907"/>
      <c r="T627" s="907"/>
      <c r="U627" s="907"/>
      <c r="V627" s="907"/>
      <c r="W627" s="907"/>
      <c r="X627" s="907"/>
      <c r="Y627" s="907"/>
      <c r="Z627" s="907"/>
      <c r="AA627" s="907"/>
      <c r="AB627" s="907"/>
      <c r="AC627" s="907"/>
      <c r="AD627" s="907"/>
      <c r="AE627" s="907"/>
      <c r="AF627" s="907"/>
      <c r="AG627" s="907"/>
      <c r="AH627" s="907"/>
      <c r="AI627" s="907"/>
      <c r="AJ627" s="907"/>
      <c r="AK627" s="907"/>
      <c r="AL627" s="907"/>
      <c r="AM627" s="907"/>
    </row>
    <row r="628" spans="1:39">
      <c r="A628" s="907"/>
      <c r="B628" s="907"/>
      <c r="C628" s="907"/>
      <c r="D628" s="907"/>
      <c r="E628" s="907"/>
      <c r="F628" s="907"/>
      <c r="G628" s="907"/>
      <c r="H628" s="907"/>
      <c r="I628" s="907"/>
      <c r="J628" s="907"/>
      <c r="K628" s="907"/>
      <c r="L628" s="907"/>
      <c r="M628" s="907"/>
      <c r="N628" s="907"/>
      <c r="O628" s="907"/>
      <c r="P628" s="907"/>
      <c r="Q628" s="907"/>
      <c r="R628" s="907"/>
      <c r="S628" s="907"/>
      <c r="T628" s="907"/>
      <c r="U628" s="907"/>
      <c r="V628" s="907"/>
      <c r="W628" s="907"/>
      <c r="X628" s="907"/>
      <c r="Y628" s="907"/>
      <c r="Z628" s="907"/>
      <c r="AA628" s="907"/>
      <c r="AB628" s="907"/>
      <c r="AC628" s="907"/>
      <c r="AD628" s="907"/>
      <c r="AE628" s="907"/>
      <c r="AF628" s="907"/>
      <c r="AG628" s="907"/>
      <c r="AH628" s="907"/>
      <c r="AI628" s="907"/>
      <c r="AJ628" s="907"/>
      <c r="AK628" s="907"/>
      <c r="AL628" s="907"/>
      <c r="AM628" s="907"/>
    </row>
    <row r="629" spans="1:39">
      <c r="A629" s="907"/>
      <c r="B629" s="907"/>
      <c r="C629" s="907"/>
      <c r="D629" s="907"/>
      <c r="E629" s="907"/>
      <c r="F629" s="907"/>
      <c r="G629" s="907"/>
      <c r="H629" s="907"/>
      <c r="I629" s="907"/>
      <c r="J629" s="907"/>
      <c r="K629" s="907"/>
      <c r="L629" s="907"/>
      <c r="M629" s="907"/>
      <c r="N629" s="907"/>
      <c r="O629" s="907"/>
      <c r="P629" s="907"/>
      <c r="Q629" s="907"/>
      <c r="R629" s="907"/>
      <c r="S629" s="907"/>
      <c r="T629" s="907"/>
      <c r="U629" s="907"/>
      <c r="V629" s="907"/>
      <c r="W629" s="907"/>
      <c r="X629" s="907"/>
      <c r="Y629" s="907"/>
      <c r="Z629" s="907"/>
      <c r="AA629" s="907"/>
      <c r="AB629" s="907"/>
      <c r="AC629" s="907"/>
      <c r="AD629" s="907"/>
      <c r="AE629" s="907"/>
      <c r="AF629" s="907"/>
      <c r="AG629" s="907"/>
      <c r="AH629" s="907"/>
      <c r="AI629" s="907"/>
      <c r="AJ629" s="907"/>
      <c r="AK629" s="907"/>
      <c r="AL629" s="907"/>
      <c r="AM629" s="907"/>
    </row>
    <row r="630" spans="1:39">
      <c r="A630" s="907"/>
      <c r="B630" s="907"/>
      <c r="C630" s="907"/>
      <c r="D630" s="907"/>
      <c r="E630" s="907"/>
      <c r="F630" s="907"/>
      <c r="G630" s="907"/>
      <c r="H630" s="907"/>
      <c r="I630" s="907"/>
      <c r="J630" s="907"/>
      <c r="K630" s="907"/>
      <c r="L630" s="907"/>
      <c r="M630" s="907"/>
      <c r="N630" s="907"/>
      <c r="O630" s="907"/>
      <c r="P630" s="907"/>
      <c r="Q630" s="907"/>
      <c r="R630" s="907"/>
      <c r="S630" s="907"/>
      <c r="T630" s="907"/>
      <c r="U630" s="907"/>
      <c r="V630" s="907"/>
      <c r="W630" s="907"/>
      <c r="X630" s="907"/>
      <c r="Y630" s="907"/>
      <c r="Z630" s="907"/>
      <c r="AA630" s="907"/>
      <c r="AB630" s="907"/>
      <c r="AC630" s="907"/>
      <c r="AD630" s="907"/>
      <c r="AE630" s="907"/>
      <c r="AF630" s="907"/>
      <c r="AG630" s="907"/>
      <c r="AH630" s="907"/>
      <c r="AI630" s="907"/>
      <c r="AJ630" s="907"/>
      <c r="AK630" s="907"/>
      <c r="AL630" s="907"/>
      <c r="AM630" s="907"/>
    </row>
    <row r="631" spans="1:39">
      <c r="A631" s="907"/>
      <c r="B631" s="907"/>
      <c r="C631" s="907"/>
      <c r="D631" s="907"/>
      <c r="E631" s="907"/>
      <c r="F631" s="907"/>
      <c r="G631" s="907"/>
      <c r="H631" s="907"/>
      <c r="I631" s="907"/>
      <c r="J631" s="907"/>
      <c r="K631" s="907"/>
      <c r="L631" s="907"/>
      <c r="M631" s="907"/>
      <c r="N631" s="907"/>
      <c r="O631" s="907"/>
      <c r="P631" s="907"/>
      <c r="Q631" s="907"/>
      <c r="R631" s="907"/>
      <c r="S631" s="907"/>
      <c r="T631" s="907"/>
      <c r="U631" s="907"/>
      <c r="V631" s="907"/>
      <c r="W631" s="907"/>
      <c r="X631" s="907"/>
      <c r="Y631" s="907"/>
      <c r="Z631" s="907"/>
      <c r="AA631" s="907"/>
      <c r="AB631" s="907"/>
      <c r="AC631" s="907"/>
      <c r="AD631" s="907"/>
      <c r="AE631" s="907"/>
      <c r="AF631" s="907"/>
      <c r="AG631" s="907"/>
      <c r="AH631" s="907"/>
      <c r="AI631" s="907"/>
      <c r="AJ631" s="907"/>
      <c r="AK631" s="907"/>
      <c r="AL631" s="907"/>
      <c r="AM631" s="907"/>
    </row>
    <row r="632" spans="1:39">
      <c r="A632" s="907"/>
      <c r="B632" s="907"/>
      <c r="C632" s="907"/>
      <c r="D632" s="907"/>
      <c r="E632" s="907"/>
      <c r="F632" s="907"/>
      <c r="G632" s="907"/>
      <c r="H632" s="907"/>
      <c r="I632" s="907"/>
      <c r="J632" s="907"/>
      <c r="K632" s="907"/>
      <c r="L632" s="907"/>
      <c r="M632" s="907"/>
      <c r="N632" s="907"/>
      <c r="O632" s="907"/>
      <c r="P632" s="907"/>
      <c r="Q632" s="907"/>
      <c r="R632" s="907"/>
      <c r="S632" s="907"/>
      <c r="T632" s="907"/>
      <c r="U632" s="907"/>
      <c r="V632" s="907"/>
      <c r="W632" s="907"/>
      <c r="X632" s="907"/>
      <c r="Y632" s="907"/>
      <c r="Z632" s="907"/>
      <c r="AA632" s="907"/>
      <c r="AB632" s="907"/>
      <c r="AC632" s="907"/>
      <c r="AD632" s="907"/>
      <c r="AE632" s="907"/>
      <c r="AF632" s="907"/>
      <c r="AG632" s="907"/>
      <c r="AH632" s="907"/>
      <c r="AI632" s="907"/>
      <c r="AJ632" s="907"/>
      <c r="AK632" s="907"/>
      <c r="AL632" s="907"/>
      <c r="AM632" s="907"/>
    </row>
    <row r="633" spans="1:39">
      <c r="A633" s="907"/>
      <c r="B633" s="907"/>
      <c r="C633" s="907"/>
      <c r="D633" s="907"/>
      <c r="E633" s="907"/>
      <c r="F633" s="907"/>
      <c r="G633" s="907"/>
      <c r="H633" s="907"/>
      <c r="I633" s="907"/>
      <c r="J633" s="907"/>
      <c r="K633" s="907"/>
      <c r="L633" s="907"/>
      <c r="M633" s="907"/>
      <c r="N633" s="907"/>
      <c r="O633" s="907"/>
      <c r="P633" s="907"/>
      <c r="Q633" s="907"/>
      <c r="R633" s="907"/>
      <c r="S633" s="907"/>
      <c r="T633" s="907"/>
      <c r="U633" s="907"/>
      <c r="V633" s="907"/>
      <c r="W633" s="907"/>
      <c r="X633" s="907"/>
      <c r="Y633" s="907"/>
      <c r="Z633" s="907"/>
      <c r="AA633" s="907"/>
      <c r="AB633" s="907"/>
      <c r="AC633" s="907"/>
      <c r="AD633" s="907"/>
      <c r="AE633" s="907"/>
      <c r="AF633" s="907"/>
      <c r="AG633" s="907"/>
      <c r="AH633" s="907"/>
      <c r="AI633" s="907"/>
      <c r="AJ633" s="907"/>
      <c r="AK633" s="907"/>
      <c r="AL633" s="907"/>
      <c r="AM633" s="907"/>
    </row>
    <row r="634" spans="1:39">
      <c r="A634" s="907"/>
      <c r="B634" s="907"/>
      <c r="C634" s="907"/>
      <c r="D634" s="907"/>
      <c r="E634" s="907"/>
      <c r="F634" s="907"/>
      <c r="G634" s="907"/>
      <c r="H634" s="907"/>
      <c r="I634" s="907"/>
      <c r="J634" s="907"/>
      <c r="K634" s="907"/>
      <c r="L634" s="907"/>
      <c r="M634" s="907"/>
      <c r="N634" s="907"/>
      <c r="O634" s="907"/>
      <c r="P634" s="907"/>
      <c r="Q634" s="907"/>
      <c r="R634" s="907"/>
      <c r="S634" s="907"/>
      <c r="T634" s="907"/>
      <c r="U634" s="907"/>
      <c r="V634" s="907"/>
      <c r="W634" s="907"/>
      <c r="X634" s="907"/>
      <c r="Y634" s="907"/>
      <c r="Z634" s="907"/>
      <c r="AA634" s="907"/>
      <c r="AB634" s="907"/>
      <c r="AC634" s="907"/>
      <c r="AD634" s="907"/>
      <c r="AE634" s="907"/>
      <c r="AF634" s="907"/>
      <c r="AG634" s="907"/>
      <c r="AH634" s="907"/>
      <c r="AI634" s="907"/>
      <c r="AJ634" s="907"/>
      <c r="AK634" s="907"/>
      <c r="AL634" s="907"/>
      <c r="AM634" s="907"/>
    </row>
    <row r="635" spans="1:39">
      <c r="A635" s="907"/>
      <c r="B635" s="907"/>
      <c r="C635" s="907"/>
      <c r="D635" s="907"/>
      <c r="E635" s="907"/>
      <c r="F635" s="907"/>
      <c r="G635" s="907"/>
      <c r="H635" s="907"/>
      <c r="I635" s="907"/>
      <c r="J635" s="907"/>
      <c r="K635" s="907"/>
      <c r="L635" s="907"/>
      <c r="M635" s="907"/>
      <c r="N635" s="907"/>
      <c r="O635" s="907"/>
      <c r="P635" s="907"/>
      <c r="Q635" s="907"/>
      <c r="R635" s="907"/>
      <c r="S635" s="907"/>
      <c r="T635" s="907"/>
      <c r="U635" s="907"/>
      <c r="V635" s="907"/>
      <c r="W635" s="907"/>
      <c r="X635" s="907"/>
      <c r="Y635" s="907"/>
      <c r="Z635" s="907"/>
      <c r="AA635" s="907"/>
      <c r="AB635" s="907"/>
      <c r="AC635" s="907"/>
      <c r="AD635" s="907"/>
      <c r="AE635" s="907"/>
      <c r="AF635" s="907"/>
      <c r="AG635" s="907"/>
      <c r="AH635" s="907"/>
      <c r="AI635" s="907"/>
      <c r="AJ635" s="907"/>
      <c r="AK635" s="907"/>
      <c r="AL635" s="907"/>
      <c r="AM635" s="907"/>
    </row>
    <row r="636" spans="1:39">
      <c r="A636" s="907"/>
      <c r="B636" s="907"/>
      <c r="C636" s="907"/>
      <c r="D636" s="907"/>
      <c r="E636" s="907"/>
      <c r="F636" s="907"/>
      <c r="G636" s="907"/>
      <c r="H636" s="907"/>
      <c r="I636" s="907"/>
      <c r="J636" s="907"/>
      <c r="K636" s="907"/>
      <c r="L636" s="907"/>
      <c r="M636" s="907"/>
      <c r="N636" s="907"/>
      <c r="O636" s="907"/>
      <c r="P636" s="907"/>
      <c r="Q636" s="907"/>
      <c r="R636" s="907"/>
      <c r="S636" s="907"/>
      <c r="T636" s="907"/>
      <c r="U636" s="907"/>
      <c r="V636" s="907"/>
      <c r="W636" s="907"/>
      <c r="X636" s="907"/>
      <c r="Y636" s="907"/>
      <c r="Z636" s="907"/>
      <c r="AA636" s="907"/>
      <c r="AB636" s="907"/>
      <c r="AC636" s="907"/>
      <c r="AD636" s="907"/>
      <c r="AE636" s="907"/>
      <c r="AF636" s="907"/>
      <c r="AG636" s="907"/>
      <c r="AH636" s="907"/>
      <c r="AI636" s="907"/>
      <c r="AJ636" s="907"/>
      <c r="AK636" s="907"/>
      <c r="AL636" s="907"/>
      <c r="AM636" s="907"/>
    </row>
    <row r="637" spans="1:39">
      <c r="A637" s="907"/>
      <c r="B637" s="907"/>
      <c r="C637" s="907"/>
      <c r="D637" s="907"/>
      <c r="E637" s="907"/>
      <c r="F637" s="907"/>
      <c r="G637" s="907"/>
      <c r="H637" s="907"/>
      <c r="I637" s="907"/>
      <c r="J637" s="907"/>
      <c r="K637" s="907"/>
      <c r="L637" s="907"/>
      <c r="M637" s="907"/>
      <c r="N637" s="907"/>
      <c r="O637" s="907"/>
      <c r="P637" s="907"/>
      <c r="Q637" s="907"/>
      <c r="R637" s="907"/>
      <c r="S637" s="907"/>
      <c r="T637" s="907"/>
      <c r="U637" s="907"/>
      <c r="V637" s="907"/>
      <c r="W637" s="907"/>
      <c r="X637" s="907"/>
      <c r="Y637" s="907"/>
      <c r="Z637" s="907"/>
      <c r="AA637" s="907"/>
      <c r="AB637" s="907"/>
      <c r="AC637" s="907"/>
      <c r="AD637" s="907"/>
      <c r="AE637" s="907"/>
      <c r="AF637" s="907"/>
      <c r="AG637" s="907"/>
      <c r="AH637" s="907"/>
      <c r="AI637" s="907"/>
      <c r="AJ637" s="907"/>
      <c r="AK637" s="907"/>
      <c r="AL637" s="907"/>
      <c r="AM637" s="907"/>
    </row>
    <row r="638" spans="1:39">
      <c r="A638" s="907"/>
      <c r="B638" s="907"/>
      <c r="C638" s="907"/>
      <c r="D638" s="907"/>
      <c r="E638" s="907"/>
      <c r="F638" s="907"/>
      <c r="G638" s="907"/>
      <c r="H638" s="907"/>
      <c r="I638" s="907"/>
      <c r="J638" s="907"/>
      <c r="K638" s="907"/>
      <c r="L638" s="907"/>
      <c r="M638" s="907"/>
      <c r="N638" s="907"/>
      <c r="O638" s="907"/>
      <c r="P638" s="907"/>
      <c r="Q638" s="907"/>
      <c r="R638" s="907"/>
      <c r="S638" s="907"/>
      <c r="T638" s="907"/>
      <c r="U638" s="907"/>
      <c r="V638" s="907"/>
      <c r="W638" s="907"/>
      <c r="X638" s="907"/>
      <c r="Y638" s="907"/>
      <c r="Z638" s="907"/>
      <c r="AA638" s="907"/>
      <c r="AB638" s="907"/>
      <c r="AC638" s="907"/>
      <c r="AD638" s="907"/>
      <c r="AE638" s="907"/>
      <c r="AF638" s="907"/>
      <c r="AG638" s="907"/>
      <c r="AH638" s="907"/>
      <c r="AI638" s="907"/>
      <c r="AJ638" s="907"/>
      <c r="AK638" s="907"/>
      <c r="AL638" s="907"/>
      <c r="AM638" s="907"/>
    </row>
    <row r="639" spans="1:39">
      <c r="A639" s="907"/>
      <c r="B639" s="907"/>
      <c r="C639" s="907"/>
      <c r="D639" s="907"/>
      <c r="E639" s="907"/>
      <c r="F639" s="907"/>
      <c r="G639" s="907"/>
      <c r="H639" s="907"/>
      <c r="I639" s="907"/>
      <c r="J639" s="907"/>
      <c r="K639" s="907"/>
      <c r="L639" s="907"/>
      <c r="M639" s="907"/>
      <c r="N639" s="907"/>
      <c r="O639" s="907"/>
      <c r="P639" s="907"/>
      <c r="Q639" s="907"/>
      <c r="R639" s="907"/>
      <c r="S639" s="907"/>
      <c r="T639" s="907"/>
      <c r="U639" s="907"/>
      <c r="V639" s="907"/>
      <c r="W639" s="907"/>
      <c r="X639" s="907"/>
      <c r="Y639" s="907"/>
      <c r="Z639" s="907"/>
      <c r="AA639" s="907"/>
      <c r="AB639" s="907"/>
      <c r="AC639" s="907"/>
      <c r="AD639" s="907"/>
      <c r="AE639" s="907"/>
      <c r="AF639" s="907"/>
      <c r="AG639" s="907"/>
      <c r="AH639" s="907"/>
      <c r="AI639" s="907"/>
      <c r="AJ639" s="907"/>
      <c r="AK639" s="907"/>
      <c r="AL639" s="907"/>
      <c r="AM639" s="907"/>
    </row>
    <row r="640" spans="1:39">
      <c r="A640" s="907"/>
      <c r="B640" s="907"/>
      <c r="C640" s="907"/>
      <c r="D640" s="907"/>
      <c r="E640" s="907"/>
      <c r="F640" s="907"/>
      <c r="G640" s="907"/>
      <c r="H640" s="907"/>
      <c r="I640" s="907"/>
      <c r="J640" s="907"/>
      <c r="K640" s="907"/>
      <c r="L640" s="907"/>
      <c r="M640" s="907"/>
      <c r="N640" s="907"/>
      <c r="O640" s="907"/>
      <c r="P640" s="907"/>
      <c r="Q640" s="907"/>
      <c r="R640" s="907"/>
      <c r="S640" s="907"/>
      <c r="T640" s="907"/>
      <c r="U640" s="907"/>
      <c r="V640" s="907"/>
      <c r="W640" s="907"/>
      <c r="X640" s="907"/>
      <c r="Y640" s="907"/>
      <c r="Z640" s="907"/>
      <c r="AA640" s="907"/>
      <c r="AB640" s="907"/>
      <c r="AC640" s="907"/>
      <c r="AD640" s="907"/>
      <c r="AE640" s="907"/>
      <c r="AF640" s="907"/>
      <c r="AG640" s="907"/>
      <c r="AH640" s="907"/>
      <c r="AI640" s="907"/>
      <c r="AJ640" s="907"/>
      <c r="AK640" s="907"/>
      <c r="AL640" s="907"/>
      <c r="AM640" s="907"/>
    </row>
    <row r="641" spans="1:39">
      <c r="A641" s="907"/>
      <c r="B641" s="907"/>
      <c r="C641" s="907"/>
      <c r="D641" s="907"/>
      <c r="E641" s="907"/>
      <c r="F641" s="907"/>
      <c r="G641" s="907"/>
      <c r="H641" s="907"/>
      <c r="I641" s="907"/>
      <c r="J641" s="907"/>
      <c r="K641" s="907"/>
      <c r="L641" s="907"/>
      <c r="M641" s="907"/>
      <c r="N641" s="907"/>
      <c r="O641" s="907"/>
      <c r="P641" s="907"/>
      <c r="Q641" s="907"/>
      <c r="R641" s="907"/>
      <c r="S641" s="907"/>
      <c r="T641" s="907"/>
      <c r="U641" s="907"/>
      <c r="V641" s="907"/>
      <c r="W641" s="907"/>
      <c r="X641" s="907"/>
      <c r="Y641" s="907"/>
      <c r="Z641" s="907"/>
      <c r="AA641" s="907"/>
      <c r="AB641" s="907"/>
      <c r="AC641" s="907"/>
      <c r="AD641" s="907"/>
      <c r="AE641" s="907"/>
      <c r="AF641" s="907"/>
      <c r="AG641" s="907"/>
      <c r="AH641" s="907"/>
      <c r="AI641" s="907"/>
      <c r="AJ641" s="907"/>
      <c r="AK641" s="907"/>
      <c r="AL641" s="907"/>
      <c r="AM641" s="907"/>
    </row>
    <row r="642" spans="1:39">
      <c r="A642" s="907"/>
      <c r="B642" s="907"/>
      <c r="C642" s="907"/>
      <c r="D642" s="907"/>
      <c r="E642" s="907"/>
      <c r="F642" s="907"/>
      <c r="G642" s="907"/>
      <c r="H642" s="907"/>
      <c r="I642" s="907"/>
      <c r="J642" s="907"/>
      <c r="K642" s="907"/>
      <c r="L642" s="907"/>
      <c r="M642" s="907"/>
      <c r="N642" s="907"/>
      <c r="O642" s="907"/>
      <c r="P642" s="907"/>
      <c r="Q642" s="907"/>
      <c r="R642" s="907"/>
      <c r="S642" s="907"/>
      <c r="T642" s="907"/>
      <c r="U642" s="907"/>
      <c r="V642" s="907"/>
      <c r="W642" s="907"/>
      <c r="X642" s="907"/>
      <c r="Y642" s="907"/>
      <c r="Z642" s="907"/>
      <c r="AA642" s="907"/>
      <c r="AB642" s="907"/>
      <c r="AC642" s="907"/>
      <c r="AD642" s="907"/>
      <c r="AE642" s="907"/>
      <c r="AF642" s="907"/>
      <c r="AG642" s="907"/>
      <c r="AH642" s="907"/>
      <c r="AI642" s="907"/>
      <c r="AJ642" s="907"/>
      <c r="AK642" s="907"/>
      <c r="AL642" s="907"/>
      <c r="AM642" s="907"/>
    </row>
    <row r="643" spans="1:39">
      <c r="A643" s="907"/>
      <c r="B643" s="907"/>
      <c r="C643" s="907"/>
      <c r="D643" s="907"/>
      <c r="E643" s="907"/>
      <c r="F643" s="907"/>
      <c r="G643" s="907"/>
      <c r="H643" s="907"/>
      <c r="I643" s="907"/>
      <c r="J643" s="907"/>
      <c r="K643" s="907"/>
      <c r="L643" s="907"/>
      <c r="M643" s="907"/>
      <c r="N643" s="907"/>
      <c r="O643" s="907"/>
      <c r="P643" s="907"/>
      <c r="Q643" s="907"/>
      <c r="R643" s="907"/>
      <c r="S643" s="907"/>
      <c r="T643" s="907"/>
      <c r="U643" s="907"/>
      <c r="V643" s="907"/>
      <c r="W643" s="907"/>
      <c r="X643" s="907"/>
      <c r="Y643" s="907"/>
      <c r="Z643" s="907"/>
      <c r="AA643" s="907"/>
      <c r="AB643" s="907"/>
      <c r="AC643" s="907"/>
      <c r="AD643" s="907"/>
      <c r="AE643" s="907"/>
      <c r="AF643" s="907"/>
      <c r="AG643" s="907"/>
      <c r="AH643" s="907"/>
      <c r="AI643" s="907"/>
      <c r="AJ643" s="907"/>
      <c r="AK643" s="907"/>
      <c r="AL643" s="907"/>
      <c r="AM643" s="907"/>
    </row>
    <row r="644" spans="1:39">
      <c r="A644" s="907"/>
      <c r="B644" s="907"/>
      <c r="C644" s="907"/>
      <c r="D644" s="907"/>
      <c r="E644" s="907"/>
      <c r="F644" s="907"/>
      <c r="G644" s="907"/>
      <c r="H644" s="907"/>
      <c r="I644" s="907"/>
      <c r="J644" s="907"/>
      <c r="K644" s="907"/>
      <c r="L644" s="907"/>
      <c r="M644" s="907"/>
      <c r="N644" s="907"/>
      <c r="O644" s="907"/>
      <c r="P644" s="907"/>
      <c r="Q644" s="907"/>
      <c r="R644" s="907"/>
      <c r="S644" s="907"/>
      <c r="T644" s="907"/>
      <c r="U644" s="907"/>
      <c r="V644" s="907"/>
      <c r="W644" s="907"/>
      <c r="X644" s="907"/>
      <c r="Y644" s="907"/>
      <c r="Z644" s="907"/>
      <c r="AA644" s="907"/>
      <c r="AB644" s="907"/>
      <c r="AC644" s="907"/>
      <c r="AD644" s="907"/>
      <c r="AE644" s="907"/>
      <c r="AF644" s="907"/>
      <c r="AG644" s="907"/>
      <c r="AH644" s="907"/>
      <c r="AI644" s="907"/>
      <c r="AJ644" s="907"/>
      <c r="AK644" s="907"/>
      <c r="AL644" s="907"/>
      <c r="AM644" s="907"/>
    </row>
    <row r="645" spans="1:39">
      <c r="A645" s="907"/>
      <c r="B645" s="907"/>
      <c r="C645" s="907"/>
      <c r="D645" s="907"/>
      <c r="E645" s="907"/>
      <c r="F645" s="907"/>
      <c r="G645" s="907"/>
      <c r="H645" s="907"/>
      <c r="I645" s="907"/>
      <c r="J645" s="907"/>
      <c r="K645" s="907"/>
      <c r="L645" s="907"/>
      <c r="M645" s="907"/>
      <c r="N645" s="907"/>
      <c r="O645" s="907"/>
      <c r="P645" s="907"/>
      <c r="Q645" s="907"/>
      <c r="R645" s="907"/>
      <c r="S645" s="907"/>
      <c r="T645" s="907"/>
      <c r="U645" s="907"/>
      <c r="V645" s="907"/>
      <c r="W645" s="907"/>
      <c r="X645" s="907"/>
      <c r="Y645" s="907"/>
      <c r="Z645" s="907"/>
      <c r="AA645" s="907"/>
      <c r="AB645" s="907"/>
      <c r="AC645" s="907"/>
      <c r="AD645" s="907"/>
      <c r="AE645" s="907"/>
      <c r="AF645" s="907"/>
      <c r="AG645" s="907"/>
      <c r="AH645" s="907"/>
      <c r="AI645" s="907"/>
      <c r="AJ645" s="907"/>
      <c r="AK645" s="907"/>
      <c r="AL645" s="907"/>
      <c r="AM645" s="907"/>
    </row>
    <row r="646" spans="1:39">
      <c r="A646" s="907"/>
      <c r="B646" s="907"/>
      <c r="C646" s="907"/>
      <c r="D646" s="907"/>
      <c r="E646" s="907"/>
      <c r="F646" s="907"/>
      <c r="G646" s="907"/>
      <c r="H646" s="907"/>
      <c r="I646" s="907"/>
      <c r="J646" s="907"/>
      <c r="K646" s="907"/>
      <c r="L646" s="907"/>
      <c r="M646" s="907"/>
      <c r="N646" s="907"/>
      <c r="O646" s="907"/>
      <c r="P646" s="907"/>
      <c r="Q646" s="907"/>
      <c r="R646" s="907"/>
      <c r="S646" s="907"/>
      <c r="T646" s="907"/>
      <c r="U646" s="907"/>
      <c r="V646" s="907"/>
      <c r="W646" s="907"/>
      <c r="X646" s="907"/>
      <c r="Y646" s="907"/>
      <c r="Z646" s="907"/>
      <c r="AA646" s="907"/>
      <c r="AB646" s="907"/>
      <c r="AC646" s="907"/>
      <c r="AD646" s="907"/>
      <c r="AE646" s="907"/>
      <c r="AF646" s="907"/>
      <c r="AG646" s="907"/>
      <c r="AH646" s="907"/>
      <c r="AI646" s="907"/>
      <c r="AJ646" s="907"/>
      <c r="AK646" s="907"/>
      <c r="AL646" s="907"/>
      <c r="AM646" s="907"/>
    </row>
    <row r="647" spans="1:39">
      <c r="A647" s="907"/>
      <c r="B647" s="907"/>
      <c r="C647" s="907"/>
      <c r="D647" s="907"/>
      <c r="E647" s="907"/>
      <c r="F647" s="907"/>
      <c r="G647" s="907"/>
      <c r="H647" s="907"/>
      <c r="I647" s="907"/>
      <c r="J647" s="907"/>
      <c r="K647" s="907"/>
      <c r="L647" s="907"/>
      <c r="M647" s="907"/>
      <c r="N647" s="907"/>
      <c r="O647" s="907"/>
      <c r="P647" s="907"/>
      <c r="Q647" s="907"/>
      <c r="R647" s="907"/>
      <c r="S647" s="907"/>
      <c r="T647" s="907"/>
      <c r="U647" s="907"/>
      <c r="V647" s="907"/>
      <c r="W647" s="907"/>
      <c r="X647" s="907"/>
      <c r="Y647" s="907"/>
      <c r="Z647" s="907"/>
      <c r="AA647" s="907"/>
      <c r="AB647" s="907"/>
      <c r="AC647" s="907"/>
      <c r="AD647" s="907"/>
      <c r="AE647" s="907"/>
      <c r="AF647" s="907"/>
      <c r="AG647" s="907"/>
      <c r="AH647" s="907"/>
      <c r="AI647" s="907"/>
      <c r="AJ647" s="907"/>
      <c r="AK647" s="907"/>
      <c r="AL647" s="907"/>
      <c r="AM647" s="907"/>
    </row>
    <row r="648" spans="1:39">
      <c r="A648" s="907"/>
      <c r="B648" s="907"/>
      <c r="C648" s="907"/>
      <c r="D648" s="907"/>
      <c r="E648" s="907"/>
      <c r="F648" s="907"/>
      <c r="G648" s="907"/>
      <c r="H648" s="907"/>
      <c r="I648" s="907"/>
      <c r="J648" s="907"/>
      <c r="K648" s="907"/>
      <c r="L648" s="907"/>
      <c r="M648" s="907"/>
      <c r="N648" s="907"/>
      <c r="O648" s="907"/>
      <c r="P648" s="907"/>
      <c r="Q648" s="907"/>
      <c r="R648" s="907"/>
      <c r="S648" s="907"/>
      <c r="T648" s="907"/>
      <c r="U648" s="907"/>
      <c r="V648" s="907"/>
      <c r="W648" s="907"/>
      <c r="X648" s="907"/>
      <c r="Y648" s="907"/>
      <c r="Z648" s="907"/>
      <c r="AA648" s="907"/>
      <c r="AB648" s="907"/>
      <c r="AC648" s="907"/>
      <c r="AD648" s="907"/>
      <c r="AE648" s="907"/>
      <c r="AF648" s="907"/>
      <c r="AG648" s="907"/>
      <c r="AH648" s="907"/>
      <c r="AI648" s="907"/>
      <c r="AJ648" s="907"/>
      <c r="AK648" s="907"/>
      <c r="AL648" s="907"/>
      <c r="AM648" s="907"/>
    </row>
    <row r="649" spans="1:39">
      <c r="A649" s="907"/>
      <c r="B649" s="907"/>
      <c r="C649" s="907"/>
      <c r="D649" s="907"/>
      <c r="E649" s="907"/>
      <c r="F649" s="907"/>
      <c r="G649" s="907"/>
      <c r="H649" s="907"/>
      <c r="I649" s="907"/>
      <c r="J649" s="907"/>
      <c r="K649" s="907"/>
      <c r="L649" s="907"/>
      <c r="M649" s="907"/>
      <c r="N649" s="907"/>
      <c r="O649" s="907"/>
      <c r="P649" s="907"/>
      <c r="Q649" s="907"/>
      <c r="R649" s="907"/>
      <c r="S649" s="907"/>
      <c r="T649" s="907"/>
      <c r="U649" s="907"/>
      <c r="V649" s="907"/>
      <c r="W649" s="907"/>
      <c r="X649" s="907"/>
      <c r="Y649" s="907"/>
      <c r="Z649" s="907"/>
      <c r="AA649" s="907"/>
      <c r="AB649" s="907"/>
      <c r="AC649" s="907"/>
      <c r="AD649" s="907"/>
      <c r="AE649" s="907"/>
      <c r="AF649" s="907"/>
      <c r="AG649" s="907"/>
      <c r="AH649" s="907"/>
      <c r="AI649" s="907"/>
      <c r="AJ649" s="907"/>
      <c r="AK649" s="907"/>
      <c r="AL649" s="907"/>
      <c r="AM649" s="907"/>
    </row>
    <row r="650" spans="1:39">
      <c r="A650" s="907"/>
      <c r="B650" s="907"/>
      <c r="C650" s="907"/>
      <c r="D650" s="907"/>
      <c r="E650" s="907"/>
      <c r="F650" s="907"/>
      <c r="G650" s="907"/>
      <c r="H650" s="907"/>
      <c r="I650" s="907"/>
      <c r="J650" s="907"/>
      <c r="K650" s="907"/>
      <c r="L650" s="907"/>
      <c r="M650" s="907"/>
      <c r="N650" s="907"/>
      <c r="O650" s="907"/>
      <c r="P650" s="907"/>
      <c r="Q650" s="907"/>
      <c r="R650" s="907"/>
      <c r="S650" s="907"/>
      <c r="T650" s="907"/>
      <c r="U650" s="907"/>
      <c r="V650" s="907"/>
      <c r="W650" s="907"/>
      <c r="X650" s="907"/>
      <c r="Y650" s="907"/>
      <c r="Z650" s="907"/>
      <c r="AA650" s="907"/>
      <c r="AB650" s="907"/>
      <c r="AC650" s="907"/>
      <c r="AD650" s="907"/>
      <c r="AE650" s="907"/>
      <c r="AF650" s="907"/>
      <c r="AG650" s="907"/>
      <c r="AH650" s="907"/>
      <c r="AI650" s="907"/>
      <c r="AJ650" s="907"/>
      <c r="AK650" s="907"/>
      <c r="AL650" s="907"/>
      <c r="AM650" s="907"/>
    </row>
    <row r="651" spans="1:39">
      <c r="A651" s="907"/>
      <c r="B651" s="907"/>
      <c r="C651" s="907"/>
      <c r="D651" s="907"/>
      <c r="E651" s="907"/>
      <c r="F651" s="907"/>
      <c r="G651" s="907"/>
      <c r="H651" s="907"/>
      <c r="I651" s="907"/>
      <c r="J651" s="907"/>
      <c r="K651" s="907"/>
      <c r="L651" s="907"/>
      <c r="M651" s="907"/>
      <c r="N651" s="907"/>
      <c r="O651" s="907"/>
      <c r="P651" s="907"/>
      <c r="Q651" s="907"/>
      <c r="R651" s="907"/>
      <c r="S651" s="907"/>
      <c r="T651" s="907"/>
      <c r="U651" s="907"/>
      <c r="V651" s="907"/>
      <c r="W651" s="907"/>
      <c r="X651" s="907"/>
      <c r="Y651" s="907"/>
      <c r="Z651" s="907"/>
      <c r="AA651" s="907"/>
      <c r="AB651" s="907"/>
      <c r="AC651" s="907"/>
      <c r="AD651" s="907"/>
      <c r="AE651" s="907"/>
      <c r="AF651" s="907"/>
      <c r="AG651" s="907"/>
      <c r="AH651" s="907"/>
      <c r="AI651" s="907"/>
      <c r="AJ651" s="907"/>
      <c r="AK651" s="907"/>
      <c r="AL651" s="907"/>
      <c r="AM651" s="907"/>
    </row>
    <row r="652" spans="1:39">
      <c r="A652" s="907"/>
      <c r="B652" s="907"/>
      <c r="C652" s="907"/>
      <c r="D652" s="907"/>
      <c r="E652" s="907"/>
      <c r="F652" s="907"/>
      <c r="G652" s="907"/>
      <c r="H652" s="907"/>
      <c r="I652" s="907"/>
      <c r="J652" s="907"/>
      <c r="K652" s="907"/>
      <c r="L652" s="907"/>
      <c r="M652" s="907"/>
      <c r="N652" s="907"/>
      <c r="O652" s="907"/>
      <c r="P652" s="907"/>
      <c r="Q652" s="907"/>
      <c r="R652" s="907"/>
      <c r="S652" s="907"/>
      <c r="T652" s="907"/>
      <c r="U652" s="907"/>
      <c r="V652" s="907"/>
      <c r="W652" s="907"/>
      <c r="X652" s="907"/>
      <c r="Y652" s="907"/>
      <c r="Z652" s="907"/>
      <c r="AA652" s="907"/>
      <c r="AB652" s="907"/>
      <c r="AC652" s="907"/>
      <c r="AD652" s="907"/>
      <c r="AE652" s="907"/>
      <c r="AF652" s="907"/>
      <c r="AG652" s="907"/>
      <c r="AH652" s="907"/>
      <c r="AI652" s="907"/>
      <c r="AJ652" s="907"/>
      <c r="AK652" s="907"/>
      <c r="AL652" s="907"/>
      <c r="AM652" s="907"/>
    </row>
    <row r="653" spans="1:39">
      <c r="A653" s="907"/>
      <c r="B653" s="907"/>
      <c r="C653" s="907"/>
      <c r="D653" s="907"/>
      <c r="E653" s="907"/>
      <c r="F653" s="907"/>
      <c r="G653" s="907"/>
      <c r="H653" s="907"/>
      <c r="I653" s="907"/>
      <c r="J653" s="907"/>
      <c r="K653" s="907"/>
      <c r="L653" s="907"/>
      <c r="M653" s="907"/>
      <c r="N653" s="907"/>
      <c r="O653" s="907"/>
      <c r="P653" s="907"/>
      <c r="Q653" s="907"/>
      <c r="R653" s="907"/>
      <c r="S653" s="907"/>
      <c r="T653" s="907"/>
      <c r="U653" s="907"/>
      <c r="V653" s="907"/>
      <c r="W653" s="907"/>
      <c r="X653" s="907"/>
      <c r="Y653" s="907"/>
      <c r="Z653" s="907"/>
      <c r="AA653" s="907"/>
      <c r="AB653" s="907"/>
      <c r="AC653" s="907"/>
      <c r="AD653" s="907"/>
      <c r="AE653" s="907"/>
      <c r="AF653" s="907"/>
      <c r="AG653" s="907"/>
      <c r="AH653" s="907"/>
      <c r="AI653" s="907"/>
      <c r="AJ653" s="907"/>
      <c r="AK653" s="907"/>
      <c r="AL653" s="907"/>
      <c r="AM653" s="907"/>
    </row>
    <row r="654" spans="1:39">
      <c r="A654" s="907"/>
      <c r="B654" s="907"/>
      <c r="C654" s="907"/>
      <c r="D654" s="907"/>
      <c r="E654" s="907"/>
      <c r="F654" s="907"/>
      <c r="G654" s="907"/>
      <c r="H654" s="907"/>
      <c r="I654" s="907"/>
      <c r="J654" s="907"/>
      <c r="K654" s="907"/>
      <c r="L654" s="907"/>
      <c r="M654" s="907"/>
      <c r="N654" s="907"/>
      <c r="O654" s="907"/>
      <c r="P654" s="907"/>
      <c r="Q654" s="907"/>
      <c r="R654" s="907"/>
      <c r="S654" s="907"/>
      <c r="T654" s="907"/>
      <c r="U654" s="907"/>
      <c r="V654" s="907"/>
      <c r="W654" s="907"/>
      <c r="X654" s="907"/>
      <c r="Y654" s="907"/>
      <c r="Z654" s="907"/>
      <c r="AA654" s="907"/>
      <c r="AB654" s="907"/>
      <c r="AC654" s="907"/>
      <c r="AD654" s="907"/>
      <c r="AE654" s="907"/>
      <c r="AF654" s="907"/>
      <c r="AG654" s="907"/>
      <c r="AH654" s="907"/>
      <c r="AI654" s="907"/>
      <c r="AJ654" s="907"/>
      <c r="AK654" s="907"/>
      <c r="AL654" s="907"/>
      <c r="AM654" s="907"/>
    </row>
    <row r="655" spans="1:39">
      <c r="A655" s="907"/>
      <c r="B655" s="907"/>
      <c r="C655" s="907"/>
      <c r="D655" s="907"/>
      <c r="E655" s="907"/>
      <c r="F655" s="907"/>
      <c r="G655" s="907"/>
      <c r="H655" s="907"/>
      <c r="I655" s="907"/>
      <c r="J655" s="907"/>
      <c r="K655" s="907"/>
      <c r="L655" s="907"/>
      <c r="M655" s="907"/>
      <c r="N655" s="907"/>
      <c r="O655" s="907"/>
      <c r="P655" s="907"/>
      <c r="Q655" s="907"/>
      <c r="R655" s="907"/>
      <c r="S655" s="907"/>
      <c r="T655" s="907"/>
      <c r="U655" s="907"/>
      <c r="V655" s="907"/>
      <c r="W655" s="907"/>
      <c r="X655" s="907"/>
      <c r="Y655" s="907"/>
      <c r="Z655" s="907"/>
      <c r="AA655" s="907"/>
      <c r="AB655" s="907"/>
      <c r="AC655" s="907"/>
      <c r="AD655" s="907"/>
      <c r="AE655" s="907"/>
      <c r="AF655" s="907"/>
      <c r="AG655" s="907"/>
      <c r="AH655" s="907"/>
      <c r="AI655" s="907"/>
      <c r="AJ655" s="907"/>
      <c r="AK655" s="907"/>
      <c r="AL655" s="907"/>
      <c r="AM655" s="907"/>
    </row>
    <row r="656" spans="1:39">
      <c r="A656" s="907"/>
      <c r="B656" s="907"/>
      <c r="C656" s="907"/>
      <c r="D656" s="907"/>
      <c r="E656" s="907"/>
      <c r="F656" s="907"/>
      <c r="G656" s="907"/>
      <c r="H656" s="907"/>
      <c r="I656" s="907"/>
      <c r="J656" s="907"/>
      <c r="K656" s="907"/>
      <c r="L656" s="907"/>
      <c r="M656" s="907"/>
      <c r="N656" s="907"/>
      <c r="O656" s="907"/>
      <c r="P656" s="907"/>
      <c r="Q656" s="907"/>
      <c r="R656" s="907"/>
      <c r="S656" s="907"/>
      <c r="T656" s="907"/>
      <c r="U656" s="907"/>
      <c r="V656" s="907"/>
      <c r="W656" s="907"/>
      <c r="X656" s="907"/>
      <c r="Y656" s="907"/>
      <c r="Z656" s="907"/>
      <c r="AA656" s="907"/>
      <c r="AB656" s="907"/>
      <c r="AC656" s="907"/>
      <c r="AD656" s="907"/>
      <c r="AE656" s="907"/>
      <c r="AF656" s="907"/>
      <c r="AG656" s="907"/>
      <c r="AH656" s="907"/>
      <c r="AI656" s="907"/>
      <c r="AJ656" s="907"/>
      <c r="AK656" s="907"/>
      <c r="AL656" s="907"/>
      <c r="AM656" s="907"/>
    </row>
    <row r="657" spans="1:39">
      <c r="A657" s="907"/>
      <c r="B657" s="907"/>
      <c r="C657" s="907"/>
      <c r="D657" s="907"/>
      <c r="E657" s="907"/>
      <c r="F657" s="907"/>
      <c r="G657" s="907"/>
      <c r="H657" s="907"/>
      <c r="I657" s="907"/>
      <c r="J657" s="907"/>
      <c r="K657" s="907"/>
      <c r="L657" s="907"/>
      <c r="M657" s="907"/>
      <c r="N657" s="907"/>
      <c r="O657" s="907"/>
      <c r="P657" s="907"/>
      <c r="Q657" s="907"/>
      <c r="R657" s="907"/>
      <c r="S657" s="907"/>
      <c r="T657" s="907"/>
      <c r="U657" s="907"/>
      <c r="V657" s="907"/>
      <c r="W657" s="907"/>
      <c r="X657" s="907"/>
      <c r="Y657" s="907"/>
      <c r="Z657" s="907"/>
      <c r="AA657" s="907"/>
      <c r="AB657" s="907"/>
      <c r="AC657" s="907"/>
      <c r="AD657" s="907"/>
      <c r="AE657" s="907"/>
      <c r="AF657" s="907"/>
      <c r="AG657" s="907"/>
      <c r="AH657" s="907"/>
      <c r="AI657" s="907"/>
      <c r="AJ657" s="907"/>
      <c r="AK657" s="907"/>
      <c r="AL657" s="907"/>
      <c r="AM657" s="907"/>
    </row>
    <row r="658" spans="1:39">
      <c r="A658" s="907"/>
      <c r="B658" s="907"/>
      <c r="C658" s="907"/>
      <c r="D658" s="907"/>
      <c r="E658" s="907"/>
      <c r="F658" s="907"/>
      <c r="G658" s="907"/>
      <c r="H658" s="907"/>
      <c r="I658" s="907"/>
      <c r="J658" s="907"/>
      <c r="K658" s="907"/>
      <c r="L658" s="907"/>
      <c r="M658" s="907"/>
      <c r="N658" s="907"/>
      <c r="O658" s="907"/>
      <c r="P658" s="907"/>
      <c r="Q658" s="907"/>
      <c r="R658" s="907"/>
      <c r="S658" s="907"/>
      <c r="T658" s="907"/>
      <c r="U658" s="907"/>
      <c r="V658" s="907"/>
      <c r="W658" s="907"/>
      <c r="X658" s="907"/>
      <c r="Y658" s="907"/>
      <c r="Z658" s="907"/>
      <c r="AA658" s="907"/>
      <c r="AB658" s="907"/>
      <c r="AC658" s="907"/>
      <c r="AD658" s="907"/>
      <c r="AE658" s="907"/>
      <c r="AF658" s="907"/>
      <c r="AG658" s="907"/>
      <c r="AH658" s="907"/>
      <c r="AI658" s="907"/>
      <c r="AJ658" s="907"/>
      <c r="AK658" s="907"/>
      <c r="AL658" s="907"/>
      <c r="AM658" s="907"/>
    </row>
    <row r="659" spans="1:39">
      <c r="A659" s="907"/>
      <c r="B659" s="907"/>
      <c r="C659" s="907"/>
      <c r="D659" s="907"/>
      <c r="E659" s="907"/>
      <c r="F659" s="907"/>
      <c r="G659" s="907"/>
      <c r="H659" s="907"/>
      <c r="I659" s="907"/>
      <c r="J659" s="907"/>
      <c r="K659" s="907"/>
      <c r="L659" s="907"/>
      <c r="M659" s="907"/>
      <c r="N659" s="907"/>
      <c r="O659" s="907"/>
      <c r="P659" s="907"/>
      <c r="Q659" s="907"/>
      <c r="R659" s="907"/>
      <c r="S659" s="907"/>
      <c r="T659" s="907"/>
      <c r="U659" s="907"/>
      <c r="V659" s="907"/>
      <c r="W659" s="907"/>
      <c r="X659" s="907"/>
      <c r="Y659" s="907"/>
      <c r="Z659" s="907"/>
      <c r="AA659" s="907"/>
      <c r="AB659" s="907"/>
      <c r="AC659" s="907"/>
      <c r="AD659" s="907"/>
      <c r="AE659" s="907"/>
      <c r="AF659" s="907"/>
      <c r="AG659" s="907"/>
      <c r="AH659" s="907"/>
      <c r="AI659" s="907"/>
      <c r="AJ659" s="907"/>
      <c r="AK659" s="907"/>
      <c r="AL659" s="907"/>
      <c r="AM659" s="907"/>
    </row>
    <row r="660" spans="1:39">
      <c r="A660" s="907"/>
      <c r="B660" s="907"/>
      <c r="C660" s="907"/>
      <c r="D660" s="907"/>
      <c r="E660" s="907"/>
      <c r="F660" s="907"/>
      <c r="G660" s="907"/>
      <c r="H660" s="907"/>
      <c r="I660" s="907"/>
      <c r="J660" s="907"/>
      <c r="K660" s="907"/>
      <c r="L660" s="907"/>
      <c r="M660" s="907"/>
      <c r="N660" s="907"/>
      <c r="O660" s="907"/>
      <c r="P660" s="907"/>
      <c r="Q660" s="907"/>
      <c r="R660" s="907"/>
      <c r="S660" s="907"/>
      <c r="T660" s="907"/>
      <c r="U660" s="907"/>
      <c r="V660" s="907"/>
      <c r="W660" s="907"/>
      <c r="X660" s="907"/>
      <c r="Y660" s="907"/>
      <c r="Z660" s="907"/>
      <c r="AA660" s="907"/>
      <c r="AB660" s="907"/>
      <c r="AC660" s="907"/>
      <c r="AD660" s="907"/>
      <c r="AE660" s="907"/>
      <c r="AF660" s="907"/>
      <c r="AG660" s="907"/>
      <c r="AH660" s="907"/>
      <c r="AI660" s="907"/>
      <c r="AJ660" s="907"/>
      <c r="AK660" s="907"/>
      <c r="AL660" s="907"/>
      <c r="AM660" s="907"/>
    </row>
    <row r="661" spans="1:39">
      <c r="A661" s="907"/>
      <c r="B661" s="907"/>
      <c r="C661" s="907"/>
      <c r="D661" s="907"/>
      <c r="E661" s="907"/>
      <c r="F661" s="907"/>
      <c r="G661" s="907"/>
      <c r="H661" s="907"/>
      <c r="I661" s="907"/>
      <c r="J661" s="907"/>
      <c r="K661" s="907"/>
      <c r="L661" s="907"/>
      <c r="M661" s="907"/>
      <c r="N661" s="907"/>
      <c r="O661" s="907"/>
      <c r="P661" s="907"/>
      <c r="Q661" s="907"/>
      <c r="R661" s="907"/>
      <c r="S661" s="907"/>
      <c r="T661" s="907"/>
      <c r="U661" s="907"/>
      <c r="V661" s="907"/>
      <c r="W661" s="907"/>
      <c r="X661" s="907"/>
      <c r="Y661" s="907"/>
      <c r="Z661" s="907"/>
      <c r="AA661" s="907"/>
      <c r="AB661" s="907"/>
      <c r="AC661" s="907"/>
      <c r="AD661" s="907"/>
      <c r="AE661" s="907"/>
      <c r="AF661" s="907"/>
      <c r="AG661" s="907"/>
      <c r="AH661" s="907"/>
      <c r="AI661" s="907"/>
      <c r="AJ661" s="907"/>
      <c r="AK661" s="907"/>
      <c r="AL661" s="907"/>
      <c r="AM661" s="907"/>
    </row>
    <row r="662" spans="1:39">
      <c r="A662" s="907"/>
      <c r="B662" s="907"/>
      <c r="C662" s="907"/>
      <c r="D662" s="907"/>
      <c r="E662" s="907"/>
      <c r="F662" s="907"/>
      <c r="G662" s="907"/>
      <c r="H662" s="907"/>
      <c r="I662" s="907"/>
      <c r="J662" s="907"/>
      <c r="K662" s="907"/>
      <c r="L662" s="907"/>
      <c r="M662" s="907"/>
      <c r="N662" s="907"/>
      <c r="O662" s="907"/>
      <c r="P662" s="907"/>
      <c r="Q662" s="907"/>
      <c r="R662" s="907"/>
      <c r="S662" s="907"/>
      <c r="T662" s="907"/>
      <c r="U662" s="907"/>
      <c r="V662" s="907"/>
      <c r="W662" s="907"/>
      <c r="X662" s="907"/>
      <c r="Y662" s="907"/>
      <c r="Z662" s="907"/>
      <c r="AA662" s="907"/>
      <c r="AB662" s="907"/>
      <c r="AC662" s="907"/>
      <c r="AD662" s="907"/>
      <c r="AE662" s="907"/>
      <c r="AF662" s="907"/>
      <c r="AG662" s="907"/>
      <c r="AH662" s="907"/>
      <c r="AI662" s="907"/>
      <c r="AJ662" s="907"/>
      <c r="AK662" s="907"/>
      <c r="AL662" s="907"/>
      <c r="AM662" s="907"/>
    </row>
    <row r="663" spans="1:39">
      <c r="A663" s="907"/>
      <c r="B663" s="907"/>
      <c r="C663" s="907"/>
      <c r="D663" s="907"/>
      <c r="E663" s="907"/>
      <c r="F663" s="907"/>
      <c r="G663" s="907"/>
      <c r="H663" s="907"/>
      <c r="I663" s="907"/>
      <c r="J663" s="907"/>
      <c r="K663" s="907"/>
      <c r="L663" s="907"/>
      <c r="M663" s="907"/>
      <c r="N663" s="907"/>
      <c r="O663" s="907"/>
      <c r="P663" s="907"/>
      <c r="Q663" s="907"/>
      <c r="R663" s="907"/>
      <c r="S663" s="907"/>
      <c r="T663" s="907"/>
      <c r="U663" s="907"/>
      <c r="V663" s="907"/>
      <c r="W663" s="907"/>
      <c r="X663" s="907"/>
      <c r="Y663" s="907"/>
      <c r="Z663" s="907"/>
      <c r="AA663" s="907"/>
      <c r="AB663" s="907"/>
      <c r="AC663" s="907"/>
      <c r="AD663" s="907"/>
      <c r="AE663" s="907"/>
      <c r="AF663" s="907"/>
      <c r="AG663" s="907"/>
      <c r="AH663" s="907"/>
      <c r="AI663" s="907"/>
      <c r="AJ663" s="907"/>
      <c r="AK663" s="907"/>
      <c r="AL663" s="907"/>
      <c r="AM663" s="907"/>
    </row>
    <row r="664" spans="1:39">
      <c r="A664" s="907"/>
      <c r="B664" s="907"/>
      <c r="C664" s="907"/>
      <c r="D664" s="907"/>
      <c r="E664" s="907"/>
      <c r="F664" s="907"/>
      <c r="G664" s="907"/>
      <c r="H664" s="907"/>
      <c r="I664" s="907"/>
      <c r="J664" s="907"/>
      <c r="K664" s="907"/>
      <c r="L664" s="907"/>
      <c r="M664" s="907"/>
      <c r="N664" s="907"/>
      <c r="O664" s="907"/>
      <c r="P664" s="907"/>
      <c r="Q664" s="907"/>
      <c r="R664" s="907"/>
      <c r="S664" s="907"/>
      <c r="T664" s="907"/>
      <c r="U664" s="907"/>
      <c r="V664" s="907"/>
      <c r="W664" s="907"/>
      <c r="X664" s="907"/>
      <c r="Y664" s="907"/>
      <c r="Z664" s="907"/>
      <c r="AA664" s="907"/>
      <c r="AB664" s="907"/>
      <c r="AC664" s="907"/>
      <c r="AD664" s="907"/>
      <c r="AE664" s="907"/>
      <c r="AF664" s="907"/>
      <c r="AG664" s="907"/>
      <c r="AH664" s="907"/>
      <c r="AI664" s="907"/>
      <c r="AJ664" s="907"/>
      <c r="AK664" s="907"/>
      <c r="AL664" s="907"/>
      <c r="AM664" s="907"/>
    </row>
    <row r="665" spans="1:39">
      <c r="A665" s="907"/>
      <c r="B665" s="907"/>
      <c r="C665" s="907"/>
      <c r="D665" s="907"/>
      <c r="E665" s="907"/>
      <c r="F665" s="907"/>
      <c r="G665" s="907"/>
      <c r="H665" s="907"/>
      <c r="I665" s="907"/>
      <c r="J665" s="907"/>
      <c r="K665" s="907"/>
      <c r="L665" s="907"/>
      <c r="M665" s="907"/>
      <c r="N665" s="907"/>
      <c r="O665" s="907"/>
      <c r="P665" s="907"/>
      <c r="Q665" s="907"/>
      <c r="R665" s="907"/>
      <c r="S665" s="907"/>
      <c r="T665" s="907"/>
      <c r="U665" s="907"/>
      <c r="V665" s="907"/>
      <c r="W665" s="907"/>
      <c r="X665" s="907"/>
      <c r="Y665" s="907"/>
      <c r="Z665" s="907"/>
      <c r="AA665" s="907"/>
      <c r="AB665" s="907"/>
      <c r="AC665" s="907"/>
      <c r="AD665" s="907"/>
      <c r="AE665" s="907"/>
      <c r="AF665" s="907"/>
      <c r="AG665" s="907"/>
      <c r="AH665" s="907"/>
      <c r="AI665" s="907"/>
      <c r="AJ665" s="907"/>
      <c r="AK665" s="907"/>
      <c r="AL665" s="907"/>
      <c r="AM665" s="907"/>
    </row>
    <row r="666" spans="1:39">
      <c r="A666" s="907"/>
      <c r="B666" s="907"/>
      <c r="C666" s="907"/>
      <c r="D666" s="907"/>
      <c r="E666" s="907"/>
      <c r="F666" s="907"/>
      <c r="G666" s="907"/>
      <c r="H666" s="907"/>
      <c r="I666" s="907"/>
      <c r="J666" s="907"/>
      <c r="K666" s="907"/>
      <c r="L666" s="907"/>
      <c r="M666" s="907"/>
      <c r="N666" s="907"/>
      <c r="O666" s="907"/>
      <c r="P666" s="907"/>
      <c r="Q666" s="907"/>
      <c r="R666" s="907"/>
      <c r="S666" s="907"/>
      <c r="T666" s="907"/>
      <c r="U666" s="907"/>
      <c r="V666" s="907"/>
      <c r="W666" s="907"/>
      <c r="X666" s="907"/>
      <c r="Y666" s="907"/>
      <c r="Z666" s="907"/>
      <c r="AA666" s="907"/>
      <c r="AB666" s="907"/>
      <c r="AC666" s="907"/>
      <c r="AD666" s="907"/>
      <c r="AE666" s="907"/>
      <c r="AF666" s="907"/>
      <c r="AG666" s="907"/>
      <c r="AH666" s="907"/>
      <c r="AI666" s="907"/>
      <c r="AJ666" s="907"/>
      <c r="AK666" s="907"/>
      <c r="AL666" s="907"/>
      <c r="AM666" s="907"/>
    </row>
    <row r="667" spans="1:39">
      <c r="A667" s="907"/>
      <c r="B667" s="907"/>
      <c r="C667" s="907"/>
      <c r="D667" s="907"/>
      <c r="E667" s="907"/>
      <c r="F667" s="907"/>
      <c r="G667" s="907"/>
      <c r="H667" s="907"/>
      <c r="I667" s="907"/>
      <c r="J667" s="907"/>
      <c r="K667" s="907"/>
      <c r="L667" s="907"/>
      <c r="M667" s="907"/>
      <c r="N667" s="907"/>
      <c r="O667" s="907"/>
      <c r="P667" s="907"/>
      <c r="Q667" s="907"/>
      <c r="R667" s="907"/>
      <c r="S667" s="907"/>
      <c r="T667" s="907"/>
      <c r="U667" s="907"/>
      <c r="V667" s="907"/>
      <c r="W667" s="907"/>
      <c r="X667" s="907"/>
      <c r="Y667" s="907"/>
      <c r="Z667" s="907"/>
      <c r="AA667" s="907"/>
      <c r="AB667" s="907"/>
      <c r="AC667" s="907"/>
      <c r="AD667" s="907"/>
      <c r="AE667" s="907"/>
      <c r="AF667" s="907"/>
      <c r="AG667" s="907"/>
      <c r="AH667" s="907"/>
      <c r="AI667" s="907"/>
      <c r="AJ667" s="907"/>
      <c r="AK667" s="907"/>
      <c r="AL667" s="907"/>
      <c r="AM667" s="907"/>
    </row>
    <row r="668" spans="1:39">
      <c r="A668" s="907"/>
      <c r="B668" s="907"/>
      <c r="C668" s="907"/>
      <c r="D668" s="907"/>
      <c r="E668" s="907"/>
      <c r="F668" s="907"/>
      <c r="G668" s="907"/>
      <c r="H668" s="907"/>
      <c r="I668" s="907"/>
      <c r="J668" s="907"/>
      <c r="K668" s="907"/>
      <c r="L668" s="907"/>
      <c r="M668" s="907"/>
      <c r="N668" s="907"/>
      <c r="O668" s="907"/>
      <c r="P668" s="907"/>
      <c r="Q668" s="907"/>
      <c r="R668" s="907"/>
      <c r="S668" s="907"/>
      <c r="T668" s="907"/>
      <c r="U668" s="907"/>
      <c r="V668" s="907"/>
      <c r="W668" s="907"/>
      <c r="X668" s="907"/>
      <c r="Y668" s="907"/>
      <c r="Z668" s="907"/>
      <c r="AA668" s="907"/>
      <c r="AB668" s="907"/>
      <c r="AC668" s="907"/>
      <c r="AD668" s="907"/>
      <c r="AE668" s="907"/>
      <c r="AF668" s="907"/>
      <c r="AG668" s="907"/>
      <c r="AH668" s="907"/>
      <c r="AI668" s="907"/>
      <c r="AJ668" s="907"/>
      <c r="AK668" s="907"/>
      <c r="AL668" s="907"/>
      <c r="AM668" s="907"/>
    </row>
    <row r="669" spans="1:39">
      <c r="A669" s="907"/>
      <c r="B669" s="907"/>
      <c r="C669" s="907"/>
      <c r="D669" s="907"/>
      <c r="E669" s="907"/>
      <c r="F669" s="907"/>
      <c r="G669" s="907"/>
      <c r="H669" s="907"/>
      <c r="I669" s="907"/>
      <c r="J669" s="907"/>
      <c r="K669" s="907"/>
      <c r="L669" s="907"/>
      <c r="M669" s="907"/>
      <c r="N669" s="907"/>
      <c r="O669" s="907"/>
      <c r="P669" s="907"/>
      <c r="Q669" s="907"/>
      <c r="R669" s="907"/>
      <c r="S669" s="907"/>
      <c r="T669" s="907"/>
      <c r="U669" s="907"/>
      <c r="V669" s="907"/>
      <c r="W669" s="907"/>
      <c r="X669" s="907"/>
      <c r="Y669" s="907"/>
      <c r="Z669" s="907"/>
      <c r="AA669" s="907"/>
      <c r="AB669" s="907"/>
      <c r="AC669" s="907"/>
      <c r="AD669" s="907"/>
      <c r="AE669" s="907"/>
      <c r="AF669" s="907"/>
      <c r="AG669" s="907"/>
      <c r="AH669" s="907"/>
      <c r="AI669" s="907"/>
      <c r="AJ669" s="907"/>
      <c r="AK669" s="907"/>
      <c r="AL669" s="907"/>
      <c r="AM669" s="907"/>
    </row>
    <row r="670" spans="1:39">
      <c r="A670" s="907"/>
      <c r="B670" s="907"/>
      <c r="C670" s="907"/>
      <c r="D670" s="907"/>
      <c r="E670" s="907"/>
      <c r="F670" s="907"/>
      <c r="G670" s="907"/>
      <c r="H670" s="907"/>
      <c r="I670" s="907"/>
      <c r="J670" s="907"/>
      <c r="K670" s="907"/>
      <c r="L670" s="907"/>
      <c r="M670" s="907"/>
      <c r="N670" s="907"/>
      <c r="O670" s="907"/>
      <c r="P670" s="907"/>
      <c r="Q670" s="907"/>
      <c r="R670" s="907"/>
      <c r="S670" s="907"/>
      <c r="T670" s="907"/>
      <c r="U670" s="907"/>
      <c r="V670" s="907"/>
      <c r="W670" s="907"/>
      <c r="X670" s="907"/>
      <c r="Y670" s="907"/>
      <c r="Z670" s="907"/>
      <c r="AA670" s="907"/>
      <c r="AB670" s="907"/>
      <c r="AC670" s="907"/>
      <c r="AD670" s="907"/>
      <c r="AE670" s="907"/>
      <c r="AF670" s="907"/>
      <c r="AG670" s="907"/>
      <c r="AH670" s="907"/>
      <c r="AI670" s="907"/>
      <c r="AJ670" s="907"/>
      <c r="AK670" s="907"/>
      <c r="AL670" s="907"/>
      <c r="AM670" s="907"/>
    </row>
    <row r="671" spans="1:39">
      <c r="A671" s="907"/>
      <c r="B671" s="907"/>
      <c r="C671" s="907"/>
      <c r="D671" s="907"/>
      <c r="E671" s="907"/>
      <c r="F671" s="907"/>
      <c r="G671" s="907"/>
      <c r="H671" s="907"/>
      <c r="I671" s="907"/>
      <c r="J671" s="907"/>
      <c r="K671" s="907"/>
      <c r="L671" s="907"/>
      <c r="M671" s="907"/>
      <c r="N671" s="907"/>
      <c r="O671" s="907"/>
      <c r="P671" s="907"/>
      <c r="Q671" s="907"/>
      <c r="R671" s="907"/>
      <c r="S671" s="907"/>
      <c r="T671" s="907"/>
      <c r="U671" s="907"/>
      <c r="V671" s="907"/>
      <c r="W671" s="907"/>
      <c r="X671" s="907"/>
      <c r="Y671" s="907"/>
      <c r="Z671" s="907"/>
      <c r="AA671" s="907"/>
      <c r="AB671" s="907"/>
      <c r="AC671" s="907"/>
      <c r="AD671" s="907"/>
      <c r="AE671" s="907"/>
      <c r="AF671" s="907"/>
      <c r="AG671" s="907"/>
      <c r="AH671" s="907"/>
      <c r="AI671" s="907"/>
      <c r="AJ671" s="907"/>
      <c r="AK671" s="907"/>
      <c r="AL671" s="907"/>
      <c r="AM671" s="907"/>
    </row>
    <row r="672" spans="1:39">
      <c r="A672" s="907"/>
      <c r="B672" s="907"/>
      <c r="C672" s="907"/>
      <c r="D672" s="907"/>
      <c r="E672" s="907"/>
      <c r="F672" s="907"/>
      <c r="G672" s="907"/>
      <c r="H672" s="907"/>
      <c r="I672" s="907"/>
      <c r="J672" s="907"/>
      <c r="K672" s="907"/>
      <c r="L672" s="907"/>
      <c r="M672" s="907"/>
      <c r="N672" s="907"/>
      <c r="O672" s="907"/>
      <c r="P672" s="907"/>
      <c r="Q672" s="907"/>
      <c r="R672" s="907"/>
      <c r="S672" s="907"/>
      <c r="T672" s="907"/>
      <c r="U672" s="907"/>
      <c r="V672" s="907"/>
      <c r="W672" s="907"/>
      <c r="X672" s="907"/>
      <c r="Y672" s="907"/>
      <c r="Z672" s="907"/>
      <c r="AA672" s="907"/>
      <c r="AB672" s="907"/>
      <c r="AC672" s="907"/>
      <c r="AD672" s="907"/>
      <c r="AE672" s="907"/>
      <c r="AF672" s="907"/>
      <c r="AG672" s="907"/>
      <c r="AH672" s="907"/>
      <c r="AI672" s="907"/>
      <c r="AJ672" s="907"/>
      <c r="AK672" s="907"/>
      <c r="AL672" s="907"/>
      <c r="AM672" s="907"/>
    </row>
    <row r="673" spans="1:39">
      <c r="A673" s="907"/>
      <c r="B673" s="907"/>
      <c r="C673" s="907"/>
      <c r="D673" s="907"/>
      <c r="E673" s="907"/>
      <c r="F673" s="907"/>
      <c r="G673" s="907"/>
      <c r="H673" s="907"/>
      <c r="I673" s="907"/>
      <c r="J673" s="907"/>
      <c r="K673" s="907"/>
      <c r="L673" s="907"/>
      <c r="M673" s="907"/>
      <c r="N673" s="907"/>
      <c r="O673" s="907"/>
      <c r="P673" s="907"/>
      <c r="Q673" s="907"/>
      <c r="R673" s="907"/>
      <c r="S673" s="907"/>
      <c r="T673" s="907"/>
      <c r="U673" s="907"/>
      <c r="V673" s="907"/>
      <c r="W673" s="907"/>
      <c r="X673" s="907"/>
      <c r="Y673" s="907"/>
      <c r="Z673" s="907"/>
      <c r="AA673" s="907"/>
      <c r="AB673" s="907"/>
      <c r="AC673" s="907"/>
      <c r="AD673" s="907"/>
      <c r="AE673" s="907"/>
      <c r="AF673" s="907"/>
      <c r="AG673" s="907"/>
      <c r="AH673" s="907"/>
      <c r="AI673" s="907"/>
      <c r="AJ673" s="907"/>
      <c r="AK673" s="907"/>
      <c r="AL673" s="907"/>
      <c r="AM673" s="907"/>
    </row>
    <row r="674" spans="1:39">
      <c r="A674" s="907"/>
      <c r="B674" s="907"/>
      <c r="C674" s="907"/>
      <c r="D674" s="907"/>
      <c r="E674" s="907"/>
      <c r="F674" s="907"/>
      <c r="G674" s="907"/>
      <c r="H674" s="907"/>
      <c r="I674" s="907"/>
      <c r="J674" s="907"/>
      <c r="K674" s="907"/>
      <c r="L674" s="907"/>
      <c r="M674" s="907"/>
      <c r="N674" s="907"/>
      <c r="O674" s="907"/>
      <c r="P674" s="907"/>
      <c r="Q674" s="907"/>
      <c r="R674" s="907"/>
      <c r="S674" s="907"/>
      <c r="T674" s="907"/>
      <c r="U674" s="907"/>
      <c r="V674" s="907"/>
      <c r="W674" s="907"/>
      <c r="X674" s="907"/>
      <c r="Y674" s="907"/>
      <c r="Z674" s="907"/>
      <c r="AA674" s="907"/>
      <c r="AB674" s="907"/>
      <c r="AC674" s="907"/>
      <c r="AD674" s="907"/>
      <c r="AE674" s="907"/>
      <c r="AF674" s="907"/>
      <c r="AG674" s="907"/>
      <c r="AH674" s="907"/>
      <c r="AI674" s="907"/>
      <c r="AJ674" s="907"/>
      <c r="AK674" s="907"/>
      <c r="AL674" s="907"/>
      <c r="AM674" s="907"/>
    </row>
    <row r="675" spans="1:39">
      <c r="A675" s="907"/>
      <c r="B675" s="907"/>
      <c r="C675" s="907"/>
      <c r="D675" s="907"/>
      <c r="E675" s="907"/>
      <c r="F675" s="907"/>
      <c r="G675" s="907"/>
      <c r="H675" s="907"/>
      <c r="I675" s="907"/>
      <c r="J675" s="907"/>
      <c r="K675" s="907"/>
      <c r="L675" s="907"/>
      <c r="M675" s="907"/>
      <c r="N675" s="907"/>
      <c r="O675" s="907"/>
      <c r="P675" s="907"/>
      <c r="Q675" s="907"/>
      <c r="R675" s="907"/>
      <c r="S675" s="907"/>
      <c r="T675" s="907"/>
      <c r="U675" s="907"/>
      <c r="V675" s="907"/>
      <c r="W675" s="907"/>
      <c r="X675" s="907"/>
      <c r="Y675" s="907"/>
      <c r="Z675" s="907"/>
      <c r="AA675" s="907"/>
      <c r="AB675" s="907"/>
      <c r="AC675" s="907"/>
      <c r="AD675" s="907"/>
      <c r="AE675" s="907"/>
      <c r="AF675" s="907"/>
      <c r="AG675" s="907"/>
      <c r="AH675" s="907"/>
      <c r="AI675" s="907"/>
      <c r="AJ675" s="907"/>
      <c r="AK675" s="907"/>
      <c r="AL675" s="907"/>
      <c r="AM675" s="907"/>
    </row>
    <row r="676" spans="1:39">
      <c r="A676" s="907"/>
      <c r="B676" s="907"/>
      <c r="C676" s="907"/>
      <c r="D676" s="907"/>
      <c r="E676" s="907"/>
      <c r="F676" s="907"/>
      <c r="G676" s="907"/>
      <c r="H676" s="907"/>
      <c r="I676" s="907"/>
      <c r="J676" s="907"/>
      <c r="K676" s="907"/>
      <c r="L676" s="907"/>
      <c r="M676" s="907"/>
      <c r="N676" s="907"/>
      <c r="O676" s="907"/>
      <c r="P676" s="907"/>
      <c r="Q676" s="907"/>
      <c r="R676" s="907"/>
      <c r="S676" s="907"/>
      <c r="T676" s="907"/>
      <c r="U676" s="907"/>
      <c r="V676" s="907"/>
      <c r="W676" s="907"/>
      <c r="X676" s="907"/>
      <c r="Y676" s="907"/>
      <c r="Z676" s="907"/>
      <c r="AA676" s="907"/>
      <c r="AB676" s="907"/>
      <c r="AC676" s="907"/>
      <c r="AD676" s="907"/>
      <c r="AE676" s="907"/>
      <c r="AF676" s="907"/>
      <c r="AG676" s="907"/>
      <c r="AH676" s="907"/>
      <c r="AI676" s="907"/>
      <c r="AJ676" s="907"/>
      <c r="AK676" s="907"/>
      <c r="AL676" s="907"/>
      <c r="AM676" s="907"/>
    </row>
    <row r="677" spans="1:39">
      <c r="A677" s="907"/>
      <c r="B677" s="907"/>
      <c r="C677" s="907"/>
      <c r="D677" s="907"/>
      <c r="E677" s="907"/>
      <c r="F677" s="907"/>
      <c r="G677" s="907"/>
      <c r="H677" s="907"/>
      <c r="I677" s="907"/>
      <c r="J677" s="907"/>
      <c r="K677" s="907"/>
      <c r="L677" s="907"/>
      <c r="M677" s="907"/>
      <c r="N677" s="907"/>
      <c r="O677" s="907"/>
      <c r="P677" s="907"/>
      <c r="Q677" s="907"/>
      <c r="R677" s="907"/>
      <c r="S677" s="907"/>
      <c r="T677" s="907"/>
      <c r="U677" s="907"/>
      <c r="V677" s="907"/>
      <c r="W677" s="907"/>
      <c r="X677" s="907"/>
      <c r="Y677" s="907"/>
      <c r="Z677" s="907"/>
      <c r="AA677" s="907"/>
      <c r="AB677" s="907"/>
      <c r="AC677" s="907"/>
      <c r="AD677" s="907"/>
      <c r="AE677" s="907"/>
      <c r="AF677" s="907"/>
      <c r="AG677" s="907"/>
      <c r="AH677" s="907"/>
      <c r="AI677" s="907"/>
      <c r="AJ677" s="907"/>
      <c r="AK677" s="907"/>
      <c r="AL677" s="907"/>
      <c r="AM677" s="907"/>
    </row>
    <row r="678" spans="1:39">
      <c r="A678" s="907"/>
      <c r="B678" s="907"/>
      <c r="C678" s="907"/>
      <c r="D678" s="907"/>
      <c r="E678" s="907"/>
      <c r="F678" s="907"/>
      <c r="G678" s="907"/>
      <c r="H678" s="907"/>
      <c r="I678" s="907"/>
      <c r="J678" s="907"/>
      <c r="K678" s="907"/>
      <c r="L678" s="907"/>
      <c r="M678" s="907"/>
      <c r="N678" s="907"/>
      <c r="O678" s="907"/>
      <c r="P678" s="907"/>
      <c r="Q678" s="907"/>
      <c r="R678" s="907"/>
      <c r="S678" s="907"/>
      <c r="T678" s="907"/>
      <c r="U678" s="907"/>
      <c r="V678" s="907"/>
      <c r="W678" s="907"/>
      <c r="X678" s="907"/>
      <c r="Y678" s="907"/>
      <c r="Z678" s="907"/>
      <c r="AA678" s="907"/>
      <c r="AB678" s="907"/>
      <c r="AC678" s="907"/>
      <c r="AD678" s="907"/>
      <c r="AE678" s="907"/>
      <c r="AF678" s="907"/>
      <c r="AG678" s="907"/>
      <c r="AH678" s="907"/>
      <c r="AI678" s="907"/>
      <c r="AJ678" s="907"/>
      <c r="AK678" s="907"/>
      <c r="AL678" s="907"/>
      <c r="AM678" s="907"/>
    </row>
    <row r="679" spans="1:39">
      <c r="A679" s="907"/>
      <c r="B679" s="907"/>
      <c r="C679" s="907"/>
      <c r="D679" s="907"/>
      <c r="E679" s="907"/>
      <c r="F679" s="907"/>
      <c r="G679" s="907"/>
      <c r="H679" s="907"/>
      <c r="I679" s="907"/>
      <c r="J679" s="907"/>
      <c r="K679" s="907"/>
      <c r="L679" s="907"/>
      <c r="M679" s="907"/>
      <c r="N679" s="907"/>
      <c r="O679" s="907"/>
      <c r="P679" s="907"/>
      <c r="Q679" s="907"/>
      <c r="R679" s="907"/>
      <c r="S679" s="907"/>
      <c r="T679" s="907"/>
      <c r="U679" s="907"/>
      <c r="V679" s="907"/>
      <c r="W679" s="907"/>
      <c r="X679" s="907"/>
      <c r="Y679" s="907"/>
      <c r="Z679" s="907"/>
      <c r="AA679" s="907"/>
      <c r="AB679" s="907"/>
      <c r="AC679" s="907"/>
      <c r="AD679" s="907"/>
      <c r="AE679" s="907"/>
      <c r="AF679" s="907"/>
      <c r="AG679" s="907"/>
      <c r="AH679" s="907"/>
      <c r="AI679" s="907"/>
      <c r="AJ679" s="907"/>
      <c r="AK679" s="907"/>
      <c r="AL679" s="907"/>
      <c r="AM679" s="907"/>
    </row>
    <row r="680" spans="1:39">
      <c r="A680" s="907"/>
      <c r="B680" s="907"/>
      <c r="C680" s="907"/>
      <c r="D680" s="907"/>
      <c r="E680" s="907"/>
      <c r="F680" s="907"/>
      <c r="G680" s="907"/>
      <c r="H680" s="907"/>
      <c r="I680" s="907"/>
      <c r="J680" s="907"/>
      <c r="K680" s="907"/>
      <c r="L680" s="907"/>
      <c r="M680" s="907"/>
      <c r="N680" s="907"/>
      <c r="O680" s="907"/>
      <c r="P680" s="907"/>
      <c r="Q680" s="907"/>
      <c r="R680" s="907"/>
      <c r="S680" s="907"/>
      <c r="T680" s="907"/>
      <c r="U680" s="907"/>
      <c r="V680" s="907"/>
      <c r="W680" s="907"/>
      <c r="X680" s="907"/>
      <c r="Y680" s="907"/>
      <c r="Z680" s="907"/>
      <c r="AA680" s="907"/>
      <c r="AB680" s="907"/>
      <c r="AC680" s="907"/>
      <c r="AD680" s="907"/>
      <c r="AE680" s="907"/>
      <c r="AF680" s="907"/>
      <c r="AG680" s="907"/>
      <c r="AH680" s="907"/>
      <c r="AI680" s="907"/>
      <c r="AJ680" s="907"/>
      <c r="AK680" s="907"/>
      <c r="AL680" s="907"/>
      <c r="AM680" s="907"/>
    </row>
    <row r="681" spans="1:39">
      <c r="A681" s="907"/>
      <c r="B681" s="907"/>
      <c r="C681" s="907"/>
      <c r="D681" s="907"/>
      <c r="E681" s="907"/>
      <c r="F681" s="907"/>
      <c r="G681" s="907"/>
      <c r="H681" s="907"/>
      <c r="I681" s="907"/>
      <c r="J681" s="907"/>
      <c r="K681" s="907"/>
      <c r="L681" s="907"/>
      <c r="M681" s="907"/>
      <c r="N681" s="907"/>
      <c r="O681" s="907"/>
      <c r="P681" s="907"/>
      <c r="Q681" s="907"/>
      <c r="R681" s="907"/>
      <c r="S681" s="907"/>
      <c r="T681" s="907"/>
      <c r="U681" s="907"/>
      <c r="V681" s="907"/>
      <c r="W681" s="907"/>
      <c r="X681" s="907"/>
      <c r="Y681" s="907"/>
      <c r="Z681" s="907"/>
      <c r="AA681" s="907"/>
      <c r="AB681" s="907"/>
      <c r="AC681" s="907"/>
      <c r="AD681" s="907"/>
      <c r="AE681" s="907"/>
      <c r="AF681" s="907"/>
      <c r="AG681" s="907"/>
      <c r="AH681" s="907"/>
      <c r="AI681" s="907"/>
      <c r="AJ681" s="907"/>
      <c r="AK681" s="907"/>
      <c r="AL681" s="907"/>
      <c r="AM681" s="907"/>
    </row>
    <row r="682" spans="1:39">
      <c r="A682" s="907"/>
      <c r="B682" s="907"/>
      <c r="C682" s="907"/>
      <c r="D682" s="907"/>
      <c r="E682" s="907"/>
      <c r="F682" s="907"/>
      <c r="G682" s="907"/>
      <c r="H682" s="907"/>
      <c r="I682" s="907"/>
      <c r="J682" s="907"/>
      <c r="K682" s="907"/>
      <c r="L682" s="907"/>
      <c r="M682" s="907"/>
      <c r="N682" s="907"/>
      <c r="O682" s="907"/>
      <c r="P682" s="907"/>
      <c r="Q682" s="907"/>
      <c r="R682" s="907"/>
      <c r="S682" s="907"/>
      <c r="T682" s="907"/>
      <c r="U682" s="907"/>
      <c r="V682" s="907"/>
      <c r="W682" s="907"/>
      <c r="X682" s="907"/>
      <c r="Y682" s="907"/>
      <c r="Z682" s="907"/>
      <c r="AA682" s="907"/>
      <c r="AB682" s="907"/>
      <c r="AC682" s="907"/>
      <c r="AD682" s="907"/>
      <c r="AE682" s="907"/>
      <c r="AF682" s="907"/>
      <c r="AG682" s="907"/>
      <c r="AH682" s="907"/>
      <c r="AI682" s="907"/>
      <c r="AJ682" s="907"/>
      <c r="AK682" s="907"/>
      <c r="AL682" s="907"/>
      <c r="AM682" s="907"/>
    </row>
    <row r="683" spans="1:39">
      <c r="A683" s="907"/>
      <c r="B683" s="907"/>
      <c r="C683" s="907"/>
      <c r="D683" s="907"/>
      <c r="E683" s="907"/>
      <c r="F683" s="907"/>
      <c r="G683" s="907"/>
      <c r="H683" s="907"/>
      <c r="I683" s="907"/>
      <c r="J683" s="907"/>
      <c r="K683" s="907"/>
      <c r="L683" s="907"/>
      <c r="M683" s="907"/>
      <c r="N683" s="907"/>
      <c r="O683" s="907"/>
      <c r="P683" s="907"/>
      <c r="Q683" s="907"/>
      <c r="R683" s="907"/>
      <c r="S683" s="907"/>
      <c r="T683" s="907"/>
      <c r="U683" s="907"/>
      <c r="V683" s="907"/>
      <c r="W683" s="907"/>
      <c r="X683" s="907"/>
      <c r="Y683" s="907"/>
      <c r="Z683" s="907"/>
      <c r="AA683" s="907"/>
      <c r="AB683" s="907"/>
      <c r="AC683" s="907"/>
      <c r="AD683" s="907"/>
      <c r="AE683" s="907"/>
      <c r="AF683" s="907"/>
      <c r="AG683" s="907"/>
      <c r="AH683" s="907"/>
      <c r="AI683" s="907"/>
      <c r="AJ683" s="907"/>
      <c r="AK683" s="907"/>
      <c r="AL683" s="907"/>
      <c r="AM683" s="907"/>
    </row>
    <row r="684" spans="1:39">
      <c r="A684" s="907"/>
      <c r="B684" s="907"/>
      <c r="C684" s="907"/>
      <c r="D684" s="907"/>
      <c r="E684" s="907"/>
      <c r="F684" s="907"/>
      <c r="G684" s="907"/>
      <c r="H684" s="907"/>
      <c r="I684" s="907"/>
      <c r="J684" s="907"/>
      <c r="K684" s="907"/>
      <c r="L684" s="907"/>
      <c r="M684" s="907"/>
      <c r="N684" s="907"/>
      <c r="O684" s="907"/>
      <c r="P684" s="907"/>
      <c r="Q684" s="907"/>
      <c r="R684" s="907"/>
      <c r="S684" s="907"/>
      <c r="T684" s="907"/>
      <c r="U684" s="907"/>
      <c r="V684" s="907"/>
      <c r="W684" s="907"/>
      <c r="X684" s="907"/>
      <c r="Y684" s="907"/>
      <c r="Z684" s="907"/>
      <c r="AA684" s="907"/>
      <c r="AB684" s="907"/>
      <c r="AC684" s="907"/>
      <c r="AD684" s="907"/>
      <c r="AE684" s="907"/>
      <c r="AF684" s="907"/>
      <c r="AG684" s="907"/>
      <c r="AH684" s="907"/>
      <c r="AI684" s="907"/>
      <c r="AJ684" s="907"/>
      <c r="AK684" s="907"/>
      <c r="AL684" s="907"/>
      <c r="AM684" s="907"/>
    </row>
    <row r="685" spans="1:39">
      <c r="A685" s="907"/>
      <c r="B685" s="907"/>
      <c r="C685" s="907"/>
      <c r="D685" s="907"/>
      <c r="E685" s="907"/>
      <c r="F685" s="907"/>
      <c r="G685" s="907"/>
      <c r="H685" s="907"/>
      <c r="I685" s="907"/>
      <c r="J685" s="907"/>
      <c r="K685" s="907"/>
      <c r="L685" s="907"/>
      <c r="M685" s="907"/>
      <c r="N685" s="907"/>
      <c r="O685" s="907"/>
      <c r="P685" s="907"/>
      <c r="Q685" s="907"/>
      <c r="R685" s="907"/>
      <c r="S685" s="907"/>
      <c r="T685" s="907"/>
      <c r="U685" s="907"/>
      <c r="V685" s="907"/>
      <c r="W685" s="907"/>
      <c r="X685" s="907"/>
      <c r="Y685" s="907"/>
      <c r="Z685" s="907"/>
      <c r="AA685" s="907"/>
      <c r="AB685" s="907"/>
      <c r="AC685" s="907"/>
      <c r="AD685" s="907"/>
      <c r="AE685" s="907"/>
      <c r="AF685" s="907"/>
      <c r="AG685" s="907"/>
      <c r="AH685" s="907"/>
      <c r="AI685" s="907"/>
      <c r="AJ685" s="907"/>
      <c r="AK685" s="907"/>
      <c r="AL685" s="907"/>
      <c r="AM685" s="907"/>
    </row>
    <row r="686" spans="1:39">
      <c r="A686" s="907"/>
      <c r="B686" s="907"/>
      <c r="C686" s="907"/>
      <c r="D686" s="907"/>
      <c r="E686" s="907"/>
      <c r="F686" s="907"/>
      <c r="G686" s="907"/>
      <c r="H686" s="907"/>
      <c r="I686" s="907"/>
      <c r="J686" s="907"/>
      <c r="K686" s="907"/>
      <c r="L686" s="907"/>
      <c r="M686" s="907"/>
      <c r="N686" s="907"/>
      <c r="O686" s="907"/>
      <c r="P686" s="907"/>
      <c r="Q686" s="907"/>
      <c r="R686" s="907"/>
      <c r="S686" s="907"/>
      <c r="T686" s="907"/>
      <c r="U686" s="907"/>
      <c r="V686" s="907"/>
      <c r="W686" s="907"/>
      <c r="X686" s="907"/>
      <c r="Y686" s="907"/>
      <c r="Z686" s="907"/>
      <c r="AA686" s="907"/>
      <c r="AB686" s="907"/>
      <c r="AC686" s="907"/>
      <c r="AD686" s="907"/>
      <c r="AE686" s="907"/>
      <c r="AF686" s="907"/>
      <c r="AG686" s="907"/>
      <c r="AH686" s="907"/>
      <c r="AI686" s="907"/>
      <c r="AJ686" s="907"/>
      <c r="AK686" s="907"/>
      <c r="AL686" s="907"/>
      <c r="AM686" s="907"/>
    </row>
    <row r="687" spans="1:39">
      <c r="A687" s="907"/>
      <c r="B687" s="907"/>
      <c r="C687" s="907"/>
      <c r="D687" s="907"/>
      <c r="E687" s="907"/>
      <c r="F687" s="907"/>
      <c r="G687" s="907"/>
      <c r="H687" s="907"/>
      <c r="I687" s="907"/>
      <c r="J687" s="907"/>
      <c r="K687" s="907"/>
      <c r="L687" s="907"/>
      <c r="M687" s="907"/>
      <c r="N687" s="907"/>
      <c r="O687" s="907"/>
      <c r="P687" s="907"/>
      <c r="Q687" s="907"/>
      <c r="R687" s="907"/>
      <c r="S687" s="907"/>
      <c r="T687" s="907"/>
      <c r="U687" s="907"/>
      <c r="V687" s="907"/>
      <c r="W687" s="907"/>
      <c r="X687" s="907"/>
      <c r="Y687" s="907"/>
      <c r="Z687" s="907"/>
      <c r="AA687" s="907"/>
      <c r="AB687" s="907"/>
      <c r="AC687" s="907"/>
      <c r="AD687" s="907"/>
      <c r="AE687" s="907"/>
      <c r="AF687" s="907"/>
      <c r="AG687" s="907"/>
      <c r="AH687" s="907"/>
      <c r="AI687" s="907"/>
      <c r="AJ687" s="907"/>
      <c r="AK687" s="907"/>
      <c r="AL687" s="907"/>
      <c r="AM687" s="907"/>
    </row>
    <row r="688" spans="1:39">
      <c r="A688" s="907"/>
      <c r="B688" s="907"/>
      <c r="C688" s="907"/>
      <c r="D688" s="907"/>
      <c r="E688" s="907"/>
      <c r="F688" s="907"/>
      <c r="G688" s="907"/>
      <c r="H688" s="907"/>
      <c r="I688" s="907"/>
      <c r="J688" s="907"/>
      <c r="K688" s="907"/>
      <c r="L688" s="907"/>
      <c r="M688" s="907"/>
      <c r="N688" s="907"/>
      <c r="O688" s="907"/>
      <c r="P688" s="907"/>
      <c r="Q688" s="907"/>
      <c r="R688" s="907"/>
      <c r="S688" s="907"/>
      <c r="T688" s="907"/>
      <c r="U688" s="907"/>
      <c r="V688" s="907"/>
      <c r="W688" s="907"/>
      <c r="X688" s="907"/>
      <c r="Y688" s="907"/>
      <c r="Z688" s="907"/>
      <c r="AA688" s="907"/>
      <c r="AB688" s="907"/>
      <c r="AC688" s="907"/>
      <c r="AD688" s="907"/>
      <c r="AE688" s="907"/>
      <c r="AF688" s="907"/>
      <c r="AG688" s="907"/>
      <c r="AH688" s="907"/>
      <c r="AI688" s="907"/>
      <c r="AJ688" s="907"/>
      <c r="AK688" s="907"/>
      <c r="AL688" s="907"/>
      <c r="AM688" s="907"/>
    </row>
    <row r="689" spans="1:39">
      <c r="A689" s="907"/>
      <c r="B689" s="907"/>
      <c r="C689" s="907"/>
      <c r="D689" s="907"/>
      <c r="E689" s="907"/>
      <c r="F689" s="907"/>
      <c r="G689" s="907"/>
      <c r="H689" s="907"/>
      <c r="I689" s="907"/>
      <c r="J689" s="907"/>
      <c r="K689" s="907"/>
      <c r="L689" s="907"/>
      <c r="M689" s="907"/>
      <c r="N689" s="907"/>
      <c r="O689" s="907"/>
      <c r="P689" s="907"/>
      <c r="Q689" s="907"/>
      <c r="R689" s="907"/>
      <c r="S689" s="907"/>
      <c r="T689" s="907"/>
      <c r="U689" s="907"/>
      <c r="V689" s="907"/>
      <c r="W689" s="907"/>
      <c r="X689" s="907"/>
      <c r="Y689" s="907"/>
      <c r="Z689" s="907"/>
      <c r="AA689" s="907"/>
      <c r="AB689" s="907"/>
      <c r="AC689" s="907"/>
      <c r="AD689" s="907"/>
      <c r="AE689" s="907"/>
      <c r="AF689" s="907"/>
      <c r="AG689" s="907"/>
      <c r="AH689" s="907"/>
      <c r="AI689" s="907"/>
      <c r="AJ689" s="907"/>
      <c r="AK689" s="907"/>
      <c r="AL689" s="907"/>
      <c r="AM689" s="907"/>
    </row>
    <row r="690" spans="1:39">
      <c r="A690" s="907"/>
      <c r="B690" s="907"/>
      <c r="C690" s="907"/>
      <c r="D690" s="907"/>
      <c r="E690" s="907"/>
      <c r="F690" s="907"/>
      <c r="G690" s="907"/>
      <c r="H690" s="907"/>
      <c r="I690" s="907"/>
      <c r="J690" s="907"/>
      <c r="K690" s="907"/>
      <c r="L690" s="907"/>
      <c r="M690" s="907"/>
      <c r="N690" s="907"/>
      <c r="O690" s="907"/>
      <c r="P690" s="907"/>
      <c r="Q690" s="907"/>
      <c r="R690" s="907"/>
      <c r="S690" s="907"/>
      <c r="T690" s="907"/>
      <c r="U690" s="907"/>
      <c r="V690" s="907"/>
      <c r="W690" s="907"/>
      <c r="X690" s="907"/>
      <c r="Y690" s="907"/>
      <c r="Z690" s="907"/>
      <c r="AA690" s="907"/>
      <c r="AB690" s="907"/>
      <c r="AC690" s="907"/>
      <c r="AD690" s="907"/>
      <c r="AE690" s="907"/>
      <c r="AF690" s="907"/>
      <c r="AG690" s="907"/>
      <c r="AH690" s="907"/>
      <c r="AI690" s="907"/>
      <c r="AJ690" s="907"/>
      <c r="AK690" s="907"/>
      <c r="AL690" s="907"/>
      <c r="AM690" s="907"/>
    </row>
    <row r="691" spans="1:39">
      <c r="A691" s="907"/>
      <c r="B691" s="907"/>
      <c r="C691" s="907"/>
      <c r="D691" s="907"/>
      <c r="E691" s="907"/>
      <c r="F691" s="907"/>
      <c r="G691" s="907"/>
      <c r="H691" s="907"/>
      <c r="I691" s="907"/>
      <c r="J691" s="907"/>
      <c r="K691" s="907"/>
      <c r="L691" s="907"/>
      <c r="M691" s="907"/>
      <c r="N691" s="907"/>
      <c r="O691" s="907"/>
      <c r="P691" s="907"/>
      <c r="Q691" s="907"/>
      <c r="R691" s="907"/>
      <c r="S691" s="907"/>
      <c r="T691" s="907"/>
      <c r="U691" s="907"/>
      <c r="V691" s="907"/>
      <c r="W691" s="907"/>
      <c r="X691" s="907"/>
      <c r="Y691" s="907"/>
      <c r="Z691" s="907"/>
      <c r="AA691" s="907"/>
      <c r="AB691" s="907"/>
      <c r="AC691" s="907"/>
      <c r="AD691" s="907"/>
      <c r="AE691" s="907"/>
      <c r="AF691" s="907"/>
      <c r="AG691" s="907"/>
      <c r="AH691" s="907"/>
      <c r="AI691" s="907"/>
      <c r="AJ691" s="907"/>
      <c r="AK691" s="907"/>
      <c r="AL691" s="907"/>
      <c r="AM691" s="907"/>
    </row>
    <row r="692" spans="1:39">
      <c r="A692" s="907"/>
      <c r="B692" s="907"/>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c r="AB692" s="907"/>
      <c r="AC692" s="907"/>
      <c r="AD692" s="907"/>
      <c r="AE692" s="907"/>
      <c r="AF692" s="907"/>
      <c r="AG692" s="907"/>
      <c r="AH692" s="907"/>
      <c r="AI692" s="907"/>
      <c r="AJ692" s="907"/>
      <c r="AK692" s="907"/>
      <c r="AL692" s="907"/>
      <c r="AM692" s="907"/>
    </row>
    <row r="693" spans="1:39">
      <c r="A693" s="907"/>
      <c r="B693" s="907"/>
      <c r="C693" s="907"/>
      <c r="D693" s="907"/>
      <c r="E693" s="907"/>
      <c r="F693" s="907"/>
      <c r="G693" s="907"/>
      <c r="H693" s="907"/>
      <c r="I693" s="907"/>
      <c r="J693" s="907"/>
      <c r="K693" s="907"/>
      <c r="L693" s="907"/>
      <c r="M693" s="907"/>
      <c r="N693" s="907"/>
      <c r="O693" s="907"/>
      <c r="P693" s="907"/>
      <c r="Q693" s="907"/>
      <c r="R693" s="907"/>
      <c r="S693" s="907"/>
      <c r="T693" s="907"/>
      <c r="U693" s="907"/>
      <c r="V693" s="907"/>
      <c r="W693" s="907"/>
      <c r="X693" s="907"/>
      <c r="Y693" s="907"/>
      <c r="Z693" s="907"/>
      <c r="AA693" s="907"/>
      <c r="AB693" s="907"/>
      <c r="AC693" s="907"/>
      <c r="AD693" s="907"/>
      <c r="AE693" s="907"/>
      <c r="AF693" s="907"/>
      <c r="AG693" s="907"/>
      <c r="AH693" s="907"/>
      <c r="AI693" s="907"/>
      <c r="AJ693" s="907"/>
      <c r="AK693" s="907"/>
      <c r="AL693" s="907"/>
      <c r="AM693" s="907"/>
    </row>
    <row r="694" spans="1:39">
      <c r="A694" s="907"/>
      <c r="B694" s="907"/>
      <c r="C694" s="907"/>
      <c r="D694" s="907"/>
      <c r="E694" s="907"/>
      <c r="F694" s="907"/>
      <c r="G694" s="907"/>
      <c r="H694" s="907"/>
      <c r="I694" s="907"/>
      <c r="J694" s="907"/>
      <c r="K694" s="907"/>
      <c r="L694" s="907"/>
      <c r="M694" s="907"/>
      <c r="N694" s="907"/>
      <c r="O694" s="907"/>
      <c r="P694" s="907"/>
      <c r="Q694" s="907"/>
      <c r="R694" s="907"/>
      <c r="S694" s="907"/>
      <c r="T694" s="907"/>
      <c r="U694" s="907"/>
      <c r="V694" s="907"/>
      <c r="W694" s="907"/>
      <c r="X694" s="907"/>
      <c r="Y694" s="907"/>
      <c r="Z694" s="907"/>
      <c r="AA694" s="907"/>
      <c r="AB694" s="907"/>
      <c r="AC694" s="907"/>
      <c r="AD694" s="907"/>
      <c r="AE694" s="907"/>
      <c r="AF694" s="907"/>
      <c r="AG694" s="907"/>
      <c r="AH694" s="907"/>
      <c r="AI694" s="907"/>
      <c r="AJ694" s="907"/>
      <c r="AK694" s="907"/>
      <c r="AL694" s="907"/>
      <c r="AM694" s="907"/>
    </row>
    <row r="695" spans="1:39">
      <c r="A695" s="907"/>
      <c r="B695" s="907"/>
      <c r="C695" s="907"/>
      <c r="D695" s="907"/>
      <c r="E695" s="907"/>
      <c r="F695" s="907"/>
      <c r="G695" s="907"/>
      <c r="H695" s="907"/>
      <c r="I695" s="907"/>
      <c r="J695" s="907"/>
      <c r="K695" s="907"/>
      <c r="L695" s="907"/>
      <c r="M695" s="907"/>
      <c r="N695" s="907"/>
      <c r="O695" s="907"/>
      <c r="P695" s="907"/>
      <c r="Q695" s="907"/>
      <c r="R695" s="907"/>
      <c r="S695" s="907"/>
      <c r="T695" s="907"/>
      <c r="U695" s="907"/>
      <c r="V695" s="907"/>
      <c r="W695" s="907"/>
      <c r="X695" s="907"/>
      <c r="Y695" s="907"/>
      <c r="Z695" s="907"/>
      <c r="AA695" s="907"/>
      <c r="AB695" s="907"/>
      <c r="AC695" s="907"/>
      <c r="AD695" s="907"/>
      <c r="AE695" s="907"/>
      <c r="AF695" s="907"/>
      <c r="AG695" s="907"/>
      <c r="AH695" s="907"/>
      <c r="AI695" s="907"/>
      <c r="AJ695" s="907"/>
      <c r="AK695" s="907"/>
      <c r="AL695" s="907"/>
      <c r="AM695" s="907"/>
    </row>
    <row r="696" spans="1:39">
      <c r="A696" s="907"/>
      <c r="B696" s="907"/>
      <c r="C696" s="907"/>
      <c r="D696" s="907"/>
      <c r="E696" s="907"/>
      <c r="F696" s="907"/>
      <c r="G696" s="907"/>
      <c r="H696" s="907"/>
      <c r="I696" s="907"/>
      <c r="J696" s="907"/>
      <c r="K696" s="907"/>
      <c r="L696" s="907"/>
      <c r="M696" s="907"/>
      <c r="N696" s="907"/>
      <c r="O696" s="907"/>
      <c r="P696" s="907"/>
      <c r="Q696" s="907"/>
      <c r="R696" s="907"/>
      <c r="S696" s="907"/>
      <c r="T696" s="907"/>
      <c r="U696" s="907"/>
      <c r="V696" s="907"/>
      <c r="W696" s="907"/>
      <c r="X696" s="907"/>
      <c r="Y696" s="907"/>
      <c r="Z696" s="907"/>
      <c r="AA696" s="907"/>
      <c r="AB696" s="907"/>
      <c r="AC696" s="907"/>
      <c r="AD696" s="907"/>
      <c r="AE696" s="907"/>
      <c r="AF696" s="907"/>
      <c r="AG696" s="907"/>
      <c r="AH696" s="907"/>
      <c r="AI696" s="907"/>
      <c r="AJ696" s="907"/>
      <c r="AK696" s="907"/>
      <c r="AL696" s="907"/>
      <c r="AM696" s="907"/>
    </row>
    <row r="697" spans="1:39">
      <c r="A697" s="907"/>
      <c r="B697" s="907"/>
      <c r="C697" s="907"/>
      <c r="D697" s="907"/>
      <c r="E697" s="907"/>
      <c r="F697" s="907"/>
      <c r="G697" s="907"/>
      <c r="H697" s="907"/>
      <c r="I697" s="907"/>
      <c r="J697" s="907"/>
      <c r="K697" s="907"/>
      <c r="L697" s="907"/>
      <c r="M697" s="907"/>
      <c r="N697" s="907"/>
      <c r="O697" s="907"/>
      <c r="P697" s="907"/>
      <c r="Q697" s="907"/>
      <c r="R697" s="907"/>
      <c r="S697" s="907"/>
      <c r="T697" s="907"/>
      <c r="U697" s="907"/>
      <c r="V697" s="907"/>
      <c r="W697" s="907"/>
      <c r="X697" s="907"/>
      <c r="Y697" s="907"/>
      <c r="Z697" s="907"/>
      <c r="AA697" s="907"/>
      <c r="AB697" s="907"/>
      <c r="AC697" s="907"/>
      <c r="AD697" s="907"/>
      <c r="AE697" s="907"/>
      <c r="AF697" s="907"/>
      <c r="AG697" s="907"/>
      <c r="AH697" s="907"/>
      <c r="AI697" s="907"/>
      <c r="AJ697" s="907"/>
      <c r="AK697" s="907"/>
      <c r="AL697" s="907"/>
      <c r="AM697" s="907"/>
    </row>
    <row r="698" spans="1:39">
      <c r="A698" s="907"/>
      <c r="B698" s="907"/>
      <c r="C698" s="907"/>
      <c r="D698" s="907"/>
      <c r="E698" s="907"/>
      <c r="F698" s="907"/>
      <c r="G698" s="907"/>
      <c r="H698" s="907"/>
      <c r="I698" s="907"/>
      <c r="J698" s="907"/>
      <c r="K698" s="907"/>
      <c r="L698" s="907"/>
      <c r="M698" s="907"/>
      <c r="N698" s="907"/>
      <c r="O698" s="907"/>
      <c r="P698" s="907"/>
      <c r="Q698" s="907"/>
      <c r="R698" s="907"/>
      <c r="S698" s="907"/>
      <c r="T698" s="907"/>
      <c r="U698" s="907"/>
      <c r="V698" s="907"/>
      <c r="W698" s="907"/>
      <c r="X698" s="907"/>
      <c r="Y698" s="907"/>
      <c r="Z698" s="907"/>
      <c r="AA698" s="907"/>
      <c r="AB698" s="907"/>
      <c r="AC698" s="907"/>
      <c r="AD698" s="907"/>
      <c r="AE698" s="907"/>
      <c r="AF698" s="907"/>
      <c r="AG698" s="907"/>
      <c r="AH698" s="907"/>
      <c r="AI698" s="907"/>
      <c r="AJ698" s="907"/>
      <c r="AK698" s="907"/>
      <c r="AL698" s="907"/>
      <c r="AM698" s="907"/>
    </row>
    <row r="699" spans="1:39">
      <c r="A699" s="907"/>
      <c r="B699" s="907"/>
      <c r="C699" s="907"/>
      <c r="D699" s="907"/>
      <c r="E699" s="907"/>
      <c r="F699" s="907"/>
      <c r="G699" s="907"/>
      <c r="H699" s="907"/>
      <c r="I699" s="907"/>
      <c r="J699" s="907"/>
      <c r="K699" s="907"/>
      <c r="L699" s="907"/>
      <c r="M699" s="907"/>
      <c r="N699" s="907"/>
      <c r="O699" s="907"/>
      <c r="P699" s="907"/>
      <c r="Q699" s="907"/>
      <c r="R699" s="907"/>
      <c r="S699" s="907"/>
      <c r="T699" s="907"/>
      <c r="U699" s="907"/>
      <c r="V699" s="907"/>
      <c r="W699" s="907"/>
      <c r="X699" s="907"/>
      <c r="Y699" s="907"/>
      <c r="Z699" s="907"/>
      <c r="AA699" s="907"/>
      <c r="AB699" s="907"/>
      <c r="AC699" s="907"/>
      <c r="AD699" s="907"/>
      <c r="AE699" s="907"/>
      <c r="AF699" s="907"/>
      <c r="AG699" s="907"/>
      <c r="AH699" s="907"/>
      <c r="AI699" s="907"/>
      <c r="AJ699" s="907"/>
      <c r="AK699" s="907"/>
      <c r="AL699" s="907"/>
      <c r="AM699" s="907"/>
    </row>
    <row r="700" spans="1:39">
      <c r="A700" s="907"/>
      <c r="B700" s="907"/>
      <c r="C700" s="907"/>
      <c r="D700" s="907"/>
      <c r="E700" s="907"/>
      <c r="F700" s="907"/>
      <c r="G700" s="907"/>
      <c r="H700" s="907"/>
      <c r="I700" s="907"/>
      <c r="J700" s="907"/>
      <c r="K700" s="907"/>
      <c r="L700" s="907"/>
      <c r="M700" s="907"/>
      <c r="N700" s="907"/>
      <c r="O700" s="907"/>
      <c r="P700" s="907"/>
      <c r="Q700" s="907"/>
      <c r="R700" s="907"/>
      <c r="S700" s="907"/>
      <c r="T700" s="907"/>
      <c r="U700" s="907"/>
      <c r="V700" s="907"/>
      <c r="W700" s="907"/>
      <c r="X700" s="907"/>
      <c r="Y700" s="907"/>
      <c r="Z700" s="907"/>
      <c r="AA700" s="907"/>
      <c r="AB700" s="907"/>
      <c r="AC700" s="907"/>
      <c r="AD700" s="907"/>
      <c r="AE700" s="907"/>
      <c r="AF700" s="907"/>
      <c r="AG700" s="907"/>
      <c r="AH700" s="907"/>
      <c r="AI700" s="907"/>
      <c r="AJ700" s="907"/>
      <c r="AK700" s="907"/>
      <c r="AL700" s="907"/>
      <c r="AM700" s="907"/>
    </row>
    <row r="701" spans="1:39">
      <c r="A701" s="907"/>
      <c r="B701" s="907"/>
      <c r="C701" s="907"/>
      <c r="D701" s="907"/>
      <c r="E701" s="907"/>
      <c r="F701" s="907"/>
      <c r="G701" s="907"/>
      <c r="H701" s="907"/>
      <c r="I701" s="907"/>
      <c r="J701" s="907"/>
      <c r="K701" s="907"/>
      <c r="L701" s="907"/>
      <c r="M701" s="907"/>
      <c r="N701" s="907"/>
      <c r="O701" s="907"/>
      <c r="P701" s="907"/>
      <c r="Q701" s="907"/>
      <c r="R701" s="907"/>
      <c r="S701" s="907"/>
      <c r="T701" s="907"/>
      <c r="U701" s="907"/>
      <c r="V701" s="907"/>
      <c r="W701" s="907"/>
      <c r="X701" s="907"/>
      <c r="Y701" s="907"/>
      <c r="Z701" s="907"/>
      <c r="AA701" s="907"/>
      <c r="AB701" s="907"/>
      <c r="AC701" s="907"/>
      <c r="AD701" s="907"/>
      <c r="AE701" s="907"/>
      <c r="AF701" s="907"/>
      <c r="AG701" s="907"/>
      <c r="AH701" s="907"/>
      <c r="AI701" s="907"/>
      <c r="AJ701" s="907"/>
      <c r="AK701" s="907"/>
      <c r="AL701" s="907"/>
      <c r="AM701" s="907"/>
    </row>
    <row r="702" spans="1:39">
      <c r="A702" s="907"/>
      <c r="B702" s="907"/>
      <c r="C702" s="907"/>
      <c r="D702" s="907"/>
      <c r="E702" s="907"/>
      <c r="F702" s="907"/>
      <c r="G702" s="907"/>
      <c r="H702" s="907"/>
      <c r="I702" s="907"/>
      <c r="J702" s="907"/>
      <c r="K702" s="907"/>
      <c r="L702" s="907"/>
      <c r="M702" s="907"/>
      <c r="N702" s="907"/>
      <c r="O702" s="907"/>
      <c r="P702" s="907"/>
      <c r="Q702" s="907"/>
      <c r="R702" s="907"/>
      <c r="S702" s="907"/>
      <c r="T702" s="907"/>
      <c r="U702" s="907"/>
      <c r="V702" s="907"/>
      <c r="W702" s="907"/>
      <c r="X702" s="907"/>
      <c r="Y702" s="907"/>
      <c r="Z702" s="907"/>
      <c r="AA702" s="907"/>
      <c r="AB702" s="907"/>
      <c r="AC702" s="907"/>
      <c r="AD702" s="907"/>
      <c r="AE702" s="907"/>
      <c r="AF702" s="907"/>
      <c r="AG702" s="907"/>
      <c r="AH702" s="907"/>
      <c r="AI702" s="907"/>
      <c r="AJ702" s="907"/>
      <c r="AK702" s="907"/>
      <c r="AL702" s="907"/>
      <c r="AM702" s="907"/>
    </row>
    <row r="703" spans="1:39">
      <c r="A703" s="907"/>
      <c r="B703" s="907"/>
      <c r="C703" s="907"/>
      <c r="D703" s="907"/>
      <c r="E703" s="907"/>
      <c r="F703" s="907"/>
      <c r="G703" s="907"/>
      <c r="H703" s="907"/>
      <c r="I703" s="907"/>
      <c r="J703" s="907"/>
      <c r="K703" s="907"/>
      <c r="L703" s="907"/>
      <c r="M703" s="907"/>
      <c r="N703" s="907"/>
      <c r="O703" s="907"/>
      <c r="P703" s="907"/>
      <c r="Q703" s="907"/>
      <c r="R703" s="907"/>
      <c r="S703" s="907"/>
      <c r="T703" s="907"/>
      <c r="U703" s="907"/>
      <c r="V703" s="907"/>
      <c r="W703" s="907"/>
      <c r="X703" s="907"/>
      <c r="Y703" s="907"/>
      <c r="Z703" s="907"/>
      <c r="AA703" s="907"/>
      <c r="AB703" s="907"/>
      <c r="AC703" s="907"/>
      <c r="AD703" s="907"/>
      <c r="AE703" s="907"/>
      <c r="AF703" s="907"/>
      <c r="AG703" s="907"/>
      <c r="AH703" s="907"/>
      <c r="AI703" s="907"/>
      <c r="AJ703" s="907"/>
      <c r="AK703" s="907"/>
      <c r="AL703" s="907"/>
      <c r="AM703" s="907"/>
    </row>
    <row r="704" spans="1:39">
      <c r="A704" s="907"/>
      <c r="B704" s="907"/>
      <c r="C704" s="907"/>
      <c r="D704" s="907"/>
      <c r="E704" s="907"/>
      <c r="F704" s="907"/>
      <c r="G704" s="907"/>
      <c r="H704" s="907"/>
      <c r="I704" s="907"/>
      <c r="J704" s="907"/>
      <c r="K704" s="907"/>
      <c r="L704" s="907"/>
      <c r="M704" s="907"/>
      <c r="N704" s="907"/>
      <c r="O704" s="907"/>
      <c r="P704" s="907"/>
      <c r="Q704" s="907"/>
      <c r="R704" s="907"/>
      <c r="S704" s="907"/>
      <c r="T704" s="907"/>
      <c r="U704" s="907"/>
      <c r="V704" s="907"/>
      <c r="W704" s="907"/>
      <c r="X704" s="907"/>
      <c r="Y704" s="907"/>
      <c r="Z704" s="907"/>
      <c r="AA704" s="907"/>
      <c r="AB704" s="907"/>
      <c r="AC704" s="907"/>
      <c r="AD704" s="907"/>
      <c r="AE704" s="907"/>
      <c r="AF704" s="907"/>
      <c r="AG704" s="907"/>
      <c r="AH704" s="907"/>
      <c r="AI704" s="907"/>
      <c r="AJ704" s="907"/>
      <c r="AK704" s="907"/>
      <c r="AL704" s="907"/>
      <c r="AM704" s="907"/>
    </row>
    <row r="705" spans="1:39">
      <c r="A705" s="907"/>
      <c r="B705" s="907"/>
      <c r="C705" s="907"/>
      <c r="D705" s="907"/>
      <c r="E705" s="907"/>
      <c r="F705" s="907"/>
      <c r="G705" s="907"/>
      <c r="H705" s="907"/>
      <c r="I705" s="907"/>
      <c r="J705" s="907"/>
      <c r="K705" s="907"/>
      <c r="L705" s="907"/>
      <c r="M705" s="907"/>
      <c r="N705" s="907"/>
      <c r="O705" s="907"/>
      <c r="P705" s="907"/>
      <c r="Q705" s="907"/>
      <c r="R705" s="907"/>
      <c r="S705" s="907"/>
      <c r="T705" s="907"/>
      <c r="U705" s="907"/>
      <c r="V705" s="907"/>
      <c r="W705" s="907"/>
      <c r="X705" s="907"/>
      <c r="Y705" s="907"/>
      <c r="Z705" s="907"/>
      <c r="AA705" s="907"/>
      <c r="AB705" s="907"/>
      <c r="AC705" s="907"/>
      <c r="AD705" s="907"/>
      <c r="AE705" s="907"/>
      <c r="AF705" s="907"/>
      <c r="AG705" s="907"/>
      <c r="AH705" s="907"/>
      <c r="AI705" s="907"/>
      <c r="AJ705" s="907"/>
      <c r="AK705" s="907"/>
      <c r="AL705" s="907"/>
      <c r="AM705" s="907"/>
    </row>
    <row r="706" spans="1:39">
      <c r="A706" s="907"/>
      <c r="B706" s="907"/>
      <c r="C706" s="907"/>
      <c r="D706" s="907"/>
      <c r="E706" s="907"/>
      <c r="F706" s="907"/>
      <c r="G706" s="907"/>
      <c r="H706" s="907"/>
      <c r="I706" s="907"/>
      <c r="J706" s="907"/>
      <c r="K706" s="907"/>
      <c r="L706" s="907"/>
      <c r="M706" s="907"/>
      <c r="N706" s="907"/>
      <c r="O706" s="907"/>
      <c r="P706" s="907"/>
      <c r="Q706" s="907"/>
      <c r="R706" s="907"/>
      <c r="S706" s="907"/>
      <c r="T706" s="907"/>
      <c r="U706" s="907"/>
      <c r="V706" s="907"/>
      <c r="W706" s="907"/>
      <c r="X706" s="907"/>
      <c r="Y706" s="907"/>
      <c r="Z706" s="907"/>
      <c r="AA706" s="907"/>
      <c r="AB706" s="907"/>
      <c r="AC706" s="907"/>
      <c r="AD706" s="907"/>
      <c r="AE706" s="907"/>
      <c r="AF706" s="907"/>
      <c r="AG706" s="907"/>
      <c r="AH706" s="907"/>
      <c r="AI706" s="907"/>
      <c r="AJ706" s="907"/>
      <c r="AK706" s="907"/>
      <c r="AL706" s="907"/>
      <c r="AM706" s="907"/>
    </row>
    <row r="707" spans="1:39">
      <c r="A707" s="907"/>
      <c r="B707" s="907"/>
      <c r="C707" s="907"/>
      <c r="D707" s="907"/>
      <c r="E707" s="907"/>
      <c r="F707" s="907"/>
      <c r="G707" s="907"/>
      <c r="H707" s="907"/>
      <c r="I707" s="907"/>
      <c r="J707" s="907"/>
      <c r="K707" s="907"/>
      <c r="L707" s="907"/>
      <c r="M707" s="907"/>
      <c r="N707" s="907"/>
      <c r="O707" s="907"/>
      <c r="P707" s="907"/>
      <c r="Q707" s="907"/>
      <c r="R707" s="907"/>
      <c r="S707" s="907"/>
      <c r="T707" s="907"/>
      <c r="U707" s="907"/>
      <c r="V707" s="907"/>
      <c r="W707" s="907"/>
      <c r="X707" s="907"/>
      <c r="Y707" s="907"/>
      <c r="Z707" s="907"/>
      <c r="AA707" s="907"/>
      <c r="AB707" s="907"/>
      <c r="AC707" s="907"/>
      <c r="AD707" s="907"/>
      <c r="AE707" s="907"/>
      <c r="AF707" s="907"/>
      <c r="AG707" s="907"/>
      <c r="AH707" s="907"/>
      <c r="AI707" s="907"/>
      <c r="AJ707" s="907"/>
      <c r="AK707" s="907"/>
      <c r="AL707" s="907"/>
      <c r="AM707" s="907"/>
    </row>
    <row r="708" spans="1:39">
      <c r="A708" s="907"/>
      <c r="B708" s="907"/>
      <c r="C708" s="907"/>
      <c r="D708" s="907"/>
      <c r="E708" s="907"/>
      <c r="F708" s="907"/>
      <c r="G708" s="907"/>
      <c r="H708" s="907"/>
      <c r="I708" s="907"/>
      <c r="J708" s="907"/>
      <c r="K708" s="907"/>
      <c r="L708" s="907"/>
      <c r="M708" s="907"/>
      <c r="N708" s="907"/>
      <c r="O708" s="907"/>
      <c r="P708" s="907"/>
      <c r="Q708" s="907"/>
      <c r="R708" s="907"/>
      <c r="S708" s="907"/>
      <c r="T708" s="907"/>
      <c r="U708" s="907"/>
      <c r="V708" s="907"/>
      <c r="W708" s="907"/>
      <c r="X708" s="907"/>
      <c r="Y708" s="907"/>
      <c r="Z708" s="907"/>
      <c r="AA708" s="907"/>
      <c r="AB708" s="907"/>
      <c r="AC708" s="907"/>
      <c r="AD708" s="907"/>
      <c r="AE708" s="907"/>
      <c r="AF708" s="907"/>
      <c r="AG708" s="907"/>
      <c r="AH708" s="907"/>
      <c r="AI708" s="907"/>
      <c r="AJ708" s="907"/>
      <c r="AK708" s="907"/>
      <c r="AL708" s="907"/>
      <c r="AM708" s="907"/>
    </row>
    <row r="709" spans="1:39">
      <c r="A709" s="907"/>
      <c r="B709" s="907"/>
      <c r="C709" s="907"/>
      <c r="D709" s="907"/>
      <c r="E709" s="907"/>
      <c r="F709" s="907"/>
      <c r="G709" s="907"/>
      <c r="H709" s="907"/>
      <c r="I709" s="907"/>
      <c r="J709" s="907"/>
      <c r="K709" s="907"/>
      <c r="L709" s="907"/>
      <c r="M709" s="907"/>
      <c r="N709" s="907"/>
      <c r="O709" s="907"/>
      <c r="P709" s="907"/>
      <c r="Q709" s="907"/>
      <c r="R709" s="907"/>
      <c r="S709" s="907"/>
      <c r="T709" s="907"/>
      <c r="U709" s="907"/>
      <c r="V709" s="907"/>
      <c r="W709" s="907"/>
      <c r="X709" s="907"/>
      <c r="Y709" s="907"/>
      <c r="Z709" s="907"/>
      <c r="AA709" s="907"/>
      <c r="AB709" s="907"/>
      <c r="AC709" s="907"/>
      <c r="AD709" s="907"/>
      <c r="AE709" s="907"/>
      <c r="AF709" s="907"/>
      <c r="AG709" s="907"/>
      <c r="AH709" s="907"/>
      <c r="AI709" s="907"/>
      <c r="AJ709" s="907"/>
      <c r="AK709" s="907"/>
      <c r="AL709" s="907"/>
      <c r="AM709" s="907"/>
    </row>
    <row r="710" spans="1:39">
      <c r="A710" s="907"/>
      <c r="B710" s="907"/>
      <c r="C710" s="907"/>
      <c r="D710" s="907"/>
      <c r="E710" s="907"/>
      <c r="F710" s="907"/>
      <c r="G710" s="907"/>
      <c r="H710" s="907"/>
      <c r="I710" s="907"/>
      <c r="J710" s="907"/>
      <c r="K710" s="907"/>
      <c r="L710" s="907"/>
      <c r="M710" s="907"/>
      <c r="N710" s="907"/>
      <c r="O710" s="907"/>
      <c r="P710" s="907"/>
      <c r="Q710" s="907"/>
      <c r="R710" s="907"/>
      <c r="S710" s="907"/>
      <c r="T710" s="907"/>
      <c r="U710" s="907"/>
      <c r="V710" s="907"/>
      <c r="W710" s="907"/>
      <c r="X710" s="907"/>
      <c r="Y710" s="907"/>
      <c r="Z710" s="907"/>
      <c r="AA710" s="907"/>
      <c r="AB710" s="907"/>
      <c r="AC710" s="907"/>
      <c r="AD710" s="907"/>
      <c r="AE710" s="907"/>
      <c r="AF710" s="907"/>
      <c r="AG710" s="907"/>
      <c r="AH710" s="907"/>
      <c r="AI710" s="907"/>
      <c r="AJ710" s="907"/>
      <c r="AK710" s="907"/>
      <c r="AL710" s="907"/>
      <c r="AM710" s="907"/>
    </row>
    <row r="711" spans="1:39">
      <c r="A711" s="907"/>
      <c r="B711" s="907"/>
      <c r="C711" s="907"/>
      <c r="D711" s="907"/>
      <c r="E711" s="907"/>
      <c r="F711" s="907"/>
      <c r="G711" s="907"/>
      <c r="H711" s="907"/>
      <c r="I711" s="907"/>
      <c r="J711" s="907"/>
      <c r="K711" s="907"/>
      <c r="L711" s="907"/>
      <c r="M711" s="907"/>
      <c r="N711" s="907"/>
      <c r="O711" s="907"/>
      <c r="P711" s="907"/>
      <c r="Q711" s="907"/>
      <c r="R711" s="907"/>
      <c r="S711" s="907"/>
      <c r="T711" s="907"/>
      <c r="U711" s="907"/>
      <c r="V711" s="907"/>
      <c r="W711" s="907"/>
      <c r="X711" s="907"/>
      <c r="Y711" s="907"/>
      <c r="Z711" s="907"/>
      <c r="AA711" s="907"/>
      <c r="AB711" s="907"/>
      <c r="AC711" s="907"/>
      <c r="AD711" s="907"/>
      <c r="AE711" s="907"/>
      <c r="AF711" s="907"/>
      <c r="AG711" s="907"/>
      <c r="AH711" s="907"/>
      <c r="AI711" s="907"/>
      <c r="AJ711" s="907"/>
      <c r="AK711" s="907"/>
      <c r="AL711" s="907"/>
      <c r="AM711" s="907"/>
    </row>
    <row r="712" spans="1:39">
      <c r="A712" s="907"/>
      <c r="B712" s="907"/>
      <c r="C712" s="907"/>
      <c r="D712" s="907"/>
      <c r="E712" s="907"/>
      <c r="F712" s="907"/>
      <c r="G712" s="907"/>
      <c r="H712" s="907"/>
      <c r="I712" s="907"/>
      <c r="J712" s="907"/>
      <c r="K712" s="907"/>
      <c r="L712" s="907"/>
      <c r="M712" s="907"/>
      <c r="N712" s="907"/>
      <c r="O712" s="907"/>
      <c r="P712" s="907"/>
      <c r="Q712" s="907"/>
      <c r="R712" s="907"/>
      <c r="S712" s="907"/>
      <c r="T712" s="907"/>
      <c r="U712" s="907"/>
      <c r="V712" s="907"/>
      <c r="W712" s="907"/>
      <c r="X712" s="907"/>
      <c r="Y712" s="907"/>
      <c r="Z712" s="907"/>
      <c r="AA712" s="907"/>
      <c r="AB712" s="907"/>
      <c r="AC712" s="907"/>
      <c r="AD712" s="907"/>
      <c r="AE712" s="907"/>
      <c r="AF712" s="907"/>
      <c r="AG712" s="907"/>
      <c r="AH712" s="907"/>
      <c r="AI712" s="907"/>
      <c r="AJ712" s="907"/>
      <c r="AK712" s="907"/>
      <c r="AL712" s="907"/>
      <c r="AM712" s="907"/>
    </row>
    <row r="713" spans="1:39">
      <c r="A713" s="907"/>
      <c r="B713" s="907"/>
      <c r="C713" s="907"/>
      <c r="D713" s="907"/>
      <c r="E713" s="907"/>
      <c r="F713" s="907"/>
      <c r="G713" s="907"/>
      <c r="H713" s="907"/>
      <c r="I713" s="907"/>
      <c r="J713" s="907"/>
      <c r="K713" s="907"/>
      <c r="L713" s="907"/>
      <c r="M713" s="907"/>
      <c r="N713" s="907"/>
      <c r="O713" s="907"/>
      <c r="P713" s="907"/>
      <c r="Q713" s="907"/>
      <c r="R713" s="907"/>
      <c r="S713" s="907"/>
      <c r="T713" s="907"/>
      <c r="U713" s="907"/>
      <c r="V713" s="907"/>
      <c r="W713" s="907"/>
      <c r="X713" s="907"/>
      <c r="Y713" s="907"/>
      <c r="Z713" s="907"/>
      <c r="AA713" s="907"/>
      <c r="AB713" s="907"/>
      <c r="AC713" s="907"/>
      <c r="AD713" s="907"/>
      <c r="AE713" s="907"/>
      <c r="AF713" s="907"/>
      <c r="AG713" s="907"/>
      <c r="AH713" s="907"/>
      <c r="AI713" s="907"/>
      <c r="AJ713" s="907"/>
      <c r="AK713" s="907"/>
      <c r="AL713" s="907"/>
      <c r="AM713" s="907"/>
    </row>
    <row r="714" spans="1:39">
      <c r="A714" s="907"/>
      <c r="B714" s="907"/>
      <c r="C714" s="907"/>
      <c r="D714" s="907"/>
      <c r="E714" s="907"/>
      <c r="F714" s="907"/>
      <c r="G714" s="907"/>
      <c r="H714" s="907"/>
      <c r="I714" s="907"/>
      <c r="J714" s="907"/>
      <c r="K714" s="907"/>
      <c r="L714" s="907"/>
      <c r="M714" s="907"/>
      <c r="N714" s="907"/>
      <c r="O714" s="907"/>
      <c r="P714" s="907"/>
      <c r="Q714" s="907"/>
      <c r="R714" s="907"/>
      <c r="S714" s="907"/>
      <c r="T714" s="907"/>
      <c r="U714" s="907"/>
      <c r="V714" s="907"/>
      <c r="W714" s="907"/>
      <c r="X714" s="907"/>
      <c r="Y714" s="907"/>
      <c r="Z714" s="907"/>
      <c r="AA714" s="907"/>
      <c r="AB714" s="907"/>
      <c r="AC714" s="907"/>
      <c r="AD714" s="907"/>
      <c r="AE714" s="907"/>
      <c r="AF714" s="907"/>
      <c r="AG714" s="907"/>
      <c r="AH714" s="907"/>
      <c r="AI714" s="907"/>
      <c r="AJ714" s="907"/>
      <c r="AK714" s="907"/>
      <c r="AL714" s="907"/>
      <c r="AM714" s="907"/>
    </row>
    <row r="715" spans="1:39">
      <c r="A715" s="907"/>
      <c r="B715" s="907"/>
      <c r="C715" s="907"/>
      <c r="D715" s="907"/>
      <c r="E715" s="907"/>
      <c r="F715" s="907"/>
      <c r="G715" s="907"/>
      <c r="H715" s="907"/>
      <c r="I715" s="907"/>
      <c r="J715" s="907"/>
      <c r="K715" s="907"/>
      <c r="L715" s="907"/>
      <c r="M715" s="907"/>
      <c r="N715" s="907"/>
      <c r="O715" s="907"/>
      <c r="P715" s="907"/>
      <c r="Q715" s="907"/>
      <c r="R715" s="907"/>
      <c r="S715" s="907"/>
      <c r="T715" s="907"/>
      <c r="U715" s="907"/>
      <c r="V715" s="907"/>
      <c r="W715" s="907"/>
      <c r="X715" s="907"/>
      <c r="Y715" s="907"/>
      <c r="Z715" s="907"/>
      <c r="AA715" s="907"/>
      <c r="AB715" s="907"/>
      <c r="AC715" s="907"/>
      <c r="AD715" s="907"/>
      <c r="AE715" s="907"/>
      <c r="AF715" s="907"/>
      <c r="AG715" s="907"/>
      <c r="AH715" s="907"/>
      <c r="AI715" s="907"/>
      <c r="AJ715" s="907"/>
      <c r="AK715" s="907"/>
      <c r="AL715" s="907"/>
      <c r="AM715" s="907"/>
    </row>
    <row r="716" spans="1:39">
      <c r="A716" s="907"/>
      <c r="B716" s="907"/>
      <c r="C716" s="907"/>
      <c r="D716" s="907"/>
      <c r="E716" s="907"/>
      <c r="F716" s="907"/>
      <c r="G716" s="907"/>
      <c r="H716" s="907"/>
      <c r="I716" s="907"/>
      <c r="J716" s="907"/>
      <c r="K716" s="907"/>
      <c r="L716" s="907"/>
      <c r="M716" s="907"/>
      <c r="N716" s="907"/>
      <c r="O716" s="907"/>
      <c r="P716" s="907"/>
      <c r="Q716" s="907"/>
      <c r="R716" s="907"/>
      <c r="S716" s="907"/>
      <c r="T716" s="907"/>
      <c r="U716" s="907"/>
      <c r="V716" s="907"/>
      <c r="W716" s="907"/>
      <c r="X716" s="907"/>
      <c r="Y716" s="907"/>
      <c r="Z716" s="907"/>
      <c r="AA716" s="907"/>
      <c r="AB716" s="907"/>
      <c r="AC716" s="907"/>
      <c r="AD716" s="907"/>
      <c r="AE716" s="907"/>
      <c r="AF716" s="907"/>
      <c r="AG716" s="907"/>
      <c r="AH716" s="907"/>
      <c r="AI716" s="907"/>
      <c r="AJ716" s="907"/>
      <c r="AK716" s="907"/>
      <c r="AL716" s="907"/>
      <c r="AM716" s="907"/>
    </row>
    <row r="717" spans="1:39">
      <c r="A717" s="907"/>
      <c r="B717" s="907"/>
      <c r="C717" s="907"/>
      <c r="D717" s="907"/>
      <c r="E717" s="907"/>
      <c r="F717" s="907"/>
      <c r="G717" s="907"/>
      <c r="H717" s="907"/>
      <c r="I717" s="907"/>
      <c r="J717" s="907"/>
      <c r="K717" s="907"/>
      <c r="L717" s="907"/>
      <c r="M717" s="907"/>
      <c r="N717" s="907"/>
      <c r="O717" s="907"/>
      <c r="P717" s="907"/>
      <c r="Q717" s="907"/>
      <c r="R717" s="907"/>
      <c r="S717" s="907"/>
      <c r="T717" s="907"/>
      <c r="U717" s="907"/>
      <c r="V717" s="907"/>
      <c r="W717" s="907"/>
      <c r="X717" s="907"/>
      <c r="Y717" s="907"/>
      <c r="Z717" s="907"/>
      <c r="AA717" s="907"/>
      <c r="AB717" s="907"/>
      <c r="AC717" s="907"/>
      <c r="AD717" s="907"/>
      <c r="AE717" s="907"/>
      <c r="AF717" s="907"/>
      <c r="AG717" s="907"/>
      <c r="AH717" s="907"/>
      <c r="AI717" s="907"/>
      <c r="AJ717" s="907"/>
      <c r="AK717" s="907"/>
      <c r="AL717" s="907"/>
      <c r="AM717" s="907"/>
    </row>
    <row r="718" spans="1:39">
      <c r="A718" s="907"/>
      <c r="B718" s="907"/>
      <c r="C718" s="907"/>
      <c r="D718" s="907"/>
      <c r="E718" s="907"/>
      <c r="F718" s="907"/>
      <c r="G718" s="907"/>
      <c r="H718" s="907"/>
      <c r="I718" s="907"/>
      <c r="J718" s="907"/>
      <c r="K718" s="907"/>
      <c r="L718" s="907"/>
      <c r="M718" s="907"/>
      <c r="N718" s="907"/>
      <c r="O718" s="907"/>
      <c r="P718" s="907"/>
      <c r="Q718" s="907"/>
      <c r="R718" s="907"/>
      <c r="S718" s="907"/>
      <c r="T718" s="907"/>
      <c r="U718" s="907"/>
      <c r="V718" s="907"/>
      <c r="W718" s="907"/>
      <c r="X718" s="907"/>
      <c r="Y718" s="907"/>
      <c r="Z718" s="907"/>
      <c r="AA718" s="907"/>
      <c r="AB718" s="907"/>
      <c r="AC718" s="907"/>
      <c r="AD718" s="907"/>
      <c r="AE718" s="907"/>
      <c r="AF718" s="907"/>
      <c r="AG718" s="907"/>
      <c r="AH718" s="907"/>
      <c r="AI718" s="907"/>
      <c r="AJ718" s="907"/>
      <c r="AK718" s="907"/>
      <c r="AL718" s="907"/>
      <c r="AM718" s="907"/>
    </row>
    <row r="719" spans="1:39">
      <c r="A719" s="907"/>
      <c r="B719" s="907"/>
      <c r="C719" s="907"/>
      <c r="D719" s="907"/>
      <c r="E719" s="907"/>
      <c r="F719" s="907"/>
      <c r="G719" s="907"/>
      <c r="H719" s="907"/>
      <c r="I719" s="907"/>
      <c r="J719" s="907"/>
      <c r="K719" s="907"/>
      <c r="L719" s="907"/>
      <c r="M719" s="907"/>
      <c r="N719" s="907"/>
      <c r="O719" s="907"/>
      <c r="P719" s="907"/>
      <c r="Q719" s="907"/>
      <c r="R719" s="907"/>
      <c r="S719" s="907"/>
      <c r="T719" s="907"/>
      <c r="U719" s="907"/>
      <c r="V719" s="907"/>
      <c r="W719" s="907"/>
      <c r="X719" s="907"/>
      <c r="Y719" s="907"/>
      <c r="Z719" s="907"/>
      <c r="AA719" s="907"/>
      <c r="AB719" s="907"/>
      <c r="AC719" s="907"/>
      <c r="AD719" s="907"/>
      <c r="AE719" s="907"/>
      <c r="AF719" s="907"/>
      <c r="AG719" s="907"/>
      <c r="AH719" s="907"/>
      <c r="AI719" s="907"/>
      <c r="AJ719" s="907"/>
      <c r="AK719" s="907"/>
      <c r="AL719" s="907"/>
      <c r="AM719" s="907"/>
    </row>
    <row r="720" spans="1:39">
      <c r="A720" s="907"/>
      <c r="B720" s="907"/>
      <c r="C720" s="907"/>
      <c r="D720" s="907"/>
      <c r="E720" s="907"/>
      <c r="F720" s="907"/>
      <c r="G720" s="907"/>
      <c r="H720" s="907"/>
      <c r="I720" s="907"/>
      <c r="J720" s="907"/>
      <c r="K720" s="907"/>
      <c r="L720" s="907"/>
      <c r="M720" s="907"/>
      <c r="N720" s="907"/>
      <c r="O720" s="907"/>
      <c r="P720" s="907"/>
      <c r="Q720" s="907"/>
      <c r="R720" s="907"/>
      <c r="S720" s="907"/>
      <c r="T720" s="907"/>
      <c r="U720" s="907"/>
      <c r="V720" s="907"/>
      <c r="W720" s="907"/>
      <c r="X720" s="907"/>
      <c r="Y720" s="907"/>
      <c r="Z720" s="907"/>
      <c r="AA720" s="907"/>
      <c r="AB720" s="907"/>
      <c r="AC720" s="907"/>
      <c r="AD720" s="907"/>
      <c r="AE720" s="907"/>
      <c r="AF720" s="907"/>
      <c r="AG720" s="907"/>
      <c r="AH720" s="907"/>
      <c r="AI720" s="907"/>
      <c r="AJ720" s="907"/>
      <c r="AK720" s="907"/>
      <c r="AL720" s="907"/>
      <c r="AM720" s="907"/>
    </row>
    <row r="721" spans="1:39">
      <c r="A721" s="907"/>
      <c r="B721" s="907"/>
      <c r="C721" s="907"/>
      <c r="D721" s="907"/>
      <c r="E721" s="907"/>
      <c r="F721" s="907"/>
      <c r="G721" s="907"/>
      <c r="H721" s="907"/>
      <c r="I721" s="907"/>
      <c r="J721" s="907"/>
      <c r="K721" s="907"/>
      <c r="L721" s="907"/>
      <c r="M721" s="907"/>
      <c r="N721" s="907"/>
      <c r="O721" s="907"/>
      <c r="P721" s="907"/>
      <c r="Q721" s="907"/>
      <c r="R721" s="907"/>
      <c r="S721" s="907"/>
      <c r="T721" s="907"/>
      <c r="U721" s="907"/>
      <c r="V721" s="907"/>
      <c r="W721" s="907"/>
      <c r="X721" s="907"/>
      <c r="Y721" s="907"/>
      <c r="Z721" s="907"/>
      <c r="AA721" s="907"/>
      <c r="AB721" s="907"/>
      <c r="AC721" s="907"/>
      <c r="AD721" s="907"/>
      <c r="AE721" s="907"/>
      <c r="AF721" s="907"/>
      <c r="AG721" s="907"/>
      <c r="AH721" s="907"/>
      <c r="AI721" s="907"/>
      <c r="AJ721" s="907"/>
      <c r="AK721" s="907"/>
      <c r="AL721" s="907"/>
      <c r="AM721" s="907"/>
    </row>
    <row r="722" spans="1:39">
      <c r="A722" s="907"/>
      <c r="B722" s="907"/>
      <c r="C722" s="907"/>
      <c r="D722" s="907"/>
      <c r="E722" s="907"/>
      <c r="F722" s="907"/>
      <c r="G722" s="907"/>
      <c r="H722" s="907"/>
      <c r="I722" s="907"/>
      <c r="J722" s="907"/>
      <c r="K722" s="907"/>
      <c r="L722" s="907"/>
      <c r="M722" s="907"/>
      <c r="N722" s="907"/>
      <c r="O722" s="907"/>
      <c r="P722" s="907"/>
      <c r="Q722" s="907"/>
      <c r="R722" s="907"/>
      <c r="S722" s="907"/>
      <c r="T722" s="907"/>
      <c r="U722" s="907"/>
      <c r="V722" s="907"/>
      <c r="W722" s="907"/>
      <c r="X722" s="907"/>
      <c r="Y722" s="907"/>
      <c r="Z722" s="907"/>
      <c r="AA722" s="907"/>
      <c r="AB722" s="907"/>
      <c r="AC722" s="907"/>
      <c r="AD722" s="907"/>
      <c r="AE722" s="907"/>
      <c r="AF722" s="907"/>
      <c r="AG722" s="907"/>
      <c r="AH722" s="907"/>
      <c r="AI722" s="907"/>
      <c r="AJ722" s="907"/>
      <c r="AK722" s="907"/>
      <c r="AL722" s="907"/>
      <c r="AM722" s="907"/>
    </row>
    <row r="723" spans="1:39">
      <c r="A723" s="907"/>
      <c r="B723" s="907"/>
      <c r="C723" s="907"/>
      <c r="D723" s="907"/>
      <c r="E723" s="907"/>
      <c r="F723" s="907"/>
      <c r="G723" s="907"/>
      <c r="H723" s="907"/>
      <c r="I723" s="907"/>
      <c r="J723" s="907"/>
      <c r="K723" s="907"/>
      <c r="L723" s="907"/>
      <c r="M723" s="907"/>
      <c r="N723" s="907"/>
      <c r="O723" s="907"/>
      <c r="P723" s="907"/>
      <c r="Q723" s="907"/>
      <c r="R723" s="907"/>
      <c r="S723" s="907"/>
      <c r="T723" s="907"/>
      <c r="U723" s="907"/>
      <c r="V723" s="907"/>
      <c r="W723" s="907"/>
      <c r="X723" s="907"/>
      <c r="Y723" s="907"/>
      <c r="Z723" s="907"/>
      <c r="AA723" s="907"/>
      <c r="AB723" s="907"/>
      <c r="AC723" s="907"/>
      <c r="AD723" s="907"/>
      <c r="AE723" s="907"/>
      <c r="AF723" s="907"/>
      <c r="AG723" s="907"/>
      <c r="AH723" s="907"/>
      <c r="AI723" s="907"/>
      <c r="AJ723" s="907"/>
      <c r="AK723" s="907"/>
      <c r="AL723" s="907"/>
      <c r="AM723" s="907"/>
    </row>
    <row r="724" spans="1:39">
      <c r="A724" s="907"/>
      <c r="B724" s="907"/>
      <c r="C724" s="907"/>
      <c r="D724" s="907"/>
      <c r="E724" s="907"/>
      <c r="F724" s="907"/>
      <c r="G724" s="907"/>
      <c r="H724" s="907"/>
      <c r="I724" s="907"/>
      <c r="J724" s="907"/>
      <c r="K724" s="907"/>
      <c r="L724" s="907"/>
      <c r="M724" s="907"/>
      <c r="N724" s="907"/>
      <c r="O724" s="907"/>
      <c r="P724" s="907"/>
      <c r="Q724" s="907"/>
      <c r="R724" s="907"/>
      <c r="S724" s="907"/>
      <c r="T724" s="907"/>
      <c r="U724" s="907"/>
      <c r="V724" s="907"/>
      <c r="W724" s="907"/>
      <c r="X724" s="907"/>
      <c r="Y724" s="907"/>
      <c r="Z724" s="907"/>
      <c r="AA724" s="907"/>
      <c r="AB724" s="907"/>
      <c r="AC724" s="907"/>
      <c r="AD724" s="907"/>
      <c r="AE724" s="907"/>
      <c r="AF724" s="907"/>
      <c r="AG724" s="907"/>
      <c r="AH724" s="907"/>
      <c r="AI724" s="907"/>
      <c r="AJ724" s="907"/>
      <c r="AK724" s="907"/>
      <c r="AL724" s="907"/>
      <c r="AM724" s="907"/>
    </row>
    <row r="725" spans="1:39">
      <c r="A725" s="907"/>
      <c r="B725" s="907"/>
      <c r="C725" s="907"/>
      <c r="D725" s="907"/>
      <c r="E725" s="907"/>
      <c r="F725" s="907"/>
      <c r="G725" s="907"/>
      <c r="H725" s="907"/>
      <c r="I725" s="907"/>
      <c r="J725" s="907"/>
      <c r="K725" s="907"/>
      <c r="L725" s="907"/>
      <c r="M725" s="907"/>
      <c r="N725" s="907"/>
      <c r="O725" s="907"/>
      <c r="P725" s="907"/>
      <c r="Q725" s="907"/>
      <c r="R725" s="907"/>
      <c r="S725" s="907"/>
      <c r="T725" s="907"/>
      <c r="U725" s="907"/>
      <c r="V725" s="907"/>
      <c r="W725" s="907"/>
      <c r="X725" s="907"/>
      <c r="Y725" s="907"/>
      <c r="Z725" s="907"/>
      <c r="AA725" s="907"/>
      <c r="AB725" s="907"/>
      <c r="AC725" s="907"/>
      <c r="AD725" s="907"/>
      <c r="AE725" s="907"/>
      <c r="AF725" s="907"/>
      <c r="AG725" s="907"/>
      <c r="AH725" s="907"/>
      <c r="AI725" s="907"/>
      <c r="AJ725" s="907"/>
      <c r="AK725" s="907"/>
      <c r="AL725" s="907"/>
      <c r="AM725" s="907"/>
    </row>
    <row r="726" spans="1:39">
      <c r="A726" s="907"/>
      <c r="B726" s="907"/>
      <c r="C726" s="907"/>
      <c r="D726" s="907"/>
      <c r="E726" s="907"/>
      <c r="F726" s="907"/>
      <c r="G726" s="907"/>
      <c r="H726" s="907"/>
      <c r="I726" s="907"/>
      <c r="J726" s="907"/>
      <c r="K726" s="907"/>
      <c r="L726" s="907"/>
      <c r="M726" s="907"/>
      <c r="N726" s="907"/>
      <c r="O726" s="907"/>
      <c r="P726" s="907"/>
      <c r="Q726" s="907"/>
      <c r="R726" s="907"/>
      <c r="S726" s="907"/>
      <c r="T726" s="907"/>
      <c r="U726" s="907"/>
      <c r="V726" s="907"/>
      <c r="W726" s="907"/>
      <c r="X726" s="907"/>
      <c r="Y726" s="907"/>
      <c r="Z726" s="907"/>
      <c r="AA726" s="907"/>
      <c r="AB726" s="907"/>
      <c r="AC726" s="907"/>
      <c r="AD726" s="907"/>
      <c r="AE726" s="907"/>
      <c r="AF726" s="907"/>
      <c r="AG726" s="907"/>
      <c r="AH726" s="907"/>
      <c r="AI726" s="907"/>
      <c r="AJ726" s="907"/>
      <c r="AK726" s="907"/>
      <c r="AL726" s="907"/>
      <c r="AM726" s="907"/>
    </row>
    <row r="727" spans="1:39">
      <c r="A727" s="907"/>
      <c r="B727" s="907"/>
      <c r="C727" s="907"/>
      <c r="D727" s="907"/>
      <c r="E727" s="907"/>
      <c r="F727" s="907"/>
      <c r="G727" s="907"/>
      <c r="H727" s="907"/>
      <c r="I727" s="907"/>
      <c r="J727" s="907"/>
      <c r="K727" s="907"/>
      <c r="L727" s="907"/>
      <c r="M727" s="907"/>
      <c r="N727" s="907"/>
      <c r="O727" s="907"/>
      <c r="P727" s="907"/>
      <c r="Q727" s="907"/>
      <c r="R727" s="907"/>
      <c r="S727" s="907"/>
      <c r="T727" s="907"/>
      <c r="U727" s="907"/>
      <c r="V727" s="907"/>
      <c r="W727" s="907"/>
      <c r="X727" s="907"/>
      <c r="Y727" s="907"/>
      <c r="Z727" s="907"/>
      <c r="AA727" s="907"/>
      <c r="AB727" s="907"/>
      <c r="AC727" s="907"/>
      <c r="AD727" s="907"/>
      <c r="AE727" s="907"/>
      <c r="AF727" s="907"/>
      <c r="AG727" s="907"/>
      <c r="AH727" s="907"/>
      <c r="AI727" s="907"/>
      <c r="AJ727" s="907"/>
      <c r="AK727" s="907"/>
      <c r="AL727" s="907"/>
      <c r="AM727" s="907"/>
    </row>
    <row r="728" spans="1:39">
      <c r="A728" s="907"/>
      <c r="B728" s="907"/>
      <c r="C728" s="907"/>
      <c r="D728" s="907"/>
      <c r="E728" s="907"/>
      <c r="F728" s="907"/>
      <c r="G728" s="907"/>
      <c r="H728" s="907"/>
      <c r="I728" s="907"/>
      <c r="J728" s="907"/>
      <c r="K728" s="907"/>
      <c r="L728" s="907"/>
      <c r="M728" s="907"/>
      <c r="N728" s="907"/>
      <c r="O728" s="907"/>
      <c r="P728" s="907"/>
      <c r="Q728" s="907"/>
      <c r="R728" s="907"/>
      <c r="S728" s="907"/>
      <c r="T728" s="907"/>
      <c r="U728" s="907"/>
      <c r="V728" s="907"/>
      <c r="W728" s="907"/>
      <c r="X728" s="907"/>
      <c r="Y728" s="907"/>
      <c r="Z728" s="907"/>
      <c r="AA728" s="907"/>
      <c r="AB728" s="907"/>
      <c r="AC728" s="907"/>
      <c r="AD728" s="907"/>
      <c r="AE728" s="907"/>
      <c r="AF728" s="907"/>
      <c r="AG728" s="907"/>
      <c r="AH728" s="907"/>
      <c r="AI728" s="907"/>
      <c r="AJ728" s="907"/>
      <c r="AK728" s="907"/>
      <c r="AL728" s="907"/>
      <c r="AM728" s="907"/>
    </row>
    <row r="729" spans="1:39">
      <c r="A729" s="907"/>
      <c r="B729" s="907"/>
      <c r="C729" s="907"/>
      <c r="D729" s="907"/>
      <c r="E729" s="907"/>
      <c r="F729" s="907"/>
      <c r="G729" s="907"/>
      <c r="H729" s="907"/>
      <c r="I729" s="907"/>
      <c r="J729" s="907"/>
      <c r="K729" s="907"/>
      <c r="L729" s="907"/>
      <c r="M729" s="907"/>
      <c r="N729" s="907"/>
      <c r="O729" s="907"/>
      <c r="P729" s="907"/>
      <c r="Q729" s="907"/>
      <c r="R729" s="907"/>
      <c r="S729" s="907"/>
      <c r="T729" s="907"/>
      <c r="U729" s="907"/>
      <c r="V729" s="907"/>
      <c r="W729" s="907"/>
      <c r="X729" s="907"/>
      <c r="Y729" s="907"/>
      <c r="Z729" s="907"/>
      <c r="AA729" s="907"/>
      <c r="AB729" s="907"/>
      <c r="AC729" s="907"/>
      <c r="AD729" s="907"/>
      <c r="AE729" s="907"/>
      <c r="AF729" s="907"/>
      <c r="AG729" s="907"/>
      <c r="AH729" s="907"/>
      <c r="AI729" s="907"/>
      <c r="AJ729" s="907"/>
      <c r="AK729" s="907"/>
      <c r="AL729" s="907"/>
      <c r="AM729" s="907"/>
    </row>
    <row r="730" spans="1:39">
      <c r="A730" s="907"/>
      <c r="B730" s="907"/>
      <c r="C730" s="907"/>
      <c r="D730" s="907"/>
      <c r="E730" s="907"/>
      <c r="F730" s="907"/>
      <c r="G730" s="907"/>
      <c r="H730" s="907"/>
      <c r="I730" s="907"/>
      <c r="J730" s="907"/>
      <c r="K730" s="907"/>
      <c r="L730" s="907"/>
      <c r="M730" s="907"/>
      <c r="N730" s="907"/>
      <c r="O730" s="907"/>
      <c r="P730" s="907"/>
      <c r="Q730" s="907"/>
      <c r="R730" s="907"/>
      <c r="S730" s="907"/>
      <c r="T730" s="907"/>
      <c r="U730" s="907"/>
      <c r="V730" s="907"/>
      <c r="W730" s="907"/>
      <c r="X730" s="907"/>
      <c r="Y730" s="907"/>
      <c r="Z730" s="907"/>
      <c r="AA730" s="907"/>
      <c r="AB730" s="907"/>
      <c r="AC730" s="907"/>
      <c r="AD730" s="907"/>
      <c r="AE730" s="907"/>
      <c r="AF730" s="907"/>
      <c r="AG730" s="907"/>
      <c r="AH730" s="907"/>
      <c r="AI730" s="907"/>
      <c r="AJ730" s="907"/>
      <c r="AK730" s="907"/>
      <c r="AL730" s="907"/>
      <c r="AM730" s="907"/>
    </row>
    <row r="731" spans="1:39">
      <c r="A731" s="907"/>
      <c r="B731" s="907"/>
      <c r="C731" s="907"/>
      <c r="D731" s="907"/>
      <c r="E731" s="907"/>
      <c r="F731" s="907"/>
      <c r="G731" s="907"/>
      <c r="H731" s="907"/>
      <c r="I731" s="907"/>
      <c r="J731" s="907"/>
      <c r="K731" s="907"/>
      <c r="L731" s="907"/>
      <c r="M731" s="907"/>
      <c r="N731" s="907"/>
      <c r="O731" s="907"/>
      <c r="P731" s="907"/>
      <c r="Q731" s="907"/>
      <c r="R731" s="907"/>
      <c r="S731" s="907"/>
      <c r="T731" s="907"/>
      <c r="U731" s="907"/>
      <c r="V731" s="907"/>
      <c r="W731" s="907"/>
      <c r="X731" s="907"/>
      <c r="Y731" s="907"/>
      <c r="Z731" s="907"/>
      <c r="AA731" s="907"/>
      <c r="AB731" s="907"/>
      <c r="AC731" s="907"/>
      <c r="AD731" s="907"/>
      <c r="AE731" s="907"/>
      <c r="AF731" s="907"/>
      <c r="AG731" s="907"/>
      <c r="AH731" s="907"/>
      <c r="AI731" s="907"/>
      <c r="AJ731" s="907"/>
      <c r="AK731" s="907"/>
      <c r="AL731" s="907"/>
      <c r="AM731" s="907"/>
    </row>
    <row r="732" spans="1:39">
      <c r="A732" s="907"/>
      <c r="B732" s="907"/>
      <c r="C732" s="907"/>
      <c r="D732" s="907"/>
      <c r="E732" s="907"/>
      <c r="F732" s="907"/>
      <c r="G732" s="907"/>
      <c r="H732" s="907"/>
      <c r="I732" s="907"/>
      <c r="J732" s="907"/>
      <c r="K732" s="907"/>
      <c r="L732" s="907"/>
      <c r="M732" s="907"/>
      <c r="N732" s="907"/>
      <c r="O732" s="907"/>
      <c r="P732" s="907"/>
      <c r="Q732" s="907"/>
      <c r="R732" s="907"/>
      <c r="S732" s="907"/>
      <c r="T732" s="907"/>
      <c r="U732" s="907"/>
      <c r="V732" s="907"/>
      <c r="W732" s="907"/>
      <c r="X732" s="907"/>
      <c r="Y732" s="907"/>
      <c r="Z732" s="907"/>
      <c r="AA732" s="907"/>
      <c r="AB732" s="907"/>
      <c r="AC732" s="907"/>
      <c r="AD732" s="907"/>
      <c r="AE732" s="907"/>
      <c r="AF732" s="907"/>
      <c r="AG732" s="907"/>
      <c r="AH732" s="907"/>
      <c r="AI732" s="907"/>
      <c r="AJ732" s="907"/>
      <c r="AK732" s="907"/>
      <c r="AL732" s="907"/>
      <c r="AM732" s="907"/>
    </row>
    <row r="733" spans="1:39">
      <c r="A733" s="907"/>
      <c r="B733" s="907"/>
      <c r="C733" s="907"/>
      <c r="D733" s="907"/>
      <c r="E733" s="907"/>
      <c r="F733" s="907"/>
      <c r="G733" s="907"/>
      <c r="H733" s="907"/>
      <c r="I733" s="907"/>
      <c r="J733" s="907"/>
      <c r="K733" s="907"/>
      <c r="L733" s="907"/>
      <c r="M733" s="907"/>
      <c r="N733" s="907"/>
      <c r="O733" s="907"/>
      <c r="P733" s="907"/>
      <c r="Q733" s="907"/>
      <c r="R733" s="907"/>
      <c r="S733" s="907"/>
      <c r="T733" s="907"/>
      <c r="U733" s="907"/>
      <c r="V733" s="907"/>
      <c r="W733" s="907"/>
      <c r="X733" s="907"/>
      <c r="Y733" s="907"/>
      <c r="Z733" s="907"/>
      <c r="AA733" s="907"/>
      <c r="AB733" s="907"/>
      <c r="AC733" s="907"/>
      <c r="AD733" s="907"/>
      <c r="AE733" s="907"/>
      <c r="AF733" s="907"/>
      <c r="AG733" s="907"/>
      <c r="AH733" s="907"/>
      <c r="AI733" s="907"/>
      <c r="AJ733" s="907"/>
      <c r="AK733" s="907"/>
      <c r="AL733" s="907"/>
      <c r="AM733" s="907"/>
    </row>
    <row r="734" spans="1:39">
      <c r="A734" s="907"/>
      <c r="B734" s="907"/>
      <c r="C734" s="907"/>
      <c r="D734" s="907"/>
      <c r="E734" s="907"/>
      <c r="F734" s="907"/>
      <c r="G734" s="907"/>
      <c r="H734" s="907"/>
      <c r="I734" s="907"/>
      <c r="J734" s="907"/>
      <c r="K734" s="907"/>
      <c r="L734" s="907"/>
      <c r="M734" s="907"/>
      <c r="N734" s="907"/>
      <c r="O734" s="907"/>
      <c r="P734" s="907"/>
      <c r="Q734" s="907"/>
      <c r="R734" s="907"/>
      <c r="S734" s="907"/>
      <c r="T734" s="907"/>
      <c r="U734" s="907"/>
      <c r="V734" s="907"/>
      <c r="W734" s="907"/>
      <c r="X734" s="907"/>
      <c r="Y734" s="907"/>
      <c r="Z734" s="907"/>
      <c r="AA734" s="907"/>
      <c r="AB734" s="907"/>
      <c r="AC734" s="907"/>
      <c r="AD734" s="907"/>
      <c r="AE734" s="907"/>
      <c r="AF734" s="907"/>
      <c r="AG734" s="907"/>
      <c r="AH734" s="907"/>
      <c r="AI734" s="907"/>
      <c r="AJ734" s="907"/>
      <c r="AK734" s="907"/>
      <c r="AL734" s="907"/>
      <c r="AM734" s="907"/>
    </row>
    <row r="735" spans="1:39">
      <c r="A735" s="907"/>
      <c r="B735" s="907"/>
      <c r="C735" s="907"/>
      <c r="D735" s="907"/>
      <c r="E735" s="907"/>
      <c r="F735" s="907"/>
      <c r="G735" s="907"/>
      <c r="H735" s="907"/>
      <c r="I735" s="907"/>
      <c r="J735" s="907"/>
      <c r="K735" s="907"/>
      <c r="L735" s="907"/>
      <c r="M735" s="907"/>
      <c r="N735" s="907"/>
      <c r="O735" s="907"/>
      <c r="P735" s="907"/>
      <c r="Q735" s="907"/>
      <c r="R735" s="907"/>
      <c r="S735" s="907"/>
      <c r="T735" s="907"/>
      <c r="U735" s="907"/>
      <c r="V735" s="907"/>
      <c r="W735" s="907"/>
      <c r="X735" s="907"/>
      <c r="Y735" s="907"/>
      <c r="Z735" s="907"/>
      <c r="AA735" s="907"/>
      <c r="AB735" s="907"/>
      <c r="AC735" s="907"/>
      <c r="AD735" s="907"/>
      <c r="AE735" s="907"/>
      <c r="AF735" s="907"/>
      <c r="AG735" s="907"/>
      <c r="AH735" s="907"/>
      <c r="AI735" s="907"/>
      <c r="AJ735" s="907"/>
      <c r="AK735" s="907"/>
      <c r="AL735" s="907"/>
      <c r="AM735" s="907"/>
    </row>
    <row r="736" spans="1:39">
      <c r="A736" s="907"/>
      <c r="B736" s="907"/>
      <c r="C736" s="907"/>
      <c r="D736" s="907"/>
      <c r="E736" s="907"/>
      <c r="F736" s="907"/>
      <c r="G736" s="907"/>
      <c r="H736" s="907"/>
      <c r="I736" s="907"/>
      <c r="J736" s="907"/>
      <c r="K736" s="907"/>
      <c r="L736" s="907"/>
      <c r="M736" s="907"/>
      <c r="N736" s="907"/>
      <c r="O736" s="907"/>
      <c r="P736" s="907"/>
      <c r="Q736" s="907"/>
      <c r="R736" s="907"/>
      <c r="S736" s="907"/>
      <c r="T736" s="907"/>
      <c r="U736" s="907"/>
      <c r="V736" s="907"/>
      <c r="W736" s="907"/>
      <c r="X736" s="907"/>
      <c r="Y736" s="907"/>
      <c r="Z736" s="907"/>
      <c r="AA736" s="907"/>
      <c r="AB736" s="907"/>
      <c r="AC736" s="907"/>
      <c r="AD736" s="907"/>
      <c r="AE736" s="907"/>
      <c r="AF736" s="907"/>
      <c r="AG736" s="907"/>
      <c r="AH736" s="907"/>
      <c r="AI736" s="907"/>
      <c r="AJ736" s="907"/>
      <c r="AK736" s="907"/>
      <c r="AL736" s="907"/>
      <c r="AM736" s="907"/>
    </row>
    <row r="737" spans="1:39">
      <c r="A737" s="907"/>
      <c r="B737" s="907"/>
      <c r="C737" s="907"/>
      <c r="D737" s="907"/>
      <c r="E737" s="907"/>
      <c r="F737" s="907"/>
      <c r="G737" s="907"/>
      <c r="H737" s="907"/>
      <c r="I737" s="907"/>
      <c r="J737" s="907"/>
      <c r="K737" s="907"/>
      <c r="L737" s="907"/>
      <c r="M737" s="907"/>
      <c r="N737" s="907"/>
      <c r="O737" s="907"/>
      <c r="P737" s="907"/>
      <c r="Q737" s="907"/>
      <c r="R737" s="907"/>
      <c r="S737" s="907"/>
      <c r="T737" s="907"/>
      <c r="U737" s="907"/>
      <c r="V737" s="907"/>
      <c r="W737" s="907"/>
      <c r="X737" s="907"/>
      <c r="Y737" s="907"/>
      <c r="Z737" s="907"/>
      <c r="AA737" s="907"/>
      <c r="AB737" s="907"/>
      <c r="AC737" s="907"/>
      <c r="AD737" s="907"/>
      <c r="AE737" s="907"/>
      <c r="AF737" s="907"/>
      <c r="AG737" s="907"/>
      <c r="AH737" s="907"/>
      <c r="AI737" s="907"/>
      <c r="AJ737" s="907"/>
      <c r="AK737" s="907"/>
      <c r="AL737" s="907"/>
      <c r="AM737" s="907"/>
    </row>
    <row r="738" spans="1:39">
      <c r="A738" s="907"/>
      <c r="B738" s="907"/>
      <c r="C738" s="907"/>
      <c r="D738" s="907"/>
      <c r="E738" s="907"/>
      <c r="F738" s="907"/>
      <c r="G738" s="907"/>
      <c r="H738" s="907"/>
      <c r="I738" s="907"/>
      <c r="J738" s="907"/>
      <c r="K738" s="907"/>
      <c r="L738" s="907"/>
      <c r="M738" s="907"/>
      <c r="N738" s="907"/>
      <c r="O738" s="907"/>
      <c r="P738" s="907"/>
      <c r="Q738" s="907"/>
      <c r="R738" s="907"/>
      <c r="S738" s="907"/>
      <c r="T738" s="907"/>
      <c r="U738" s="907"/>
      <c r="V738" s="907"/>
      <c r="W738" s="907"/>
      <c r="X738" s="907"/>
      <c r="Y738" s="907"/>
      <c r="Z738" s="907"/>
      <c r="AA738" s="907"/>
      <c r="AB738" s="907"/>
      <c r="AC738" s="907"/>
      <c r="AD738" s="907"/>
      <c r="AE738" s="907"/>
      <c r="AF738" s="907"/>
      <c r="AG738" s="907"/>
      <c r="AH738" s="907"/>
      <c r="AI738" s="907"/>
      <c r="AJ738" s="907"/>
      <c r="AK738" s="907"/>
      <c r="AL738" s="907"/>
      <c r="AM738" s="907"/>
    </row>
    <row r="739" spans="1:39">
      <c r="A739" s="907"/>
      <c r="B739" s="907"/>
      <c r="C739" s="907"/>
      <c r="D739" s="907"/>
      <c r="E739" s="907"/>
      <c r="F739" s="907"/>
      <c r="G739" s="907"/>
      <c r="H739" s="907"/>
      <c r="I739" s="907"/>
      <c r="J739" s="907"/>
      <c r="K739" s="907"/>
      <c r="L739" s="907"/>
      <c r="M739" s="907"/>
      <c r="N739" s="907"/>
      <c r="O739" s="907"/>
      <c r="P739" s="907"/>
      <c r="Q739" s="907"/>
      <c r="R739" s="907"/>
      <c r="S739" s="907"/>
      <c r="T739" s="907"/>
      <c r="U739" s="907"/>
      <c r="V739" s="907"/>
      <c r="W739" s="907"/>
      <c r="X739" s="907"/>
      <c r="Y739" s="907"/>
      <c r="Z739" s="907"/>
      <c r="AA739" s="907"/>
      <c r="AB739" s="907"/>
      <c r="AC739" s="907"/>
      <c r="AD739" s="907"/>
      <c r="AE739" s="907"/>
      <c r="AF739" s="907"/>
      <c r="AG739" s="907"/>
      <c r="AH739" s="907"/>
      <c r="AI739" s="907"/>
      <c r="AJ739" s="907"/>
      <c r="AK739" s="907"/>
      <c r="AL739" s="907"/>
      <c r="AM739" s="907"/>
    </row>
    <row r="740" spans="1:39">
      <c r="A740" s="907"/>
      <c r="B740" s="907"/>
      <c r="C740" s="907"/>
      <c r="D740" s="907"/>
      <c r="E740" s="907"/>
      <c r="F740" s="907"/>
      <c r="G740" s="907"/>
      <c r="H740" s="907"/>
      <c r="I740" s="907"/>
      <c r="J740" s="907"/>
      <c r="K740" s="907"/>
      <c r="L740" s="907"/>
      <c r="M740" s="907"/>
      <c r="N740" s="907"/>
      <c r="O740" s="907"/>
      <c r="P740" s="907"/>
      <c r="Q740" s="907"/>
      <c r="R740" s="907"/>
      <c r="S740" s="907"/>
      <c r="T740" s="907"/>
      <c r="U740" s="907"/>
      <c r="V740" s="907"/>
      <c r="W740" s="907"/>
      <c r="X740" s="907"/>
      <c r="Y740" s="907"/>
      <c r="Z740" s="907"/>
      <c r="AA740" s="907"/>
      <c r="AB740" s="907"/>
      <c r="AC740" s="907"/>
      <c r="AD740" s="907"/>
      <c r="AE740" s="907"/>
      <c r="AF740" s="907"/>
      <c r="AG740" s="907"/>
      <c r="AH740" s="907"/>
      <c r="AI740" s="907"/>
      <c r="AJ740" s="907"/>
      <c r="AK740" s="907"/>
      <c r="AL740" s="907"/>
      <c r="AM740" s="907"/>
    </row>
    <row r="741" spans="1:39">
      <c r="A741" s="907"/>
      <c r="B741" s="907"/>
      <c r="C741" s="907"/>
      <c r="D741" s="907"/>
      <c r="E741" s="907"/>
      <c r="F741" s="907"/>
      <c r="G741" s="907"/>
      <c r="H741" s="907"/>
      <c r="I741" s="907"/>
      <c r="J741" s="907"/>
      <c r="K741" s="907"/>
      <c r="L741" s="907"/>
      <c r="M741" s="907"/>
      <c r="N741" s="907"/>
      <c r="O741" s="907"/>
      <c r="P741" s="907"/>
      <c r="Q741" s="907"/>
      <c r="R741" s="907"/>
      <c r="S741" s="907"/>
      <c r="T741" s="907"/>
      <c r="U741" s="907"/>
      <c r="V741" s="907"/>
      <c r="W741" s="907"/>
      <c r="X741" s="907"/>
      <c r="Y741" s="907"/>
      <c r="Z741" s="907"/>
      <c r="AA741" s="907"/>
      <c r="AB741" s="907"/>
      <c r="AC741" s="907"/>
      <c r="AD741" s="907"/>
      <c r="AE741" s="907"/>
      <c r="AF741" s="907"/>
      <c r="AG741" s="907"/>
      <c r="AH741" s="907"/>
      <c r="AI741" s="907"/>
      <c r="AJ741" s="907"/>
      <c r="AK741" s="907"/>
      <c r="AL741" s="907"/>
      <c r="AM741" s="907"/>
    </row>
    <row r="742" spans="1:39">
      <c r="A742" s="907"/>
      <c r="B742" s="907"/>
      <c r="C742" s="907"/>
      <c r="D742" s="907"/>
      <c r="E742" s="907"/>
      <c r="F742" s="907"/>
      <c r="G742" s="907"/>
      <c r="H742" s="907"/>
      <c r="I742" s="907"/>
      <c r="J742" s="907"/>
      <c r="K742" s="907"/>
      <c r="L742" s="907"/>
      <c r="M742" s="907"/>
      <c r="N742" s="907"/>
      <c r="O742" s="907"/>
      <c r="P742" s="907"/>
      <c r="Q742" s="907"/>
      <c r="R742" s="907"/>
      <c r="S742" s="907"/>
      <c r="T742" s="907"/>
      <c r="U742" s="907"/>
      <c r="V742" s="907"/>
      <c r="W742" s="907"/>
      <c r="X742" s="907"/>
      <c r="Y742" s="907"/>
      <c r="Z742" s="907"/>
      <c r="AA742" s="907"/>
      <c r="AB742" s="907"/>
      <c r="AC742" s="907"/>
      <c r="AD742" s="907"/>
      <c r="AE742" s="907"/>
      <c r="AF742" s="907"/>
      <c r="AG742" s="907"/>
      <c r="AH742" s="907"/>
      <c r="AI742" s="907"/>
      <c r="AJ742" s="907"/>
      <c r="AK742" s="907"/>
      <c r="AL742" s="907"/>
      <c r="AM742" s="907"/>
    </row>
    <row r="743" spans="1:39">
      <c r="A743" s="907"/>
      <c r="B743" s="907"/>
      <c r="C743" s="907"/>
      <c r="D743" s="907"/>
      <c r="E743" s="907"/>
      <c r="F743" s="907"/>
      <c r="G743" s="907"/>
      <c r="H743" s="907"/>
      <c r="I743" s="907"/>
      <c r="J743" s="907"/>
      <c r="K743" s="907"/>
      <c r="L743" s="907"/>
      <c r="M743" s="907"/>
      <c r="N743" s="907"/>
      <c r="O743" s="907"/>
      <c r="P743" s="907"/>
      <c r="Q743" s="907"/>
      <c r="R743" s="907"/>
      <c r="S743" s="907"/>
      <c r="T743" s="907"/>
      <c r="U743" s="907"/>
      <c r="V743" s="907"/>
      <c r="W743" s="907"/>
      <c r="X743" s="907"/>
      <c r="Y743" s="907"/>
      <c r="Z743" s="907"/>
      <c r="AA743" s="907"/>
      <c r="AB743" s="907"/>
      <c r="AC743" s="907"/>
      <c r="AD743" s="907"/>
      <c r="AE743" s="907"/>
      <c r="AF743" s="907"/>
      <c r="AG743" s="907"/>
      <c r="AH743" s="907"/>
      <c r="AI743" s="907"/>
      <c r="AJ743" s="907"/>
      <c r="AK743" s="907"/>
      <c r="AL743" s="907"/>
      <c r="AM743" s="907"/>
    </row>
    <row r="744" spans="1:39">
      <c r="A744" s="907"/>
      <c r="B744" s="907"/>
      <c r="C744" s="907"/>
      <c r="D744" s="907"/>
      <c r="E744" s="907"/>
      <c r="F744" s="907"/>
      <c r="G744" s="907"/>
      <c r="H744" s="907"/>
      <c r="I744" s="907"/>
      <c r="J744" s="907"/>
      <c r="K744" s="907"/>
      <c r="L744" s="907"/>
      <c r="M744" s="907"/>
      <c r="N744" s="907"/>
      <c r="O744" s="907"/>
      <c r="P744" s="907"/>
      <c r="Q744" s="907"/>
      <c r="R744" s="907"/>
      <c r="S744" s="907"/>
      <c r="T744" s="907"/>
      <c r="U744" s="907"/>
      <c r="V744" s="907"/>
      <c r="W744" s="907"/>
      <c r="X744" s="907"/>
      <c r="Y744" s="907"/>
      <c r="Z744" s="907"/>
      <c r="AA744" s="907"/>
      <c r="AB744" s="907"/>
      <c r="AC744" s="907"/>
      <c r="AD744" s="907"/>
      <c r="AE744" s="907"/>
      <c r="AF744" s="907"/>
      <c r="AG744" s="907"/>
      <c r="AH744" s="907"/>
      <c r="AI744" s="907"/>
      <c r="AJ744" s="907"/>
      <c r="AK744" s="907"/>
      <c r="AL744" s="907"/>
      <c r="AM744" s="907"/>
    </row>
    <row r="745" spans="1:39">
      <c r="A745" s="907"/>
      <c r="B745" s="907"/>
      <c r="C745" s="907"/>
      <c r="D745" s="907"/>
      <c r="E745" s="907"/>
      <c r="F745" s="907"/>
      <c r="G745" s="907"/>
      <c r="H745" s="907"/>
      <c r="I745" s="907"/>
      <c r="J745" s="907"/>
      <c r="K745" s="907"/>
      <c r="L745" s="907"/>
      <c r="M745" s="907"/>
      <c r="N745" s="907"/>
      <c r="O745" s="907"/>
      <c r="P745" s="907"/>
      <c r="Q745" s="907"/>
      <c r="R745" s="907"/>
      <c r="S745" s="907"/>
      <c r="T745" s="907"/>
      <c r="U745" s="907"/>
      <c r="V745" s="907"/>
      <c r="W745" s="907"/>
      <c r="X745" s="907"/>
      <c r="Y745" s="907"/>
      <c r="Z745" s="907"/>
      <c r="AA745" s="907"/>
      <c r="AB745" s="907"/>
      <c r="AC745" s="907"/>
      <c r="AD745" s="907"/>
      <c r="AE745" s="907"/>
      <c r="AF745" s="907"/>
      <c r="AG745" s="907"/>
      <c r="AH745" s="907"/>
      <c r="AI745" s="907"/>
      <c r="AJ745" s="907"/>
      <c r="AK745" s="907"/>
      <c r="AL745" s="907"/>
      <c r="AM745" s="907"/>
    </row>
    <row r="746" spans="1:39">
      <c r="A746" s="907"/>
      <c r="B746" s="907"/>
      <c r="C746" s="907"/>
      <c r="D746" s="907"/>
      <c r="E746" s="907"/>
      <c r="F746" s="907"/>
      <c r="G746" s="907"/>
      <c r="H746" s="907"/>
      <c r="I746" s="907"/>
      <c r="J746" s="907"/>
      <c r="K746" s="907"/>
      <c r="L746" s="907"/>
      <c r="M746" s="907"/>
      <c r="N746" s="907"/>
      <c r="O746" s="907"/>
      <c r="P746" s="907"/>
      <c r="Q746" s="907"/>
      <c r="R746" s="907"/>
      <c r="S746" s="907"/>
      <c r="T746" s="907"/>
      <c r="U746" s="907"/>
      <c r="V746" s="907"/>
      <c r="W746" s="907"/>
      <c r="X746" s="907"/>
      <c r="Y746" s="907"/>
      <c r="Z746" s="907"/>
      <c r="AA746" s="907"/>
      <c r="AB746" s="907"/>
      <c r="AC746" s="907"/>
      <c r="AD746" s="907"/>
      <c r="AE746" s="907"/>
      <c r="AF746" s="907"/>
      <c r="AG746" s="907"/>
      <c r="AH746" s="907"/>
      <c r="AI746" s="907"/>
      <c r="AJ746" s="907"/>
      <c r="AK746" s="907"/>
      <c r="AL746" s="907"/>
      <c r="AM746" s="907"/>
    </row>
    <row r="747" spans="1:39">
      <c r="A747" s="907"/>
      <c r="B747" s="907"/>
      <c r="C747" s="907"/>
      <c r="D747" s="907"/>
      <c r="E747" s="907"/>
      <c r="F747" s="907"/>
      <c r="G747" s="907"/>
      <c r="H747" s="907"/>
      <c r="I747" s="907"/>
      <c r="J747" s="907"/>
      <c r="K747" s="907"/>
      <c r="L747" s="907"/>
      <c r="M747" s="907"/>
      <c r="N747" s="907"/>
      <c r="O747" s="907"/>
      <c r="P747" s="907"/>
      <c r="Q747" s="907"/>
      <c r="R747" s="907"/>
      <c r="S747" s="907"/>
      <c r="T747" s="907"/>
      <c r="U747" s="907"/>
      <c r="V747" s="907"/>
      <c r="W747" s="907"/>
      <c r="X747" s="907"/>
      <c r="Y747" s="907"/>
      <c r="Z747" s="907"/>
      <c r="AA747" s="907"/>
      <c r="AB747" s="907"/>
      <c r="AC747" s="907"/>
      <c r="AD747" s="907"/>
      <c r="AE747" s="907"/>
      <c r="AF747" s="907"/>
      <c r="AG747" s="907"/>
      <c r="AH747" s="907"/>
      <c r="AI747" s="907"/>
      <c r="AJ747" s="907"/>
      <c r="AK747" s="907"/>
      <c r="AL747" s="907"/>
      <c r="AM747" s="907"/>
    </row>
    <row r="748" spans="1:39">
      <c r="A748" s="907"/>
      <c r="B748" s="907"/>
      <c r="C748" s="907"/>
      <c r="D748" s="907"/>
      <c r="E748" s="907"/>
      <c r="F748" s="907"/>
      <c r="G748" s="907"/>
      <c r="H748" s="907"/>
      <c r="I748" s="907"/>
      <c r="J748" s="907"/>
      <c r="K748" s="907"/>
      <c r="L748" s="907"/>
      <c r="M748" s="907"/>
      <c r="N748" s="907"/>
      <c r="O748" s="907"/>
      <c r="P748" s="907"/>
      <c r="Q748" s="907"/>
      <c r="R748" s="907"/>
      <c r="S748" s="907"/>
      <c r="T748" s="907"/>
      <c r="U748" s="907"/>
      <c r="V748" s="907"/>
      <c r="W748" s="907"/>
      <c r="X748" s="907"/>
      <c r="Y748" s="907"/>
      <c r="Z748" s="907"/>
      <c r="AA748" s="907"/>
      <c r="AB748" s="907"/>
      <c r="AC748" s="907"/>
      <c r="AD748" s="907"/>
      <c r="AE748" s="907"/>
      <c r="AF748" s="907"/>
      <c r="AG748" s="907"/>
      <c r="AH748" s="907"/>
      <c r="AI748" s="907"/>
      <c r="AJ748" s="907"/>
      <c r="AK748" s="907"/>
      <c r="AL748" s="907"/>
      <c r="AM748" s="907"/>
    </row>
    <row r="749" spans="1:39">
      <c r="A749" s="907"/>
      <c r="B749" s="907"/>
      <c r="C749" s="907"/>
      <c r="D749" s="907"/>
      <c r="E749" s="907"/>
      <c r="F749" s="907"/>
      <c r="G749" s="907"/>
      <c r="H749" s="907"/>
      <c r="I749" s="907"/>
      <c r="J749" s="907"/>
      <c r="K749" s="907"/>
      <c r="L749" s="907"/>
      <c r="M749" s="907"/>
      <c r="N749" s="907"/>
      <c r="O749" s="907"/>
      <c r="P749" s="907"/>
      <c r="Q749" s="907"/>
      <c r="R749" s="907"/>
      <c r="S749" s="907"/>
      <c r="T749" s="907"/>
      <c r="U749" s="907"/>
      <c r="V749" s="907"/>
      <c r="W749" s="907"/>
      <c r="X749" s="907"/>
      <c r="Y749" s="907"/>
      <c r="Z749" s="907"/>
      <c r="AA749" s="907"/>
      <c r="AB749" s="907"/>
      <c r="AC749" s="907"/>
      <c r="AD749" s="907"/>
      <c r="AE749" s="907"/>
      <c r="AF749" s="907"/>
      <c r="AG749" s="907"/>
      <c r="AH749" s="907"/>
      <c r="AI749" s="907"/>
      <c r="AJ749" s="907"/>
      <c r="AK749" s="907"/>
      <c r="AL749" s="907"/>
      <c r="AM749" s="907"/>
    </row>
    <row r="750" spans="1:39">
      <c r="A750" s="907"/>
      <c r="B750" s="907"/>
      <c r="C750" s="907"/>
      <c r="D750" s="907"/>
      <c r="E750" s="907"/>
      <c r="F750" s="907"/>
      <c r="G750" s="907"/>
      <c r="H750" s="907"/>
      <c r="I750" s="907"/>
      <c r="J750" s="907"/>
      <c r="K750" s="907"/>
      <c r="L750" s="907"/>
      <c r="M750" s="907"/>
      <c r="N750" s="907"/>
      <c r="O750" s="907"/>
      <c r="P750" s="907"/>
      <c r="Q750" s="907"/>
      <c r="R750" s="907"/>
      <c r="S750" s="907"/>
      <c r="T750" s="907"/>
      <c r="U750" s="907"/>
      <c r="V750" s="907"/>
      <c r="W750" s="907"/>
      <c r="X750" s="907"/>
      <c r="Y750" s="907"/>
      <c r="Z750" s="907"/>
      <c r="AA750" s="907"/>
      <c r="AB750" s="907"/>
      <c r="AC750" s="907"/>
      <c r="AD750" s="907"/>
      <c r="AE750" s="907"/>
      <c r="AF750" s="907"/>
      <c r="AG750" s="907"/>
      <c r="AH750" s="907"/>
      <c r="AI750" s="907"/>
      <c r="AJ750" s="907"/>
      <c r="AK750" s="907"/>
      <c r="AL750" s="907"/>
      <c r="AM750" s="907"/>
    </row>
    <row r="751" spans="1:39">
      <c r="A751" s="907"/>
      <c r="B751" s="907"/>
      <c r="C751" s="907"/>
      <c r="D751" s="907"/>
      <c r="E751" s="907"/>
      <c r="F751" s="907"/>
      <c r="G751" s="907"/>
      <c r="H751" s="907"/>
      <c r="I751" s="907"/>
      <c r="J751" s="907"/>
      <c r="K751" s="907"/>
      <c r="L751" s="907"/>
      <c r="M751" s="907"/>
      <c r="N751" s="907"/>
      <c r="O751" s="907"/>
      <c r="P751" s="907"/>
      <c r="Q751" s="907"/>
      <c r="R751" s="907"/>
      <c r="S751" s="907"/>
      <c r="T751" s="907"/>
      <c r="U751" s="907"/>
      <c r="V751" s="907"/>
      <c r="W751" s="907"/>
      <c r="X751" s="907"/>
      <c r="Y751" s="907"/>
      <c r="Z751" s="907"/>
      <c r="AA751" s="907"/>
      <c r="AB751" s="907"/>
      <c r="AC751" s="907"/>
      <c r="AD751" s="907"/>
      <c r="AE751" s="907"/>
      <c r="AF751" s="907"/>
      <c r="AG751" s="907"/>
      <c r="AH751" s="907"/>
      <c r="AI751" s="907"/>
      <c r="AJ751" s="907"/>
      <c r="AK751" s="907"/>
      <c r="AL751" s="907"/>
      <c r="AM751" s="907"/>
    </row>
    <row r="752" spans="1:39">
      <c r="A752" s="907"/>
      <c r="B752" s="907"/>
      <c r="C752" s="907"/>
      <c r="D752" s="907"/>
      <c r="E752" s="907"/>
      <c r="F752" s="907"/>
      <c r="G752" s="907"/>
      <c r="H752" s="907"/>
      <c r="I752" s="907"/>
      <c r="J752" s="907"/>
      <c r="K752" s="907"/>
      <c r="L752" s="907"/>
      <c r="M752" s="907"/>
      <c r="N752" s="907"/>
      <c r="O752" s="907"/>
      <c r="P752" s="907"/>
      <c r="Q752" s="907"/>
      <c r="R752" s="907"/>
      <c r="S752" s="907"/>
      <c r="T752" s="907"/>
      <c r="U752" s="907"/>
      <c r="V752" s="907"/>
      <c r="W752" s="907"/>
      <c r="X752" s="907"/>
      <c r="Y752" s="907"/>
      <c r="Z752" s="907"/>
      <c r="AA752" s="907"/>
      <c r="AB752" s="907"/>
      <c r="AC752" s="907"/>
      <c r="AD752" s="907"/>
      <c r="AE752" s="907"/>
      <c r="AF752" s="907"/>
      <c r="AG752" s="907"/>
      <c r="AH752" s="907"/>
      <c r="AI752" s="907"/>
      <c r="AJ752" s="907"/>
      <c r="AK752" s="907"/>
      <c r="AL752" s="907"/>
      <c r="AM752" s="907"/>
    </row>
    <row r="753" spans="1:39">
      <c r="A753" s="907"/>
      <c r="B753" s="907"/>
      <c r="C753" s="907"/>
      <c r="D753" s="907"/>
      <c r="E753" s="907"/>
      <c r="F753" s="907"/>
      <c r="G753" s="907"/>
      <c r="H753" s="907"/>
      <c r="I753" s="907"/>
      <c r="J753" s="907"/>
      <c r="K753" s="907"/>
      <c r="L753" s="907"/>
      <c r="M753" s="907"/>
      <c r="N753" s="907"/>
      <c r="O753" s="907"/>
      <c r="P753" s="907"/>
      <c r="Q753" s="907"/>
      <c r="R753" s="907"/>
      <c r="S753" s="907"/>
      <c r="T753" s="907"/>
      <c r="U753" s="907"/>
      <c r="V753" s="907"/>
      <c r="W753" s="907"/>
      <c r="X753" s="907"/>
      <c r="Y753" s="907"/>
      <c r="Z753" s="907"/>
      <c r="AA753" s="907"/>
      <c r="AB753" s="907"/>
      <c r="AC753" s="907"/>
      <c r="AD753" s="907"/>
      <c r="AE753" s="907"/>
      <c r="AF753" s="907"/>
      <c r="AG753" s="907"/>
      <c r="AH753" s="907"/>
      <c r="AI753" s="907"/>
      <c r="AJ753" s="907"/>
      <c r="AK753" s="907"/>
      <c r="AL753" s="907"/>
      <c r="AM753" s="907"/>
    </row>
    <row r="754" spans="1:39">
      <c r="A754" s="907"/>
      <c r="B754" s="907"/>
      <c r="C754" s="907"/>
      <c r="D754" s="907"/>
      <c r="E754" s="907"/>
      <c r="F754" s="907"/>
      <c r="G754" s="907"/>
      <c r="H754" s="907"/>
      <c r="I754" s="907"/>
      <c r="J754" s="907"/>
      <c r="K754" s="907"/>
      <c r="L754" s="907"/>
      <c r="M754" s="907"/>
      <c r="N754" s="907"/>
      <c r="O754" s="907"/>
      <c r="P754" s="907"/>
      <c r="Q754" s="907"/>
      <c r="R754" s="907"/>
      <c r="S754" s="907"/>
      <c r="T754" s="907"/>
      <c r="U754" s="907"/>
      <c r="V754" s="907"/>
      <c r="W754" s="907"/>
      <c r="X754" s="907"/>
      <c r="Y754" s="907"/>
      <c r="Z754" s="907"/>
      <c r="AA754" s="907"/>
      <c r="AB754" s="907"/>
      <c r="AC754" s="907"/>
      <c r="AD754" s="907"/>
      <c r="AE754" s="907"/>
      <c r="AF754" s="907"/>
      <c r="AG754" s="907"/>
      <c r="AH754" s="907"/>
      <c r="AI754" s="907"/>
      <c r="AJ754" s="907"/>
      <c r="AK754" s="907"/>
      <c r="AL754" s="907"/>
      <c r="AM754" s="907"/>
    </row>
    <row r="755" spans="1:39">
      <c r="A755" s="907"/>
      <c r="B755" s="907"/>
      <c r="C755" s="907"/>
      <c r="D755" s="907"/>
      <c r="E755" s="907"/>
      <c r="F755" s="907"/>
      <c r="G755" s="907"/>
      <c r="H755" s="907"/>
      <c r="I755" s="907"/>
      <c r="J755" s="907"/>
      <c r="K755" s="907"/>
      <c r="L755" s="907"/>
      <c r="M755" s="907"/>
      <c r="N755" s="907"/>
      <c r="O755" s="907"/>
      <c r="P755" s="907"/>
      <c r="Q755" s="907"/>
      <c r="R755" s="907"/>
      <c r="S755" s="907"/>
      <c r="T755" s="907"/>
      <c r="U755" s="907"/>
      <c r="V755" s="907"/>
      <c r="W755" s="907"/>
      <c r="X755" s="907"/>
      <c r="Y755" s="907"/>
      <c r="Z755" s="907"/>
      <c r="AA755" s="907"/>
      <c r="AB755" s="907"/>
      <c r="AC755" s="907"/>
      <c r="AD755" s="907"/>
      <c r="AE755" s="907"/>
      <c r="AF755" s="907"/>
      <c r="AG755" s="907"/>
      <c r="AH755" s="907"/>
      <c r="AI755" s="907"/>
      <c r="AJ755" s="907"/>
      <c r="AK755" s="907"/>
      <c r="AL755" s="907"/>
      <c r="AM755" s="907"/>
    </row>
    <row r="756" spans="1:39">
      <c r="A756" s="907"/>
      <c r="B756" s="907"/>
      <c r="C756" s="907"/>
      <c r="D756" s="907"/>
      <c r="E756" s="907"/>
      <c r="F756" s="907"/>
      <c r="G756" s="907"/>
      <c r="H756" s="907"/>
      <c r="I756" s="907"/>
      <c r="J756" s="907"/>
      <c r="K756" s="907"/>
      <c r="L756" s="907"/>
      <c r="M756" s="907"/>
      <c r="N756" s="907"/>
      <c r="O756" s="907"/>
      <c r="P756" s="907"/>
      <c r="Q756" s="907"/>
      <c r="R756" s="907"/>
      <c r="S756" s="907"/>
      <c r="T756" s="907"/>
      <c r="U756" s="907"/>
      <c r="V756" s="907"/>
      <c r="W756" s="907"/>
      <c r="X756" s="907"/>
      <c r="Y756" s="907"/>
      <c r="Z756" s="907"/>
      <c r="AA756" s="907"/>
      <c r="AB756" s="907"/>
      <c r="AC756" s="907"/>
      <c r="AD756" s="907"/>
      <c r="AE756" s="907"/>
      <c r="AF756" s="907"/>
      <c r="AG756" s="907"/>
      <c r="AH756" s="907"/>
      <c r="AI756" s="907"/>
      <c r="AJ756" s="907"/>
      <c r="AK756" s="907"/>
      <c r="AL756" s="907"/>
      <c r="AM756" s="907"/>
    </row>
    <row r="757" spans="1:39">
      <c r="A757" s="907"/>
      <c r="B757" s="907"/>
      <c r="C757" s="907"/>
      <c r="D757" s="907"/>
      <c r="E757" s="907"/>
      <c r="F757" s="907"/>
      <c r="G757" s="907"/>
      <c r="H757" s="907"/>
      <c r="I757" s="907"/>
      <c r="J757" s="907"/>
      <c r="K757" s="907"/>
      <c r="L757" s="907"/>
      <c r="M757" s="907"/>
      <c r="N757" s="907"/>
      <c r="O757" s="907"/>
      <c r="P757" s="907"/>
      <c r="Q757" s="907"/>
      <c r="R757" s="907"/>
      <c r="S757" s="907"/>
      <c r="T757" s="907"/>
      <c r="U757" s="907"/>
      <c r="V757" s="907"/>
      <c r="W757" s="907"/>
      <c r="X757" s="907"/>
      <c r="Y757" s="907"/>
      <c r="Z757" s="907"/>
      <c r="AA757" s="907"/>
      <c r="AB757" s="907"/>
      <c r="AC757" s="907"/>
      <c r="AD757" s="907"/>
      <c r="AE757" s="907"/>
      <c r="AF757" s="907"/>
      <c r="AG757" s="907"/>
      <c r="AH757" s="907"/>
      <c r="AI757" s="907"/>
      <c r="AJ757" s="907"/>
      <c r="AK757" s="907"/>
      <c r="AL757" s="907"/>
      <c r="AM757" s="907"/>
    </row>
    <row r="758" spans="1:39">
      <c r="A758" s="907"/>
      <c r="B758" s="907"/>
      <c r="C758" s="907"/>
      <c r="D758" s="907"/>
      <c r="E758" s="907"/>
      <c r="F758" s="907"/>
      <c r="G758" s="907"/>
      <c r="H758" s="907"/>
      <c r="I758" s="907"/>
      <c r="J758" s="907"/>
      <c r="K758" s="907"/>
      <c r="L758" s="907"/>
      <c r="M758" s="907"/>
      <c r="N758" s="907"/>
      <c r="O758" s="907"/>
      <c r="P758" s="907"/>
      <c r="Q758" s="907"/>
      <c r="R758" s="907"/>
      <c r="S758" s="907"/>
      <c r="T758" s="907"/>
      <c r="U758" s="907"/>
      <c r="V758" s="907"/>
      <c r="W758" s="907"/>
      <c r="X758" s="907"/>
      <c r="Y758" s="907"/>
      <c r="Z758" s="907"/>
      <c r="AA758" s="907"/>
      <c r="AB758" s="907"/>
      <c r="AC758" s="907"/>
      <c r="AD758" s="907"/>
      <c r="AE758" s="907"/>
      <c r="AF758" s="907"/>
      <c r="AG758" s="907"/>
      <c r="AH758" s="907"/>
      <c r="AI758" s="907"/>
      <c r="AJ758" s="907"/>
      <c r="AK758" s="907"/>
      <c r="AL758" s="907"/>
      <c r="AM758" s="907"/>
    </row>
    <row r="759" spans="1:39">
      <c r="A759" s="907"/>
      <c r="B759" s="907"/>
      <c r="C759" s="907"/>
      <c r="D759" s="907"/>
      <c r="E759" s="907"/>
      <c r="F759" s="907"/>
      <c r="G759" s="907"/>
      <c r="H759" s="907"/>
      <c r="I759" s="907"/>
      <c r="J759" s="907"/>
      <c r="K759" s="907"/>
      <c r="L759" s="907"/>
      <c r="M759" s="907"/>
      <c r="N759" s="907"/>
      <c r="O759" s="907"/>
      <c r="P759" s="907"/>
      <c r="Q759" s="907"/>
      <c r="R759" s="907"/>
      <c r="S759" s="907"/>
      <c r="T759" s="907"/>
      <c r="U759" s="907"/>
      <c r="V759" s="907"/>
      <c r="W759" s="907"/>
      <c r="X759" s="907"/>
      <c r="Y759" s="907"/>
      <c r="Z759" s="907"/>
      <c r="AA759" s="907"/>
      <c r="AB759" s="907"/>
      <c r="AC759" s="907"/>
      <c r="AD759" s="907"/>
      <c r="AE759" s="907"/>
      <c r="AF759" s="907"/>
      <c r="AG759" s="907"/>
      <c r="AH759" s="907"/>
      <c r="AI759" s="907"/>
      <c r="AJ759" s="907"/>
      <c r="AK759" s="907"/>
      <c r="AL759" s="907"/>
      <c r="AM759" s="907"/>
    </row>
    <row r="760" spans="1:39">
      <c r="A760" s="907"/>
      <c r="B760" s="907"/>
      <c r="C760" s="907"/>
      <c r="D760" s="907"/>
      <c r="E760" s="907"/>
      <c r="F760" s="907"/>
      <c r="G760" s="907"/>
      <c r="H760" s="907"/>
      <c r="I760" s="907"/>
      <c r="J760" s="907"/>
      <c r="K760" s="907"/>
      <c r="L760" s="907"/>
      <c r="M760" s="907"/>
      <c r="N760" s="907"/>
      <c r="O760" s="907"/>
      <c r="P760" s="907"/>
      <c r="Q760" s="907"/>
      <c r="R760" s="907"/>
      <c r="S760" s="907"/>
      <c r="T760" s="907"/>
      <c r="U760" s="907"/>
      <c r="V760" s="907"/>
      <c r="W760" s="907"/>
      <c r="X760" s="907"/>
      <c r="Y760" s="907"/>
      <c r="Z760" s="907"/>
      <c r="AA760" s="907"/>
      <c r="AB760" s="907"/>
      <c r="AC760" s="907"/>
      <c r="AD760" s="907"/>
      <c r="AE760" s="907"/>
      <c r="AF760" s="907"/>
      <c r="AG760" s="907"/>
      <c r="AH760" s="907"/>
      <c r="AI760" s="907"/>
      <c r="AJ760" s="907"/>
      <c r="AK760" s="907"/>
      <c r="AL760" s="907"/>
      <c r="AM760" s="907"/>
    </row>
    <row r="761" spans="1:39">
      <c r="A761" s="907"/>
      <c r="B761" s="907"/>
      <c r="C761" s="907"/>
      <c r="D761" s="907"/>
      <c r="E761" s="907"/>
      <c r="F761" s="907"/>
      <c r="G761" s="907"/>
      <c r="H761" s="907"/>
      <c r="I761" s="907"/>
      <c r="J761" s="907"/>
      <c r="K761" s="907"/>
      <c r="L761" s="907"/>
      <c r="M761" s="907"/>
      <c r="N761" s="907"/>
      <c r="O761" s="907"/>
      <c r="P761" s="907"/>
      <c r="Q761" s="907"/>
      <c r="R761" s="907"/>
      <c r="S761" s="907"/>
      <c r="T761" s="907"/>
      <c r="U761" s="907"/>
      <c r="V761" s="907"/>
      <c r="W761" s="907"/>
      <c r="X761" s="907"/>
      <c r="Y761" s="907"/>
      <c r="Z761" s="907"/>
      <c r="AA761" s="907"/>
      <c r="AB761" s="907"/>
      <c r="AC761" s="907"/>
      <c r="AD761" s="907"/>
      <c r="AE761" s="907"/>
      <c r="AF761" s="907"/>
      <c r="AG761" s="907"/>
      <c r="AH761" s="907"/>
      <c r="AI761" s="907"/>
      <c r="AJ761" s="907"/>
      <c r="AK761" s="907"/>
      <c r="AL761" s="907"/>
      <c r="AM761" s="907"/>
    </row>
    <row r="762" spans="1:39">
      <c r="A762" s="907"/>
      <c r="B762" s="907"/>
      <c r="C762" s="907"/>
      <c r="D762" s="907"/>
      <c r="E762" s="907"/>
      <c r="F762" s="907"/>
      <c r="G762" s="907"/>
      <c r="H762" s="907"/>
      <c r="I762" s="907"/>
      <c r="J762" s="907"/>
      <c r="K762" s="907"/>
      <c r="L762" s="907"/>
      <c r="M762" s="907"/>
      <c r="N762" s="907"/>
      <c r="O762" s="907"/>
      <c r="P762" s="907"/>
      <c r="Q762" s="907"/>
      <c r="R762" s="907"/>
      <c r="S762" s="907"/>
      <c r="T762" s="907"/>
      <c r="U762" s="907"/>
      <c r="V762" s="907"/>
      <c r="W762" s="907"/>
      <c r="X762" s="907"/>
      <c r="Y762" s="907"/>
      <c r="Z762" s="907"/>
      <c r="AA762" s="907"/>
      <c r="AB762" s="907"/>
      <c r="AC762" s="907"/>
      <c r="AD762" s="907"/>
      <c r="AE762" s="907"/>
      <c r="AF762" s="907"/>
      <c r="AG762" s="907"/>
      <c r="AH762" s="907"/>
      <c r="AI762" s="907"/>
      <c r="AJ762" s="907"/>
      <c r="AK762" s="907"/>
      <c r="AL762" s="907"/>
      <c r="AM762" s="907"/>
    </row>
    <row r="763" spans="1:39">
      <c r="A763" s="907"/>
      <c r="B763" s="907"/>
      <c r="C763" s="907"/>
      <c r="D763" s="907"/>
      <c r="E763" s="907"/>
      <c r="F763" s="907"/>
      <c r="G763" s="907"/>
      <c r="H763" s="907"/>
      <c r="I763" s="907"/>
      <c r="J763" s="907"/>
      <c r="K763" s="907"/>
      <c r="L763" s="907"/>
      <c r="M763" s="907"/>
      <c r="N763" s="907"/>
      <c r="O763" s="907"/>
      <c r="P763" s="907"/>
      <c r="Q763" s="907"/>
      <c r="R763" s="907"/>
      <c r="S763" s="907"/>
      <c r="T763" s="907"/>
      <c r="U763" s="907"/>
      <c r="V763" s="907"/>
      <c r="W763" s="907"/>
      <c r="X763" s="907"/>
      <c r="Y763" s="907"/>
      <c r="Z763" s="907"/>
      <c r="AA763" s="907"/>
      <c r="AB763" s="907"/>
      <c r="AC763" s="907"/>
      <c r="AD763" s="907"/>
      <c r="AE763" s="907"/>
      <c r="AF763" s="907"/>
      <c r="AG763" s="907"/>
      <c r="AH763" s="907"/>
      <c r="AI763" s="907"/>
      <c r="AJ763" s="907"/>
      <c r="AK763" s="907"/>
      <c r="AL763" s="907"/>
      <c r="AM763" s="907"/>
    </row>
    <row r="764" spans="1:39">
      <c r="A764" s="907"/>
      <c r="B764" s="907"/>
      <c r="C764" s="907"/>
      <c r="D764" s="907"/>
      <c r="E764" s="907"/>
      <c r="F764" s="907"/>
      <c r="G764" s="907"/>
      <c r="H764" s="907"/>
      <c r="I764" s="907"/>
      <c r="J764" s="907"/>
      <c r="K764" s="907"/>
      <c r="L764" s="907"/>
      <c r="M764" s="907"/>
      <c r="N764" s="907"/>
      <c r="O764" s="907"/>
      <c r="P764" s="907"/>
      <c r="Q764" s="907"/>
      <c r="R764" s="907"/>
      <c r="S764" s="907"/>
      <c r="T764" s="907"/>
      <c r="U764" s="907"/>
      <c r="V764" s="907"/>
      <c r="W764" s="907"/>
      <c r="X764" s="907"/>
      <c r="Y764" s="907"/>
      <c r="Z764" s="907"/>
      <c r="AA764" s="907"/>
      <c r="AB764" s="907"/>
      <c r="AC764" s="907"/>
      <c r="AD764" s="907"/>
      <c r="AE764" s="907"/>
      <c r="AF764" s="907"/>
      <c r="AG764" s="907"/>
      <c r="AH764" s="907"/>
      <c r="AI764" s="907"/>
      <c r="AJ764" s="907"/>
      <c r="AK764" s="907"/>
      <c r="AL764" s="907"/>
      <c r="AM764" s="907"/>
    </row>
    <row r="765" spans="1:39">
      <c r="A765" s="907"/>
      <c r="B765" s="907"/>
      <c r="C765" s="907"/>
      <c r="D765" s="907"/>
      <c r="E765" s="907"/>
      <c r="F765" s="907"/>
      <c r="G765" s="907"/>
      <c r="H765" s="907"/>
      <c r="I765" s="907"/>
      <c r="J765" s="907"/>
      <c r="K765" s="907"/>
      <c r="L765" s="907"/>
      <c r="M765" s="907"/>
      <c r="N765" s="907"/>
      <c r="O765" s="907"/>
      <c r="P765" s="907"/>
      <c r="Q765" s="907"/>
      <c r="R765" s="907"/>
      <c r="S765" s="907"/>
      <c r="T765" s="907"/>
      <c r="U765" s="907"/>
      <c r="V765" s="907"/>
      <c r="W765" s="907"/>
      <c r="X765" s="907"/>
      <c r="Y765" s="907"/>
      <c r="Z765" s="907"/>
      <c r="AA765" s="907"/>
      <c r="AB765" s="907"/>
      <c r="AC765" s="907"/>
      <c r="AD765" s="907"/>
      <c r="AE765" s="907"/>
      <c r="AF765" s="907"/>
      <c r="AG765" s="907"/>
      <c r="AH765" s="907"/>
      <c r="AI765" s="907"/>
      <c r="AJ765" s="907"/>
      <c r="AK765" s="907"/>
      <c r="AL765" s="907"/>
      <c r="AM765" s="907"/>
    </row>
    <row r="766" spans="1:39">
      <c r="A766" s="907"/>
      <c r="B766" s="907"/>
      <c r="C766" s="907"/>
      <c r="D766" s="907"/>
      <c r="E766" s="907"/>
      <c r="F766" s="907"/>
      <c r="G766" s="907"/>
      <c r="H766" s="907"/>
      <c r="I766" s="907"/>
      <c r="J766" s="907"/>
      <c r="K766" s="907"/>
      <c r="L766" s="907"/>
      <c r="M766" s="907"/>
      <c r="N766" s="907"/>
      <c r="O766" s="907"/>
      <c r="P766" s="907"/>
      <c r="Q766" s="907"/>
      <c r="R766" s="907"/>
      <c r="S766" s="907"/>
      <c r="T766" s="907"/>
      <c r="U766" s="907"/>
      <c r="V766" s="907"/>
      <c r="W766" s="907"/>
      <c r="X766" s="907"/>
      <c r="Y766" s="907"/>
      <c r="Z766" s="907"/>
      <c r="AA766" s="907"/>
      <c r="AB766" s="907"/>
      <c r="AC766" s="907"/>
      <c r="AD766" s="907"/>
      <c r="AE766" s="907"/>
      <c r="AF766" s="907"/>
      <c r="AG766" s="907"/>
      <c r="AH766" s="907"/>
      <c r="AI766" s="907"/>
      <c r="AJ766" s="907"/>
      <c r="AK766" s="907"/>
      <c r="AL766" s="907"/>
      <c r="AM766" s="907"/>
    </row>
    <row r="767" spans="1:39">
      <c r="A767" s="907"/>
      <c r="B767" s="907"/>
      <c r="C767" s="907"/>
      <c r="D767" s="907"/>
      <c r="E767" s="907"/>
      <c r="F767" s="907"/>
      <c r="G767" s="907"/>
      <c r="H767" s="907"/>
      <c r="I767" s="907"/>
      <c r="J767" s="907"/>
      <c r="K767" s="907"/>
      <c r="L767" s="907"/>
      <c r="M767" s="907"/>
      <c r="N767" s="907"/>
      <c r="O767" s="907"/>
      <c r="P767" s="907"/>
      <c r="Q767" s="907"/>
      <c r="R767" s="907"/>
      <c r="S767" s="907"/>
      <c r="T767" s="907"/>
      <c r="U767" s="907"/>
      <c r="V767" s="907"/>
      <c r="W767" s="907"/>
      <c r="X767" s="907"/>
      <c r="Y767" s="907"/>
      <c r="Z767" s="907"/>
      <c r="AA767" s="907"/>
      <c r="AB767" s="907"/>
      <c r="AC767" s="907"/>
      <c r="AD767" s="907"/>
      <c r="AE767" s="907"/>
      <c r="AF767" s="907"/>
      <c r="AG767" s="907"/>
      <c r="AH767" s="907"/>
      <c r="AI767" s="907"/>
      <c r="AJ767" s="907"/>
      <c r="AK767" s="907"/>
      <c r="AL767" s="907"/>
      <c r="AM767" s="907"/>
    </row>
    <row r="768" spans="1:39">
      <c r="A768" s="907"/>
      <c r="B768" s="907"/>
      <c r="C768" s="907"/>
      <c r="D768" s="907"/>
      <c r="E768" s="907"/>
      <c r="F768" s="907"/>
      <c r="G768" s="907"/>
      <c r="H768" s="907"/>
      <c r="I768" s="907"/>
      <c r="J768" s="907"/>
      <c r="K768" s="907"/>
      <c r="L768" s="907"/>
      <c r="M768" s="907"/>
      <c r="N768" s="907"/>
      <c r="O768" s="907"/>
      <c r="P768" s="907"/>
      <c r="Q768" s="907"/>
      <c r="R768" s="907"/>
      <c r="S768" s="907"/>
      <c r="T768" s="907"/>
      <c r="U768" s="907"/>
      <c r="V768" s="907"/>
      <c r="W768" s="907"/>
      <c r="X768" s="907"/>
      <c r="Y768" s="907"/>
      <c r="Z768" s="907"/>
      <c r="AA768" s="907"/>
      <c r="AB768" s="907"/>
      <c r="AC768" s="907"/>
      <c r="AD768" s="907"/>
      <c r="AE768" s="907"/>
      <c r="AF768" s="907"/>
      <c r="AG768" s="907"/>
      <c r="AH768" s="907"/>
      <c r="AI768" s="907"/>
      <c r="AJ768" s="907"/>
      <c r="AK768" s="907"/>
      <c r="AL768" s="907"/>
      <c r="AM768" s="907"/>
    </row>
    <row r="769" spans="1:39">
      <c r="A769" s="907"/>
      <c r="B769" s="907"/>
      <c r="C769" s="907"/>
      <c r="D769" s="907"/>
      <c r="E769" s="907"/>
      <c r="F769" s="907"/>
      <c r="G769" s="907"/>
      <c r="H769" s="907"/>
      <c r="I769" s="907"/>
      <c r="J769" s="907"/>
      <c r="K769" s="907"/>
      <c r="L769" s="907"/>
      <c r="M769" s="907"/>
      <c r="N769" s="907"/>
      <c r="O769" s="907"/>
      <c r="P769" s="907"/>
      <c r="Q769" s="907"/>
      <c r="R769" s="907"/>
      <c r="S769" s="907"/>
      <c r="T769" s="907"/>
      <c r="U769" s="907"/>
      <c r="V769" s="907"/>
      <c r="W769" s="907"/>
      <c r="X769" s="907"/>
      <c r="Y769" s="907"/>
      <c r="Z769" s="907"/>
      <c r="AA769" s="907"/>
      <c r="AB769" s="907"/>
      <c r="AC769" s="907"/>
      <c r="AD769" s="907"/>
      <c r="AE769" s="907"/>
      <c r="AF769" s="907"/>
      <c r="AG769" s="907"/>
      <c r="AH769" s="907"/>
      <c r="AI769" s="907"/>
      <c r="AJ769" s="907"/>
      <c r="AK769" s="907"/>
      <c r="AL769" s="907"/>
      <c r="AM769" s="907"/>
    </row>
    <row r="770" spans="1:39">
      <c r="A770" s="907"/>
      <c r="B770" s="907"/>
      <c r="C770" s="907"/>
      <c r="D770" s="907"/>
      <c r="E770" s="907"/>
      <c r="F770" s="907"/>
      <c r="G770" s="907"/>
      <c r="H770" s="907"/>
      <c r="I770" s="907"/>
      <c r="J770" s="907"/>
      <c r="K770" s="907"/>
      <c r="L770" s="907"/>
      <c r="M770" s="907"/>
      <c r="N770" s="907"/>
      <c r="O770" s="907"/>
      <c r="P770" s="907"/>
      <c r="Q770" s="907"/>
      <c r="R770" s="907"/>
      <c r="S770" s="907"/>
      <c r="T770" s="907"/>
      <c r="U770" s="907"/>
      <c r="V770" s="907"/>
      <c r="W770" s="907"/>
      <c r="X770" s="907"/>
      <c r="Y770" s="907"/>
      <c r="Z770" s="907"/>
      <c r="AA770" s="907"/>
      <c r="AB770" s="907"/>
      <c r="AC770" s="907"/>
      <c r="AD770" s="907"/>
      <c r="AE770" s="907"/>
      <c r="AF770" s="907"/>
      <c r="AG770" s="907"/>
      <c r="AH770" s="907"/>
      <c r="AI770" s="907"/>
      <c r="AJ770" s="907"/>
      <c r="AK770" s="907"/>
      <c r="AL770" s="907"/>
      <c r="AM770" s="907"/>
    </row>
    <row r="771" spans="1:39">
      <c r="A771" s="907"/>
      <c r="B771" s="907"/>
      <c r="C771" s="907"/>
      <c r="D771" s="907"/>
      <c r="E771" s="907"/>
      <c r="F771" s="907"/>
      <c r="G771" s="907"/>
      <c r="H771" s="907"/>
      <c r="I771" s="907"/>
      <c r="J771" s="907"/>
      <c r="K771" s="907"/>
      <c r="L771" s="907"/>
      <c r="M771" s="907"/>
      <c r="N771" s="907"/>
      <c r="O771" s="907"/>
      <c r="P771" s="907"/>
      <c r="Q771" s="907"/>
      <c r="R771" s="907"/>
      <c r="S771" s="907"/>
      <c r="T771" s="907"/>
      <c r="U771" s="907"/>
      <c r="V771" s="907"/>
      <c r="W771" s="907"/>
      <c r="X771" s="907"/>
      <c r="Y771" s="907"/>
      <c r="Z771" s="907"/>
      <c r="AA771" s="907"/>
      <c r="AB771" s="907"/>
      <c r="AC771" s="907"/>
      <c r="AD771" s="907"/>
      <c r="AE771" s="907"/>
      <c r="AF771" s="907"/>
      <c r="AG771" s="907"/>
      <c r="AH771" s="907"/>
      <c r="AI771" s="907"/>
      <c r="AJ771" s="907"/>
      <c r="AK771" s="907"/>
      <c r="AL771" s="907"/>
      <c r="AM771" s="907"/>
    </row>
    <row r="772" spans="1:39">
      <c r="A772" s="907"/>
      <c r="B772" s="907"/>
      <c r="C772" s="907"/>
      <c r="D772" s="907"/>
      <c r="E772" s="907"/>
      <c r="F772" s="907"/>
      <c r="G772" s="907"/>
      <c r="H772" s="907"/>
      <c r="I772" s="907"/>
      <c r="J772" s="907"/>
      <c r="K772" s="907"/>
      <c r="L772" s="907"/>
      <c r="M772" s="907"/>
      <c r="N772" s="907"/>
      <c r="O772" s="907"/>
      <c r="P772" s="907"/>
      <c r="Q772" s="907"/>
      <c r="R772" s="907"/>
      <c r="S772" s="907"/>
      <c r="T772" s="907"/>
      <c r="U772" s="907"/>
      <c r="V772" s="907"/>
      <c r="W772" s="907"/>
      <c r="X772" s="907"/>
      <c r="Y772" s="907"/>
      <c r="Z772" s="907"/>
      <c r="AA772" s="907"/>
      <c r="AB772" s="907"/>
      <c r="AC772" s="907"/>
      <c r="AD772" s="907"/>
      <c r="AE772" s="907"/>
      <c r="AF772" s="907"/>
      <c r="AG772" s="907"/>
      <c r="AH772" s="907"/>
      <c r="AI772" s="907"/>
      <c r="AJ772" s="907"/>
      <c r="AK772" s="907"/>
      <c r="AL772" s="907"/>
      <c r="AM772" s="907"/>
    </row>
    <row r="773" spans="1:39">
      <c r="A773" s="907"/>
      <c r="B773" s="907"/>
      <c r="C773" s="907"/>
      <c r="D773" s="907"/>
      <c r="E773" s="907"/>
      <c r="F773" s="907"/>
      <c r="G773" s="907"/>
      <c r="H773" s="907"/>
      <c r="I773" s="907"/>
      <c r="J773" s="907"/>
      <c r="K773" s="907"/>
      <c r="L773" s="907"/>
      <c r="M773" s="907"/>
      <c r="N773" s="907"/>
      <c r="O773" s="907"/>
      <c r="P773" s="907"/>
      <c r="Q773" s="907"/>
      <c r="R773" s="907"/>
      <c r="S773" s="907"/>
      <c r="T773" s="907"/>
      <c r="U773" s="907"/>
      <c r="V773" s="907"/>
      <c r="W773" s="907"/>
      <c r="X773" s="907"/>
      <c r="Y773" s="907"/>
      <c r="Z773" s="907"/>
      <c r="AA773" s="907"/>
      <c r="AB773" s="907"/>
      <c r="AC773" s="907"/>
      <c r="AD773" s="907"/>
      <c r="AE773" s="907"/>
      <c r="AF773" s="907"/>
      <c r="AG773" s="907"/>
      <c r="AH773" s="907"/>
      <c r="AI773" s="907"/>
      <c r="AJ773" s="907"/>
      <c r="AK773" s="907"/>
      <c r="AL773" s="907"/>
      <c r="AM773" s="907"/>
    </row>
    <row r="774" spans="1:39">
      <c r="A774" s="907"/>
      <c r="B774" s="907"/>
      <c r="C774" s="907"/>
      <c r="D774" s="907"/>
      <c r="E774" s="907"/>
      <c r="F774" s="907"/>
      <c r="G774" s="907"/>
      <c r="H774" s="907"/>
      <c r="I774" s="907"/>
      <c r="J774" s="907"/>
      <c r="K774" s="907"/>
      <c r="L774" s="907"/>
      <c r="M774" s="907"/>
      <c r="N774" s="907"/>
      <c r="O774" s="907"/>
      <c r="P774" s="907"/>
      <c r="Q774" s="907"/>
      <c r="R774" s="907"/>
      <c r="S774" s="907"/>
      <c r="T774" s="907"/>
      <c r="U774" s="907"/>
      <c r="V774" s="907"/>
      <c r="W774" s="907"/>
      <c r="X774" s="907"/>
      <c r="Y774" s="907"/>
      <c r="Z774" s="907"/>
      <c r="AA774" s="907"/>
      <c r="AB774" s="907"/>
      <c r="AC774" s="907"/>
      <c r="AD774" s="907"/>
      <c r="AE774" s="907"/>
      <c r="AF774" s="907"/>
      <c r="AG774" s="907"/>
      <c r="AH774" s="907"/>
      <c r="AI774" s="907"/>
      <c r="AJ774" s="907"/>
      <c r="AK774" s="907"/>
      <c r="AL774" s="907"/>
      <c r="AM774" s="907"/>
    </row>
    <row r="775" spans="1:39">
      <c r="A775" s="907"/>
      <c r="B775" s="907"/>
      <c r="C775" s="907"/>
      <c r="D775" s="907"/>
      <c r="E775" s="907"/>
      <c r="F775" s="907"/>
      <c r="G775" s="907"/>
      <c r="H775" s="907"/>
      <c r="I775" s="907"/>
      <c r="J775" s="907"/>
      <c r="K775" s="907"/>
      <c r="L775" s="907"/>
      <c r="M775" s="907"/>
      <c r="N775" s="907"/>
      <c r="O775" s="907"/>
      <c r="P775" s="907"/>
      <c r="Q775" s="907"/>
      <c r="R775" s="907"/>
      <c r="S775" s="907"/>
      <c r="T775" s="907"/>
      <c r="U775" s="907"/>
      <c r="V775" s="907"/>
      <c r="W775" s="907"/>
      <c r="X775" s="907"/>
      <c r="Y775" s="907"/>
      <c r="Z775" s="907"/>
      <c r="AA775" s="907"/>
      <c r="AB775" s="907"/>
      <c r="AC775" s="907"/>
      <c r="AD775" s="907"/>
      <c r="AE775" s="907"/>
      <c r="AF775" s="907"/>
      <c r="AG775" s="907"/>
      <c r="AH775" s="907"/>
      <c r="AI775" s="907"/>
      <c r="AJ775" s="907"/>
      <c r="AK775" s="907"/>
      <c r="AL775" s="907"/>
      <c r="AM775" s="907"/>
    </row>
    <row r="776" spans="1:39">
      <c r="A776" s="907"/>
      <c r="B776" s="907"/>
      <c r="C776" s="907"/>
      <c r="D776" s="907"/>
      <c r="E776" s="907"/>
      <c r="F776" s="907"/>
      <c r="G776" s="907"/>
      <c r="H776" s="907"/>
      <c r="I776" s="907"/>
      <c r="J776" s="907"/>
      <c r="K776" s="907"/>
      <c r="L776" s="907"/>
      <c r="M776" s="907"/>
      <c r="N776" s="907"/>
      <c r="O776" s="907"/>
      <c r="P776" s="907"/>
      <c r="Q776" s="907"/>
      <c r="R776" s="907"/>
      <c r="S776" s="907"/>
      <c r="T776" s="907"/>
      <c r="U776" s="907"/>
      <c r="V776" s="907"/>
      <c r="W776" s="907"/>
      <c r="X776" s="907"/>
      <c r="Y776" s="907"/>
      <c r="Z776" s="907"/>
      <c r="AA776" s="907"/>
      <c r="AB776" s="907"/>
      <c r="AC776" s="907"/>
      <c r="AD776" s="907"/>
      <c r="AE776" s="907"/>
      <c r="AF776" s="907"/>
      <c r="AG776" s="907"/>
      <c r="AH776" s="907"/>
      <c r="AI776" s="907"/>
      <c r="AJ776" s="907"/>
      <c r="AK776" s="907"/>
      <c r="AL776" s="907"/>
      <c r="AM776" s="907"/>
    </row>
    <row r="777" spans="1:39">
      <c r="A777" s="907"/>
      <c r="B777" s="907"/>
      <c r="C777" s="907"/>
      <c r="D777" s="907"/>
      <c r="E777" s="907"/>
      <c r="F777" s="907"/>
      <c r="G777" s="907"/>
      <c r="H777" s="907"/>
      <c r="I777" s="907"/>
      <c r="J777" s="907"/>
      <c r="K777" s="907"/>
      <c r="L777" s="907"/>
      <c r="M777" s="907"/>
      <c r="N777" s="907"/>
      <c r="O777" s="907"/>
      <c r="P777" s="907"/>
      <c r="Q777" s="907"/>
      <c r="R777" s="907"/>
      <c r="S777" s="907"/>
      <c r="T777" s="907"/>
      <c r="U777" s="907"/>
      <c r="V777" s="907"/>
      <c r="W777" s="907"/>
      <c r="X777" s="907"/>
      <c r="Y777" s="907"/>
      <c r="Z777" s="907"/>
      <c r="AA777" s="907"/>
      <c r="AB777" s="907"/>
      <c r="AC777" s="907"/>
      <c r="AD777" s="907"/>
      <c r="AE777" s="907"/>
      <c r="AF777" s="907"/>
      <c r="AG777" s="907"/>
      <c r="AH777" s="907"/>
      <c r="AI777" s="907"/>
      <c r="AJ777" s="907"/>
      <c r="AK777" s="907"/>
      <c r="AL777" s="907"/>
      <c r="AM777" s="907"/>
    </row>
    <row r="778" spans="1:39">
      <c r="A778" s="907"/>
      <c r="B778" s="907"/>
      <c r="C778" s="907"/>
      <c r="D778" s="907"/>
      <c r="E778" s="907"/>
      <c r="F778" s="907"/>
      <c r="G778" s="907"/>
      <c r="H778" s="907"/>
      <c r="I778" s="907"/>
      <c r="J778" s="907"/>
      <c r="K778" s="907"/>
      <c r="L778" s="907"/>
      <c r="M778" s="907"/>
      <c r="N778" s="907"/>
      <c r="O778" s="907"/>
      <c r="P778" s="907"/>
      <c r="Q778" s="907"/>
      <c r="R778" s="907"/>
      <c r="S778" s="907"/>
      <c r="T778" s="907"/>
      <c r="U778" s="907"/>
      <c r="V778" s="907"/>
      <c r="W778" s="907"/>
      <c r="X778" s="907"/>
      <c r="Y778" s="907"/>
      <c r="Z778" s="907"/>
      <c r="AA778" s="907"/>
      <c r="AB778" s="907"/>
      <c r="AC778" s="907"/>
      <c r="AD778" s="907"/>
      <c r="AE778" s="907"/>
      <c r="AF778" s="907"/>
      <c r="AG778" s="907"/>
      <c r="AH778" s="907"/>
      <c r="AI778" s="907"/>
      <c r="AJ778" s="907"/>
      <c r="AK778" s="907"/>
      <c r="AL778" s="907"/>
      <c r="AM778" s="907"/>
    </row>
    <row r="779" spans="1:39">
      <c r="A779" s="907"/>
      <c r="B779" s="907"/>
      <c r="C779" s="907"/>
      <c r="D779" s="907"/>
      <c r="E779" s="907"/>
      <c r="F779" s="907"/>
      <c r="G779" s="907"/>
      <c r="H779" s="907"/>
      <c r="I779" s="907"/>
      <c r="J779" s="907"/>
      <c r="K779" s="907"/>
      <c r="L779" s="907"/>
      <c r="M779" s="907"/>
      <c r="N779" s="907"/>
      <c r="O779" s="907"/>
      <c r="P779" s="907"/>
      <c r="Q779" s="907"/>
      <c r="R779" s="907"/>
      <c r="S779" s="907"/>
      <c r="T779" s="907"/>
      <c r="U779" s="907"/>
      <c r="V779" s="907"/>
      <c r="W779" s="907"/>
      <c r="X779" s="907"/>
      <c r="Y779" s="907"/>
      <c r="Z779" s="907"/>
      <c r="AA779" s="907"/>
      <c r="AB779" s="907"/>
      <c r="AC779" s="907"/>
      <c r="AD779" s="907"/>
      <c r="AE779" s="907"/>
      <c r="AF779" s="907"/>
      <c r="AG779" s="907"/>
      <c r="AH779" s="907"/>
      <c r="AI779" s="907"/>
      <c r="AJ779" s="907"/>
      <c r="AK779" s="907"/>
      <c r="AL779" s="907"/>
      <c r="AM779" s="907"/>
    </row>
    <row r="780" spans="1:39">
      <c r="A780" s="907"/>
      <c r="B780" s="907"/>
      <c r="C780" s="907"/>
      <c r="D780" s="907"/>
      <c r="E780" s="907"/>
      <c r="F780" s="907"/>
      <c r="G780" s="907"/>
      <c r="H780" s="907"/>
      <c r="I780" s="907"/>
      <c r="J780" s="907"/>
      <c r="K780" s="907"/>
      <c r="L780" s="907"/>
      <c r="M780" s="907"/>
      <c r="N780" s="907"/>
      <c r="O780" s="907"/>
      <c r="P780" s="907"/>
      <c r="Q780" s="907"/>
      <c r="R780" s="907"/>
      <c r="S780" s="907"/>
      <c r="T780" s="907"/>
      <c r="U780" s="907"/>
      <c r="V780" s="907"/>
      <c r="W780" s="907"/>
      <c r="X780" s="907"/>
      <c r="Y780" s="907"/>
      <c r="Z780" s="907"/>
      <c r="AA780" s="907"/>
      <c r="AB780" s="907"/>
      <c r="AC780" s="907"/>
      <c r="AD780" s="907"/>
      <c r="AE780" s="907"/>
      <c r="AF780" s="907"/>
      <c r="AG780" s="907"/>
      <c r="AH780" s="907"/>
      <c r="AI780" s="907"/>
      <c r="AJ780" s="907"/>
      <c r="AK780" s="907"/>
      <c r="AL780" s="907"/>
      <c r="AM780" s="907"/>
    </row>
    <row r="781" spans="1:39">
      <c r="A781" s="907"/>
      <c r="B781" s="907"/>
      <c r="C781" s="907"/>
      <c r="D781" s="907"/>
      <c r="E781" s="907"/>
      <c r="F781" s="907"/>
      <c r="G781" s="907"/>
      <c r="H781" s="907"/>
      <c r="I781" s="907"/>
      <c r="J781" s="907"/>
      <c r="K781" s="907"/>
      <c r="L781" s="907"/>
      <c r="M781" s="907"/>
      <c r="N781" s="907"/>
      <c r="O781" s="907"/>
      <c r="P781" s="907"/>
      <c r="Q781" s="907"/>
      <c r="R781" s="907"/>
      <c r="S781" s="907"/>
      <c r="T781" s="907"/>
      <c r="U781" s="907"/>
      <c r="V781" s="907"/>
      <c r="W781" s="907"/>
      <c r="X781" s="907"/>
      <c r="Y781" s="907"/>
      <c r="Z781" s="907"/>
      <c r="AA781" s="907"/>
      <c r="AB781" s="907"/>
      <c r="AC781" s="907"/>
      <c r="AD781" s="907"/>
      <c r="AE781" s="907"/>
      <c r="AF781" s="907"/>
      <c r="AG781" s="907"/>
      <c r="AH781" s="907"/>
      <c r="AI781" s="907"/>
      <c r="AJ781" s="907"/>
      <c r="AK781" s="907"/>
      <c r="AL781" s="907"/>
      <c r="AM781" s="907"/>
    </row>
    <row r="782" spans="1:39">
      <c r="A782" s="907"/>
      <c r="B782" s="907"/>
      <c r="C782" s="907"/>
      <c r="D782" s="907"/>
      <c r="E782" s="907"/>
      <c r="F782" s="907"/>
      <c r="G782" s="907"/>
      <c r="H782" s="907"/>
      <c r="I782" s="907"/>
      <c r="J782" s="907"/>
      <c r="K782" s="907"/>
      <c r="L782" s="907"/>
      <c r="M782" s="907"/>
      <c r="N782" s="907"/>
      <c r="O782" s="907"/>
      <c r="P782" s="907"/>
      <c r="Q782" s="907"/>
      <c r="R782" s="907"/>
      <c r="S782" s="907"/>
      <c r="T782" s="907"/>
      <c r="U782" s="907"/>
      <c r="V782" s="907"/>
      <c r="W782" s="907"/>
      <c r="X782" s="907"/>
      <c r="Y782" s="907"/>
      <c r="Z782" s="907"/>
      <c r="AA782" s="907"/>
      <c r="AB782" s="907"/>
      <c r="AC782" s="907"/>
      <c r="AD782" s="907"/>
      <c r="AE782" s="907"/>
      <c r="AF782" s="907"/>
      <c r="AG782" s="907"/>
      <c r="AH782" s="907"/>
      <c r="AI782" s="907"/>
      <c r="AJ782" s="907"/>
      <c r="AK782" s="907"/>
      <c r="AL782" s="907"/>
      <c r="AM782" s="907"/>
    </row>
    <row r="783" spans="1:39">
      <c r="A783" s="907"/>
      <c r="B783" s="907"/>
      <c r="C783" s="907"/>
      <c r="D783" s="907"/>
      <c r="E783" s="907"/>
      <c r="F783" s="907"/>
      <c r="G783" s="907"/>
      <c r="H783" s="907"/>
      <c r="I783" s="907"/>
      <c r="J783" s="907"/>
      <c r="K783" s="907"/>
      <c r="L783" s="907"/>
      <c r="M783" s="907"/>
      <c r="N783" s="907"/>
      <c r="O783" s="907"/>
      <c r="P783" s="907"/>
      <c r="Q783" s="907"/>
      <c r="R783" s="907"/>
      <c r="S783" s="907"/>
      <c r="T783" s="907"/>
      <c r="U783" s="907"/>
      <c r="V783" s="907"/>
      <c r="W783" s="907"/>
      <c r="X783" s="907"/>
      <c r="Y783" s="907"/>
      <c r="Z783" s="907"/>
      <c r="AA783" s="907"/>
      <c r="AB783" s="907"/>
      <c r="AC783" s="907"/>
      <c r="AD783" s="907"/>
      <c r="AE783" s="907"/>
      <c r="AF783" s="907"/>
      <c r="AG783" s="907"/>
      <c r="AH783" s="907"/>
      <c r="AI783" s="907"/>
      <c r="AJ783" s="907"/>
      <c r="AK783" s="907"/>
      <c r="AL783" s="907"/>
      <c r="AM783" s="907"/>
    </row>
    <row r="784" spans="1:39">
      <c r="A784" s="907"/>
      <c r="B784" s="907"/>
      <c r="C784" s="907"/>
      <c r="D784" s="907"/>
      <c r="E784" s="907"/>
      <c r="F784" s="907"/>
      <c r="G784" s="907"/>
      <c r="H784" s="907"/>
      <c r="I784" s="907"/>
      <c r="J784" s="907"/>
      <c r="K784" s="907"/>
      <c r="L784" s="907"/>
      <c r="M784" s="907"/>
      <c r="N784" s="907"/>
      <c r="O784" s="907"/>
      <c r="P784" s="907"/>
      <c r="Q784" s="907"/>
      <c r="R784" s="907"/>
      <c r="S784" s="907"/>
      <c r="T784" s="907"/>
      <c r="U784" s="907"/>
      <c r="V784" s="907"/>
      <c r="W784" s="907"/>
      <c r="X784" s="907"/>
      <c r="Y784" s="907"/>
      <c r="Z784" s="907"/>
      <c r="AA784" s="907"/>
      <c r="AB784" s="907"/>
      <c r="AC784" s="907"/>
      <c r="AD784" s="907"/>
      <c r="AE784" s="907"/>
      <c r="AF784" s="907"/>
      <c r="AG784" s="907"/>
      <c r="AH784" s="907"/>
      <c r="AI784" s="907"/>
      <c r="AJ784" s="907"/>
      <c r="AK784" s="907"/>
      <c r="AL784" s="907"/>
      <c r="AM784" s="907"/>
    </row>
    <row r="785" spans="1:39">
      <c r="A785" s="907"/>
      <c r="B785" s="907"/>
      <c r="C785" s="907"/>
      <c r="D785" s="907"/>
      <c r="E785" s="907"/>
      <c r="F785" s="907"/>
      <c r="G785" s="907"/>
      <c r="H785" s="907"/>
      <c r="I785" s="907"/>
      <c r="J785" s="907"/>
      <c r="K785" s="907"/>
      <c r="L785" s="907"/>
      <c r="M785" s="907"/>
      <c r="N785" s="907"/>
      <c r="O785" s="907"/>
      <c r="P785" s="907"/>
      <c r="Q785" s="907"/>
      <c r="R785" s="907"/>
      <c r="S785" s="907"/>
      <c r="T785" s="907"/>
      <c r="U785" s="907"/>
      <c r="V785" s="907"/>
      <c r="W785" s="907"/>
      <c r="X785" s="907"/>
      <c r="Y785" s="907"/>
      <c r="Z785" s="907"/>
      <c r="AA785" s="907"/>
      <c r="AB785" s="907"/>
      <c r="AC785" s="907"/>
      <c r="AD785" s="907"/>
      <c r="AE785" s="907"/>
      <c r="AF785" s="907"/>
      <c r="AG785" s="907"/>
      <c r="AH785" s="907"/>
      <c r="AI785" s="907"/>
      <c r="AJ785" s="907"/>
      <c r="AK785" s="907"/>
      <c r="AL785" s="907"/>
      <c r="AM785" s="907"/>
    </row>
    <row r="786" spans="1:39">
      <c r="A786" s="907"/>
      <c r="B786" s="907"/>
      <c r="C786" s="907"/>
      <c r="D786" s="907"/>
      <c r="E786" s="907"/>
      <c r="F786" s="907"/>
      <c r="G786" s="907"/>
      <c r="H786" s="907"/>
      <c r="I786" s="907"/>
      <c r="J786" s="907"/>
      <c r="K786" s="907"/>
      <c r="L786" s="907"/>
      <c r="M786" s="907"/>
      <c r="N786" s="907"/>
      <c r="O786" s="907"/>
      <c r="P786" s="907"/>
      <c r="Q786" s="907"/>
      <c r="R786" s="907"/>
      <c r="S786" s="907"/>
      <c r="T786" s="907"/>
      <c r="U786" s="907"/>
      <c r="V786" s="907"/>
      <c r="W786" s="907"/>
      <c r="X786" s="907"/>
      <c r="Y786" s="907"/>
      <c r="Z786" s="907"/>
      <c r="AA786" s="907"/>
      <c r="AB786" s="907"/>
      <c r="AC786" s="907"/>
      <c r="AD786" s="907"/>
      <c r="AE786" s="907"/>
      <c r="AF786" s="907"/>
      <c r="AG786" s="907"/>
      <c r="AH786" s="907"/>
      <c r="AI786" s="907"/>
      <c r="AJ786" s="907"/>
      <c r="AK786" s="907"/>
      <c r="AL786" s="907"/>
      <c r="AM786" s="907"/>
    </row>
    <row r="787" spans="1:39">
      <c r="A787" s="907"/>
      <c r="B787" s="907"/>
      <c r="C787" s="907"/>
      <c r="D787" s="907"/>
      <c r="E787" s="907"/>
      <c r="F787" s="907"/>
      <c r="G787" s="907"/>
      <c r="H787" s="907"/>
      <c r="I787" s="907"/>
      <c r="J787" s="907"/>
      <c r="K787" s="907"/>
      <c r="L787" s="907"/>
      <c r="M787" s="907"/>
      <c r="N787" s="907"/>
      <c r="O787" s="907"/>
      <c r="P787" s="907"/>
      <c r="Q787" s="907"/>
      <c r="R787" s="907"/>
      <c r="S787" s="907"/>
      <c r="T787" s="907"/>
      <c r="U787" s="907"/>
      <c r="V787" s="907"/>
      <c r="W787" s="907"/>
      <c r="X787" s="907"/>
      <c r="Y787" s="907"/>
      <c r="Z787" s="907"/>
      <c r="AA787" s="907"/>
      <c r="AB787" s="907"/>
      <c r="AC787" s="907"/>
      <c r="AD787" s="907"/>
      <c r="AE787" s="907"/>
      <c r="AF787" s="907"/>
      <c r="AG787" s="907"/>
      <c r="AH787" s="907"/>
      <c r="AI787" s="907"/>
      <c r="AJ787" s="907"/>
      <c r="AK787" s="907"/>
      <c r="AL787" s="907"/>
      <c r="AM787" s="907"/>
    </row>
    <row r="788" spans="1:39">
      <c r="A788" s="907"/>
      <c r="B788" s="907"/>
      <c r="C788" s="907"/>
      <c r="D788" s="907"/>
      <c r="E788" s="907"/>
      <c r="F788" s="907"/>
      <c r="G788" s="907"/>
      <c r="H788" s="907"/>
      <c r="I788" s="907"/>
      <c r="J788" s="907"/>
      <c r="K788" s="907"/>
      <c r="L788" s="907"/>
      <c r="M788" s="907"/>
      <c r="N788" s="907"/>
      <c r="O788" s="907"/>
      <c r="P788" s="907"/>
      <c r="Q788" s="907"/>
      <c r="R788" s="907"/>
      <c r="S788" s="907"/>
      <c r="T788" s="907"/>
      <c r="U788" s="907"/>
      <c r="V788" s="907"/>
      <c r="W788" s="907"/>
      <c r="X788" s="907"/>
      <c r="Y788" s="907"/>
      <c r="Z788" s="907"/>
      <c r="AA788" s="907"/>
      <c r="AB788" s="907"/>
      <c r="AC788" s="907"/>
      <c r="AD788" s="907"/>
      <c r="AE788" s="907"/>
      <c r="AF788" s="907"/>
      <c r="AG788" s="907"/>
      <c r="AH788" s="907"/>
      <c r="AI788" s="907"/>
      <c r="AJ788" s="907"/>
      <c r="AK788" s="907"/>
      <c r="AL788" s="907"/>
      <c r="AM788" s="907"/>
    </row>
    <row r="789" spans="1:39">
      <c r="A789" s="907"/>
      <c r="B789" s="907"/>
      <c r="C789" s="907"/>
      <c r="D789" s="907"/>
      <c r="E789" s="907"/>
      <c r="F789" s="907"/>
      <c r="G789" s="907"/>
      <c r="H789" s="907"/>
      <c r="I789" s="907"/>
      <c r="J789" s="907"/>
      <c r="K789" s="907"/>
      <c r="L789" s="907"/>
      <c r="M789" s="907"/>
      <c r="N789" s="907"/>
      <c r="O789" s="907"/>
      <c r="P789" s="907"/>
      <c r="Q789" s="907"/>
      <c r="R789" s="907"/>
      <c r="S789" s="907"/>
      <c r="T789" s="907"/>
      <c r="U789" s="907"/>
      <c r="V789" s="907"/>
      <c r="W789" s="907"/>
      <c r="X789" s="907"/>
      <c r="Y789" s="907"/>
      <c r="Z789" s="907"/>
      <c r="AA789" s="907"/>
      <c r="AB789" s="907"/>
      <c r="AC789" s="907"/>
      <c r="AD789" s="907"/>
      <c r="AE789" s="907"/>
      <c r="AF789" s="907"/>
      <c r="AG789" s="907"/>
      <c r="AH789" s="907"/>
      <c r="AI789" s="907"/>
      <c r="AJ789" s="907"/>
      <c r="AK789" s="907"/>
      <c r="AL789" s="907"/>
      <c r="AM789" s="907"/>
    </row>
    <row r="790" spans="1:39">
      <c r="A790" s="907"/>
      <c r="B790" s="907"/>
      <c r="C790" s="907"/>
      <c r="D790" s="907"/>
      <c r="E790" s="907"/>
      <c r="F790" s="907"/>
      <c r="G790" s="907"/>
      <c r="H790" s="907"/>
      <c r="I790" s="907"/>
      <c r="J790" s="907"/>
      <c r="K790" s="907"/>
      <c r="L790" s="907"/>
      <c r="M790" s="907"/>
      <c r="N790" s="907"/>
      <c r="O790" s="907"/>
      <c r="P790" s="907"/>
      <c r="Q790" s="907"/>
      <c r="R790" s="907"/>
      <c r="S790" s="907"/>
      <c r="T790" s="907"/>
      <c r="U790" s="907"/>
      <c r="V790" s="907"/>
      <c r="W790" s="907"/>
      <c r="X790" s="907"/>
      <c r="Y790" s="907"/>
      <c r="Z790" s="907"/>
      <c r="AA790" s="907"/>
      <c r="AB790" s="907"/>
      <c r="AC790" s="907"/>
      <c r="AD790" s="907"/>
      <c r="AE790" s="907"/>
      <c r="AF790" s="907"/>
      <c r="AG790" s="907"/>
      <c r="AH790" s="907"/>
      <c r="AI790" s="907"/>
      <c r="AJ790" s="907"/>
      <c r="AK790" s="907"/>
      <c r="AL790" s="907"/>
      <c r="AM790" s="907"/>
    </row>
    <row r="791" spans="1:39">
      <c r="A791" s="907"/>
      <c r="B791" s="907"/>
      <c r="C791" s="907"/>
      <c r="D791" s="907"/>
      <c r="E791" s="907"/>
      <c r="F791" s="907"/>
      <c r="G791" s="907"/>
      <c r="H791" s="907"/>
      <c r="I791" s="907"/>
      <c r="J791" s="907"/>
      <c r="K791" s="907"/>
      <c r="L791" s="907"/>
      <c r="M791" s="907"/>
      <c r="N791" s="907"/>
      <c r="O791" s="907"/>
      <c r="P791" s="907"/>
      <c r="Q791" s="907"/>
      <c r="R791" s="907"/>
      <c r="S791" s="907"/>
      <c r="T791" s="907"/>
      <c r="U791" s="907"/>
      <c r="V791" s="907"/>
      <c r="W791" s="907"/>
      <c r="X791" s="907"/>
      <c r="Y791" s="907"/>
      <c r="Z791" s="907"/>
      <c r="AA791" s="907"/>
      <c r="AB791" s="907"/>
      <c r="AC791" s="907"/>
      <c r="AD791" s="907"/>
      <c r="AE791" s="907"/>
      <c r="AF791" s="907"/>
      <c r="AG791" s="907"/>
      <c r="AH791" s="907"/>
      <c r="AI791" s="907"/>
      <c r="AJ791" s="907"/>
      <c r="AK791" s="907"/>
      <c r="AL791" s="907"/>
      <c r="AM791" s="907"/>
    </row>
    <row r="792" spans="1:39">
      <c r="A792" s="907"/>
      <c r="B792" s="907"/>
      <c r="C792" s="907"/>
      <c r="D792" s="907"/>
      <c r="E792" s="907"/>
      <c r="F792" s="907"/>
      <c r="G792" s="907"/>
      <c r="H792" s="907"/>
      <c r="I792" s="907"/>
      <c r="J792" s="907"/>
      <c r="K792" s="907"/>
      <c r="L792" s="907"/>
      <c r="M792" s="907"/>
      <c r="N792" s="907"/>
      <c r="O792" s="907"/>
      <c r="P792" s="907"/>
      <c r="Q792" s="907"/>
      <c r="R792" s="907"/>
      <c r="S792" s="907"/>
      <c r="T792" s="907"/>
      <c r="U792" s="907"/>
      <c r="V792" s="907"/>
      <c r="W792" s="907"/>
      <c r="X792" s="907"/>
      <c r="Y792" s="907"/>
      <c r="Z792" s="907"/>
      <c r="AA792" s="907"/>
      <c r="AB792" s="907"/>
      <c r="AC792" s="907"/>
      <c r="AD792" s="907"/>
      <c r="AE792" s="907"/>
      <c r="AF792" s="907"/>
      <c r="AG792" s="907"/>
      <c r="AH792" s="907"/>
      <c r="AI792" s="907"/>
      <c r="AJ792" s="907"/>
      <c r="AK792" s="907"/>
      <c r="AL792" s="907"/>
      <c r="AM792" s="907"/>
    </row>
    <row r="793" spans="1:39">
      <c r="A793" s="907"/>
      <c r="B793" s="907"/>
      <c r="C793" s="907"/>
      <c r="D793" s="907"/>
      <c r="E793" s="907"/>
      <c r="F793" s="907"/>
      <c r="G793" s="907"/>
      <c r="H793" s="907"/>
      <c r="I793" s="907"/>
      <c r="J793" s="907"/>
      <c r="K793" s="907"/>
      <c r="L793" s="907"/>
      <c r="M793" s="907"/>
      <c r="N793" s="907"/>
      <c r="O793" s="907"/>
      <c r="P793" s="907"/>
      <c r="Q793" s="907"/>
      <c r="R793" s="907"/>
      <c r="S793" s="907"/>
      <c r="T793" s="907"/>
      <c r="U793" s="907"/>
      <c r="V793" s="907"/>
      <c r="W793" s="907"/>
      <c r="X793" s="907"/>
      <c r="Y793" s="907"/>
      <c r="Z793" s="907"/>
      <c r="AA793" s="907"/>
      <c r="AB793" s="907"/>
      <c r="AC793" s="907"/>
      <c r="AD793" s="907"/>
      <c r="AE793" s="907"/>
      <c r="AF793" s="907"/>
      <c r="AG793" s="907"/>
      <c r="AH793" s="907"/>
      <c r="AI793" s="907"/>
      <c r="AJ793" s="907"/>
      <c r="AK793" s="907"/>
      <c r="AL793" s="907"/>
      <c r="AM793" s="907"/>
    </row>
    <row r="794" spans="1:39">
      <c r="A794" s="907"/>
      <c r="B794" s="907"/>
      <c r="C794" s="907"/>
      <c r="D794" s="907"/>
      <c r="E794" s="907"/>
      <c r="F794" s="907"/>
      <c r="G794" s="907"/>
      <c r="H794" s="907"/>
      <c r="I794" s="907"/>
      <c r="J794" s="907"/>
      <c r="K794" s="907"/>
      <c r="L794" s="907"/>
      <c r="M794" s="907"/>
      <c r="N794" s="907"/>
      <c r="O794" s="907"/>
      <c r="P794" s="907"/>
      <c r="Q794" s="907"/>
      <c r="R794" s="907"/>
      <c r="S794" s="907"/>
      <c r="T794" s="907"/>
      <c r="U794" s="907"/>
      <c r="V794" s="907"/>
      <c r="W794" s="907"/>
      <c r="X794" s="907"/>
      <c r="Y794" s="907"/>
      <c r="Z794" s="907"/>
      <c r="AA794" s="907"/>
      <c r="AB794" s="907"/>
      <c r="AC794" s="907"/>
      <c r="AD794" s="907"/>
      <c r="AE794" s="907"/>
      <c r="AF794" s="907"/>
      <c r="AG794" s="907"/>
      <c r="AH794" s="907"/>
      <c r="AI794" s="907"/>
      <c r="AJ794" s="907"/>
      <c r="AK794" s="907"/>
      <c r="AL794" s="907"/>
      <c r="AM794" s="907"/>
    </row>
    <row r="795" spans="1:39">
      <c r="A795" s="907"/>
      <c r="B795" s="907"/>
      <c r="C795" s="907"/>
      <c r="D795" s="907"/>
      <c r="E795" s="907"/>
      <c r="F795" s="907"/>
      <c r="G795" s="907"/>
      <c r="H795" s="907"/>
      <c r="I795" s="907"/>
      <c r="J795" s="907"/>
      <c r="K795" s="907"/>
      <c r="L795" s="907"/>
      <c r="M795" s="907"/>
      <c r="N795" s="907"/>
      <c r="O795" s="907"/>
      <c r="P795" s="907"/>
      <c r="Q795" s="907"/>
      <c r="R795" s="907"/>
      <c r="S795" s="907"/>
      <c r="T795" s="907"/>
      <c r="U795" s="907"/>
      <c r="V795" s="907"/>
      <c r="W795" s="907"/>
      <c r="X795" s="907"/>
      <c r="Y795" s="907"/>
      <c r="Z795" s="907"/>
      <c r="AA795" s="907"/>
      <c r="AB795" s="907"/>
      <c r="AC795" s="907"/>
      <c r="AD795" s="907"/>
      <c r="AE795" s="907"/>
      <c r="AF795" s="907"/>
      <c r="AG795" s="907"/>
      <c r="AH795" s="907"/>
      <c r="AI795" s="907"/>
      <c r="AJ795" s="907"/>
      <c r="AK795" s="907"/>
      <c r="AL795" s="907"/>
      <c r="AM795" s="907"/>
    </row>
    <row r="796" spans="1:39">
      <c r="A796" s="907"/>
      <c r="B796" s="907"/>
      <c r="C796" s="907"/>
      <c r="D796" s="907"/>
      <c r="E796" s="907"/>
      <c r="F796" s="907"/>
      <c r="G796" s="907"/>
      <c r="H796" s="907"/>
      <c r="I796" s="907"/>
      <c r="J796" s="907"/>
      <c r="K796" s="907"/>
      <c r="L796" s="907"/>
      <c r="M796" s="907"/>
      <c r="N796" s="907"/>
      <c r="O796" s="907"/>
      <c r="P796" s="907"/>
      <c r="Q796" s="907"/>
      <c r="R796" s="907"/>
      <c r="S796" s="907"/>
      <c r="T796" s="907"/>
      <c r="U796" s="907"/>
      <c r="V796" s="907"/>
      <c r="W796" s="907"/>
      <c r="X796" s="907"/>
      <c r="Y796" s="907"/>
      <c r="Z796" s="907"/>
      <c r="AA796" s="907"/>
      <c r="AB796" s="907"/>
      <c r="AC796" s="907"/>
      <c r="AD796" s="907"/>
      <c r="AE796" s="907"/>
      <c r="AF796" s="907"/>
      <c r="AG796" s="907"/>
      <c r="AH796" s="907"/>
      <c r="AI796" s="907"/>
      <c r="AJ796" s="907"/>
      <c r="AK796" s="907"/>
      <c r="AL796" s="907"/>
      <c r="AM796" s="907"/>
    </row>
    <row r="797" spans="1:39">
      <c r="A797" s="907"/>
      <c r="B797" s="907"/>
      <c r="C797" s="907"/>
      <c r="D797" s="907"/>
      <c r="E797" s="907"/>
      <c r="F797" s="907"/>
      <c r="G797" s="907"/>
      <c r="H797" s="907"/>
      <c r="I797" s="907"/>
      <c r="J797" s="907"/>
      <c r="K797" s="907"/>
      <c r="L797" s="907"/>
      <c r="M797" s="907"/>
      <c r="N797" s="907"/>
      <c r="O797" s="907"/>
      <c r="P797" s="907"/>
      <c r="Q797" s="907"/>
      <c r="R797" s="907"/>
      <c r="S797" s="907"/>
      <c r="T797" s="907"/>
      <c r="U797" s="907"/>
      <c r="V797" s="907"/>
      <c r="W797" s="907"/>
      <c r="X797" s="907"/>
      <c r="Y797" s="907"/>
      <c r="Z797" s="907"/>
      <c r="AA797" s="907"/>
      <c r="AB797" s="907"/>
      <c r="AC797" s="907"/>
      <c r="AD797" s="907"/>
      <c r="AE797" s="907"/>
      <c r="AF797" s="907"/>
      <c r="AG797" s="907"/>
      <c r="AH797" s="907"/>
      <c r="AI797" s="907"/>
      <c r="AJ797" s="907"/>
      <c r="AK797" s="907"/>
      <c r="AL797" s="907"/>
      <c r="AM797" s="907"/>
    </row>
    <row r="798" spans="1:39">
      <c r="A798" s="907"/>
      <c r="B798" s="907"/>
      <c r="C798" s="907"/>
      <c r="D798" s="907"/>
      <c r="E798" s="907"/>
      <c r="F798" s="907"/>
      <c r="G798" s="907"/>
      <c r="H798" s="907"/>
      <c r="I798" s="907"/>
      <c r="J798" s="907"/>
      <c r="K798" s="907"/>
      <c r="L798" s="907"/>
      <c r="M798" s="907"/>
      <c r="N798" s="907"/>
      <c r="O798" s="907"/>
      <c r="P798" s="907"/>
      <c r="Q798" s="907"/>
      <c r="R798" s="907"/>
      <c r="S798" s="907"/>
      <c r="T798" s="907"/>
      <c r="U798" s="907"/>
      <c r="V798" s="907"/>
      <c r="W798" s="907"/>
      <c r="X798" s="907"/>
      <c r="Y798" s="907"/>
      <c r="Z798" s="907"/>
      <c r="AA798" s="907"/>
      <c r="AB798" s="907"/>
      <c r="AC798" s="907"/>
      <c r="AD798" s="907"/>
      <c r="AE798" s="907"/>
      <c r="AF798" s="907"/>
      <c r="AG798" s="907"/>
      <c r="AH798" s="907"/>
      <c r="AI798" s="907"/>
      <c r="AJ798" s="907"/>
      <c r="AK798" s="907"/>
      <c r="AL798" s="907"/>
      <c r="AM798" s="907"/>
    </row>
    <row r="799" spans="1:39">
      <c r="A799" s="907"/>
      <c r="B799" s="907"/>
      <c r="C799" s="907"/>
      <c r="D799" s="907"/>
      <c r="E799" s="907"/>
      <c r="F799" s="907"/>
      <c r="G799" s="907"/>
      <c r="H799" s="907"/>
      <c r="I799" s="907"/>
      <c r="J799" s="907"/>
      <c r="K799" s="907"/>
      <c r="L799" s="907"/>
      <c r="M799" s="907"/>
      <c r="N799" s="907"/>
      <c r="O799" s="907"/>
      <c r="P799" s="907"/>
      <c r="Q799" s="907"/>
      <c r="R799" s="907"/>
      <c r="S799" s="907"/>
      <c r="T799" s="907"/>
      <c r="U799" s="907"/>
      <c r="V799" s="907"/>
      <c r="W799" s="907"/>
      <c r="X799" s="907"/>
      <c r="Y799" s="907"/>
      <c r="Z799" s="907"/>
      <c r="AA799" s="907"/>
      <c r="AB799" s="907"/>
      <c r="AC799" s="907"/>
      <c r="AD799" s="907"/>
      <c r="AE799" s="907"/>
      <c r="AF799" s="907"/>
      <c r="AG799" s="907"/>
      <c r="AH799" s="907"/>
      <c r="AI799" s="907"/>
      <c r="AJ799" s="907"/>
      <c r="AK799" s="907"/>
      <c r="AL799" s="907"/>
      <c r="AM799" s="907"/>
    </row>
    <row r="800" spans="1:39">
      <c r="A800" s="907"/>
      <c r="B800" s="907"/>
      <c r="C800" s="907"/>
      <c r="D800" s="907"/>
      <c r="E800" s="907"/>
      <c r="F800" s="907"/>
      <c r="G800" s="907"/>
      <c r="H800" s="907"/>
      <c r="I800" s="907"/>
      <c r="J800" s="907"/>
      <c r="K800" s="907"/>
      <c r="L800" s="907"/>
      <c r="M800" s="907"/>
      <c r="N800" s="907"/>
      <c r="O800" s="907"/>
      <c r="P800" s="907"/>
      <c r="Q800" s="907"/>
      <c r="R800" s="907"/>
      <c r="S800" s="907"/>
      <c r="T800" s="907"/>
      <c r="U800" s="907"/>
      <c r="V800" s="907"/>
      <c r="W800" s="907"/>
      <c r="X800" s="907"/>
      <c r="Y800" s="907"/>
      <c r="Z800" s="907"/>
      <c r="AA800" s="907"/>
      <c r="AB800" s="907"/>
      <c r="AC800" s="907"/>
      <c r="AD800" s="907"/>
      <c r="AE800" s="907"/>
      <c r="AF800" s="907"/>
      <c r="AG800" s="907"/>
      <c r="AH800" s="907"/>
      <c r="AI800" s="907"/>
      <c r="AJ800" s="907"/>
      <c r="AK800" s="907"/>
      <c r="AL800" s="907"/>
      <c r="AM800" s="907"/>
    </row>
    <row r="801" spans="1:39">
      <c r="A801" s="907"/>
      <c r="B801" s="907"/>
      <c r="C801" s="907"/>
      <c r="D801" s="907"/>
      <c r="E801" s="907"/>
      <c r="F801" s="907"/>
      <c r="G801" s="907"/>
      <c r="H801" s="907"/>
      <c r="I801" s="907"/>
      <c r="J801" s="907"/>
      <c r="K801" s="907"/>
      <c r="L801" s="907"/>
      <c r="M801" s="907"/>
      <c r="N801" s="907"/>
      <c r="O801" s="907"/>
      <c r="P801" s="907"/>
      <c r="Q801" s="907"/>
      <c r="R801" s="907"/>
      <c r="S801" s="907"/>
      <c r="T801" s="907"/>
      <c r="U801" s="907"/>
      <c r="V801" s="907"/>
      <c r="W801" s="907"/>
      <c r="X801" s="907"/>
      <c r="Y801" s="907"/>
      <c r="Z801" s="907"/>
      <c r="AA801" s="907"/>
      <c r="AB801" s="907"/>
      <c r="AC801" s="907"/>
      <c r="AD801" s="907"/>
      <c r="AE801" s="907"/>
      <c r="AF801" s="907"/>
      <c r="AG801" s="907"/>
      <c r="AH801" s="907"/>
      <c r="AI801" s="907"/>
      <c r="AJ801" s="907"/>
      <c r="AK801" s="907"/>
      <c r="AL801" s="907"/>
      <c r="AM801" s="907"/>
    </row>
    <row r="802" spans="1:39">
      <c r="A802" s="907"/>
      <c r="B802" s="907"/>
      <c r="C802" s="907"/>
      <c r="D802" s="907"/>
      <c r="E802" s="907"/>
      <c r="F802" s="907"/>
      <c r="G802" s="907"/>
      <c r="H802" s="907"/>
      <c r="I802" s="907"/>
      <c r="J802" s="907"/>
      <c r="K802" s="907"/>
      <c r="L802" s="907"/>
      <c r="M802" s="907"/>
      <c r="N802" s="907"/>
      <c r="O802" s="907"/>
      <c r="P802" s="907"/>
      <c r="Q802" s="907"/>
      <c r="R802" s="907"/>
      <c r="S802" s="907"/>
      <c r="T802" s="907"/>
      <c r="U802" s="907"/>
      <c r="V802" s="907"/>
      <c r="W802" s="907"/>
      <c r="X802" s="907"/>
      <c r="Y802" s="907"/>
      <c r="Z802" s="907"/>
      <c r="AA802" s="907"/>
      <c r="AB802" s="907"/>
      <c r="AC802" s="907"/>
      <c r="AD802" s="907"/>
      <c r="AE802" s="907"/>
      <c r="AF802" s="907"/>
      <c r="AG802" s="907"/>
      <c r="AH802" s="907"/>
      <c r="AI802" s="907"/>
      <c r="AJ802" s="907"/>
      <c r="AK802" s="907"/>
      <c r="AL802" s="907"/>
      <c r="AM802" s="907"/>
    </row>
    <row r="803" spans="1:39">
      <c r="A803" s="907"/>
      <c r="B803" s="907"/>
      <c r="C803" s="907"/>
      <c r="D803" s="907"/>
      <c r="E803" s="907"/>
      <c r="F803" s="907"/>
      <c r="G803" s="907"/>
      <c r="H803" s="907"/>
      <c r="I803" s="907"/>
      <c r="J803" s="907"/>
      <c r="K803" s="907"/>
      <c r="L803" s="907"/>
      <c r="M803" s="907"/>
      <c r="N803" s="907"/>
      <c r="O803" s="907"/>
      <c r="P803" s="907"/>
      <c r="Q803" s="907"/>
      <c r="R803" s="907"/>
      <c r="S803" s="907"/>
      <c r="T803" s="907"/>
      <c r="U803" s="907"/>
      <c r="V803" s="907"/>
      <c r="W803" s="907"/>
      <c r="X803" s="907"/>
      <c r="Y803" s="907"/>
      <c r="Z803" s="907"/>
      <c r="AA803" s="907"/>
      <c r="AB803" s="907"/>
      <c r="AC803" s="907"/>
      <c r="AD803" s="907"/>
      <c r="AE803" s="907"/>
      <c r="AF803" s="907"/>
      <c r="AG803" s="907"/>
      <c r="AH803" s="907"/>
      <c r="AI803" s="907"/>
      <c r="AJ803" s="907"/>
      <c r="AK803" s="907"/>
      <c r="AL803" s="907"/>
      <c r="AM803" s="907"/>
    </row>
    <row r="804" spans="1:39">
      <c r="A804" s="907"/>
      <c r="B804" s="907"/>
      <c r="C804" s="907"/>
      <c r="D804" s="907"/>
      <c r="E804" s="907"/>
      <c r="F804" s="907"/>
      <c r="G804" s="907"/>
      <c r="H804" s="907"/>
      <c r="I804" s="907"/>
      <c r="J804" s="907"/>
      <c r="K804" s="907"/>
      <c r="L804" s="907"/>
      <c r="M804" s="907"/>
      <c r="N804" s="907"/>
      <c r="O804" s="907"/>
      <c r="P804" s="907"/>
      <c r="Q804" s="907"/>
      <c r="R804" s="907"/>
      <c r="S804" s="907"/>
      <c r="T804" s="907"/>
      <c r="U804" s="907"/>
      <c r="V804" s="907"/>
      <c r="W804" s="907"/>
      <c r="X804" s="907"/>
      <c r="Y804" s="907"/>
      <c r="Z804" s="907"/>
      <c r="AA804" s="907"/>
      <c r="AB804" s="907"/>
      <c r="AC804" s="907"/>
      <c r="AD804" s="907"/>
      <c r="AE804" s="907"/>
      <c r="AF804" s="907"/>
      <c r="AG804" s="907"/>
      <c r="AH804" s="907"/>
      <c r="AI804" s="907"/>
      <c r="AJ804" s="907"/>
      <c r="AK804" s="907"/>
      <c r="AL804" s="907"/>
      <c r="AM804" s="907"/>
    </row>
    <row r="805" spans="1:39">
      <c r="A805" s="907"/>
      <c r="B805" s="907"/>
      <c r="C805" s="907"/>
      <c r="D805" s="907"/>
      <c r="E805" s="907"/>
      <c r="F805" s="907"/>
      <c r="G805" s="907"/>
      <c r="H805" s="907"/>
      <c r="I805" s="907"/>
      <c r="J805" s="907"/>
      <c r="K805" s="907"/>
      <c r="L805" s="907"/>
      <c r="M805" s="907"/>
      <c r="N805" s="907"/>
      <c r="O805" s="907"/>
      <c r="P805" s="907"/>
      <c r="Q805" s="907"/>
      <c r="R805" s="907"/>
      <c r="S805" s="907"/>
      <c r="T805" s="907"/>
      <c r="U805" s="907"/>
      <c r="V805" s="907"/>
      <c r="W805" s="907"/>
      <c r="X805" s="907"/>
      <c r="Y805" s="907"/>
      <c r="Z805" s="907"/>
      <c r="AA805" s="907"/>
      <c r="AB805" s="907"/>
      <c r="AC805" s="907"/>
      <c r="AD805" s="907"/>
      <c r="AE805" s="907"/>
      <c r="AF805" s="907"/>
      <c r="AG805" s="907"/>
      <c r="AH805" s="907"/>
      <c r="AI805" s="907"/>
      <c r="AJ805" s="907"/>
      <c r="AK805" s="907"/>
      <c r="AL805" s="907"/>
      <c r="AM805" s="907"/>
    </row>
    <row r="806" spans="1:39">
      <c r="A806" s="907"/>
      <c r="B806" s="907"/>
      <c r="C806" s="907"/>
      <c r="D806" s="907"/>
      <c r="E806" s="907"/>
      <c r="F806" s="907"/>
      <c r="G806" s="907"/>
      <c r="H806" s="907"/>
      <c r="I806" s="907"/>
      <c r="J806" s="907"/>
      <c r="K806" s="907"/>
      <c r="L806" s="907"/>
      <c r="M806" s="907"/>
      <c r="N806" s="907"/>
      <c r="O806" s="907"/>
      <c r="P806" s="907"/>
      <c r="Q806" s="907"/>
      <c r="R806" s="907"/>
      <c r="S806" s="907"/>
      <c r="T806" s="907"/>
      <c r="U806" s="907"/>
      <c r="V806" s="907"/>
      <c r="W806" s="907"/>
      <c r="X806" s="907"/>
      <c r="Y806" s="907"/>
      <c r="Z806" s="907"/>
      <c r="AA806" s="907"/>
      <c r="AB806" s="907"/>
      <c r="AC806" s="907"/>
      <c r="AD806" s="907"/>
      <c r="AE806" s="907"/>
      <c r="AF806" s="907"/>
      <c r="AG806" s="907"/>
      <c r="AH806" s="907"/>
      <c r="AI806" s="907"/>
      <c r="AJ806" s="907"/>
      <c r="AK806" s="907"/>
      <c r="AL806" s="907"/>
      <c r="AM806" s="907"/>
    </row>
    <row r="807" spans="1:39">
      <c r="A807" s="907"/>
      <c r="B807" s="907"/>
      <c r="C807" s="907"/>
      <c r="D807" s="907"/>
      <c r="E807" s="907"/>
      <c r="F807" s="907"/>
      <c r="G807" s="907"/>
      <c r="H807" s="907"/>
      <c r="I807" s="907"/>
      <c r="J807" s="907"/>
      <c r="K807" s="907"/>
      <c r="L807" s="907"/>
      <c r="M807" s="907"/>
      <c r="N807" s="907"/>
      <c r="O807" s="907"/>
      <c r="P807" s="907"/>
      <c r="Q807" s="907"/>
      <c r="R807" s="907"/>
      <c r="S807" s="907"/>
      <c r="T807" s="907"/>
      <c r="U807" s="907"/>
      <c r="V807" s="907"/>
      <c r="W807" s="907"/>
      <c r="X807" s="907"/>
      <c r="Y807" s="907"/>
      <c r="Z807" s="907"/>
      <c r="AA807" s="907"/>
      <c r="AB807" s="907"/>
      <c r="AC807" s="907"/>
      <c r="AD807" s="907"/>
      <c r="AE807" s="907"/>
      <c r="AF807" s="907"/>
      <c r="AG807" s="907"/>
      <c r="AH807" s="907"/>
      <c r="AI807" s="907"/>
      <c r="AJ807" s="907"/>
      <c r="AK807" s="907"/>
      <c r="AL807" s="907"/>
      <c r="AM807" s="907"/>
    </row>
    <row r="808" spans="1:39">
      <c r="A808" s="907"/>
      <c r="B808" s="907"/>
      <c r="C808" s="907"/>
      <c r="D808" s="907"/>
      <c r="E808" s="907"/>
      <c r="F808" s="907"/>
      <c r="G808" s="907"/>
      <c r="H808" s="907"/>
      <c r="I808" s="907"/>
      <c r="J808" s="907"/>
      <c r="K808" s="907"/>
      <c r="L808" s="907"/>
      <c r="M808" s="907"/>
      <c r="N808" s="907"/>
      <c r="O808" s="907"/>
      <c r="P808" s="907"/>
      <c r="Q808" s="907"/>
      <c r="R808" s="907"/>
      <c r="S808" s="907"/>
      <c r="T808" s="907"/>
      <c r="U808" s="907"/>
      <c r="V808" s="907"/>
      <c r="W808" s="907"/>
      <c r="X808" s="907"/>
      <c r="Y808" s="907"/>
      <c r="Z808" s="907"/>
      <c r="AA808" s="907"/>
      <c r="AB808" s="907"/>
      <c r="AC808" s="907"/>
      <c r="AD808" s="907"/>
      <c r="AE808" s="907"/>
      <c r="AF808" s="907"/>
      <c r="AG808" s="907"/>
      <c r="AH808" s="907"/>
      <c r="AI808" s="907"/>
      <c r="AJ808" s="907"/>
      <c r="AK808" s="907"/>
      <c r="AL808" s="907"/>
      <c r="AM808" s="907"/>
    </row>
    <row r="809" spans="1:39">
      <c r="A809" s="907"/>
      <c r="B809" s="907"/>
      <c r="C809" s="907"/>
      <c r="D809" s="907"/>
      <c r="E809" s="907"/>
      <c r="F809" s="907"/>
      <c r="G809" s="907"/>
      <c r="H809" s="907"/>
      <c r="I809" s="907"/>
      <c r="J809" s="907"/>
      <c r="K809" s="907"/>
      <c r="L809" s="907"/>
      <c r="M809" s="907"/>
      <c r="N809" s="907"/>
      <c r="O809" s="907"/>
      <c r="P809" s="907"/>
      <c r="Q809" s="907"/>
      <c r="R809" s="907"/>
      <c r="S809" s="907"/>
      <c r="T809" s="907"/>
      <c r="U809" s="907"/>
      <c r="V809" s="907"/>
      <c r="W809" s="907"/>
      <c r="X809" s="907"/>
      <c r="Y809" s="907"/>
      <c r="Z809" s="907"/>
      <c r="AA809" s="907"/>
      <c r="AB809" s="907"/>
      <c r="AC809" s="907"/>
      <c r="AD809" s="907"/>
      <c r="AE809" s="907"/>
      <c r="AF809" s="907"/>
      <c r="AG809" s="907"/>
      <c r="AH809" s="907"/>
      <c r="AI809" s="907"/>
      <c r="AJ809" s="907"/>
      <c r="AK809" s="907"/>
      <c r="AL809" s="907"/>
      <c r="AM809" s="907"/>
    </row>
    <row r="810" spans="1:39">
      <c r="A810" s="907"/>
      <c r="B810" s="907"/>
      <c r="C810" s="907"/>
      <c r="D810" s="907"/>
      <c r="E810" s="907"/>
      <c r="F810" s="907"/>
      <c r="G810" s="907"/>
      <c r="H810" s="907"/>
      <c r="I810" s="907"/>
      <c r="J810" s="907"/>
      <c r="K810" s="907"/>
      <c r="L810" s="907"/>
      <c r="M810" s="907"/>
      <c r="N810" s="907"/>
      <c r="O810" s="907"/>
      <c r="P810" s="907"/>
      <c r="Q810" s="907"/>
      <c r="R810" s="907"/>
      <c r="S810" s="907"/>
      <c r="T810" s="907"/>
      <c r="U810" s="907"/>
      <c r="V810" s="907"/>
      <c r="W810" s="907"/>
      <c r="X810" s="907"/>
      <c r="Y810" s="907"/>
      <c r="Z810" s="907"/>
      <c r="AA810" s="907"/>
      <c r="AB810" s="907"/>
      <c r="AC810" s="907"/>
      <c r="AD810" s="907"/>
      <c r="AE810" s="907"/>
      <c r="AF810" s="907"/>
      <c r="AG810" s="907"/>
      <c r="AH810" s="907"/>
      <c r="AI810" s="907"/>
      <c r="AJ810" s="907"/>
      <c r="AK810" s="907"/>
      <c r="AL810" s="907"/>
      <c r="AM810" s="907"/>
    </row>
    <row r="811" spans="1:39">
      <c r="A811" s="907"/>
      <c r="B811" s="907"/>
      <c r="C811" s="907"/>
      <c r="D811" s="907"/>
      <c r="E811" s="907"/>
      <c r="F811" s="907"/>
      <c r="G811" s="907"/>
      <c r="H811" s="907"/>
      <c r="I811" s="907"/>
      <c r="J811" s="907"/>
      <c r="K811" s="907"/>
      <c r="L811" s="907"/>
      <c r="M811" s="907"/>
      <c r="N811" s="907"/>
      <c r="O811" s="907"/>
      <c r="P811" s="907"/>
      <c r="Q811" s="907"/>
      <c r="R811" s="907"/>
      <c r="S811" s="907"/>
      <c r="T811" s="907"/>
      <c r="U811" s="907"/>
      <c r="V811" s="907"/>
      <c r="W811" s="907"/>
      <c r="X811" s="907"/>
      <c r="Y811" s="907"/>
      <c r="Z811" s="907"/>
      <c r="AA811" s="907"/>
      <c r="AB811" s="907"/>
      <c r="AC811" s="907"/>
      <c r="AD811" s="907"/>
      <c r="AE811" s="907"/>
      <c r="AF811" s="907"/>
      <c r="AG811" s="907"/>
      <c r="AH811" s="907"/>
      <c r="AI811" s="907"/>
      <c r="AJ811" s="907"/>
      <c r="AK811" s="907"/>
      <c r="AL811" s="907"/>
      <c r="AM811" s="907"/>
    </row>
    <row r="812" spans="1:39">
      <c r="A812" s="907"/>
      <c r="B812" s="907"/>
      <c r="C812" s="907"/>
      <c r="D812" s="907"/>
      <c r="E812" s="907"/>
      <c r="F812" s="907"/>
      <c r="G812" s="907"/>
      <c r="H812" s="907"/>
      <c r="I812" s="907"/>
      <c r="J812" s="907"/>
      <c r="K812" s="907"/>
      <c r="L812" s="907"/>
      <c r="M812" s="907"/>
      <c r="N812" s="907"/>
      <c r="O812" s="907"/>
      <c r="P812" s="907"/>
      <c r="Q812" s="907"/>
      <c r="R812" s="907"/>
      <c r="S812" s="907"/>
      <c r="T812" s="907"/>
      <c r="U812" s="907"/>
      <c r="V812" s="907"/>
      <c r="W812" s="907"/>
      <c r="X812" s="907"/>
      <c r="Y812" s="907"/>
      <c r="Z812" s="907"/>
      <c r="AA812" s="907"/>
      <c r="AB812" s="907"/>
      <c r="AC812" s="907"/>
      <c r="AD812" s="907"/>
      <c r="AE812" s="907"/>
      <c r="AF812" s="907"/>
      <c r="AG812" s="907"/>
      <c r="AH812" s="907"/>
      <c r="AI812" s="907"/>
      <c r="AJ812" s="907"/>
      <c r="AK812" s="907"/>
      <c r="AL812" s="907"/>
      <c r="AM812" s="907"/>
    </row>
    <row r="813" spans="1:39">
      <c r="A813" s="907"/>
      <c r="B813" s="907"/>
      <c r="C813" s="907"/>
      <c r="D813" s="907"/>
      <c r="E813" s="907"/>
      <c r="F813" s="907"/>
      <c r="G813" s="907"/>
      <c r="H813" s="907"/>
      <c r="I813" s="907"/>
      <c r="J813" s="907"/>
      <c r="K813" s="907"/>
      <c r="L813" s="907"/>
      <c r="M813" s="907"/>
      <c r="N813" s="907"/>
      <c r="O813" s="907"/>
      <c r="P813" s="907"/>
      <c r="Q813" s="907"/>
      <c r="R813" s="907"/>
      <c r="S813" s="907"/>
      <c r="T813" s="907"/>
      <c r="U813" s="907"/>
      <c r="V813" s="907"/>
      <c r="W813" s="907"/>
      <c r="X813" s="907"/>
      <c r="Y813" s="907"/>
      <c r="Z813" s="907"/>
      <c r="AA813" s="907"/>
      <c r="AB813" s="907"/>
      <c r="AC813" s="907"/>
      <c r="AD813" s="907"/>
      <c r="AE813" s="907"/>
      <c r="AF813" s="907"/>
      <c r="AG813" s="907"/>
      <c r="AH813" s="907"/>
      <c r="AI813" s="907"/>
      <c r="AJ813" s="907"/>
      <c r="AK813" s="907"/>
      <c r="AL813" s="907"/>
      <c r="AM813" s="907"/>
    </row>
    <row r="814" spans="1:39">
      <c r="A814" s="907"/>
      <c r="B814" s="907"/>
      <c r="C814" s="907"/>
      <c r="D814" s="907"/>
      <c r="E814" s="907"/>
      <c r="F814" s="907"/>
      <c r="G814" s="907"/>
      <c r="H814" s="907"/>
      <c r="I814" s="907"/>
      <c r="J814" s="907"/>
      <c r="K814" s="907"/>
      <c r="L814" s="907"/>
      <c r="M814" s="907"/>
      <c r="N814" s="907"/>
      <c r="O814" s="907"/>
      <c r="P814" s="907"/>
      <c r="Q814" s="907"/>
      <c r="R814" s="907"/>
      <c r="S814" s="907"/>
      <c r="T814" s="907"/>
      <c r="U814" s="907"/>
      <c r="V814" s="907"/>
      <c r="W814" s="907"/>
      <c r="X814" s="907"/>
      <c r="Y814" s="907"/>
      <c r="Z814" s="907"/>
      <c r="AA814" s="907"/>
      <c r="AB814" s="907"/>
      <c r="AC814" s="907"/>
      <c r="AD814" s="907"/>
      <c r="AE814" s="907"/>
      <c r="AF814" s="907"/>
      <c r="AG814" s="907"/>
      <c r="AH814" s="907"/>
      <c r="AI814" s="907"/>
      <c r="AJ814" s="907"/>
      <c r="AK814" s="907"/>
      <c r="AL814" s="907"/>
      <c r="AM814" s="907"/>
    </row>
    <row r="815" spans="1:39">
      <c r="A815" s="907"/>
      <c r="B815" s="907"/>
      <c r="C815" s="907"/>
      <c r="D815" s="907"/>
      <c r="E815" s="907"/>
      <c r="F815" s="907"/>
      <c r="G815" s="907"/>
      <c r="H815" s="907"/>
      <c r="I815" s="907"/>
      <c r="J815" s="907"/>
      <c r="K815" s="907"/>
      <c r="L815" s="907"/>
      <c r="M815" s="907"/>
      <c r="N815" s="907"/>
      <c r="O815" s="907"/>
      <c r="P815" s="907"/>
      <c r="Q815" s="907"/>
      <c r="R815" s="907"/>
      <c r="S815" s="907"/>
      <c r="T815" s="907"/>
      <c r="U815" s="907"/>
      <c r="V815" s="907"/>
      <c r="W815" s="907"/>
      <c r="X815" s="907"/>
      <c r="Y815" s="907"/>
      <c r="Z815" s="907"/>
      <c r="AA815" s="907"/>
      <c r="AB815" s="907"/>
      <c r="AC815" s="907"/>
      <c r="AD815" s="907"/>
      <c r="AE815" s="907"/>
      <c r="AF815" s="907"/>
      <c r="AG815" s="907"/>
      <c r="AH815" s="907"/>
      <c r="AI815" s="907"/>
      <c r="AJ815" s="907"/>
      <c r="AK815" s="907"/>
      <c r="AL815" s="907"/>
      <c r="AM815" s="907"/>
    </row>
    <row r="816" spans="1:39">
      <c r="A816" s="907"/>
      <c r="B816" s="907"/>
      <c r="C816" s="907"/>
      <c r="D816" s="907"/>
      <c r="E816" s="907"/>
      <c r="F816" s="907"/>
      <c r="G816" s="907"/>
      <c r="H816" s="907"/>
      <c r="I816" s="907"/>
      <c r="J816" s="907"/>
      <c r="K816" s="907"/>
      <c r="L816" s="907"/>
      <c r="M816" s="907"/>
      <c r="N816" s="907"/>
      <c r="O816" s="907"/>
      <c r="P816" s="907"/>
      <c r="Q816" s="907"/>
      <c r="R816" s="907"/>
      <c r="S816" s="907"/>
      <c r="T816" s="907"/>
      <c r="U816" s="907"/>
      <c r="V816" s="907"/>
      <c r="W816" s="907"/>
      <c r="X816" s="907"/>
      <c r="Y816" s="907"/>
      <c r="Z816" s="907"/>
      <c r="AA816" s="907"/>
      <c r="AB816" s="907"/>
      <c r="AC816" s="907"/>
      <c r="AD816" s="907"/>
      <c r="AE816" s="907"/>
      <c r="AF816" s="907"/>
      <c r="AG816" s="907"/>
      <c r="AH816" s="907"/>
      <c r="AI816" s="907"/>
      <c r="AJ816" s="907"/>
      <c r="AK816" s="907"/>
      <c r="AL816" s="907"/>
      <c r="AM816" s="907"/>
    </row>
    <row r="817" spans="1:39">
      <c r="A817" s="907"/>
      <c r="B817" s="907"/>
      <c r="C817" s="907"/>
      <c r="D817" s="907"/>
      <c r="E817" s="907"/>
      <c r="F817" s="907"/>
      <c r="G817" s="907"/>
      <c r="H817" s="907"/>
      <c r="I817" s="907"/>
      <c r="J817" s="907"/>
      <c r="K817" s="907"/>
      <c r="L817" s="907"/>
      <c r="M817" s="907"/>
      <c r="N817" s="907"/>
      <c r="O817" s="907"/>
      <c r="P817" s="907"/>
      <c r="Q817" s="907"/>
      <c r="R817" s="907"/>
      <c r="S817" s="907"/>
      <c r="T817" s="907"/>
      <c r="U817" s="907"/>
      <c r="V817" s="907"/>
      <c r="W817" s="907"/>
      <c r="X817" s="907"/>
      <c r="Y817" s="907"/>
      <c r="Z817" s="907"/>
      <c r="AA817" s="907"/>
      <c r="AB817" s="907"/>
      <c r="AC817" s="907"/>
      <c r="AD817" s="907"/>
      <c r="AE817" s="907"/>
      <c r="AF817" s="907"/>
      <c r="AG817" s="907"/>
      <c r="AH817" s="907"/>
      <c r="AI817" s="907"/>
      <c r="AJ817" s="907"/>
      <c r="AK817" s="907"/>
      <c r="AL817" s="907"/>
      <c r="AM817" s="907"/>
    </row>
    <row r="818" spans="1:39">
      <c r="A818" s="907"/>
      <c r="B818" s="907"/>
      <c r="C818" s="907"/>
      <c r="D818" s="907"/>
      <c r="E818" s="907"/>
      <c r="F818" s="907"/>
      <c r="G818" s="907"/>
      <c r="H818" s="907"/>
      <c r="I818" s="907"/>
      <c r="J818" s="907"/>
      <c r="K818" s="907"/>
      <c r="L818" s="907"/>
      <c r="M818" s="907"/>
      <c r="N818" s="907"/>
      <c r="O818" s="907"/>
      <c r="P818" s="907"/>
      <c r="Q818" s="907"/>
      <c r="R818" s="907"/>
      <c r="S818" s="907"/>
      <c r="T818" s="907"/>
      <c r="U818" s="907"/>
      <c r="V818" s="907"/>
      <c r="W818" s="907"/>
      <c r="X818" s="907"/>
      <c r="Y818" s="907"/>
      <c r="Z818" s="907"/>
      <c r="AA818" s="907"/>
      <c r="AB818" s="907"/>
      <c r="AC818" s="907"/>
      <c r="AD818" s="907"/>
      <c r="AE818" s="907"/>
      <c r="AF818" s="907"/>
      <c r="AG818" s="907"/>
      <c r="AH818" s="907"/>
      <c r="AI818" s="907"/>
      <c r="AJ818" s="907"/>
      <c r="AK818" s="907"/>
      <c r="AL818" s="907"/>
      <c r="AM818" s="907"/>
    </row>
    <row r="819" spans="1:39">
      <c r="A819" s="907"/>
      <c r="B819" s="907"/>
      <c r="C819" s="907"/>
      <c r="D819" s="907"/>
      <c r="E819" s="907"/>
      <c r="F819" s="907"/>
      <c r="G819" s="907"/>
      <c r="H819" s="907"/>
      <c r="I819" s="907"/>
      <c r="J819" s="907"/>
      <c r="K819" s="907"/>
      <c r="L819" s="907"/>
      <c r="M819" s="907"/>
      <c r="N819" s="907"/>
      <c r="O819" s="907"/>
      <c r="P819" s="907"/>
      <c r="Q819" s="907"/>
      <c r="R819" s="907"/>
      <c r="S819" s="907"/>
      <c r="T819" s="907"/>
      <c r="U819" s="907"/>
      <c r="V819" s="907"/>
      <c r="W819" s="907"/>
      <c r="X819" s="907"/>
      <c r="Y819" s="907"/>
      <c r="Z819" s="907"/>
      <c r="AA819" s="907"/>
      <c r="AB819" s="907"/>
      <c r="AC819" s="907"/>
      <c r="AD819" s="907"/>
      <c r="AE819" s="907"/>
      <c r="AF819" s="907"/>
      <c r="AG819" s="907"/>
      <c r="AH819" s="907"/>
      <c r="AI819" s="907"/>
      <c r="AJ819" s="907"/>
      <c r="AK819" s="907"/>
      <c r="AL819" s="907"/>
      <c r="AM819" s="907"/>
    </row>
    <row r="820" spans="1:39">
      <c r="A820" s="907"/>
      <c r="B820" s="907"/>
      <c r="C820" s="907"/>
      <c r="D820" s="907"/>
      <c r="E820" s="907"/>
      <c r="F820" s="907"/>
      <c r="G820" s="907"/>
      <c r="H820" s="907"/>
      <c r="I820" s="907"/>
      <c r="J820" s="907"/>
      <c r="K820" s="907"/>
      <c r="L820" s="907"/>
      <c r="M820" s="907"/>
      <c r="N820" s="907"/>
      <c r="O820" s="907"/>
      <c r="P820" s="907"/>
      <c r="Q820" s="907"/>
      <c r="R820" s="907"/>
      <c r="S820" s="907"/>
      <c r="T820" s="907"/>
      <c r="U820" s="907"/>
      <c r="V820" s="907"/>
      <c r="W820" s="907"/>
      <c r="X820" s="907"/>
      <c r="Y820" s="907"/>
      <c r="Z820" s="907"/>
      <c r="AA820" s="907"/>
      <c r="AB820" s="907"/>
      <c r="AC820" s="907"/>
      <c r="AD820" s="907"/>
      <c r="AE820" s="907"/>
      <c r="AF820" s="907"/>
      <c r="AG820" s="907"/>
      <c r="AH820" s="907"/>
      <c r="AI820" s="907"/>
      <c r="AJ820" s="907"/>
      <c r="AK820" s="907"/>
      <c r="AL820" s="907"/>
      <c r="AM820" s="907"/>
    </row>
    <row r="821" spans="1:39">
      <c r="A821" s="907"/>
      <c r="B821" s="907"/>
      <c r="C821" s="907"/>
      <c r="D821" s="907"/>
      <c r="E821" s="907"/>
      <c r="F821" s="907"/>
      <c r="G821" s="907"/>
      <c r="H821" s="907"/>
      <c r="I821" s="907"/>
      <c r="J821" s="907"/>
      <c r="K821" s="907"/>
      <c r="L821" s="907"/>
      <c r="M821" s="907"/>
      <c r="N821" s="907"/>
      <c r="O821" s="907"/>
      <c r="P821" s="907"/>
      <c r="Q821" s="907"/>
      <c r="R821" s="907"/>
      <c r="S821" s="907"/>
      <c r="T821" s="907"/>
      <c r="U821" s="907"/>
      <c r="V821" s="907"/>
      <c r="W821" s="907"/>
      <c r="X821" s="907"/>
      <c r="Y821" s="907"/>
      <c r="Z821" s="907"/>
      <c r="AA821" s="907"/>
      <c r="AB821" s="907"/>
      <c r="AC821" s="907"/>
      <c r="AD821" s="907"/>
      <c r="AE821" s="907"/>
      <c r="AF821" s="907"/>
      <c r="AG821" s="907"/>
      <c r="AH821" s="907"/>
      <c r="AI821" s="907"/>
      <c r="AJ821" s="907"/>
      <c r="AK821" s="907"/>
      <c r="AL821" s="907"/>
      <c r="AM821" s="907"/>
    </row>
    <row r="822" spans="1:39">
      <c r="A822" s="907"/>
      <c r="B822" s="907"/>
      <c r="C822" s="907"/>
      <c r="D822" s="907"/>
      <c r="E822" s="907"/>
      <c r="F822" s="907"/>
      <c r="G822" s="907"/>
      <c r="H822" s="907"/>
      <c r="I822" s="907"/>
      <c r="J822" s="907"/>
      <c r="K822" s="907"/>
      <c r="L822" s="907"/>
      <c r="M822" s="907"/>
      <c r="N822" s="907"/>
      <c r="O822" s="907"/>
      <c r="P822" s="907"/>
      <c r="Q822" s="907"/>
      <c r="R822" s="907"/>
      <c r="S822" s="907"/>
      <c r="T822" s="907"/>
      <c r="U822" s="907"/>
      <c r="V822" s="907"/>
      <c r="W822" s="907"/>
      <c r="X822" s="907"/>
      <c r="Y822" s="907"/>
      <c r="Z822" s="907"/>
      <c r="AA822" s="907"/>
      <c r="AB822" s="907"/>
      <c r="AC822" s="907"/>
      <c r="AD822" s="907"/>
      <c r="AE822" s="907"/>
      <c r="AF822" s="907"/>
      <c r="AG822" s="907"/>
      <c r="AH822" s="907"/>
      <c r="AI822" s="907"/>
      <c r="AJ822" s="907"/>
      <c r="AK822" s="907"/>
      <c r="AL822" s="907"/>
      <c r="AM822" s="907"/>
    </row>
    <row r="823" spans="1:39">
      <c r="A823" s="907"/>
      <c r="B823" s="907"/>
      <c r="C823" s="907"/>
      <c r="D823" s="907"/>
      <c r="E823" s="907"/>
      <c r="F823" s="907"/>
      <c r="G823" s="907"/>
      <c r="H823" s="907"/>
      <c r="I823" s="907"/>
      <c r="J823" s="907"/>
      <c r="K823" s="907"/>
      <c r="L823" s="907"/>
      <c r="M823" s="907"/>
      <c r="N823" s="907"/>
      <c r="O823" s="907"/>
      <c r="P823" s="907"/>
      <c r="Q823" s="907"/>
      <c r="R823" s="907"/>
      <c r="S823" s="907"/>
      <c r="T823" s="907"/>
      <c r="U823" s="907"/>
      <c r="V823" s="907"/>
      <c r="W823" s="907"/>
      <c r="X823" s="907"/>
      <c r="Y823" s="907"/>
      <c r="Z823" s="907"/>
      <c r="AA823" s="907"/>
      <c r="AB823" s="907"/>
      <c r="AC823" s="907"/>
      <c r="AD823" s="907"/>
      <c r="AE823" s="907"/>
      <c r="AF823" s="907"/>
      <c r="AG823" s="907"/>
      <c r="AH823" s="907"/>
      <c r="AI823" s="907"/>
      <c r="AJ823" s="907"/>
      <c r="AK823" s="907"/>
      <c r="AL823" s="907"/>
      <c r="AM823" s="907"/>
    </row>
    <row r="824" spans="1:39">
      <c r="A824" s="907"/>
      <c r="B824" s="907"/>
      <c r="C824" s="907"/>
      <c r="D824" s="907"/>
      <c r="E824" s="907"/>
      <c r="F824" s="907"/>
      <c r="G824" s="907"/>
      <c r="H824" s="907"/>
      <c r="I824" s="907"/>
      <c r="J824" s="907"/>
      <c r="K824" s="907"/>
      <c r="L824" s="907"/>
      <c r="M824" s="907"/>
      <c r="N824" s="907"/>
      <c r="O824" s="907"/>
      <c r="P824" s="907"/>
      <c r="Q824" s="907"/>
      <c r="R824" s="907"/>
      <c r="S824" s="907"/>
      <c r="T824" s="907"/>
      <c r="U824" s="907"/>
      <c r="V824" s="907"/>
      <c r="W824" s="907"/>
      <c r="X824" s="907"/>
      <c r="Y824" s="907"/>
      <c r="Z824" s="907"/>
      <c r="AA824" s="907"/>
      <c r="AB824" s="907"/>
      <c r="AC824" s="907"/>
      <c r="AD824" s="907"/>
      <c r="AE824" s="907"/>
      <c r="AF824" s="907"/>
      <c r="AG824" s="907"/>
      <c r="AH824" s="907"/>
      <c r="AI824" s="907"/>
      <c r="AJ824" s="907"/>
      <c r="AK824" s="907"/>
      <c r="AL824" s="907"/>
      <c r="AM824" s="907"/>
    </row>
    <row r="825" spans="1:39">
      <c r="A825" s="907"/>
      <c r="B825" s="907"/>
      <c r="C825" s="907"/>
      <c r="D825" s="907"/>
      <c r="E825" s="907"/>
      <c r="F825" s="907"/>
      <c r="G825" s="907"/>
      <c r="H825" s="907"/>
      <c r="I825" s="907"/>
      <c r="J825" s="907"/>
      <c r="K825" s="907"/>
      <c r="L825" s="907"/>
      <c r="M825" s="907"/>
      <c r="N825" s="907"/>
      <c r="O825" s="907"/>
      <c r="P825" s="907"/>
      <c r="Q825" s="907"/>
      <c r="R825" s="907"/>
      <c r="S825" s="907"/>
      <c r="T825" s="907"/>
      <c r="U825" s="907"/>
      <c r="V825" s="907"/>
      <c r="W825" s="907"/>
      <c r="X825" s="907"/>
      <c r="Y825" s="907"/>
      <c r="Z825" s="907"/>
      <c r="AA825" s="907"/>
      <c r="AB825" s="907"/>
      <c r="AC825" s="907"/>
      <c r="AD825" s="907"/>
      <c r="AE825" s="907"/>
      <c r="AF825" s="907"/>
      <c r="AG825" s="907"/>
      <c r="AH825" s="907"/>
      <c r="AI825" s="907"/>
      <c r="AJ825" s="907"/>
      <c r="AK825" s="907"/>
      <c r="AL825" s="907"/>
      <c r="AM825" s="907"/>
    </row>
    <row r="826" spans="1:39">
      <c r="A826" s="907"/>
      <c r="B826" s="907"/>
      <c r="C826" s="907"/>
      <c r="D826" s="907"/>
      <c r="E826" s="907"/>
      <c r="F826" s="907"/>
      <c r="G826" s="907"/>
      <c r="H826" s="907"/>
      <c r="I826" s="907"/>
      <c r="J826" s="907"/>
      <c r="K826" s="907"/>
      <c r="L826" s="907"/>
      <c r="M826" s="907"/>
      <c r="N826" s="907"/>
      <c r="O826" s="907"/>
      <c r="P826" s="907"/>
      <c r="Q826" s="907"/>
      <c r="R826" s="907"/>
      <c r="S826" s="907"/>
      <c r="T826" s="907"/>
      <c r="U826" s="907"/>
      <c r="V826" s="907"/>
      <c r="W826" s="907"/>
      <c r="X826" s="907"/>
      <c r="Y826" s="907"/>
      <c r="Z826" s="907"/>
      <c r="AA826" s="907"/>
      <c r="AB826" s="907"/>
      <c r="AC826" s="907"/>
      <c r="AD826" s="907"/>
      <c r="AE826" s="907"/>
      <c r="AF826" s="907"/>
      <c r="AG826" s="907"/>
      <c r="AH826" s="907"/>
      <c r="AI826" s="907"/>
      <c r="AJ826" s="907"/>
      <c r="AK826" s="907"/>
      <c r="AL826" s="907"/>
      <c r="AM826" s="907"/>
    </row>
    <row r="827" spans="1:39">
      <c r="A827" s="907"/>
      <c r="B827" s="907"/>
      <c r="C827" s="907"/>
      <c r="D827" s="907"/>
      <c r="E827" s="907"/>
      <c r="F827" s="907"/>
      <c r="G827" s="907"/>
      <c r="H827" s="907"/>
      <c r="I827" s="907"/>
      <c r="J827" s="907"/>
      <c r="K827" s="907"/>
      <c r="L827" s="907"/>
      <c r="M827" s="907"/>
      <c r="N827" s="907"/>
      <c r="O827" s="907"/>
      <c r="P827" s="907"/>
      <c r="Q827" s="907"/>
      <c r="R827" s="907"/>
      <c r="S827" s="907"/>
      <c r="T827" s="907"/>
      <c r="U827" s="907"/>
      <c r="V827" s="907"/>
      <c r="W827" s="907"/>
      <c r="X827" s="907"/>
      <c r="Y827" s="907"/>
      <c r="Z827" s="907"/>
      <c r="AA827" s="907"/>
      <c r="AB827" s="907"/>
      <c r="AC827" s="907"/>
      <c r="AD827" s="907"/>
      <c r="AE827" s="907"/>
      <c r="AF827" s="907"/>
      <c r="AG827" s="907"/>
      <c r="AH827" s="907"/>
      <c r="AI827" s="907"/>
      <c r="AJ827" s="907"/>
      <c r="AK827" s="907"/>
      <c r="AL827" s="907"/>
      <c r="AM827" s="907"/>
    </row>
    <row r="828" spans="1:39">
      <c r="A828" s="907"/>
      <c r="B828" s="907"/>
      <c r="C828" s="907"/>
      <c r="D828" s="907"/>
      <c r="E828" s="907"/>
      <c r="F828" s="907"/>
      <c r="G828" s="907"/>
      <c r="H828" s="907"/>
      <c r="I828" s="907"/>
      <c r="J828" s="907"/>
      <c r="K828" s="907"/>
      <c r="L828" s="907"/>
      <c r="M828" s="907"/>
      <c r="N828" s="907"/>
      <c r="O828" s="907"/>
      <c r="P828" s="907"/>
      <c r="Q828" s="907"/>
      <c r="R828" s="907"/>
      <c r="S828" s="907"/>
      <c r="T828" s="907"/>
      <c r="U828" s="907"/>
      <c r="V828" s="907"/>
      <c r="W828" s="907"/>
      <c r="X828" s="907"/>
      <c r="Y828" s="907"/>
      <c r="Z828" s="907"/>
      <c r="AA828" s="907"/>
      <c r="AB828" s="907"/>
      <c r="AC828" s="907"/>
      <c r="AD828" s="907"/>
      <c r="AE828" s="907"/>
      <c r="AF828" s="907"/>
      <c r="AG828" s="907"/>
      <c r="AH828" s="907"/>
      <c r="AI828" s="907"/>
      <c r="AJ828" s="907"/>
      <c r="AK828" s="907"/>
      <c r="AL828" s="907"/>
      <c r="AM828" s="907"/>
    </row>
    <row r="829" spans="1:39">
      <c r="A829" s="907"/>
      <c r="B829" s="907"/>
      <c r="C829" s="907"/>
      <c r="D829" s="907"/>
      <c r="E829" s="907"/>
      <c r="F829" s="907"/>
      <c r="G829" s="907"/>
      <c r="H829" s="907"/>
      <c r="I829" s="907"/>
      <c r="J829" s="907"/>
      <c r="K829" s="907"/>
      <c r="L829" s="907"/>
      <c r="M829" s="907"/>
      <c r="N829" s="907"/>
      <c r="O829" s="907"/>
      <c r="P829" s="907"/>
      <c r="Q829" s="907"/>
      <c r="R829" s="907"/>
      <c r="S829" s="907"/>
      <c r="T829" s="907"/>
      <c r="U829" s="907"/>
      <c r="V829" s="907"/>
      <c r="W829" s="907"/>
      <c r="X829" s="907"/>
      <c r="Y829" s="907"/>
      <c r="Z829" s="907"/>
      <c r="AA829" s="907"/>
      <c r="AB829" s="907"/>
      <c r="AC829" s="907"/>
      <c r="AD829" s="907"/>
      <c r="AE829" s="907"/>
      <c r="AF829" s="907"/>
      <c r="AG829" s="907"/>
      <c r="AH829" s="907"/>
      <c r="AI829" s="907"/>
      <c r="AJ829" s="907"/>
      <c r="AK829" s="907"/>
      <c r="AL829" s="907"/>
      <c r="AM829" s="907"/>
    </row>
    <row r="830" spans="1:39">
      <c r="A830" s="907"/>
      <c r="B830" s="907"/>
      <c r="C830" s="907"/>
      <c r="D830" s="907"/>
      <c r="E830" s="907"/>
      <c r="F830" s="907"/>
      <c r="G830" s="907"/>
      <c r="H830" s="907"/>
      <c r="I830" s="907"/>
      <c r="J830" s="907"/>
      <c r="K830" s="907"/>
      <c r="L830" s="907"/>
      <c r="M830" s="907"/>
      <c r="N830" s="907"/>
      <c r="O830" s="907"/>
      <c r="P830" s="907"/>
      <c r="Q830" s="907"/>
      <c r="R830" s="907"/>
      <c r="S830" s="907"/>
      <c r="T830" s="907"/>
      <c r="U830" s="907"/>
      <c r="V830" s="907"/>
      <c r="W830" s="907"/>
      <c r="X830" s="907"/>
      <c r="Y830" s="907"/>
      <c r="Z830" s="907"/>
      <c r="AA830" s="907"/>
      <c r="AB830" s="907"/>
      <c r="AC830" s="907"/>
      <c r="AD830" s="907"/>
      <c r="AE830" s="907"/>
      <c r="AF830" s="907"/>
      <c r="AG830" s="907"/>
      <c r="AH830" s="907"/>
      <c r="AI830" s="907"/>
      <c r="AJ830" s="907"/>
      <c r="AK830" s="907"/>
      <c r="AL830" s="907"/>
      <c r="AM830" s="907"/>
    </row>
    <row r="831" spans="1:39">
      <c r="A831" s="907"/>
      <c r="B831" s="907"/>
      <c r="C831" s="907"/>
      <c r="D831" s="907"/>
      <c r="E831" s="907"/>
      <c r="F831" s="907"/>
      <c r="G831" s="907"/>
      <c r="H831" s="907"/>
      <c r="I831" s="907"/>
      <c r="J831" s="907"/>
      <c r="K831" s="907"/>
      <c r="L831" s="907"/>
      <c r="M831" s="907"/>
      <c r="N831" s="907"/>
      <c r="O831" s="907"/>
      <c r="P831" s="907"/>
      <c r="Q831" s="907"/>
      <c r="R831" s="907"/>
      <c r="S831" s="907"/>
      <c r="T831" s="907"/>
      <c r="U831" s="907"/>
      <c r="V831" s="907"/>
      <c r="W831" s="907"/>
      <c r="X831" s="907"/>
      <c r="Y831" s="907"/>
      <c r="Z831" s="907"/>
      <c r="AA831" s="907"/>
      <c r="AB831" s="907"/>
      <c r="AC831" s="907"/>
      <c r="AD831" s="907"/>
      <c r="AE831" s="907"/>
      <c r="AF831" s="907"/>
      <c r="AG831" s="907"/>
      <c r="AH831" s="907"/>
      <c r="AI831" s="907"/>
      <c r="AJ831" s="907"/>
      <c r="AK831" s="907"/>
      <c r="AL831" s="907"/>
      <c r="AM831" s="907"/>
    </row>
    <row r="832" spans="1:39">
      <c r="A832" s="907"/>
      <c r="B832" s="907"/>
      <c r="C832" s="907"/>
      <c r="D832" s="907"/>
      <c r="E832" s="907"/>
      <c r="F832" s="907"/>
      <c r="G832" s="907"/>
      <c r="H832" s="907"/>
      <c r="I832" s="907"/>
      <c r="J832" s="907"/>
      <c r="K832" s="907"/>
      <c r="L832" s="907"/>
      <c r="M832" s="907"/>
      <c r="N832" s="907"/>
      <c r="O832" s="907"/>
      <c r="P832" s="907"/>
      <c r="Q832" s="907"/>
      <c r="R832" s="907"/>
      <c r="S832" s="907"/>
      <c r="T832" s="907"/>
      <c r="U832" s="907"/>
      <c r="V832" s="907"/>
      <c r="W832" s="907"/>
      <c r="X832" s="907"/>
      <c r="Y832" s="907"/>
      <c r="Z832" s="907"/>
      <c r="AA832" s="907"/>
      <c r="AB832" s="907"/>
      <c r="AC832" s="907"/>
      <c r="AD832" s="907"/>
      <c r="AE832" s="907"/>
      <c r="AF832" s="907"/>
      <c r="AG832" s="907"/>
      <c r="AH832" s="907"/>
      <c r="AI832" s="907"/>
      <c r="AJ832" s="907"/>
      <c r="AK832" s="907"/>
      <c r="AL832" s="907"/>
      <c r="AM832" s="907"/>
    </row>
    <row r="833" spans="1:39">
      <c r="A833" s="907"/>
      <c r="B833" s="907"/>
      <c r="C833" s="907"/>
      <c r="D833" s="907"/>
      <c r="E833" s="907"/>
      <c r="F833" s="907"/>
      <c r="G833" s="907"/>
      <c r="H833" s="907"/>
      <c r="I833" s="907"/>
      <c r="J833" s="907"/>
      <c r="K833" s="907"/>
      <c r="L833" s="907"/>
      <c r="M833" s="907"/>
      <c r="N833" s="907"/>
      <c r="O833" s="907"/>
      <c r="P833" s="907"/>
      <c r="Q833" s="907"/>
      <c r="R833" s="907"/>
      <c r="S833" s="907"/>
      <c r="T833" s="907"/>
      <c r="U833" s="907"/>
      <c r="V833" s="907"/>
      <c r="W833" s="907"/>
      <c r="X833" s="907"/>
      <c r="Y833" s="907"/>
      <c r="Z833" s="907"/>
      <c r="AA833" s="907"/>
      <c r="AB833" s="907"/>
      <c r="AC833" s="907"/>
      <c r="AD833" s="907"/>
      <c r="AE833" s="907"/>
      <c r="AF833" s="907"/>
      <c r="AG833" s="907"/>
      <c r="AH833" s="907"/>
      <c r="AI833" s="907"/>
      <c r="AJ833" s="907"/>
      <c r="AK833" s="907"/>
      <c r="AL833" s="907"/>
      <c r="AM833" s="907"/>
    </row>
    <row r="834" spans="1:39">
      <c r="A834" s="907"/>
      <c r="B834" s="907"/>
      <c r="C834" s="907"/>
      <c r="D834" s="907"/>
      <c r="E834" s="907"/>
      <c r="F834" s="907"/>
      <c r="G834" s="907"/>
      <c r="H834" s="907"/>
      <c r="I834" s="907"/>
      <c r="J834" s="907"/>
      <c r="K834" s="907"/>
      <c r="L834" s="907"/>
      <c r="M834" s="907"/>
      <c r="N834" s="907"/>
      <c r="O834" s="907"/>
      <c r="P834" s="907"/>
      <c r="Q834" s="907"/>
      <c r="R834" s="907"/>
      <c r="S834" s="907"/>
      <c r="T834" s="907"/>
      <c r="U834" s="907"/>
      <c r="V834" s="907"/>
      <c r="W834" s="907"/>
      <c r="X834" s="907"/>
      <c r="Y834" s="907"/>
      <c r="Z834" s="907"/>
      <c r="AA834" s="907"/>
      <c r="AB834" s="907"/>
      <c r="AC834" s="907"/>
      <c r="AD834" s="907"/>
      <c r="AE834" s="907"/>
      <c r="AF834" s="907"/>
      <c r="AG834" s="907"/>
      <c r="AH834" s="907"/>
      <c r="AI834" s="907"/>
      <c r="AJ834" s="907"/>
      <c r="AK834" s="907"/>
      <c r="AL834" s="907"/>
      <c r="AM834" s="907"/>
    </row>
    <row r="835" spans="1:39">
      <c r="A835" s="907"/>
      <c r="B835" s="907"/>
      <c r="C835" s="907"/>
      <c r="D835" s="907"/>
      <c r="E835" s="907"/>
      <c r="F835" s="907"/>
      <c r="G835" s="907"/>
      <c r="H835" s="907"/>
      <c r="I835" s="907"/>
      <c r="J835" s="907"/>
      <c r="K835" s="907"/>
      <c r="L835" s="907"/>
      <c r="M835" s="907"/>
      <c r="N835" s="907"/>
      <c r="O835" s="907"/>
      <c r="P835" s="907"/>
      <c r="Q835" s="907"/>
      <c r="R835" s="907"/>
      <c r="S835" s="907"/>
      <c r="T835" s="907"/>
      <c r="U835" s="907"/>
      <c r="V835" s="907"/>
      <c r="W835" s="907"/>
      <c r="X835" s="907"/>
      <c r="Y835" s="907"/>
      <c r="Z835" s="907"/>
      <c r="AA835" s="907"/>
      <c r="AB835" s="907"/>
      <c r="AC835" s="907"/>
      <c r="AD835" s="907"/>
      <c r="AE835" s="907"/>
      <c r="AF835" s="907"/>
      <c r="AG835" s="907"/>
      <c r="AH835" s="907"/>
      <c r="AI835" s="907"/>
      <c r="AJ835" s="907"/>
      <c r="AK835" s="907"/>
      <c r="AL835" s="907"/>
      <c r="AM835" s="907"/>
    </row>
    <row r="836" spans="1:39">
      <c r="A836" s="907"/>
      <c r="B836" s="907"/>
      <c r="C836" s="907"/>
      <c r="D836" s="907"/>
      <c r="E836" s="907"/>
      <c r="F836" s="907"/>
      <c r="G836" s="907"/>
      <c r="H836" s="907"/>
      <c r="I836" s="907"/>
      <c r="J836" s="907"/>
      <c r="K836" s="907"/>
      <c r="L836" s="907"/>
      <c r="M836" s="907"/>
      <c r="N836" s="907"/>
      <c r="O836" s="907"/>
      <c r="P836" s="907"/>
      <c r="Q836" s="907"/>
      <c r="R836" s="907"/>
      <c r="S836" s="907"/>
      <c r="T836" s="907"/>
      <c r="U836" s="907"/>
      <c r="V836" s="907"/>
      <c r="W836" s="907"/>
      <c r="X836" s="907"/>
      <c r="Y836" s="907"/>
      <c r="Z836" s="907"/>
      <c r="AA836" s="907"/>
      <c r="AB836" s="907"/>
      <c r="AC836" s="907"/>
      <c r="AD836" s="907"/>
      <c r="AE836" s="907"/>
      <c r="AF836" s="907"/>
      <c r="AG836" s="907"/>
      <c r="AH836" s="907"/>
      <c r="AI836" s="907"/>
      <c r="AJ836" s="907"/>
      <c r="AK836" s="907"/>
      <c r="AL836" s="907"/>
      <c r="AM836" s="907"/>
    </row>
    <row r="837" spans="1:39">
      <c r="A837" s="907"/>
      <c r="B837" s="907"/>
      <c r="C837" s="907"/>
      <c r="D837" s="907"/>
      <c r="E837" s="907"/>
      <c r="F837" s="907"/>
      <c r="G837" s="907"/>
      <c r="H837" s="907"/>
      <c r="I837" s="907"/>
      <c r="J837" s="907"/>
      <c r="K837" s="907"/>
      <c r="L837" s="907"/>
      <c r="M837" s="907"/>
      <c r="N837" s="907"/>
      <c r="O837" s="907"/>
      <c r="P837" s="907"/>
      <c r="Q837" s="907"/>
      <c r="R837" s="907"/>
      <c r="S837" s="907"/>
      <c r="T837" s="907"/>
      <c r="U837" s="907"/>
      <c r="V837" s="907"/>
      <c r="W837" s="907"/>
      <c r="X837" s="907"/>
      <c r="Y837" s="907"/>
      <c r="Z837" s="907"/>
      <c r="AA837" s="907"/>
      <c r="AB837" s="907"/>
      <c r="AC837" s="907"/>
      <c r="AD837" s="907"/>
      <c r="AE837" s="907"/>
      <c r="AF837" s="907"/>
      <c r="AG837" s="907"/>
      <c r="AH837" s="907"/>
      <c r="AI837" s="907"/>
      <c r="AJ837" s="907"/>
      <c r="AK837" s="907"/>
      <c r="AL837" s="907"/>
      <c r="AM837" s="907"/>
    </row>
    <row r="838" spans="1:39">
      <c r="A838" s="907"/>
      <c r="B838" s="907"/>
      <c r="C838" s="907"/>
      <c r="D838" s="907"/>
      <c r="E838" s="907"/>
      <c r="F838" s="907"/>
      <c r="G838" s="907"/>
      <c r="H838" s="907"/>
      <c r="I838" s="907"/>
      <c r="J838" s="907"/>
      <c r="K838" s="907"/>
      <c r="L838" s="907"/>
      <c r="M838" s="907"/>
      <c r="N838" s="907"/>
      <c r="O838" s="907"/>
      <c r="P838" s="907"/>
      <c r="Q838" s="907"/>
      <c r="R838" s="907"/>
      <c r="S838" s="907"/>
      <c r="T838" s="907"/>
      <c r="U838" s="907"/>
      <c r="V838" s="907"/>
      <c r="W838" s="907"/>
      <c r="X838" s="907"/>
      <c r="Y838" s="907"/>
      <c r="Z838" s="907"/>
      <c r="AA838" s="907"/>
      <c r="AB838" s="907"/>
      <c r="AC838" s="907"/>
      <c r="AD838" s="907"/>
      <c r="AE838" s="907"/>
      <c r="AF838" s="907"/>
      <c r="AG838" s="907"/>
      <c r="AH838" s="907"/>
      <c r="AI838" s="907"/>
      <c r="AJ838" s="907"/>
      <c r="AK838" s="907"/>
      <c r="AL838" s="907"/>
      <c r="AM838" s="907"/>
    </row>
    <row r="839" spans="1:39">
      <c r="A839" s="907"/>
      <c r="B839" s="907"/>
      <c r="C839" s="907"/>
      <c r="D839" s="907"/>
      <c r="E839" s="907"/>
      <c r="F839" s="907"/>
      <c r="G839" s="907"/>
      <c r="H839" s="907"/>
      <c r="I839" s="907"/>
      <c r="J839" s="907"/>
      <c r="K839" s="907"/>
      <c r="L839" s="907"/>
      <c r="M839" s="907"/>
      <c r="N839" s="907"/>
      <c r="O839" s="907"/>
      <c r="P839" s="907"/>
      <c r="Q839" s="907"/>
      <c r="R839" s="907"/>
      <c r="S839" s="907"/>
      <c r="T839" s="907"/>
      <c r="U839" s="907"/>
      <c r="V839" s="907"/>
      <c r="W839" s="907"/>
      <c r="X839" s="907"/>
      <c r="Y839" s="907"/>
      <c r="Z839" s="907"/>
      <c r="AA839" s="907"/>
      <c r="AB839" s="907"/>
      <c r="AC839" s="907"/>
      <c r="AD839" s="907"/>
      <c r="AE839" s="907"/>
      <c r="AF839" s="907"/>
      <c r="AG839" s="907"/>
      <c r="AH839" s="907"/>
      <c r="AI839" s="907"/>
      <c r="AJ839" s="907"/>
      <c r="AK839" s="907"/>
      <c r="AL839" s="907"/>
      <c r="AM839" s="907"/>
    </row>
    <row r="840" spans="1:39">
      <c r="A840" s="907"/>
      <c r="B840" s="907"/>
      <c r="C840" s="907"/>
      <c r="D840" s="907"/>
      <c r="E840" s="907"/>
      <c r="F840" s="907"/>
      <c r="G840" s="907"/>
      <c r="H840" s="907"/>
      <c r="I840" s="907"/>
      <c r="J840" s="907"/>
      <c r="K840" s="907"/>
      <c r="L840" s="907"/>
      <c r="M840" s="907"/>
      <c r="N840" s="907"/>
      <c r="O840" s="907"/>
      <c r="P840" s="907"/>
      <c r="Q840" s="907"/>
      <c r="R840" s="907"/>
      <c r="S840" s="907"/>
      <c r="T840" s="907"/>
      <c r="U840" s="907"/>
      <c r="V840" s="907"/>
      <c r="W840" s="907"/>
      <c r="X840" s="907"/>
      <c r="Y840" s="907"/>
      <c r="Z840" s="907"/>
      <c r="AA840" s="907"/>
      <c r="AB840" s="907"/>
      <c r="AC840" s="907"/>
      <c r="AD840" s="907"/>
      <c r="AE840" s="907"/>
      <c r="AF840" s="907"/>
      <c r="AG840" s="907"/>
      <c r="AH840" s="907"/>
      <c r="AI840" s="907"/>
      <c r="AJ840" s="907"/>
      <c r="AK840" s="907"/>
      <c r="AL840" s="907"/>
      <c r="AM840" s="907"/>
    </row>
    <row r="841" spans="1:39">
      <c r="A841" s="907"/>
      <c r="B841" s="907"/>
      <c r="C841" s="907"/>
      <c r="D841" s="907"/>
      <c r="E841" s="907"/>
      <c r="F841" s="907"/>
      <c r="G841" s="907"/>
      <c r="H841" s="907"/>
      <c r="I841" s="907"/>
      <c r="J841" s="907"/>
      <c r="K841" s="907"/>
      <c r="L841" s="907"/>
      <c r="M841" s="907"/>
      <c r="N841" s="907"/>
      <c r="O841" s="907"/>
      <c r="P841" s="907"/>
      <c r="Q841" s="907"/>
      <c r="R841" s="907"/>
      <c r="S841" s="907"/>
      <c r="T841" s="907"/>
      <c r="U841" s="907"/>
      <c r="V841" s="907"/>
      <c r="W841" s="907"/>
      <c r="X841" s="907"/>
      <c r="Y841" s="907"/>
      <c r="Z841" s="907"/>
      <c r="AA841" s="907"/>
      <c r="AB841" s="907"/>
      <c r="AC841" s="907"/>
      <c r="AD841" s="907"/>
      <c r="AE841" s="907"/>
      <c r="AF841" s="907"/>
      <c r="AG841" s="907"/>
      <c r="AH841" s="907"/>
      <c r="AI841" s="907"/>
      <c r="AJ841" s="907"/>
      <c r="AK841" s="907"/>
      <c r="AL841" s="907"/>
      <c r="AM841" s="907"/>
    </row>
    <row r="842" spans="1:39">
      <c r="A842" s="907"/>
      <c r="B842" s="907"/>
      <c r="C842" s="907"/>
      <c r="D842" s="907"/>
      <c r="E842" s="907"/>
      <c r="F842" s="907"/>
      <c r="G842" s="907"/>
      <c r="H842" s="907"/>
      <c r="I842" s="907"/>
      <c r="J842" s="907"/>
      <c r="K842" s="907"/>
      <c r="L842" s="907"/>
      <c r="M842" s="907"/>
      <c r="N842" s="907"/>
      <c r="O842" s="907"/>
      <c r="P842" s="907"/>
      <c r="Q842" s="907"/>
      <c r="R842" s="907"/>
      <c r="S842" s="907"/>
      <c r="T842" s="907"/>
      <c r="U842" s="907"/>
      <c r="V842" s="907"/>
      <c r="W842" s="907"/>
      <c r="X842" s="907"/>
      <c r="Y842" s="907"/>
      <c r="Z842" s="907"/>
      <c r="AA842" s="907"/>
      <c r="AB842" s="907"/>
      <c r="AC842" s="907"/>
      <c r="AD842" s="907"/>
      <c r="AE842" s="907"/>
      <c r="AF842" s="907"/>
      <c r="AG842" s="907"/>
      <c r="AH842" s="907"/>
      <c r="AI842" s="907"/>
      <c r="AJ842" s="907"/>
      <c r="AK842" s="907"/>
      <c r="AL842" s="907"/>
      <c r="AM842" s="907"/>
    </row>
    <row r="843" spans="1:39">
      <c r="A843" s="907"/>
      <c r="B843" s="907"/>
      <c r="C843" s="907"/>
      <c r="D843" s="907"/>
      <c r="E843" s="907"/>
      <c r="F843" s="907"/>
      <c r="G843" s="907"/>
      <c r="H843" s="907"/>
      <c r="I843" s="907"/>
      <c r="J843" s="907"/>
      <c r="K843" s="907"/>
      <c r="L843" s="907"/>
      <c r="M843" s="907"/>
      <c r="N843" s="907"/>
      <c r="O843" s="907"/>
      <c r="P843" s="907"/>
      <c r="Q843" s="907"/>
      <c r="R843" s="907"/>
      <c r="S843" s="907"/>
      <c r="T843" s="907"/>
      <c r="U843" s="907"/>
      <c r="V843" s="907"/>
      <c r="W843" s="907"/>
      <c r="X843" s="907"/>
      <c r="Y843" s="907"/>
      <c r="Z843" s="907"/>
      <c r="AA843" s="907"/>
      <c r="AB843" s="907"/>
      <c r="AC843" s="907"/>
      <c r="AD843" s="907"/>
      <c r="AE843" s="907"/>
      <c r="AF843" s="907"/>
      <c r="AG843" s="907"/>
      <c r="AH843" s="907"/>
      <c r="AI843" s="907"/>
      <c r="AJ843" s="907"/>
      <c r="AK843" s="907"/>
      <c r="AL843" s="907"/>
      <c r="AM843" s="907"/>
    </row>
    <row r="844" spans="1:39">
      <c r="A844" s="907"/>
      <c r="B844" s="907"/>
      <c r="C844" s="907"/>
      <c r="D844" s="907"/>
      <c r="E844" s="907"/>
      <c r="F844" s="907"/>
      <c r="G844" s="907"/>
      <c r="H844" s="907"/>
      <c r="I844" s="907"/>
      <c r="J844" s="907"/>
      <c r="K844" s="907"/>
      <c r="L844" s="907"/>
      <c r="M844" s="907"/>
      <c r="N844" s="907"/>
      <c r="O844" s="907"/>
      <c r="P844" s="907"/>
      <c r="Q844" s="907"/>
      <c r="R844" s="907"/>
      <c r="S844" s="907"/>
      <c r="T844" s="907"/>
      <c r="U844" s="907"/>
      <c r="V844" s="907"/>
      <c r="W844" s="907"/>
      <c r="X844" s="907"/>
      <c r="Y844" s="907"/>
      <c r="Z844" s="907"/>
      <c r="AA844" s="907"/>
      <c r="AB844" s="907"/>
      <c r="AC844" s="907"/>
      <c r="AD844" s="907"/>
      <c r="AE844" s="907"/>
      <c r="AF844" s="907"/>
      <c r="AG844" s="907"/>
      <c r="AH844" s="907"/>
      <c r="AI844" s="907"/>
      <c r="AJ844" s="907"/>
      <c r="AK844" s="907"/>
      <c r="AL844" s="907"/>
      <c r="AM844" s="907"/>
    </row>
    <row r="845" spans="1:39">
      <c r="A845" s="907"/>
      <c r="B845" s="907"/>
      <c r="C845" s="907"/>
      <c r="D845" s="907"/>
      <c r="E845" s="907"/>
      <c r="F845" s="907"/>
      <c r="G845" s="907"/>
      <c r="H845" s="907"/>
      <c r="I845" s="907"/>
      <c r="J845" s="907"/>
      <c r="K845" s="907"/>
      <c r="L845" s="907"/>
      <c r="M845" s="907"/>
      <c r="N845" s="907"/>
      <c r="O845" s="907"/>
      <c r="P845" s="907"/>
      <c r="Q845" s="907"/>
      <c r="R845" s="907"/>
      <c r="S845" s="907"/>
      <c r="T845" s="907"/>
      <c r="U845" s="907"/>
      <c r="V845" s="907"/>
      <c r="W845" s="907"/>
      <c r="X845" s="907"/>
      <c r="Y845" s="907"/>
      <c r="Z845" s="907"/>
      <c r="AA845" s="907"/>
      <c r="AB845" s="907"/>
      <c r="AC845" s="907"/>
      <c r="AD845" s="907"/>
      <c r="AE845" s="907"/>
      <c r="AF845" s="907"/>
      <c r="AG845" s="907"/>
      <c r="AH845" s="907"/>
      <c r="AI845" s="907"/>
      <c r="AJ845" s="907"/>
      <c r="AK845" s="907"/>
      <c r="AL845" s="907"/>
      <c r="AM845" s="907"/>
    </row>
    <row r="846" spans="1:39">
      <c r="A846" s="907"/>
      <c r="B846" s="907"/>
      <c r="C846" s="907"/>
      <c r="D846" s="907"/>
      <c r="E846" s="907"/>
      <c r="F846" s="907"/>
      <c r="G846" s="907"/>
      <c r="H846" s="907"/>
      <c r="I846" s="907"/>
      <c r="J846" s="907"/>
      <c r="K846" s="907"/>
      <c r="L846" s="907"/>
      <c r="M846" s="907"/>
      <c r="N846" s="907"/>
      <c r="O846" s="907"/>
      <c r="P846" s="907"/>
      <c r="Q846" s="907"/>
      <c r="R846" s="907"/>
      <c r="S846" s="907"/>
      <c r="T846" s="907"/>
      <c r="U846" s="907"/>
      <c r="V846" s="907"/>
      <c r="W846" s="907"/>
      <c r="X846" s="907"/>
      <c r="Y846" s="907"/>
      <c r="Z846" s="907"/>
      <c r="AA846" s="907"/>
      <c r="AB846" s="907"/>
      <c r="AC846" s="907"/>
      <c r="AD846" s="907"/>
      <c r="AE846" s="907"/>
      <c r="AF846" s="907"/>
      <c r="AG846" s="907"/>
      <c r="AH846" s="907"/>
      <c r="AI846" s="907"/>
      <c r="AJ846" s="907"/>
      <c r="AK846" s="907"/>
      <c r="AL846" s="907"/>
      <c r="AM846" s="907"/>
    </row>
    <row r="847" spans="1:39">
      <c r="A847" s="907"/>
      <c r="B847" s="907"/>
      <c r="C847" s="907"/>
      <c r="D847" s="907"/>
      <c r="E847" s="907"/>
      <c r="F847" s="907"/>
      <c r="G847" s="907"/>
      <c r="H847" s="907"/>
      <c r="I847" s="907"/>
      <c r="J847" s="907"/>
      <c r="K847" s="907"/>
      <c r="L847" s="907"/>
      <c r="M847" s="907"/>
      <c r="N847" s="907"/>
      <c r="O847" s="907"/>
      <c r="P847" s="907"/>
      <c r="Q847" s="907"/>
      <c r="R847" s="907"/>
      <c r="S847" s="907"/>
      <c r="T847" s="907"/>
      <c r="U847" s="907"/>
      <c r="V847" s="907"/>
      <c r="W847" s="907"/>
      <c r="X847" s="907"/>
      <c r="Y847" s="907"/>
      <c r="Z847" s="907"/>
      <c r="AA847" s="907"/>
      <c r="AB847" s="907"/>
      <c r="AC847" s="907"/>
      <c r="AD847" s="907"/>
      <c r="AE847" s="907"/>
      <c r="AF847" s="907"/>
      <c r="AG847" s="907"/>
      <c r="AH847" s="907"/>
      <c r="AI847" s="907"/>
      <c r="AJ847" s="907"/>
      <c r="AK847" s="907"/>
      <c r="AL847" s="907"/>
      <c r="AM847" s="907"/>
    </row>
    <row r="848" spans="1:39">
      <c r="A848" s="907"/>
      <c r="B848" s="907"/>
      <c r="C848" s="907"/>
      <c r="D848" s="907"/>
      <c r="E848" s="907"/>
      <c r="F848" s="907"/>
      <c r="G848" s="907"/>
      <c r="H848" s="907"/>
      <c r="I848" s="907"/>
      <c r="J848" s="907"/>
      <c r="K848" s="907"/>
      <c r="L848" s="907"/>
      <c r="M848" s="907"/>
      <c r="N848" s="907"/>
      <c r="O848" s="907"/>
      <c r="P848" s="907"/>
      <c r="Q848" s="907"/>
      <c r="R848" s="907"/>
      <c r="S848" s="907"/>
      <c r="T848" s="907"/>
      <c r="U848" s="907"/>
      <c r="V848" s="907"/>
      <c r="W848" s="907"/>
      <c r="X848" s="907"/>
      <c r="Y848" s="907"/>
      <c r="Z848" s="907"/>
      <c r="AA848" s="907"/>
      <c r="AB848" s="907"/>
      <c r="AC848" s="907"/>
      <c r="AD848" s="907"/>
      <c r="AE848" s="907"/>
      <c r="AF848" s="907"/>
      <c r="AG848" s="907"/>
      <c r="AH848" s="907"/>
      <c r="AI848" s="907"/>
      <c r="AJ848" s="907"/>
      <c r="AK848" s="907"/>
      <c r="AL848" s="907"/>
      <c r="AM848" s="907"/>
    </row>
    <row r="849" spans="1:39">
      <c r="A849" s="907"/>
      <c r="B849" s="907"/>
      <c r="C849" s="907"/>
      <c r="D849" s="907"/>
      <c r="E849" s="907"/>
      <c r="F849" s="907"/>
      <c r="G849" s="907"/>
      <c r="H849" s="907"/>
      <c r="I849" s="907"/>
      <c r="J849" s="907"/>
      <c r="K849" s="907"/>
      <c r="L849" s="907"/>
      <c r="M849" s="907"/>
      <c r="N849" s="907"/>
      <c r="O849" s="907"/>
      <c r="P849" s="907"/>
      <c r="Q849" s="907"/>
      <c r="R849" s="907"/>
      <c r="S849" s="907"/>
      <c r="T849" s="907"/>
      <c r="U849" s="907"/>
      <c r="V849" s="907"/>
      <c r="W849" s="907"/>
      <c r="X849" s="907"/>
      <c r="Y849" s="907"/>
      <c r="Z849" s="907"/>
      <c r="AA849" s="907"/>
      <c r="AB849" s="907"/>
      <c r="AC849" s="907"/>
      <c r="AD849" s="907"/>
      <c r="AE849" s="907"/>
      <c r="AF849" s="907"/>
      <c r="AG849" s="907"/>
      <c r="AH849" s="907"/>
      <c r="AI849" s="907"/>
      <c r="AJ849" s="907"/>
      <c r="AK849" s="907"/>
      <c r="AL849" s="907"/>
      <c r="AM849" s="907"/>
    </row>
    <row r="850" spans="1:39">
      <c r="A850" s="907"/>
      <c r="B850" s="907"/>
      <c r="C850" s="907"/>
      <c r="D850" s="907"/>
      <c r="E850" s="907"/>
      <c r="F850" s="907"/>
      <c r="G850" s="907"/>
      <c r="H850" s="907"/>
      <c r="I850" s="907"/>
      <c r="J850" s="907"/>
      <c r="K850" s="907"/>
      <c r="L850" s="907"/>
      <c r="M850" s="907"/>
      <c r="N850" s="907"/>
      <c r="O850" s="907"/>
      <c r="P850" s="907"/>
      <c r="Q850" s="907"/>
      <c r="R850" s="907"/>
      <c r="S850" s="907"/>
      <c r="T850" s="907"/>
      <c r="U850" s="907"/>
      <c r="V850" s="907"/>
      <c r="W850" s="907"/>
      <c r="X850" s="907"/>
      <c r="Y850" s="907"/>
      <c r="Z850" s="907"/>
      <c r="AA850" s="907"/>
      <c r="AB850" s="907"/>
      <c r="AC850" s="907"/>
      <c r="AD850" s="907"/>
      <c r="AE850" s="907"/>
      <c r="AF850" s="907"/>
      <c r="AG850" s="907"/>
      <c r="AH850" s="907"/>
      <c r="AI850" s="907"/>
      <c r="AJ850" s="907"/>
      <c r="AK850" s="907"/>
      <c r="AL850" s="907"/>
      <c r="AM850" s="907"/>
    </row>
    <row r="851" spans="1:39">
      <c r="A851" s="907"/>
      <c r="B851" s="907"/>
      <c r="C851" s="907"/>
      <c r="D851" s="907"/>
      <c r="E851" s="907"/>
      <c r="F851" s="907"/>
      <c r="G851" s="907"/>
      <c r="H851" s="907"/>
      <c r="I851" s="907"/>
      <c r="J851" s="907"/>
      <c r="K851" s="907"/>
      <c r="L851" s="907"/>
      <c r="M851" s="907"/>
      <c r="N851" s="907"/>
      <c r="O851" s="907"/>
      <c r="P851" s="907"/>
      <c r="Q851" s="907"/>
      <c r="R851" s="907"/>
      <c r="S851" s="907"/>
      <c r="T851" s="907"/>
      <c r="U851" s="907"/>
      <c r="V851" s="907"/>
      <c r="W851" s="907"/>
      <c r="X851" s="907"/>
      <c r="Y851" s="907"/>
      <c r="Z851" s="907"/>
      <c r="AA851" s="907"/>
      <c r="AB851" s="907"/>
      <c r="AC851" s="907"/>
      <c r="AD851" s="907"/>
      <c r="AE851" s="907"/>
      <c r="AF851" s="907"/>
      <c r="AG851" s="907"/>
      <c r="AH851" s="907"/>
      <c r="AI851" s="907"/>
      <c r="AJ851" s="907"/>
      <c r="AK851" s="907"/>
      <c r="AL851" s="907"/>
      <c r="AM851" s="907"/>
    </row>
    <row r="852" spans="1:39">
      <c r="A852" s="907"/>
      <c r="B852" s="907"/>
      <c r="C852" s="907"/>
      <c r="D852" s="907"/>
      <c r="E852" s="907"/>
      <c r="F852" s="907"/>
      <c r="G852" s="907"/>
      <c r="H852" s="907"/>
      <c r="I852" s="907"/>
      <c r="J852" s="907"/>
      <c r="K852" s="907"/>
      <c r="L852" s="907"/>
      <c r="M852" s="907"/>
      <c r="N852" s="907"/>
      <c r="O852" s="907"/>
      <c r="P852" s="907"/>
      <c r="Q852" s="907"/>
      <c r="R852" s="907"/>
      <c r="S852" s="907"/>
      <c r="T852" s="907"/>
      <c r="U852" s="907"/>
      <c r="V852" s="907"/>
      <c r="W852" s="907"/>
      <c r="X852" s="907"/>
      <c r="Y852" s="907"/>
      <c r="Z852" s="907"/>
      <c r="AA852" s="907"/>
      <c r="AB852" s="907"/>
      <c r="AC852" s="907"/>
      <c r="AD852" s="907"/>
      <c r="AE852" s="907"/>
      <c r="AF852" s="907"/>
      <c r="AG852" s="907"/>
      <c r="AH852" s="907"/>
      <c r="AI852" s="907"/>
      <c r="AJ852" s="907"/>
      <c r="AK852" s="907"/>
      <c r="AL852" s="907"/>
      <c r="AM852" s="907"/>
    </row>
    <row r="853" spans="1:39">
      <c r="A853" s="907"/>
      <c r="B853" s="907"/>
      <c r="C853" s="907"/>
      <c r="D853" s="907"/>
      <c r="E853" s="907"/>
      <c r="F853" s="907"/>
      <c r="G853" s="907"/>
      <c r="H853" s="907"/>
      <c r="I853" s="907"/>
      <c r="J853" s="907"/>
      <c r="K853" s="907"/>
      <c r="L853" s="907"/>
      <c r="M853" s="907"/>
      <c r="N853" s="907"/>
      <c r="O853" s="907"/>
      <c r="P853" s="907"/>
      <c r="Q853" s="907"/>
      <c r="R853" s="907"/>
      <c r="S853" s="907"/>
      <c r="T853" s="907"/>
      <c r="U853" s="907"/>
      <c r="V853" s="907"/>
      <c r="W853" s="907"/>
      <c r="X853" s="907"/>
      <c r="Y853" s="907"/>
      <c r="Z853" s="907"/>
      <c r="AA853" s="907"/>
      <c r="AB853" s="907"/>
      <c r="AC853" s="907"/>
      <c r="AD853" s="907"/>
      <c r="AE853" s="907"/>
      <c r="AF853" s="907"/>
      <c r="AG853" s="907"/>
      <c r="AH853" s="907"/>
      <c r="AI853" s="907"/>
      <c r="AJ853" s="907"/>
      <c r="AK853" s="907"/>
      <c r="AL853" s="907"/>
      <c r="AM853" s="907"/>
    </row>
    <row r="854" spans="1:39">
      <c r="A854" s="907"/>
      <c r="B854" s="907"/>
      <c r="C854" s="907"/>
      <c r="D854" s="907"/>
      <c r="E854" s="907"/>
      <c r="F854" s="907"/>
      <c r="G854" s="907"/>
      <c r="H854" s="907"/>
      <c r="I854" s="907"/>
      <c r="J854" s="907"/>
      <c r="K854" s="907"/>
      <c r="L854" s="907"/>
      <c r="M854" s="907"/>
      <c r="N854" s="907"/>
      <c r="O854" s="907"/>
      <c r="P854" s="907"/>
      <c r="Q854" s="907"/>
      <c r="R854" s="907"/>
      <c r="S854" s="907"/>
      <c r="T854" s="907"/>
      <c r="U854" s="907"/>
      <c r="V854" s="907"/>
      <c r="W854" s="907"/>
      <c r="X854" s="907"/>
      <c r="Y854" s="907"/>
      <c r="Z854" s="907"/>
      <c r="AA854" s="907"/>
      <c r="AB854" s="907"/>
      <c r="AC854" s="907"/>
      <c r="AD854" s="907"/>
      <c r="AE854" s="907"/>
      <c r="AF854" s="907"/>
      <c r="AG854" s="907"/>
      <c r="AH854" s="907"/>
      <c r="AI854" s="907"/>
      <c r="AJ854" s="907"/>
      <c r="AK854" s="907"/>
      <c r="AL854" s="907"/>
      <c r="AM854" s="907"/>
    </row>
    <row r="855" spans="1:39">
      <c r="A855" s="907"/>
      <c r="B855" s="907"/>
      <c r="C855" s="907"/>
      <c r="D855" s="907"/>
      <c r="E855" s="907"/>
      <c r="F855" s="907"/>
      <c r="G855" s="907"/>
      <c r="H855" s="907"/>
      <c r="I855" s="907"/>
      <c r="J855" s="907"/>
      <c r="K855" s="907"/>
      <c r="L855" s="907"/>
      <c r="M855" s="907"/>
      <c r="N855" s="907"/>
      <c r="O855" s="907"/>
      <c r="P855" s="907"/>
      <c r="Q855" s="907"/>
      <c r="R855" s="907"/>
      <c r="S855" s="907"/>
      <c r="T855" s="907"/>
      <c r="U855" s="907"/>
      <c r="V855" s="907"/>
      <c r="W855" s="907"/>
      <c r="X855" s="907"/>
      <c r="Y855" s="907"/>
      <c r="Z855" s="907"/>
      <c r="AA855" s="907"/>
      <c r="AB855" s="907"/>
      <c r="AC855" s="907"/>
      <c r="AD855" s="907"/>
      <c r="AE855" s="907"/>
      <c r="AF855" s="907"/>
      <c r="AG855" s="907"/>
      <c r="AH855" s="907"/>
      <c r="AI855" s="907"/>
      <c r="AJ855" s="907"/>
      <c r="AK855" s="907"/>
      <c r="AL855" s="907"/>
      <c r="AM855" s="907"/>
    </row>
    <row r="856" spans="1:39">
      <c r="A856" s="907"/>
      <c r="B856" s="907"/>
      <c r="C856" s="907"/>
      <c r="D856" s="907"/>
      <c r="E856" s="907"/>
      <c r="F856" s="907"/>
      <c r="G856" s="907"/>
      <c r="H856" s="907"/>
      <c r="I856" s="907"/>
      <c r="J856" s="907"/>
      <c r="K856" s="907"/>
      <c r="L856" s="907"/>
      <c r="M856" s="907"/>
      <c r="N856" s="907"/>
      <c r="O856" s="907"/>
      <c r="P856" s="907"/>
      <c r="Q856" s="907"/>
      <c r="R856" s="907"/>
      <c r="S856" s="907"/>
      <c r="T856" s="907"/>
      <c r="U856" s="907"/>
      <c r="V856" s="907"/>
      <c r="W856" s="907"/>
      <c r="X856" s="907"/>
      <c r="Y856" s="907"/>
      <c r="Z856" s="907"/>
      <c r="AA856" s="907"/>
      <c r="AB856" s="907"/>
      <c r="AC856" s="907"/>
      <c r="AD856" s="907"/>
      <c r="AE856" s="907"/>
      <c r="AF856" s="907"/>
      <c r="AG856" s="907"/>
      <c r="AH856" s="907"/>
      <c r="AI856" s="907"/>
      <c r="AJ856" s="907"/>
      <c r="AK856" s="907"/>
      <c r="AL856" s="907"/>
      <c r="AM856" s="907"/>
    </row>
    <row r="857" spans="1:39">
      <c r="A857" s="907"/>
      <c r="B857" s="907"/>
      <c r="C857" s="907"/>
      <c r="D857" s="907"/>
      <c r="E857" s="907"/>
      <c r="F857" s="907"/>
      <c r="G857" s="907"/>
      <c r="H857" s="907"/>
      <c r="I857" s="907"/>
      <c r="J857" s="907"/>
      <c r="K857" s="907"/>
      <c r="L857" s="907"/>
      <c r="M857" s="907"/>
      <c r="N857" s="907"/>
      <c r="O857" s="907"/>
      <c r="P857" s="907"/>
      <c r="Q857" s="907"/>
      <c r="R857" s="907"/>
      <c r="S857" s="907"/>
      <c r="T857" s="907"/>
      <c r="U857" s="907"/>
      <c r="V857" s="907"/>
      <c r="W857" s="907"/>
      <c r="X857" s="907"/>
      <c r="Y857" s="907"/>
      <c r="Z857" s="907"/>
      <c r="AA857" s="907"/>
      <c r="AB857" s="907"/>
      <c r="AC857" s="907"/>
      <c r="AD857" s="907"/>
      <c r="AE857" s="907"/>
      <c r="AF857" s="907"/>
      <c r="AG857" s="907"/>
      <c r="AH857" s="907"/>
      <c r="AI857" s="907"/>
      <c r="AJ857" s="907"/>
      <c r="AK857" s="907"/>
      <c r="AL857" s="907"/>
      <c r="AM857" s="907"/>
    </row>
    <row r="858" spans="1:39">
      <c r="A858" s="907"/>
      <c r="B858" s="907"/>
      <c r="C858" s="907"/>
      <c r="D858" s="907"/>
      <c r="E858" s="907"/>
      <c r="F858" s="907"/>
      <c r="G858" s="907"/>
      <c r="H858" s="907"/>
      <c r="I858" s="907"/>
      <c r="J858" s="907"/>
      <c r="K858" s="907"/>
      <c r="L858" s="907"/>
      <c r="M858" s="907"/>
      <c r="N858" s="907"/>
      <c r="O858" s="907"/>
      <c r="P858" s="907"/>
      <c r="Q858" s="907"/>
      <c r="R858" s="907"/>
      <c r="S858" s="907"/>
      <c r="T858" s="907"/>
      <c r="U858" s="907"/>
      <c r="V858" s="907"/>
      <c r="W858" s="907"/>
      <c r="X858" s="907"/>
      <c r="Y858" s="907"/>
      <c r="Z858" s="907"/>
      <c r="AA858" s="907"/>
      <c r="AB858" s="907"/>
      <c r="AC858" s="907"/>
      <c r="AD858" s="907"/>
      <c r="AE858" s="907"/>
      <c r="AF858" s="907"/>
      <c r="AG858" s="907"/>
      <c r="AH858" s="907"/>
      <c r="AI858" s="907"/>
      <c r="AJ858" s="907"/>
      <c r="AK858" s="907"/>
      <c r="AL858" s="907"/>
      <c r="AM858" s="907"/>
    </row>
    <row r="859" spans="1:39">
      <c r="A859" s="907"/>
      <c r="B859" s="907"/>
      <c r="C859" s="907"/>
      <c r="D859" s="907"/>
      <c r="E859" s="907"/>
      <c r="F859" s="907"/>
      <c r="G859" s="907"/>
      <c r="H859" s="907"/>
      <c r="I859" s="907"/>
      <c r="J859" s="907"/>
      <c r="K859" s="907"/>
      <c r="L859" s="907"/>
      <c r="M859" s="907"/>
      <c r="N859" s="907"/>
      <c r="O859" s="907"/>
      <c r="P859" s="907"/>
      <c r="Q859" s="907"/>
      <c r="R859" s="907"/>
      <c r="S859" s="907"/>
      <c r="T859" s="907"/>
      <c r="U859" s="907"/>
      <c r="V859" s="907"/>
      <c r="W859" s="907"/>
      <c r="X859" s="907"/>
      <c r="Y859" s="907"/>
      <c r="Z859" s="907"/>
      <c r="AA859" s="907"/>
      <c r="AB859" s="907"/>
      <c r="AC859" s="907"/>
      <c r="AD859" s="907"/>
      <c r="AE859" s="907"/>
      <c r="AF859" s="907"/>
      <c r="AG859" s="907"/>
      <c r="AH859" s="907"/>
      <c r="AI859" s="907"/>
      <c r="AJ859" s="907"/>
      <c r="AK859" s="907"/>
      <c r="AL859" s="907"/>
      <c r="AM859" s="907"/>
    </row>
    <row r="860" spans="1:39">
      <c r="A860" s="907"/>
      <c r="B860" s="907"/>
      <c r="C860" s="907"/>
      <c r="D860" s="907"/>
      <c r="E860" s="907"/>
      <c r="F860" s="907"/>
      <c r="G860" s="907"/>
      <c r="H860" s="907"/>
      <c r="I860" s="907"/>
      <c r="J860" s="907"/>
      <c r="K860" s="907"/>
      <c r="L860" s="907"/>
      <c r="M860" s="907"/>
      <c r="N860" s="907"/>
      <c r="O860" s="907"/>
      <c r="P860" s="907"/>
      <c r="Q860" s="907"/>
      <c r="R860" s="907"/>
      <c r="S860" s="907"/>
      <c r="T860" s="907"/>
      <c r="U860" s="907"/>
      <c r="V860" s="907"/>
      <c r="W860" s="907"/>
      <c r="X860" s="907"/>
      <c r="Y860" s="907"/>
      <c r="Z860" s="907"/>
      <c r="AA860" s="907"/>
      <c r="AB860" s="907"/>
      <c r="AC860" s="907"/>
      <c r="AD860" s="907"/>
      <c r="AE860" s="907"/>
      <c r="AF860" s="907"/>
      <c r="AG860" s="907"/>
      <c r="AH860" s="907"/>
      <c r="AI860" s="907"/>
      <c r="AJ860" s="907"/>
      <c r="AK860" s="907"/>
      <c r="AL860" s="907"/>
      <c r="AM860" s="907"/>
    </row>
    <row r="861" spans="1:39">
      <c r="A861" s="907"/>
      <c r="B861" s="907"/>
      <c r="C861" s="907"/>
      <c r="D861" s="907"/>
      <c r="E861" s="907"/>
      <c r="F861" s="907"/>
      <c r="G861" s="907"/>
      <c r="H861" s="907"/>
      <c r="I861" s="907"/>
      <c r="J861" s="907"/>
      <c r="K861" s="907"/>
      <c r="L861" s="907"/>
      <c r="M861" s="907"/>
      <c r="N861" s="907"/>
      <c r="O861" s="907"/>
      <c r="P861" s="907"/>
      <c r="Q861" s="907"/>
      <c r="R861" s="907"/>
      <c r="S861" s="907"/>
      <c r="T861" s="907"/>
      <c r="U861" s="907"/>
      <c r="V861" s="907"/>
      <c r="W861" s="907"/>
      <c r="X861" s="907"/>
      <c r="Y861" s="907"/>
      <c r="Z861" s="907"/>
      <c r="AA861" s="907"/>
      <c r="AB861" s="907"/>
      <c r="AC861" s="907"/>
      <c r="AD861" s="907"/>
      <c r="AE861" s="907"/>
      <c r="AF861" s="907"/>
      <c r="AG861" s="907"/>
      <c r="AH861" s="907"/>
      <c r="AI861" s="907"/>
      <c r="AJ861" s="907"/>
      <c r="AK861" s="907"/>
      <c r="AL861" s="907"/>
      <c r="AM861" s="907"/>
    </row>
    <row r="862" spans="1:39">
      <c r="A862" s="907"/>
      <c r="B862" s="907"/>
      <c r="C862" s="907"/>
      <c r="D862" s="907"/>
      <c r="E862" s="907"/>
      <c r="F862" s="907"/>
      <c r="G862" s="907"/>
      <c r="H862" s="907"/>
      <c r="I862" s="907"/>
      <c r="J862" s="907"/>
      <c r="K862" s="907"/>
      <c r="L862" s="907"/>
      <c r="M862" s="907"/>
      <c r="N862" s="907"/>
      <c r="O862" s="907"/>
      <c r="P862" s="907"/>
      <c r="Q862" s="907"/>
      <c r="R862" s="907"/>
      <c r="S862" s="907"/>
      <c r="T862" s="907"/>
      <c r="U862" s="907"/>
      <c r="V862" s="907"/>
      <c r="W862" s="907"/>
      <c r="X862" s="907"/>
      <c r="Y862" s="907"/>
      <c r="Z862" s="907"/>
      <c r="AA862" s="907"/>
      <c r="AB862" s="907"/>
      <c r="AC862" s="907"/>
      <c r="AD862" s="907"/>
      <c r="AE862" s="907"/>
      <c r="AF862" s="907"/>
      <c r="AG862" s="907"/>
      <c r="AH862" s="907"/>
      <c r="AI862" s="907"/>
      <c r="AJ862" s="907"/>
      <c r="AK862" s="907"/>
      <c r="AL862" s="907"/>
      <c r="AM862" s="907"/>
    </row>
    <row r="863" spans="1:39">
      <c r="A863" s="907"/>
      <c r="B863" s="907"/>
      <c r="C863" s="907"/>
      <c r="D863" s="907"/>
      <c r="E863" s="907"/>
      <c r="F863" s="907"/>
      <c r="G863" s="907"/>
      <c r="H863" s="907"/>
      <c r="I863" s="907"/>
      <c r="J863" s="907"/>
      <c r="K863" s="907"/>
      <c r="L863" s="907"/>
      <c r="M863" s="907"/>
      <c r="N863" s="907"/>
      <c r="O863" s="907"/>
      <c r="P863" s="907"/>
      <c r="Q863" s="907"/>
      <c r="R863" s="907"/>
      <c r="S863" s="907"/>
      <c r="T863" s="907"/>
      <c r="U863" s="907"/>
      <c r="V863" s="907"/>
      <c r="W863" s="907"/>
      <c r="X863" s="907"/>
      <c r="Y863" s="907"/>
      <c r="Z863" s="907"/>
      <c r="AA863" s="907"/>
      <c r="AB863" s="907"/>
      <c r="AC863" s="907"/>
      <c r="AD863" s="907"/>
      <c r="AE863" s="907"/>
      <c r="AF863" s="907"/>
      <c r="AG863" s="907"/>
      <c r="AH863" s="907"/>
      <c r="AI863" s="907"/>
      <c r="AJ863" s="907"/>
      <c r="AK863" s="907"/>
      <c r="AL863" s="907"/>
      <c r="AM863" s="907"/>
    </row>
    <row r="864" spans="1:39">
      <c r="A864" s="907"/>
      <c r="B864" s="907"/>
      <c r="C864" s="907"/>
      <c r="D864" s="907"/>
      <c r="E864" s="907"/>
      <c r="F864" s="907"/>
      <c r="G864" s="907"/>
      <c r="H864" s="907"/>
      <c r="I864" s="907"/>
      <c r="J864" s="907"/>
      <c r="K864" s="907"/>
      <c r="L864" s="907"/>
      <c r="M864" s="907"/>
      <c r="N864" s="907"/>
      <c r="O864" s="907"/>
      <c r="P864" s="907"/>
      <c r="Q864" s="907"/>
      <c r="R864" s="907"/>
      <c r="S864" s="907"/>
      <c r="T864" s="907"/>
      <c r="U864" s="907"/>
      <c r="V864" s="907"/>
      <c r="W864" s="907"/>
      <c r="X864" s="907"/>
      <c r="Y864" s="907"/>
      <c r="Z864" s="907"/>
      <c r="AA864" s="907"/>
      <c r="AB864" s="907"/>
      <c r="AC864" s="907"/>
      <c r="AD864" s="907"/>
      <c r="AE864" s="907"/>
      <c r="AF864" s="907"/>
      <c r="AG864" s="907"/>
      <c r="AH864" s="907"/>
      <c r="AI864" s="907"/>
      <c r="AJ864" s="907"/>
      <c r="AK864" s="907"/>
      <c r="AL864" s="907"/>
      <c r="AM864" s="907"/>
    </row>
    <row r="865" spans="1:39">
      <c r="A865" s="907"/>
      <c r="B865" s="907"/>
      <c r="C865" s="907"/>
      <c r="D865" s="907"/>
      <c r="E865" s="907"/>
      <c r="F865" s="907"/>
      <c r="G865" s="907"/>
      <c r="H865" s="907"/>
      <c r="I865" s="907"/>
      <c r="J865" s="907"/>
      <c r="K865" s="907"/>
      <c r="L865" s="907"/>
      <c r="M865" s="907"/>
      <c r="N865" s="907"/>
      <c r="O865" s="907"/>
      <c r="P865" s="907"/>
      <c r="Q865" s="907"/>
      <c r="R865" s="907"/>
      <c r="S865" s="907"/>
      <c r="T865" s="907"/>
      <c r="U865" s="907"/>
      <c r="V865" s="907"/>
      <c r="W865" s="907"/>
      <c r="X865" s="907"/>
      <c r="Y865" s="907"/>
      <c r="Z865" s="907"/>
      <c r="AA865" s="907"/>
      <c r="AB865" s="907"/>
      <c r="AC865" s="907"/>
      <c r="AD865" s="907"/>
      <c r="AE865" s="907"/>
      <c r="AF865" s="907"/>
      <c r="AG865" s="907"/>
      <c r="AH865" s="907"/>
      <c r="AI865" s="907"/>
      <c r="AJ865" s="907"/>
      <c r="AK865" s="907"/>
      <c r="AL865" s="907"/>
      <c r="AM865" s="907"/>
    </row>
    <row r="866" spans="1:39">
      <c r="A866" s="907"/>
      <c r="B866" s="907"/>
      <c r="C866" s="907"/>
      <c r="D866" s="907"/>
      <c r="E866" s="907"/>
      <c r="F866" s="907"/>
      <c r="G866" s="907"/>
      <c r="H866" s="907"/>
      <c r="I866" s="907"/>
      <c r="J866" s="907"/>
      <c r="K866" s="907"/>
      <c r="L866" s="907"/>
      <c r="M866" s="907"/>
      <c r="N866" s="907"/>
      <c r="O866" s="907"/>
      <c r="P866" s="907"/>
      <c r="Q866" s="907"/>
      <c r="R866" s="907"/>
      <c r="S866" s="907"/>
      <c r="T866" s="907"/>
      <c r="U866" s="907"/>
      <c r="V866" s="907"/>
      <c r="W866" s="907"/>
      <c r="X866" s="907"/>
      <c r="Y866" s="907"/>
      <c r="Z866" s="907"/>
      <c r="AA866" s="907"/>
      <c r="AB866" s="907"/>
      <c r="AC866" s="907"/>
      <c r="AD866" s="907"/>
      <c r="AE866" s="907"/>
      <c r="AF866" s="907"/>
      <c r="AG866" s="907"/>
      <c r="AH866" s="907"/>
      <c r="AI866" s="907"/>
      <c r="AJ866" s="907"/>
      <c r="AK866" s="907"/>
      <c r="AL866" s="907"/>
      <c r="AM866" s="907"/>
    </row>
    <row r="867" spans="1:39">
      <c r="A867" s="907"/>
      <c r="B867" s="907"/>
      <c r="C867" s="907"/>
      <c r="D867" s="907"/>
      <c r="E867" s="907"/>
      <c r="F867" s="907"/>
      <c r="G867" s="907"/>
      <c r="H867" s="907"/>
      <c r="I867" s="907"/>
      <c r="J867" s="907"/>
      <c r="K867" s="907"/>
      <c r="L867" s="907"/>
      <c r="M867" s="907"/>
      <c r="N867" s="907"/>
      <c r="O867" s="907"/>
      <c r="P867" s="907"/>
      <c r="Q867" s="907"/>
      <c r="R867" s="907"/>
      <c r="S867" s="907"/>
      <c r="T867" s="907"/>
      <c r="U867" s="907"/>
      <c r="V867" s="907"/>
      <c r="W867" s="907"/>
      <c r="X867" s="907"/>
      <c r="Y867" s="907"/>
      <c r="Z867" s="907"/>
      <c r="AA867" s="907"/>
      <c r="AB867" s="907"/>
      <c r="AC867" s="907"/>
      <c r="AD867" s="907"/>
      <c r="AE867" s="907"/>
      <c r="AF867" s="907"/>
      <c r="AG867" s="907"/>
      <c r="AH867" s="907"/>
      <c r="AI867" s="907"/>
      <c r="AJ867" s="907"/>
      <c r="AK867" s="907"/>
      <c r="AL867" s="907"/>
      <c r="AM867" s="907"/>
    </row>
    <row r="868" spans="1:39">
      <c r="A868" s="907"/>
      <c r="B868" s="907"/>
      <c r="C868" s="907"/>
      <c r="D868" s="907"/>
      <c r="E868" s="907"/>
      <c r="F868" s="907"/>
      <c r="G868" s="907"/>
      <c r="H868" s="907"/>
      <c r="I868" s="907"/>
      <c r="J868" s="907"/>
      <c r="K868" s="907"/>
      <c r="L868" s="907"/>
      <c r="M868" s="907"/>
      <c r="N868" s="907"/>
      <c r="O868" s="907"/>
      <c r="P868" s="907"/>
      <c r="Q868" s="907"/>
      <c r="R868" s="907"/>
      <c r="S868" s="907"/>
      <c r="T868" s="907"/>
      <c r="U868" s="907"/>
      <c r="V868" s="907"/>
      <c r="W868" s="907"/>
      <c r="X868" s="907"/>
      <c r="Y868" s="907"/>
      <c r="Z868" s="907"/>
      <c r="AA868" s="907"/>
      <c r="AB868" s="907"/>
      <c r="AC868" s="907"/>
      <c r="AD868" s="907"/>
      <c r="AE868" s="907"/>
      <c r="AF868" s="907"/>
      <c r="AG868" s="907"/>
      <c r="AH868" s="907"/>
      <c r="AI868" s="907"/>
      <c r="AJ868" s="907"/>
      <c r="AK868" s="907"/>
      <c r="AL868" s="907"/>
      <c r="AM868" s="907"/>
    </row>
    <row r="869" spans="1:39">
      <c r="A869" s="907"/>
      <c r="B869" s="907"/>
      <c r="C869" s="907"/>
      <c r="D869" s="907"/>
      <c r="E869" s="907"/>
      <c r="F869" s="907"/>
      <c r="G869" s="907"/>
      <c r="H869" s="907"/>
      <c r="I869" s="907"/>
      <c r="J869" s="907"/>
      <c r="K869" s="907"/>
      <c r="L869" s="907"/>
      <c r="M869" s="907"/>
      <c r="N869" s="907"/>
      <c r="O869" s="907"/>
      <c r="P869" s="907"/>
      <c r="Q869" s="907"/>
      <c r="R869" s="907"/>
      <c r="S869" s="907"/>
      <c r="T869" s="907"/>
      <c r="U869" s="907"/>
      <c r="V869" s="907"/>
      <c r="W869" s="907"/>
      <c r="X869" s="907"/>
      <c r="Y869" s="907"/>
      <c r="Z869" s="907"/>
      <c r="AA869" s="907"/>
      <c r="AB869" s="907"/>
      <c r="AC869" s="907"/>
      <c r="AD869" s="907"/>
      <c r="AE869" s="907"/>
      <c r="AF869" s="907"/>
      <c r="AG869" s="907"/>
      <c r="AH869" s="907"/>
      <c r="AI869" s="907"/>
      <c r="AJ869" s="907"/>
      <c r="AK869" s="907"/>
      <c r="AL869" s="907"/>
      <c r="AM869" s="907"/>
    </row>
    <row r="870" spans="1:39">
      <c r="A870" s="907"/>
      <c r="B870" s="907"/>
      <c r="C870" s="907"/>
      <c r="D870" s="907"/>
      <c r="E870" s="907"/>
      <c r="F870" s="907"/>
      <c r="G870" s="907"/>
      <c r="H870" s="907"/>
      <c r="I870" s="907"/>
      <c r="J870" s="907"/>
      <c r="K870" s="907"/>
      <c r="L870" s="907"/>
      <c r="M870" s="907"/>
      <c r="N870" s="907"/>
      <c r="O870" s="907"/>
      <c r="P870" s="907"/>
      <c r="Q870" s="907"/>
      <c r="R870" s="907"/>
      <c r="S870" s="907"/>
      <c r="T870" s="907"/>
      <c r="U870" s="907"/>
      <c r="V870" s="907"/>
      <c r="W870" s="907"/>
      <c r="X870" s="907"/>
      <c r="Y870" s="907"/>
      <c r="Z870" s="907"/>
      <c r="AA870" s="907"/>
      <c r="AB870" s="907"/>
      <c r="AC870" s="907"/>
      <c r="AD870" s="907"/>
      <c r="AE870" s="907"/>
      <c r="AF870" s="907"/>
      <c r="AG870" s="907"/>
      <c r="AH870" s="907"/>
      <c r="AI870" s="907"/>
      <c r="AJ870" s="907"/>
      <c r="AK870" s="907"/>
      <c r="AL870" s="907"/>
      <c r="AM870" s="907"/>
    </row>
    <row r="871" spans="1:39">
      <c r="A871" s="907"/>
      <c r="B871" s="907"/>
      <c r="C871" s="907"/>
      <c r="D871" s="907"/>
      <c r="E871" s="907"/>
      <c r="F871" s="907"/>
      <c r="G871" s="907"/>
      <c r="H871" s="907"/>
      <c r="I871" s="907"/>
      <c r="J871" s="907"/>
      <c r="K871" s="907"/>
      <c r="L871" s="907"/>
      <c r="M871" s="907"/>
      <c r="N871" s="907"/>
      <c r="O871" s="907"/>
      <c r="P871" s="907"/>
      <c r="Q871" s="907"/>
      <c r="R871" s="907"/>
      <c r="S871" s="907"/>
      <c r="T871" s="907"/>
      <c r="U871" s="907"/>
      <c r="V871" s="907"/>
      <c r="W871" s="907"/>
      <c r="X871" s="907"/>
      <c r="Y871" s="907"/>
      <c r="Z871" s="907"/>
      <c r="AA871" s="907"/>
      <c r="AB871" s="907"/>
      <c r="AC871" s="907"/>
      <c r="AD871" s="907"/>
      <c r="AE871" s="907"/>
      <c r="AF871" s="907"/>
      <c r="AG871" s="907"/>
      <c r="AH871" s="907"/>
      <c r="AI871" s="907"/>
      <c r="AJ871" s="907"/>
      <c r="AK871" s="907"/>
      <c r="AL871" s="907"/>
      <c r="AM871" s="907"/>
    </row>
    <row r="872" spans="1:39">
      <c r="A872" s="907"/>
      <c r="B872" s="907"/>
      <c r="C872" s="907"/>
      <c r="D872" s="907"/>
      <c r="E872" s="907"/>
      <c r="F872" s="907"/>
      <c r="G872" s="907"/>
      <c r="H872" s="907"/>
      <c r="I872" s="907"/>
      <c r="J872" s="907"/>
      <c r="K872" s="907"/>
      <c r="L872" s="907"/>
      <c r="M872" s="907"/>
      <c r="N872" s="907"/>
      <c r="O872" s="907"/>
      <c r="P872" s="907"/>
      <c r="Q872" s="907"/>
      <c r="R872" s="907"/>
      <c r="S872" s="907"/>
      <c r="T872" s="907"/>
      <c r="U872" s="907"/>
      <c r="V872" s="907"/>
      <c r="W872" s="907"/>
      <c r="X872" s="907"/>
      <c r="Y872" s="907"/>
      <c r="Z872" s="907"/>
      <c r="AA872" s="907"/>
      <c r="AB872" s="907"/>
      <c r="AC872" s="907"/>
      <c r="AD872" s="907"/>
      <c r="AE872" s="907"/>
      <c r="AF872" s="907"/>
      <c r="AG872" s="907"/>
      <c r="AH872" s="907"/>
      <c r="AI872" s="907"/>
      <c r="AJ872" s="907"/>
      <c r="AK872" s="907"/>
      <c r="AL872" s="907"/>
      <c r="AM872" s="907"/>
    </row>
    <row r="873" spans="1:39">
      <c r="A873" s="907"/>
      <c r="B873" s="907"/>
      <c r="C873" s="907"/>
      <c r="D873" s="907"/>
      <c r="E873" s="907"/>
      <c r="F873" s="907"/>
      <c r="G873" s="907"/>
      <c r="H873" s="907"/>
      <c r="I873" s="907"/>
      <c r="J873" s="907"/>
      <c r="K873" s="907"/>
      <c r="L873" s="907"/>
      <c r="M873" s="907"/>
      <c r="N873" s="907"/>
      <c r="O873" s="907"/>
      <c r="P873" s="907"/>
      <c r="Q873" s="907"/>
      <c r="R873" s="907"/>
      <c r="S873" s="907"/>
      <c r="T873" s="907"/>
      <c r="U873" s="907"/>
      <c r="V873" s="907"/>
      <c r="W873" s="907"/>
      <c r="X873" s="907"/>
      <c r="Y873" s="907"/>
      <c r="Z873" s="907"/>
      <c r="AA873" s="907"/>
      <c r="AB873" s="907"/>
      <c r="AC873" s="907"/>
      <c r="AD873" s="907"/>
      <c r="AE873" s="907"/>
      <c r="AF873" s="907"/>
      <c r="AG873" s="907"/>
      <c r="AH873" s="907"/>
      <c r="AI873" s="907"/>
      <c r="AJ873" s="907"/>
      <c r="AK873" s="907"/>
      <c r="AL873" s="907"/>
      <c r="AM873" s="907"/>
    </row>
    <row r="874" spans="1:39">
      <c r="A874" s="907"/>
      <c r="B874" s="907"/>
      <c r="C874" s="907"/>
      <c r="D874" s="907"/>
      <c r="E874" s="907"/>
      <c r="F874" s="907"/>
      <c r="G874" s="907"/>
      <c r="H874" s="907"/>
      <c r="I874" s="907"/>
      <c r="J874" s="907"/>
      <c r="K874" s="907"/>
      <c r="L874" s="907"/>
      <c r="M874" s="907"/>
      <c r="N874" s="907"/>
      <c r="O874" s="907"/>
      <c r="P874" s="907"/>
      <c r="Q874" s="907"/>
      <c r="R874" s="907"/>
      <c r="S874" s="907"/>
      <c r="T874" s="907"/>
      <c r="U874" s="907"/>
      <c r="V874" s="907"/>
      <c r="W874" s="907"/>
      <c r="X874" s="907"/>
      <c r="Y874" s="907"/>
      <c r="Z874" s="907"/>
      <c r="AA874" s="907"/>
      <c r="AB874" s="907"/>
      <c r="AC874" s="907"/>
      <c r="AD874" s="907"/>
      <c r="AE874" s="907"/>
      <c r="AF874" s="907"/>
      <c r="AG874" s="907"/>
      <c r="AH874" s="907"/>
      <c r="AI874" s="907"/>
      <c r="AJ874" s="907"/>
      <c r="AK874" s="907"/>
      <c r="AL874" s="907"/>
      <c r="AM874" s="907"/>
    </row>
    <row r="875" spans="1:39">
      <c r="A875" s="907"/>
      <c r="B875" s="907"/>
      <c r="C875" s="907"/>
      <c r="D875" s="907"/>
      <c r="E875" s="907"/>
      <c r="F875" s="907"/>
      <c r="G875" s="907"/>
      <c r="H875" s="907"/>
      <c r="I875" s="907"/>
      <c r="J875" s="907"/>
      <c r="K875" s="907"/>
      <c r="L875" s="907"/>
      <c r="M875" s="907"/>
      <c r="N875" s="907"/>
      <c r="O875" s="907"/>
      <c r="P875" s="907"/>
      <c r="Q875" s="907"/>
      <c r="R875" s="907"/>
      <c r="S875" s="907"/>
      <c r="T875" s="907"/>
      <c r="U875" s="907"/>
      <c r="V875" s="907"/>
      <c r="W875" s="907"/>
      <c r="X875" s="907"/>
      <c r="Y875" s="907"/>
      <c r="Z875" s="907"/>
      <c r="AA875" s="907"/>
      <c r="AB875" s="907"/>
      <c r="AC875" s="907"/>
      <c r="AD875" s="907"/>
      <c r="AE875" s="907"/>
      <c r="AF875" s="907"/>
      <c r="AG875" s="907"/>
      <c r="AH875" s="907"/>
      <c r="AI875" s="907"/>
      <c r="AJ875" s="907"/>
      <c r="AK875" s="907"/>
      <c r="AL875" s="907"/>
      <c r="AM875" s="907"/>
    </row>
    <row r="876" spans="1:39">
      <c r="A876" s="907"/>
      <c r="B876" s="907"/>
      <c r="C876" s="907"/>
      <c r="D876" s="907"/>
      <c r="E876" s="907"/>
      <c r="F876" s="907"/>
      <c r="G876" s="907"/>
      <c r="H876" s="907"/>
      <c r="I876" s="907"/>
      <c r="J876" s="907"/>
      <c r="K876" s="907"/>
      <c r="L876" s="907"/>
      <c r="M876" s="907"/>
      <c r="N876" s="907"/>
      <c r="O876" s="907"/>
      <c r="P876" s="907"/>
      <c r="Q876" s="907"/>
      <c r="R876" s="907"/>
      <c r="S876" s="907"/>
      <c r="T876" s="907"/>
      <c r="U876" s="907"/>
      <c r="V876" s="907"/>
      <c r="W876" s="907"/>
      <c r="X876" s="907"/>
      <c r="Y876" s="907"/>
      <c r="Z876" s="907"/>
      <c r="AA876" s="907"/>
      <c r="AB876" s="907"/>
      <c r="AC876" s="907"/>
      <c r="AD876" s="907"/>
      <c r="AE876" s="907"/>
      <c r="AF876" s="907"/>
      <c r="AG876" s="907"/>
      <c r="AH876" s="907"/>
      <c r="AI876" s="907"/>
      <c r="AJ876" s="907"/>
      <c r="AK876" s="907"/>
      <c r="AL876" s="907"/>
      <c r="AM876" s="907"/>
    </row>
    <row r="877" spans="1:39">
      <c r="A877" s="907"/>
      <c r="B877" s="907"/>
      <c r="C877" s="907"/>
      <c r="D877" s="907"/>
      <c r="E877" s="907"/>
      <c r="F877" s="907"/>
      <c r="G877" s="907"/>
      <c r="H877" s="907"/>
      <c r="I877" s="907"/>
      <c r="J877" s="907"/>
      <c r="K877" s="907"/>
      <c r="L877" s="907"/>
      <c r="M877" s="907"/>
      <c r="N877" s="907"/>
      <c r="O877" s="907"/>
      <c r="P877" s="907"/>
      <c r="Q877" s="907"/>
      <c r="R877" s="907"/>
      <c r="S877" s="907"/>
      <c r="T877" s="907"/>
      <c r="U877" s="907"/>
      <c r="V877" s="907"/>
      <c r="W877" s="907"/>
      <c r="X877" s="907"/>
      <c r="Y877" s="907"/>
      <c r="Z877" s="907"/>
      <c r="AA877" s="907"/>
      <c r="AB877" s="907"/>
      <c r="AC877" s="907"/>
      <c r="AD877" s="907"/>
      <c r="AE877" s="907"/>
      <c r="AF877" s="907"/>
      <c r="AG877" s="907"/>
      <c r="AH877" s="907"/>
      <c r="AI877" s="907"/>
      <c r="AJ877" s="907"/>
      <c r="AK877" s="907"/>
      <c r="AL877" s="907"/>
      <c r="AM877" s="907"/>
    </row>
    <row r="878" spans="1:39">
      <c r="A878" s="907"/>
      <c r="B878" s="907"/>
      <c r="C878" s="907"/>
      <c r="D878" s="907"/>
      <c r="E878" s="907"/>
      <c r="F878" s="907"/>
      <c r="G878" s="907"/>
      <c r="H878" s="907"/>
      <c r="I878" s="907"/>
      <c r="J878" s="907"/>
      <c r="K878" s="907"/>
      <c r="L878" s="907"/>
      <c r="M878" s="907"/>
      <c r="N878" s="907"/>
      <c r="O878" s="907"/>
      <c r="P878" s="907"/>
      <c r="Q878" s="907"/>
      <c r="R878" s="907"/>
      <c r="S878" s="907"/>
      <c r="T878" s="907"/>
      <c r="U878" s="907"/>
      <c r="V878" s="907"/>
      <c r="W878" s="907"/>
      <c r="X878" s="907"/>
      <c r="Y878" s="907"/>
      <c r="Z878" s="907"/>
      <c r="AA878" s="907"/>
      <c r="AB878" s="907"/>
      <c r="AC878" s="907"/>
      <c r="AD878" s="907"/>
      <c r="AE878" s="907"/>
      <c r="AF878" s="907"/>
      <c r="AG878" s="907"/>
      <c r="AH878" s="907"/>
      <c r="AI878" s="907"/>
      <c r="AJ878" s="907"/>
      <c r="AK878" s="907"/>
      <c r="AL878" s="907"/>
      <c r="AM878" s="907"/>
    </row>
    <row r="879" spans="1:39">
      <c r="A879" s="907"/>
      <c r="B879" s="907"/>
      <c r="C879" s="907"/>
      <c r="D879" s="907"/>
      <c r="E879" s="907"/>
      <c r="F879" s="907"/>
      <c r="G879" s="907"/>
      <c r="H879" s="907"/>
      <c r="I879" s="907"/>
      <c r="J879" s="907"/>
      <c r="K879" s="907"/>
      <c r="L879" s="907"/>
      <c r="M879" s="907"/>
      <c r="N879" s="907"/>
      <c r="O879" s="907"/>
      <c r="P879" s="907"/>
      <c r="Q879" s="907"/>
      <c r="R879" s="907"/>
      <c r="S879" s="907"/>
      <c r="T879" s="907"/>
      <c r="U879" s="907"/>
      <c r="V879" s="907"/>
      <c r="W879" s="907"/>
      <c r="X879" s="907"/>
      <c r="Y879" s="907"/>
      <c r="Z879" s="907"/>
      <c r="AA879" s="907"/>
      <c r="AB879" s="907"/>
      <c r="AC879" s="907"/>
      <c r="AD879" s="907"/>
      <c r="AE879" s="907"/>
      <c r="AF879" s="907"/>
      <c r="AG879" s="907"/>
      <c r="AH879" s="907"/>
      <c r="AI879" s="907"/>
      <c r="AJ879" s="907"/>
      <c r="AK879" s="907"/>
      <c r="AL879" s="907"/>
      <c r="AM879" s="907"/>
    </row>
    <row r="880" spans="1:39">
      <c r="A880" s="907"/>
      <c r="B880" s="907"/>
      <c r="C880" s="907"/>
      <c r="D880" s="907"/>
      <c r="E880" s="907"/>
      <c r="F880" s="907"/>
      <c r="G880" s="907"/>
      <c r="H880" s="907"/>
      <c r="I880" s="907"/>
      <c r="J880" s="907"/>
      <c r="K880" s="907"/>
      <c r="L880" s="907"/>
      <c r="M880" s="907"/>
      <c r="N880" s="907"/>
      <c r="O880" s="907"/>
      <c r="P880" s="907"/>
      <c r="Q880" s="907"/>
      <c r="R880" s="907"/>
      <c r="S880" s="907"/>
      <c r="T880" s="907"/>
      <c r="U880" s="907"/>
      <c r="V880" s="907"/>
      <c r="W880" s="907"/>
      <c r="X880" s="907"/>
      <c r="Y880" s="907"/>
      <c r="Z880" s="907"/>
      <c r="AA880" s="907"/>
      <c r="AB880" s="907"/>
      <c r="AC880" s="907"/>
      <c r="AD880" s="907"/>
      <c r="AE880" s="907"/>
      <c r="AF880" s="907"/>
      <c r="AG880" s="907"/>
      <c r="AH880" s="907"/>
      <c r="AI880" s="907"/>
      <c r="AJ880" s="907"/>
      <c r="AK880" s="907"/>
      <c r="AL880" s="907"/>
      <c r="AM880" s="907"/>
    </row>
    <row r="881" spans="1:39">
      <c r="A881" s="907"/>
      <c r="B881" s="907"/>
      <c r="C881" s="907"/>
      <c r="D881" s="907"/>
      <c r="E881" s="907"/>
      <c r="F881" s="907"/>
      <c r="G881" s="907"/>
      <c r="H881" s="907"/>
      <c r="I881" s="907"/>
      <c r="J881" s="907"/>
      <c r="K881" s="907"/>
      <c r="L881" s="907"/>
      <c r="M881" s="907"/>
      <c r="N881" s="907"/>
      <c r="O881" s="907"/>
      <c r="P881" s="907"/>
      <c r="Q881" s="907"/>
      <c r="R881" s="907"/>
      <c r="S881" s="907"/>
      <c r="T881" s="907"/>
      <c r="U881" s="907"/>
      <c r="V881" s="907"/>
      <c r="W881" s="907"/>
      <c r="X881" s="907"/>
      <c r="Y881" s="907"/>
      <c r="Z881" s="907"/>
      <c r="AA881" s="907"/>
      <c r="AB881" s="907"/>
      <c r="AC881" s="907"/>
      <c r="AD881" s="907"/>
      <c r="AE881" s="907"/>
      <c r="AF881" s="907"/>
      <c r="AG881" s="907"/>
      <c r="AH881" s="907"/>
      <c r="AI881" s="907"/>
      <c r="AJ881" s="907"/>
      <c r="AK881" s="907"/>
      <c r="AL881" s="907"/>
      <c r="AM881" s="907"/>
    </row>
    <row r="882" spans="1:39">
      <c r="A882" s="907"/>
      <c r="B882" s="907"/>
      <c r="C882" s="907"/>
      <c r="D882" s="907"/>
      <c r="E882" s="907"/>
      <c r="F882" s="907"/>
      <c r="G882" s="907"/>
      <c r="H882" s="907"/>
      <c r="I882" s="907"/>
      <c r="J882" s="907"/>
      <c r="K882" s="907"/>
      <c r="L882" s="907"/>
      <c r="M882" s="907"/>
      <c r="N882" s="907"/>
      <c r="O882" s="907"/>
      <c r="P882" s="907"/>
      <c r="Q882" s="907"/>
      <c r="R882" s="907"/>
      <c r="S882" s="907"/>
      <c r="T882" s="907"/>
      <c r="U882" s="907"/>
      <c r="V882" s="907"/>
      <c r="W882" s="907"/>
      <c r="X882" s="907"/>
      <c r="Y882" s="907"/>
      <c r="Z882" s="907"/>
      <c r="AA882" s="907"/>
      <c r="AB882" s="907"/>
      <c r="AC882" s="907"/>
      <c r="AD882" s="907"/>
      <c r="AE882" s="907"/>
      <c r="AF882" s="907"/>
      <c r="AG882" s="907"/>
      <c r="AH882" s="907"/>
      <c r="AI882" s="907"/>
      <c r="AJ882" s="907"/>
      <c r="AK882" s="907"/>
      <c r="AL882" s="907"/>
      <c r="AM882" s="907"/>
    </row>
    <row r="883" spans="1:39">
      <c r="A883" s="907"/>
      <c r="B883" s="907"/>
      <c r="C883" s="907"/>
      <c r="D883" s="907"/>
      <c r="E883" s="907"/>
      <c r="F883" s="907"/>
      <c r="G883" s="907"/>
      <c r="H883" s="907"/>
      <c r="I883" s="907"/>
      <c r="J883" s="907"/>
      <c r="K883" s="907"/>
      <c r="L883" s="907"/>
      <c r="M883" s="907"/>
      <c r="N883" s="907"/>
      <c r="O883" s="907"/>
      <c r="P883" s="907"/>
      <c r="Q883" s="907"/>
      <c r="R883" s="907"/>
      <c r="S883" s="907"/>
      <c r="T883" s="907"/>
      <c r="U883" s="907"/>
      <c r="V883" s="907"/>
      <c r="W883" s="907"/>
      <c r="X883" s="907"/>
      <c r="Y883" s="907"/>
      <c r="Z883" s="907"/>
      <c r="AA883" s="907"/>
      <c r="AB883" s="907"/>
      <c r="AC883" s="907"/>
      <c r="AD883" s="907"/>
      <c r="AE883" s="907"/>
      <c r="AF883" s="907"/>
      <c r="AG883" s="907"/>
      <c r="AH883" s="907"/>
      <c r="AI883" s="907"/>
      <c r="AJ883" s="907"/>
      <c r="AK883" s="907"/>
      <c r="AL883" s="907"/>
      <c r="AM883" s="907"/>
    </row>
    <row r="884" spans="1:39">
      <c r="A884" s="907"/>
      <c r="B884" s="907"/>
      <c r="C884" s="907"/>
      <c r="D884" s="907"/>
      <c r="E884" s="907"/>
      <c r="F884" s="907"/>
      <c r="G884" s="907"/>
      <c r="H884" s="907"/>
      <c r="I884" s="907"/>
      <c r="J884" s="907"/>
      <c r="K884" s="907"/>
      <c r="L884" s="907"/>
      <c r="M884" s="907"/>
      <c r="N884" s="907"/>
      <c r="O884" s="907"/>
      <c r="P884" s="907"/>
      <c r="Q884" s="907"/>
      <c r="R884" s="907"/>
      <c r="S884" s="907"/>
      <c r="T884" s="907"/>
      <c r="U884" s="907"/>
      <c r="V884" s="907"/>
      <c r="W884" s="907"/>
      <c r="X884" s="907"/>
      <c r="Y884" s="907"/>
      <c r="Z884" s="907"/>
      <c r="AA884" s="907"/>
      <c r="AB884" s="907"/>
      <c r="AC884" s="907"/>
      <c r="AD884" s="907"/>
      <c r="AE884" s="907"/>
      <c r="AF884" s="907"/>
      <c r="AG884" s="907"/>
      <c r="AH884" s="907"/>
      <c r="AI884" s="907"/>
      <c r="AJ884" s="907"/>
      <c r="AK884" s="907"/>
      <c r="AL884" s="907"/>
      <c r="AM884" s="907"/>
    </row>
    <row r="885" spans="1:39">
      <c r="A885" s="907"/>
      <c r="B885" s="907"/>
      <c r="C885" s="907"/>
      <c r="D885" s="907"/>
      <c r="E885" s="907"/>
      <c r="F885" s="907"/>
      <c r="G885" s="907"/>
      <c r="H885" s="907"/>
      <c r="I885" s="907"/>
      <c r="J885" s="907"/>
      <c r="K885" s="907"/>
      <c r="L885" s="907"/>
      <c r="M885" s="907"/>
      <c r="N885" s="907"/>
      <c r="O885" s="907"/>
      <c r="P885" s="907"/>
      <c r="Q885" s="907"/>
      <c r="R885" s="907"/>
      <c r="S885" s="907"/>
      <c r="T885" s="907"/>
      <c r="U885" s="907"/>
      <c r="V885" s="907"/>
      <c r="W885" s="907"/>
      <c r="X885" s="907"/>
      <c r="Y885" s="907"/>
      <c r="Z885" s="907"/>
      <c r="AA885" s="907"/>
      <c r="AB885" s="907"/>
      <c r="AC885" s="907"/>
      <c r="AD885" s="907"/>
      <c r="AE885" s="907"/>
      <c r="AF885" s="907"/>
      <c r="AG885" s="907"/>
      <c r="AH885" s="907"/>
      <c r="AI885" s="907"/>
      <c r="AJ885" s="907"/>
      <c r="AK885" s="907"/>
      <c r="AL885" s="907"/>
      <c r="AM885" s="907"/>
    </row>
    <row r="886" spans="1:39">
      <c r="A886" s="907"/>
      <c r="B886" s="907"/>
      <c r="C886" s="907"/>
      <c r="D886" s="907"/>
      <c r="E886" s="907"/>
      <c r="F886" s="907"/>
      <c r="G886" s="907"/>
      <c r="H886" s="907"/>
      <c r="I886" s="907"/>
      <c r="J886" s="907"/>
      <c r="K886" s="907"/>
      <c r="L886" s="907"/>
      <c r="M886" s="907"/>
      <c r="N886" s="907"/>
      <c r="O886" s="907"/>
      <c r="P886" s="907"/>
      <c r="Q886" s="907"/>
      <c r="R886" s="907"/>
      <c r="S886" s="907"/>
      <c r="T886" s="907"/>
      <c r="U886" s="907"/>
      <c r="V886" s="907"/>
      <c r="W886" s="907"/>
      <c r="X886" s="907"/>
      <c r="Y886" s="907"/>
      <c r="Z886" s="907"/>
      <c r="AA886" s="907"/>
      <c r="AB886" s="907"/>
      <c r="AC886" s="907"/>
      <c r="AD886" s="907"/>
      <c r="AE886" s="907"/>
      <c r="AF886" s="907"/>
      <c r="AG886" s="907"/>
      <c r="AH886" s="907"/>
      <c r="AI886" s="907"/>
      <c r="AJ886" s="907"/>
      <c r="AK886" s="907"/>
      <c r="AL886" s="907"/>
      <c r="AM886" s="907"/>
    </row>
    <row r="887" spans="1:39">
      <c r="A887" s="907"/>
      <c r="B887" s="907"/>
      <c r="C887" s="907"/>
      <c r="D887" s="907"/>
      <c r="E887" s="907"/>
      <c r="F887" s="907"/>
      <c r="G887" s="907"/>
      <c r="H887" s="907"/>
      <c r="I887" s="907"/>
      <c r="J887" s="907"/>
      <c r="K887" s="907"/>
      <c r="L887" s="907"/>
      <c r="M887" s="907"/>
      <c r="N887" s="907"/>
      <c r="O887" s="907"/>
      <c r="P887" s="907"/>
      <c r="Q887" s="907"/>
      <c r="R887" s="907"/>
      <c r="S887" s="907"/>
      <c r="T887" s="907"/>
      <c r="U887" s="907"/>
      <c r="V887" s="907"/>
      <c r="W887" s="907"/>
      <c r="X887" s="907"/>
      <c r="Y887" s="907"/>
      <c r="Z887" s="907"/>
      <c r="AA887" s="907"/>
      <c r="AB887" s="907"/>
      <c r="AC887" s="907"/>
      <c r="AD887" s="907"/>
      <c r="AE887" s="907"/>
      <c r="AF887" s="907"/>
      <c r="AG887" s="907"/>
      <c r="AH887" s="907"/>
      <c r="AI887" s="907"/>
      <c r="AJ887" s="907"/>
      <c r="AK887" s="907"/>
      <c r="AL887" s="907"/>
      <c r="AM887" s="907"/>
    </row>
    <row r="888" spans="1:39">
      <c r="A888" s="907"/>
      <c r="B888" s="907"/>
      <c r="C888" s="907"/>
      <c r="D888" s="907"/>
      <c r="E888" s="907"/>
      <c r="F888" s="907"/>
      <c r="G888" s="907"/>
      <c r="H888" s="907"/>
      <c r="I888" s="907"/>
      <c r="J888" s="907"/>
      <c r="K888" s="907"/>
      <c r="L888" s="907"/>
      <c r="M888" s="907"/>
      <c r="N888" s="907"/>
      <c r="O888" s="907"/>
      <c r="P888" s="907"/>
      <c r="Q888" s="907"/>
      <c r="R888" s="907"/>
      <c r="S888" s="907"/>
      <c r="T888" s="907"/>
      <c r="U888" s="907"/>
      <c r="V888" s="907"/>
      <c r="W888" s="907"/>
      <c r="X888" s="907"/>
      <c r="Y888" s="907"/>
      <c r="Z888" s="907"/>
      <c r="AA888" s="907"/>
      <c r="AB888" s="907"/>
      <c r="AC888" s="907"/>
      <c r="AD888" s="907"/>
      <c r="AE888" s="907"/>
      <c r="AF888" s="907"/>
      <c r="AG888" s="907"/>
      <c r="AH888" s="907"/>
      <c r="AI888" s="907"/>
      <c r="AJ888" s="907"/>
      <c r="AK888" s="907"/>
      <c r="AL888" s="907"/>
      <c r="AM888" s="907"/>
    </row>
    <row r="889" spans="1:39">
      <c r="A889" s="907"/>
      <c r="B889" s="907"/>
      <c r="C889" s="907"/>
      <c r="D889" s="907"/>
      <c r="E889" s="907"/>
      <c r="F889" s="907"/>
      <c r="G889" s="907"/>
      <c r="H889" s="907"/>
      <c r="I889" s="907"/>
      <c r="J889" s="907"/>
      <c r="K889" s="907"/>
      <c r="L889" s="907"/>
      <c r="M889" s="907"/>
      <c r="N889" s="907"/>
      <c r="O889" s="907"/>
      <c r="P889" s="907"/>
      <c r="Q889" s="907"/>
      <c r="R889" s="907"/>
      <c r="S889" s="907"/>
      <c r="T889" s="907"/>
      <c r="U889" s="907"/>
      <c r="V889" s="907"/>
      <c r="W889" s="907"/>
      <c r="X889" s="907"/>
      <c r="Y889" s="907"/>
      <c r="Z889" s="907"/>
      <c r="AA889" s="907"/>
      <c r="AB889" s="907"/>
      <c r="AC889" s="907"/>
      <c r="AD889" s="907"/>
      <c r="AE889" s="907"/>
      <c r="AF889" s="907"/>
      <c r="AG889" s="907"/>
      <c r="AH889" s="907"/>
      <c r="AI889" s="907"/>
      <c r="AJ889" s="907"/>
      <c r="AK889" s="907"/>
      <c r="AL889" s="907"/>
      <c r="AM889" s="907"/>
    </row>
    <row r="890" spans="1:39">
      <c r="A890" s="907"/>
      <c r="B890" s="907"/>
      <c r="C890" s="907"/>
      <c r="D890" s="907"/>
      <c r="E890" s="907"/>
      <c r="F890" s="907"/>
      <c r="G890" s="907"/>
      <c r="H890" s="907"/>
      <c r="I890" s="907"/>
      <c r="J890" s="907"/>
      <c r="K890" s="907"/>
      <c r="L890" s="907"/>
      <c r="M890" s="907"/>
      <c r="N890" s="907"/>
      <c r="O890" s="907"/>
      <c r="P890" s="907"/>
      <c r="Q890" s="907"/>
      <c r="R890" s="907"/>
      <c r="S890" s="907"/>
      <c r="T890" s="907"/>
      <c r="U890" s="907"/>
      <c r="V890" s="907"/>
      <c r="W890" s="907"/>
      <c r="X890" s="907"/>
      <c r="Y890" s="907"/>
      <c r="Z890" s="907"/>
      <c r="AA890" s="907"/>
      <c r="AB890" s="907"/>
      <c r="AC890" s="907"/>
      <c r="AD890" s="907"/>
      <c r="AE890" s="907"/>
      <c r="AF890" s="907"/>
      <c r="AG890" s="907"/>
      <c r="AH890" s="907"/>
      <c r="AI890" s="907"/>
      <c r="AJ890" s="907"/>
      <c r="AK890" s="907"/>
      <c r="AL890" s="907"/>
      <c r="AM890" s="907"/>
    </row>
    <row r="891" spans="1:39">
      <c r="A891" s="907"/>
      <c r="B891" s="907"/>
      <c r="C891" s="907"/>
      <c r="D891" s="907"/>
      <c r="E891" s="907"/>
      <c r="F891" s="907"/>
      <c r="G891" s="907"/>
      <c r="H891" s="907"/>
      <c r="I891" s="907"/>
      <c r="J891" s="907"/>
      <c r="K891" s="907"/>
      <c r="L891" s="907"/>
      <c r="M891" s="907"/>
      <c r="N891" s="907"/>
      <c r="O891" s="907"/>
      <c r="P891" s="907"/>
      <c r="Q891" s="907"/>
      <c r="R891" s="907"/>
      <c r="S891" s="907"/>
      <c r="T891" s="907"/>
      <c r="U891" s="907"/>
      <c r="V891" s="907"/>
      <c r="W891" s="907"/>
      <c r="X891" s="907"/>
      <c r="Y891" s="907"/>
      <c r="Z891" s="907"/>
      <c r="AA891" s="907"/>
      <c r="AB891" s="907"/>
      <c r="AC891" s="907"/>
      <c r="AD891" s="907"/>
      <c r="AE891" s="907"/>
      <c r="AF891" s="907"/>
      <c r="AG891" s="907"/>
      <c r="AH891" s="907"/>
      <c r="AI891" s="907"/>
      <c r="AJ891" s="907"/>
      <c r="AK891" s="907"/>
      <c r="AL891" s="907"/>
      <c r="AM891" s="907"/>
    </row>
    <row r="892" spans="1:39">
      <c r="A892" s="907"/>
      <c r="B892" s="907"/>
      <c r="C892" s="907"/>
      <c r="D892" s="907"/>
      <c r="E892" s="907"/>
      <c r="F892" s="907"/>
      <c r="G892" s="907"/>
      <c r="H892" s="907"/>
      <c r="I892" s="907"/>
      <c r="J892" s="907"/>
      <c r="K892" s="907"/>
      <c r="L892" s="907"/>
      <c r="M892" s="907"/>
      <c r="N892" s="907"/>
      <c r="O892" s="907"/>
      <c r="P892" s="907"/>
      <c r="Q892" s="907"/>
      <c r="R892" s="907"/>
      <c r="S892" s="907"/>
      <c r="T892" s="907"/>
      <c r="U892" s="907"/>
      <c r="V892" s="907"/>
      <c r="W892" s="907"/>
      <c r="X892" s="907"/>
      <c r="Y892" s="907"/>
      <c r="Z892" s="907"/>
      <c r="AA892" s="907"/>
      <c r="AB892" s="907"/>
      <c r="AC892" s="907"/>
      <c r="AD892" s="907"/>
      <c r="AE892" s="907"/>
      <c r="AF892" s="907"/>
      <c r="AG892" s="907"/>
      <c r="AH892" s="907"/>
      <c r="AI892" s="907"/>
      <c r="AJ892" s="907"/>
      <c r="AK892" s="907"/>
      <c r="AL892" s="907"/>
      <c r="AM892" s="907"/>
    </row>
    <row r="893" spans="1:39">
      <c r="A893" s="907"/>
      <c r="B893" s="907"/>
      <c r="C893" s="907"/>
      <c r="D893" s="907"/>
      <c r="E893" s="907"/>
      <c r="F893" s="907"/>
      <c r="G893" s="907"/>
      <c r="H893" s="907"/>
      <c r="I893" s="907"/>
      <c r="J893" s="907"/>
      <c r="K893" s="907"/>
      <c r="L893" s="907"/>
      <c r="M893" s="907"/>
      <c r="N893" s="907"/>
      <c r="O893" s="907"/>
      <c r="P893" s="907"/>
      <c r="Q893" s="907"/>
      <c r="R893" s="907"/>
      <c r="S893" s="907"/>
      <c r="T893" s="907"/>
      <c r="U893" s="907"/>
      <c r="V893" s="907"/>
      <c r="W893" s="907"/>
      <c r="X893" s="907"/>
      <c r="Y893" s="907"/>
      <c r="Z893" s="907"/>
      <c r="AA893" s="907"/>
      <c r="AB893" s="907"/>
      <c r="AC893" s="907"/>
      <c r="AD893" s="907"/>
      <c r="AE893" s="907"/>
      <c r="AF893" s="907"/>
      <c r="AG893" s="907"/>
      <c r="AH893" s="907"/>
      <c r="AI893" s="907"/>
      <c r="AJ893" s="907"/>
      <c r="AK893" s="907"/>
      <c r="AL893" s="907"/>
      <c r="AM893" s="907"/>
    </row>
    <row r="894" spans="1:39">
      <c r="A894" s="907"/>
      <c r="B894" s="907"/>
      <c r="C894" s="907"/>
      <c r="D894" s="907"/>
      <c r="E894" s="907"/>
      <c r="F894" s="907"/>
      <c r="G894" s="907"/>
      <c r="H894" s="907"/>
      <c r="I894" s="907"/>
      <c r="J894" s="907"/>
      <c r="K894" s="907"/>
      <c r="L894" s="907"/>
      <c r="M894" s="907"/>
      <c r="N894" s="907"/>
      <c r="O894" s="907"/>
      <c r="P894" s="907"/>
      <c r="Q894" s="907"/>
      <c r="R894" s="907"/>
      <c r="S894" s="907"/>
      <c r="T894" s="907"/>
      <c r="U894" s="907"/>
      <c r="V894" s="907"/>
      <c r="W894" s="907"/>
      <c r="X894" s="907"/>
      <c r="Y894" s="907"/>
      <c r="Z894" s="907"/>
      <c r="AA894" s="907"/>
      <c r="AB894" s="907"/>
      <c r="AC894" s="907"/>
      <c r="AD894" s="907"/>
      <c r="AE894" s="907"/>
      <c r="AF894" s="907"/>
      <c r="AG894" s="907"/>
      <c r="AH894" s="907"/>
      <c r="AI894" s="907"/>
      <c r="AJ894" s="907"/>
      <c r="AK894" s="907"/>
      <c r="AL894" s="907"/>
      <c r="AM894" s="907"/>
    </row>
    <row r="895" spans="1:39">
      <c r="A895" s="907"/>
      <c r="B895" s="907"/>
      <c r="C895" s="907"/>
      <c r="D895" s="907"/>
      <c r="E895" s="907"/>
      <c r="F895" s="907"/>
      <c r="G895" s="907"/>
      <c r="H895" s="907"/>
      <c r="I895" s="907"/>
      <c r="J895" s="907"/>
      <c r="K895" s="907"/>
      <c r="L895" s="907"/>
      <c r="M895" s="907"/>
      <c r="N895" s="907"/>
      <c r="O895" s="907"/>
      <c r="P895" s="907"/>
      <c r="Q895" s="907"/>
      <c r="R895" s="907"/>
      <c r="S895" s="907"/>
      <c r="T895" s="907"/>
      <c r="U895" s="907"/>
      <c r="V895" s="907"/>
      <c r="W895" s="907"/>
      <c r="X895" s="907"/>
      <c r="Y895" s="907"/>
      <c r="Z895" s="907"/>
      <c r="AA895" s="907"/>
      <c r="AB895" s="907"/>
      <c r="AC895" s="907"/>
      <c r="AD895" s="907"/>
      <c r="AE895" s="907"/>
      <c r="AF895" s="907"/>
      <c r="AG895" s="907"/>
      <c r="AH895" s="907"/>
      <c r="AI895" s="907"/>
      <c r="AJ895" s="907"/>
      <c r="AK895" s="907"/>
      <c r="AL895" s="907"/>
      <c r="AM895" s="907"/>
    </row>
    <row r="896" spans="1:39">
      <c r="A896" s="907"/>
      <c r="B896" s="907"/>
      <c r="C896" s="907"/>
      <c r="D896" s="907"/>
      <c r="E896" s="907"/>
      <c r="F896" s="907"/>
      <c r="G896" s="907"/>
      <c r="H896" s="907"/>
      <c r="I896" s="907"/>
      <c r="J896" s="907"/>
      <c r="K896" s="907"/>
      <c r="L896" s="907"/>
      <c r="M896" s="907"/>
      <c r="N896" s="907"/>
      <c r="O896" s="907"/>
      <c r="P896" s="907"/>
      <c r="Q896" s="907"/>
      <c r="R896" s="907"/>
      <c r="S896" s="907"/>
      <c r="T896" s="907"/>
      <c r="U896" s="907"/>
      <c r="V896" s="907"/>
      <c r="W896" s="907"/>
      <c r="X896" s="907"/>
      <c r="Y896" s="907"/>
      <c r="Z896" s="907"/>
      <c r="AA896" s="907"/>
      <c r="AB896" s="907"/>
      <c r="AC896" s="907"/>
      <c r="AD896" s="907"/>
      <c r="AE896" s="907"/>
      <c r="AF896" s="907"/>
      <c r="AG896" s="907"/>
      <c r="AH896" s="907"/>
      <c r="AI896" s="907"/>
      <c r="AJ896" s="907"/>
      <c r="AK896" s="907"/>
      <c r="AL896" s="907"/>
      <c r="AM896" s="907"/>
    </row>
    <row r="897" spans="1:39">
      <c r="A897" s="907"/>
      <c r="B897" s="907"/>
      <c r="C897" s="907"/>
      <c r="D897" s="907"/>
      <c r="E897" s="907"/>
      <c r="F897" s="907"/>
      <c r="G897" s="907"/>
      <c r="H897" s="907"/>
      <c r="I897" s="907"/>
      <c r="J897" s="907"/>
      <c r="K897" s="907"/>
      <c r="L897" s="907"/>
      <c r="M897" s="907"/>
      <c r="N897" s="907"/>
      <c r="O897" s="907"/>
      <c r="P897" s="907"/>
      <c r="Q897" s="907"/>
      <c r="R897" s="907"/>
      <c r="S897" s="907"/>
      <c r="T897" s="907"/>
      <c r="U897" s="907"/>
      <c r="V897" s="907"/>
      <c r="W897" s="907"/>
      <c r="X897" s="907"/>
      <c r="Y897" s="907"/>
      <c r="Z897" s="907"/>
      <c r="AA897" s="907"/>
      <c r="AB897" s="907"/>
      <c r="AC897" s="907"/>
      <c r="AD897" s="907"/>
      <c r="AE897" s="907"/>
      <c r="AF897" s="907"/>
      <c r="AG897" s="907"/>
      <c r="AH897" s="907"/>
      <c r="AI897" s="907"/>
      <c r="AJ897" s="907"/>
      <c r="AK897" s="907"/>
      <c r="AL897" s="907"/>
      <c r="AM897" s="907"/>
    </row>
    <row r="898" spans="1:39">
      <c r="A898" s="907"/>
      <c r="B898" s="907"/>
      <c r="C898" s="907"/>
      <c r="D898" s="907"/>
      <c r="E898" s="907"/>
      <c r="F898" s="907"/>
      <c r="G898" s="907"/>
      <c r="H898" s="907"/>
      <c r="I898" s="907"/>
      <c r="J898" s="907"/>
      <c r="K898" s="907"/>
      <c r="L898" s="907"/>
      <c r="M898" s="907"/>
      <c r="N898" s="907"/>
      <c r="O898" s="907"/>
      <c r="P898" s="907"/>
      <c r="Q898" s="907"/>
      <c r="R898" s="907"/>
      <c r="S898" s="907"/>
      <c r="T898" s="907"/>
      <c r="U898" s="907"/>
      <c r="V898" s="907"/>
      <c r="W898" s="907"/>
      <c r="X898" s="907"/>
      <c r="Y898" s="907"/>
      <c r="Z898" s="907"/>
      <c r="AA898" s="907"/>
      <c r="AB898" s="907"/>
      <c r="AC898" s="907"/>
      <c r="AD898" s="907"/>
      <c r="AE898" s="907"/>
      <c r="AF898" s="907"/>
      <c r="AG898" s="907"/>
      <c r="AH898" s="907"/>
      <c r="AI898" s="907"/>
      <c r="AJ898" s="907"/>
      <c r="AK898" s="907"/>
      <c r="AL898" s="907"/>
      <c r="AM898" s="907"/>
    </row>
    <row r="899" spans="1:39">
      <c r="A899" s="907"/>
      <c r="B899" s="907"/>
      <c r="C899" s="907"/>
      <c r="D899" s="907"/>
      <c r="E899" s="907"/>
      <c r="F899" s="907"/>
      <c r="G899" s="907"/>
      <c r="H899" s="907"/>
      <c r="I899" s="907"/>
      <c r="J899" s="907"/>
      <c r="K899" s="907"/>
      <c r="L899" s="907"/>
      <c r="M899" s="907"/>
      <c r="N899" s="907"/>
      <c r="O899" s="907"/>
      <c r="P899" s="907"/>
      <c r="Q899" s="907"/>
      <c r="R899" s="907"/>
      <c r="S899" s="907"/>
      <c r="T899" s="907"/>
      <c r="U899" s="907"/>
      <c r="V899" s="907"/>
      <c r="W899" s="907"/>
      <c r="X899" s="907"/>
      <c r="Y899" s="907"/>
      <c r="Z899" s="907"/>
      <c r="AA899" s="907"/>
      <c r="AB899" s="907"/>
      <c r="AC899" s="907"/>
      <c r="AD899" s="907"/>
      <c r="AE899" s="907"/>
      <c r="AF899" s="907"/>
      <c r="AG899" s="907"/>
      <c r="AH899" s="907"/>
      <c r="AI899" s="907"/>
      <c r="AJ899" s="907"/>
      <c r="AK899" s="907"/>
      <c r="AL899" s="907"/>
      <c r="AM899" s="907"/>
    </row>
    <row r="900" spans="1:39">
      <c r="A900" s="907"/>
      <c r="B900" s="907"/>
      <c r="C900" s="907"/>
      <c r="D900" s="907"/>
      <c r="E900" s="907"/>
      <c r="F900" s="907"/>
      <c r="G900" s="907"/>
      <c r="H900" s="907"/>
      <c r="I900" s="907"/>
      <c r="J900" s="907"/>
      <c r="K900" s="907"/>
      <c r="L900" s="907"/>
      <c r="M900" s="907"/>
      <c r="N900" s="907"/>
      <c r="O900" s="907"/>
      <c r="P900" s="907"/>
      <c r="Q900" s="907"/>
      <c r="R900" s="907"/>
      <c r="S900" s="907"/>
      <c r="T900" s="907"/>
      <c r="U900" s="907"/>
      <c r="V900" s="907"/>
      <c r="W900" s="907"/>
      <c r="X900" s="907"/>
      <c r="Y900" s="907"/>
      <c r="Z900" s="907"/>
      <c r="AA900" s="907"/>
      <c r="AB900" s="907"/>
      <c r="AC900" s="907"/>
      <c r="AD900" s="907"/>
      <c r="AE900" s="907"/>
      <c r="AF900" s="907"/>
      <c r="AG900" s="907"/>
      <c r="AH900" s="907"/>
      <c r="AI900" s="907"/>
      <c r="AJ900" s="907"/>
      <c r="AK900" s="907"/>
      <c r="AL900" s="907"/>
      <c r="AM900" s="907"/>
    </row>
    <row r="901" spans="1:39">
      <c r="A901" s="907"/>
      <c r="B901" s="907"/>
      <c r="C901" s="907"/>
      <c r="D901" s="907"/>
      <c r="E901" s="907"/>
      <c r="F901" s="907"/>
      <c r="G901" s="907"/>
      <c r="H901" s="907"/>
      <c r="I901" s="907"/>
      <c r="J901" s="907"/>
      <c r="K901" s="907"/>
      <c r="L901" s="907"/>
      <c r="M901" s="907"/>
      <c r="N901" s="907"/>
      <c r="O901" s="907"/>
      <c r="P901" s="907"/>
      <c r="Q901" s="907"/>
      <c r="R901" s="907"/>
      <c r="S901" s="907"/>
      <c r="T901" s="907"/>
      <c r="U901" s="907"/>
      <c r="V901" s="907"/>
      <c r="W901" s="907"/>
      <c r="X901" s="907"/>
      <c r="Y901" s="907"/>
      <c r="Z901" s="907"/>
      <c r="AA901" s="907"/>
      <c r="AB901" s="907"/>
      <c r="AC901" s="907"/>
      <c r="AD901" s="907"/>
      <c r="AE901" s="907"/>
      <c r="AF901" s="907"/>
      <c r="AG901" s="907"/>
      <c r="AH901" s="907"/>
      <c r="AI901" s="907"/>
      <c r="AJ901" s="907"/>
      <c r="AK901" s="907"/>
      <c r="AL901" s="907"/>
      <c r="AM901" s="907"/>
    </row>
    <row r="902" spans="1:39">
      <c r="A902" s="907"/>
      <c r="B902" s="907"/>
      <c r="C902" s="907"/>
      <c r="D902" s="907"/>
      <c r="E902" s="907"/>
      <c r="F902" s="907"/>
      <c r="G902" s="907"/>
      <c r="H902" s="907"/>
      <c r="I902" s="907"/>
      <c r="J902" s="907"/>
      <c r="K902" s="907"/>
      <c r="L902" s="907"/>
      <c r="M902" s="907"/>
      <c r="N902" s="907"/>
      <c r="O902" s="907"/>
      <c r="P902" s="907"/>
      <c r="Q902" s="907"/>
      <c r="R902" s="907"/>
      <c r="S902" s="907"/>
      <c r="T902" s="907"/>
      <c r="U902" s="907"/>
      <c r="V902" s="907"/>
      <c r="W902" s="907"/>
      <c r="X902" s="907"/>
      <c r="Y902" s="907"/>
      <c r="Z902" s="907"/>
      <c r="AA902" s="907"/>
      <c r="AB902" s="907"/>
      <c r="AC902" s="907"/>
      <c r="AD902" s="907"/>
      <c r="AE902" s="907"/>
      <c r="AF902" s="907"/>
      <c r="AG902" s="907"/>
      <c r="AH902" s="907"/>
      <c r="AI902" s="907"/>
      <c r="AJ902" s="907"/>
      <c r="AK902" s="907"/>
      <c r="AL902" s="907"/>
      <c r="AM902" s="907"/>
    </row>
    <row r="903" spans="1:39">
      <c r="A903" s="907"/>
      <c r="B903" s="907"/>
      <c r="C903" s="907"/>
      <c r="D903" s="907"/>
      <c r="E903" s="907"/>
      <c r="F903" s="907"/>
      <c r="G903" s="907"/>
      <c r="H903" s="907"/>
      <c r="I903" s="907"/>
      <c r="J903" s="907"/>
      <c r="K903" s="907"/>
      <c r="L903" s="907"/>
      <c r="M903" s="907"/>
      <c r="N903" s="907"/>
      <c r="O903" s="907"/>
      <c r="P903" s="907"/>
      <c r="Q903" s="907"/>
      <c r="R903" s="907"/>
      <c r="S903" s="907"/>
      <c r="T903" s="907"/>
      <c r="U903" s="907"/>
      <c r="V903" s="907"/>
      <c r="W903" s="907"/>
      <c r="X903" s="907"/>
      <c r="Y903" s="907"/>
      <c r="Z903" s="907"/>
      <c r="AA903" s="907"/>
      <c r="AB903" s="907"/>
      <c r="AC903" s="907"/>
      <c r="AD903" s="907"/>
      <c r="AE903" s="907"/>
      <c r="AF903" s="907"/>
      <c r="AG903" s="907"/>
      <c r="AH903" s="907"/>
      <c r="AI903" s="907"/>
      <c r="AJ903" s="907"/>
      <c r="AK903" s="907"/>
      <c r="AL903" s="907"/>
      <c r="AM903" s="907"/>
    </row>
    <row r="904" spans="1:39">
      <c r="A904" s="907"/>
      <c r="B904" s="907"/>
      <c r="C904" s="907"/>
      <c r="D904" s="907"/>
      <c r="E904" s="907"/>
      <c r="F904" s="907"/>
      <c r="G904" s="907"/>
      <c r="H904" s="907"/>
      <c r="I904" s="907"/>
      <c r="J904" s="907"/>
      <c r="K904" s="907"/>
      <c r="L904" s="907"/>
      <c r="M904" s="907"/>
      <c r="N904" s="907"/>
      <c r="O904" s="907"/>
      <c r="P904" s="907"/>
      <c r="Q904" s="907"/>
      <c r="R904" s="907"/>
      <c r="S904" s="907"/>
      <c r="T904" s="907"/>
      <c r="U904" s="907"/>
      <c r="V904" s="907"/>
      <c r="W904" s="907"/>
      <c r="X904" s="907"/>
      <c r="Y904" s="907"/>
      <c r="Z904" s="907"/>
      <c r="AA904" s="907"/>
      <c r="AB904" s="907"/>
      <c r="AC904" s="907"/>
      <c r="AD904" s="907"/>
      <c r="AE904" s="907"/>
      <c r="AF904" s="907"/>
      <c r="AG904" s="907"/>
      <c r="AH904" s="907"/>
      <c r="AI904" s="907"/>
      <c r="AJ904" s="907"/>
      <c r="AK904" s="907"/>
      <c r="AL904" s="907"/>
      <c r="AM904" s="907"/>
    </row>
    <row r="905" spans="1:39">
      <c r="A905" s="907"/>
      <c r="B905" s="907"/>
      <c r="C905" s="907"/>
      <c r="D905" s="907"/>
      <c r="E905" s="907"/>
      <c r="F905" s="907"/>
      <c r="G905" s="907"/>
      <c r="H905" s="907"/>
      <c r="I905" s="907"/>
      <c r="J905" s="907"/>
      <c r="K905" s="907"/>
      <c r="L905" s="907"/>
      <c r="M905" s="907"/>
      <c r="N905" s="907"/>
      <c r="O905" s="907"/>
      <c r="P905" s="907"/>
      <c r="Q905" s="907"/>
      <c r="R905" s="907"/>
      <c r="S905" s="907"/>
      <c r="T905" s="907"/>
      <c r="U905" s="907"/>
      <c r="V905" s="907"/>
      <c r="W905" s="907"/>
      <c r="X905" s="907"/>
      <c r="Y905" s="907"/>
      <c r="Z905" s="907"/>
      <c r="AA905" s="907"/>
      <c r="AB905" s="907"/>
      <c r="AC905" s="907"/>
      <c r="AD905" s="907"/>
      <c r="AE905" s="907"/>
      <c r="AF905" s="907"/>
      <c r="AG905" s="907"/>
      <c r="AH905" s="907"/>
      <c r="AI905" s="907"/>
      <c r="AJ905" s="907"/>
      <c r="AK905" s="907"/>
      <c r="AL905" s="907"/>
      <c r="AM905" s="907"/>
    </row>
    <row r="906" spans="1:39">
      <c r="A906" s="907"/>
      <c r="B906" s="907"/>
      <c r="C906" s="907"/>
      <c r="D906" s="907"/>
      <c r="E906" s="907"/>
      <c r="F906" s="907"/>
      <c r="G906" s="907"/>
      <c r="H906" s="907"/>
      <c r="I906" s="907"/>
      <c r="J906" s="907"/>
      <c r="K906" s="907"/>
      <c r="L906" s="907"/>
      <c r="M906" s="907"/>
      <c r="N906" s="907"/>
      <c r="O906" s="907"/>
      <c r="P906" s="907"/>
      <c r="Q906" s="907"/>
      <c r="R906" s="907"/>
      <c r="S906" s="907"/>
      <c r="T906" s="907"/>
      <c r="U906" s="907"/>
      <c r="V906" s="907"/>
      <c r="W906" s="907"/>
      <c r="X906" s="907"/>
      <c r="Y906" s="907"/>
      <c r="Z906" s="907"/>
      <c r="AA906" s="907"/>
      <c r="AB906" s="907"/>
      <c r="AC906" s="907"/>
      <c r="AD906" s="907"/>
      <c r="AE906" s="907"/>
      <c r="AF906" s="907"/>
      <c r="AG906" s="907"/>
      <c r="AH906" s="907"/>
      <c r="AI906" s="907"/>
      <c r="AJ906" s="907"/>
      <c r="AK906" s="907"/>
      <c r="AL906" s="907"/>
      <c r="AM906" s="907"/>
    </row>
    <row r="907" spans="1:39">
      <c r="A907" s="907"/>
      <c r="B907" s="907"/>
      <c r="C907" s="907"/>
      <c r="D907" s="907"/>
      <c r="E907" s="907"/>
      <c r="F907" s="907"/>
      <c r="G907" s="907"/>
      <c r="H907" s="907"/>
      <c r="I907" s="907"/>
      <c r="J907" s="907"/>
      <c r="K907" s="907"/>
      <c r="L907" s="907"/>
      <c r="M907" s="907"/>
      <c r="N907" s="907"/>
      <c r="O907" s="907"/>
      <c r="P907" s="907"/>
      <c r="Q907" s="907"/>
      <c r="R907" s="907"/>
      <c r="S907" s="907"/>
      <c r="T907" s="907"/>
      <c r="U907" s="907"/>
      <c r="V907" s="907"/>
      <c r="W907" s="907"/>
      <c r="X907" s="907"/>
      <c r="Y907" s="907"/>
      <c r="Z907" s="907"/>
      <c r="AA907" s="907"/>
      <c r="AB907" s="907"/>
      <c r="AC907" s="907"/>
      <c r="AD907" s="907"/>
      <c r="AE907" s="907"/>
      <c r="AF907" s="907"/>
      <c r="AG907" s="907"/>
      <c r="AH907" s="907"/>
      <c r="AI907" s="907"/>
      <c r="AJ907" s="907"/>
      <c r="AK907" s="907"/>
      <c r="AL907" s="907"/>
      <c r="AM907" s="907"/>
    </row>
    <row r="908" spans="1:39">
      <c r="A908" s="907"/>
      <c r="B908" s="907"/>
      <c r="C908" s="907"/>
      <c r="D908" s="907"/>
      <c r="E908" s="907"/>
      <c r="F908" s="907"/>
      <c r="G908" s="907"/>
      <c r="H908" s="907"/>
      <c r="I908" s="907"/>
      <c r="J908" s="907"/>
      <c r="K908" s="907"/>
      <c r="L908" s="907"/>
      <c r="M908" s="907"/>
      <c r="N908" s="907"/>
      <c r="O908" s="907"/>
      <c r="P908" s="907"/>
      <c r="Q908" s="907"/>
      <c r="R908" s="907"/>
      <c r="S908" s="907"/>
      <c r="T908" s="907"/>
      <c r="U908" s="907"/>
      <c r="V908" s="907"/>
      <c r="W908" s="907"/>
      <c r="X908" s="907"/>
      <c r="Y908" s="907"/>
      <c r="Z908" s="907"/>
      <c r="AA908" s="907"/>
      <c r="AB908" s="907"/>
      <c r="AC908" s="907"/>
      <c r="AD908" s="907"/>
      <c r="AE908" s="907"/>
      <c r="AF908" s="907"/>
      <c r="AG908" s="907"/>
      <c r="AH908" s="907"/>
      <c r="AI908" s="907"/>
      <c r="AJ908" s="907"/>
      <c r="AK908" s="907"/>
      <c r="AL908" s="907"/>
      <c r="AM908" s="907"/>
    </row>
    <row r="909" spans="1:39">
      <c r="A909" s="907"/>
      <c r="B909" s="907"/>
      <c r="C909" s="907"/>
      <c r="D909" s="907"/>
      <c r="E909" s="907"/>
      <c r="F909" s="907"/>
      <c r="G909" s="907"/>
      <c r="H909" s="907"/>
      <c r="I909" s="907"/>
      <c r="J909" s="907"/>
      <c r="K909" s="907"/>
      <c r="L909" s="907"/>
      <c r="M909" s="907"/>
      <c r="N909" s="907"/>
      <c r="O909" s="907"/>
      <c r="P909" s="907"/>
      <c r="Q909" s="907"/>
      <c r="R909" s="907"/>
      <c r="S909" s="907"/>
      <c r="T909" s="907"/>
      <c r="U909" s="907"/>
      <c r="V909" s="907"/>
      <c r="W909" s="907"/>
      <c r="X909" s="907"/>
      <c r="Y909" s="907"/>
      <c r="Z909" s="907"/>
      <c r="AA909" s="907"/>
      <c r="AB909" s="907"/>
      <c r="AC909" s="907"/>
      <c r="AD909" s="907"/>
      <c r="AE909" s="907"/>
      <c r="AF909" s="907"/>
      <c r="AG909" s="907"/>
      <c r="AH909" s="907"/>
      <c r="AI909" s="907"/>
      <c r="AJ909" s="907"/>
      <c r="AK909" s="907"/>
      <c r="AL909" s="907"/>
      <c r="AM909" s="907"/>
    </row>
    <row r="910" spans="1:39">
      <c r="A910" s="907"/>
      <c r="B910" s="907"/>
      <c r="C910" s="907"/>
      <c r="D910" s="907"/>
      <c r="E910" s="907"/>
      <c r="F910" s="907"/>
      <c r="G910" s="907"/>
      <c r="H910" s="907"/>
      <c r="I910" s="907"/>
      <c r="J910" s="907"/>
      <c r="K910" s="907"/>
      <c r="L910" s="907"/>
      <c r="M910" s="907"/>
      <c r="N910" s="907"/>
      <c r="O910" s="907"/>
      <c r="P910" s="907"/>
      <c r="Q910" s="907"/>
      <c r="R910" s="907"/>
      <c r="S910" s="907"/>
      <c r="T910" s="907"/>
      <c r="U910" s="907"/>
      <c r="V910" s="907"/>
      <c r="W910" s="907"/>
      <c r="X910" s="907"/>
      <c r="Y910" s="907"/>
      <c r="Z910" s="907"/>
      <c r="AA910" s="907"/>
      <c r="AB910" s="907"/>
      <c r="AC910" s="907"/>
      <c r="AD910" s="907"/>
      <c r="AE910" s="907"/>
      <c r="AF910" s="907"/>
      <c r="AG910" s="907"/>
      <c r="AH910" s="907"/>
      <c r="AI910" s="907"/>
      <c r="AJ910" s="907"/>
      <c r="AK910" s="907"/>
      <c r="AL910" s="907"/>
      <c r="AM910" s="907"/>
    </row>
    <row r="911" spans="1:39">
      <c r="A911" s="907"/>
      <c r="B911" s="907"/>
      <c r="C911" s="907"/>
      <c r="D911" s="907"/>
      <c r="E911" s="907"/>
      <c r="F911" s="907"/>
      <c r="G911" s="907"/>
      <c r="H911" s="907"/>
      <c r="I911" s="907"/>
      <c r="J911" s="907"/>
      <c r="K911" s="907"/>
      <c r="L911" s="907"/>
      <c r="M911" s="907"/>
      <c r="N911" s="907"/>
      <c r="O911" s="907"/>
      <c r="P911" s="907"/>
      <c r="Q911" s="907"/>
      <c r="R911" s="907"/>
      <c r="S911" s="907"/>
      <c r="T911" s="907"/>
      <c r="U911" s="907"/>
      <c r="V911" s="907"/>
      <c r="W911" s="907"/>
      <c r="X911" s="907"/>
      <c r="Y911" s="907"/>
      <c r="Z911" s="907"/>
      <c r="AA911" s="907"/>
      <c r="AB911" s="907"/>
      <c r="AC911" s="907"/>
      <c r="AD911" s="907"/>
      <c r="AE911" s="907"/>
      <c r="AF911" s="907"/>
      <c r="AG911" s="907"/>
      <c r="AH911" s="907"/>
      <c r="AI911" s="907"/>
      <c r="AJ911" s="907"/>
      <c r="AK911" s="907"/>
      <c r="AL911" s="907"/>
      <c r="AM911" s="907"/>
    </row>
    <row r="912" spans="1:39">
      <c r="A912" s="907"/>
      <c r="B912" s="907"/>
      <c r="C912" s="907"/>
      <c r="D912" s="907"/>
      <c r="E912" s="907"/>
      <c r="F912" s="907"/>
      <c r="G912" s="907"/>
      <c r="H912" s="907"/>
      <c r="I912" s="907"/>
      <c r="J912" s="907"/>
      <c r="K912" s="907"/>
      <c r="L912" s="907"/>
      <c r="M912" s="907"/>
      <c r="N912" s="907"/>
      <c r="O912" s="907"/>
      <c r="P912" s="907"/>
      <c r="Q912" s="907"/>
      <c r="R912" s="907"/>
      <c r="S912" s="907"/>
      <c r="T912" s="907"/>
      <c r="U912" s="907"/>
      <c r="V912" s="907"/>
      <c r="W912" s="907"/>
      <c r="X912" s="907"/>
      <c r="Y912" s="907"/>
      <c r="Z912" s="907"/>
      <c r="AA912" s="907"/>
      <c r="AB912" s="907"/>
      <c r="AC912" s="907"/>
      <c r="AD912" s="907"/>
      <c r="AE912" s="907"/>
      <c r="AF912" s="907"/>
      <c r="AG912" s="907"/>
      <c r="AH912" s="907"/>
      <c r="AI912" s="907"/>
      <c r="AJ912" s="907"/>
      <c r="AK912" s="907"/>
      <c r="AL912" s="907"/>
      <c r="AM912" s="907"/>
    </row>
    <row r="913" spans="1:39">
      <c r="A913" s="907"/>
      <c r="B913" s="907"/>
      <c r="C913" s="907"/>
      <c r="D913" s="907"/>
      <c r="E913" s="907"/>
      <c r="F913" s="907"/>
      <c r="G913" s="907"/>
      <c r="H913" s="907"/>
      <c r="I913" s="907"/>
      <c r="J913" s="907"/>
      <c r="K913" s="907"/>
      <c r="L913" s="907"/>
      <c r="M913" s="907"/>
      <c r="N913" s="907"/>
      <c r="O913" s="907"/>
      <c r="P913" s="907"/>
      <c r="Q913" s="907"/>
      <c r="R913" s="907"/>
      <c r="S913" s="907"/>
      <c r="T913" s="907"/>
      <c r="U913" s="907"/>
      <c r="V913" s="907"/>
      <c r="W913" s="907"/>
      <c r="X913" s="907"/>
      <c r="Y913" s="907"/>
      <c r="Z913" s="907"/>
      <c r="AA913" s="907"/>
      <c r="AB913" s="907"/>
      <c r="AC913" s="907"/>
      <c r="AD913" s="907"/>
      <c r="AE913" s="907"/>
      <c r="AF913" s="907"/>
      <c r="AG913" s="907"/>
      <c r="AH913" s="907"/>
      <c r="AI913" s="907"/>
      <c r="AJ913" s="907"/>
      <c r="AK913" s="907"/>
      <c r="AL913" s="907"/>
      <c r="AM913" s="907"/>
    </row>
    <row r="914" spans="1:39">
      <c r="A914" s="907"/>
      <c r="B914" s="907"/>
      <c r="C914" s="907"/>
      <c r="D914" s="907"/>
      <c r="E914" s="907"/>
      <c r="F914" s="907"/>
      <c r="G914" s="907"/>
      <c r="H914" s="907"/>
      <c r="I914" s="907"/>
      <c r="J914" s="907"/>
      <c r="K914" s="907"/>
      <c r="L914" s="907"/>
      <c r="M914" s="907"/>
      <c r="N914" s="907"/>
      <c r="O914" s="907"/>
      <c r="P914" s="907"/>
      <c r="Q914" s="907"/>
      <c r="R914" s="907"/>
      <c r="S914" s="907"/>
      <c r="T914" s="907"/>
      <c r="U914" s="907"/>
      <c r="V914" s="907"/>
      <c r="W914" s="907"/>
      <c r="X914" s="907"/>
      <c r="Y914" s="907"/>
      <c r="Z914" s="907"/>
      <c r="AA914" s="907"/>
      <c r="AB914" s="907"/>
      <c r="AC914" s="907"/>
      <c r="AD914" s="907"/>
      <c r="AE914" s="907"/>
      <c r="AF914" s="907"/>
      <c r="AG914" s="907"/>
      <c r="AH914" s="907"/>
      <c r="AI914" s="907"/>
      <c r="AJ914" s="907"/>
      <c r="AK914" s="907"/>
      <c r="AL914" s="907"/>
      <c r="AM914" s="907"/>
    </row>
    <row r="915" spans="1:39">
      <c r="A915" s="907"/>
      <c r="B915" s="907"/>
      <c r="C915" s="907"/>
      <c r="D915" s="907"/>
      <c r="E915" s="907"/>
      <c r="F915" s="907"/>
      <c r="G915" s="907"/>
      <c r="H915" s="907"/>
      <c r="I915" s="907"/>
      <c r="J915" s="907"/>
      <c r="K915" s="907"/>
      <c r="L915" s="907"/>
      <c r="M915" s="907"/>
      <c r="N915" s="907"/>
      <c r="O915" s="907"/>
      <c r="P915" s="907"/>
      <c r="Q915" s="907"/>
      <c r="R915" s="907"/>
      <c r="S915" s="907"/>
      <c r="T915" s="907"/>
      <c r="U915" s="907"/>
      <c r="V915" s="907"/>
      <c r="W915" s="907"/>
      <c r="X915" s="907"/>
      <c r="Y915" s="907"/>
      <c r="Z915" s="907"/>
      <c r="AA915" s="907"/>
      <c r="AB915" s="907"/>
      <c r="AC915" s="907"/>
      <c r="AD915" s="907"/>
      <c r="AE915" s="907"/>
      <c r="AF915" s="907"/>
      <c r="AG915" s="907"/>
      <c r="AH915" s="907"/>
      <c r="AI915" s="907"/>
      <c r="AJ915" s="907"/>
      <c r="AK915" s="907"/>
      <c r="AL915" s="907"/>
      <c r="AM915" s="907"/>
    </row>
    <row r="916" spans="1:39">
      <c r="A916" s="907"/>
      <c r="B916" s="907"/>
      <c r="C916" s="907"/>
      <c r="D916" s="907"/>
      <c r="E916" s="907"/>
      <c r="F916" s="907"/>
      <c r="G916" s="907"/>
      <c r="H916" s="907"/>
      <c r="I916" s="907"/>
      <c r="J916" s="907"/>
      <c r="K916" s="907"/>
      <c r="L916" s="907"/>
      <c r="M916" s="907"/>
      <c r="N916" s="907"/>
      <c r="O916" s="907"/>
      <c r="P916" s="907"/>
      <c r="Q916" s="907"/>
      <c r="R916" s="907"/>
      <c r="S916" s="907"/>
      <c r="T916" s="907"/>
      <c r="U916" s="907"/>
      <c r="V916" s="907"/>
      <c r="W916" s="907"/>
      <c r="X916" s="907"/>
      <c r="Y916" s="907"/>
      <c r="Z916" s="907"/>
      <c r="AA916" s="907"/>
      <c r="AB916" s="907"/>
      <c r="AC916" s="907"/>
      <c r="AD916" s="907"/>
      <c r="AE916" s="907"/>
      <c r="AF916" s="907"/>
      <c r="AG916" s="907"/>
      <c r="AH916" s="907"/>
      <c r="AI916" s="907"/>
      <c r="AJ916" s="907"/>
      <c r="AK916" s="907"/>
      <c r="AL916" s="907"/>
      <c r="AM916" s="907"/>
    </row>
    <row r="917" spans="1:39">
      <c r="A917" s="907"/>
      <c r="B917" s="907"/>
      <c r="C917" s="907"/>
      <c r="D917" s="907"/>
      <c r="E917" s="907"/>
      <c r="F917" s="907"/>
      <c r="G917" s="907"/>
      <c r="H917" s="907"/>
      <c r="I917" s="907"/>
      <c r="J917" s="907"/>
      <c r="K917" s="907"/>
      <c r="L917" s="907"/>
      <c r="M917" s="907"/>
      <c r="N917" s="907"/>
      <c r="O917" s="907"/>
      <c r="P917" s="907"/>
      <c r="Q917" s="907"/>
      <c r="R917" s="907"/>
      <c r="S917" s="907"/>
      <c r="T917" s="907"/>
      <c r="U917" s="907"/>
      <c r="V917" s="907"/>
      <c r="W917" s="907"/>
      <c r="X917" s="907"/>
      <c r="Y917" s="907"/>
      <c r="Z917" s="907"/>
      <c r="AA917" s="907"/>
      <c r="AB917" s="907"/>
      <c r="AC917" s="907"/>
      <c r="AD917" s="907"/>
      <c r="AE917" s="907"/>
      <c r="AF917" s="907"/>
      <c r="AG917" s="907"/>
      <c r="AH917" s="907"/>
      <c r="AI917" s="907"/>
      <c r="AJ917" s="907"/>
      <c r="AK917" s="907"/>
      <c r="AL917" s="907"/>
      <c r="AM917" s="907"/>
    </row>
    <row r="918" spans="1:39">
      <c r="A918" s="907"/>
      <c r="B918" s="907"/>
      <c r="C918" s="907"/>
      <c r="D918" s="907"/>
      <c r="E918" s="907"/>
      <c r="F918" s="907"/>
      <c r="G918" s="907"/>
      <c r="H918" s="907"/>
      <c r="I918" s="907"/>
      <c r="J918" s="907"/>
      <c r="K918" s="907"/>
      <c r="L918" s="907"/>
      <c r="M918" s="907"/>
      <c r="N918" s="907"/>
      <c r="O918" s="907"/>
      <c r="P918" s="907"/>
      <c r="Q918" s="907"/>
      <c r="R918" s="907"/>
      <c r="S918" s="907"/>
      <c r="T918" s="907"/>
      <c r="U918" s="907"/>
      <c r="V918" s="907"/>
      <c r="W918" s="907"/>
      <c r="X918" s="907"/>
      <c r="Y918" s="907"/>
      <c r="Z918" s="907"/>
      <c r="AA918" s="907"/>
      <c r="AB918" s="907"/>
      <c r="AC918" s="907"/>
      <c r="AD918" s="907"/>
      <c r="AE918" s="907"/>
      <c r="AF918" s="907"/>
      <c r="AG918" s="907"/>
      <c r="AH918" s="907"/>
      <c r="AI918" s="907"/>
      <c r="AJ918" s="907"/>
      <c r="AK918" s="907"/>
      <c r="AL918" s="907"/>
      <c r="AM918" s="907"/>
    </row>
    <row r="919" spans="1:39">
      <c r="A919" s="907"/>
      <c r="B919" s="907"/>
      <c r="C919" s="907"/>
      <c r="D919" s="907"/>
      <c r="E919" s="907"/>
      <c r="F919" s="907"/>
      <c r="G919" s="907"/>
      <c r="H919" s="907"/>
      <c r="I919" s="907"/>
      <c r="J919" s="907"/>
      <c r="K919" s="907"/>
      <c r="L919" s="907"/>
      <c r="M919" s="907"/>
      <c r="N919" s="907"/>
      <c r="O919" s="907"/>
      <c r="P919" s="907"/>
      <c r="Q919" s="907"/>
      <c r="R919" s="907"/>
      <c r="S919" s="907"/>
      <c r="T919" s="907"/>
      <c r="U919" s="907"/>
      <c r="V919" s="907"/>
      <c r="W919" s="907"/>
      <c r="X919" s="907"/>
      <c r="Y919" s="907"/>
      <c r="Z919" s="907"/>
      <c r="AA919" s="907"/>
      <c r="AB919" s="907"/>
      <c r="AC919" s="907"/>
      <c r="AD919" s="907"/>
      <c r="AE919" s="907"/>
      <c r="AF919" s="907"/>
      <c r="AG919" s="907"/>
      <c r="AH919" s="907"/>
      <c r="AI919" s="907"/>
      <c r="AJ919" s="907"/>
      <c r="AK919" s="907"/>
      <c r="AL919" s="907"/>
      <c r="AM919" s="907"/>
    </row>
    <row r="920" spans="1:39">
      <c r="A920" s="907"/>
      <c r="B920" s="907"/>
      <c r="C920" s="907"/>
      <c r="D920" s="907"/>
      <c r="E920" s="907"/>
      <c r="F920" s="907"/>
      <c r="G920" s="907"/>
      <c r="H920" s="907"/>
      <c r="I920" s="907"/>
      <c r="J920" s="907"/>
      <c r="K920" s="907"/>
      <c r="L920" s="907"/>
      <c r="M920" s="907"/>
      <c r="N920" s="907"/>
      <c r="O920" s="907"/>
      <c r="P920" s="907"/>
      <c r="Q920" s="907"/>
      <c r="R920" s="907"/>
      <c r="S920" s="907"/>
      <c r="T920" s="907"/>
      <c r="U920" s="907"/>
      <c r="V920" s="907"/>
      <c r="W920" s="907"/>
      <c r="X920" s="907"/>
      <c r="Y920" s="907"/>
      <c r="Z920" s="907"/>
      <c r="AA920" s="907"/>
      <c r="AB920" s="907"/>
      <c r="AC920" s="907"/>
      <c r="AD920" s="907"/>
      <c r="AE920" s="907"/>
      <c r="AF920" s="907"/>
      <c r="AG920" s="907"/>
      <c r="AH920" s="907"/>
      <c r="AI920" s="907"/>
      <c r="AJ920" s="907"/>
      <c r="AK920" s="907"/>
      <c r="AL920" s="907"/>
      <c r="AM920" s="907"/>
    </row>
    <row r="921" spans="1:39">
      <c r="A921" s="907"/>
      <c r="B921" s="907"/>
      <c r="C921" s="907"/>
      <c r="D921" s="907"/>
      <c r="E921" s="907"/>
      <c r="F921" s="907"/>
      <c r="G921" s="907"/>
      <c r="H921" s="907"/>
      <c r="I921" s="907"/>
      <c r="J921" s="907"/>
      <c r="K921" s="907"/>
      <c r="L921" s="907"/>
      <c r="M921" s="907"/>
      <c r="N921" s="907"/>
      <c r="O921" s="907"/>
      <c r="P921" s="907"/>
      <c r="Q921" s="907"/>
      <c r="R921" s="907"/>
      <c r="S921" s="907"/>
      <c r="T921" s="907"/>
      <c r="U921" s="907"/>
      <c r="V921" s="907"/>
      <c r="W921" s="907"/>
      <c r="X921" s="907"/>
      <c r="Y921" s="907"/>
      <c r="Z921" s="907"/>
      <c r="AA921" s="907"/>
      <c r="AB921" s="907"/>
      <c r="AC921" s="907"/>
      <c r="AD921" s="907"/>
      <c r="AE921" s="907"/>
      <c r="AF921" s="907"/>
      <c r="AG921" s="907"/>
      <c r="AH921" s="907"/>
      <c r="AI921" s="907"/>
      <c r="AJ921" s="907"/>
      <c r="AK921" s="907"/>
      <c r="AL921" s="907"/>
      <c r="AM921" s="907"/>
    </row>
    <row r="922" spans="1:39">
      <c r="A922" s="907"/>
      <c r="B922" s="907"/>
      <c r="C922" s="907"/>
      <c r="D922" s="907"/>
      <c r="E922" s="907"/>
      <c r="F922" s="907"/>
      <c r="G922" s="907"/>
      <c r="H922" s="907"/>
      <c r="I922" s="907"/>
      <c r="J922" s="907"/>
      <c r="K922" s="907"/>
      <c r="L922" s="907"/>
      <c r="M922" s="907"/>
      <c r="N922" s="907"/>
      <c r="O922" s="907"/>
      <c r="P922" s="907"/>
      <c r="Q922" s="907"/>
      <c r="R922" s="907"/>
      <c r="S922" s="907"/>
      <c r="T922" s="907"/>
      <c r="U922" s="907"/>
      <c r="V922" s="907"/>
      <c r="W922" s="907"/>
      <c r="X922" s="907"/>
      <c r="Y922" s="907"/>
      <c r="Z922" s="907"/>
      <c r="AA922" s="907"/>
      <c r="AB922" s="907"/>
      <c r="AC922" s="907"/>
      <c r="AD922" s="907"/>
      <c r="AE922" s="907"/>
      <c r="AF922" s="907"/>
      <c r="AG922" s="907"/>
      <c r="AH922" s="907"/>
      <c r="AI922" s="907"/>
      <c r="AJ922" s="907"/>
      <c r="AK922" s="907"/>
      <c r="AL922" s="907"/>
      <c r="AM922" s="907"/>
    </row>
    <row r="923" spans="1:39">
      <c r="A923" s="907"/>
      <c r="B923" s="907"/>
      <c r="C923" s="907"/>
      <c r="D923" s="907"/>
      <c r="E923" s="907"/>
      <c r="F923" s="907"/>
      <c r="G923" s="907"/>
      <c r="H923" s="907"/>
      <c r="I923" s="907"/>
      <c r="J923" s="907"/>
      <c r="K923" s="907"/>
      <c r="L923" s="907"/>
      <c r="M923" s="907"/>
      <c r="N923" s="907"/>
      <c r="O923" s="907"/>
      <c r="P923" s="907"/>
      <c r="Q923" s="907"/>
      <c r="R923" s="907"/>
      <c r="S923" s="907"/>
      <c r="T923" s="907"/>
      <c r="U923" s="907"/>
      <c r="V923" s="907"/>
      <c r="W923" s="907"/>
      <c r="X923" s="907"/>
      <c r="Y923" s="907"/>
      <c r="Z923" s="907"/>
      <c r="AA923" s="907"/>
      <c r="AB923" s="907"/>
      <c r="AC923" s="907"/>
      <c r="AD923" s="907"/>
      <c r="AE923" s="907"/>
      <c r="AF923" s="907"/>
      <c r="AG923" s="907"/>
      <c r="AH923" s="907"/>
      <c r="AI923" s="907"/>
      <c r="AJ923" s="907"/>
      <c r="AK923" s="907"/>
      <c r="AL923" s="907"/>
      <c r="AM923" s="907"/>
    </row>
    <row r="924" spans="1:39">
      <c r="A924" s="907"/>
      <c r="B924" s="907"/>
      <c r="C924" s="907"/>
      <c r="D924" s="907"/>
      <c r="E924" s="907"/>
      <c r="F924" s="907"/>
      <c r="G924" s="907"/>
      <c r="H924" s="907"/>
      <c r="I924" s="907"/>
      <c r="J924" s="907"/>
      <c r="K924" s="907"/>
      <c r="L924" s="907"/>
      <c r="M924" s="907"/>
      <c r="N924" s="907"/>
      <c r="O924" s="907"/>
      <c r="P924" s="907"/>
      <c r="Q924" s="907"/>
      <c r="R924" s="907"/>
      <c r="S924" s="907"/>
      <c r="T924" s="907"/>
      <c r="U924" s="907"/>
      <c r="V924" s="907"/>
      <c r="W924" s="907"/>
      <c r="X924" s="907"/>
      <c r="Y924" s="907"/>
      <c r="Z924" s="907"/>
      <c r="AA924" s="907"/>
      <c r="AB924" s="907"/>
      <c r="AC924" s="907"/>
      <c r="AD924" s="907"/>
      <c r="AE924" s="907"/>
      <c r="AF924" s="907"/>
      <c r="AG924" s="907"/>
      <c r="AH924" s="907"/>
      <c r="AI924" s="907"/>
      <c r="AJ924" s="907"/>
      <c r="AK924" s="907"/>
      <c r="AL924" s="907"/>
      <c r="AM924" s="907"/>
    </row>
    <row r="925" spans="1:39">
      <c r="A925" s="907"/>
      <c r="B925" s="907"/>
      <c r="C925" s="907"/>
      <c r="D925" s="907"/>
      <c r="E925" s="907"/>
      <c r="F925" s="907"/>
      <c r="G925" s="907"/>
      <c r="H925" s="907"/>
      <c r="I925" s="907"/>
      <c r="J925" s="907"/>
      <c r="K925" s="907"/>
      <c r="L925" s="907"/>
      <c r="M925" s="907"/>
      <c r="N925" s="907"/>
      <c r="O925" s="907"/>
      <c r="P925" s="907"/>
      <c r="Q925" s="907"/>
      <c r="R925" s="907"/>
      <c r="S925" s="907"/>
      <c r="T925" s="907"/>
      <c r="U925" s="907"/>
      <c r="V925" s="907"/>
      <c r="W925" s="907"/>
      <c r="X925" s="907"/>
      <c r="Y925" s="907"/>
      <c r="Z925" s="907"/>
      <c r="AA925" s="907"/>
      <c r="AB925" s="907"/>
      <c r="AC925" s="907"/>
      <c r="AD925" s="907"/>
      <c r="AE925" s="907"/>
      <c r="AF925" s="907"/>
      <c r="AG925" s="907"/>
      <c r="AH925" s="907"/>
      <c r="AI925" s="907"/>
      <c r="AJ925" s="907"/>
      <c r="AK925" s="907"/>
      <c r="AL925" s="907"/>
      <c r="AM925" s="907"/>
    </row>
    <row r="926" spans="1:39">
      <c r="A926" s="907"/>
      <c r="B926" s="907"/>
      <c r="C926" s="907"/>
      <c r="D926" s="907"/>
      <c r="E926" s="907"/>
      <c r="F926" s="907"/>
      <c r="G926" s="907"/>
      <c r="H926" s="907"/>
      <c r="I926" s="907"/>
      <c r="J926" s="907"/>
      <c r="K926" s="907"/>
      <c r="L926" s="907"/>
      <c r="M926" s="907"/>
      <c r="N926" s="907"/>
      <c r="O926" s="907"/>
      <c r="P926" s="907"/>
      <c r="Q926" s="907"/>
      <c r="R926" s="907"/>
      <c r="S926" s="907"/>
      <c r="T926" s="907"/>
      <c r="U926" s="907"/>
      <c r="V926" s="907"/>
      <c r="W926" s="907"/>
      <c r="X926" s="907"/>
      <c r="Y926" s="907"/>
      <c r="Z926" s="907"/>
      <c r="AA926" s="907"/>
      <c r="AB926" s="907"/>
      <c r="AC926" s="907"/>
      <c r="AD926" s="907"/>
      <c r="AE926" s="907"/>
      <c r="AF926" s="907"/>
      <c r="AG926" s="907"/>
      <c r="AH926" s="907"/>
      <c r="AI926" s="907"/>
      <c r="AJ926" s="907"/>
      <c r="AK926" s="907"/>
      <c r="AL926" s="907"/>
      <c r="AM926" s="907"/>
    </row>
    <row r="927" spans="1:39">
      <c r="A927" s="907"/>
      <c r="B927" s="907"/>
      <c r="C927" s="907"/>
      <c r="D927" s="907"/>
      <c r="E927" s="907"/>
      <c r="F927" s="907"/>
      <c r="G927" s="907"/>
      <c r="H927" s="907"/>
      <c r="I927" s="907"/>
      <c r="J927" s="907"/>
      <c r="K927" s="907"/>
      <c r="L927" s="907"/>
      <c r="M927" s="907"/>
      <c r="N927" s="907"/>
      <c r="O927" s="907"/>
      <c r="P927" s="907"/>
      <c r="Q927" s="907"/>
      <c r="R927" s="907"/>
      <c r="S927" s="907"/>
      <c r="T927" s="907"/>
      <c r="U927" s="907"/>
      <c r="V927" s="907"/>
      <c r="W927" s="907"/>
      <c r="X927" s="907"/>
      <c r="Y927" s="907"/>
      <c r="Z927" s="907"/>
      <c r="AA927" s="907"/>
      <c r="AB927" s="907"/>
      <c r="AC927" s="907"/>
      <c r="AD927" s="907"/>
      <c r="AE927" s="907"/>
      <c r="AF927" s="907"/>
      <c r="AG927" s="907"/>
      <c r="AH927" s="907"/>
      <c r="AI927" s="907"/>
      <c r="AJ927" s="907"/>
      <c r="AK927" s="907"/>
      <c r="AL927" s="907"/>
      <c r="AM927" s="907"/>
    </row>
    <row r="928" spans="1:39">
      <c r="A928" s="907"/>
      <c r="B928" s="907"/>
      <c r="C928" s="907"/>
      <c r="D928" s="907"/>
      <c r="E928" s="907"/>
      <c r="F928" s="907"/>
      <c r="G928" s="907"/>
      <c r="H928" s="907"/>
      <c r="I928" s="907"/>
      <c r="J928" s="907"/>
      <c r="K928" s="907"/>
      <c r="L928" s="907"/>
      <c r="M928" s="907"/>
      <c r="N928" s="907"/>
      <c r="O928" s="907"/>
      <c r="P928" s="907"/>
      <c r="Q928" s="907"/>
      <c r="R928" s="907"/>
      <c r="S928" s="907"/>
      <c r="T928" s="907"/>
      <c r="U928" s="907"/>
      <c r="V928" s="907"/>
      <c r="W928" s="907"/>
      <c r="X928" s="907"/>
      <c r="Y928" s="907"/>
      <c r="Z928" s="907"/>
      <c r="AA928" s="907"/>
      <c r="AB928" s="907"/>
      <c r="AC928" s="907"/>
      <c r="AD928" s="907"/>
      <c r="AE928" s="907"/>
      <c r="AF928" s="907"/>
      <c r="AG928" s="907"/>
      <c r="AH928" s="907"/>
      <c r="AI928" s="907"/>
      <c r="AJ928" s="907"/>
      <c r="AK928" s="907"/>
      <c r="AL928" s="907"/>
      <c r="AM928" s="907"/>
    </row>
    <row r="929" spans="1:39">
      <c r="A929" s="907"/>
      <c r="B929" s="907"/>
      <c r="C929" s="907"/>
      <c r="D929" s="907"/>
      <c r="E929" s="907"/>
      <c r="F929" s="907"/>
      <c r="G929" s="907"/>
      <c r="H929" s="907"/>
      <c r="I929" s="907"/>
      <c r="J929" s="907"/>
      <c r="K929" s="907"/>
      <c r="L929" s="907"/>
      <c r="M929" s="907"/>
      <c r="N929" s="907"/>
      <c r="O929" s="907"/>
      <c r="P929" s="907"/>
      <c r="Q929" s="907"/>
      <c r="R929" s="907"/>
      <c r="S929" s="907"/>
      <c r="T929" s="907"/>
      <c r="U929" s="907"/>
      <c r="V929" s="907"/>
      <c r="W929" s="907"/>
      <c r="X929" s="907"/>
      <c r="Y929" s="907"/>
      <c r="Z929" s="907"/>
      <c r="AA929" s="907"/>
      <c r="AB929" s="907"/>
      <c r="AC929" s="907"/>
      <c r="AD929" s="907"/>
      <c r="AE929" s="907"/>
      <c r="AF929" s="907"/>
      <c r="AG929" s="907"/>
      <c r="AH929" s="907"/>
      <c r="AI929" s="907"/>
      <c r="AJ929" s="907"/>
      <c r="AK929" s="907"/>
      <c r="AL929" s="907"/>
      <c r="AM929" s="907"/>
    </row>
    <row r="930" spans="1:39">
      <c r="A930" s="907"/>
      <c r="B930" s="907"/>
      <c r="C930" s="907"/>
      <c r="D930" s="907"/>
      <c r="E930" s="907"/>
      <c r="F930" s="907"/>
      <c r="G930" s="907"/>
      <c r="H930" s="907"/>
      <c r="I930" s="907"/>
      <c r="J930" s="907"/>
      <c r="K930" s="907"/>
      <c r="L930" s="907"/>
      <c r="M930" s="907"/>
      <c r="N930" s="907"/>
      <c r="O930" s="907"/>
      <c r="P930" s="907"/>
      <c r="Q930" s="907"/>
      <c r="R930" s="907"/>
      <c r="S930" s="907"/>
      <c r="T930" s="907"/>
      <c r="U930" s="907"/>
      <c r="V930" s="907"/>
      <c r="W930" s="907"/>
      <c r="X930" s="907"/>
      <c r="Y930" s="907"/>
      <c r="Z930" s="907"/>
      <c r="AA930" s="907"/>
      <c r="AB930" s="907"/>
      <c r="AC930" s="907"/>
      <c r="AD930" s="907"/>
      <c r="AE930" s="907"/>
      <c r="AF930" s="907"/>
      <c r="AG930" s="907"/>
      <c r="AH930" s="907"/>
      <c r="AI930" s="907"/>
      <c r="AJ930" s="907"/>
      <c r="AK930" s="907"/>
      <c r="AL930" s="907"/>
      <c r="AM930" s="907"/>
    </row>
    <row r="931" spans="1:39">
      <c r="A931" s="907"/>
      <c r="B931" s="907"/>
      <c r="C931" s="907"/>
      <c r="D931" s="907"/>
      <c r="E931" s="907"/>
      <c r="F931" s="907"/>
      <c r="G931" s="907"/>
      <c r="H931" s="907"/>
      <c r="I931" s="907"/>
      <c r="J931" s="907"/>
      <c r="K931" s="907"/>
      <c r="L931" s="907"/>
      <c r="M931" s="907"/>
      <c r="N931" s="907"/>
      <c r="O931" s="907"/>
      <c r="P931" s="907"/>
      <c r="Q931" s="907"/>
      <c r="R931" s="907"/>
      <c r="S931" s="907"/>
      <c r="T931" s="907"/>
      <c r="U931" s="907"/>
      <c r="V931" s="907"/>
      <c r="W931" s="907"/>
      <c r="X931" s="907"/>
      <c r="Y931" s="907"/>
      <c r="Z931" s="907"/>
      <c r="AA931" s="907"/>
      <c r="AB931" s="907"/>
      <c r="AC931" s="907"/>
      <c r="AD931" s="907"/>
      <c r="AE931" s="907"/>
      <c r="AF931" s="907"/>
      <c r="AG931" s="907"/>
      <c r="AH931" s="907"/>
      <c r="AI931" s="907"/>
      <c r="AJ931" s="907"/>
      <c r="AK931" s="907"/>
      <c r="AL931" s="907"/>
      <c r="AM931" s="907"/>
    </row>
    <row r="932" spans="1:39">
      <c r="A932" s="907"/>
      <c r="B932" s="907"/>
      <c r="C932" s="907"/>
      <c r="D932" s="907"/>
      <c r="E932" s="907"/>
      <c r="F932" s="907"/>
      <c r="G932" s="907"/>
      <c r="H932" s="907"/>
      <c r="I932" s="907"/>
      <c r="J932" s="907"/>
      <c r="K932" s="907"/>
      <c r="L932" s="907"/>
      <c r="M932" s="907"/>
      <c r="N932" s="907"/>
      <c r="O932" s="907"/>
      <c r="P932" s="907"/>
      <c r="Q932" s="907"/>
      <c r="R932" s="907"/>
      <c r="S932" s="907"/>
      <c r="T932" s="907"/>
      <c r="U932" s="907"/>
      <c r="V932" s="907"/>
      <c r="W932" s="907"/>
      <c r="X932" s="907"/>
      <c r="Y932" s="907"/>
      <c r="Z932" s="907"/>
      <c r="AA932" s="907"/>
      <c r="AB932" s="907"/>
      <c r="AC932" s="907"/>
      <c r="AD932" s="907"/>
      <c r="AE932" s="907"/>
      <c r="AF932" s="907"/>
      <c r="AG932" s="907"/>
      <c r="AH932" s="907"/>
      <c r="AI932" s="907"/>
      <c r="AJ932" s="907"/>
      <c r="AK932" s="907"/>
      <c r="AL932" s="907"/>
      <c r="AM932" s="907"/>
    </row>
    <row r="933" spans="1:39">
      <c r="A933" s="907"/>
      <c r="B933" s="907"/>
      <c r="C933" s="907"/>
      <c r="D933" s="907"/>
      <c r="E933" s="907"/>
      <c r="F933" s="907"/>
      <c r="G933" s="907"/>
      <c r="H933" s="907"/>
      <c r="I933" s="907"/>
      <c r="J933" s="907"/>
      <c r="K933" s="907"/>
      <c r="L933" s="907"/>
      <c r="M933" s="907"/>
      <c r="N933" s="907"/>
      <c r="O933" s="907"/>
      <c r="P933" s="907"/>
      <c r="Q933" s="907"/>
      <c r="R933" s="907"/>
      <c r="S933" s="907"/>
      <c r="T933" s="907"/>
      <c r="U933" s="907"/>
      <c r="V933" s="907"/>
      <c r="W933" s="907"/>
      <c r="X933" s="907"/>
      <c r="Y933" s="907"/>
      <c r="Z933" s="907"/>
      <c r="AA933" s="907"/>
      <c r="AB933" s="907"/>
      <c r="AC933" s="907"/>
      <c r="AD933" s="907"/>
      <c r="AE933" s="907"/>
      <c r="AF933" s="907"/>
      <c r="AG933" s="907"/>
      <c r="AH933" s="907"/>
      <c r="AI933" s="907"/>
      <c r="AJ933" s="907"/>
      <c r="AK933" s="907"/>
      <c r="AL933" s="907"/>
      <c r="AM933" s="907"/>
    </row>
    <row r="934" spans="1:39">
      <c r="A934" s="907"/>
      <c r="B934" s="907"/>
      <c r="C934" s="907"/>
      <c r="D934" s="907"/>
      <c r="E934" s="907"/>
      <c r="F934" s="907"/>
      <c r="G934" s="907"/>
      <c r="H934" s="907"/>
      <c r="I934" s="907"/>
      <c r="J934" s="907"/>
      <c r="K934" s="907"/>
      <c r="L934" s="907"/>
      <c r="M934" s="907"/>
      <c r="N934" s="907"/>
      <c r="O934" s="907"/>
      <c r="P934" s="907"/>
      <c r="Q934" s="907"/>
      <c r="R934" s="907"/>
      <c r="S934" s="907"/>
      <c r="T934" s="907"/>
      <c r="U934" s="907"/>
      <c r="V934" s="907"/>
      <c r="W934" s="907"/>
      <c r="X934" s="907"/>
      <c r="Y934" s="907"/>
      <c r="Z934" s="907"/>
      <c r="AA934" s="907"/>
      <c r="AB934" s="907"/>
      <c r="AC934" s="907"/>
      <c r="AD934" s="907"/>
      <c r="AE934" s="907"/>
      <c r="AF934" s="907"/>
      <c r="AG934" s="907"/>
      <c r="AH934" s="907"/>
      <c r="AI934" s="907"/>
      <c r="AJ934" s="907"/>
      <c r="AK934" s="907"/>
      <c r="AL934" s="907"/>
      <c r="AM934" s="907"/>
    </row>
    <row r="935" spans="1:39">
      <c r="A935" s="907"/>
      <c r="B935" s="907"/>
      <c r="C935" s="907"/>
      <c r="D935" s="907"/>
      <c r="E935" s="907"/>
      <c r="F935" s="907"/>
      <c r="G935" s="907"/>
      <c r="H935" s="907"/>
      <c r="I935" s="907"/>
      <c r="J935" s="907"/>
      <c r="K935" s="907"/>
      <c r="L935" s="907"/>
      <c r="M935" s="907"/>
      <c r="N935" s="907"/>
      <c r="O935" s="907"/>
      <c r="P935" s="907"/>
      <c r="Q935" s="907"/>
      <c r="R935" s="907"/>
      <c r="S935" s="907"/>
      <c r="T935" s="907"/>
      <c r="U935" s="907"/>
      <c r="V935" s="907"/>
      <c r="W935" s="907"/>
      <c r="X935" s="907"/>
      <c r="Y935" s="907"/>
      <c r="Z935" s="907"/>
      <c r="AA935" s="907"/>
      <c r="AB935" s="907"/>
      <c r="AC935" s="907"/>
      <c r="AD935" s="907"/>
      <c r="AE935" s="907"/>
      <c r="AF935" s="907"/>
      <c r="AG935" s="907"/>
      <c r="AH935" s="907"/>
      <c r="AI935" s="907"/>
      <c r="AJ935" s="907"/>
      <c r="AK935" s="907"/>
      <c r="AL935" s="907"/>
      <c r="AM935" s="907"/>
    </row>
    <row r="936" spans="1:39">
      <c r="A936" s="907"/>
      <c r="B936" s="907"/>
      <c r="C936" s="907"/>
      <c r="D936" s="907"/>
      <c r="E936" s="907"/>
      <c r="F936" s="907"/>
      <c r="G936" s="907"/>
      <c r="H936" s="907"/>
      <c r="I936" s="907"/>
      <c r="J936" s="907"/>
      <c r="K936" s="907"/>
      <c r="L936" s="907"/>
      <c r="M936" s="907"/>
      <c r="N936" s="907"/>
      <c r="O936" s="907"/>
      <c r="P936" s="907"/>
      <c r="Q936" s="907"/>
      <c r="R936" s="907"/>
      <c r="S936" s="907"/>
      <c r="T936" s="907"/>
      <c r="U936" s="907"/>
      <c r="V936" s="907"/>
      <c r="W936" s="907"/>
      <c r="X936" s="907"/>
      <c r="Y936" s="907"/>
      <c r="Z936" s="907"/>
      <c r="AA936" s="907"/>
      <c r="AB936" s="907"/>
      <c r="AC936" s="907"/>
      <c r="AD936" s="907"/>
      <c r="AE936" s="907"/>
      <c r="AF936" s="907"/>
      <c r="AG936" s="907"/>
      <c r="AH936" s="907"/>
      <c r="AI936" s="907"/>
      <c r="AJ936" s="907"/>
      <c r="AK936" s="907"/>
      <c r="AL936" s="907"/>
      <c r="AM936" s="907"/>
    </row>
    <row r="937" spans="1:39">
      <c r="A937" s="907"/>
      <c r="B937" s="907"/>
      <c r="C937" s="907"/>
      <c r="D937" s="907"/>
      <c r="E937" s="907"/>
      <c r="F937" s="907"/>
      <c r="G937" s="907"/>
      <c r="H937" s="907"/>
      <c r="I937" s="907"/>
      <c r="J937" s="907"/>
      <c r="K937" s="907"/>
      <c r="L937" s="907"/>
      <c r="M937" s="907"/>
      <c r="N937" s="907"/>
      <c r="O937" s="907"/>
      <c r="P937" s="907"/>
      <c r="Q937" s="907"/>
      <c r="R937" s="907"/>
      <c r="S937" s="907"/>
      <c r="T937" s="907"/>
      <c r="U937" s="907"/>
      <c r="V937" s="907"/>
      <c r="W937" s="907"/>
      <c r="X937" s="907"/>
      <c r="Y937" s="907"/>
      <c r="Z937" s="907"/>
      <c r="AA937" s="907"/>
      <c r="AB937" s="907"/>
      <c r="AC937" s="907"/>
      <c r="AD937" s="907"/>
      <c r="AE937" s="907"/>
      <c r="AF937" s="907"/>
      <c r="AG937" s="907"/>
      <c r="AH937" s="907"/>
      <c r="AI937" s="907"/>
      <c r="AJ937" s="907"/>
      <c r="AK937" s="907"/>
      <c r="AL937" s="907"/>
      <c r="AM937" s="907"/>
    </row>
    <row r="938" spans="1:39">
      <c r="A938" s="907"/>
      <c r="B938" s="907"/>
      <c r="C938" s="907"/>
      <c r="D938" s="907"/>
      <c r="E938" s="907"/>
      <c r="F938" s="907"/>
      <c r="G938" s="907"/>
      <c r="H938" s="907"/>
      <c r="I938" s="907"/>
      <c r="J938" s="907"/>
      <c r="K938" s="907"/>
      <c r="L938" s="907"/>
      <c r="M938" s="907"/>
      <c r="N938" s="907"/>
      <c r="O938" s="907"/>
      <c r="P938" s="907"/>
      <c r="Q938" s="907"/>
      <c r="R938" s="907"/>
      <c r="S938" s="907"/>
      <c r="T938" s="907"/>
      <c r="U938" s="907"/>
      <c r="V938" s="907"/>
      <c r="W938" s="907"/>
      <c r="X938" s="907"/>
      <c r="Y938" s="907"/>
      <c r="Z938" s="907"/>
      <c r="AA938" s="907"/>
      <c r="AB938" s="907"/>
      <c r="AC938" s="907"/>
      <c r="AD938" s="907"/>
      <c r="AE938" s="907"/>
      <c r="AF938" s="907"/>
      <c r="AG938" s="907"/>
      <c r="AH938" s="907"/>
      <c r="AI938" s="907"/>
      <c r="AJ938" s="907"/>
      <c r="AK938" s="907"/>
      <c r="AL938" s="907"/>
      <c r="AM938" s="907"/>
    </row>
    <row r="939" spans="1:39">
      <c r="A939" s="907"/>
      <c r="B939" s="907"/>
      <c r="C939" s="907"/>
      <c r="D939" s="907"/>
      <c r="E939" s="907"/>
      <c r="F939" s="907"/>
      <c r="G939" s="907"/>
      <c r="H939" s="907"/>
      <c r="I939" s="907"/>
      <c r="J939" s="907"/>
      <c r="K939" s="907"/>
      <c r="L939" s="907"/>
      <c r="M939" s="907"/>
      <c r="N939" s="907"/>
      <c r="O939" s="907"/>
      <c r="P939" s="907"/>
      <c r="Q939" s="907"/>
      <c r="R939" s="907"/>
      <c r="S939" s="907"/>
      <c r="T939" s="907"/>
      <c r="U939" s="907"/>
      <c r="V939" s="907"/>
      <c r="W939" s="907"/>
      <c r="X939" s="907"/>
      <c r="Y939" s="907"/>
      <c r="Z939" s="907"/>
      <c r="AA939" s="907"/>
      <c r="AB939" s="907"/>
      <c r="AC939" s="907"/>
      <c r="AD939" s="907"/>
      <c r="AE939" s="907"/>
      <c r="AF939" s="907"/>
      <c r="AG939" s="907"/>
      <c r="AH939" s="907"/>
      <c r="AI939" s="907"/>
      <c r="AJ939" s="907"/>
      <c r="AK939" s="907"/>
      <c r="AL939" s="907"/>
      <c r="AM939" s="907"/>
    </row>
    <row r="940" spans="1:39">
      <c r="A940" s="907"/>
      <c r="B940" s="907"/>
      <c r="C940" s="907"/>
      <c r="D940" s="907"/>
      <c r="E940" s="907"/>
      <c r="F940" s="907"/>
      <c r="G940" s="907"/>
      <c r="H940" s="907"/>
      <c r="I940" s="907"/>
      <c r="J940" s="907"/>
      <c r="K940" s="907"/>
      <c r="L940" s="907"/>
      <c r="M940" s="907"/>
      <c r="N940" s="907"/>
      <c r="O940" s="907"/>
      <c r="P940" s="907"/>
      <c r="Q940" s="907"/>
      <c r="R940" s="907"/>
      <c r="S940" s="907"/>
      <c r="T940" s="907"/>
      <c r="U940" s="907"/>
      <c r="V940" s="907"/>
      <c r="W940" s="907"/>
      <c r="X940" s="907"/>
      <c r="Y940" s="907"/>
      <c r="Z940" s="907"/>
      <c r="AA940" s="907"/>
      <c r="AB940" s="907"/>
      <c r="AC940" s="907"/>
      <c r="AD940" s="907"/>
      <c r="AE940" s="907"/>
      <c r="AF940" s="907"/>
      <c r="AG940" s="907"/>
      <c r="AH940" s="907"/>
      <c r="AI940" s="907"/>
      <c r="AJ940" s="907"/>
      <c r="AK940" s="907"/>
      <c r="AL940" s="907"/>
      <c r="AM940" s="907"/>
    </row>
    <row r="941" spans="1:39">
      <c r="A941" s="907"/>
      <c r="B941" s="907"/>
      <c r="C941" s="907"/>
      <c r="D941" s="907"/>
      <c r="E941" s="907"/>
      <c r="F941" s="907"/>
      <c r="G941" s="907"/>
      <c r="H941" s="907"/>
      <c r="I941" s="907"/>
      <c r="J941" s="907"/>
      <c r="K941" s="907"/>
      <c r="L941" s="907"/>
      <c r="M941" s="907"/>
      <c r="N941" s="907"/>
      <c r="O941" s="907"/>
      <c r="P941" s="907"/>
      <c r="Q941" s="907"/>
      <c r="R941" s="907"/>
      <c r="S941" s="907"/>
      <c r="T941" s="907"/>
      <c r="U941" s="907"/>
      <c r="V941" s="907"/>
      <c r="W941" s="907"/>
      <c r="X941" s="907"/>
      <c r="Y941" s="907"/>
      <c r="Z941" s="907"/>
      <c r="AA941" s="907"/>
      <c r="AB941" s="907"/>
      <c r="AC941" s="907"/>
      <c r="AD941" s="907"/>
      <c r="AE941" s="907"/>
      <c r="AF941" s="907"/>
      <c r="AG941" s="907"/>
      <c r="AH941" s="907"/>
      <c r="AI941" s="907"/>
      <c r="AJ941" s="907"/>
      <c r="AK941" s="907"/>
      <c r="AL941" s="907"/>
      <c r="AM941" s="907"/>
    </row>
    <row r="942" spans="1:39">
      <c r="A942" s="907"/>
      <c r="B942" s="907"/>
      <c r="C942" s="907"/>
      <c r="D942" s="907"/>
      <c r="E942" s="907"/>
      <c r="F942" s="907"/>
      <c r="G942" s="907"/>
      <c r="H942" s="907"/>
      <c r="I942" s="907"/>
      <c r="J942" s="907"/>
      <c r="K942" s="907"/>
      <c r="L942" s="907"/>
      <c r="M942" s="907"/>
      <c r="N942" s="907"/>
      <c r="O942" s="907"/>
      <c r="P942" s="907"/>
      <c r="Q942" s="907"/>
      <c r="R942" s="907"/>
      <c r="S942" s="907"/>
      <c r="T942" s="907"/>
      <c r="U942" s="907"/>
      <c r="V942" s="907"/>
      <c r="W942" s="907"/>
      <c r="X942" s="907"/>
      <c r="Y942" s="907"/>
      <c r="Z942" s="907"/>
      <c r="AA942" s="907"/>
      <c r="AB942" s="907"/>
      <c r="AC942" s="907"/>
      <c r="AD942" s="907"/>
      <c r="AE942" s="907"/>
      <c r="AF942" s="907"/>
      <c r="AG942" s="907"/>
      <c r="AH942" s="907"/>
      <c r="AI942" s="907"/>
      <c r="AJ942" s="907"/>
      <c r="AK942" s="907"/>
      <c r="AL942" s="907"/>
      <c r="AM942" s="907"/>
    </row>
    <row r="943" spans="1:39">
      <c r="A943" s="907"/>
      <c r="B943" s="907"/>
      <c r="C943" s="907"/>
      <c r="D943" s="907"/>
      <c r="E943" s="907"/>
      <c r="F943" s="907"/>
      <c r="G943" s="907"/>
      <c r="H943" s="907"/>
      <c r="I943" s="907"/>
      <c r="J943" s="907"/>
      <c r="K943" s="907"/>
      <c r="L943" s="907"/>
      <c r="M943" s="907"/>
      <c r="N943" s="907"/>
      <c r="O943" s="907"/>
      <c r="P943" s="907"/>
      <c r="Q943" s="907"/>
      <c r="R943" s="907"/>
      <c r="S943" s="907"/>
      <c r="T943" s="907"/>
      <c r="U943" s="907"/>
      <c r="V943" s="907"/>
      <c r="W943" s="907"/>
      <c r="X943" s="907"/>
      <c r="Y943" s="907"/>
      <c r="Z943" s="907"/>
      <c r="AA943" s="907"/>
      <c r="AB943" s="907"/>
      <c r="AC943" s="907"/>
      <c r="AD943" s="907"/>
      <c r="AE943" s="907"/>
      <c r="AF943" s="907"/>
      <c r="AG943" s="907"/>
      <c r="AH943" s="907"/>
      <c r="AI943" s="907"/>
      <c r="AJ943" s="907"/>
      <c r="AK943" s="907"/>
      <c r="AL943" s="907"/>
      <c r="AM943" s="907"/>
    </row>
    <row r="944" spans="1:39">
      <c r="A944" s="907"/>
      <c r="B944" s="907"/>
      <c r="C944" s="907"/>
      <c r="D944" s="907"/>
      <c r="E944" s="907"/>
      <c r="F944" s="907"/>
      <c r="G944" s="907"/>
      <c r="H944" s="907"/>
      <c r="I944" s="907"/>
      <c r="J944" s="907"/>
      <c r="K944" s="907"/>
      <c r="L944" s="907"/>
      <c r="M944" s="907"/>
      <c r="N944" s="907"/>
      <c r="O944" s="907"/>
      <c r="P944" s="907"/>
      <c r="Q944" s="907"/>
      <c r="R944" s="907"/>
      <c r="S944" s="907"/>
      <c r="T944" s="907"/>
      <c r="U944" s="907"/>
      <c r="V944" s="907"/>
      <c r="W944" s="907"/>
      <c r="X944" s="907"/>
      <c r="Y944" s="907"/>
      <c r="Z944" s="907"/>
      <c r="AA944" s="907"/>
      <c r="AB944" s="907"/>
      <c r="AC944" s="907"/>
      <c r="AD944" s="907"/>
      <c r="AE944" s="907"/>
      <c r="AF944" s="907"/>
      <c r="AG944" s="907"/>
      <c r="AH944" s="907"/>
      <c r="AI944" s="907"/>
      <c r="AJ944" s="907"/>
      <c r="AK944" s="907"/>
      <c r="AL944" s="907"/>
      <c r="AM944" s="907"/>
    </row>
    <row r="945" spans="1:39">
      <c r="A945" s="907"/>
      <c r="B945" s="907"/>
      <c r="C945" s="907"/>
      <c r="D945" s="907"/>
      <c r="E945" s="907"/>
      <c r="F945" s="907"/>
      <c r="G945" s="907"/>
      <c r="H945" s="907"/>
      <c r="I945" s="907"/>
      <c r="J945" s="907"/>
      <c r="K945" s="907"/>
      <c r="L945" s="907"/>
      <c r="M945" s="907"/>
      <c r="N945" s="907"/>
      <c r="O945" s="907"/>
      <c r="P945" s="907"/>
      <c r="Q945" s="907"/>
      <c r="R945" s="907"/>
      <c r="S945" s="907"/>
      <c r="T945" s="907"/>
      <c r="U945" s="907"/>
      <c r="V945" s="907"/>
      <c r="W945" s="907"/>
      <c r="X945" s="907"/>
      <c r="Y945" s="907"/>
      <c r="Z945" s="907"/>
      <c r="AA945" s="907"/>
      <c r="AB945" s="907"/>
      <c r="AC945" s="907"/>
      <c r="AD945" s="907"/>
      <c r="AE945" s="907"/>
      <c r="AF945" s="907"/>
      <c r="AG945" s="907"/>
      <c r="AH945" s="907"/>
      <c r="AI945" s="907"/>
      <c r="AJ945" s="907"/>
      <c r="AK945" s="907"/>
      <c r="AL945" s="907"/>
      <c r="AM945" s="907"/>
    </row>
    <row r="946" spans="1:39">
      <c r="A946" s="907"/>
      <c r="B946" s="907"/>
      <c r="C946" s="907"/>
      <c r="D946" s="907"/>
      <c r="E946" s="907"/>
      <c r="F946" s="907"/>
      <c r="G946" s="907"/>
      <c r="H946" s="907"/>
      <c r="I946" s="907"/>
      <c r="J946" s="907"/>
      <c r="K946" s="907"/>
      <c r="L946" s="907"/>
      <c r="M946" s="907"/>
      <c r="N946" s="907"/>
      <c r="O946" s="907"/>
      <c r="P946" s="907"/>
      <c r="Q946" s="907"/>
      <c r="R946" s="907"/>
      <c r="S946" s="907"/>
      <c r="T946" s="907"/>
      <c r="U946" s="907"/>
      <c r="V946" s="907"/>
      <c r="W946" s="907"/>
      <c r="X946" s="907"/>
      <c r="Y946" s="907"/>
      <c r="Z946" s="907"/>
      <c r="AA946" s="907"/>
      <c r="AB946" s="907"/>
      <c r="AC946" s="907"/>
      <c r="AD946" s="907"/>
      <c r="AE946" s="907"/>
      <c r="AF946" s="907"/>
      <c r="AG946" s="907"/>
      <c r="AH946" s="907"/>
      <c r="AI946" s="907"/>
      <c r="AJ946" s="907"/>
      <c r="AK946" s="907"/>
      <c r="AL946" s="907"/>
      <c r="AM946" s="907"/>
    </row>
    <row r="947" spans="1:39">
      <c r="A947" s="907"/>
      <c r="B947" s="907"/>
      <c r="C947" s="907"/>
      <c r="D947" s="907"/>
      <c r="E947" s="907"/>
      <c r="F947" s="907"/>
      <c r="G947" s="907"/>
      <c r="H947" s="907"/>
      <c r="I947" s="907"/>
      <c r="J947" s="907"/>
      <c r="K947" s="907"/>
      <c r="L947" s="907"/>
      <c r="M947" s="907"/>
      <c r="N947" s="907"/>
      <c r="O947" s="907"/>
      <c r="P947" s="907"/>
      <c r="Q947" s="907"/>
      <c r="R947" s="907"/>
      <c r="S947" s="907"/>
      <c r="T947" s="907"/>
      <c r="U947" s="907"/>
      <c r="V947" s="907"/>
      <c r="W947" s="907"/>
      <c r="X947" s="907"/>
      <c r="Y947" s="907"/>
      <c r="Z947" s="907"/>
      <c r="AA947" s="907"/>
      <c r="AB947" s="907"/>
      <c r="AC947" s="907"/>
      <c r="AD947" s="907"/>
      <c r="AE947" s="907"/>
      <c r="AF947" s="907"/>
      <c r="AG947" s="907"/>
      <c r="AH947" s="907"/>
      <c r="AI947" s="907"/>
      <c r="AJ947" s="907"/>
      <c r="AK947" s="907"/>
      <c r="AL947" s="907"/>
      <c r="AM947" s="907"/>
    </row>
    <row r="948" spans="1:39">
      <c r="A948" s="907"/>
      <c r="B948" s="907"/>
      <c r="C948" s="907"/>
      <c r="D948" s="907"/>
      <c r="E948" s="907"/>
      <c r="F948" s="907"/>
      <c r="G948" s="907"/>
      <c r="H948" s="907"/>
      <c r="I948" s="907"/>
      <c r="J948" s="907"/>
      <c r="K948" s="907"/>
      <c r="L948" s="907"/>
      <c r="M948" s="907"/>
      <c r="N948" s="907"/>
      <c r="O948" s="907"/>
      <c r="P948" s="907"/>
      <c r="Q948" s="907"/>
      <c r="R948" s="907"/>
      <c r="S948" s="907"/>
      <c r="T948" s="907"/>
      <c r="U948" s="907"/>
      <c r="V948" s="907"/>
      <c r="W948" s="907"/>
      <c r="X948" s="907"/>
      <c r="Y948" s="907"/>
      <c r="Z948" s="907"/>
      <c r="AA948" s="907"/>
      <c r="AB948" s="907"/>
      <c r="AC948" s="907"/>
      <c r="AD948" s="907"/>
      <c r="AE948" s="907"/>
      <c r="AF948" s="907"/>
      <c r="AG948" s="907"/>
      <c r="AH948" s="907"/>
      <c r="AI948" s="907"/>
      <c r="AJ948" s="907"/>
      <c r="AK948" s="907"/>
      <c r="AL948" s="907"/>
      <c r="AM948" s="907"/>
    </row>
    <row r="949" spans="1:39">
      <c r="A949" s="907"/>
      <c r="B949" s="907"/>
      <c r="C949" s="907"/>
      <c r="D949" s="907"/>
      <c r="E949" s="907"/>
      <c r="F949" s="907"/>
      <c r="G949" s="907"/>
      <c r="H949" s="907"/>
      <c r="I949" s="907"/>
      <c r="J949" s="907"/>
      <c r="K949" s="907"/>
      <c r="L949" s="907"/>
      <c r="M949" s="907"/>
      <c r="N949" s="907"/>
      <c r="O949" s="907"/>
      <c r="P949" s="907"/>
      <c r="Q949" s="907"/>
      <c r="R949" s="907"/>
      <c r="S949" s="907"/>
      <c r="T949" s="907"/>
      <c r="U949" s="907"/>
      <c r="V949" s="907"/>
      <c r="W949" s="907"/>
      <c r="X949" s="907"/>
      <c r="Y949" s="907"/>
      <c r="Z949" s="907"/>
      <c r="AA949" s="907"/>
      <c r="AB949" s="907"/>
      <c r="AC949" s="907"/>
      <c r="AD949" s="907"/>
      <c r="AE949" s="907"/>
      <c r="AF949" s="907"/>
      <c r="AG949" s="907"/>
      <c r="AH949" s="907"/>
      <c r="AI949" s="907"/>
      <c r="AJ949" s="907"/>
      <c r="AK949" s="907"/>
      <c r="AL949" s="907"/>
      <c r="AM949" s="907"/>
    </row>
    <row r="950" spans="1:39">
      <c r="A950" s="907"/>
      <c r="B950" s="907"/>
      <c r="C950" s="907"/>
      <c r="D950" s="907"/>
      <c r="E950" s="907"/>
      <c r="F950" s="907"/>
      <c r="G950" s="907"/>
      <c r="H950" s="907"/>
      <c r="I950" s="907"/>
      <c r="J950" s="907"/>
      <c r="K950" s="907"/>
      <c r="L950" s="907"/>
      <c r="M950" s="907"/>
      <c r="N950" s="907"/>
      <c r="O950" s="907"/>
      <c r="P950" s="907"/>
      <c r="Q950" s="907"/>
      <c r="R950" s="907"/>
      <c r="S950" s="907"/>
      <c r="T950" s="907"/>
      <c r="U950" s="907"/>
      <c r="V950" s="907"/>
      <c r="W950" s="907"/>
      <c r="X950" s="907"/>
      <c r="Y950" s="907"/>
      <c r="Z950" s="907"/>
      <c r="AA950" s="907"/>
      <c r="AB950" s="907"/>
      <c r="AC950" s="907"/>
      <c r="AD950" s="907"/>
      <c r="AE950" s="907"/>
      <c r="AF950" s="907"/>
      <c r="AG950" s="907"/>
      <c r="AH950" s="907"/>
      <c r="AI950" s="907"/>
      <c r="AJ950" s="907"/>
      <c r="AK950" s="907"/>
      <c r="AL950" s="907"/>
      <c r="AM950" s="907"/>
    </row>
    <row r="951" spans="1:39">
      <c r="A951" s="907"/>
      <c r="B951" s="907"/>
      <c r="C951" s="907"/>
      <c r="D951" s="907"/>
      <c r="E951" s="907"/>
      <c r="F951" s="907"/>
      <c r="G951" s="907"/>
      <c r="H951" s="907"/>
      <c r="I951" s="907"/>
      <c r="J951" s="907"/>
      <c r="K951" s="907"/>
      <c r="L951" s="907"/>
      <c r="M951" s="907"/>
      <c r="N951" s="907"/>
      <c r="O951" s="907"/>
      <c r="P951" s="907"/>
      <c r="Q951" s="907"/>
      <c r="R951" s="907"/>
      <c r="S951" s="907"/>
      <c r="T951" s="907"/>
      <c r="U951" s="907"/>
      <c r="V951" s="907"/>
      <c r="W951" s="907"/>
      <c r="X951" s="907"/>
      <c r="Y951" s="907"/>
      <c r="Z951" s="907"/>
      <c r="AA951" s="907"/>
      <c r="AB951" s="907"/>
      <c r="AC951" s="907"/>
      <c r="AD951" s="907"/>
      <c r="AE951" s="907"/>
      <c r="AF951" s="907"/>
      <c r="AG951" s="907"/>
      <c r="AH951" s="907"/>
      <c r="AI951" s="907"/>
      <c r="AJ951" s="907"/>
      <c r="AK951" s="907"/>
      <c r="AL951" s="907"/>
      <c r="AM951" s="907"/>
    </row>
    <row r="952" spans="1:39">
      <c r="A952" s="907"/>
      <c r="B952" s="907"/>
      <c r="C952" s="907"/>
      <c r="D952" s="907"/>
      <c r="E952" s="907"/>
      <c r="F952" s="907"/>
      <c r="G952" s="907"/>
      <c r="H952" s="907"/>
      <c r="I952" s="907"/>
      <c r="J952" s="907"/>
      <c r="K952" s="907"/>
      <c r="L952" s="907"/>
      <c r="M952" s="907"/>
      <c r="N952" s="907"/>
      <c r="O952" s="907"/>
      <c r="P952" s="907"/>
      <c r="Q952" s="907"/>
      <c r="R952" s="907"/>
      <c r="S952" s="907"/>
      <c r="T952" s="907"/>
      <c r="U952" s="907"/>
      <c r="V952" s="907"/>
      <c r="W952" s="907"/>
      <c r="X952" s="907"/>
      <c r="Y952" s="907"/>
      <c r="Z952" s="907"/>
      <c r="AA952" s="907"/>
      <c r="AB952" s="907"/>
      <c r="AC952" s="907"/>
      <c r="AD952" s="907"/>
      <c r="AE952" s="907"/>
      <c r="AF952" s="907"/>
      <c r="AG952" s="907"/>
      <c r="AH952" s="907"/>
      <c r="AI952" s="907"/>
      <c r="AJ952" s="907"/>
      <c r="AK952" s="907"/>
      <c r="AL952" s="907"/>
      <c r="AM952" s="907"/>
    </row>
    <row r="953" spans="1:39">
      <c r="A953" s="907"/>
      <c r="B953" s="907"/>
      <c r="C953" s="907"/>
      <c r="D953" s="907"/>
      <c r="E953" s="907"/>
      <c r="F953" s="907"/>
      <c r="G953" s="907"/>
      <c r="H953" s="907"/>
      <c r="I953" s="907"/>
      <c r="J953" s="907"/>
      <c r="K953" s="907"/>
      <c r="L953" s="907"/>
      <c r="M953" s="907"/>
      <c r="N953" s="907"/>
      <c r="O953" s="907"/>
      <c r="P953" s="907"/>
      <c r="Q953" s="907"/>
      <c r="R953" s="907"/>
      <c r="S953" s="907"/>
      <c r="T953" s="907"/>
      <c r="U953" s="907"/>
      <c r="V953" s="907"/>
      <c r="W953" s="907"/>
      <c r="X953" s="907"/>
      <c r="Y953" s="907"/>
      <c r="Z953" s="907"/>
      <c r="AA953" s="907"/>
      <c r="AB953" s="907"/>
      <c r="AC953" s="907"/>
      <c r="AD953" s="907"/>
      <c r="AE953" s="907"/>
      <c r="AF953" s="907"/>
      <c r="AG953" s="907"/>
      <c r="AH953" s="907"/>
      <c r="AI953" s="907"/>
      <c r="AJ953" s="907"/>
      <c r="AK953" s="907"/>
      <c r="AL953" s="907"/>
      <c r="AM953" s="907"/>
    </row>
    <row r="954" spans="1:39">
      <c r="A954" s="907"/>
      <c r="B954" s="907"/>
      <c r="C954" s="907"/>
      <c r="D954" s="907"/>
      <c r="E954" s="907"/>
      <c r="F954" s="907"/>
      <c r="G954" s="907"/>
      <c r="H954" s="907"/>
      <c r="I954" s="907"/>
      <c r="J954" s="907"/>
      <c r="K954" s="907"/>
      <c r="L954" s="907"/>
      <c r="M954" s="907"/>
      <c r="N954" s="907"/>
      <c r="O954" s="907"/>
      <c r="P954" s="907"/>
      <c r="Q954" s="907"/>
      <c r="R954" s="907"/>
      <c r="S954" s="907"/>
      <c r="T954" s="907"/>
      <c r="U954" s="907"/>
      <c r="V954" s="907"/>
      <c r="W954" s="907"/>
      <c r="X954" s="907"/>
      <c r="Y954" s="907"/>
      <c r="Z954" s="907"/>
      <c r="AA954" s="907"/>
      <c r="AB954" s="907"/>
      <c r="AC954" s="907"/>
      <c r="AD954" s="907"/>
      <c r="AE954" s="907"/>
      <c r="AF954" s="907"/>
      <c r="AG954" s="907"/>
      <c r="AH954" s="907"/>
      <c r="AI954" s="907"/>
      <c r="AJ954" s="907"/>
      <c r="AK954" s="907"/>
      <c r="AL954" s="907"/>
      <c r="AM954" s="907"/>
    </row>
    <row r="955" spans="1:39">
      <c r="A955" s="907"/>
      <c r="B955" s="907"/>
      <c r="C955" s="907"/>
      <c r="D955" s="907"/>
      <c r="E955" s="907"/>
      <c r="F955" s="907"/>
      <c r="G955" s="907"/>
      <c r="H955" s="907"/>
      <c r="I955" s="907"/>
      <c r="J955" s="907"/>
      <c r="K955" s="907"/>
      <c r="L955" s="907"/>
      <c r="M955" s="907"/>
      <c r="N955" s="907"/>
      <c r="O955" s="907"/>
      <c r="P955" s="907"/>
      <c r="Q955" s="907"/>
      <c r="R955" s="907"/>
      <c r="S955" s="907"/>
      <c r="T955" s="907"/>
      <c r="U955" s="907"/>
      <c r="V955" s="907"/>
      <c r="W955" s="907"/>
      <c r="X955" s="907"/>
      <c r="Y955" s="907"/>
      <c r="Z955" s="907"/>
      <c r="AA955" s="907"/>
      <c r="AB955" s="907"/>
      <c r="AC955" s="907"/>
      <c r="AD955" s="907"/>
      <c r="AE955" s="907"/>
      <c r="AF955" s="907"/>
      <c r="AG955" s="907"/>
      <c r="AH955" s="907"/>
      <c r="AI955" s="907"/>
      <c r="AJ955" s="907"/>
      <c r="AK955" s="907"/>
      <c r="AL955" s="907"/>
      <c r="AM955" s="907"/>
    </row>
    <row r="956" spans="1:39">
      <c r="A956" s="907"/>
      <c r="B956" s="907"/>
      <c r="C956" s="907"/>
      <c r="D956" s="907"/>
      <c r="E956" s="907"/>
      <c r="F956" s="907"/>
      <c r="G956" s="907"/>
      <c r="H956" s="907"/>
      <c r="I956" s="907"/>
      <c r="J956" s="907"/>
      <c r="K956" s="907"/>
      <c r="L956" s="907"/>
      <c r="M956" s="907"/>
      <c r="N956" s="907"/>
      <c r="O956" s="907"/>
      <c r="P956" s="907"/>
      <c r="Q956" s="907"/>
      <c r="R956" s="907"/>
      <c r="S956" s="907"/>
      <c r="T956" s="907"/>
      <c r="U956" s="907"/>
      <c r="V956" s="907"/>
      <c r="W956" s="907"/>
      <c r="X956" s="907"/>
      <c r="Y956" s="907"/>
      <c r="Z956" s="907"/>
      <c r="AA956" s="907"/>
      <c r="AB956" s="907"/>
      <c r="AC956" s="907"/>
      <c r="AD956" s="907"/>
      <c r="AE956" s="907"/>
      <c r="AF956" s="907"/>
      <c r="AG956" s="907"/>
      <c r="AH956" s="907"/>
      <c r="AI956" s="907"/>
      <c r="AJ956" s="907"/>
      <c r="AK956" s="907"/>
      <c r="AL956" s="907"/>
      <c r="AM956" s="907"/>
    </row>
    <row r="957" spans="1:39">
      <c r="A957" s="907"/>
      <c r="B957" s="907"/>
      <c r="C957" s="907"/>
      <c r="D957" s="907"/>
      <c r="E957" s="907"/>
      <c r="F957" s="907"/>
      <c r="G957" s="907"/>
      <c r="H957" s="907"/>
      <c r="I957" s="907"/>
      <c r="J957" s="907"/>
      <c r="K957" s="907"/>
      <c r="L957" s="907"/>
      <c r="M957" s="907"/>
      <c r="N957" s="907"/>
      <c r="O957" s="907"/>
      <c r="P957" s="907"/>
      <c r="Q957" s="907"/>
      <c r="R957" s="907"/>
      <c r="S957" s="907"/>
      <c r="T957" s="907"/>
      <c r="U957" s="907"/>
      <c r="V957" s="907"/>
      <c r="W957" s="907"/>
      <c r="X957" s="907"/>
      <c r="Y957" s="907"/>
      <c r="Z957" s="907"/>
      <c r="AA957" s="907"/>
      <c r="AB957" s="907"/>
      <c r="AC957" s="907"/>
      <c r="AD957" s="907"/>
      <c r="AE957" s="907"/>
      <c r="AF957" s="907"/>
      <c r="AG957" s="907"/>
      <c r="AH957" s="907"/>
      <c r="AI957" s="907"/>
      <c r="AJ957" s="907"/>
      <c r="AK957" s="907"/>
      <c r="AL957" s="907"/>
      <c r="AM957" s="907"/>
    </row>
    <row r="958" spans="1:39">
      <c r="A958" s="907"/>
      <c r="B958" s="907"/>
      <c r="C958" s="907"/>
      <c r="D958" s="907"/>
      <c r="E958" s="907"/>
      <c r="F958" s="907"/>
      <c r="G958" s="907"/>
      <c r="H958" s="907"/>
      <c r="I958" s="907"/>
      <c r="J958" s="907"/>
      <c r="K958" s="907"/>
      <c r="L958" s="907"/>
      <c r="M958" s="907"/>
      <c r="N958" s="907"/>
      <c r="O958" s="907"/>
      <c r="P958" s="907"/>
      <c r="Q958" s="907"/>
      <c r="R958" s="907"/>
      <c r="S958" s="907"/>
      <c r="T958" s="907"/>
      <c r="U958" s="907"/>
      <c r="V958" s="907"/>
      <c r="W958" s="907"/>
      <c r="X958" s="907"/>
      <c r="Y958" s="907"/>
      <c r="Z958" s="907"/>
      <c r="AA958" s="907"/>
      <c r="AB958" s="907"/>
      <c r="AC958" s="907"/>
      <c r="AD958" s="907"/>
      <c r="AE958" s="907"/>
      <c r="AF958" s="907"/>
      <c r="AG958" s="907"/>
      <c r="AH958" s="907"/>
      <c r="AI958" s="907"/>
      <c r="AJ958" s="907"/>
      <c r="AK958" s="907"/>
      <c r="AL958" s="907"/>
      <c r="AM958" s="907"/>
    </row>
    <row r="959" spans="1:39">
      <c r="A959" s="907"/>
      <c r="B959" s="907"/>
      <c r="C959" s="907"/>
      <c r="D959" s="907"/>
      <c r="E959" s="907"/>
      <c r="F959" s="907"/>
      <c r="G959" s="907"/>
      <c r="H959" s="907"/>
      <c r="I959" s="907"/>
      <c r="J959" s="907"/>
      <c r="K959" s="907"/>
      <c r="L959" s="907"/>
      <c r="M959" s="907"/>
      <c r="N959" s="907"/>
      <c r="O959" s="907"/>
      <c r="P959" s="907"/>
      <c r="Q959" s="907"/>
      <c r="R959" s="907"/>
      <c r="S959" s="907"/>
      <c r="T959" s="907"/>
      <c r="U959" s="907"/>
      <c r="V959" s="907"/>
      <c r="W959" s="907"/>
      <c r="X959" s="907"/>
      <c r="Y959" s="907"/>
      <c r="Z959" s="907"/>
      <c r="AA959" s="907"/>
      <c r="AB959" s="907"/>
      <c r="AC959" s="907"/>
      <c r="AD959" s="907"/>
      <c r="AE959" s="907"/>
      <c r="AF959" s="907"/>
      <c r="AG959" s="907"/>
      <c r="AH959" s="907"/>
      <c r="AI959" s="907"/>
      <c r="AJ959" s="907"/>
      <c r="AK959" s="907"/>
      <c r="AL959" s="907"/>
      <c r="AM959" s="907"/>
    </row>
    <row r="960" spans="1:39">
      <c r="A960" s="907"/>
      <c r="B960" s="907"/>
      <c r="C960" s="907"/>
      <c r="D960" s="907"/>
      <c r="E960" s="907"/>
      <c r="F960" s="907"/>
      <c r="G960" s="907"/>
      <c r="H960" s="907"/>
      <c r="I960" s="907"/>
      <c r="J960" s="907"/>
      <c r="K960" s="907"/>
      <c r="L960" s="907"/>
      <c r="M960" s="907"/>
      <c r="N960" s="907"/>
      <c r="O960" s="907"/>
      <c r="P960" s="907"/>
      <c r="Q960" s="907"/>
      <c r="R960" s="907"/>
      <c r="S960" s="907"/>
      <c r="T960" s="907"/>
      <c r="U960" s="907"/>
      <c r="V960" s="907"/>
      <c r="W960" s="907"/>
      <c r="X960" s="907"/>
      <c r="Y960" s="907"/>
      <c r="Z960" s="907"/>
      <c r="AA960" s="907"/>
      <c r="AB960" s="907"/>
      <c r="AC960" s="907"/>
      <c r="AD960" s="907"/>
      <c r="AE960" s="907"/>
      <c r="AF960" s="907"/>
      <c r="AG960" s="907"/>
      <c r="AH960" s="907"/>
      <c r="AI960" s="907"/>
      <c r="AJ960" s="907"/>
      <c r="AK960" s="907"/>
      <c r="AL960" s="907"/>
      <c r="AM960" s="907"/>
    </row>
    <row r="961" spans="1:39">
      <c r="A961" s="907"/>
      <c r="B961" s="907"/>
      <c r="C961" s="907"/>
      <c r="D961" s="907"/>
      <c r="E961" s="907"/>
      <c r="F961" s="907"/>
      <c r="G961" s="907"/>
      <c r="H961" s="907"/>
      <c r="I961" s="907"/>
      <c r="J961" s="907"/>
      <c r="K961" s="907"/>
      <c r="L961" s="907"/>
      <c r="M961" s="907"/>
      <c r="N961" s="907"/>
      <c r="O961" s="907"/>
      <c r="P961" s="907"/>
      <c r="Q961" s="907"/>
      <c r="R961" s="907"/>
      <c r="S961" s="907"/>
      <c r="T961" s="907"/>
      <c r="U961" s="907"/>
      <c r="V961" s="907"/>
      <c r="W961" s="907"/>
      <c r="X961" s="907"/>
      <c r="Y961" s="907"/>
      <c r="Z961" s="907"/>
      <c r="AA961" s="907"/>
      <c r="AB961" s="907"/>
      <c r="AC961" s="907"/>
      <c r="AD961" s="907"/>
      <c r="AE961" s="907"/>
      <c r="AF961" s="907"/>
      <c r="AG961" s="907"/>
      <c r="AH961" s="907"/>
      <c r="AI961" s="907"/>
      <c r="AJ961" s="907"/>
      <c r="AK961" s="907"/>
      <c r="AL961" s="907"/>
      <c r="AM961" s="907"/>
    </row>
    <row r="962" spans="1:39">
      <c r="A962" s="907"/>
      <c r="B962" s="907"/>
      <c r="C962" s="907"/>
      <c r="D962" s="907"/>
      <c r="E962" s="907"/>
      <c r="F962" s="907"/>
      <c r="G962" s="907"/>
      <c r="H962" s="907"/>
      <c r="I962" s="907"/>
      <c r="J962" s="907"/>
      <c r="K962" s="907"/>
      <c r="L962" s="907"/>
      <c r="M962" s="907"/>
      <c r="N962" s="907"/>
      <c r="O962" s="907"/>
      <c r="P962" s="907"/>
      <c r="Q962" s="907"/>
      <c r="R962" s="907"/>
      <c r="S962" s="907"/>
      <c r="T962" s="907"/>
      <c r="U962" s="907"/>
      <c r="V962" s="907"/>
      <c r="W962" s="907"/>
      <c r="X962" s="907"/>
      <c r="Y962" s="907"/>
      <c r="Z962" s="907"/>
      <c r="AA962" s="907"/>
      <c r="AB962" s="907"/>
      <c r="AC962" s="907"/>
      <c r="AD962" s="907"/>
      <c r="AE962" s="907"/>
      <c r="AF962" s="907"/>
      <c r="AG962" s="907"/>
      <c r="AH962" s="907"/>
      <c r="AI962" s="907"/>
      <c r="AJ962" s="907"/>
      <c r="AK962" s="907"/>
      <c r="AL962" s="907"/>
      <c r="AM962" s="907"/>
    </row>
    <row r="963" spans="1:39">
      <c r="A963" s="907"/>
      <c r="B963" s="907"/>
      <c r="C963" s="907"/>
      <c r="D963" s="907"/>
      <c r="E963" s="907"/>
      <c r="F963" s="907"/>
      <c r="G963" s="907"/>
      <c r="H963" s="907"/>
      <c r="I963" s="907"/>
      <c r="J963" s="907"/>
      <c r="K963" s="907"/>
      <c r="L963" s="907"/>
      <c r="M963" s="907"/>
      <c r="N963" s="907"/>
      <c r="O963" s="907"/>
      <c r="P963" s="907"/>
      <c r="Q963" s="907"/>
      <c r="R963" s="907"/>
      <c r="S963" s="907"/>
      <c r="T963" s="907"/>
      <c r="U963" s="907"/>
      <c r="V963" s="907"/>
      <c r="W963" s="907"/>
      <c r="X963" s="907"/>
      <c r="Y963" s="907"/>
      <c r="Z963" s="907"/>
      <c r="AA963" s="907"/>
      <c r="AB963" s="907"/>
      <c r="AC963" s="907"/>
      <c r="AD963" s="907"/>
      <c r="AE963" s="907"/>
      <c r="AF963" s="907"/>
      <c r="AG963" s="907"/>
      <c r="AH963" s="907"/>
      <c r="AI963" s="907"/>
      <c r="AJ963" s="907"/>
      <c r="AK963" s="907"/>
      <c r="AL963" s="907"/>
      <c r="AM963" s="907"/>
    </row>
    <row r="964" spans="1:39">
      <c r="A964" s="907"/>
      <c r="B964" s="907"/>
      <c r="C964" s="907"/>
      <c r="D964" s="907"/>
      <c r="E964" s="907"/>
      <c r="F964" s="907"/>
      <c r="G964" s="907"/>
      <c r="H964" s="907"/>
      <c r="I964" s="907"/>
      <c r="J964" s="907"/>
      <c r="K964" s="907"/>
      <c r="L964" s="907"/>
      <c r="M964" s="907"/>
      <c r="N964" s="907"/>
      <c r="O964" s="907"/>
      <c r="P964" s="907"/>
      <c r="Q964" s="907"/>
      <c r="R964" s="907"/>
      <c r="S964" s="907"/>
      <c r="T964" s="907"/>
      <c r="U964" s="907"/>
      <c r="V964" s="907"/>
      <c r="W964" s="907"/>
      <c r="X964" s="907"/>
      <c r="Y964" s="907"/>
      <c r="Z964" s="907"/>
      <c r="AA964" s="907"/>
      <c r="AB964" s="907"/>
      <c r="AC964" s="907"/>
      <c r="AD964" s="907"/>
      <c r="AE964" s="907"/>
      <c r="AF964" s="907"/>
      <c r="AG964" s="907"/>
      <c r="AH964" s="907"/>
      <c r="AI964" s="907"/>
      <c r="AJ964" s="907"/>
      <c r="AK964" s="907"/>
      <c r="AL964" s="907"/>
      <c r="AM964" s="907"/>
    </row>
    <row r="965" spans="1:39">
      <c r="A965" s="907"/>
      <c r="B965" s="907"/>
      <c r="C965" s="907"/>
      <c r="D965" s="907"/>
      <c r="E965" s="907"/>
      <c r="F965" s="907"/>
      <c r="G965" s="907"/>
      <c r="H965" s="907"/>
      <c r="I965" s="907"/>
      <c r="J965" s="907"/>
      <c r="K965" s="907"/>
      <c r="L965" s="907"/>
      <c r="M965" s="907"/>
      <c r="N965" s="907"/>
      <c r="O965" s="907"/>
      <c r="P965" s="907"/>
      <c r="Q965" s="907"/>
      <c r="R965" s="907"/>
      <c r="S965" s="907"/>
      <c r="T965" s="907"/>
      <c r="U965" s="907"/>
      <c r="V965" s="907"/>
      <c r="W965" s="907"/>
      <c r="X965" s="907"/>
      <c r="Y965" s="907"/>
      <c r="Z965" s="907"/>
      <c r="AA965" s="907"/>
      <c r="AB965" s="907"/>
      <c r="AC965" s="907"/>
      <c r="AD965" s="907"/>
      <c r="AE965" s="907"/>
      <c r="AF965" s="907"/>
      <c r="AG965" s="907"/>
      <c r="AH965" s="907"/>
      <c r="AI965" s="907"/>
      <c r="AJ965" s="907"/>
      <c r="AK965" s="907"/>
      <c r="AL965" s="907"/>
      <c r="AM965" s="907"/>
    </row>
    <row r="966" spans="1:39">
      <c r="A966" s="907"/>
      <c r="B966" s="907"/>
      <c r="C966" s="907"/>
      <c r="D966" s="907"/>
      <c r="E966" s="907"/>
      <c r="F966" s="907"/>
      <c r="G966" s="907"/>
      <c r="H966" s="907"/>
      <c r="I966" s="907"/>
      <c r="J966" s="907"/>
      <c r="K966" s="907"/>
      <c r="L966" s="907"/>
      <c r="M966" s="907"/>
      <c r="N966" s="907"/>
      <c r="O966" s="907"/>
      <c r="P966" s="907"/>
      <c r="Q966" s="907"/>
      <c r="R966" s="907"/>
      <c r="S966" s="907"/>
      <c r="T966" s="907"/>
      <c r="U966" s="907"/>
      <c r="V966" s="907"/>
      <c r="W966" s="907"/>
      <c r="X966" s="907"/>
      <c r="Y966" s="907"/>
      <c r="Z966" s="907"/>
      <c r="AA966" s="907"/>
      <c r="AB966" s="907"/>
      <c r="AC966" s="907"/>
      <c r="AD966" s="907"/>
      <c r="AE966" s="907"/>
      <c r="AF966" s="907"/>
      <c r="AG966" s="907"/>
      <c r="AH966" s="907"/>
      <c r="AI966" s="907"/>
      <c r="AJ966" s="907"/>
      <c r="AK966" s="907"/>
      <c r="AL966" s="907"/>
      <c r="AM966" s="907"/>
    </row>
    <row r="967" spans="1:39">
      <c r="A967" s="907"/>
      <c r="B967" s="907"/>
      <c r="C967" s="907"/>
      <c r="D967" s="907"/>
      <c r="E967" s="907"/>
      <c r="F967" s="907"/>
      <c r="G967" s="907"/>
      <c r="H967" s="907"/>
      <c r="I967" s="907"/>
      <c r="J967" s="907"/>
      <c r="K967" s="907"/>
      <c r="L967" s="907"/>
      <c r="M967" s="907"/>
      <c r="N967" s="907"/>
      <c r="O967" s="907"/>
      <c r="P967" s="907"/>
      <c r="Q967" s="907"/>
      <c r="R967" s="907"/>
      <c r="S967" s="907"/>
      <c r="T967" s="907"/>
      <c r="U967" s="907"/>
      <c r="V967" s="907"/>
      <c r="W967" s="907"/>
      <c r="X967" s="907"/>
      <c r="Y967" s="907"/>
      <c r="Z967" s="907"/>
      <c r="AA967" s="907"/>
      <c r="AB967" s="907"/>
      <c r="AC967" s="907"/>
      <c r="AD967" s="907"/>
      <c r="AE967" s="907"/>
      <c r="AF967" s="907"/>
      <c r="AG967" s="907"/>
      <c r="AH967" s="907"/>
      <c r="AI967" s="907"/>
      <c r="AJ967" s="907"/>
      <c r="AK967" s="907"/>
      <c r="AL967" s="907"/>
      <c r="AM967" s="907"/>
    </row>
    <row r="968" spans="1:39">
      <c r="A968" s="907"/>
      <c r="B968" s="907"/>
      <c r="C968" s="907"/>
      <c r="D968" s="907"/>
      <c r="E968" s="907"/>
      <c r="F968" s="907"/>
      <c r="G968" s="907"/>
      <c r="H968" s="907"/>
      <c r="I968" s="907"/>
      <c r="J968" s="907"/>
      <c r="K968" s="907"/>
      <c r="L968" s="907"/>
      <c r="M968" s="907"/>
      <c r="N968" s="907"/>
      <c r="O968" s="907"/>
      <c r="P968" s="907"/>
      <c r="Q968" s="907"/>
      <c r="R968" s="907"/>
      <c r="S968" s="907"/>
      <c r="T968" s="907"/>
      <c r="U968" s="907"/>
      <c r="V968" s="907"/>
      <c r="W968" s="907"/>
      <c r="X968" s="907"/>
      <c r="Y968" s="907"/>
      <c r="Z968" s="907"/>
      <c r="AA968" s="907"/>
      <c r="AB968" s="907"/>
      <c r="AC968" s="907"/>
      <c r="AD968" s="907"/>
      <c r="AE968" s="907"/>
      <c r="AF968" s="907"/>
      <c r="AG968" s="907"/>
      <c r="AH968" s="907"/>
      <c r="AI968" s="907"/>
      <c r="AJ968" s="907"/>
      <c r="AK968" s="907"/>
      <c r="AL968" s="907"/>
      <c r="AM968" s="907"/>
    </row>
    <row r="969" spans="1:39">
      <c r="A969" s="907"/>
      <c r="B969" s="907"/>
      <c r="C969" s="907"/>
      <c r="D969" s="907"/>
      <c r="E969" s="907"/>
      <c r="F969" s="907"/>
      <c r="G969" s="907"/>
      <c r="H969" s="907"/>
      <c r="I969" s="907"/>
      <c r="J969" s="907"/>
      <c r="K969" s="907"/>
      <c r="L969" s="907"/>
      <c r="M969" s="907"/>
      <c r="N969" s="907"/>
      <c r="O969" s="907"/>
      <c r="P969" s="907"/>
      <c r="Q969" s="907"/>
      <c r="R969" s="907"/>
      <c r="S969" s="907"/>
      <c r="T969" s="907"/>
      <c r="U969" s="907"/>
      <c r="V969" s="907"/>
      <c r="W969" s="907"/>
      <c r="X969" s="907"/>
      <c r="Y969" s="907"/>
      <c r="Z969" s="907"/>
      <c r="AA969" s="907"/>
      <c r="AB969" s="907"/>
      <c r="AC969" s="907"/>
      <c r="AD969" s="907"/>
      <c r="AE969" s="907"/>
      <c r="AF969" s="907"/>
      <c r="AG969" s="907"/>
      <c r="AH969" s="907"/>
      <c r="AI969" s="907"/>
      <c r="AJ969" s="907"/>
      <c r="AK969" s="907"/>
      <c r="AL969" s="907"/>
      <c r="AM969" s="907"/>
    </row>
    <row r="970" spans="1:39">
      <c r="A970" s="907"/>
      <c r="B970" s="907"/>
      <c r="C970" s="907"/>
      <c r="D970" s="907"/>
      <c r="E970" s="907"/>
      <c r="F970" s="907"/>
      <c r="G970" s="907"/>
      <c r="H970" s="907"/>
      <c r="I970" s="907"/>
      <c r="J970" s="907"/>
      <c r="K970" s="907"/>
      <c r="L970" s="907"/>
      <c r="M970" s="907"/>
      <c r="N970" s="907"/>
      <c r="O970" s="907"/>
      <c r="P970" s="907"/>
      <c r="Q970" s="907"/>
      <c r="R970" s="907"/>
      <c r="S970" s="907"/>
      <c r="T970" s="907"/>
      <c r="U970" s="907"/>
      <c r="V970" s="907"/>
      <c r="W970" s="907"/>
      <c r="X970" s="907"/>
      <c r="Y970" s="907"/>
      <c r="Z970" s="907"/>
      <c r="AA970" s="907"/>
      <c r="AB970" s="907"/>
      <c r="AC970" s="907"/>
      <c r="AD970" s="907"/>
      <c r="AE970" s="907"/>
      <c r="AF970" s="907"/>
      <c r="AG970" s="907"/>
      <c r="AH970" s="907"/>
      <c r="AI970" s="907"/>
      <c r="AJ970" s="907"/>
      <c r="AK970" s="907"/>
      <c r="AL970" s="907"/>
      <c r="AM970" s="907"/>
    </row>
    <row r="971" spans="1:39">
      <c r="A971" s="907"/>
      <c r="B971" s="907"/>
      <c r="C971" s="907"/>
      <c r="D971" s="907"/>
      <c r="E971" s="907"/>
      <c r="F971" s="907"/>
      <c r="G971" s="907"/>
      <c r="H971" s="907"/>
      <c r="I971" s="907"/>
      <c r="J971" s="907"/>
      <c r="K971" s="907"/>
      <c r="L971" s="907"/>
      <c r="M971" s="907"/>
      <c r="N971" s="907"/>
      <c r="O971" s="907"/>
      <c r="P971" s="907"/>
      <c r="Q971" s="907"/>
      <c r="R971" s="907"/>
      <c r="S971" s="907"/>
      <c r="T971" s="907"/>
      <c r="U971" s="907"/>
      <c r="V971" s="907"/>
      <c r="W971" s="907"/>
      <c r="X971" s="907"/>
      <c r="Y971" s="907"/>
      <c r="Z971" s="907"/>
      <c r="AA971" s="907"/>
      <c r="AB971" s="907"/>
      <c r="AC971" s="907"/>
      <c r="AD971" s="907"/>
      <c r="AE971" s="907"/>
      <c r="AF971" s="907"/>
      <c r="AG971" s="907"/>
      <c r="AH971" s="907"/>
      <c r="AI971" s="907"/>
      <c r="AJ971" s="907"/>
      <c r="AK971" s="907"/>
      <c r="AL971" s="907"/>
      <c r="AM971" s="907"/>
    </row>
    <row r="972" spans="1:39">
      <c r="A972" s="907"/>
      <c r="B972" s="907"/>
      <c r="C972" s="907"/>
      <c r="D972" s="907"/>
      <c r="E972" s="907"/>
      <c r="F972" s="907"/>
      <c r="G972" s="907"/>
      <c r="H972" s="907"/>
      <c r="I972" s="907"/>
      <c r="J972" s="907"/>
      <c r="K972" s="907"/>
      <c r="L972" s="907"/>
      <c r="M972" s="907"/>
      <c r="N972" s="907"/>
      <c r="O972" s="907"/>
      <c r="P972" s="907"/>
      <c r="Q972" s="907"/>
      <c r="R972" s="907"/>
      <c r="S972" s="907"/>
      <c r="T972" s="907"/>
      <c r="U972" s="907"/>
      <c r="V972" s="907"/>
      <c r="W972" s="907"/>
      <c r="X972" s="907"/>
      <c r="Y972" s="907"/>
      <c r="Z972" s="907"/>
      <c r="AA972" s="907"/>
      <c r="AB972" s="907"/>
      <c r="AC972" s="907"/>
      <c r="AD972" s="907"/>
      <c r="AE972" s="907"/>
      <c r="AF972" s="907"/>
      <c r="AG972" s="907"/>
      <c r="AH972" s="907"/>
      <c r="AI972" s="907"/>
      <c r="AJ972" s="907"/>
      <c r="AK972" s="907"/>
      <c r="AL972" s="907"/>
      <c r="AM972" s="907"/>
    </row>
    <row r="973" spans="1:39">
      <c r="A973" s="907"/>
      <c r="B973" s="907"/>
      <c r="C973" s="907"/>
      <c r="D973" s="907"/>
      <c r="E973" s="907"/>
      <c r="F973" s="907"/>
      <c r="G973" s="907"/>
      <c r="H973" s="907"/>
      <c r="I973" s="907"/>
      <c r="J973" s="907"/>
      <c r="K973" s="907"/>
      <c r="L973" s="907"/>
      <c r="M973" s="907"/>
      <c r="N973" s="907"/>
      <c r="O973" s="907"/>
      <c r="P973" s="907"/>
      <c r="Q973" s="907"/>
      <c r="R973" s="907"/>
      <c r="S973" s="907"/>
      <c r="T973" s="907"/>
      <c r="U973" s="907"/>
      <c r="V973" s="907"/>
      <c r="W973" s="907"/>
      <c r="X973" s="907"/>
      <c r="Y973" s="907"/>
      <c r="Z973" s="907"/>
      <c r="AA973" s="907"/>
      <c r="AB973" s="907"/>
      <c r="AC973" s="907"/>
      <c r="AD973" s="907"/>
      <c r="AE973" s="907"/>
      <c r="AF973" s="907"/>
      <c r="AG973" s="907"/>
      <c r="AH973" s="907"/>
      <c r="AI973" s="907"/>
      <c r="AJ973" s="907"/>
      <c r="AK973" s="907"/>
      <c r="AL973" s="907"/>
      <c r="AM973" s="907"/>
    </row>
    <row r="974" spans="1:39">
      <c r="A974" s="907"/>
      <c r="B974" s="907"/>
      <c r="C974" s="907"/>
      <c r="D974" s="907"/>
      <c r="E974" s="907"/>
      <c r="F974" s="907"/>
      <c r="G974" s="907"/>
      <c r="H974" s="907"/>
      <c r="I974" s="907"/>
      <c r="J974" s="907"/>
      <c r="K974" s="907"/>
      <c r="L974" s="907"/>
      <c r="M974" s="907"/>
      <c r="N974" s="907"/>
      <c r="O974" s="907"/>
      <c r="P974" s="907"/>
      <c r="Q974" s="907"/>
      <c r="R974" s="907"/>
      <c r="S974" s="907"/>
      <c r="T974" s="907"/>
      <c r="U974" s="907"/>
      <c r="V974" s="907"/>
      <c r="W974" s="907"/>
      <c r="X974" s="907"/>
      <c r="Y974" s="907"/>
      <c r="Z974" s="907"/>
      <c r="AA974" s="907"/>
      <c r="AB974" s="907"/>
      <c r="AC974" s="907"/>
      <c r="AD974" s="907"/>
      <c r="AE974" s="907"/>
      <c r="AF974" s="907"/>
      <c r="AG974" s="907"/>
      <c r="AH974" s="907"/>
      <c r="AI974" s="907"/>
      <c r="AJ974" s="907"/>
      <c r="AK974" s="907"/>
      <c r="AL974" s="907"/>
      <c r="AM974" s="907"/>
    </row>
    <row r="975" spans="1:39">
      <c r="A975" s="907"/>
      <c r="B975" s="907"/>
      <c r="C975" s="907"/>
      <c r="D975" s="907"/>
      <c r="E975" s="907"/>
      <c r="F975" s="907"/>
      <c r="G975" s="907"/>
      <c r="H975" s="907"/>
      <c r="I975" s="907"/>
      <c r="J975" s="907"/>
      <c r="K975" s="907"/>
      <c r="L975" s="907"/>
      <c r="M975" s="907"/>
      <c r="N975" s="907"/>
      <c r="O975" s="907"/>
      <c r="P975" s="907"/>
      <c r="Q975" s="907"/>
      <c r="R975" s="907"/>
      <c r="S975" s="907"/>
      <c r="T975" s="907"/>
      <c r="U975" s="907"/>
      <c r="V975" s="907"/>
      <c r="W975" s="907"/>
      <c r="X975" s="907"/>
      <c r="Y975" s="907"/>
      <c r="Z975" s="907"/>
      <c r="AA975" s="907"/>
      <c r="AB975" s="907"/>
      <c r="AC975" s="907"/>
      <c r="AD975" s="907"/>
      <c r="AE975" s="907"/>
      <c r="AF975" s="907"/>
      <c r="AG975" s="907"/>
      <c r="AH975" s="907"/>
      <c r="AI975" s="907"/>
      <c r="AJ975" s="907"/>
      <c r="AK975" s="907"/>
      <c r="AL975" s="907"/>
      <c r="AM975" s="907"/>
    </row>
    <row r="976" spans="1:39">
      <c r="A976" s="907"/>
      <c r="B976" s="907"/>
      <c r="C976" s="907"/>
      <c r="D976" s="907"/>
      <c r="E976" s="907"/>
      <c r="F976" s="907"/>
      <c r="G976" s="907"/>
      <c r="H976" s="907"/>
      <c r="I976" s="907"/>
      <c r="J976" s="907"/>
      <c r="K976" s="907"/>
      <c r="L976" s="907"/>
      <c r="M976" s="907"/>
      <c r="N976" s="907"/>
      <c r="O976" s="907"/>
      <c r="P976" s="907"/>
      <c r="Q976" s="907"/>
      <c r="R976" s="907"/>
      <c r="S976" s="907"/>
      <c r="T976" s="907"/>
      <c r="U976" s="907"/>
      <c r="V976" s="907"/>
      <c r="W976" s="907"/>
      <c r="X976" s="907"/>
      <c r="Y976" s="907"/>
      <c r="Z976" s="907"/>
      <c r="AA976" s="907"/>
      <c r="AB976" s="907"/>
      <c r="AC976" s="907"/>
      <c r="AD976" s="907"/>
      <c r="AE976" s="907"/>
      <c r="AF976" s="907"/>
      <c r="AG976" s="907"/>
      <c r="AH976" s="907"/>
      <c r="AI976" s="907"/>
      <c r="AJ976" s="907"/>
      <c r="AK976" s="907"/>
      <c r="AL976" s="907"/>
      <c r="AM976" s="907"/>
    </row>
    <row r="977" spans="1:39">
      <c r="A977" s="907"/>
      <c r="B977" s="907"/>
      <c r="C977" s="907"/>
      <c r="D977" s="907"/>
      <c r="E977" s="907"/>
      <c r="F977" s="907"/>
      <c r="G977" s="907"/>
      <c r="H977" s="907"/>
      <c r="I977" s="907"/>
      <c r="J977" s="907"/>
      <c r="K977" s="907"/>
      <c r="L977" s="907"/>
      <c r="M977" s="907"/>
      <c r="N977" s="907"/>
      <c r="O977" s="907"/>
      <c r="P977" s="907"/>
      <c r="Q977" s="907"/>
      <c r="R977" s="907"/>
      <c r="S977" s="907"/>
      <c r="T977" s="907"/>
      <c r="U977" s="907"/>
      <c r="V977" s="907"/>
      <c r="W977" s="907"/>
      <c r="X977" s="907"/>
      <c r="Y977" s="907"/>
      <c r="Z977" s="907"/>
      <c r="AA977" s="907"/>
      <c r="AB977" s="907"/>
      <c r="AC977" s="907"/>
      <c r="AD977" s="907"/>
      <c r="AE977" s="907"/>
      <c r="AF977" s="907"/>
      <c r="AG977" s="907"/>
      <c r="AH977" s="907"/>
      <c r="AI977" s="907"/>
      <c r="AJ977" s="907"/>
      <c r="AK977" s="907"/>
      <c r="AL977" s="907"/>
      <c r="AM977" s="907"/>
    </row>
    <row r="978" spans="1:39">
      <c r="A978" s="907"/>
      <c r="B978" s="907"/>
      <c r="C978" s="907"/>
      <c r="D978" s="907"/>
      <c r="E978" s="907"/>
      <c r="F978" s="907"/>
      <c r="G978" s="907"/>
      <c r="H978" s="907"/>
      <c r="I978" s="907"/>
      <c r="J978" s="907"/>
      <c r="K978" s="907"/>
      <c r="L978" s="907"/>
      <c r="M978" s="907"/>
      <c r="N978" s="907"/>
      <c r="O978" s="907"/>
      <c r="P978" s="907"/>
      <c r="Q978" s="907"/>
      <c r="R978" s="907"/>
      <c r="S978" s="907"/>
      <c r="T978" s="907"/>
      <c r="U978" s="907"/>
      <c r="V978" s="907"/>
      <c r="W978" s="907"/>
      <c r="X978" s="907"/>
      <c r="Y978" s="907"/>
      <c r="Z978" s="907"/>
      <c r="AA978" s="907"/>
      <c r="AB978" s="907"/>
      <c r="AC978" s="907"/>
      <c r="AD978" s="907"/>
      <c r="AE978" s="907"/>
      <c r="AF978" s="907"/>
      <c r="AG978" s="907"/>
      <c r="AH978" s="907"/>
      <c r="AI978" s="907"/>
      <c r="AJ978" s="907"/>
      <c r="AK978" s="907"/>
      <c r="AL978" s="907"/>
      <c r="AM978" s="907"/>
    </row>
    <row r="979" spans="1:39">
      <c r="A979" s="907"/>
      <c r="B979" s="907"/>
      <c r="C979" s="907"/>
      <c r="D979" s="907"/>
      <c r="E979" s="907"/>
      <c r="F979" s="907"/>
      <c r="G979" s="907"/>
      <c r="H979" s="907"/>
      <c r="I979" s="907"/>
      <c r="J979" s="907"/>
      <c r="K979" s="907"/>
      <c r="L979" s="907"/>
      <c r="M979" s="907"/>
      <c r="N979" s="907"/>
      <c r="O979" s="907"/>
      <c r="P979" s="907"/>
      <c r="Q979" s="907"/>
      <c r="R979" s="907"/>
      <c r="S979" s="907"/>
      <c r="T979" s="907"/>
      <c r="U979" s="907"/>
      <c r="V979" s="907"/>
      <c r="W979" s="907"/>
      <c r="X979" s="907"/>
      <c r="Y979" s="907"/>
      <c r="Z979" s="907"/>
      <c r="AA979" s="907"/>
      <c r="AB979" s="907"/>
      <c r="AC979" s="907"/>
      <c r="AD979" s="907"/>
      <c r="AE979" s="907"/>
      <c r="AF979" s="907"/>
      <c r="AG979" s="907"/>
      <c r="AH979" s="907"/>
      <c r="AI979" s="907"/>
      <c r="AJ979" s="907"/>
      <c r="AK979" s="907"/>
      <c r="AL979" s="907"/>
      <c r="AM979" s="907"/>
    </row>
    <row r="980" spans="1:39">
      <c r="A980" s="907"/>
      <c r="B980" s="907"/>
      <c r="C980" s="907"/>
      <c r="D980" s="907"/>
      <c r="E980" s="907"/>
      <c r="F980" s="907"/>
      <c r="G980" s="907"/>
      <c r="H980" s="907"/>
      <c r="I980" s="907"/>
      <c r="J980" s="907"/>
      <c r="K980" s="907"/>
      <c r="L980" s="907"/>
      <c r="M980" s="907"/>
      <c r="N980" s="907"/>
      <c r="O980" s="907"/>
      <c r="P980" s="907"/>
      <c r="Q980" s="907"/>
      <c r="R980" s="907"/>
      <c r="S980" s="907"/>
      <c r="T980" s="907"/>
      <c r="U980" s="907"/>
      <c r="V980" s="907"/>
      <c r="W980" s="907"/>
      <c r="X980" s="907"/>
      <c r="Y980" s="907"/>
      <c r="Z980" s="907"/>
      <c r="AA980" s="907"/>
      <c r="AB980" s="907"/>
      <c r="AC980" s="907"/>
      <c r="AD980" s="907"/>
      <c r="AE980" s="907"/>
      <c r="AF980" s="907"/>
      <c r="AG980" s="907"/>
      <c r="AH980" s="907"/>
      <c r="AI980" s="907"/>
      <c r="AJ980" s="907"/>
      <c r="AK980" s="907"/>
      <c r="AL980" s="907"/>
      <c r="AM980" s="907"/>
    </row>
    <row r="981" spans="1:39">
      <c r="A981" s="907"/>
      <c r="B981" s="907"/>
      <c r="C981" s="907"/>
      <c r="D981" s="907"/>
      <c r="E981" s="907"/>
      <c r="F981" s="907"/>
      <c r="G981" s="907"/>
      <c r="H981" s="907"/>
      <c r="I981" s="907"/>
      <c r="J981" s="907"/>
      <c r="K981" s="907"/>
      <c r="L981" s="907"/>
      <c r="M981" s="907"/>
      <c r="N981" s="907"/>
      <c r="O981" s="907"/>
      <c r="P981" s="907"/>
      <c r="Q981" s="907"/>
      <c r="R981" s="907"/>
      <c r="S981" s="907"/>
      <c r="T981" s="907"/>
      <c r="U981" s="907"/>
      <c r="V981" s="907"/>
      <c r="W981" s="907"/>
      <c r="X981" s="907"/>
      <c r="Y981" s="907"/>
      <c r="Z981" s="907"/>
      <c r="AA981" s="907"/>
      <c r="AB981" s="907"/>
      <c r="AC981" s="907"/>
      <c r="AD981" s="907"/>
      <c r="AE981" s="907"/>
      <c r="AF981" s="907"/>
      <c r="AG981" s="907"/>
      <c r="AH981" s="907"/>
      <c r="AI981" s="907"/>
      <c r="AJ981" s="907"/>
      <c r="AK981" s="907"/>
      <c r="AL981" s="907"/>
      <c r="AM981" s="907"/>
    </row>
    <row r="982" spans="1:39">
      <c r="A982" s="907"/>
      <c r="B982" s="907"/>
      <c r="C982" s="907"/>
      <c r="D982" s="907"/>
      <c r="E982" s="907"/>
      <c r="F982" s="907"/>
      <c r="G982" s="907"/>
      <c r="H982" s="907"/>
      <c r="I982" s="907"/>
      <c r="J982" s="907"/>
      <c r="K982" s="907"/>
      <c r="L982" s="907"/>
      <c r="M982" s="907"/>
      <c r="N982" s="907"/>
      <c r="O982" s="907"/>
      <c r="P982" s="907"/>
      <c r="Q982" s="907"/>
      <c r="R982" s="907"/>
      <c r="S982" s="907"/>
      <c r="T982" s="907"/>
      <c r="U982" s="907"/>
      <c r="V982" s="907"/>
      <c r="W982" s="907"/>
      <c r="X982" s="907"/>
      <c r="Y982" s="907"/>
      <c r="Z982" s="907"/>
      <c r="AA982" s="907"/>
      <c r="AB982" s="907"/>
      <c r="AC982" s="907"/>
      <c r="AD982" s="907"/>
      <c r="AE982" s="907"/>
      <c r="AF982" s="907"/>
      <c r="AG982" s="907"/>
      <c r="AH982" s="907"/>
      <c r="AI982" s="907"/>
      <c r="AJ982" s="907"/>
      <c r="AK982" s="907"/>
      <c r="AL982" s="907"/>
      <c r="AM982" s="907"/>
    </row>
    <row r="983" spans="1:39">
      <c r="A983" s="907"/>
      <c r="B983" s="907"/>
      <c r="C983" s="907"/>
      <c r="D983" s="907"/>
      <c r="E983" s="907"/>
      <c r="F983" s="907"/>
      <c r="G983" s="907"/>
      <c r="H983" s="907"/>
      <c r="I983" s="907"/>
      <c r="J983" s="907"/>
      <c r="K983" s="907"/>
      <c r="L983" s="907"/>
      <c r="M983" s="907"/>
      <c r="N983" s="907"/>
      <c r="O983" s="907"/>
      <c r="P983" s="907"/>
      <c r="Q983" s="907"/>
      <c r="R983" s="907"/>
      <c r="S983" s="907"/>
      <c r="T983" s="907"/>
      <c r="U983" s="907"/>
      <c r="V983" s="907"/>
      <c r="W983" s="907"/>
      <c r="X983" s="907"/>
      <c r="Y983" s="907"/>
      <c r="Z983" s="907"/>
      <c r="AA983" s="907"/>
      <c r="AB983" s="907"/>
      <c r="AC983" s="907"/>
      <c r="AD983" s="907"/>
      <c r="AE983" s="907"/>
      <c r="AF983" s="907"/>
      <c r="AG983" s="907"/>
      <c r="AH983" s="907"/>
      <c r="AI983" s="907"/>
      <c r="AJ983" s="907"/>
      <c r="AK983" s="907"/>
      <c r="AL983" s="907"/>
      <c r="AM983" s="907"/>
    </row>
    <row r="984" spans="1:39">
      <c r="A984" s="907"/>
      <c r="B984" s="907"/>
      <c r="C984" s="907"/>
      <c r="D984" s="907"/>
      <c r="E984" s="907"/>
      <c r="F984" s="907"/>
      <c r="G984" s="907"/>
      <c r="H984" s="907"/>
      <c r="I984" s="907"/>
      <c r="J984" s="907"/>
      <c r="K984" s="907"/>
      <c r="L984" s="907"/>
      <c r="M984" s="907"/>
      <c r="N984" s="907"/>
      <c r="O984" s="907"/>
      <c r="P984" s="907"/>
      <c r="Q984" s="907"/>
      <c r="R984" s="907"/>
      <c r="S984" s="907"/>
      <c r="T984" s="907"/>
      <c r="U984" s="907"/>
      <c r="V984" s="907"/>
      <c r="W984" s="907"/>
      <c r="X984" s="907"/>
      <c r="Y984" s="907"/>
      <c r="Z984" s="907"/>
      <c r="AA984" s="907"/>
      <c r="AB984" s="907"/>
      <c r="AC984" s="907"/>
      <c r="AD984" s="907"/>
      <c r="AE984" s="907"/>
      <c r="AF984" s="907"/>
      <c r="AG984" s="907"/>
      <c r="AH984" s="907"/>
      <c r="AI984" s="907"/>
      <c r="AJ984" s="907"/>
      <c r="AK984" s="907"/>
      <c r="AL984" s="907"/>
      <c r="AM984" s="907"/>
    </row>
    <row r="985" spans="1:39">
      <c r="A985" s="907"/>
      <c r="B985" s="907"/>
      <c r="C985" s="907"/>
      <c r="D985" s="907"/>
      <c r="E985" s="907"/>
      <c r="F985" s="907"/>
      <c r="G985" s="907"/>
      <c r="H985" s="907"/>
      <c r="I985" s="907"/>
      <c r="J985" s="907"/>
      <c r="K985" s="907"/>
      <c r="L985" s="907"/>
      <c r="M985" s="907"/>
      <c r="N985" s="907"/>
      <c r="O985" s="907"/>
      <c r="P985" s="907"/>
      <c r="Q985" s="907"/>
      <c r="R985" s="907"/>
      <c r="S985" s="907"/>
      <c r="T985" s="907"/>
      <c r="U985" s="907"/>
      <c r="V985" s="907"/>
      <c r="W985" s="907"/>
      <c r="X985" s="907"/>
      <c r="Y985" s="907"/>
      <c r="Z985" s="907"/>
      <c r="AA985" s="907"/>
      <c r="AB985" s="907"/>
      <c r="AC985" s="907"/>
      <c r="AD985" s="907"/>
      <c r="AE985" s="907"/>
      <c r="AF985" s="907"/>
      <c r="AG985" s="907"/>
      <c r="AH985" s="907"/>
      <c r="AI985" s="907"/>
      <c r="AJ985" s="907"/>
      <c r="AK985" s="907"/>
      <c r="AL985" s="907"/>
      <c r="AM985" s="907"/>
    </row>
    <row r="986" spans="1:39">
      <c r="A986" s="907"/>
      <c r="B986" s="907"/>
      <c r="C986" s="907"/>
      <c r="D986" s="907"/>
      <c r="E986" s="907"/>
      <c r="F986" s="907"/>
      <c r="G986" s="907"/>
      <c r="H986" s="907"/>
      <c r="I986" s="907"/>
      <c r="J986" s="907"/>
      <c r="K986" s="907"/>
      <c r="L986" s="907"/>
      <c r="M986" s="907"/>
      <c r="N986" s="907"/>
      <c r="O986" s="907"/>
      <c r="P986" s="907"/>
      <c r="Q986" s="907"/>
      <c r="R986" s="907"/>
      <c r="S986" s="907"/>
      <c r="T986" s="907"/>
      <c r="U986" s="907"/>
      <c r="V986" s="907"/>
      <c r="W986" s="907"/>
      <c r="X986" s="907"/>
      <c r="Y986" s="907"/>
      <c r="Z986" s="907"/>
      <c r="AA986" s="907"/>
      <c r="AB986" s="907"/>
      <c r="AC986" s="907"/>
      <c r="AD986" s="907"/>
      <c r="AE986" s="907"/>
      <c r="AF986" s="907"/>
      <c r="AG986" s="907"/>
      <c r="AH986" s="907"/>
      <c r="AI986" s="907"/>
      <c r="AJ986" s="907"/>
      <c r="AK986" s="907"/>
      <c r="AL986" s="907"/>
      <c r="AM986" s="907"/>
    </row>
    <row r="987" spans="1:39">
      <c r="A987" s="907"/>
      <c r="B987" s="907"/>
      <c r="C987" s="907"/>
      <c r="D987" s="907"/>
      <c r="E987" s="907"/>
      <c r="F987" s="907"/>
      <c r="G987" s="907"/>
      <c r="H987" s="907"/>
      <c r="I987" s="907"/>
      <c r="J987" s="907"/>
      <c r="K987" s="907"/>
      <c r="L987" s="907"/>
      <c r="M987" s="907"/>
      <c r="N987" s="907"/>
      <c r="O987" s="907"/>
      <c r="P987" s="907"/>
      <c r="Q987" s="907"/>
      <c r="R987" s="907"/>
      <c r="S987" s="907"/>
      <c r="T987" s="907"/>
      <c r="U987" s="907"/>
      <c r="V987" s="907"/>
      <c r="W987" s="907"/>
      <c r="X987" s="907"/>
      <c r="Y987" s="907"/>
      <c r="Z987" s="907"/>
      <c r="AA987" s="907"/>
      <c r="AB987" s="907"/>
      <c r="AC987" s="907"/>
      <c r="AD987" s="907"/>
      <c r="AE987" s="907"/>
      <c r="AF987" s="907"/>
      <c r="AG987" s="907"/>
      <c r="AH987" s="907"/>
      <c r="AI987" s="907"/>
      <c r="AJ987" s="907"/>
      <c r="AK987" s="907"/>
      <c r="AL987" s="907"/>
      <c r="AM987" s="907"/>
    </row>
    <row r="988" spans="1:39">
      <c r="A988" s="907"/>
      <c r="B988" s="907"/>
      <c r="C988" s="907"/>
      <c r="D988" s="907"/>
      <c r="E988" s="907"/>
      <c r="F988" s="907"/>
      <c r="G988" s="907"/>
      <c r="H988" s="907"/>
      <c r="I988" s="907"/>
      <c r="J988" s="907"/>
      <c r="K988" s="907"/>
      <c r="L988" s="907"/>
      <c r="M988" s="907"/>
      <c r="N988" s="907"/>
      <c r="O988" s="907"/>
      <c r="P988" s="907"/>
      <c r="Q988" s="907"/>
      <c r="R988" s="907"/>
      <c r="S988" s="907"/>
      <c r="T988" s="907"/>
      <c r="U988" s="907"/>
      <c r="V988" s="907"/>
      <c r="W988" s="907"/>
      <c r="X988" s="907"/>
      <c r="Y988" s="907"/>
      <c r="Z988" s="907"/>
      <c r="AA988" s="907"/>
      <c r="AB988" s="907"/>
      <c r="AC988" s="907"/>
      <c r="AD988" s="907"/>
      <c r="AE988" s="907"/>
      <c r="AF988" s="907"/>
      <c r="AG988" s="907"/>
      <c r="AH988" s="907"/>
      <c r="AI988" s="907"/>
      <c r="AJ988" s="907"/>
      <c r="AK988" s="907"/>
      <c r="AL988" s="907"/>
      <c r="AM988" s="907"/>
    </row>
    <row r="989" spans="1:39">
      <c r="A989" s="907"/>
      <c r="B989" s="907"/>
      <c r="C989" s="907"/>
      <c r="D989" s="907"/>
      <c r="E989" s="907"/>
      <c r="F989" s="907"/>
      <c r="G989" s="907"/>
      <c r="H989" s="907"/>
      <c r="I989" s="907"/>
      <c r="J989" s="907"/>
      <c r="K989" s="907"/>
      <c r="L989" s="907"/>
      <c r="M989" s="907"/>
      <c r="N989" s="907"/>
      <c r="O989" s="907"/>
      <c r="P989" s="907"/>
      <c r="Q989" s="907"/>
      <c r="R989" s="907"/>
      <c r="S989" s="907"/>
      <c r="T989" s="907"/>
      <c r="U989" s="907"/>
      <c r="V989" s="907"/>
      <c r="W989" s="907"/>
      <c r="X989" s="907"/>
      <c r="Y989" s="907"/>
      <c r="Z989" s="907"/>
      <c r="AA989" s="907"/>
      <c r="AB989" s="907"/>
      <c r="AC989" s="907"/>
      <c r="AD989" s="907"/>
      <c r="AE989" s="907"/>
      <c r="AF989" s="907"/>
      <c r="AG989" s="907"/>
      <c r="AH989" s="907"/>
      <c r="AI989" s="907"/>
      <c r="AJ989" s="907"/>
      <c r="AK989" s="907"/>
      <c r="AL989" s="907"/>
      <c r="AM989" s="907"/>
    </row>
    <row r="990" spans="1:39">
      <c r="A990" s="907"/>
      <c r="B990" s="907"/>
      <c r="C990" s="907"/>
      <c r="D990" s="907"/>
      <c r="E990" s="907"/>
      <c r="F990" s="907"/>
      <c r="G990" s="907"/>
      <c r="H990" s="907"/>
      <c r="I990" s="907"/>
      <c r="J990" s="907"/>
      <c r="K990" s="907"/>
      <c r="L990" s="907"/>
      <c r="M990" s="907"/>
      <c r="N990" s="907"/>
      <c r="O990" s="907"/>
      <c r="P990" s="907"/>
      <c r="Q990" s="907"/>
      <c r="R990" s="907"/>
      <c r="S990" s="907"/>
      <c r="T990" s="907"/>
      <c r="U990" s="907"/>
      <c r="V990" s="907"/>
      <c r="W990" s="907"/>
      <c r="X990" s="907"/>
      <c r="Y990" s="907"/>
      <c r="Z990" s="907"/>
      <c r="AA990" s="907"/>
      <c r="AB990" s="907"/>
      <c r="AC990" s="907"/>
      <c r="AD990" s="907"/>
      <c r="AE990" s="907"/>
      <c r="AF990" s="907"/>
      <c r="AG990" s="907"/>
      <c r="AH990" s="907"/>
      <c r="AI990" s="907"/>
      <c r="AJ990" s="907"/>
      <c r="AK990" s="907"/>
      <c r="AL990" s="907"/>
      <c r="AM990" s="907"/>
    </row>
    <row r="991" spans="1:39">
      <c r="A991" s="907"/>
      <c r="B991" s="907"/>
      <c r="C991" s="907"/>
      <c r="D991" s="907"/>
      <c r="E991" s="907"/>
      <c r="F991" s="907"/>
      <c r="G991" s="907"/>
      <c r="H991" s="907"/>
      <c r="I991" s="907"/>
      <c r="J991" s="907"/>
      <c r="K991" s="907"/>
      <c r="L991" s="907"/>
      <c r="M991" s="907"/>
      <c r="N991" s="907"/>
      <c r="O991" s="907"/>
      <c r="P991" s="907"/>
      <c r="Q991" s="907"/>
      <c r="R991" s="907"/>
      <c r="S991" s="907"/>
      <c r="T991" s="907"/>
      <c r="U991" s="907"/>
      <c r="V991" s="907"/>
      <c r="W991" s="907"/>
      <c r="X991" s="907"/>
      <c r="Y991" s="907"/>
      <c r="Z991" s="907"/>
      <c r="AA991" s="907"/>
      <c r="AB991" s="907"/>
      <c r="AC991" s="907"/>
      <c r="AD991" s="907"/>
      <c r="AE991" s="907"/>
      <c r="AF991" s="907"/>
      <c r="AG991" s="907"/>
      <c r="AH991" s="907"/>
      <c r="AI991" s="907"/>
      <c r="AJ991" s="907"/>
      <c r="AK991" s="907"/>
      <c r="AL991" s="907"/>
      <c r="AM991" s="907"/>
    </row>
    <row r="992" spans="1:39">
      <c r="A992" s="907"/>
      <c r="B992" s="907"/>
      <c r="C992" s="907"/>
      <c r="D992" s="907"/>
      <c r="E992" s="907"/>
      <c r="F992" s="907"/>
      <c r="G992" s="907"/>
      <c r="H992" s="907"/>
      <c r="I992" s="907"/>
      <c r="J992" s="907"/>
      <c r="K992" s="907"/>
      <c r="L992" s="907"/>
      <c r="M992" s="907"/>
      <c r="N992" s="907"/>
      <c r="O992" s="907"/>
      <c r="P992" s="907"/>
      <c r="Q992" s="907"/>
      <c r="R992" s="907"/>
      <c r="S992" s="907"/>
      <c r="T992" s="907"/>
      <c r="U992" s="907"/>
      <c r="V992" s="907"/>
      <c r="W992" s="907"/>
      <c r="X992" s="907"/>
      <c r="Y992" s="907"/>
      <c r="Z992" s="907"/>
      <c r="AA992" s="907"/>
      <c r="AB992" s="907"/>
      <c r="AC992" s="907"/>
      <c r="AD992" s="907"/>
      <c r="AE992" s="907"/>
      <c r="AF992" s="907"/>
      <c r="AG992" s="907"/>
      <c r="AH992" s="907"/>
      <c r="AI992" s="907"/>
      <c r="AJ992" s="907"/>
      <c r="AK992" s="907"/>
      <c r="AL992" s="907"/>
      <c r="AM992" s="907"/>
    </row>
    <row r="993" spans="1:39">
      <c r="A993" s="907"/>
      <c r="B993" s="907"/>
      <c r="C993" s="907"/>
      <c r="D993" s="907"/>
      <c r="E993" s="907"/>
      <c r="F993" s="907"/>
      <c r="G993" s="907"/>
      <c r="H993" s="907"/>
      <c r="I993" s="907"/>
      <c r="J993" s="907"/>
      <c r="K993" s="907"/>
      <c r="L993" s="907"/>
      <c r="M993" s="907"/>
      <c r="N993" s="907"/>
      <c r="O993" s="907"/>
      <c r="P993" s="907"/>
      <c r="Q993" s="907"/>
      <c r="R993" s="907"/>
      <c r="S993" s="907"/>
      <c r="T993" s="907"/>
      <c r="U993" s="907"/>
      <c r="V993" s="907"/>
      <c r="W993" s="907"/>
      <c r="X993" s="907"/>
      <c r="Y993" s="907"/>
      <c r="Z993" s="907"/>
      <c r="AA993" s="907"/>
      <c r="AB993" s="907"/>
      <c r="AC993" s="907"/>
      <c r="AD993" s="907"/>
      <c r="AE993" s="907"/>
      <c r="AF993" s="907"/>
      <c r="AG993" s="907"/>
      <c r="AH993" s="907"/>
      <c r="AI993" s="907"/>
      <c r="AJ993" s="907"/>
      <c r="AK993" s="907"/>
      <c r="AL993" s="907"/>
      <c r="AM993" s="907"/>
    </row>
    <row r="994" spans="1:39">
      <c r="A994" s="907"/>
      <c r="B994" s="907"/>
      <c r="C994" s="907"/>
      <c r="D994" s="907"/>
      <c r="E994" s="907"/>
      <c r="F994" s="907"/>
      <c r="G994" s="907"/>
      <c r="H994" s="907"/>
      <c r="I994" s="907"/>
      <c r="J994" s="907"/>
      <c r="K994" s="907"/>
      <c r="L994" s="907"/>
      <c r="M994" s="907"/>
      <c r="N994" s="907"/>
      <c r="O994" s="907"/>
      <c r="P994" s="907"/>
      <c r="Q994" s="907"/>
      <c r="R994" s="907"/>
      <c r="S994" s="907"/>
      <c r="T994" s="907"/>
      <c r="U994" s="907"/>
      <c r="V994" s="907"/>
      <c r="W994" s="907"/>
      <c r="X994" s="907"/>
      <c r="Y994" s="907"/>
      <c r="Z994" s="907"/>
      <c r="AA994" s="907"/>
      <c r="AB994" s="907"/>
      <c r="AC994" s="907"/>
      <c r="AD994" s="907"/>
      <c r="AE994" s="907"/>
      <c r="AF994" s="907"/>
      <c r="AG994" s="907"/>
      <c r="AH994" s="907"/>
      <c r="AI994" s="907"/>
      <c r="AJ994" s="907"/>
      <c r="AK994" s="907"/>
      <c r="AL994" s="907"/>
      <c r="AM994" s="907"/>
    </row>
    <row r="995" spans="1:39">
      <c r="A995" s="907"/>
      <c r="B995" s="907"/>
      <c r="C995" s="907"/>
      <c r="D995" s="907"/>
      <c r="E995" s="907"/>
      <c r="F995" s="907"/>
      <c r="G995" s="907"/>
      <c r="H995" s="907"/>
      <c r="I995" s="907"/>
      <c r="J995" s="907"/>
      <c r="K995" s="907"/>
      <c r="L995" s="907"/>
      <c r="M995" s="907"/>
      <c r="N995" s="907"/>
      <c r="O995" s="907"/>
      <c r="P995" s="907"/>
      <c r="Q995" s="907"/>
      <c r="R995" s="907"/>
      <c r="S995" s="907"/>
      <c r="T995" s="907"/>
      <c r="U995" s="907"/>
      <c r="V995" s="907"/>
      <c r="W995" s="907"/>
      <c r="X995" s="907"/>
      <c r="Y995" s="907"/>
      <c r="Z995" s="907"/>
      <c r="AA995" s="907"/>
      <c r="AB995" s="907"/>
      <c r="AC995" s="907"/>
      <c r="AD995" s="907"/>
      <c r="AE995" s="907"/>
      <c r="AF995" s="907"/>
      <c r="AG995" s="907"/>
      <c r="AH995" s="907"/>
      <c r="AI995" s="907"/>
      <c r="AJ995" s="907"/>
      <c r="AK995" s="907"/>
      <c r="AL995" s="907"/>
      <c r="AM995" s="907"/>
    </row>
    <row r="996" spans="1:39">
      <c r="A996" s="907"/>
      <c r="B996" s="907"/>
      <c r="C996" s="907"/>
      <c r="D996" s="907"/>
      <c r="E996" s="907"/>
      <c r="F996" s="907"/>
      <c r="G996" s="907"/>
      <c r="H996" s="907"/>
      <c r="I996" s="907"/>
      <c r="J996" s="907"/>
      <c r="K996" s="907"/>
      <c r="L996" s="907"/>
      <c r="M996" s="907"/>
      <c r="N996" s="907"/>
      <c r="O996" s="907"/>
      <c r="P996" s="907"/>
      <c r="Q996" s="907"/>
      <c r="R996" s="907"/>
      <c r="S996" s="907"/>
      <c r="T996" s="907"/>
      <c r="U996" s="907"/>
      <c r="V996" s="907"/>
      <c r="W996" s="907"/>
      <c r="X996" s="907"/>
      <c r="Y996" s="907"/>
      <c r="Z996" s="907"/>
      <c r="AA996" s="907"/>
      <c r="AB996" s="907"/>
      <c r="AC996" s="907"/>
      <c r="AD996" s="907"/>
      <c r="AE996" s="907"/>
      <c r="AF996" s="907"/>
      <c r="AG996" s="907"/>
      <c r="AH996" s="907"/>
      <c r="AI996" s="907"/>
      <c r="AJ996" s="907"/>
      <c r="AK996" s="907"/>
      <c r="AL996" s="907"/>
      <c r="AM996" s="907"/>
    </row>
    <row r="997" spans="1:39">
      <c r="A997" s="907"/>
      <c r="B997" s="907"/>
      <c r="C997" s="907"/>
      <c r="D997" s="907"/>
      <c r="E997" s="907"/>
      <c r="F997" s="907"/>
      <c r="G997" s="907"/>
      <c r="H997" s="907"/>
      <c r="I997" s="907"/>
      <c r="J997" s="907"/>
      <c r="K997" s="907"/>
      <c r="L997" s="907"/>
      <c r="M997" s="907"/>
      <c r="N997" s="907"/>
      <c r="O997" s="907"/>
      <c r="P997" s="907"/>
      <c r="Q997" s="907"/>
      <c r="R997" s="907"/>
      <c r="S997" s="907"/>
      <c r="T997" s="907"/>
      <c r="U997" s="907"/>
      <c r="V997" s="907"/>
      <c r="W997" s="907"/>
      <c r="X997" s="907"/>
      <c r="Y997" s="907"/>
      <c r="Z997" s="907"/>
      <c r="AA997" s="907"/>
      <c r="AB997" s="907"/>
      <c r="AC997" s="907"/>
      <c r="AD997" s="907"/>
      <c r="AE997" s="907"/>
      <c r="AF997" s="907"/>
      <c r="AG997" s="907"/>
      <c r="AH997" s="907"/>
      <c r="AI997" s="907"/>
      <c r="AJ997" s="907"/>
      <c r="AK997" s="907"/>
      <c r="AL997" s="907"/>
      <c r="AM997" s="907"/>
    </row>
    <row r="998" spans="1:39">
      <c r="A998" s="907"/>
      <c r="B998" s="907"/>
      <c r="C998" s="907"/>
      <c r="D998" s="907"/>
      <c r="E998" s="907"/>
      <c r="F998" s="907"/>
      <c r="G998" s="907"/>
      <c r="H998" s="907"/>
      <c r="I998" s="907"/>
      <c r="J998" s="907"/>
      <c r="K998" s="907"/>
      <c r="L998" s="907"/>
      <c r="M998" s="907"/>
      <c r="N998" s="907"/>
      <c r="O998" s="907"/>
      <c r="P998" s="907"/>
      <c r="Q998" s="907"/>
      <c r="R998" s="907"/>
      <c r="S998" s="907"/>
      <c r="T998" s="907"/>
      <c r="U998" s="907"/>
      <c r="V998" s="907"/>
      <c r="W998" s="907"/>
      <c r="X998" s="907"/>
      <c r="Y998" s="907"/>
      <c r="Z998" s="907"/>
      <c r="AA998" s="907"/>
      <c r="AB998" s="907"/>
      <c r="AC998" s="907"/>
      <c r="AD998" s="907"/>
      <c r="AE998" s="907"/>
      <c r="AF998" s="907"/>
      <c r="AG998" s="907"/>
      <c r="AH998" s="907"/>
      <c r="AI998" s="907"/>
      <c r="AJ998" s="907"/>
      <c r="AK998" s="907"/>
      <c r="AL998" s="907"/>
      <c r="AM998" s="907"/>
    </row>
  </sheetData>
  <mergeCells count="14">
    <mergeCell ref="N50:N52"/>
    <mergeCell ref="N57:N58"/>
    <mergeCell ref="N4:N7"/>
    <mergeCell ref="N8:N9"/>
    <mergeCell ref="N10:N15"/>
    <mergeCell ref="N16:N21"/>
    <mergeCell ref="N22:N23"/>
    <mergeCell ref="N24:N27"/>
    <mergeCell ref="N28:N29"/>
    <mergeCell ref="N30:N33"/>
    <mergeCell ref="N34:N35"/>
    <mergeCell ref="N36:N41"/>
    <mergeCell ref="N42:N45"/>
    <mergeCell ref="N46:N49"/>
  </mergeCells>
  <phoneticPr fontId="135"/>
  <conditionalFormatting sqref="A14:A21 A23:A26">
    <cfRule type="expression" dxfId="15" priority="1">
      <formula>$AA14="退職"</formula>
    </cfRule>
  </conditionalFormatting>
  <printOptions horizontalCentered="1" gridLines="1"/>
  <pageMargins left="0.25" right="0.25" top="0.75" bottom="0.75" header="0" footer="0"/>
  <pageSetup paperSize="9" pageOrder="overThenDown" orientation="portrait"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U21"/>
  <sheetViews>
    <sheetView workbookViewId="0"/>
  </sheetViews>
  <sheetFormatPr defaultColWidth="12.6328125" defaultRowHeight="15" customHeight="1"/>
  <cols>
    <col min="1" max="1" width="3.90625" customWidth="1"/>
    <col min="2" max="2" width="3.7265625" customWidth="1"/>
    <col min="3" max="3" width="6.453125" customWidth="1"/>
    <col min="4" max="4" width="13.453125" customWidth="1"/>
    <col min="5" max="5" width="31.6328125" customWidth="1"/>
    <col min="6" max="6" width="4.6328125" customWidth="1"/>
    <col min="7" max="7" width="9.90625" customWidth="1"/>
    <col min="8" max="8" width="4.6328125" customWidth="1"/>
    <col min="9" max="9" width="12" customWidth="1"/>
    <col min="10" max="10" width="14.453125" customWidth="1"/>
    <col min="11" max="11" width="12" customWidth="1"/>
    <col min="12" max="12" width="8.36328125" customWidth="1"/>
    <col min="13" max="13" width="8.36328125" hidden="1" customWidth="1"/>
    <col min="14" max="14" width="8.36328125" customWidth="1"/>
    <col min="15" max="15" width="16.90625" customWidth="1"/>
    <col min="16" max="16" width="9.90625" customWidth="1"/>
    <col min="17" max="17" width="8.36328125" customWidth="1"/>
    <col min="18" max="18" width="12" customWidth="1"/>
    <col min="19" max="19" width="10.90625" customWidth="1"/>
    <col min="20" max="21" width="10.08984375" customWidth="1"/>
    <col min="22" max="22" width="13.90625" customWidth="1"/>
    <col min="23" max="23" width="17.7265625" customWidth="1"/>
    <col min="24" max="24" width="10.08984375" customWidth="1"/>
    <col min="25" max="25" width="12.90625" customWidth="1"/>
    <col min="26" max="26" width="12" customWidth="1"/>
    <col min="27" max="27" width="12.08984375" customWidth="1"/>
    <col min="28" max="28" width="12" customWidth="1"/>
    <col min="29" max="29" width="10.08984375" customWidth="1"/>
    <col min="30" max="30" width="12.26953125" customWidth="1"/>
    <col min="31" max="31" width="10" customWidth="1"/>
    <col min="32" max="32" width="9.90625" customWidth="1"/>
    <col min="33" max="33" width="8.36328125" customWidth="1"/>
    <col min="34" max="34" width="9.90625" customWidth="1"/>
    <col min="35" max="35" width="54" customWidth="1"/>
  </cols>
  <sheetData>
    <row r="1" spans="1:21">
      <c r="A1" s="594" t="s">
        <v>4308</v>
      </c>
      <c r="B1" s="1031"/>
      <c r="D1" s="611" t="s">
        <v>4309</v>
      </c>
    </row>
    <row r="2" spans="1:21">
      <c r="B2" s="1031"/>
      <c r="D2" s="594" t="s">
        <v>4310</v>
      </c>
    </row>
    <row r="3" spans="1:21">
      <c r="A3" s="1032" t="s">
        <v>4261</v>
      </c>
      <c r="B3" s="1033" t="str">
        <f ca="1">IFERROR(__xludf.DUMMYFUNCTION("QUERY('管理表'!A:AP,""select B,C,D,G,J,K,L,N,O,Q,T where ((C = '津吉' and R = '""&amp;$D$1&amp;$N4&amp;""'and S = '""&amp;$A4&amp;""')) and not(AH = '退職')"",1)"),"No")</f>
        <v>No</v>
      </c>
      <c r="C3" s="1034" t="str">
        <f ca="1">IFERROR(__xludf.DUMMYFUNCTION("""COMPUTED_VALUE"""),"勤務地")</f>
        <v>勤務地</v>
      </c>
      <c r="D3" s="1034" t="str">
        <f ca="1">IFERROR(__xludf.DUMMYFUNCTION("""COMPUTED_VALUE"""),"国籍")</f>
        <v>国籍</v>
      </c>
      <c r="E3" s="1034" t="str">
        <f ca="1">IFERROR(__xludf.DUMMYFUNCTION("""COMPUTED_VALUE"""),"フリガナ")</f>
        <v>フリガナ</v>
      </c>
      <c r="F3" s="1034" t="str">
        <f ca="1">IFERROR(__xludf.DUMMYFUNCTION("""COMPUTED_VALUE"""),"性別")</f>
        <v>性別</v>
      </c>
      <c r="G3" s="1034" t="str">
        <f ca="1">IFERROR(__xludf.DUMMYFUNCTION("""COMPUTED_VALUE"""),"生年月日")</f>
        <v>生年月日</v>
      </c>
      <c r="H3" s="1034" t="str">
        <f ca="1">IFERROR(__xludf.DUMMYFUNCTION("""COMPUTED_VALUE"""),"年齢")</f>
        <v>年齢</v>
      </c>
      <c r="I3" s="1034" t="str">
        <f ca="1">IFERROR(__xludf.DUMMYFUNCTION("""COMPUTED_VALUE"""),"登録支援機関")</f>
        <v>登録支援機関</v>
      </c>
      <c r="J3" s="1034" t="str">
        <f ca="1">IFERROR(__xludf.DUMMYFUNCTION("""COMPUTED_VALUE"""),"入社日")</f>
        <v>入社日</v>
      </c>
      <c r="K3" s="1034" t="str">
        <f ca="1">IFERROR(__xludf.DUMMYFUNCTION("""COMPUTED_VALUE"""),"実習区分")</f>
        <v>実習区分</v>
      </c>
      <c r="L3" s="1035" t="str">
        <f ca="1">IFERROR(__xludf.DUMMYFUNCTION("""COMPUTED_VALUE"""),"家賃負担")</f>
        <v>家賃負担</v>
      </c>
      <c r="M3" s="1034"/>
      <c r="N3" s="1036" t="s">
        <v>4262</v>
      </c>
      <c r="S3" s="1037" t="s">
        <v>4263</v>
      </c>
      <c r="T3" s="1037" t="s">
        <v>4264</v>
      </c>
      <c r="U3" s="1037" t="s">
        <v>4265</v>
      </c>
    </row>
    <row r="4" spans="1:21">
      <c r="A4" s="1038" t="s">
        <v>82</v>
      </c>
      <c r="B4" s="1039">
        <f ca="1">IFERROR(__xludf.DUMMYFUNCTION("""COMPUTED_VALUE"""),26)</f>
        <v>26</v>
      </c>
      <c r="C4" s="1039" t="str">
        <f ca="1">IFERROR(__xludf.DUMMYFUNCTION("""COMPUTED_VALUE"""),"津吉")</f>
        <v>津吉</v>
      </c>
      <c r="D4" s="1039" t="str">
        <f ca="1">IFERROR(__xludf.DUMMYFUNCTION("""COMPUTED_VALUE"""),"ベトナム")</f>
        <v>ベトナム</v>
      </c>
      <c r="E4" s="1040" t="str">
        <f ca="1">IFERROR(__xludf.DUMMYFUNCTION("""COMPUTED_VALUE"""),"ヴー ティ ホアン")</f>
        <v>ヴー ティ ホアン</v>
      </c>
      <c r="F4" s="1039" t="str">
        <f ca="1">IFERROR(__xludf.DUMMYFUNCTION("""COMPUTED_VALUE"""),"女")</f>
        <v>女</v>
      </c>
      <c r="G4" s="1041">
        <f ca="1">IFERROR(__xludf.DUMMYFUNCTION("""COMPUTED_VALUE"""),32353)</f>
        <v>32353</v>
      </c>
      <c r="H4" s="1039">
        <f ca="1">IFERROR(__xludf.DUMMYFUNCTION("""COMPUTED_VALUE"""),37)</f>
        <v>37</v>
      </c>
      <c r="I4" s="1039" t="str">
        <f ca="1">IFERROR(__xludf.DUMMYFUNCTION("""COMPUTED_VALUE"""),"中四国")</f>
        <v>中四国</v>
      </c>
      <c r="J4" s="1042">
        <f ca="1">IFERROR(__xludf.DUMMYFUNCTION("""COMPUTED_VALUE"""),45111)</f>
        <v>45111</v>
      </c>
      <c r="K4" s="1039" t="str">
        <f ca="1">IFERROR(__xludf.DUMMYFUNCTION("""COMPUTED_VALUE"""),"特定技能１号")</f>
        <v>特定技能１号</v>
      </c>
      <c r="L4" s="1043">
        <f ca="1">IFERROR(__xludf.DUMMYFUNCTION("""COMPUTED_VALUE"""),20000)</f>
        <v>20000</v>
      </c>
      <c r="M4" s="1044"/>
      <c r="N4" s="1653" t="s">
        <v>4311</v>
      </c>
      <c r="O4" s="1045" t="s">
        <v>4312</v>
      </c>
      <c r="S4" s="594">
        <v>60000</v>
      </c>
      <c r="T4" s="594">
        <v>2000</v>
      </c>
      <c r="U4" s="594">
        <v>2500</v>
      </c>
    </row>
    <row r="5" spans="1:21">
      <c r="A5" s="1046" t="s">
        <v>82</v>
      </c>
      <c r="B5" s="1047">
        <f ca="1">IFERROR(__xludf.DUMMYFUNCTION("""COMPUTED_VALUE"""),163)</f>
        <v>163</v>
      </c>
      <c r="C5" s="1047" t="str">
        <f ca="1">IFERROR(__xludf.DUMMYFUNCTION("""COMPUTED_VALUE"""),"津吉")</f>
        <v>津吉</v>
      </c>
      <c r="D5" s="1047" t="str">
        <f ca="1">IFERROR(__xludf.DUMMYFUNCTION("""COMPUTED_VALUE"""),"ベトナム")</f>
        <v>ベトナム</v>
      </c>
      <c r="E5" s="1047" t="str">
        <f ca="1">IFERROR(__xludf.DUMMYFUNCTION("""COMPUTED_VALUE"""),"ホアン ティ ハン")</f>
        <v>ホアン ティ ハン</v>
      </c>
      <c r="F5" s="1047" t="str">
        <f ca="1">IFERROR(__xludf.DUMMYFUNCTION("""COMPUTED_VALUE"""),"女")</f>
        <v>女</v>
      </c>
      <c r="G5" s="1048">
        <f ca="1">IFERROR(__xludf.DUMMYFUNCTION("""COMPUTED_VALUE"""),32890)</f>
        <v>32890</v>
      </c>
      <c r="H5" s="1047">
        <f ca="1">IFERROR(__xludf.DUMMYFUNCTION("""COMPUTED_VALUE"""),36)</f>
        <v>36</v>
      </c>
      <c r="I5" s="1047" t="str">
        <f ca="1">IFERROR(__xludf.DUMMYFUNCTION("""COMPUTED_VALUE"""),"中四国")</f>
        <v>中四国</v>
      </c>
      <c r="J5" s="1049">
        <f ca="1">IFERROR(__xludf.DUMMYFUNCTION("""COMPUTED_VALUE"""),45388)</f>
        <v>45388</v>
      </c>
      <c r="K5" s="1047" t="str">
        <f ca="1">IFERROR(__xludf.DUMMYFUNCTION("""COMPUTED_VALUE"""),"特定技能１号")</f>
        <v>特定技能１号</v>
      </c>
      <c r="L5" s="1050">
        <f ca="1">IFERROR(__xludf.DUMMYFUNCTION("""COMPUTED_VALUE"""),20000)</f>
        <v>20000</v>
      </c>
      <c r="M5" s="1051"/>
      <c r="N5" s="1648"/>
    </row>
    <row r="6" spans="1:21">
      <c r="A6" s="1052" t="s">
        <v>82</v>
      </c>
      <c r="B6" s="1053"/>
      <c r="C6" s="1047" t="s">
        <v>54</v>
      </c>
      <c r="D6" s="1047" t="s">
        <v>55</v>
      </c>
      <c r="E6" s="1054" t="s">
        <v>4313</v>
      </c>
      <c r="F6" s="1047" t="s">
        <v>60</v>
      </c>
      <c r="G6" s="1053"/>
      <c r="H6" s="1053"/>
      <c r="I6" s="1053"/>
      <c r="J6" s="1053"/>
      <c r="K6" s="1053"/>
      <c r="L6" s="1055"/>
      <c r="M6" s="1056"/>
      <c r="N6" s="1648"/>
      <c r="O6" s="1045"/>
    </row>
    <row r="7" spans="1:21">
      <c r="A7" s="1057"/>
      <c r="B7" s="1058"/>
      <c r="C7" s="1058"/>
      <c r="D7" s="1058"/>
      <c r="E7" s="1058"/>
      <c r="F7" s="1058"/>
      <c r="G7" s="1058"/>
      <c r="H7" s="1058"/>
      <c r="I7" s="1058"/>
      <c r="J7" s="1058"/>
      <c r="K7" s="1058"/>
      <c r="L7" s="1059"/>
      <c r="M7" s="1056"/>
      <c r="N7" s="1648"/>
    </row>
    <row r="8" spans="1:21">
      <c r="A8" s="1057"/>
      <c r="B8" s="1058"/>
      <c r="C8" s="1058"/>
      <c r="D8" s="1060"/>
      <c r="E8" s="1058"/>
      <c r="F8" s="1058"/>
      <c r="G8" s="1058"/>
      <c r="H8" s="1058"/>
      <c r="I8" s="1058"/>
      <c r="J8" s="1058"/>
      <c r="K8" s="1058"/>
      <c r="L8" s="1059"/>
      <c r="M8" s="1056"/>
      <c r="N8" s="1648"/>
    </row>
    <row r="9" spans="1:21">
      <c r="A9" s="1061"/>
      <c r="B9" s="1062"/>
      <c r="C9" s="1062"/>
      <c r="D9" s="1062"/>
      <c r="E9" s="1062"/>
      <c r="F9" s="1062"/>
      <c r="G9" s="1062"/>
      <c r="H9" s="1062"/>
      <c r="I9" s="1062"/>
      <c r="J9" s="1062"/>
      <c r="K9" s="1062"/>
      <c r="L9" s="1063"/>
      <c r="M9" s="1064"/>
      <c r="N9" s="1649"/>
    </row>
    <row r="10" spans="1:21">
      <c r="A10" s="1038" t="s">
        <v>82</v>
      </c>
      <c r="B10" s="1065">
        <f ca="1">IFERROR(__xludf.DUMMYFUNCTION("QUERY('管理表'!A:AP,""select B,C,D,G,J,K,L,N,O,Q,T where ((C = '津吉' and R = '""&amp;$D$1&amp;$N10&amp;""'and S = '""&amp;$A10&amp;""')) and not(AH = '退職')"",0)"),170)</f>
        <v>170</v>
      </c>
      <c r="C10" s="1039" t="str">
        <f ca="1">IFERROR(__xludf.DUMMYFUNCTION("""COMPUTED_VALUE"""),"津吉")</f>
        <v>津吉</v>
      </c>
      <c r="D10" s="1039" t="str">
        <f ca="1">IFERROR(__xludf.DUMMYFUNCTION("""COMPUTED_VALUE"""),"インドネシア")</f>
        <v>インドネシア</v>
      </c>
      <c r="E10" s="1039" t="str">
        <f ca="1">IFERROR(__xludf.DUMMYFUNCTION("""COMPUTED_VALUE"""),"イ マデ エサノピオ")</f>
        <v>イ マデ エサノピオ</v>
      </c>
      <c r="F10" s="1039" t="str">
        <f ca="1">IFERROR(__xludf.DUMMYFUNCTION("""COMPUTED_VALUE"""),"男")</f>
        <v>男</v>
      </c>
      <c r="G10" s="1041">
        <f ca="1">IFERROR(__xludf.DUMMYFUNCTION("""COMPUTED_VALUE"""),37939)</f>
        <v>37939</v>
      </c>
      <c r="H10" s="1039">
        <f ca="1">IFERROR(__xludf.DUMMYFUNCTION("""COMPUTED_VALUE"""),22)</f>
        <v>22</v>
      </c>
      <c r="I10" s="1039" t="str">
        <f ca="1">IFERROR(__xludf.DUMMYFUNCTION("""COMPUTED_VALUE"""),"H&amp;C")</f>
        <v>H&amp;C</v>
      </c>
      <c r="J10" s="1042">
        <f ca="1">IFERROR(__xludf.DUMMYFUNCTION("""COMPUTED_VALUE"""),45594)</f>
        <v>45594</v>
      </c>
      <c r="K10" s="1039" t="str">
        <f ca="1">IFERROR(__xludf.DUMMYFUNCTION("""COMPUTED_VALUE"""),"特定技能１号")</f>
        <v>特定技能１号</v>
      </c>
      <c r="L10" s="1066">
        <f ca="1">IFERROR(__xludf.DUMMYFUNCTION("""COMPUTED_VALUE"""),20000)</f>
        <v>20000</v>
      </c>
      <c r="M10" s="1067"/>
      <c r="N10" s="1653" t="s">
        <v>4314</v>
      </c>
      <c r="O10" s="1068" t="s">
        <v>4315</v>
      </c>
      <c r="S10" s="594">
        <v>60000</v>
      </c>
      <c r="T10" s="594">
        <v>2000</v>
      </c>
      <c r="U10" s="594">
        <v>2500</v>
      </c>
    </row>
    <row r="11" spans="1:21">
      <c r="A11" s="1046" t="s">
        <v>82</v>
      </c>
      <c r="B11" s="1047">
        <f ca="1">IFERROR(__xludf.DUMMYFUNCTION("""COMPUTED_VALUE"""),171)</f>
        <v>171</v>
      </c>
      <c r="C11" s="1053" t="str">
        <f ca="1">IFERROR(__xludf.DUMMYFUNCTION("""COMPUTED_VALUE"""),"津吉")</f>
        <v>津吉</v>
      </c>
      <c r="D11" s="1047" t="str">
        <f ca="1">IFERROR(__xludf.DUMMYFUNCTION("""COMPUTED_VALUE"""),"インドネシア")</f>
        <v>インドネシア</v>
      </c>
      <c r="E11" s="1047" t="str">
        <f ca="1">IFERROR(__xludf.DUMMYFUNCTION("""COMPUTED_VALUE"""),"ラストノ スリ ムルヤ")</f>
        <v>ラストノ スリ ムルヤ</v>
      </c>
      <c r="F11" s="1047" t="str">
        <f ca="1">IFERROR(__xludf.DUMMYFUNCTION("""COMPUTED_VALUE"""),"男")</f>
        <v>男</v>
      </c>
      <c r="G11" s="1048">
        <f ca="1">IFERROR(__xludf.DUMMYFUNCTION("""COMPUTED_VALUE"""),38626)</f>
        <v>38626</v>
      </c>
      <c r="H11" s="1047">
        <f ca="1">IFERROR(__xludf.DUMMYFUNCTION("""COMPUTED_VALUE"""),20)</f>
        <v>20</v>
      </c>
      <c r="I11" s="1047" t="str">
        <f ca="1">IFERROR(__xludf.DUMMYFUNCTION("""COMPUTED_VALUE"""),"H&amp;C")</f>
        <v>H&amp;C</v>
      </c>
      <c r="J11" s="1049">
        <f ca="1">IFERROR(__xludf.DUMMYFUNCTION("""COMPUTED_VALUE"""),45594)</f>
        <v>45594</v>
      </c>
      <c r="K11" s="1047" t="str">
        <f ca="1">IFERROR(__xludf.DUMMYFUNCTION("""COMPUTED_VALUE"""),"特定技能１号")</f>
        <v>特定技能１号</v>
      </c>
      <c r="L11" s="1069">
        <f ca="1">IFERROR(__xludf.DUMMYFUNCTION("""COMPUTED_VALUE"""),20000)</f>
        <v>20000</v>
      </c>
      <c r="M11" s="1070"/>
      <c r="N11" s="1648"/>
      <c r="O11" s="1068" t="s">
        <v>4315</v>
      </c>
    </row>
    <row r="12" spans="1:21">
      <c r="A12" s="1052" t="s">
        <v>82</v>
      </c>
      <c r="B12" s="595">
        <f ca="1">IFERROR(__xludf.DUMMYFUNCTION("""COMPUTED_VALUE"""),174)</f>
        <v>174</v>
      </c>
      <c r="C12" s="1071" t="str">
        <f ca="1">IFERROR(__xludf.DUMMYFUNCTION("""COMPUTED_VALUE"""),"津吉")</f>
        <v>津吉</v>
      </c>
      <c r="D12" s="1053" t="str">
        <f ca="1">IFERROR(__xludf.DUMMYFUNCTION("""COMPUTED_VALUE"""),"インドネシア")</f>
        <v>インドネシア</v>
      </c>
      <c r="E12" s="1053" t="str">
        <f ca="1">IFERROR(__xludf.DUMMYFUNCTION("""COMPUTED_VALUE"""),"ダナン アジ プリ アトモコ")</f>
        <v>ダナン アジ プリ アトモコ</v>
      </c>
      <c r="F12" s="1053" t="str">
        <f ca="1">IFERROR(__xludf.DUMMYFUNCTION("""COMPUTED_VALUE"""),"男")</f>
        <v>男</v>
      </c>
      <c r="G12" s="1072">
        <f ca="1">IFERROR(__xludf.DUMMYFUNCTION("""COMPUTED_VALUE"""),38502)</f>
        <v>38502</v>
      </c>
      <c r="H12" s="1053">
        <f ca="1">IFERROR(__xludf.DUMMYFUNCTION("""COMPUTED_VALUE"""),20)</f>
        <v>20</v>
      </c>
      <c r="I12" s="1053" t="str">
        <f ca="1">IFERROR(__xludf.DUMMYFUNCTION("""COMPUTED_VALUE"""),"H&amp;C")</f>
        <v>H&amp;C</v>
      </c>
      <c r="J12" s="1073">
        <f ca="1">IFERROR(__xludf.DUMMYFUNCTION("""COMPUTED_VALUE"""),45587)</f>
        <v>45587</v>
      </c>
      <c r="K12" s="1053" t="str">
        <f ca="1">IFERROR(__xludf.DUMMYFUNCTION("""COMPUTED_VALUE"""),"特定技能１号")</f>
        <v>特定技能１号</v>
      </c>
      <c r="L12" s="1074">
        <f ca="1">IFERROR(__xludf.DUMMYFUNCTION("""COMPUTED_VALUE"""),20000)</f>
        <v>20000</v>
      </c>
      <c r="M12" s="1075"/>
      <c r="N12" s="1648"/>
      <c r="O12" s="1068" t="s">
        <v>4315</v>
      </c>
    </row>
    <row r="13" spans="1:21">
      <c r="A13" s="1076"/>
      <c r="B13" s="1077"/>
      <c r="C13" s="1078"/>
      <c r="D13" s="1078"/>
      <c r="E13" s="1078"/>
      <c r="F13" s="1078"/>
      <c r="G13" s="1078"/>
      <c r="H13" s="1078"/>
      <c r="I13" s="1078"/>
      <c r="J13" s="1078"/>
      <c r="K13" s="1078"/>
      <c r="L13" s="1079"/>
      <c r="M13" s="1080"/>
      <c r="N13" s="1648"/>
      <c r="O13" s="1068" t="s">
        <v>4316</v>
      </c>
    </row>
    <row r="14" spans="1:21">
      <c r="A14" s="1081"/>
      <c r="B14" s="1077"/>
      <c r="C14" s="1078"/>
      <c r="D14" s="1078"/>
      <c r="E14" s="1078"/>
      <c r="F14" s="1078"/>
      <c r="G14" s="1078"/>
      <c r="H14" s="1078"/>
      <c r="I14" s="1078"/>
      <c r="J14" s="1078"/>
      <c r="K14" s="1078"/>
      <c r="L14" s="1079"/>
      <c r="M14" s="1080"/>
      <c r="N14" s="1648"/>
      <c r="O14" s="1068" t="s">
        <v>4316</v>
      </c>
    </row>
    <row r="15" spans="1:21">
      <c r="A15" s="1076"/>
      <c r="B15" s="1078"/>
      <c r="C15" s="1078"/>
      <c r="D15" s="1078"/>
      <c r="E15" s="1078"/>
      <c r="F15" s="1078"/>
      <c r="G15" s="1078"/>
      <c r="H15" s="1078"/>
      <c r="I15" s="1078"/>
      <c r="J15" s="1078"/>
      <c r="K15" s="1078"/>
      <c r="L15" s="1079"/>
      <c r="M15" s="1080"/>
      <c r="N15" s="1649"/>
      <c r="O15" s="1068" t="s">
        <v>4316</v>
      </c>
    </row>
    <row r="16" spans="1:21">
      <c r="A16" s="1082" t="s">
        <v>82</v>
      </c>
      <c r="B16" s="1039">
        <f ca="1">IFERROR(__xludf.DUMMYFUNCTION("QUERY('管理表'!A:AP,""select B,C,D,G,J,K,L,N,O,Q,T where ((C = '津吉' and R = '""&amp;$D$1&amp;$N16&amp;""'and S = '""&amp;$A16&amp;""')) and not(AH = '退職')"",0)"),182)</f>
        <v>182</v>
      </c>
      <c r="C16" s="1083" t="str">
        <f ca="1">IFERROR(__xludf.DUMMYFUNCTION("""COMPUTED_VALUE"""),"津吉")</f>
        <v>津吉</v>
      </c>
      <c r="D16" s="1083" t="str">
        <f ca="1">IFERROR(__xludf.DUMMYFUNCTION("""COMPUTED_VALUE"""),"インドネシア")</f>
        <v>インドネシア</v>
      </c>
      <c r="E16" s="1084" t="str">
        <f ca="1">IFERROR(__xludf.DUMMYFUNCTION("""COMPUTED_VALUE"""),"ザーラ ソンジャヤ")</f>
        <v>ザーラ ソンジャヤ</v>
      </c>
      <c r="F16" s="1083" t="str">
        <f ca="1">IFERROR(__xludf.DUMMYFUNCTION("""COMPUTED_VALUE"""),"女")</f>
        <v>女</v>
      </c>
      <c r="G16" s="1041">
        <f ca="1">IFERROR(__xludf.DUMMYFUNCTION("""COMPUTED_VALUE"""),38352)</f>
        <v>38352</v>
      </c>
      <c r="H16" s="1039">
        <f ca="1">IFERROR(__xludf.DUMMYFUNCTION("""COMPUTED_VALUE"""),21)</f>
        <v>21</v>
      </c>
      <c r="I16" s="1083" t="str">
        <f ca="1">IFERROR(__xludf.DUMMYFUNCTION("""COMPUTED_VALUE"""),"H&amp;C")</f>
        <v>H&amp;C</v>
      </c>
      <c r="J16" s="1042">
        <f ca="1">IFERROR(__xludf.DUMMYFUNCTION("""COMPUTED_VALUE"""),45594)</f>
        <v>45594</v>
      </c>
      <c r="K16" s="1083" t="str">
        <f ca="1">IFERROR(__xludf.DUMMYFUNCTION("""COMPUTED_VALUE"""),"特定技能１号")</f>
        <v>特定技能１号</v>
      </c>
      <c r="L16" s="1085">
        <f ca="1">IFERROR(__xludf.DUMMYFUNCTION("""COMPUTED_VALUE"""),20000)</f>
        <v>20000</v>
      </c>
      <c r="M16" s="1067"/>
      <c r="N16" s="1654" t="s">
        <v>4317</v>
      </c>
      <c r="O16" s="1045" t="s">
        <v>4318</v>
      </c>
      <c r="S16" s="594">
        <v>60000</v>
      </c>
      <c r="T16" s="594">
        <v>2000</v>
      </c>
      <c r="U16" s="594">
        <v>2500</v>
      </c>
    </row>
    <row r="17" spans="1:15">
      <c r="A17" s="1086" t="s">
        <v>82</v>
      </c>
      <c r="B17" s="1047">
        <f ca="1">IFERROR(__xludf.DUMMYFUNCTION("""COMPUTED_VALUE"""),184)</f>
        <v>184</v>
      </c>
      <c r="C17" s="1087" t="str">
        <f ca="1">IFERROR(__xludf.DUMMYFUNCTION("""COMPUTED_VALUE"""),"津吉")</f>
        <v>津吉</v>
      </c>
      <c r="D17" s="1087" t="str">
        <f ca="1">IFERROR(__xludf.DUMMYFUNCTION("""COMPUTED_VALUE"""),"インドネシア")</f>
        <v>インドネシア</v>
      </c>
      <c r="E17" s="1088" t="str">
        <f ca="1">IFERROR(__xludf.DUMMYFUNCTION("""COMPUTED_VALUE"""),"マヤング ヌルハサナー")</f>
        <v>マヤング ヌルハサナー</v>
      </c>
      <c r="F17" s="1087" t="str">
        <f ca="1">IFERROR(__xludf.DUMMYFUNCTION("""COMPUTED_VALUE"""),"女")</f>
        <v>女</v>
      </c>
      <c r="G17" s="1048">
        <f ca="1">IFERROR(__xludf.DUMMYFUNCTION("""COMPUTED_VALUE"""),38170)</f>
        <v>38170</v>
      </c>
      <c r="H17" s="1047">
        <f ca="1">IFERROR(__xludf.DUMMYFUNCTION("""COMPUTED_VALUE"""),21)</f>
        <v>21</v>
      </c>
      <c r="I17" s="1087" t="str">
        <f ca="1">IFERROR(__xludf.DUMMYFUNCTION("""COMPUTED_VALUE"""),"H&amp;C")</f>
        <v>H&amp;C</v>
      </c>
      <c r="J17" s="1049">
        <f ca="1">IFERROR(__xludf.DUMMYFUNCTION("""COMPUTED_VALUE"""),45587)</f>
        <v>45587</v>
      </c>
      <c r="K17" s="1087" t="str">
        <f ca="1">IFERROR(__xludf.DUMMYFUNCTION("""COMPUTED_VALUE"""),"特定技能１号")</f>
        <v>特定技能１号</v>
      </c>
      <c r="L17" s="1089">
        <f ca="1">IFERROR(__xludf.DUMMYFUNCTION("""COMPUTED_VALUE"""),20000)</f>
        <v>20000</v>
      </c>
      <c r="M17" s="1070"/>
      <c r="N17" s="1655"/>
      <c r="O17" s="1068" t="s">
        <v>4319</v>
      </c>
    </row>
    <row r="18" spans="1:15">
      <c r="A18" s="1086" t="s">
        <v>82</v>
      </c>
      <c r="B18" s="1087">
        <f ca="1">IFERROR(__xludf.DUMMYFUNCTION("""COMPUTED_VALUE"""),227)</f>
        <v>227</v>
      </c>
      <c r="C18" s="1087" t="str">
        <f ca="1">IFERROR(__xludf.DUMMYFUNCTION("""COMPUTED_VALUE"""),"津吉")</f>
        <v>津吉</v>
      </c>
      <c r="D18" s="1087" t="str">
        <f ca="1">IFERROR(__xludf.DUMMYFUNCTION("""COMPUTED_VALUE"""),"インドネシア")</f>
        <v>インドネシア</v>
      </c>
      <c r="E18" s="1087" t="str">
        <f ca="1">IFERROR(__xludf.DUMMYFUNCTION("""COMPUTED_VALUE"""),"ロサベラ アプリル")</f>
        <v>ロサベラ アプリル</v>
      </c>
      <c r="F18" s="1087" t="str">
        <f ca="1">IFERROR(__xludf.DUMMYFUNCTION("""COMPUTED_VALUE"""),"女")</f>
        <v>女</v>
      </c>
      <c r="G18" s="1048">
        <f ca="1">IFERROR(__xludf.DUMMYFUNCTION("""COMPUTED_VALUE"""),36266)</f>
        <v>36266</v>
      </c>
      <c r="H18" s="1047">
        <f ca="1">IFERROR(__xludf.DUMMYFUNCTION("""COMPUTED_VALUE"""),26)</f>
        <v>26</v>
      </c>
      <c r="I18" s="1087" t="str">
        <f ca="1">IFERROR(__xludf.DUMMYFUNCTION("""COMPUTED_VALUE"""),"INA")</f>
        <v>INA</v>
      </c>
      <c r="J18" s="1049">
        <f ca="1">IFERROR(__xludf.DUMMYFUNCTION("""COMPUTED_VALUE"""),45951)</f>
        <v>45951</v>
      </c>
      <c r="K18" s="1087" t="str">
        <f ca="1">IFERROR(__xludf.DUMMYFUNCTION("""COMPUTED_VALUE"""),"特定技能１号")</f>
        <v>特定技能１号</v>
      </c>
      <c r="L18" s="1089">
        <f ca="1">IFERROR(__xludf.DUMMYFUNCTION("""COMPUTED_VALUE"""),20000)</f>
        <v>20000</v>
      </c>
      <c r="M18" s="1070"/>
      <c r="N18" s="1655"/>
      <c r="O18" s="1068" t="s">
        <v>4319</v>
      </c>
    </row>
    <row r="19" spans="1:15">
      <c r="A19" s="1090"/>
      <c r="B19" s="1091"/>
      <c r="C19" s="1091"/>
      <c r="D19" s="1091"/>
      <c r="E19" s="1091"/>
      <c r="F19" s="1091"/>
      <c r="G19" s="1091"/>
      <c r="H19" s="1091"/>
      <c r="I19" s="1091"/>
      <c r="J19" s="1091"/>
      <c r="K19" s="1091"/>
      <c r="L19" s="1092"/>
      <c r="M19" s="1047"/>
      <c r="N19" s="1655"/>
      <c r="O19" s="1045" t="s">
        <v>4320</v>
      </c>
    </row>
    <row r="20" spans="1:15">
      <c r="A20" s="1090"/>
      <c r="B20" s="1091"/>
      <c r="C20" s="1091"/>
      <c r="D20" s="1091"/>
      <c r="E20" s="1091"/>
      <c r="F20" s="1091"/>
      <c r="G20" s="1091"/>
      <c r="H20" s="1091"/>
      <c r="I20" s="1091"/>
      <c r="J20" s="1091"/>
      <c r="K20" s="1091"/>
      <c r="L20" s="1092"/>
      <c r="M20" s="1047"/>
      <c r="N20" s="1655"/>
    </row>
    <row r="21" spans="1:15">
      <c r="A21" s="1093"/>
      <c r="B21" s="1062"/>
      <c r="C21" s="1062"/>
      <c r="D21" s="1062"/>
      <c r="E21" s="1094"/>
      <c r="F21" s="1062"/>
      <c r="G21" s="1062"/>
      <c r="H21" s="1062"/>
      <c r="I21" s="1062"/>
      <c r="J21" s="1062"/>
      <c r="K21" s="1062"/>
      <c r="L21" s="1062"/>
      <c r="M21" s="1095"/>
      <c r="N21" s="1652"/>
    </row>
  </sheetData>
  <mergeCells count="3">
    <mergeCell ref="N4:N9"/>
    <mergeCell ref="N10:N15"/>
    <mergeCell ref="N16:N21"/>
  </mergeCells>
  <phoneticPr fontId="135"/>
  <printOptions horizontalCentered="1" gridLines="1"/>
  <pageMargins left="0.25" right="0.25" top="0.75" bottom="0.75" header="0" footer="0"/>
  <pageSetup paperSize="9" fitToHeight="0" pageOrder="overThenDown" orientation="landscape"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AB984"/>
  <sheetViews>
    <sheetView workbookViewId="0"/>
  </sheetViews>
  <sheetFormatPr defaultColWidth="12.6328125" defaultRowHeight="15" customHeight="1"/>
  <cols>
    <col min="1" max="1" width="4.7265625" customWidth="1"/>
    <col min="2" max="2" width="3.7265625" customWidth="1"/>
    <col min="3" max="3" width="6.453125" customWidth="1"/>
    <col min="4" max="4" width="13.453125" customWidth="1"/>
    <col min="5" max="5" width="31.6328125" customWidth="1"/>
    <col min="6" max="6" width="4.6328125" customWidth="1"/>
    <col min="7" max="7" width="9.90625" customWidth="1"/>
    <col min="8" max="8" width="4.6328125" customWidth="1"/>
    <col min="9" max="9" width="12" customWidth="1"/>
    <col min="10" max="10" width="9.6328125" customWidth="1"/>
    <col min="11" max="11" width="12" customWidth="1"/>
    <col min="12" max="12" width="8.36328125" customWidth="1"/>
    <col min="13" max="13" width="8.36328125" hidden="1" customWidth="1"/>
    <col min="14" max="14" width="8.36328125" customWidth="1"/>
    <col min="15" max="15" width="51.90625" customWidth="1"/>
    <col min="16" max="16" width="10.08984375" customWidth="1"/>
    <col min="17" max="17" width="12.26953125" customWidth="1"/>
    <col min="18" max="18" width="10" customWidth="1"/>
    <col min="19" max="19" width="9.90625" customWidth="1"/>
    <col min="20" max="20" width="8.36328125" customWidth="1"/>
    <col min="21" max="21" width="9.90625" customWidth="1"/>
    <col min="22" max="22" width="54" customWidth="1"/>
  </cols>
  <sheetData>
    <row r="1" spans="1:28">
      <c r="A1" s="43"/>
      <c r="B1" s="1096"/>
      <c r="C1" s="1030"/>
      <c r="D1" s="611" t="s">
        <v>4321</v>
      </c>
      <c r="E1" s="1030"/>
      <c r="F1" s="1030"/>
      <c r="G1" s="907" t="s">
        <v>4322</v>
      </c>
      <c r="H1" s="907" t="s">
        <v>4323</v>
      </c>
      <c r="I1" s="1030"/>
      <c r="J1" s="1097"/>
      <c r="K1" s="1030"/>
      <c r="L1" s="1030"/>
      <c r="M1" s="1030"/>
      <c r="N1" s="1098" t="s">
        <v>4324</v>
      </c>
      <c r="O1" s="1099" t="s">
        <v>4325</v>
      </c>
      <c r="P1" s="1030"/>
      <c r="Q1" s="1030"/>
      <c r="R1" s="1030"/>
      <c r="S1" s="1030"/>
      <c r="T1" s="1030"/>
      <c r="U1" s="1030"/>
      <c r="V1" s="1030"/>
      <c r="W1" s="1030"/>
      <c r="X1" s="1030"/>
      <c r="Y1" s="1030"/>
      <c r="Z1" s="1030"/>
      <c r="AA1" s="1030"/>
      <c r="AB1" s="1030"/>
    </row>
    <row r="2" spans="1:28">
      <c r="A2" s="1030"/>
      <c r="B2" s="1096"/>
      <c r="C2" s="1030"/>
      <c r="D2" s="907" t="s">
        <v>4326</v>
      </c>
      <c r="E2" s="1030"/>
      <c r="F2" s="1030"/>
      <c r="G2" s="907" t="s">
        <v>4327</v>
      </c>
      <c r="H2" s="1030"/>
      <c r="I2" s="907" t="s">
        <v>4328</v>
      </c>
      <c r="J2" s="992" t="s">
        <v>4329</v>
      </c>
      <c r="K2" s="1030"/>
      <c r="L2" s="1030"/>
      <c r="M2" s="1030"/>
      <c r="N2" s="1100" t="s">
        <v>4330</v>
      </c>
      <c r="O2" s="1030"/>
      <c r="P2" s="1030"/>
      <c r="Q2" s="1030"/>
      <c r="R2" s="1030"/>
      <c r="S2" s="1030"/>
      <c r="T2" s="1030"/>
      <c r="U2" s="1030"/>
      <c r="V2" s="1030"/>
      <c r="W2" s="1030"/>
      <c r="X2" s="1030"/>
      <c r="Y2" s="1030"/>
      <c r="Z2" s="1030"/>
      <c r="AA2" s="1030"/>
      <c r="AB2" s="1030"/>
    </row>
    <row r="3" spans="1:28">
      <c r="A3" s="1101" t="s">
        <v>4261</v>
      </c>
      <c r="B3" s="1102" t="str">
        <f ca="1">IFERROR(__xludf.DUMMYFUNCTION("QUERY('管理表'!A:AP,""select B,C,D,G,J,K,L,N,O,Q,T where ((C = '津吉' and R = '""&amp;$D$1&amp;$N4&amp;""'and S = '""&amp;$A4&amp;""')) and not(AH = '退職')"",1)"),"No")</f>
        <v>No</v>
      </c>
      <c r="C3" s="1103" t="str">
        <f ca="1">IFERROR(__xludf.DUMMYFUNCTION("""COMPUTED_VALUE"""),"勤務地")</f>
        <v>勤務地</v>
      </c>
      <c r="D3" s="1103" t="str">
        <f ca="1">IFERROR(__xludf.DUMMYFUNCTION("""COMPUTED_VALUE"""),"国籍")</f>
        <v>国籍</v>
      </c>
      <c r="E3" s="1103" t="str">
        <f ca="1">IFERROR(__xludf.DUMMYFUNCTION("""COMPUTED_VALUE"""),"フリガナ")</f>
        <v>フリガナ</v>
      </c>
      <c r="F3" s="1103" t="str">
        <f ca="1">IFERROR(__xludf.DUMMYFUNCTION("""COMPUTED_VALUE"""),"性別")</f>
        <v>性別</v>
      </c>
      <c r="G3" s="1104" t="str">
        <f ca="1">IFERROR(__xludf.DUMMYFUNCTION("""COMPUTED_VALUE"""),"生年月日")</f>
        <v>生年月日</v>
      </c>
      <c r="H3" s="1103" t="str">
        <f ca="1">IFERROR(__xludf.DUMMYFUNCTION("""COMPUTED_VALUE"""),"年齢")</f>
        <v>年齢</v>
      </c>
      <c r="I3" s="1103" t="str">
        <f ca="1">IFERROR(__xludf.DUMMYFUNCTION("""COMPUTED_VALUE"""),"登録支援機関")</f>
        <v>登録支援機関</v>
      </c>
      <c r="J3" s="1104" t="str">
        <f ca="1">IFERROR(__xludf.DUMMYFUNCTION("""COMPUTED_VALUE"""),"入社日")</f>
        <v>入社日</v>
      </c>
      <c r="K3" s="1103" t="str">
        <f ca="1">IFERROR(__xludf.DUMMYFUNCTION("""COMPUTED_VALUE"""),"実習区分")</f>
        <v>実習区分</v>
      </c>
      <c r="L3" s="1105" t="str">
        <f ca="1">IFERROR(__xludf.DUMMYFUNCTION("""COMPUTED_VALUE"""),"家賃負担")</f>
        <v>家賃負担</v>
      </c>
      <c r="M3" s="1103"/>
      <c r="N3" s="1106" t="s">
        <v>4262</v>
      </c>
      <c r="O3" s="1030"/>
      <c r="P3" s="1107" t="s">
        <v>4263</v>
      </c>
      <c r="Q3" s="1107" t="s">
        <v>4265</v>
      </c>
      <c r="R3" s="1030"/>
      <c r="S3" s="907" t="s">
        <v>4331</v>
      </c>
      <c r="T3" s="1030"/>
      <c r="U3" s="1030"/>
      <c r="V3" s="1030"/>
      <c r="W3" s="1030"/>
      <c r="X3" s="1030"/>
      <c r="Y3" s="1030"/>
      <c r="Z3" s="1030"/>
      <c r="AA3" s="1030"/>
      <c r="AB3" s="1030"/>
    </row>
    <row r="4" spans="1:28">
      <c r="A4" s="1108" t="s">
        <v>82</v>
      </c>
      <c r="B4" s="1109">
        <f ca="1">IFERROR(__xludf.DUMMYFUNCTION("""COMPUTED_VALUE"""),108)</f>
        <v>108</v>
      </c>
      <c r="C4" s="1109" t="str">
        <f ca="1">IFERROR(__xludf.DUMMYFUNCTION("""COMPUTED_VALUE"""),"津吉")</f>
        <v>津吉</v>
      </c>
      <c r="D4" s="1109" t="str">
        <f ca="1">IFERROR(__xludf.DUMMYFUNCTION("""COMPUTED_VALUE"""),"インドネシア")</f>
        <v>インドネシア</v>
      </c>
      <c r="E4" s="933" t="str">
        <f ca="1">IFERROR(__xludf.DUMMYFUNCTION("""COMPUTED_VALUE"""),"ニ ルー プトゥ ユリアンティニ")</f>
        <v>ニ ルー プトゥ ユリアンティニ</v>
      </c>
      <c r="F4" s="1109" t="str">
        <f ca="1">IFERROR(__xludf.DUMMYFUNCTION("""COMPUTED_VALUE"""),"女")</f>
        <v>女</v>
      </c>
      <c r="G4" s="1110">
        <f ca="1">IFERROR(__xludf.DUMMYFUNCTION("""COMPUTED_VALUE"""),34519)</f>
        <v>34519</v>
      </c>
      <c r="H4" s="1109">
        <f ca="1">IFERROR(__xludf.DUMMYFUNCTION("""COMPUTED_VALUE"""),31)</f>
        <v>31</v>
      </c>
      <c r="I4" s="1109" t="str">
        <f ca="1">IFERROR(__xludf.DUMMYFUNCTION("""COMPUTED_VALUE"""),"H&amp;C")</f>
        <v>H&amp;C</v>
      </c>
      <c r="J4" s="1110">
        <f ca="1">IFERROR(__xludf.DUMMYFUNCTION("""COMPUTED_VALUE"""),45098)</f>
        <v>45098</v>
      </c>
      <c r="K4" s="1109" t="str">
        <f ca="1">IFERROR(__xludf.DUMMYFUNCTION("""COMPUTED_VALUE"""),"特定技能１号")</f>
        <v>特定技能１号</v>
      </c>
      <c r="L4" s="1111">
        <f ca="1">IFERROR(__xludf.DUMMYFUNCTION("""COMPUTED_VALUE"""),15000)</f>
        <v>15000</v>
      </c>
      <c r="M4" s="1112"/>
      <c r="N4" s="1656" t="s">
        <v>4332</v>
      </c>
      <c r="O4" s="964" t="s">
        <v>4333</v>
      </c>
      <c r="P4" s="970">
        <v>46000</v>
      </c>
      <c r="Q4" s="1113"/>
      <c r="R4" s="1030"/>
      <c r="S4" s="907"/>
      <c r="T4" s="1030"/>
      <c r="U4" s="1030"/>
      <c r="V4" s="1030"/>
      <c r="W4" s="1030"/>
      <c r="X4" s="1030"/>
      <c r="Y4" s="1030"/>
      <c r="Z4" s="1030"/>
      <c r="AA4" s="1030"/>
      <c r="AB4" s="1030"/>
    </row>
    <row r="5" spans="1:28">
      <c r="A5" s="1114" t="s">
        <v>82</v>
      </c>
      <c r="B5" s="1115">
        <f ca="1">IFERROR(__xludf.DUMMYFUNCTION("""COMPUTED_VALUE"""),119)</f>
        <v>119</v>
      </c>
      <c r="C5" s="1115" t="str">
        <f ca="1">IFERROR(__xludf.DUMMYFUNCTION("""COMPUTED_VALUE"""),"津吉")</f>
        <v>津吉</v>
      </c>
      <c r="D5" s="1115" t="str">
        <f ca="1">IFERROR(__xludf.DUMMYFUNCTION("""COMPUTED_VALUE"""),"インドネシア")</f>
        <v>インドネシア</v>
      </c>
      <c r="E5" s="923" t="str">
        <f ca="1">IFERROR(__xludf.DUMMYFUNCTION("""COMPUTED_VALUE"""),"シャリファ サニア")</f>
        <v>シャリファ サニア</v>
      </c>
      <c r="F5" s="1115" t="str">
        <f ca="1">IFERROR(__xludf.DUMMYFUNCTION("""COMPUTED_VALUE"""),"女")</f>
        <v>女</v>
      </c>
      <c r="G5" s="1116">
        <f ca="1">IFERROR(__xludf.DUMMYFUNCTION("""COMPUTED_VALUE"""),36743)</f>
        <v>36743</v>
      </c>
      <c r="H5" s="1115">
        <f ca="1">IFERROR(__xludf.DUMMYFUNCTION("""COMPUTED_VALUE"""),25)</f>
        <v>25</v>
      </c>
      <c r="I5" s="1115" t="str">
        <f ca="1">IFERROR(__xludf.DUMMYFUNCTION("""COMPUTED_VALUE"""),"H&amp;C")</f>
        <v>H&amp;C</v>
      </c>
      <c r="J5" s="1116">
        <f ca="1">IFERROR(__xludf.DUMMYFUNCTION("""COMPUTED_VALUE"""),45216)</f>
        <v>45216</v>
      </c>
      <c r="K5" s="1115" t="str">
        <f ca="1">IFERROR(__xludf.DUMMYFUNCTION("""COMPUTED_VALUE"""),"特定技能１号")</f>
        <v>特定技能１号</v>
      </c>
      <c r="L5" s="1117">
        <f ca="1">IFERROR(__xludf.DUMMYFUNCTION("""COMPUTED_VALUE"""),15000)</f>
        <v>15000</v>
      </c>
      <c r="M5" s="1118"/>
      <c r="N5" s="1648"/>
      <c r="O5" s="964" t="s">
        <v>4333</v>
      </c>
      <c r="P5" s="1030"/>
      <c r="Q5" s="1030"/>
      <c r="R5" s="1030"/>
      <c r="S5" s="1030"/>
      <c r="T5" s="1030"/>
      <c r="U5" s="1030"/>
      <c r="V5" s="1030"/>
      <c r="W5" s="1030"/>
      <c r="X5" s="1030"/>
      <c r="Y5" s="1030"/>
      <c r="Z5" s="1030"/>
      <c r="AA5" s="1030"/>
      <c r="AB5" s="1030"/>
    </row>
    <row r="6" spans="1:28">
      <c r="A6" s="1119" t="s">
        <v>82</v>
      </c>
      <c r="B6" s="1120">
        <f ca="1">IFERROR(__xludf.DUMMYFUNCTION("""COMPUTED_VALUE"""),187)</f>
        <v>187</v>
      </c>
      <c r="C6" s="1121" t="str">
        <f ca="1">IFERROR(__xludf.DUMMYFUNCTION("""COMPUTED_VALUE"""),"津吉")</f>
        <v>津吉</v>
      </c>
      <c r="D6" s="1121" t="str">
        <f ca="1">IFERROR(__xludf.DUMMYFUNCTION("""COMPUTED_VALUE"""),"インドネシア")</f>
        <v>インドネシア</v>
      </c>
      <c r="E6" s="938" t="str">
        <f ca="1">IFERROR(__xludf.DUMMYFUNCTION("""COMPUTED_VALUE"""),"アニサー ファッラス ナビル ザハビヤー")</f>
        <v>アニサー ファッラス ナビル ザハビヤー</v>
      </c>
      <c r="F6" s="1120" t="str">
        <f ca="1">IFERROR(__xludf.DUMMYFUNCTION("""COMPUTED_VALUE"""),"女")</f>
        <v>女</v>
      </c>
      <c r="G6" s="1122">
        <f ca="1">IFERROR(__xludf.DUMMYFUNCTION("""COMPUTED_VALUE"""),37344)</f>
        <v>37344</v>
      </c>
      <c r="H6" s="1120">
        <f ca="1">IFERROR(__xludf.DUMMYFUNCTION("""COMPUTED_VALUE"""),24)</f>
        <v>24</v>
      </c>
      <c r="I6" s="1120" t="str">
        <f ca="1">IFERROR(__xludf.DUMMYFUNCTION("""COMPUTED_VALUE"""),"H&amp;C")</f>
        <v>H&amp;C</v>
      </c>
      <c r="J6" s="1122">
        <f ca="1">IFERROR(__xludf.DUMMYFUNCTION("""COMPUTED_VALUE"""),45594)</f>
        <v>45594</v>
      </c>
      <c r="K6" s="1120" t="str">
        <f ca="1">IFERROR(__xludf.DUMMYFUNCTION("""COMPUTED_VALUE"""),"特定技能１号")</f>
        <v>特定技能１号</v>
      </c>
      <c r="L6" s="1123">
        <f ca="1">IFERROR(__xludf.DUMMYFUNCTION("""COMPUTED_VALUE"""),15000)</f>
        <v>15000</v>
      </c>
      <c r="M6" s="1124"/>
      <c r="N6" s="1649"/>
      <c r="O6" s="964" t="s">
        <v>4333</v>
      </c>
      <c r="P6" s="1030"/>
      <c r="Q6" s="1030"/>
      <c r="R6" s="1030"/>
      <c r="S6" s="907"/>
      <c r="T6" s="1030"/>
      <c r="U6" s="1030"/>
      <c r="V6" s="1030"/>
      <c r="W6" s="1030"/>
      <c r="X6" s="1030"/>
      <c r="Y6" s="1030"/>
      <c r="Z6" s="1030"/>
      <c r="AA6" s="1030"/>
      <c r="AB6" s="1030"/>
    </row>
    <row r="7" spans="1:28">
      <c r="A7" s="1108" t="s">
        <v>82</v>
      </c>
      <c r="B7" s="1109">
        <f ca="1">IFERROR(__xludf.DUMMYFUNCTION("QUERY('管理表'!A:AP,""select B,C,D,G,J,K,L,N,O,Q,T where ((C = '津吉' and R = '""&amp;$D$1&amp;$N7&amp;""'and S = '""&amp;$A7&amp;""')) and not(AH = '退職')"",0)"),125)</f>
        <v>125</v>
      </c>
      <c r="C7" s="1109" t="str">
        <f ca="1">IFERROR(__xludf.DUMMYFUNCTION("""COMPUTED_VALUE"""),"津吉")</f>
        <v>津吉</v>
      </c>
      <c r="D7" s="1109" t="str">
        <f ca="1">IFERROR(__xludf.DUMMYFUNCTION("""COMPUTED_VALUE"""),"インドネシア")</f>
        <v>インドネシア</v>
      </c>
      <c r="E7" s="1125" t="str">
        <f ca="1">IFERROR(__xludf.DUMMYFUNCTION("""COMPUTED_VALUE"""),"ミフタフディン ラティフ")</f>
        <v>ミフタフディン ラティフ</v>
      </c>
      <c r="F7" s="1125" t="str">
        <f ca="1">IFERROR(__xludf.DUMMYFUNCTION("""COMPUTED_VALUE"""),"男")</f>
        <v>男</v>
      </c>
      <c r="G7" s="1126">
        <f ca="1">IFERROR(__xludf.DUMMYFUNCTION("""COMPUTED_VALUE"""),35992)</f>
        <v>35992</v>
      </c>
      <c r="H7" s="1109">
        <f ca="1">IFERROR(__xludf.DUMMYFUNCTION("""COMPUTED_VALUE"""),27)</f>
        <v>27</v>
      </c>
      <c r="I7" s="1109" t="str">
        <f ca="1">IFERROR(__xludf.DUMMYFUNCTION("""COMPUTED_VALUE"""),"H&amp;C")</f>
        <v>H&amp;C</v>
      </c>
      <c r="J7" s="1110">
        <f ca="1">IFERROR(__xludf.DUMMYFUNCTION("""COMPUTED_VALUE"""),44937)</f>
        <v>44937</v>
      </c>
      <c r="K7" s="1109" t="str">
        <f ca="1">IFERROR(__xludf.DUMMYFUNCTION("""COMPUTED_VALUE"""),"特定技能１号")</f>
        <v>特定技能１号</v>
      </c>
      <c r="L7" s="1111">
        <f ca="1">IFERROR(__xludf.DUMMYFUNCTION("""COMPUTED_VALUE"""),15000)</f>
        <v>15000</v>
      </c>
      <c r="M7" s="1112"/>
      <c r="N7" s="1657" t="s">
        <v>4334</v>
      </c>
      <c r="O7" s="1030"/>
      <c r="P7" s="970">
        <v>37000</v>
      </c>
      <c r="Q7" s="1113"/>
      <c r="R7" s="1113">
        <v>45865</v>
      </c>
      <c r="S7" s="1127">
        <v>45809</v>
      </c>
      <c r="T7" s="1030"/>
      <c r="U7" s="1030"/>
      <c r="V7" s="1030"/>
      <c r="W7" s="1030"/>
      <c r="X7" s="1030"/>
      <c r="Y7" s="1030"/>
      <c r="Z7" s="1030"/>
      <c r="AA7" s="1030"/>
      <c r="AB7" s="1030"/>
    </row>
    <row r="8" spans="1:28">
      <c r="A8" s="1114" t="s">
        <v>82</v>
      </c>
      <c r="B8" s="1115">
        <f ca="1">IFERROR(__xludf.DUMMYFUNCTION("""COMPUTED_VALUE"""),128)</f>
        <v>128</v>
      </c>
      <c r="C8" s="1115" t="str">
        <f ca="1">IFERROR(__xludf.DUMMYFUNCTION("""COMPUTED_VALUE"""),"津吉")</f>
        <v>津吉</v>
      </c>
      <c r="D8" s="1115" t="str">
        <f ca="1">IFERROR(__xludf.DUMMYFUNCTION("""COMPUTED_VALUE"""),"インドネシア")</f>
        <v>インドネシア</v>
      </c>
      <c r="E8" s="1128" t="str">
        <f ca="1">IFERROR(__xludf.DUMMYFUNCTION("""COMPUTED_VALUE"""),"アリ クスナディ")</f>
        <v>アリ クスナディ</v>
      </c>
      <c r="F8" s="1129" t="str">
        <f ca="1">IFERROR(__xludf.DUMMYFUNCTION("""COMPUTED_VALUE"""),"男")</f>
        <v>男</v>
      </c>
      <c r="G8" s="1130">
        <f ca="1">IFERROR(__xludf.DUMMYFUNCTION("""COMPUTED_VALUE"""),36345)</f>
        <v>36345</v>
      </c>
      <c r="H8" s="1115">
        <f ca="1">IFERROR(__xludf.DUMMYFUNCTION("""COMPUTED_VALUE"""),26)</f>
        <v>26</v>
      </c>
      <c r="I8" s="1115" t="str">
        <f ca="1">IFERROR(__xludf.DUMMYFUNCTION("""COMPUTED_VALUE"""),"H&amp;C")</f>
        <v>H&amp;C</v>
      </c>
      <c r="J8" s="1116">
        <f ca="1">IFERROR(__xludf.DUMMYFUNCTION("""COMPUTED_VALUE"""),44937)</f>
        <v>44937</v>
      </c>
      <c r="K8" s="1115" t="str">
        <f ca="1">IFERROR(__xludf.DUMMYFUNCTION("""COMPUTED_VALUE"""),"特定技能１号")</f>
        <v>特定技能１号</v>
      </c>
      <c r="L8" s="1117">
        <f ca="1">IFERROR(__xludf.DUMMYFUNCTION("""COMPUTED_VALUE"""),15000)</f>
        <v>15000</v>
      </c>
      <c r="M8" s="1118"/>
      <c r="N8" s="1648"/>
      <c r="O8" s="918"/>
      <c r="P8" s="1030"/>
      <c r="Q8" s="1030"/>
      <c r="R8" s="1030"/>
      <c r="S8" s="1030"/>
      <c r="T8" s="1030"/>
      <c r="U8" s="1030"/>
      <c r="V8" s="1030"/>
      <c r="W8" s="1030"/>
      <c r="X8" s="1030"/>
      <c r="Y8" s="1030"/>
      <c r="Z8" s="1030"/>
      <c r="AA8" s="1030"/>
      <c r="AB8" s="1030"/>
    </row>
    <row r="9" spans="1:28">
      <c r="A9" s="1119" t="s">
        <v>82</v>
      </c>
      <c r="B9" s="1120">
        <f ca="1">IFERROR(__xludf.DUMMYFUNCTION("""COMPUTED_VALUE"""),173)</f>
        <v>173</v>
      </c>
      <c r="C9" s="1120" t="str">
        <f ca="1">IFERROR(__xludf.DUMMYFUNCTION("""COMPUTED_VALUE"""),"津吉")</f>
        <v>津吉</v>
      </c>
      <c r="D9" s="1120" t="str">
        <f ca="1">IFERROR(__xludf.DUMMYFUNCTION("""COMPUTED_VALUE"""),"インドネシア")</f>
        <v>インドネシア</v>
      </c>
      <c r="E9" s="1131" t="str">
        <f ca="1">IFERROR(__xludf.DUMMYFUNCTION("""COMPUTED_VALUE"""),"リザル ムハマド フィルダウス")</f>
        <v>リザル ムハマド フィルダウス</v>
      </c>
      <c r="F9" s="1132" t="str">
        <f ca="1">IFERROR(__xludf.DUMMYFUNCTION("""COMPUTED_VALUE"""),"男")</f>
        <v>男</v>
      </c>
      <c r="G9" s="1133">
        <f ca="1">IFERROR(__xludf.DUMMYFUNCTION("""COMPUTED_VALUE"""),36905)</f>
        <v>36905</v>
      </c>
      <c r="H9" s="1120">
        <f ca="1">IFERROR(__xludf.DUMMYFUNCTION("""COMPUTED_VALUE"""),25)</f>
        <v>25</v>
      </c>
      <c r="I9" s="1120" t="str">
        <f ca="1">IFERROR(__xludf.DUMMYFUNCTION("""COMPUTED_VALUE"""),"H&amp;C")</f>
        <v>H&amp;C</v>
      </c>
      <c r="J9" s="1122">
        <f ca="1">IFERROR(__xludf.DUMMYFUNCTION("""COMPUTED_VALUE"""),45594)</f>
        <v>45594</v>
      </c>
      <c r="K9" s="1120" t="str">
        <f ca="1">IFERROR(__xludf.DUMMYFUNCTION("""COMPUTED_VALUE"""),"特定技能１号")</f>
        <v>特定技能１号</v>
      </c>
      <c r="L9" s="1123">
        <f ca="1">IFERROR(__xludf.DUMMYFUNCTION("""COMPUTED_VALUE"""),15000)</f>
        <v>15000</v>
      </c>
      <c r="M9" s="1124"/>
      <c r="N9" s="1649"/>
      <c r="O9" s="918" t="s">
        <v>4335</v>
      </c>
      <c r="P9" s="1030"/>
      <c r="Q9" s="1030"/>
      <c r="R9" s="1030"/>
      <c r="S9" s="1030"/>
      <c r="T9" s="1030"/>
      <c r="U9" s="1030"/>
      <c r="V9" s="1030"/>
      <c r="W9" s="1030"/>
      <c r="X9" s="1030"/>
      <c r="Y9" s="1030"/>
      <c r="Z9" s="1030"/>
      <c r="AA9" s="1030"/>
      <c r="AB9" s="1030"/>
    </row>
    <row r="10" spans="1:28">
      <c r="A10" s="1108" t="s">
        <v>82</v>
      </c>
      <c r="B10" s="1134">
        <f ca="1">IFERROR(__xludf.DUMMYFUNCTION("QUERY('管理表'!A:AP,""select B,C,D,G,J,K,L,N,O,Q,T where ((C = '津吉' and R = '""&amp;$D$1&amp;$N10&amp;""'and S = '""&amp;$A10&amp;""')) and not(AH = '退職')"",0)"),80)</f>
        <v>80</v>
      </c>
      <c r="C10" s="1109" t="str">
        <f ca="1">IFERROR(__xludf.DUMMYFUNCTION("""COMPUTED_VALUE"""),"津吉")</f>
        <v>津吉</v>
      </c>
      <c r="D10" s="1109" t="str">
        <f ca="1">IFERROR(__xludf.DUMMYFUNCTION("""COMPUTED_VALUE"""),"インドネシア")</f>
        <v>インドネシア</v>
      </c>
      <c r="E10" s="1125" t="str">
        <f ca="1">IFERROR(__xludf.DUMMYFUNCTION("""COMPUTED_VALUE"""),"アユサ ヌル フィトリヤニ")</f>
        <v>アユサ ヌル フィトリヤニ</v>
      </c>
      <c r="F10" s="1125" t="str">
        <f ca="1">IFERROR(__xludf.DUMMYFUNCTION("""COMPUTED_VALUE"""),"女")</f>
        <v>女</v>
      </c>
      <c r="G10" s="1126">
        <f ca="1">IFERROR(__xludf.DUMMYFUNCTION("""COMPUTED_VALUE"""),36870)</f>
        <v>36870</v>
      </c>
      <c r="H10" s="1109">
        <f ca="1">IFERROR(__xludf.DUMMYFUNCTION("""COMPUTED_VALUE"""),25)</f>
        <v>25</v>
      </c>
      <c r="I10" s="1109" t="str">
        <f ca="1">IFERROR(__xludf.DUMMYFUNCTION("""COMPUTED_VALUE"""),"H&amp;C")</f>
        <v>H&amp;C</v>
      </c>
      <c r="J10" s="1110">
        <f ca="1">IFERROR(__xludf.DUMMYFUNCTION("""COMPUTED_VALUE"""),44669)</f>
        <v>44669</v>
      </c>
      <c r="K10" s="1109" t="str">
        <f ca="1">IFERROR(__xludf.DUMMYFUNCTION("""COMPUTED_VALUE"""),"特定技能１号")</f>
        <v>特定技能１号</v>
      </c>
      <c r="L10" s="1135">
        <f ca="1">IFERROR(__xludf.DUMMYFUNCTION("""COMPUTED_VALUE"""),15000)</f>
        <v>15000</v>
      </c>
      <c r="M10" s="1067"/>
      <c r="N10" s="1658" t="s">
        <v>4336</v>
      </c>
      <c r="O10" s="907" t="s">
        <v>4337</v>
      </c>
      <c r="P10" s="970">
        <v>42000</v>
      </c>
      <c r="Q10" s="1113"/>
      <c r="R10" s="1113">
        <v>45865</v>
      </c>
      <c r="S10" s="907"/>
      <c r="T10" s="1030"/>
      <c r="U10" s="1030"/>
      <c r="V10" s="1030"/>
      <c r="W10" s="1030"/>
      <c r="X10" s="1030"/>
      <c r="Y10" s="1030"/>
      <c r="Z10" s="1030"/>
      <c r="AA10" s="1030"/>
      <c r="AB10" s="1030"/>
    </row>
    <row r="11" spans="1:28">
      <c r="A11" s="1114" t="s">
        <v>82</v>
      </c>
      <c r="B11" s="1115">
        <f ca="1">IFERROR(__xludf.DUMMYFUNCTION("""COMPUTED_VALUE"""),100)</f>
        <v>100</v>
      </c>
      <c r="C11" s="1115" t="str">
        <f ca="1">IFERROR(__xludf.DUMMYFUNCTION("""COMPUTED_VALUE"""),"津吉")</f>
        <v>津吉</v>
      </c>
      <c r="D11" s="1115" t="str">
        <f ca="1">IFERROR(__xludf.DUMMYFUNCTION("""COMPUTED_VALUE"""),"インドネシア")</f>
        <v>インドネシア</v>
      </c>
      <c r="E11" s="1129" t="str">
        <f ca="1">IFERROR(__xludf.DUMMYFUNCTION("""COMPUTED_VALUE"""),"ジェシカ アウリア プトリ")</f>
        <v>ジェシカ アウリア プトリ</v>
      </c>
      <c r="F11" s="1129" t="str">
        <f ca="1">IFERROR(__xludf.DUMMYFUNCTION("""COMPUTED_VALUE"""),"女")</f>
        <v>女</v>
      </c>
      <c r="G11" s="1130">
        <f ca="1">IFERROR(__xludf.DUMMYFUNCTION("""COMPUTED_VALUE"""),37391)</f>
        <v>37391</v>
      </c>
      <c r="H11" s="1115">
        <f ca="1">IFERROR(__xludf.DUMMYFUNCTION("""COMPUTED_VALUE"""),23)</f>
        <v>23</v>
      </c>
      <c r="I11" s="1115" t="str">
        <f ca="1">IFERROR(__xludf.DUMMYFUNCTION("""COMPUTED_VALUE"""),"H&amp;C")</f>
        <v>H&amp;C</v>
      </c>
      <c r="J11" s="1116">
        <f ca="1">IFERROR(__xludf.DUMMYFUNCTION("""COMPUTED_VALUE"""),45098)</f>
        <v>45098</v>
      </c>
      <c r="K11" s="1115" t="str">
        <f ca="1">IFERROR(__xludf.DUMMYFUNCTION("""COMPUTED_VALUE"""),"特定技能１号")</f>
        <v>特定技能１号</v>
      </c>
      <c r="L11" s="1136">
        <f ca="1">IFERROR(__xludf.DUMMYFUNCTION("""COMPUTED_VALUE"""),15000)</f>
        <v>15000</v>
      </c>
      <c r="M11" s="1070"/>
      <c r="N11" s="1648"/>
      <c r="O11" s="907" t="s">
        <v>4337</v>
      </c>
      <c r="P11" s="1030"/>
      <c r="Q11" s="1030"/>
      <c r="R11" s="1030"/>
      <c r="S11" s="1030"/>
      <c r="T11" s="1030"/>
      <c r="U11" s="1030"/>
      <c r="V11" s="1030"/>
      <c r="W11" s="1030"/>
      <c r="X11" s="1030"/>
      <c r="Y11" s="1030"/>
      <c r="Z11" s="1030"/>
      <c r="AA11" s="1030"/>
      <c r="AB11" s="1030"/>
    </row>
    <row r="12" spans="1:28">
      <c r="A12" s="1119" t="s">
        <v>82</v>
      </c>
      <c r="B12" s="1120">
        <f ca="1">IFERROR(__xludf.DUMMYFUNCTION("""COMPUTED_VALUE"""),101)</f>
        <v>101</v>
      </c>
      <c r="C12" s="1120" t="str">
        <f ca="1">IFERROR(__xludf.DUMMYFUNCTION("""COMPUTED_VALUE"""),"津吉")</f>
        <v>津吉</v>
      </c>
      <c r="D12" s="1120" t="str">
        <f ca="1">IFERROR(__xludf.DUMMYFUNCTION("""COMPUTED_VALUE"""),"インドネシア")</f>
        <v>インドネシア</v>
      </c>
      <c r="E12" s="1131" t="str">
        <f ca="1">IFERROR(__xludf.DUMMYFUNCTION("""COMPUTED_VALUE"""),"アナ ヤーロトゥン ニシャ")</f>
        <v>アナ ヤーロトゥン ニシャ</v>
      </c>
      <c r="F12" s="1132" t="str">
        <f ca="1">IFERROR(__xludf.DUMMYFUNCTION("""COMPUTED_VALUE"""),"女")</f>
        <v>女</v>
      </c>
      <c r="G12" s="1133">
        <f ca="1">IFERROR(__xludf.DUMMYFUNCTION("""COMPUTED_VALUE"""),36029)</f>
        <v>36029</v>
      </c>
      <c r="H12" s="1120">
        <f ca="1">IFERROR(__xludf.DUMMYFUNCTION("""COMPUTED_VALUE"""),27)</f>
        <v>27</v>
      </c>
      <c r="I12" s="1120" t="str">
        <f ca="1">IFERROR(__xludf.DUMMYFUNCTION("""COMPUTED_VALUE"""),"H&amp;C")</f>
        <v>H&amp;C</v>
      </c>
      <c r="J12" s="1122">
        <f ca="1">IFERROR(__xludf.DUMMYFUNCTION("""COMPUTED_VALUE"""),45098)</f>
        <v>45098</v>
      </c>
      <c r="K12" s="1120" t="str">
        <f ca="1">IFERROR(__xludf.DUMMYFUNCTION("""COMPUTED_VALUE"""),"特定技能１号")</f>
        <v>特定技能１号</v>
      </c>
      <c r="L12" s="1137">
        <f ca="1">IFERROR(__xludf.DUMMYFUNCTION("""COMPUTED_VALUE"""),15000)</f>
        <v>15000</v>
      </c>
      <c r="M12" s="1138"/>
      <c r="N12" s="1649"/>
      <c r="O12" s="907" t="s">
        <v>4337</v>
      </c>
      <c r="P12" s="1030"/>
      <c r="Q12" s="1030"/>
      <c r="R12" s="1030"/>
      <c r="S12" s="1030"/>
      <c r="T12" s="1030"/>
      <c r="U12" s="1030"/>
      <c r="V12" s="1030"/>
      <c r="W12" s="1030"/>
      <c r="X12" s="1030"/>
      <c r="Y12" s="1030"/>
      <c r="Z12" s="1030"/>
      <c r="AA12" s="1030"/>
      <c r="AB12" s="1030"/>
    </row>
    <row r="13" spans="1:28">
      <c r="A13" s="1139" t="s">
        <v>82</v>
      </c>
      <c r="B13" s="1140">
        <f ca="1">IFERROR(__xludf.DUMMYFUNCTION("QUERY('管理表'!A:AP,""select B,C,D,G,J,K,L,N,O,Q,T where ((C = '津吉' and R = '""&amp;$D$1&amp;$N13&amp;""'and S = '""&amp;$A10&amp;""')) and not(AH = '退職')"",0)"),158)</f>
        <v>158</v>
      </c>
      <c r="C13" s="1140" t="str">
        <f ca="1">IFERROR(__xludf.DUMMYFUNCTION("""COMPUTED_VALUE"""),"津吉")</f>
        <v>津吉</v>
      </c>
      <c r="D13" s="1125" t="str">
        <f ca="1">IFERROR(__xludf.DUMMYFUNCTION("""COMPUTED_VALUE"""),"インドネシア")</f>
        <v>インドネシア</v>
      </c>
      <c r="E13" s="1140" t="str">
        <f ca="1">IFERROR(__xludf.DUMMYFUNCTION("""COMPUTED_VALUE"""),"アイナセプティハプサリデウィ")</f>
        <v>アイナセプティハプサリデウィ</v>
      </c>
      <c r="F13" s="1140" t="str">
        <f ca="1">IFERROR(__xludf.DUMMYFUNCTION("""COMPUTED_VALUE"""),"女")</f>
        <v>女</v>
      </c>
      <c r="G13" s="1141">
        <f ca="1">IFERROR(__xludf.DUMMYFUNCTION("""COMPUTED_VALUE"""),38240)</f>
        <v>38240</v>
      </c>
      <c r="H13" s="1142">
        <f ca="1">IFERROR(__xludf.DUMMYFUNCTION("""COMPUTED_VALUE"""),21)</f>
        <v>21</v>
      </c>
      <c r="I13" s="1142" t="str">
        <f ca="1">IFERROR(__xludf.DUMMYFUNCTION("""COMPUTED_VALUE"""),"H&amp;C")</f>
        <v>H&amp;C</v>
      </c>
      <c r="J13" s="1141">
        <f ca="1">IFERROR(__xludf.DUMMYFUNCTION("""COMPUTED_VALUE"""),45376)</f>
        <v>45376</v>
      </c>
      <c r="K13" s="1125" t="str">
        <f ca="1">IFERROR(__xludf.DUMMYFUNCTION("""COMPUTED_VALUE"""),"特定技能１号")</f>
        <v>特定技能１号</v>
      </c>
      <c r="L13" s="1143">
        <f ca="1">IFERROR(__xludf.DUMMYFUNCTION("""COMPUTED_VALUE"""),15000)</f>
        <v>15000</v>
      </c>
      <c r="M13" s="1080"/>
      <c r="N13" s="1659" t="s">
        <v>4338</v>
      </c>
      <c r="O13" s="964" t="s">
        <v>4339</v>
      </c>
      <c r="P13" s="970">
        <v>40000</v>
      </c>
      <c r="Q13" s="1030"/>
      <c r="R13" s="1030"/>
      <c r="S13" s="907"/>
      <c r="T13" s="1030"/>
      <c r="U13" s="1030"/>
      <c r="V13" s="1030"/>
      <c r="W13" s="1030"/>
      <c r="X13" s="1030"/>
      <c r="Y13" s="1030"/>
      <c r="Z13" s="1030"/>
      <c r="AA13" s="1030"/>
      <c r="AB13" s="1030"/>
    </row>
    <row r="14" spans="1:28">
      <c r="A14" s="1139" t="s">
        <v>82</v>
      </c>
      <c r="B14" s="1140">
        <f ca="1">IFERROR(__xludf.DUMMYFUNCTION("""COMPUTED_VALUE"""),159)</f>
        <v>159</v>
      </c>
      <c r="C14" s="1140" t="str">
        <f ca="1">IFERROR(__xludf.DUMMYFUNCTION("""COMPUTED_VALUE"""),"津吉")</f>
        <v>津吉</v>
      </c>
      <c r="D14" s="1129" t="str">
        <f ca="1">IFERROR(__xludf.DUMMYFUNCTION("""COMPUTED_VALUE"""),"インドネシア")</f>
        <v>インドネシア</v>
      </c>
      <c r="E14" s="1140" t="str">
        <f ca="1">IFERROR(__xludf.DUMMYFUNCTION("""COMPUTED_VALUE"""),"サラーナズアファヒラ")</f>
        <v>サラーナズアファヒラ</v>
      </c>
      <c r="F14" s="1140" t="str">
        <f ca="1">IFERROR(__xludf.DUMMYFUNCTION("""COMPUTED_VALUE"""),"女")</f>
        <v>女</v>
      </c>
      <c r="G14" s="1141">
        <f ca="1">IFERROR(__xludf.DUMMYFUNCTION("""COMPUTED_VALUE"""),38316)</f>
        <v>38316</v>
      </c>
      <c r="H14" s="1142">
        <f ca="1">IFERROR(__xludf.DUMMYFUNCTION("""COMPUTED_VALUE"""),21)</f>
        <v>21</v>
      </c>
      <c r="I14" s="1142" t="str">
        <f ca="1">IFERROR(__xludf.DUMMYFUNCTION("""COMPUTED_VALUE"""),"H&amp;C")</f>
        <v>H&amp;C</v>
      </c>
      <c r="J14" s="1141">
        <f ca="1">IFERROR(__xludf.DUMMYFUNCTION("""COMPUTED_VALUE"""),45376)</f>
        <v>45376</v>
      </c>
      <c r="K14" s="1129" t="str">
        <f ca="1">IFERROR(__xludf.DUMMYFUNCTION("""COMPUTED_VALUE"""),"特定技能１号")</f>
        <v>特定技能１号</v>
      </c>
      <c r="L14" s="1144">
        <f ca="1">IFERROR(__xludf.DUMMYFUNCTION("""COMPUTED_VALUE"""),15000)</f>
        <v>15000</v>
      </c>
      <c r="M14" s="1080"/>
      <c r="N14" s="1648"/>
      <c r="O14" s="964" t="s">
        <v>4339</v>
      </c>
      <c r="P14" s="1030"/>
      <c r="Q14" s="1030"/>
      <c r="R14" s="1030"/>
      <c r="S14" s="1030"/>
      <c r="T14" s="1030"/>
      <c r="U14" s="1030"/>
      <c r="V14" s="1030"/>
      <c r="W14" s="1030"/>
      <c r="X14" s="1030"/>
      <c r="Y14" s="1030"/>
      <c r="Z14" s="1030"/>
      <c r="AA14" s="1030"/>
      <c r="AB14" s="1030"/>
    </row>
    <row r="15" spans="1:28">
      <c r="A15" s="1139" t="s">
        <v>82</v>
      </c>
      <c r="B15" s="1140">
        <f ca="1">IFERROR(__xludf.DUMMYFUNCTION("""COMPUTED_VALUE"""),204)</f>
        <v>204</v>
      </c>
      <c r="C15" s="1145" t="str">
        <f ca="1">IFERROR(__xludf.DUMMYFUNCTION("""COMPUTED_VALUE"""),"津吉")</f>
        <v>津吉</v>
      </c>
      <c r="D15" s="1132" t="str">
        <f ca="1">IFERROR(__xludf.DUMMYFUNCTION("""COMPUTED_VALUE"""),"インドネシア")</f>
        <v>インドネシア</v>
      </c>
      <c r="E15" s="1145" t="str">
        <f ca="1">IFERROR(__xludf.DUMMYFUNCTION("""COMPUTED_VALUE"""),"アルバシタ アマリア")</f>
        <v>アルバシタ アマリア</v>
      </c>
      <c r="F15" s="1140" t="str">
        <f ca="1">IFERROR(__xludf.DUMMYFUNCTION("""COMPUTED_VALUE"""),"女")</f>
        <v>女</v>
      </c>
      <c r="G15" s="1141">
        <f ca="1">IFERROR(__xludf.DUMMYFUNCTION("""COMPUTED_VALUE"""),37462)</f>
        <v>37462</v>
      </c>
      <c r="H15" s="1142">
        <f ca="1">IFERROR(__xludf.DUMMYFUNCTION("""COMPUTED_VALUE"""),23)</f>
        <v>23</v>
      </c>
      <c r="I15" s="1142" t="str">
        <f ca="1">IFERROR(__xludf.DUMMYFUNCTION("""COMPUTED_VALUE"""),"H&amp;C")</f>
        <v>H&amp;C</v>
      </c>
      <c r="J15" s="1141">
        <f ca="1">IFERROR(__xludf.DUMMYFUNCTION("""COMPUTED_VALUE"""),45847)</f>
        <v>45847</v>
      </c>
      <c r="K15" s="1132" t="str">
        <f ca="1">IFERROR(__xludf.DUMMYFUNCTION("""COMPUTED_VALUE"""),"特定技能１号")</f>
        <v>特定技能１号</v>
      </c>
      <c r="L15" s="1146">
        <f ca="1">IFERROR(__xludf.DUMMYFUNCTION("""COMPUTED_VALUE"""),15000)</f>
        <v>15000</v>
      </c>
      <c r="M15" s="1080"/>
      <c r="N15" s="1648"/>
      <c r="O15" s="964" t="s">
        <v>4340</v>
      </c>
      <c r="P15" s="1030"/>
      <c r="Q15" s="1030"/>
      <c r="R15" s="1030"/>
      <c r="S15" s="1030"/>
      <c r="T15" s="1030"/>
      <c r="U15" s="1030"/>
      <c r="V15" s="1030"/>
      <c r="W15" s="1030"/>
      <c r="X15" s="1030"/>
      <c r="Y15" s="1030"/>
      <c r="Z15" s="1030"/>
      <c r="AA15" s="1030"/>
      <c r="AB15" s="1030"/>
    </row>
    <row r="16" spans="1:28">
      <c r="A16" s="994" t="s">
        <v>149</v>
      </c>
      <c r="B16" s="933">
        <f ca="1">IFERROR(__xludf.DUMMYFUNCTION("QUERY('管理表'!A:AP,""select B,C,D,G,J,K,L,N,O,Q,T where ((C = '津吉' and R = '""&amp;$D$1&amp;$N16&amp;""'and S = '""&amp;$A16&amp;""')) and not(AH = '退職')"",0)"),168)</f>
        <v>168</v>
      </c>
      <c r="C16" s="955" t="str">
        <f ca="1">IFERROR(__xludf.DUMMYFUNCTION("""COMPUTED_VALUE"""),"津吉")</f>
        <v>津吉</v>
      </c>
      <c r="D16" s="933" t="str">
        <f ca="1">IFERROR(__xludf.DUMMYFUNCTION("""COMPUTED_VALUE"""),"インドネシア")</f>
        <v>インドネシア</v>
      </c>
      <c r="E16" s="1115" t="str">
        <f ca="1">IFERROR(__xludf.DUMMYFUNCTION("""COMPUTED_VALUE"""),"アエプ サエプル ハク")</f>
        <v>アエプ サエプル ハク</v>
      </c>
      <c r="F16" s="933" t="str">
        <f ca="1">IFERROR(__xludf.DUMMYFUNCTION("""COMPUTED_VALUE"""),"男")</f>
        <v>男</v>
      </c>
      <c r="G16" s="934">
        <f ca="1">IFERROR(__xludf.DUMMYFUNCTION("""COMPUTED_VALUE"""),35420)</f>
        <v>35420</v>
      </c>
      <c r="H16" s="933">
        <f ca="1">IFERROR(__xludf.DUMMYFUNCTION("""COMPUTED_VALUE"""),29)</f>
        <v>29</v>
      </c>
      <c r="I16" s="933" t="str">
        <f ca="1">IFERROR(__xludf.DUMMYFUNCTION("""COMPUTED_VALUE"""),"H&amp;C")</f>
        <v>H&amp;C</v>
      </c>
      <c r="J16" s="1110">
        <f ca="1">IFERROR(__xludf.DUMMYFUNCTION("""COMPUTED_VALUE"""),45505)</f>
        <v>45505</v>
      </c>
      <c r="K16" s="1109" t="str">
        <f ca="1">IFERROR(__xludf.DUMMYFUNCTION("""COMPUTED_VALUE"""),"特定技能１号")</f>
        <v>特定技能１号</v>
      </c>
      <c r="L16" s="1135">
        <f ca="1">IFERROR(__xludf.DUMMYFUNCTION("""COMPUTED_VALUE"""),20000)</f>
        <v>20000</v>
      </c>
      <c r="M16" s="1067"/>
      <c r="N16" s="1659" t="s">
        <v>4341</v>
      </c>
      <c r="O16" s="918" t="s">
        <v>4342</v>
      </c>
      <c r="P16" s="970">
        <v>36000</v>
      </c>
      <c r="Q16" s="907">
        <v>4000</v>
      </c>
      <c r="R16" s="1030"/>
      <c r="S16" s="907"/>
      <c r="T16" s="1030"/>
      <c r="U16" s="1030"/>
      <c r="V16" s="1030"/>
      <c r="W16" s="1030"/>
      <c r="X16" s="1030"/>
      <c r="Y16" s="1030"/>
      <c r="Z16" s="1030"/>
      <c r="AA16" s="1030"/>
      <c r="AB16" s="1030"/>
    </row>
    <row r="17" spans="1:28">
      <c r="A17" s="1139" t="s">
        <v>149</v>
      </c>
      <c r="B17" s="1115">
        <f ca="1">IFERROR(__xludf.DUMMYFUNCTION("""COMPUTED_VALUE"""),240)</f>
        <v>240</v>
      </c>
      <c r="C17" s="928" t="str">
        <f ca="1">IFERROR(__xludf.DUMMYFUNCTION("""COMPUTED_VALUE"""),"津吉")</f>
        <v>津吉</v>
      </c>
      <c r="D17" s="923" t="str">
        <f ca="1">IFERROR(__xludf.DUMMYFUNCTION("""COMPUTED_VALUE"""),"インドネシア")</f>
        <v>インドネシア</v>
      </c>
      <c r="E17" s="907" t="str">
        <f ca="1">IFERROR(__xludf.DUMMYFUNCTION("""COMPUTED_VALUE"""),"リンダ ヌルハリザ")</f>
        <v>リンダ ヌルハリザ</v>
      </c>
      <c r="F17" s="923" t="str">
        <f ca="1">IFERROR(__xludf.DUMMYFUNCTION("""COMPUTED_VALUE"""),"女")</f>
        <v>女</v>
      </c>
      <c r="G17" s="925">
        <f ca="1">IFERROR(__xludf.DUMMYFUNCTION("""COMPUTED_VALUE"""),35762)</f>
        <v>35762</v>
      </c>
      <c r="H17" s="923">
        <f ca="1">IFERROR(__xludf.DUMMYFUNCTION("""COMPUTED_VALUE"""),28)</f>
        <v>28</v>
      </c>
      <c r="I17" s="923" t="str">
        <f ca="1">IFERROR(__xludf.DUMMYFUNCTION("""COMPUTED_VALUE"""),"中温")</f>
        <v>中温</v>
      </c>
      <c r="J17" s="1116">
        <f ca="1">IFERROR(__xludf.DUMMYFUNCTION("""COMPUTED_VALUE"""),46119)</f>
        <v>46119</v>
      </c>
      <c r="K17" s="1115" t="str">
        <f ca="1">IFERROR(__xludf.DUMMYFUNCTION("""COMPUTED_VALUE"""),"特定技能１号")</f>
        <v>特定技能１号</v>
      </c>
      <c r="L17" s="1136">
        <f ca="1">IFERROR(__xludf.DUMMYFUNCTION("""COMPUTED_VALUE"""),20000)</f>
        <v>20000</v>
      </c>
      <c r="M17" s="1070"/>
      <c r="N17" s="1648"/>
      <c r="O17" s="918" t="s">
        <v>4343</v>
      </c>
      <c r="P17" s="907"/>
      <c r="Q17" s="907" t="s">
        <v>4344</v>
      </c>
      <c r="R17" s="1030"/>
      <c r="S17" s="1030"/>
      <c r="T17" s="1030"/>
      <c r="U17" s="1030"/>
      <c r="V17" s="1030"/>
      <c r="W17" s="1030"/>
      <c r="X17" s="1030"/>
      <c r="Y17" s="1030"/>
      <c r="Z17" s="1030"/>
      <c r="AA17" s="1030"/>
      <c r="AB17" s="1030"/>
    </row>
    <row r="18" spans="1:28">
      <c r="A18" s="1147"/>
      <c r="B18" s="1148"/>
      <c r="C18" s="1148"/>
      <c r="D18" s="1148"/>
      <c r="E18" s="1148"/>
      <c r="F18" s="1148"/>
      <c r="G18" s="1149"/>
      <c r="H18" s="1148"/>
      <c r="I18" s="1148"/>
      <c r="J18" s="1149"/>
      <c r="K18" s="1148"/>
      <c r="L18" s="1150"/>
      <c r="M18" s="1075"/>
      <c r="N18" s="1648"/>
      <c r="O18" s="907"/>
      <c r="P18" s="1030"/>
      <c r="Q18" s="1030"/>
      <c r="R18" s="1030"/>
      <c r="S18" s="1030"/>
      <c r="T18" s="1030"/>
      <c r="U18" s="1030"/>
      <c r="V18" s="1030"/>
      <c r="W18" s="1030"/>
      <c r="X18" s="1030"/>
      <c r="Y18" s="1030"/>
      <c r="Z18" s="1030"/>
      <c r="AA18" s="1030"/>
      <c r="AB18" s="1030"/>
    </row>
    <row r="19" spans="1:28">
      <c r="A19" s="1151" t="s">
        <v>149</v>
      </c>
      <c r="B19" s="1152">
        <f ca="1">IFERROR(__xludf.DUMMYFUNCTION("QUERY('管理表'!A:AP,""select B,C,D,G,J,K,L,N,O,Q,T where ((C = '津吉' and R = '""&amp;$D$1&amp;$N19&amp;""'and S = '""&amp;$A19&amp;""')) and not(AH = '退職')"",0)"),126)</f>
        <v>126</v>
      </c>
      <c r="C19" s="1152" t="str">
        <f ca="1">IFERROR(__xludf.DUMMYFUNCTION("""COMPUTED_VALUE"""),"津吉")</f>
        <v>津吉</v>
      </c>
      <c r="D19" s="1152" t="str">
        <f ca="1">IFERROR(__xludf.DUMMYFUNCTION("""COMPUTED_VALUE"""),"インドネシア")</f>
        <v>インドネシア</v>
      </c>
      <c r="E19" s="1153" t="str">
        <f ca="1">IFERROR(__xludf.DUMMYFUNCTION("""COMPUTED_VALUE"""),"ムハンマド ナウファル アリ ムフタル")</f>
        <v>ムハンマド ナウファル アリ ムフタル</v>
      </c>
      <c r="F19" s="1152" t="str">
        <f ca="1">IFERROR(__xludf.DUMMYFUNCTION("""COMPUTED_VALUE"""),"男")</f>
        <v>男</v>
      </c>
      <c r="G19" s="1154">
        <f ca="1">IFERROR(__xludf.DUMMYFUNCTION("""COMPUTED_VALUE"""),37277)</f>
        <v>37277</v>
      </c>
      <c r="H19" s="1152">
        <f ca="1">IFERROR(__xludf.DUMMYFUNCTION("""COMPUTED_VALUE"""),24)</f>
        <v>24</v>
      </c>
      <c r="I19" s="1152" t="str">
        <f ca="1">IFERROR(__xludf.DUMMYFUNCTION("""COMPUTED_VALUE"""),"H&amp;C")</f>
        <v>H&amp;C</v>
      </c>
      <c r="J19" s="1154">
        <f ca="1">IFERROR(__xludf.DUMMYFUNCTION("""COMPUTED_VALUE"""),44937)</f>
        <v>44937</v>
      </c>
      <c r="K19" s="1152" t="str">
        <f ca="1">IFERROR(__xludf.DUMMYFUNCTION("""COMPUTED_VALUE"""),"特定技能１号")</f>
        <v>特定技能１号</v>
      </c>
      <c r="L19" s="1155">
        <f ca="1">IFERROR(__xludf.DUMMYFUNCTION("""COMPUTED_VALUE"""),20000)</f>
        <v>20000</v>
      </c>
      <c r="M19" s="1067"/>
      <c r="N19" s="1659" t="s">
        <v>4345</v>
      </c>
      <c r="O19" s="918" t="s">
        <v>4346</v>
      </c>
      <c r="P19" s="970">
        <v>36000</v>
      </c>
      <c r="Q19" s="1030"/>
      <c r="R19" s="1030"/>
      <c r="S19" s="907"/>
      <c r="T19" s="907"/>
      <c r="U19" s="1030"/>
      <c r="V19" s="1030"/>
      <c r="W19" s="1030"/>
      <c r="X19" s="1030"/>
      <c r="Y19" s="1030"/>
      <c r="Z19" s="1030"/>
      <c r="AA19" s="1030"/>
      <c r="AB19" s="1030"/>
    </row>
    <row r="20" spans="1:28">
      <c r="A20" s="1156" t="s">
        <v>149</v>
      </c>
      <c r="B20" s="943">
        <f ca="1">IFERROR(__xludf.DUMMYFUNCTION("""COMPUTED_VALUE"""),237)</f>
        <v>237</v>
      </c>
      <c r="C20" s="943" t="str">
        <f ca="1">IFERROR(__xludf.DUMMYFUNCTION("""COMPUTED_VALUE"""),"津吉")</f>
        <v>津吉</v>
      </c>
      <c r="D20" s="943" t="str">
        <f ca="1">IFERROR(__xludf.DUMMYFUNCTION("""COMPUTED_VALUE"""),"インドネシア")</f>
        <v>インドネシア</v>
      </c>
      <c r="E20" s="944" t="str">
        <f ca="1">IFERROR(__xludf.DUMMYFUNCTION("""COMPUTED_VALUE"""),"ユニタ サリニンシー")</f>
        <v>ユニタ サリニンシー</v>
      </c>
      <c r="F20" s="943" t="str">
        <f ca="1">IFERROR(__xludf.DUMMYFUNCTION("""COMPUTED_VALUE"""),"女")</f>
        <v>女</v>
      </c>
      <c r="G20" s="945">
        <f ca="1">IFERROR(__xludf.DUMMYFUNCTION("""COMPUTED_VALUE"""),37863)</f>
        <v>37863</v>
      </c>
      <c r="H20" s="943">
        <f ca="1">IFERROR(__xludf.DUMMYFUNCTION("""COMPUTED_VALUE"""),22)</f>
        <v>22</v>
      </c>
      <c r="I20" s="943" t="str">
        <f ca="1">IFERROR(__xludf.DUMMYFUNCTION("""COMPUTED_VALUE"""),"H&amp;C")</f>
        <v>H&amp;C</v>
      </c>
      <c r="J20" s="945">
        <f ca="1">IFERROR(__xludf.DUMMYFUNCTION("""COMPUTED_VALUE"""),45999)</f>
        <v>45999</v>
      </c>
      <c r="K20" s="943" t="str">
        <f ca="1">IFERROR(__xludf.DUMMYFUNCTION("""COMPUTED_VALUE"""),"特定技能１号")</f>
        <v>特定技能１号</v>
      </c>
      <c r="L20" s="1157">
        <f ca="1">IFERROR(__xludf.DUMMYFUNCTION("""COMPUTED_VALUE"""),20000)</f>
        <v>20000</v>
      </c>
      <c r="M20" s="1070"/>
      <c r="N20" s="1648"/>
      <c r="O20" s="918" t="s">
        <v>4347</v>
      </c>
      <c r="P20" s="1030"/>
      <c r="Q20" s="907"/>
      <c r="R20" s="1030"/>
      <c r="S20" s="1030"/>
      <c r="T20" s="1030"/>
      <c r="U20" s="1030"/>
      <c r="V20" s="1030"/>
      <c r="W20" s="1030"/>
      <c r="X20" s="1030"/>
      <c r="Y20" s="1030"/>
      <c r="Z20" s="1030"/>
      <c r="AA20" s="1030"/>
      <c r="AB20" s="1030"/>
    </row>
    <row r="21" spans="1:28">
      <c r="A21" s="1158"/>
      <c r="B21" s="1159"/>
      <c r="C21" s="1159"/>
      <c r="D21" s="1159"/>
      <c r="E21" s="1160"/>
      <c r="F21" s="1159"/>
      <c r="G21" s="1161"/>
      <c r="H21" s="1159"/>
      <c r="I21" s="1159"/>
      <c r="J21" s="968"/>
      <c r="K21" s="1159"/>
      <c r="L21" s="1162"/>
      <c r="M21" s="1138"/>
      <c r="N21" s="1649"/>
      <c r="O21" s="918" t="s">
        <v>4348</v>
      </c>
      <c r="P21" s="1030"/>
      <c r="Q21" s="1030"/>
      <c r="R21" s="1030"/>
      <c r="S21" s="1030"/>
      <c r="T21" s="1030"/>
      <c r="U21" s="1030"/>
      <c r="V21" s="1030"/>
      <c r="W21" s="1030"/>
      <c r="X21" s="1030"/>
      <c r="Y21" s="1030"/>
      <c r="Z21" s="1030"/>
      <c r="AA21" s="1030"/>
      <c r="AB21" s="1030"/>
    </row>
    <row r="22" spans="1:28">
      <c r="A22" s="1163" t="s">
        <v>82</v>
      </c>
      <c r="B22" s="1121" t="str">
        <f ca="1">IFERROR(__xludf.DUMMYFUNCTION("QUERY('管理表'!A:AP,""select B,C,D,G,J,K,L,N,O,Q,T where ((C = '津吉' and R = '""&amp;$D$1&amp;$N22&amp;""'and S = '""&amp;$A22&amp;""')) and not(AH = '退職')"",0)"),"#N/A")</f>
        <v>#N/A</v>
      </c>
      <c r="C22" s="1121"/>
      <c r="D22" s="1121"/>
      <c r="F22" s="1121"/>
      <c r="G22" s="1164"/>
      <c r="H22" s="1121"/>
      <c r="I22" s="1121"/>
      <c r="J22" s="1164"/>
      <c r="K22" s="1121"/>
      <c r="L22" s="1165"/>
      <c r="M22" s="1166"/>
      <c r="N22" s="1660" t="s">
        <v>4349</v>
      </c>
      <c r="O22" s="918" t="s">
        <v>4350</v>
      </c>
      <c r="P22" s="970">
        <v>36000</v>
      </c>
      <c r="Q22" s="1030"/>
      <c r="R22" s="1030"/>
      <c r="S22" s="907"/>
      <c r="T22" s="1030"/>
      <c r="U22" s="1030"/>
      <c r="V22" s="1030"/>
      <c r="W22" s="1030"/>
      <c r="X22" s="1030"/>
      <c r="Y22" s="1030"/>
      <c r="Z22" s="1030"/>
      <c r="AA22" s="1030"/>
      <c r="AB22" s="1030"/>
    </row>
    <row r="23" spans="1:28">
      <c r="A23" s="1114" t="s">
        <v>82</v>
      </c>
      <c r="B23" s="1115"/>
      <c r="C23" s="1115"/>
      <c r="D23" s="1115"/>
      <c r="E23" s="1167"/>
      <c r="F23" s="1115"/>
      <c r="G23" s="1116"/>
      <c r="H23" s="1115"/>
      <c r="I23" s="1115"/>
      <c r="J23" s="925"/>
      <c r="K23" s="1115"/>
      <c r="L23" s="1136"/>
      <c r="M23" s="1070"/>
      <c r="N23" s="1648"/>
      <c r="O23" s="918" t="s">
        <v>4351</v>
      </c>
      <c r="P23" s="1030"/>
      <c r="Q23" s="1030"/>
      <c r="R23" s="1030"/>
      <c r="S23" s="1030"/>
      <c r="T23" s="1030"/>
      <c r="U23" s="1030"/>
      <c r="V23" s="1030"/>
      <c r="W23" s="1030"/>
      <c r="X23" s="1030"/>
      <c r="Y23" s="1030"/>
      <c r="Z23" s="1030"/>
      <c r="AA23" s="1030"/>
      <c r="AB23" s="1030"/>
    </row>
    <row r="24" spans="1:28">
      <c r="A24" s="1168" t="s">
        <v>82</v>
      </c>
      <c r="B24" s="1169"/>
      <c r="C24" s="1169"/>
      <c r="D24" s="1169"/>
      <c r="E24" s="920" t="s">
        <v>4352</v>
      </c>
      <c r="F24" s="1169"/>
      <c r="G24" s="1170"/>
      <c r="H24" s="1169"/>
      <c r="I24" s="1169"/>
      <c r="J24" s="1170"/>
      <c r="K24" s="1169"/>
      <c r="L24" s="1171"/>
      <c r="M24" s="1075"/>
      <c r="N24" s="1648"/>
      <c r="O24" s="918" t="s">
        <v>4353</v>
      </c>
      <c r="P24" s="1030"/>
      <c r="Q24" s="1030"/>
      <c r="R24" s="1030"/>
      <c r="S24" s="1030"/>
      <c r="T24" s="1030"/>
      <c r="U24" s="1030"/>
      <c r="V24" s="1030"/>
      <c r="W24" s="1030"/>
      <c r="X24" s="1030"/>
      <c r="Y24" s="1030"/>
      <c r="Z24" s="1030"/>
      <c r="AA24" s="1030"/>
      <c r="AB24" s="1030"/>
    </row>
    <row r="25" spans="1:28">
      <c r="A25" s="1108" t="s">
        <v>82</v>
      </c>
      <c r="B25" s="1109">
        <f ca="1">IFERROR(__xludf.DUMMYFUNCTION("QUERY('管理表'!A:AP,""select B,C,D,G,J,K,L,N,O,Q,T where ((C = '津吉' and R = '""&amp;$D$1&amp;$N25&amp;""'and S = '""&amp;$A25&amp;""')) and not(AH = '退職')"",0)"),50)</f>
        <v>50</v>
      </c>
      <c r="C25" s="1109" t="str">
        <f ca="1">IFERROR(__xludf.DUMMYFUNCTION("""COMPUTED_VALUE"""),"津吉")</f>
        <v>津吉</v>
      </c>
      <c r="D25" s="1109" t="str">
        <f ca="1">IFERROR(__xludf.DUMMYFUNCTION("""COMPUTED_VALUE"""),"ベトナム")</f>
        <v>ベトナム</v>
      </c>
      <c r="E25" s="1109" t="str">
        <f ca="1">IFERROR(__xludf.DUMMYFUNCTION("""COMPUTED_VALUE"""),"チャン ティー トゥータオ")</f>
        <v>チャン ティー トゥータオ</v>
      </c>
      <c r="F25" s="1109" t="str">
        <f ca="1">IFERROR(__xludf.DUMMYFUNCTION("""COMPUTED_VALUE"""),"女")</f>
        <v>女</v>
      </c>
      <c r="G25" s="1110">
        <f ca="1">IFERROR(__xludf.DUMMYFUNCTION("""COMPUTED_VALUE"""),35807)</f>
        <v>35807</v>
      </c>
      <c r="H25" s="1109">
        <f ca="1">IFERROR(__xludf.DUMMYFUNCTION("""COMPUTED_VALUE"""),28)</f>
        <v>28</v>
      </c>
      <c r="I25" s="1152" t="str">
        <f ca="1">IFERROR(__xludf.DUMMYFUNCTION("""COMPUTED_VALUE"""),"デルタ四国")</f>
        <v>デルタ四国</v>
      </c>
      <c r="J25" s="1110">
        <f ca="1">IFERROR(__xludf.DUMMYFUNCTION("""COMPUTED_VALUE"""),44566)</f>
        <v>44566</v>
      </c>
      <c r="K25" s="1152" t="str">
        <f ca="1">IFERROR(__xludf.DUMMYFUNCTION("""COMPUTED_VALUE"""),"特定技能２号")</f>
        <v>特定技能２号</v>
      </c>
      <c r="L25" s="1135">
        <f ca="1">IFERROR(__xludf.DUMMYFUNCTION("""COMPUTED_VALUE"""),20000)</f>
        <v>20000</v>
      </c>
      <c r="M25" s="1067"/>
      <c r="N25" s="1659" t="s">
        <v>4354</v>
      </c>
      <c r="O25" s="1030"/>
      <c r="P25" s="970">
        <v>36000</v>
      </c>
      <c r="Q25" s="1030"/>
      <c r="R25" s="1030"/>
      <c r="S25" s="907"/>
      <c r="T25" s="1030"/>
      <c r="U25" s="1030"/>
      <c r="V25" s="1030"/>
      <c r="W25" s="1030"/>
      <c r="X25" s="1030"/>
      <c r="Y25" s="1030"/>
      <c r="Z25" s="1030"/>
      <c r="AA25" s="1030"/>
      <c r="AB25" s="1030"/>
    </row>
    <row r="26" spans="1:28">
      <c r="A26" s="1168" t="s">
        <v>82</v>
      </c>
      <c r="B26" s="1172">
        <f ca="1">IFERROR(__xludf.DUMMYFUNCTION("""COMPUTED_VALUE"""),51)</f>
        <v>51</v>
      </c>
      <c r="C26" s="1172" t="str">
        <f ca="1">IFERROR(__xludf.DUMMYFUNCTION("""COMPUTED_VALUE"""),"津吉")</f>
        <v>津吉</v>
      </c>
      <c r="D26" s="1172" t="str">
        <f ca="1">IFERROR(__xludf.DUMMYFUNCTION("""COMPUTED_VALUE"""),"ベトナム")</f>
        <v>ベトナム</v>
      </c>
      <c r="E26" s="1172" t="str">
        <f ca="1">IFERROR(__xludf.DUMMYFUNCTION("""COMPUTED_VALUE"""),"ブイ ヒウ フン")</f>
        <v>ブイ ヒウ フン</v>
      </c>
      <c r="F26" s="1172" t="str">
        <f ca="1">IFERROR(__xludf.DUMMYFUNCTION("""COMPUTED_VALUE"""),"男")</f>
        <v>男</v>
      </c>
      <c r="G26" s="1173">
        <f ca="1">IFERROR(__xludf.DUMMYFUNCTION("""COMPUTED_VALUE"""),35127)</f>
        <v>35127</v>
      </c>
      <c r="H26" s="1172">
        <f ca="1">IFERROR(__xludf.DUMMYFUNCTION("""COMPUTED_VALUE"""),30)</f>
        <v>30</v>
      </c>
      <c r="I26" s="1174" t="str">
        <f ca="1">IFERROR(__xludf.DUMMYFUNCTION("""COMPUTED_VALUE"""),"デルタ四国")</f>
        <v>デルタ四国</v>
      </c>
      <c r="J26" s="1173">
        <f ca="1">IFERROR(__xludf.DUMMYFUNCTION("""COMPUTED_VALUE"""),44566)</f>
        <v>44566</v>
      </c>
      <c r="K26" s="1174" t="str">
        <f ca="1">IFERROR(__xludf.DUMMYFUNCTION("""COMPUTED_VALUE"""),"特定技能２号")</f>
        <v>特定技能２号</v>
      </c>
      <c r="L26" s="1144">
        <f ca="1">IFERROR(__xludf.DUMMYFUNCTION("""COMPUTED_VALUE"""),20000)</f>
        <v>20000</v>
      </c>
      <c r="M26" s="1075"/>
      <c r="N26" s="1648"/>
      <c r="O26" s="1030"/>
      <c r="P26" s="1030"/>
      <c r="Q26" s="1030"/>
      <c r="R26" s="1030"/>
      <c r="S26" s="1030"/>
      <c r="T26" s="1030"/>
      <c r="U26" s="1030"/>
      <c r="V26" s="1030"/>
      <c r="W26" s="1030"/>
      <c r="X26" s="1030"/>
      <c r="Y26" s="1030"/>
      <c r="Z26" s="1030"/>
      <c r="AA26" s="1030"/>
      <c r="AB26" s="1030"/>
    </row>
    <row r="27" spans="1:28">
      <c r="A27" s="1175"/>
      <c r="B27" s="1159"/>
      <c r="C27" s="1159"/>
      <c r="D27" s="1159"/>
      <c r="E27" s="1159"/>
      <c r="F27" s="1159"/>
      <c r="G27" s="1161"/>
      <c r="H27" s="1159"/>
      <c r="I27" s="1159"/>
      <c r="J27" s="1161"/>
      <c r="K27" s="1159"/>
      <c r="L27" s="1162"/>
      <c r="M27" s="1176"/>
      <c r="N27" s="1649"/>
      <c r="O27" s="1030"/>
      <c r="P27" s="1030"/>
      <c r="Q27" s="1030"/>
      <c r="R27" s="1030"/>
      <c r="S27" s="1030"/>
      <c r="T27" s="1030"/>
      <c r="U27" s="1030"/>
      <c r="V27" s="1030"/>
      <c r="W27" s="1030"/>
      <c r="X27" s="1030"/>
      <c r="Y27" s="1030"/>
      <c r="Z27" s="1030"/>
      <c r="AA27" s="1030"/>
      <c r="AB27" s="1030"/>
    </row>
    <row r="28" spans="1:28">
      <c r="A28" s="1177" t="s">
        <v>149</v>
      </c>
      <c r="B28" s="1121">
        <f ca="1">IFERROR(__xludf.DUMMYFUNCTION("QUERY('管理表'!A:AP,""select B,C,D,G,J,K,L,N,O,Q,T where ((C = '津吉' and R = '""&amp;$D$1&amp;$N28&amp;""'and S = '""&amp;$A28&amp;""')) and not(AH = '退職')"",0)"),88)</f>
        <v>88</v>
      </c>
      <c r="C28" s="1121" t="str">
        <f ca="1">IFERROR(__xludf.DUMMYFUNCTION("""COMPUTED_VALUE"""),"津吉")</f>
        <v>津吉</v>
      </c>
      <c r="D28" s="1178" t="str">
        <f ca="1">IFERROR(__xludf.DUMMYFUNCTION("""COMPUTED_VALUE"""),"インドネシア")</f>
        <v>インドネシア</v>
      </c>
      <c r="E28" s="1179" t="str">
        <f ca="1">IFERROR(__xludf.DUMMYFUNCTION("""COMPUTED_VALUE"""),"ウフィク ルフィアナ")</f>
        <v>ウフィク ルフィアナ</v>
      </c>
      <c r="F28" s="1178" t="str">
        <f ca="1">IFERROR(__xludf.DUMMYFUNCTION("""COMPUTED_VALUE"""),"女")</f>
        <v>女</v>
      </c>
      <c r="G28" s="1180">
        <f ca="1">IFERROR(__xludf.DUMMYFUNCTION("""COMPUTED_VALUE"""),36553)</f>
        <v>36553</v>
      </c>
      <c r="H28" s="1178">
        <f ca="1">IFERROR(__xludf.DUMMYFUNCTION("""COMPUTED_VALUE"""),26)</f>
        <v>26</v>
      </c>
      <c r="I28" s="1178" t="str">
        <f ca="1">IFERROR(__xludf.DUMMYFUNCTION("""COMPUTED_VALUE"""),"H&amp;C")</f>
        <v>H&amp;C</v>
      </c>
      <c r="J28" s="1180">
        <f ca="1">IFERROR(__xludf.DUMMYFUNCTION("""COMPUTED_VALUE"""),44669)</f>
        <v>44669</v>
      </c>
      <c r="K28" s="1121" t="str">
        <f ca="1">IFERROR(__xludf.DUMMYFUNCTION("""COMPUTED_VALUE"""),"特定技能１号")</f>
        <v>特定技能１号</v>
      </c>
      <c r="L28" s="1143">
        <f ca="1">IFERROR(__xludf.DUMMYFUNCTION("""COMPUTED_VALUE"""),20000)</f>
        <v>20000</v>
      </c>
      <c r="M28" s="1181"/>
      <c r="N28" s="1660" t="s">
        <v>4355</v>
      </c>
      <c r="O28" s="918" t="s">
        <v>4356</v>
      </c>
      <c r="P28" s="970">
        <v>36000</v>
      </c>
      <c r="Q28" s="1030"/>
      <c r="R28" s="1030"/>
      <c r="S28" s="1127">
        <v>44571</v>
      </c>
      <c r="T28" s="1030"/>
      <c r="U28" s="1030"/>
      <c r="V28" s="1030"/>
      <c r="W28" s="1030"/>
      <c r="X28" s="1030"/>
      <c r="Y28" s="1030"/>
      <c r="Z28" s="1030"/>
      <c r="AA28" s="1030"/>
      <c r="AB28" s="1030"/>
    </row>
    <row r="29" spans="1:28">
      <c r="A29" s="1182" t="s">
        <v>149</v>
      </c>
      <c r="B29" s="1115">
        <f ca="1">IFERROR(__xludf.DUMMYFUNCTION("""COMPUTED_VALUE"""),239)</f>
        <v>239</v>
      </c>
      <c r="C29" s="1115" t="str">
        <f ca="1">IFERROR(__xludf.DUMMYFUNCTION("""COMPUTED_VALUE"""),"津吉")</f>
        <v>津吉</v>
      </c>
      <c r="D29" s="1183" t="str">
        <f ca="1">IFERROR(__xludf.DUMMYFUNCTION("""COMPUTED_VALUE"""),"インドネシア")</f>
        <v>インドネシア</v>
      </c>
      <c r="E29" s="1183" t="str">
        <f ca="1">IFERROR(__xludf.DUMMYFUNCTION("""COMPUTED_VALUE"""),"タフィフ　ヌル　アンディカ")</f>
        <v>タフィフ　ヌル　アンディカ</v>
      </c>
      <c r="F29" s="1183" t="str">
        <f ca="1">IFERROR(__xludf.DUMMYFUNCTION("""COMPUTED_VALUE"""),"男")</f>
        <v>男</v>
      </c>
      <c r="G29" s="1184">
        <f ca="1">IFERROR(__xludf.DUMMYFUNCTION("""COMPUTED_VALUE"""),36458)</f>
        <v>36458</v>
      </c>
      <c r="H29" s="1183">
        <f ca="1">IFERROR(__xludf.DUMMYFUNCTION("""COMPUTED_VALUE"""),26)</f>
        <v>26</v>
      </c>
      <c r="I29" s="1183" t="str">
        <f ca="1">IFERROR(__xludf.DUMMYFUNCTION("""COMPUTED_VALUE"""),"中温")</f>
        <v>中温</v>
      </c>
      <c r="J29" s="1184">
        <f ca="1">IFERROR(__xludf.DUMMYFUNCTION("""COMPUTED_VALUE"""),46077)</f>
        <v>46077</v>
      </c>
      <c r="K29" s="1185" t="str">
        <f ca="1">IFERROR(__xludf.DUMMYFUNCTION("""COMPUTED_VALUE"""),"特定技能１号")</f>
        <v>特定技能１号</v>
      </c>
      <c r="L29" s="1136">
        <f ca="1">IFERROR(__xludf.DUMMYFUNCTION("""COMPUTED_VALUE"""),20000)</f>
        <v>20000</v>
      </c>
      <c r="M29" s="1186"/>
      <c r="N29" s="1648"/>
      <c r="O29" s="918" t="s">
        <v>4357</v>
      </c>
      <c r="P29" s="1030"/>
      <c r="Q29" s="1030"/>
      <c r="R29" s="1030"/>
      <c r="S29" s="1030"/>
      <c r="T29" s="1030"/>
      <c r="U29" s="1030"/>
      <c r="V29" s="1030"/>
      <c r="W29" s="1030"/>
      <c r="X29" s="1030"/>
      <c r="Y29" s="1030"/>
      <c r="Z29" s="1030"/>
      <c r="AA29" s="1030"/>
      <c r="AB29" s="1030"/>
    </row>
    <row r="30" spans="1:28">
      <c r="A30" s="1175"/>
      <c r="B30" s="1187"/>
      <c r="C30" s="1187"/>
      <c r="D30" s="1187"/>
      <c r="E30" s="1188"/>
      <c r="F30" s="1187"/>
      <c r="G30" s="1189"/>
      <c r="H30" s="1187"/>
      <c r="I30" s="1187"/>
      <c r="J30" s="1190"/>
      <c r="K30" s="1191"/>
      <c r="L30" s="1192"/>
      <c r="M30" s="1080"/>
      <c r="N30" s="1648"/>
      <c r="O30" s="918" t="s">
        <v>4358</v>
      </c>
      <c r="P30" s="1030"/>
      <c r="Q30" s="1030"/>
      <c r="R30" s="1030"/>
      <c r="S30" s="1030"/>
      <c r="T30" s="1030"/>
      <c r="U30" s="1030"/>
      <c r="V30" s="1030"/>
      <c r="W30" s="1030"/>
      <c r="X30" s="1030"/>
      <c r="Y30" s="1030"/>
      <c r="Z30" s="1030"/>
      <c r="AA30" s="1030"/>
      <c r="AB30" s="1030"/>
    </row>
    <row r="31" spans="1:28">
      <c r="A31" s="1108" t="s">
        <v>82</v>
      </c>
      <c r="B31" s="1109">
        <f ca="1">IFERROR(__xludf.DUMMYFUNCTION("QUERY('管理表'!A:AP,""select B,C,D,G,J,K,L,N,O,Q,T where ((C = '津吉' and R = '""&amp;$D$1&amp;$N31&amp;""'and S = '""&amp;$A31&amp;""')) and not(AH = '退職')"",0)"),73)</f>
        <v>73</v>
      </c>
      <c r="C31" s="1109" t="str">
        <f ca="1">IFERROR(__xludf.DUMMYFUNCTION("""COMPUTED_VALUE"""),"津吉")</f>
        <v>津吉</v>
      </c>
      <c r="D31" s="1109" t="str">
        <f ca="1">IFERROR(__xludf.DUMMYFUNCTION("""COMPUTED_VALUE"""),"インドネシア")</f>
        <v>インドネシア</v>
      </c>
      <c r="E31" s="1109" t="str">
        <f ca="1">IFERROR(__xludf.DUMMYFUNCTION("""COMPUTED_VALUE"""),"シャールル ムアリフ")</f>
        <v>シャールル ムアリフ</v>
      </c>
      <c r="F31" s="1109" t="str">
        <f ca="1">IFERROR(__xludf.DUMMYFUNCTION("""COMPUTED_VALUE"""),"男")</f>
        <v>男</v>
      </c>
      <c r="G31" s="1110">
        <f ca="1">IFERROR(__xludf.DUMMYFUNCTION("""COMPUTED_VALUE"""),38053)</f>
        <v>38053</v>
      </c>
      <c r="H31" s="1109">
        <f ca="1">IFERROR(__xludf.DUMMYFUNCTION("""COMPUTED_VALUE"""),22)</f>
        <v>22</v>
      </c>
      <c r="I31" s="1109" t="str">
        <f ca="1">IFERROR(__xludf.DUMMYFUNCTION("""COMPUTED_VALUE"""),"H&amp;C")</f>
        <v>H&amp;C</v>
      </c>
      <c r="J31" s="1110">
        <f ca="1">IFERROR(__xludf.DUMMYFUNCTION("""COMPUTED_VALUE"""),45027)</f>
        <v>45027</v>
      </c>
      <c r="K31" s="1109" t="str">
        <f ca="1">IFERROR(__xludf.DUMMYFUNCTION("""COMPUTED_VALUE"""),"特定技能１号")</f>
        <v>特定技能１号</v>
      </c>
      <c r="L31" s="1135">
        <f ca="1">IFERROR(__xludf.DUMMYFUNCTION("""COMPUTED_VALUE"""),15000)</f>
        <v>15000</v>
      </c>
      <c r="M31" s="1067"/>
      <c r="N31" s="1658" t="s">
        <v>4359</v>
      </c>
      <c r="O31" s="1030"/>
      <c r="P31" s="970">
        <v>42000</v>
      </c>
      <c r="Q31" s="1113"/>
      <c r="R31" s="1113">
        <v>45865</v>
      </c>
      <c r="S31" s="907"/>
      <c r="T31" s="1030"/>
      <c r="U31" s="1030"/>
      <c r="V31" s="1030"/>
      <c r="W31" s="1030"/>
      <c r="X31" s="1030"/>
      <c r="Y31" s="1030"/>
      <c r="Z31" s="1030"/>
      <c r="AA31" s="1030"/>
      <c r="AB31" s="1030"/>
    </row>
    <row r="32" spans="1:28">
      <c r="A32" s="1114" t="s">
        <v>82</v>
      </c>
      <c r="B32" s="1115">
        <f ca="1">IFERROR(__xludf.DUMMYFUNCTION("""COMPUTED_VALUE"""),75)</f>
        <v>75</v>
      </c>
      <c r="C32" s="1115" t="str">
        <f ca="1">IFERROR(__xludf.DUMMYFUNCTION("""COMPUTED_VALUE"""),"津吉")</f>
        <v>津吉</v>
      </c>
      <c r="D32" s="1115" t="str">
        <f ca="1">IFERROR(__xludf.DUMMYFUNCTION("""COMPUTED_VALUE"""),"インドネシア")</f>
        <v>インドネシア</v>
      </c>
      <c r="E32" s="1115" t="str">
        <f ca="1">IFERROR(__xludf.DUMMYFUNCTION("""COMPUTED_VALUE"""),"レイハン アリ サハシカ ザカリ")</f>
        <v>レイハン アリ サハシカ ザカリ</v>
      </c>
      <c r="F32" s="1115" t="str">
        <f ca="1">IFERROR(__xludf.DUMMYFUNCTION("""COMPUTED_VALUE"""),"男")</f>
        <v>男</v>
      </c>
      <c r="G32" s="1116">
        <f ca="1">IFERROR(__xludf.DUMMYFUNCTION("""COMPUTED_VALUE"""),37989)</f>
        <v>37989</v>
      </c>
      <c r="H32" s="1115">
        <f ca="1">IFERROR(__xludf.DUMMYFUNCTION("""COMPUTED_VALUE"""),22)</f>
        <v>22</v>
      </c>
      <c r="I32" s="1115" t="str">
        <f ca="1">IFERROR(__xludf.DUMMYFUNCTION("""COMPUTED_VALUE"""),"H&amp;C")</f>
        <v>H&amp;C</v>
      </c>
      <c r="J32" s="1116">
        <f ca="1">IFERROR(__xludf.DUMMYFUNCTION("""COMPUTED_VALUE"""),45027)</f>
        <v>45027</v>
      </c>
      <c r="K32" s="1115" t="str">
        <f ca="1">IFERROR(__xludf.DUMMYFUNCTION("""COMPUTED_VALUE"""),"特定技能１号")</f>
        <v>特定技能１号</v>
      </c>
      <c r="L32" s="1136">
        <f ca="1">IFERROR(__xludf.DUMMYFUNCTION("""COMPUTED_VALUE"""),15000)</f>
        <v>15000</v>
      </c>
      <c r="M32" s="1070"/>
      <c r="N32" s="1648"/>
      <c r="O32" s="918"/>
      <c r="P32" s="1030"/>
      <c r="Q32" s="1030"/>
      <c r="R32" s="1030"/>
      <c r="S32" s="1030"/>
      <c r="T32" s="1030"/>
      <c r="U32" s="1030"/>
      <c r="V32" s="1030"/>
      <c r="W32" s="1030"/>
      <c r="X32" s="1030"/>
      <c r="Y32" s="1030"/>
      <c r="Z32" s="1030"/>
      <c r="AA32" s="1030"/>
      <c r="AB32" s="1030"/>
    </row>
    <row r="33" spans="1:28">
      <c r="A33" s="1119" t="s">
        <v>82</v>
      </c>
      <c r="B33" s="1120">
        <f ca="1">IFERROR(__xludf.DUMMYFUNCTION("""COMPUTED_VALUE"""),205)</f>
        <v>205</v>
      </c>
      <c r="C33" s="1120" t="str">
        <f ca="1">IFERROR(__xludf.DUMMYFUNCTION("""COMPUTED_VALUE"""),"津吉")</f>
        <v>津吉</v>
      </c>
      <c r="D33" s="1120" t="str">
        <f ca="1">IFERROR(__xludf.DUMMYFUNCTION("""COMPUTED_VALUE"""),"インドネシア")</f>
        <v>インドネシア</v>
      </c>
      <c r="E33" s="938" t="str">
        <f ca="1">IFERROR(__xludf.DUMMYFUNCTION("""COMPUTED_VALUE"""),"レストゥ グメラー")</f>
        <v>レストゥ グメラー</v>
      </c>
      <c r="F33" s="1120" t="str">
        <f ca="1">IFERROR(__xludf.DUMMYFUNCTION("""COMPUTED_VALUE"""),"男")</f>
        <v>男</v>
      </c>
      <c r="G33" s="1122">
        <f ca="1">IFERROR(__xludf.DUMMYFUNCTION("""COMPUTED_VALUE"""),35416)</f>
        <v>35416</v>
      </c>
      <c r="H33" s="1120">
        <f ca="1">IFERROR(__xludf.DUMMYFUNCTION("""COMPUTED_VALUE"""),29)</f>
        <v>29</v>
      </c>
      <c r="I33" s="1120" t="str">
        <f ca="1">IFERROR(__xludf.DUMMYFUNCTION("""COMPUTED_VALUE"""),"H&amp;C")</f>
        <v>H&amp;C</v>
      </c>
      <c r="J33" s="1122">
        <f ca="1">IFERROR(__xludf.DUMMYFUNCTION("""COMPUTED_VALUE"""),45860)</f>
        <v>45860</v>
      </c>
      <c r="K33" s="1120" t="str">
        <f ca="1">IFERROR(__xludf.DUMMYFUNCTION("""COMPUTED_VALUE"""),"特定技能１号")</f>
        <v>特定技能１号</v>
      </c>
      <c r="L33" s="1137">
        <f ca="1">IFERROR(__xludf.DUMMYFUNCTION("""COMPUTED_VALUE"""),15000)</f>
        <v>15000</v>
      </c>
      <c r="M33" s="1138"/>
      <c r="N33" s="1649"/>
      <c r="O33" s="964" t="s">
        <v>4360</v>
      </c>
      <c r="P33" s="1030"/>
      <c r="Q33" s="1030"/>
      <c r="R33" s="1030"/>
      <c r="S33" s="1030"/>
      <c r="T33" s="1030"/>
      <c r="U33" s="1030"/>
      <c r="V33" s="1030"/>
      <c r="W33" s="1030"/>
      <c r="X33" s="1030"/>
      <c r="Y33" s="1030"/>
      <c r="Z33" s="1030"/>
      <c r="AA33" s="1030"/>
      <c r="AB33" s="1030"/>
    </row>
    <row r="34" spans="1:28">
      <c r="A34" s="1108" t="s">
        <v>82</v>
      </c>
      <c r="B34" s="1109">
        <f ca="1">IFERROR(__xludf.DUMMYFUNCTION("QUERY('管理表'!A:AP,""select B,C,D,G,J,K,L,N,O,Q,T where ((C = '津吉' and R = '""&amp;$D$1&amp;$N34&amp;""'and S = '""&amp;$A34&amp;""')) and not(AH = '退職')"",0)"),175)</f>
        <v>175</v>
      </c>
      <c r="C34" s="1109" t="str">
        <f ca="1">IFERROR(__xludf.DUMMYFUNCTION("""COMPUTED_VALUE"""),"津吉")</f>
        <v>津吉</v>
      </c>
      <c r="D34" s="1109" t="str">
        <f ca="1">IFERROR(__xludf.DUMMYFUNCTION("""COMPUTED_VALUE"""),"インドネシア")</f>
        <v>インドネシア</v>
      </c>
      <c r="E34" s="955" t="str">
        <f ca="1">IFERROR(__xludf.DUMMYFUNCTION("""COMPUTED_VALUE"""),"アルル ユスフ フィルダウス")</f>
        <v>アルル ユスフ フィルダウス</v>
      </c>
      <c r="F34" s="955" t="str">
        <f ca="1">IFERROR(__xludf.DUMMYFUNCTION("""COMPUTED_VALUE"""),"男")</f>
        <v>男</v>
      </c>
      <c r="G34" s="1193">
        <f ca="1">IFERROR(__xludf.DUMMYFUNCTION("""COMPUTED_VALUE"""),37146)</f>
        <v>37146</v>
      </c>
      <c r="H34" s="1194">
        <f ca="1">IFERROR(__xludf.DUMMYFUNCTION("""COMPUTED_VALUE"""),24)</f>
        <v>24</v>
      </c>
      <c r="I34" s="1194" t="str">
        <f ca="1">IFERROR(__xludf.DUMMYFUNCTION("""COMPUTED_VALUE"""),"H&amp;C")</f>
        <v>H&amp;C</v>
      </c>
      <c r="J34" s="1193">
        <f ca="1">IFERROR(__xludf.DUMMYFUNCTION("""COMPUTED_VALUE"""),45594)</f>
        <v>45594</v>
      </c>
      <c r="K34" s="1109" t="str">
        <f ca="1">IFERROR(__xludf.DUMMYFUNCTION("""COMPUTED_VALUE"""),"特定技能１号")</f>
        <v>特定技能１号</v>
      </c>
      <c r="L34" s="1143">
        <f ca="1">IFERROR(__xludf.DUMMYFUNCTION("""COMPUTED_VALUE"""),15000)</f>
        <v>15000</v>
      </c>
      <c r="M34" s="1080"/>
      <c r="N34" s="1660" t="s">
        <v>4361</v>
      </c>
      <c r="O34" s="964" t="s">
        <v>4333</v>
      </c>
      <c r="P34" s="970">
        <v>44000</v>
      </c>
      <c r="Q34" s="1030"/>
      <c r="R34" s="1030"/>
      <c r="S34" s="907"/>
      <c r="T34" s="1030"/>
      <c r="U34" s="1030"/>
      <c r="V34" s="1030"/>
      <c r="W34" s="1030"/>
      <c r="X34" s="1030"/>
      <c r="Y34" s="1030"/>
      <c r="Z34" s="1030"/>
      <c r="AA34" s="1030"/>
      <c r="AB34" s="1030"/>
    </row>
    <row r="35" spans="1:28">
      <c r="A35" s="1114" t="s">
        <v>82</v>
      </c>
      <c r="B35" s="1115">
        <f ca="1">IFERROR(__xludf.DUMMYFUNCTION("""COMPUTED_VALUE"""),177)</f>
        <v>177</v>
      </c>
      <c r="C35" s="1115" t="str">
        <f ca="1">IFERROR(__xludf.DUMMYFUNCTION("""COMPUTED_VALUE"""),"津吉")</f>
        <v>津吉</v>
      </c>
      <c r="D35" s="1115" t="str">
        <f ca="1">IFERROR(__xludf.DUMMYFUNCTION("""COMPUTED_VALUE"""),"インドネシア")</f>
        <v>インドネシア</v>
      </c>
      <c r="E35" s="1195" t="str">
        <f ca="1">IFERROR(__xludf.DUMMYFUNCTION("""COMPUTED_VALUE"""),"ライハン ヴィルギアン アルファレル")</f>
        <v>ライハン ヴィルギアン アルファレル</v>
      </c>
      <c r="F35" s="955" t="str">
        <f ca="1">IFERROR(__xludf.DUMMYFUNCTION("""COMPUTED_VALUE"""),"男")</f>
        <v>男</v>
      </c>
      <c r="G35" s="1193">
        <f ca="1">IFERROR(__xludf.DUMMYFUNCTION("""COMPUTED_VALUE"""),37878)</f>
        <v>37878</v>
      </c>
      <c r="H35" s="1194">
        <f ca="1">IFERROR(__xludf.DUMMYFUNCTION("""COMPUTED_VALUE"""),22)</f>
        <v>22</v>
      </c>
      <c r="I35" s="1194" t="str">
        <f ca="1">IFERROR(__xludf.DUMMYFUNCTION("""COMPUTED_VALUE"""),"H&amp;C")</f>
        <v>H&amp;C</v>
      </c>
      <c r="J35" s="1193">
        <f ca="1">IFERROR(__xludf.DUMMYFUNCTION("""COMPUTED_VALUE"""),45594)</f>
        <v>45594</v>
      </c>
      <c r="K35" s="1115" t="str">
        <f ca="1">IFERROR(__xludf.DUMMYFUNCTION("""COMPUTED_VALUE"""),"特定技能１号")</f>
        <v>特定技能１号</v>
      </c>
      <c r="L35" s="1143">
        <f ca="1">IFERROR(__xludf.DUMMYFUNCTION("""COMPUTED_VALUE"""),15000)</f>
        <v>15000</v>
      </c>
      <c r="M35" s="1080"/>
      <c r="N35" s="1648"/>
      <c r="O35" s="964" t="s">
        <v>4333</v>
      </c>
      <c r="P35" s="907"/>
      <c r="Q35" s="1030"/>
      <c r="R35" s="1030"/>
      <c r="S35" s="1030"/>
      <c r="T35" s="1030"/>
      <c r="U35" s="1030"/>
      <c r="V35" s="1030"/>
      <c r="W35" s="1030"/>
      <c r="X35" s="1030"/>
      <c r="Y35" s="1030"/>
      <c r="Z35" s="1030"/>
      <c r="AA35" s="1030"/>
      <c r="AB35" s="1030"/>
    </row>
    <row r="36" spans="1:28">
      <c r="A36" s="1119" t="s">
        <v>82</v>
      </c>
      <c r="B36" s="1120">
        <f ca="1">IFERROR(__xludf.DUMMYFUNCTION("""COMPUTED_VALUE"""),178)</f>
        <v>178</v>
      </c>
      <c r="C36" s="1196" t="str">
        <f ca="1">IFERROR(__xludf.DUMMYFUNCTION("""COMPUTED_VALUE"""),"津吉")</f>
        <v>津吉</v>
      </c>
      <c r="D36" s="1196" t="str">
        <f ca="1">IFERROR(__xludf.DUMMYFUNCTION("""COMPUTED_VALUE"""),"インドネシア")</f>
        <v>インドネシア</v>
      </c>
      <c r="E36" s="982" t="str">
        <f ca="1">IFERROR(__xludf.DUMMYFUNCTION("""COMPUTED_VALUE"""),"リヴァンドラ ジヨ マヘサ")</f>
        <v>リヴァンドラ ジヨ マヘサ</v>
      </c>
      <c r="F36" s="982" t="str">
        <f ca="1">IFERROR(__xludf.DUMMYFUNCTION("""COMPUTED_VALUE"""),"男")</f>
        <v>男</v>
      </c>
      <c r="G36" s="1197">
        <f ca="1">IFERROR(__xludf.DUMMYFUNCTION("""COMPUTED_VALUE"""),38317)</f>
        <v>38317</v>
      </c>
      <c r="H36" s="1196">
        <f ca="1">IFERROR(__xludf.DUMMYFUNCTION("""COMPUTED_VALUE"""),21)</f>
        <v>21</v>
      </c>
      <c r="I36" s="1196" t="str">
        <f ca="1">IFERROR(__xludf.DUMMYFUNCTION("""COMPUTED_VALUE"""),"H&amp;C")</f>
        <v>H&amp;C</v>
      </c>
      <c r="J36" s="1197">
        <f ca="1">IFERROR(__xludf.DUMMYFUNCTION("""COMPUTED_VALUE"""),45587)</f>
        <v>45587</v>
      </c>
      <c r="K36" s="1120" t="str">
        <f ca="1">IFERROR(__xludf.DUMMYFUNCTION("""COMPUTED_VALUE"""),"特定技能１号")</f>
        <v>特定技能１号</v>
      </c>
      <c r="L36" s="1198">
        <f ca="1">IFERROR(__xludf.DUMMYFUNCTION("""COMPUTED_VALUE"""),15000)</f>
        <v>15000</v>
      </c>
      <c r="M36" s="1199"/>
      <c r="N36" s="1649"/>
      <c r="O36" s="964" t="s">
        <v>4333</v>
      </c>
      <c r="P36" s="907"/>
      <c r="Q36" s="1030"/>
      <c r="R36" s="1030"/>
      <c r="S36" s="1030"/>
      <c r="T36" s="1030"/>
      <c r="U36" s="1030"/>
      <c r="V36" s="1030"/>
      <c r="W36" s="1030"/>
      <c r="X36" s="1030"/>
      <c r="Y36" s="1030"/>
      <c r="Z36" s="1030"/>
      <c r="AA36" s="1030"/>
      <c r="AB36" s="1030"/>
    </row>
    <row r="37" spans="1:28">
      <c r="A37" s="1163" t="s">
        <v>82</v>
      </c>
      <c r="B37" s="915">
        <f ca="1">IFERROR(__xludf.DUMMYFUNCTION("QUERY('管理表'!A:AP,""select B,C,D,G,J,K,L,N,O,Q,T where ((C = '津吉' and R = '""&amp;$D$1&amp;$N37&amp;""'and S = '""&amp;$A10&amp;""')) and not(AH = '退職')"",0)"),117)</f>
        <v>117</v>
      </c>
      <c r="C37" s="1121" t="str">
        <f ca="1">IFERROR(__xludf.DUMMYFUNCTION("""COMPUTED_VALUE"""),"津吉")</f>
        <v>津吉</v>
      </c>
      <c r="D37" s="1121" t="str">
        <f ca="1">IFERROR(__xludf.DUMMYFUNCTION("""COMPUTED_VALUE"""),"インドネシア")</f>
        <v>インドネシア</v>
      </c>
      <c r="E37" s="915" t="str">
        <f ca="1">IFERROR(__xludf.DUMMYFUNCTION("""COMPUTED_VALUE"""),"シティ ロピアナ")</f>
        <v>シティ ロピアナ</v>
      </c>
      <c r="F37" s="915" t="str">
        <f ca="1">IFERROR(__xludf.DUMMYFUNCTION("""COMPUTED_VALUE"""),"女")</f>
        <v>女</v>
      </c>
      <c r="G37" s="1164">
        <f ca="1">IFERROR(__xludf.DUMMYFUNCTION("""COMPUTED_VALUE"""),36325)</f>
        <v>36325</v>
      </c>
      <c r="H37" s="1121">
        <f ca="1">IFERROR(__xludf.DUMMYFUNCTION("""COMPUTED_VALUE"""),26)</f>
        <v>26</v>
      </c>
      <c r="I37" s="1121" t="str">
        <f ca="1">IFERROR(__xludf.DUMMYFUNCTION("""COMPUTED_VALUE"""),"H&amp;C")</f>
        <v>H&amp;C</v>
      </c>
      <c r="J37" s="1164">
        <f ca="1">IFERROR(__xludf.DUMMYFUNCTION("""COMPUTED_VALUE"""),45210)</f>
        <v>45210</v>
      </c>
      <c r="K37" s="1109" t="str">
        <f ca="1">IFERROR(__xludf.DUMMYFUNCTION("""COMPUTED_VALUE"""),"特定技能１号")</f>
        <v>特定技能１号</v>
      </c>
      <c r="L37" s="1143">
        <f ca="1">IFERROR(__xludf.DUMMYFUNCTION("""COMPUTED_VALUE"""),15000)</f>
        <v>15000</v>
      </c>
      <c r="M37" s="1166"/>
      <c r="N37" s="1660" t="s">
        <v>4362</v>
      </c>
      <c r="O37" s="964" t="s">
        <v>4363</v>
      </c>
      <c r="P37" s="970">
        <v>40000</v>
      </c>
      <c r="Q37" s="1030"/>
      <c r="R37" s="1030"/>
      <c r="S37" s="907"/>
      <c r="T37" s="1030"/>
      <c r="U37" s="1030"/>
      <c r="V37" s="1030"/>
      <c r="W37" s="1030"/>
      <c r="X37" s="1030"/>
      <c r="Y37" s="1030"/>
      <c r="Z37" s="1030"/>
      <c r="AA37" s="1030"/>
      <c r="AB37" s="1030"/>
    </row>
    <row r="38" spans="1:28">
      <c r="A38" s="1114" t="s">
        <v>82</v>
      </c>
      <c r="B38" s="923">
        <f ca="1">IFERROR(__xludf.DUMMYFUNCTION("""COMPUTED_VALUE"""),160)</f>
        <v>160</v>
      </c>
      <c r="C38" s="1172" t="str">
        <f ca="1">IFERROR(__xludf.DUMMYFUNCTION("""COMPUTED_VALUE"""),"津吉")</f>
        <v>津吉</v>
      </c>
      <c r="D38" s="1172" t="str">
        <f ca="1">IFERROR(__xludf.DUMMYFUNCTION("""COMPUTED_VALUE"""),"インドネシア")</f>
        <v>インドネシア</v>
      </c>
      <c r="E38" s="923" t="str">
        <f ca="1">IFERROR(__xludf.DUMMYFUNCTION("""COMPUTED_VALUE"""),"ユナンダ ムルニアシー")</f>
        <v>ユナンダ ムルニアシー</v>
      </c>
      <c r="F38" s="923" t="str">
        <f ca="1">IFERROR(__xludf.DUMMYFUNCTION("""COMPUTED_VALUE"""),"女")</f>
        <v>女</v>
      </c>
      <c r="G38" s="1116">
        <f ca="1">IFERROR(__xludf.DUMMYFUNCTION("""COMPUTED_VALUE"""),38128)</f>
        <v>38128</v>
      </c>
      <c r="H38" s="1115">
        <f ca="1">IFERROR(__xludf.DUMMYFUNCTION("""COMPUTED_VALUE"""),21)</f>
        <v>21</v>
      </c>
      <c r="I38" s="1115" t="str">
        <f ca="1">IFERROR(__xludf.DUMMYFUNCTION("""COMPUTED_VALUE"""),"H&amp;C")</f>
        <v>H&amp;C</v>
      </c>
      <c r="J38" s="1116">
        <f ca="1">IFERROR(__xludf.DUMMYFUNCTION("""COMPUTED_VALUE"""),45376)</f>
        <v>45376</v>
      </c>
      <c r="K38" s="1115" t="str">
        <f ca="1">IFERROR(__xludf.DUMMYFUNCTION("""COMPUTED_VALUE"""),"特定技能１号")</f>
        <v>特定技能１号</v>
      </c>
      <c r="L38" s="1144">
        <f ca="1">IFERROR(__xludf.DUMMYFUNCTION("""COMPUTED_VALUE"""),15000)</f>
        <v>15000</v>
      </c>
      <c r="M38" s="1070"/>
      <c r="N38" s="1648"/>
      <c r="O38" s="964" t="s">
        <v>4363</v>
      </c>
      <c r="P38" s="1030"/>
      <c r="Q38" s="1030"/>
      <c r="R38" s="1030"/>
      <c r="S38" s="1030"/>
      <c r="T38" s="1030"/>
      <c r="U38" s="1030"/>
      <c r="V38" s="1030"/>
      <c r="W38" s="1030"/>
      <c r="X38" s="1030"/>
      <c r="Y38" s="1030"/>
      <c r="Z38" s="1030"/>
      <c r="AA38" s="1030"/>
      <c r="AB38" s="1030"/>
    </row>
    <row r="39" spans="1:28">
      <c r="A39" s="1119" t="s">
        <v>82</v>
      </c>
      <c r="B39" s="938">
        <f ca="1">IFERROR(__xludf.DUMMYFUNCTION("""COMPUTED_VALUE"""),185)</f>
        <v>185</v>
      </c>
      <c r="C39" s="1196" t="str">
        <f ca="1">IFERROR(__xludf.DUMMYFUNCTION("""COMPUTED_VALUE"""),"津吉")</f>
        <v>津吉</v>
      </c>
      <c r="D39" s="1196" t="str">
        <f ca="1">IFERROR(__xludf.DUMMYFUNCTION("""COMPUTED_VALUE"""),"インドネシア")</f>
        <v>インドネシア</v>
      </c>
      <c r="E39" s="938" t="str">
        <f ca="1">IFERROR(__xludf.DUMMYFUNCTION("""COMPUTED_VALUE"""),"チンティア インダー ゲスタ")</f>
        <v>チンティア インダー ゲスタ</v>
      </c>
      <c r="F39" s="938" t="str">
        <f ca="1">IFERROR(__xludf.DUMMYFUNCTION("""COMPUTED_VALUE"""),"女")</f>
        <v>女</v>
      </c>
      <c r="G39" s="1122">
        <f ca="1">IFERROR(__xludf.DUMMYFUNCTION("""COMPUTED_VALUE"""),36802)</f>
        <v>36802</v>
      </c>
      <c r="H39" s="1120">
        <f ca="1">IFERROR(__xludf.DUMMYFUNCTION("""COMPUTED_VALUE"""),25)</f>
        <v>25</v>
      </c>
      <c r="I39" s="1120" t="str">
        <f ca="1">IFERROR(__xludf.DUMMYFUNCTION("""COMPUTED_VALUE"""),"H&amp;C")</f>
        <v>H&amp;C</v>
      </c>
      <c r="J39" s="1122">
        <f ca="1">IFERROR(__xludf.DUMMYFUNCTION("""COMPUTED_VALUE"""),45587)</f>
        <v>45587</v>
      </c>
      <c r="K39" s="1120" t="str">
        <f ca="1">IFERROR(__xludf.DUMMYFUNCTION("""COMPUTED_VALUE"""),"特定技能１号")</f>
        <v>特定技能１号</v>
      </c>
      <c r="L39" s="1198">
        <f ca="1">IFERROR(__xludf.DUMMYFUNCTION("""COMPUTED_VALUE"""),15000)</f>
        <v>15000</v>
      </c>
      <c r="M39" s="1138"/>
      <c r="N39" s="1649"/>
      <c r="O39" s="964" t="s">
        <v>4363</v>
      </c>
      <c r="P39" s="1030"/>
      <c r="Q39" s="1030"/>
      <c r="R39" s="1030"/>
      <c r="S39" s="1030"/>
      <c r="T39" s="1030"/>
      <c r="U39" s="1030"/>
      <c r="V39" s="1030"/>
      <c r="W39" s="1030"/>
      <c r="X39" s="1030"/>
      <c r="Y39" s="1030"/>
      <c r="Z39" s="1030"/>
      <c r="AA39" s="1030"/>
      <c r="AB39" s="1030"/>
    </row>
    <row r="40" spans="1:28">
      <c r="A40" s="1163" t="s">
        <v>82</v>
      </c>
      <c r="B40" s="1121">
        <f ca="1">IFERROR(__xludf.DUMMYFUNCTION("QUERY('管理表'!A:AP,""select B,C,D,G,J,K,L,N,O,Q,T where ((C = '津吉' and R = '""&amp;$D$1&amp;$N40&amp;""'and S = '""&amp;$A40&amp;""')) and not(AH = '退職')"",0)"),70)</f>
        <v>70</v>
      </c>
      <c r="C40" s="1121" t="str">
        <f ca="1">IFERROR(__xludf.DUMMYFUNCTION("""COMPUTED_VALUE"""),"津吉")</f>
        <v>津吉</v>
      </c>
      <c r="D40" s="1121" t="str">
        <f ca="1">IFERROR(__xludf.DUMMYFUNCTION("""COMPUTED_VALUE"""),"インドネシア")</f>
        <v>インドネシア</v>
      </c>
      <c r="E40" s="1200" t="str">
        <f ca="1">IFERROR(__xludf.DUMMYFUNCTION("""COMPUTED_VALUE"""),"レザ アルヤ ヌグラハ")</f>
        <v>レザ アルヤ ヌグラハ</v>
      </c>
      <c r="F40" s="1121" t="str">
        <f ca="1">IFERROR(__xludf.DUMMYFUNCTION("""COMPUTED_VALUE"""),"男")</f>
        <v>男</v>
      </c>
      <c r="G40" s="1164">
        <f ca="1">IFERROR(__xludf.DUMMYFUNCTION("""COMPUTED_VALUE"""),37958)</f>
        <v>37958</v>
      </c>
      <c r="H40" s="1121">
        <f ca="1">IFERROR(__xludf.DUMMYFUNCTION("""COMPUTED_VALUE"""),22)</f>
        <v>22</v>
      </c>
      <c r="I40" s="1121" t="str">
        <f ca="1">IFERROR(__xludf.DUMMYFUNCTION("""COMPUTED_VALUE"""),"H&amp;C")</f>
        <v>H&amp;C</v>
      </c>
      <c r="J40" s="1164">
        <f ca="1">IFERROR(__xludf.DUMMYFUNCTION("""COMPUTED_VALUE"""),45027)</f>
        <v>45027</v>
      </c>
      <c r="K40" s="1201" t="str">
        <f ca="1">IFERROR(__xludf.DUMMYFUNCTION("""COMPUTED_VALUE"""),"特定技能１号")</f>
        <v>特定技能１号</v>
      </c>
      <c r="L40" s="1143">
        <f ca="1">IFERROR(__xludf.DUMMYFUNCTION("""COMPUTED_VALUE"""),15000)</f>
        <v>15000</v>
      </c>
      <c r="M40" s="1166"/>
      <c r="N40" s="1661" t="s">
        <v>4364</v>
      </c>
      <c r="O40" s="1030"/>
      <c r="P40" s="970">
        <v>36000</v>
      </c>
      <c r="Q40" s="1113"/>
      <c r="R40" s="1113">
        <v>45865</v>
      </c>
      <c r="S40" s="907"/>
      <c r="T40" s="1030"/>
      <c r="U40" s="1030"/>
      <c r="V40" s="1030"/>
      <c r="W40" s="1030"/>
      <c r="X40" s="1030"/>
      <c r="Y40" s="1030"/>
      <c r="Z40" s="1030"/>
      <c r="AA40" s="1030"/>
      <c r="AB40" s="1030"/>
    </row>
    <row r="41" spans="1:28">
      <c r="A41" s="1114" t="s">
        <v>82</v>
      </c>
      <c r="B41" s="1115">
        <f ca="1">IFERROR(__xludf.DUMMYFUNCTION("""COMPUTED_VALUE"""),72)</f>
        <v>72</v>
      </c>
      <c r="C41" s="1115" t="str">
        <f ca="1">IFERROR(__xludf.DUMMYFUNCTION("""COMPUTED_VALUE"""),"津吉")</f>
        <v>津吉</v>
      </c>
      <c r="D41" s="1115" t="str">
        <f ca="1">IFERROR(__xludf.DUMMYFUNCTION("""COMPUTED_VALUE"""),"インドネシア")</f>
        <v>インドネシア</v>
      </c>
      <c r="E41" s="1202" t="str">
        <f ca="1">IFERROR(__xludf.DUMMYFUNCTION("""COMPUTED_VALUE"""),"ナナ マルディアナ")</f>
        <v>ナナ マルディアナ</v>
      </c>
      <c r="F41" s="1115" t="str">
        <f ca="1">IFERROR(__xludf.DUMMYFUNCTION("""COMPUTED_VALUE"""),"男")</f>
        <v>男</v>
      </c>
      <c r="G41" s="1116">
        <f ca="1">IFERROR(__xludf.DUMMYFUNCTION("""COMPUTED_VALUE"""),37994)</f>
        <v>37994</v>
      </c>
      <c r="H41" s="1115">
        <f ca="1">IFERROR(__xludf.DUMMYFUNCTION("""COMPUTED_VALUE"""),22)</f>
        <v>22</v>
      </c>
      <c r="I41" s="1115" t="str">
        <f ca="1">IFERROR(__xludf.DUMMYFUNCTION("""COMPUTED_VALUE"""),"H&amp;C")</f>
        <v>H&amp;C</v>
      </c>
      <c r="J41" s="1116">
        <f ca="1">IFERROR(__xludf.DUMMYFUNCTION("""COMPUTED_VALUE"""),45027)</f>
        <v>45027</v>
      </c>
      <c r="K41" s="1115" t="str">
        <f ca="1">IFERROR(__xludf.DUMMYFUNCTION("""COMPUTED_VALUE"""),"特定技能１号")</f>
        <v>特定技能１号</v>
      </c>
      <c r="L41" s="1136">
        <f ca="1">IFERROR(__xludf.DUMMYFUNCTION("""COMPUTED_VALUE"""),15000)</f>
        <v>15000</v>
      </c>
      <c r="M41" s="1070"/>
      <c r="N41" s="1648"/>
      <c r="O41" s="918" t="s">
        <v>4365</v>
      </c>
      <c r="P41" s="1030"/>
      <c r="Q41" s="1030"/>
      <c r="R41" s="1030"/>
      <c r="S41" s="1030"/>
      <c r="T41" s="1030"/>
      <c r="U41" s="1030"/>
      <c r="V41" s="1030"/>
      <c r="W41" s="1030"/>
      <c r="X41" s="1030"/>
      <c r="Y41" s="1030"/>
      <c r="Z41" s="1030"/>
      <c r="AA41" s="1030"/>
      <c r="AB41" s="1030"/>
    </row>
    <row r="42" spans="1:28">
      <c r="A42" s="1168" t="s">
        <v>82</v>
      </c>
      <c r="B42" s="1172">
        <f ca="1">IFERROR(__xludf.DUMMYFUNCTION("""COMPUTED_VALUE"""),94)</f>
        <v>94</v>
      </c>
      <c r="C42" s="1172" t="str">
        <f ca="1">IFERROR(__xludf.DUMMYFUNCTION("""COMPUTED_VALUE"""),"津吉")</f>
        <v>津吉</v>
      </c>
      <c r="D42" s="1172" t="str">
        <f ca="1">IFERROR(__xludf.DUMMYFUNCTION("""COMPUTED_VALUE"""),"インドネシア")</f>
        <v>インドネシア</v>
      </c>
      <c r="E42" s="1203" t="str">
        <f ca="1">IFERROR(__xludf.DUMMYFUNCTION("""COMPUTED_VALUE"""),"ミフタフル アリフ")</f>
        <v>ミフタフル アリフ</v>
      </c>
      <c r="F42" s="1172" t="str">
        <f ca="1">IFERROR(__xludf.DUMMYFUNCTION("""COMPUTED_VALUE"""),"男")</f>
        <v>男</v>
      </c>
      <c r="G42" s="1173">
        <f ca="1">IFERROR(__xludf.DUMMYFUNCTION("""COMPUTED_VALUE"""),34331)</f>
        <v>34331</v>
      </c>
      <c r="H42" s="1172">
        <f ca="1">IFERROR(__xludf.DUMMYFUNCTION("""COMPUTED_VALUE"""),32)</f>
        <v>32</v>
      </c>
      <c r="I42" s="1172" t="str">
        <f ca="1">IFERROR(__xludf.DUMMYFUNCTION("""COMPUTED_VALUE"""),"H&amp;C")</f>
        <v>H&amp;C</v>
      </c>
      <c r="J42" s="1173">
        <f ca="1">IFERROR(__xludf.DUMMYFUNCTION("""COMPUTED_VALUE"""),44669)</f>
        <v>44669</v>
      </c>
      <c r="K42" s="1174" t="str">
        <f ca="1">IFERROR(__xludf.DUMMYFUNCTION("""COMPUTED_VALUE"""),"特定技能２号")</f>
        <v>特定技能２号</v>
      </c>
      <c r="L42" s="1137">
        <f ca="1">IFERROR(__xludf.DUMMYFUNCTION("""COMPUTED_VALUE"""),15000)</f>
        <v>15000</v>
      </c>
      <c r="M42" s="1075"/>
      <c r="N42" s="1648"/>
      <c r="O42" s="918"/>
      <c r="P42" s="1030"/>
      <c r="Q42" s="1030"/>
      <c r="R42" s="1030"/>
      <c r="S42" s="1030"/>
      <c r="T42" s="1030"/>
      <c r="U42" s="1030"/>
      <c r="V42" s="1030"/>
      <c r="W42" s="1030"/>
      <c r="X42" s="1030"/>
      <c r="Y42" s="1030"/>
      <c r="Z42" s="1030"/>
      <c r="AA42" s="1030"/>
      <c r="AB42" s="1030"/>
    </row>
    <row r="43" spans="1:28">
      <c r="A43" s="1108" t="s">
        <v>82</v>
      </c>
      <c r="B43" s="1109">
        <f ca="1">IFERROR(__xludf.DUMMYFUNCTION("QUERY('管理表'!A:AP,""select B,C,D,G,J,K,L,N,O,Q,T where ((C = '津吉' and R = '""&amp;$D$1&amp;$N43&amp;""'and S = '""&amp;$A43&amp;""')) and not(AH = '退職')"",0)"),65)</f>
        <v>65</v>
      </c>
      <c r="C43" s="1109" t="str">
        <f ca="1">IFERROR(__xludf.DUMMYFUNCTION("""COMPUTED_VALUE"""),"津吉")</f>
        <v>津吉</v>
      </c>
      <c r="D43" s="1109" t="str">
        <f ca="1">IFERROR(__xludf.DUMMYFUNCTION("""COMPUTED_VALUE"""),"インドネシア")</f>
        <v>インドネシア</v>
      </c>
      <c r="E43" s="995" t="str">
        <f ca="1">IFERROR(__xludf.DUMMYFUNCTION("""COMPUTED_VALUE"""),"ククー ヌル ハンドヨ")</f>
        <v>ククー ヌル ハンドヨ</v>
      </c>
      <c r="F43" s="1109" t="str">
        <f ca="1">IFERROR(__xludf.DUMMYFUNCTION("""COMPUTED_VALUE"""),"男")</f>
        <v>男</v>
      </c>
      <c r="G43" s="1110">
        <f ca="1">IFERROR(__xludf.DUMMYFUNCTION("""COMPUTED_VALUE"""),35333)</f>
        <v>35333</v>
      </c>
      <c r="H43" s="1109">
        <f ca="1">IFERROR(__xludf.DUMMYFUNCTION("""COMPUTED_VALUE"""),29)</f>
        <v>29</v>
      </c>
      <c r="I43" s="1109" t="str">
        <f ca="1">IFERROR(__xludf.DUMMYFUNCTION("""COMPUTED_VALUE"""),"H&amp;C")</f>
        <v>H&amp;C</v>
      </c>
      <c r="J43" s="1110">
        <f ca="1">IFERROR(__xludf.DUMMYFUNCTION("""COMPUTED_VALUE"""),45027)</f>
        <v>45027</v>
      </c>
      <c r="K43" s="1109" t="str">
        <f ca="1">IFERROR(__xludf.DUMMYFUNCTION("""COMPUTED_VALUE"""),"特定技能１号")</f>
        <v>特定技能１号</v>
      </c>
      <c r="L43" s="1143">
        <f ca="1">IFERROR(__xludf.DUMMYFUNCTION("""COMPUTED_VALUE"""),15000)</f>
        <v>15000</v>
      </c>
      <c r="M43" s="1067"/>
      <c r="N43" s="1658" t="s">
        <v>4366</v>
      </c>
      <c r="O43" s="918" t="s">
        <v>4367</v>
      </c>
      <c r="P43" s="970">
        <v>39000</v>
      </c>
      <c r="Q43" s="1113"/>
      <c r="R43" s="1113">
        <v>45865</v>
      </c>
      <c r="S43" s="1127">
        <v>45809</v>
      </c>
      <c r="T43" s="1030"/>
      <c r="U43" s="1030"/>
      <c r="V43" s="1030"/>
      <c r="W43" s="1030"/>
      <c r="X43" s="1030"/>
      <c r="Y43" s="1030"/>
      <c r="Z43" s="1030"/>
      <c r="AA43" s="1030"/>
      <c r="AB43" s="1030"/>
    </row>
    <row r="44" spans="1:28">
      <c r="A44" s="1114" t="s">
        <v>82</v>
      </c>
      <c r="B44" s="1115">
        <f ca="1">IFERROR(__xludf.DUMMYFUNCTION("""COMPUTED_VALUE"""),69)</f>
        <v>69</v>
      </c>
      <c r="C44" s="1115" t="str">
        <f ca="1">IFERROR(__xludf.DUMMYFUNCTION("""COMPUTED_VALUE"""),"津吉")</f>
        <v>津吉</v>
      </c>
      <c r="D44" s="1115" t="str">
        <f ca="1">IFERROR(__xludf.DUMMYFUNCTION("""COMPUTED_VALUE"""),"インドネシア")</f>
        <v>インドネシア</v>
      </c>
      <c r="E44" s="923" t="str">
        <f ca="1">IFERROR(__xludf.DUMMYFUNCTION("""COMPUTED_VALUE"""),"ムハマッド ヒダヤット ヌロフマン")</f>
        <v>ムハマッド ヒダヤット ヌロフマン</v>
      </c>
      <c r="F44" s="1115" t="str">
        <f ca="1">IFERROR(__xludf.DUMMYFUNCTION("""COMPUTED_VALUE"""),"男")</f>
        <v>男</v>
      </c>
      <c r="G44" s="1116">
        <f ca="1">IFERROR(__xludf.DUMMYFUNCTION("""COMPUTED_VALUE"""),36053)</f>
        <v>36053</v>
      </c>
      <c r="H44" s="1115">
        <f ca="1">IFERROR(__xludf.DUMMYFUNCTION("""COMPUTED_VALUE"""),27)</f>
        <v>27</v>
      </c>
      <c r="I44" s="1115" t="str">
        <f ca="1">IFERROR(__xludf.DUMMYFUNCTION("""COMPUTED_VALUE"""),"H&amp;C")</f>
        <v>H&amp;C</v>
      </c>
      <c r="J44" s="1116">
        <f ca="1">IFERROR(__xludf.DUMMYFUNCTION("""COMPUTED_VALUE"""),45027)</f>
        <v>45027</v>
      </c>
      <c r="K44" s="1115" t="str">
        <f ca="1">IFERROR(__xludf.DUMMYFUNCTION("""COMPUTED_VALUE"""),"特定技能１号")</f>
        <v>特定技能１号</v>
      </c>
      <c r="L44" s="1136">
        <f ca="1">IFERROR(__xludf.DUMMYFUNCTION("""COMPUTED_VALUE"""),15000)</f>
        <v>15000</v>
      </c>
      <c r="M44" s="1070"/>
      <c r="N44" s="1648"/>
      <c r="O44" s="918"/>
      <c r="P44" s="1030"/>
      <c r="Q44" s="1030"/>
      <c r="R44" s="1030"/>
      <c r="S44" s="1030"/>
      <c r="T44" s="1030"/>
      <c r="U44" s="1030"/>
      <c r="V44" s="1030"/>
      <c r="W44" s="1030"/>
      <c r="X44" s="1030"/>
      <c r="Y44" s="1030"/>
      <c r="Z44" s="1030"/>
      <c r="AA44" s="1030"/>
      <c r="AB44" s="1030"/>
    </row>
    <row r="45" spans="1:28">
      <c r="A45" s="1204" t="s">
        <v>82</v>
      </c>
      <c r="B45" s="1120">
        <f ca="1">IFERROR(__xludf.DUMMYFUNCTION("""COMPUTED_VALUE"""),162)</f>
        <v>162</v>
      </c>
      <c r="C45" s="1120" t="str">
        <f ca="1">IFERROR(__xludf.DUMMYFUNCTION("""COMPUTED_VALUE"""),"津吉")</f>
        <v>津吉</v>
      </c>
      <c r="D45" s="1120" t="str">
        <f ca="1">IFERROR(__xludf.DUMMYFUNCTION("""COMPUTED_VALUE"""),"インドネシア")</f>
        <v>インドネシア</v>
      </c>
      <c r="E45" s="1131" t="str">
        <f ca="1">IFERROR(__xludf.DUMMYFUNCTION("""COMPUTED_VALUE"""),"アプリヨノ")</f>
        <v>アプリヨノ</v>
      </c>
      <c r="F45" s="1120" t="str">
        <f ca="1">IFERROR(__xludf.DUMMYFUNCTION("""COMPUTED_VALUE"""),"男")</f>
        <v>男</v>
      </c>
      <c r="G45" s="1122">
        <f ca="1">IFERROR(__xludf.DUMMYFUNCTION("""COMPUTED_VALUE"""),37734)</f>
        <v>37734</v>
      </c>
      <c r="H45" s="1120">
        <f ca="1">IFERROR(__xludf.DUMMYFUNCTION("""COMPUTED_VALUE"""),22)</f>
        <v>22</v>
      </c>
      <c r="I45" s="1120" t="str">
        <f ca="1">IFERROR(__xludf.DUMMYFUNCTION("""COMPUTED_VALUE"""),"H&amp;C")</f>
        <v>H&amp;C</v>
      </c>
      <c r="J45" s="1122">
        <f ca="1">IFERROR(__xludf.DUMMYFUNCTION("""COMPUTED_VALUE"""),45376)</f>
        <v>45376</v>
      </c>
      <c r="K45" s="1120" t="str">
        <f ca="1">IFERROR(__xludf.DUMMYFUNCTION("""COMPUTED_VALUE"""),"特定技能１号")</f>
        <v>特定技能１号</v>
      </c>
      <c r="L45" s="1137">
        <f ca="1">IFERROR(__xludf.DUMMYFUNCTION("""COMPUTED_VALUE"""),15000)</f>
        <v>15000</v>
      </c>
      <c r="M45" s="1138"/>
      <c r="N45" s="1649"/>
      <c r="O45" s="918" t="s">
        <v>4368</v>
      </c>
      <c r="P45" s="1030"/>
      <c r="Q45" s="1030"/>
      <c r="R45" s="1030"/>
      <c r="S45" s="1030"/>
      <c r="T45" s="1030"/>
      <c r="U45" s="1030"/>
      <c r="V45" s="1030"/>
      <c r="W45" s="1030"/>
      <c r="X45" s="1030"/>
      <c r="Y45" s="1030"/>
      <c r="Z45" s="1030"/>
      <c r="AA45" s="1030"/>
      <c r="AB45" s="1030"/>
    </row>
    <row r="46" spans="1:28">
      <c r="A46" s="1163" t="s">
        <v>82</v>
      </c>
      <c r="B46" s="1121">
        <f ca="1">IFERROR(__xludf.DUMMYFUNCTION("QUERY('管理表'!A:AP,""select B,C,D,G,J,K,L,N,O,Q,T where ((C = '津吉' and R = '""&amp;$D$1&amp;$N46&amp;""'and S = '""&amp;$A46&amp;""')) and not(AH = '退職')"",0)"),79)</f>
        <v>79</v>
      </c>
      <c r="C46" s="1121" t="str">
        <f ca="1">IFERROR(__xludf.DUMMYFUNCTION("""COMPUTED_VALUE"""),"津吉")</f>
        <v>津吉</v>
      </c>
      <c r="D46" s="1121" t="str">
        <f ca="1">IFERROR(__xludf.DUMMYFUNCTION("""COMPUTED_VALUE"""),"インドネシア")</f>
        <v>インドネシア</v>
      </c>
      <c r="E46" s="1121" t="str">
        <f ca="1">IFERROR(__xludf.DUMMYFUNCTION("""COMPUTED_VALUE"""),"エヴィ ラハユ")</f>
        <v>エヴィ ラハユ</v>
      </c>
      <c r="F46" s="1121" t="str">
        <f ca="1">IFERROR(__xludf.DUMMYFUNCTION("""COMPUTED_VALUE"""),"女")</f>
        <v>女</v>
      </c>
      <c r="G46" s="1164">
        <f ca="1">IFERROR(__xludf.DUMMYFUNCTION("""COMPUTED_VALUE"""),36638)</f>
        <v>36638</v>
      </c>
      <c r="H46" s="1121">
        <f ca="1">IFERROR(__xludf.DUMMYFUNCTION("""COMPUTED_VALUE"""),25)</f>
        <v>25</v>
      </c>
      <c r="I46" s="1121" t="str">
        <f ca="1">IFERROR(__xludf.DUMMYFUNCTION("""COMPUTED_VALUE"""),"H&amp;C")</f>
        <v>H&amp;C</v>
      </c>
      <c r="J46" s="1164">
        <f ca="1">IFERROR(__xludf.DUMMYFUNCTION("""COMPUTED_VALUE"""),44669)</f>
        <v>44669</v>
      </c>
      <c r="K46" s="1121" t="str">
        <f ca="1">IFERROR(__xludf.DUMMYFUNCTION("""COMPUTED_VALUE"""),"特定技能２号")</f>
        <v>特定技能２号</v>
      </c>
      <c r="L46" s="1143">
        <f ca="1">IFERROR(__xludf.DUMMYFUNCTION("""COMPUTED_VALUE"""),15000)</f>
        <v>15000</v>
      </c>
      <c r="M46" s="1166"/>
      <c r="N46" s="1661" t="s">
        <v>4369</v>
      </c>
      <c r="O46" s="907"/>
      <c r="P46" s="970">
        <v>44000</v>
      </c>
      <c r="Q46" s="1113"/>
      <c r="R46" s="1113">
        <v>45865</v>
      </c>
      <c r="S46" s="907"/>
      <c r="T46" s="1030"/>
      <c r="U46" s="1030"/>
      <c r="V46" s="1030"/>
      <c r="W46" s="1030"/>
      <c r="X46" s="1030"/>
      <c r="Y46" s="1030"/>
      <c r="Z46" s="1030"/>
      <c r="AA46" s="1030"/>
      <c r="AB46" s="1030"/>
    </row>
    <row r="47" spans="1:28">
      <c r="A47" s="1114" t="s">
        <v>82</v>
      </c>
      <c r="B47" s="1115">
        <f ca="1">IFERROR(__xludf.DUMMYFUNCTION("""COMPUTED_VALUE"""),99)</f>
        <v>99</v>
      </c>
      <c r="C47" s="1115" t="str">
        <f ca="1">IFERROR(__xludf.DUMMYFUNCTION("""COMPUTED_VALUE"""),"津吉")</f>
        <v>津吉</v>
      </c>
      <c r="D47" s="1115" t="str">
        <f ca="1">IFERROR(__xludf.DUMMYFUNCTION("""COMPUTED_VALUE"""),"インドネシア")</f>
        <v>インドネシア</v>
      </c>
      <c r="E47" s="1115" t="str">
        <f ca="1">IFERROR(__xludf.DUMMYFUNCTION("""COMPUTED_VALUE"""),"ヌル アンディニ")</f>
        <v>ヌル アンディニ</v>
      </c>
      <c r="F47" s="1115" t="str">
        <f ca="1">IFERROR(__xludf.DUMMYFUNCTION("""COMPUTED_VALUE"""),"女")</f>
        <v>女</v>
      </c>
      <c r="G47" s="1116">
        <f ca="1">IFERROR(__xludf.DUMMYFUNCTION("""COMPUTED_VALUE"""),37451)</f>
        <v>37451</v>
      </c>
      <c r="H47" s="1115">
        <f ca="1">IFERROR(__xludf.DUMMYFUNCTION("""COMPUTED_VALUE"""),23)</f>
        <v>23</v>
      </c>
      <c r="I47" s="1115" t="str">
        <f ca="1">IFERROR(__xludf.DUMMYFUNCTION("""COMPUTED_VALUE"""),"H&amp;C")</f>
        <v>H&amp;C</v>
      </c>
      <c r="J47" s="1116">
        <f ca="1">IFERROR(__xludf.DUMMYFUNCTION("""COMPUTED_VALUE"""),45075)</f>
        <v>45075</v>
      </c>
      <c r="K47" s="1115" t="str">
        <f ca="1">IFERROR(__xludf.DUMMYFUNCTION("""COMPUTED_VALUE"""),"特定技能１号")</f>
        <v>特定技能１号</v>
      </c>
      <c r="L47" s="1136">
        <f ca="1">IFERROR(__xludf.DUMMYFUNCTION("""COMPUTED_VALUE"""),15000)</f>
        <v>15000</v>
      </c>
      <c r="M47" s="1070"/>
      <c r="N47" s="1648"/>
      <c r="O47" s="1030"/>
      <c r="P47" s="1030"/>
      <c r="Q47" s="1030"/>
      <c r="R47" s="1030"/>
      <c r="S47" s="1030"/>
      <c r="T47" s="1030"/>
      <c r="U47" s="1030"/>
      <c r="V47" s="1030"/>
      <c r="W47" s="1030"/>
      <c r="X47" s="1030"/>
      <c r="Y47" s="1030"/>
      <c r="Z47" s="1030"/>
      <c r="AA47" s="1030"/>
      <c r="AB47" s="1030"/>
    </row>
    <row r="48" spans="1:28">
      <c r="A48" s="1168" t="s">
        <v>82</v>
      </c>
      <c r="B48" s="1172">
        <f ca="1">IFERROR(__xludf.DUMMYFUNCTION("""COMPUTED_VALUE"""),114)</f>
        <v>114</v>
      </c>
      <c r="C48" s="1172" t="str">
        <f ca="1">IFERROR(__xludf.DUMMYFUNCTION("""COMPUTED_VALUE"""),"津吉")</f>
        <v>津吉</v>
      </c>
      <c r="D48" s="1172" t="str">
        <f ca="1">IFERROR(__xludf.DUMMYFUNCTION("""COMPUTED_VALUE"""),"インドネシア")</f>
        <v>インドネシア</v>
      </c>
      <c r="E48" s="1172" t="str">
        <f ca="1">IFERROR(__xludf.DUMMYFUNCTION("""COMPUTED_VALUE"""),"ザーラ ファティハトゥン ニサ")</f>
        <v>ザーラ ファティハトゥン ニサ</v>
      </c>
      <c r="F48" s="1172" t="str">
        <f ca="1">IFERROR(__xludf.DUMMYFUNCTION("""COMPUTED_VALUE"""),"女")</f>
        <v>女</v>
      </c>
      <c r="G48" s="1173">
        <f ca="1">IFERROR(__xludf.DUMMYFUNCTION("""COMPUTED_VALUE"""),38235)</f>
        <v>38235</v>
      </c>
      <c r="H48" s="1172">
        <f ca="1">IFERROR(__xludf.DUMMYFUNCTION("""COMPUTED_VALUE"""),21)</f>
        <v>21</v>
      </c>
      <c r="I48" s="1172" t="str">
        <f ca="1">IFERROR(__xludf.DUMMYFUNCTION("""COMPUTED_VALUE"""),"H&amp;C")</f>
        <v>H&amp;C</v>
      </c>
      <c r="J48" s="1173">
        <f ca="1">IFERROR(__xludf.DUMMYFUNCTION("""COMPUTED_VALUE"""),45210)</f>
        <v>45210</v>
      </c>
      <c r="K48" s="1172" t="str">
        <f ca="1">IFERROR(__xludf.DUMMYFUNCTION("""COMPUTED_VALUE"""),"特定技能１号")</f>
        <v>特定技能１号</v>
      </c>
      <c r="L48" s="1144">
        <f ca="1">IFERROR(__xludf.DUMMYFUNCTION("""COMPUTED_VALUE"""),15000)</f>
        <v>15000</v>
      </c>
      <c r="M48" s="1075"/>
      <c r="N48" s="1648"/>
      <c r="O48" s="918"/>
      <c r="P48" s="1030"/>
      <c r="Q48" s="1030"/>
      <c r="R48" s="1030"/>
      <c r="S48" s="1030"/>
      <c r="T48" s="1030"/>
      <c r="U48" s="1030"/>
      <c r="V48" s="1030"/>
      <c r="W48" s="1030"/>
      <c r="X48" s="1030"/>
      <c r="Y48" s="1030"/>
      <c r="Z48" s="1030"/>
      <c r="AA48" s="1030"/>
      <c r="AB48" s="1030"/>
    </row>
    <row r="49" spans="1:28">
      <c r="A49" s="1108" t="s">
        <v>82</v>
      </c>
      <c r="B49" s="1109">
        <f ca="1">IFERROR(__xludf.DUMMYFUNCTION("QUERY('管理表'!A:AP,""select B,C,D,G,J,K,L,N,O,Q,T where ((C = '津吉' and R = '""&amp;$D$1&amp;$N49&amp;""'and S = '""&amp;$A49&amp;""')) and not(AH = '退職')"",0)"),103)</f>
        <v>103</v>
      </c>
      <c r="C49" s="1109" t="str">
        <f ca="1">IFERROR(__xludf.DUMMYFUNCTION("""COMPUTED_VALUE"""),"津吉")</f>
        <v>津吉</v>
      </c>
      <c r="D49" s="1109" t="str">
        <f ca="1">IFERROR(__xludf.DUMMYFUNCTION("""COMPUTED_VALUE"""),"インドネシア")</f>
        <v>インドネシア</v>
      </c>
      <c r="E49" s="1205" t="str">
        <f ca="1">IFERROR(__xludf.DUMMYFUNCTION("""COMPUTED_VALUE"""),"ロパ ヌルジャナー")</f>
        <v>ロパ ヌルジャナー</v>
      </c>
      <c r="F49" s="1109" t="str">
        <f ca="1">IFERROR(__xludf.DUMMYFUNCTION("""COMPUTED_VALUE"""),"女")</f>
        <v>女</v>
      </c>
      <c r="G49" s="1110">
        <f ca="1">IFERROR(__xludf.DUMMYFUNCTION("""COMPUTED_VALUE"""),35477)</f>
        <v>35477</v>
      </c>
      <c r="H49" s="1109">
        <f ca="1">IFERROR(__xludf.DUMMYFUNCTION("""COMPUTED_VALUE"""),29)</f>
        <v>29</v>
      </c>
      <c r="I49" s="1109" t="str">
        <f ca="1">IFERROR(__xludf.DUMMYFUNCTION("""COMPUTED_VALUE"""),"H&amp;C")</f>
        <v>H&amp;C</v>
      </c>
      <c r="J49" s="1110">
        <f ca="1">IFERROR(__xludf.DUMMYFUNCTION("""COMPUTED_VALUE"""),45098)</f>
        <v>45098</v>
      </c>
      <c r="K49" s="1109" t="str">
        <f ca="1">IFERROR(__xludf.DUMMYFUNCTION("""COMPUTED_VALUE"""),"特定技能１号")</f>
        <v>特定技能１号</v>
      </c>
      <c r="L49" s="1135">
        <f ca="1">IFERROR(__xludf.DUMMYFUNCTION("""COMPUTED_VALUE"""),15000)</f>
        <v>15000</v>
      </c>
      <c r="M49" s="1067"/>
      <c r="N49" s="1662" t="s">
        <v>4370</v>
      </c>
      <c r="O49" s="918" t="s">
        <v>4371</v>
      </c>
      <c r="P49" s="1206"/>
      <c r="Q49" s="1030"/>
      <c r="R49" s="1030"/>
      <c r="S49" s="1030" t="s">
        <v>4372</v>
      </c>
      <c r="T49" s="1030"/>
      <c r="U49" s="1030"/>
      <c r="V49" s="1030"/>
      <c r="W49" s="1030"/>
      <c r="X49" s="1030"/>
      <c r="Y49" s="1030"/>
      <c r="Z49" s="1030"/>
      <c r="AA49" s="1030"/>
      <c r="AB49" s="1030"/>
    </row>
    <row r="50" spans="1:28">
      <c r="A50" s="1114" t="s">
        <v>82</v>
      </c>
      <c r="B50" s="1115">
        <f ca="1">IFERROR(__xludf.DUMMYFUNCTION("""COMPUTED_VALUE"""),104)</f>
        <v>104</v>
      </c>
      <c r="C50" s="1115" t="str">
        <f ca="1">IFERROR(__xludf.DUMMYFUNCTION("""COMPUTED_VALUE"""),"津吉")</f>
        <v>津吉</v>
      </c>
      <c r="D50" s="1115" t="str">
        <f ca="1">IFERROR(__xludf.DUMMYFUNCTION("""COMPUTED_VALUE"""),"インドネシア")</f>
        <v>インドネシア</v>
      </c>
      <c r="E50" s="1202" t="str">
        <f ca="1">IFERROR(__xludf.DUMMYFUNCTION("""COMPUTED_VALUE"""),"デウィ マシト")</f>
        <v>デウィ マシト</v>
      </c>
      <c r="F50" s="1115" t="str">
        <f ca="1">IFERROR(__xludf.DUMMYFUNCTION("""COMPUTED_VALUE"""),"女")</f>
        <v>女</v>
      </c>
      <c r="G50" s="1116">
        <f ca="1">IFERROR(__xludf.DUMMYFUNCTION("""COMPUTED_VALUE"""),36801)</f>
        <v>36801</v>
      </c>
      <c r="H50" s="1115">
        <f ca="1">IFERROR(__xludf.DUMMYFUNCTION("""COMPUTED_VALUE"""),25)</f>
        <v>25</v>
      </c>
      <c r="I50" s="1115" t="str">
        <f ca="1">IFERROR(__xludf.DUMMYFUNCTION("""COMPUTED_VALUE"""),"H&amp;C")</f>
        <v>H&amp;C</v>
      </c>
      <c r="J50" s="1116">
        <f ca="1">IFERROR(__xludf.DUMMYFUNCTION("""COMPUTED_VALUE"""),45098)</f>
        <v>45098</v>
      </c>
      <c r="K50" s="1115" t="str">
        <f ca="1">IFERROR(__xludf.DUMMYFUNCTION("""COMPUTED_VALUE"""),"特定技能１号")</f>
        <v>特定技能１号</v>
      </c>
      <c r="L50" s="1136">
        <f ca="1">IFERROR(__xludf.DUMMYFUNCTION("""COMPUTED_VALUE"""),15000)</f>
        <v>15000</v>
      </c>
      <c r="M50" s="1070"/>
      <c r="N50" s="1648"/>
      <c r="O50" s="918" t="s">
        <v>4373</v>
      </c>
      <c r="P50" s="1030"/>
      <c r="Q50" s="1030"/>
      <c r="R50" s="1030"/>
      <c r="S50" s="1030"/>
      <c r="T50" s="1030"/>
      <c r="U50" s="1030"/>
      <c r="V50" s="1030"/>
      <c r="W50" s="1030"/>
      <c r="X50" s="1030"/>
      <c r="Y50" s="1030"/>
      <c r="Z50" s="1030"/>
      <c r="AA50" s="1030"/>
      <c r="AB50" s="1030"/>
    </row>
    <row r="51" spans="1:28">
      <c r="A51" s="1168" t="s">
        <v>82</v>
      </c>
      <c r="B51" s="923"/>
      <c r="C51" s="923" t="s">
        <v>54</v>
      </c>
      <c r="D51" s="923" t="s">
        <v>611</v>
      </c>
      <c r="E51" s="1207" t="s">
        <v>4374</v>
      </c>
      <c r="F51" s="923" t="s">
        <v>60</v>
      </c>
      <c r="G51" s="925"/>
      <c r="H51" s="923"/>
      <c r="I51" s="923"/>
      <c r="J51" s="1116"/>
      <c r="K51" s="923" t="s">
        <v>81</v>
      </c>
      <c r="L51" s="1144">
        <v>15000</v>
      </c>
      <c r="M51" s="1075"/>
      <c r="N51" s="1648"/>
      <c r="O51" s="907" t="s">
        <v>4375</v>
      </c>
      <c r="P51" s="1030"/>
      <c r="Q51" s="1030"/>
      <c r="R51" s="1030"/>
      <c r="S51" s="1030"/>
      <c r="T51" s="1030"/>
      <c r="U51" s="1030"/>
      <c r="V51" s="1030"/>
      <c r="W51" s="1030"/>
      <c r="X51" s="1030"/>
      <c r="Y51" s="1030"/>
      <c r="Z51" s="1030"/>
      <c r="AA51" s="1030"/>
      <c r="AB51" s="1030"/>
    </row>
    <row r="52" spans="1:28">
      <c r="A52" s="994" t="s">
        <v>82</v>
      </c>
      <c r="B52" s="1208">
        <f ca="1">IFERROR(__xludf.DUMMYFUNCTION("QUERY('管理表'!A:AP,""select B,C,D,G,J,K,L,N,O,Q,T where ((C = '津吉' and R = '""&amp;$D$1&amp;$N52&amp;""'and S = '""&amp;$A52&amp;""')) and not(AH = '退職')"",0)"),71)</f>
        <v>71</v>
      </c>
      <c r="C52" s="1109" t="str">
        <f ca="1">IFERROR(__xludf.DUMMYFUNCTION("""COMPUTED_VALUE"""),"津吉")</f>
        <v>津吉</v>
      </c>
      <c r="D52" s="1109" t="str">
        <f ca="1">IFERROR(__xludf.DUMMYFUNCTION("""COMPUTED_VALUE"""),"インドネシア")</f>
        <v>インドネシア</v>
      </c>
      <c r="E52" s="933" t="str">
        <f ca="1">IFERROR(__xludf.DUMMYFUNCTION("""COMPUTED_VALUE"""),"ファルハン ファティ ラマダンシャー")</f>
        <v>ファルハン ファティ ラマダンシャー</v>
      </c>
      <c r="F52" s="1109" t="str">
        <f ca="1">IFERROR(__xludf.DUMMYFUNCTION("""COMPUTED_VALUE"""),"男")</f>
        <v>男</v>
      </c>
      <c r="G52" s="1110">
        <f ca="1">IFERROR(__xludf.DUMMYFUNCTION("""COMPUTED_VALUE"""),37928)</f>
        <v>37928</v>
      </c>
      <c r="H52" s="1109">
        <f ca="1">IFERROR(__xludf.DUMMYFUNCTION("""COMPUTED_VALUE"""),22)</f>
        <v>22</v>
      </c>
      <c r="I52" s="1109" t="str">
        <f ca="1">IFERROR(__xludf.DUMMYFUNCTION("""COMPUTED_VALUE"""),"H&amp;C")</f>
        <v>H&amp;C</v>
      </c>
      <c r="J52" s="1110">
        <f ca="1">IFERROR(__xludf.DUMMYFUNCTION("""COMPUTED_VALUE"""),45027)</f>
        <v>45027</v>
      </c>
      <c r="K52" s="1109" t="str">
        <f ca="1">IFERROR(__xludf.DUMMYFUNCTION("""COMPUTED_VALUE"""),"特定技能１号")</f>
        <v>特定技能１号</v>
      </c>
      <c r="L52" s="1135">
        <f ca="1">IFERROR(__xludf.DUMMYFUNCTION("""COMPUTED_VALUE"""),15000)</f>
        <v>15000</v>
      </c>
      <c r="M52" s="1067"/>
      <c r="N52" s="1659" t="s">
        <v>4376</v>
      </c>
      <c r="O52" s="907"/>
      <c r="P52" s="970">
        <v>38000</v>
      </c>
      <c r="Q52" s="1030"/>
      <c r="R52" s="1030"/>
      <c r="S52" s="1127">
        <v>44856</v>
      </c>
      <c r="T52" s="1030"/>
      <c r="U52" s="1030"/>
      <c r="V52" s="1030"/>
      <c r="W52" s="1030"/>
      <c r="X52" s="1030"/>
      <c r="Y52" s="1030"/>
      <c r="Z52" s="1030"/>
      <c r="AA52" s="1030"/>
      <c r="AB52" s="1030"/>
    </row>
    <row r="53" spans="1:28">
      <c r="A53" s="996" t="s">
        <v>82</v>
      </c>
      <c r="B53" s="1115">
        <f ca="1">IFERROR(__xludf.DUMMYFUNCTION("""COMPUTED_VALUE"""),172)</f>
        <v>172</v>
      </c>
      <c r="C53" s="1115" t="str">
        <f ca="1">IFERROR(__xludf.DUMMYFUNCTION("""COMPUTED_VALUE"""),"津吉")</f>
        <v>津吉</v>
      </c>
      <c r="D53" s="1115" t="str">
        <f ca="1">IFERROR(__xludf.DUMMYFUNCTION("""COMPUTED_VALUE"""),"インドネシア")</f>
        <v>インドネシア</v>
      </c>
      <c r="E53" s="924" t="str">
        <f ca="1">IFERROR(__xludf.DUMMYFUNCTION("""COMPUTED_VALUE"""),"イーサン シハブ ギッファリ")</f>
        <v>イーサン シハブ ギッファリ</v>
      </c>
      <c r="F53" s="1115" t="str">
        <f ca="1">IFERROR(__xludf.DUMMYFUNCTION("""COMPUTED_VALUE"""),"男")</f>
        <v>男</v>
      </c>
      <c r="G53" s="1116">
        <f ca="1">IFERROR(__xludf.DUMMYFUNCTION("""COMPUTED_VALUE"""),35739)</f>
        <v>35739</v>
      </c>
      <c r="H53" s="1115">
        <f ca="1">IFERROR(__xludf.DUMMYFUNCTION("""COMPUTED_VALUE"""),28)</f>
        <v>28</v>
      </c>
      <c r="I53" s="923" t="str">
        <f ca="1">IFERROR(__xludf.DUMMYFUNCTION("""COMPUTED_VALUE"""),"H&amp;C")</f>
        <v>H&amp;C</v>
      </c>
      <c r="J53" s="1116">
        <f ca="1">IFERROR(__xludf.DUMMYFUNCTION("""COMPUTED_VALUE"""),45594)</f>
        <v>45594</v>
      </c>
      <c r="K53" s="1115" t="str">
        <f ca="1">IFERROR(__xludf.DUMMYFUNCTION("""COMPUTED_VALUE"""),"特定技能１号")</f>
        <v>特定技能１号</v>
      </c>
      <c r="L53" s="1136">
        <f ca="1">IFERROR(__xludf.DUMMYFUNCTION("""COMPUTED_VALUE"""),15000)</f>
        <v>15000</v>
      </c>
      <c r="M53" s="1070"/>
      <c r="N53" s="1648"/>
      <c r="O53" s="1045" t="s">
        <v>4377</v>
      </c>
      <c r="P53" s="1030"/>
      <c r="Q53" s="1030"/>
      <c r="R53" s="1030"/>
      <c r="S53" s="1030"/>
      <c r="T53" s="1030"/>
      <c r="U53" s="1030"/>
      <c r="V53" s="1030"/>
      <c r="W53" s="1030"/>
      <c r="X53" s="1030"/>
      <c r="Y53" s="1030"/>
      <c r="Z53" s="1030"/>
      <c r="AA53" s="1030"/>
      <c r="AB53" s="1030"/>
    </row>
    <row r="54" spans="1:28">
      <c r="A54" s="1119" t="s">
        <v>82</v>
      </c>
      <c r="B54" s="1120">
        <f ca="1">IFERROR(__xludf.DUMMYFUNCTION("""COMPUTED_VALUE"""),206)</f>
        <v>206</v>
      </c>
      <c r="C54" s="1120" t="str">
        <f ca="1">IFERROR(__xludf.DUMMYFUNCTION("""COMPUTED_VALUE"""),"津吉")</f>
        <v>津吉</v>
      </c>
      <c r="D54" s="1120" t="str">
        <f ca="1">IFERROR(__xludf.DUMMYFUNCTION("""COMPUTED_VALUE"""),"インドネシア")</f>
        <v>インドネシア</v>
      </c>
      <c r="E54" s="938" t="str">
        <f ca="1">IFERROR(__xludf.DUMMYFUNCTION("""COMPUTED_VALUE"""),"ムハンマド　ファジャル　リズキ　ダウライ")</f>
        <v>ムハンマド　ファジャル　リズキ　ダウライ</v>
      </c>
      <c r="F54" s="1120" t="str">
        <f ca="1">IFERROR(__xludf.DUMMYFUNCTION("""COMPUTED_VALUE"""),"男")</f>
        <v>男</v>
      </c>
      <c r="G54" s="1122">
        <f ca="1">IFERROR(__xludf.DUMMYFUNCTION("""COMPUTED_VALUE"""),35928)</f>
        <v>35928</v>
      </c>
      <c r="H54" s="1120">
        <f ca="1">IFERROR(__xludf.DUMMYFUNCTION("""COMPUTED_VALUE"""),27)</f>
        <v>27</v>
      </c>
      <c r="I54" s="1120" t="str">
        <f ca="1">IFERROR(__xludf.DUMMYFUNCTION("""COMPUTED_VALUE"""),"H&amp;C")</f>
        <v>H&amp;C</v>
      </c>
      <c r="J54" s="939">
        <f ca="1">IFERROR(__xludf.DUMMYFUNCTION("""COMPUTED_VALUE"""),45873)</f>
        <v>45873</v>
      </c>
      <c r="K54" s="1120" t="str">
        <f ca="1">IFERROR(__xludf.DUMMYFUNCTION("""COMPUTED_VALUE"""),"特定技能１号")</f>
        <v>特定技能１号</v>
      </c>
      <c r="L54" s="1137">
        <f ca="1">IFERROR(__xludf.DUMMYFUNCTION("""COMPUTED_VALUE"""),15000)</f>
        <v>15000</v>
      </c>
      <c r="M54" s="1138"/>
      <c r="N54" s="1649"/>
      <c r="O54" s="918"/>
      <c r="P54" s="1030"/>
      <c r="Q54" s="1030"/>
      <c r="R54" s="1030"/>
      <c r="S54" s="1030"/>
      <c r="T54" s="1030"/>
      <c r="U54" s="1030"/>
      <c r="V54" s="1030"/>
      <c r="W54" s="1030"/>
      <c r="X54" s="1030"/>
      <c r="Y54" s="1030"/>
      <c r="Z54" s="1030"/>
      <c r="AA54" s="1030"/>
      <c r="AB54" s="1030"/>
    </row>
    <row r="55" spans="1:28">
      <c r="A55" s="1163" t="s">
        <v>82</v>
      </c>
      <c r="B55" s="1121">
        <f ca="1">IFERROR(__xludf.DUMMYFUNCTION("QUERY('管理表'!A:AP,""select B,C,D,G,J,K,L,N,O,Q,T where ((C = '津吉' and R = '""&amp;$D$1&amp;$N55&amp;""'and S = '""&amp;$A55&amp;""')) and not(AH = '退職')"",0)"),85)</f>
        <v>85</v>
      </c>
      <c r="C55" s="1121" t="str">
        <f ca="1">IFERROR(__xludf.DUMMYFUNCTION("""COMPUTED_VALUE"""),"津吉")</f>
        <v>津吉</v>
      </c>
      <c r="D55" s="1121" t="str">
        <f ca="1">IFERROR(__xludf.DUMMYFUNCTION("""COMPUTED_VALUE"""),"インドネシア")</f>
        <v>インドネシア</v>
      </c>
      <c r="E55" s="1121" t="str">
        <f ca="1">IFERROR(__xludf.DUMMYFUNCTION("""COMPUTED_VALUE"""),"コフィファー ヌル コエリヤー")</f>
        <v>コフィファー ヌル コエリヤー</v>
      </c>
      <c r="F55" s="1121" t="str">
        <f ca="1">IFERROR(__xludf.DUMMYFUNCTION("""COMPUTED_VALUE"""),"女")</f>
        <v>女</v>
      </c>
      <c r="G55" s="1164">
        <f ca="1">IFERROR(__xludf.DUMMYFUNCTION("""COMPUTED_VALUE"""),36874)</f>
        <v>36874</v>
      </c>
      <c r="H55" s="1121">
        <f ca="1">IFERROR(__xludf.DUMMYFUNCTION("""COMPUTED_VALUE"""),25)</f>
        <v>25</v>
      </c>
      <c r="I55" s="1121" t="str">
        <f ca="1">IFERROR(__xludf.DUMMYFUNCTION("""COMPUTED_VALUE"""),"H&amp;C")</f>
        <v>H&amp;C</v>
      </c>
      <c r="J55" s="1164">
        <f ca="1">IFERROR(__xludf.DUMMYFUNCTION("""COMPUTED_VALUE"""),44669)</f>
        <v>44669</v>
      </c>
      <c r="K55" s="1121" t="str">
        <f ca="1">IFERROR(__xludf.DUMMYFUNCTION("""COMPUTED_VALUE"""),"特定技能１号")</f>
        <v>特定技能１号</v>
      </c>
      <c r="L55" s="1143">
        <f ca="1">IFERROR(__xludf.DUMMYFUNCTION("""COMPUTED_VALUE"""),15000)</f>
        <v>15000</v>
      </c>
      <c r="M55" s="1166"/>
      <c r="N55" s="1661" t="s">
        <v>4378</v>
      </c>
      <c r="O55" s="907" t="s">
        <v>4379</v>
      </c>
      <c r="P55" s="970">
        <v>37000</v>
      </c>
      <c r="Q55" s="1113"/>
      <c r="R55" s="1113">
        <v>45865</v>
      </c>
      <c r="S55" s="907"/>
      <c r="T55" s="1030"/>
      <c r="U55" s="1030"/>
      <c r="V55" s="1030"/>
      <c r="W55" s="1030"/>
      <c r="X55" s="1030"/>
      <c r="Y55" s="1030"/>
      <c r="Z55" s="1030"/>
      <c r="AA55" s="1030"/>
      <c r="AB55" s="1030"/>
    </row>
    <row r="56" spans="1:28">
      <c r="A56" s="1114" t="s">
        <v>82</v>
      </c>
      <c r="B56" s="1115">
        <f ca="1">IFERROR(__xludf.DUMMYFUNCTION("""COMPUTED_VALUE"""),98)</f>
        <v>98</v>
      </c>
      <c r="C56" s="1115" t="str">
        <f ca="1">IFERROR(__xludf.DUMMYFUNCTION("""COMPUTED_VALUE"""),"津吉")</f>
        <v>津吉</v>
      </c>
      <c r="D56" s="1115" t="str">
        <f ca="1">IFERROR(__xludf.DUMMYFUNCTION("""COMPUTED_VALUE"""),"インドネシア")</f>
        <v>インドネシア</v>
      </c>
      <c r="E56" s="1115" t="str">
        <f ca="1">IFERROR(__xludf.DUMMYFUNCTION("""COMPUTED_VALUE"""),"ノヴィ ノヴィタ")</f>
        <v>ノヴィ ノヴィタ</v>
      </c>
      <c r="F56" s="1115" t="str">
        <f ca="1">IFERROR(__xludf.DUMMYFUNCTION("""COMPUTED_VALUE"""),"女")</f>
        <v>女</v>
      </c>
      <c r="G56" s="1116">
        <f ca="1">IFERROR(__xludf.DUMMYFUNCTION("""COMPUTED_VALUE"""),38073)</f>
        <v>38073</v>
      </c>
      <c r="H56" s="1115">
        <f ca="1">IFERROR(__xludf.DUMMYFUNCTION("""COMPUTED_VALUE"""),22)</f>
        <v>22</v>
      </c>
      <c r="I56" s="1115" t="str">
        <f ca="1">IFERROR(__xludf.DUMMYFUNCTION("""COMPUTED_VALUE"""),"H&amp;C")</f>
        <v>H&amp;C</v>
      </c>
      <c r="J56" s="1116">
        <f ca="1">IFERROR(__xludf.DUMMYFUNCTION("""COMPUTED_VALUE"""),45075)</f>
        <v>45075</v>
      </c>
      <c r="K56" s="1115" t="str">
        <f ca="1">IFERROR(__xludf.DUMMYFUNCTION("""COMPUTED_VALUE"""),"特定技能１号")</f>
        <v>特定技能１号</v>
      </c>
      <c r="L56" s="1136">
        <f ca="1">IFERROR(__xludf.DUMMYFUNCTION("""COMPUTED_VALUE"""),15000)</f>
        <v>15000</v>
      </c>
      <c r="M56" s="1070"/>
      <c r="N56" s="1648"/>
      <c r="O56" s="1030"/>
      <c r="P56" s="1030"/>
      <c r="Q56" s="1030"/>
      <c r="R56" s="1030"/>
      <c r="S56" s="1030"/>
      <c r="T56" s="1030"/>
      <c r="U56" s="1030"/>
      <c r="V56" s="1030"/>
      <c r="W56" s="1030"/>
      <c r="X56" s="1030"/>
      <c r="Y56" s="1030"/>
      <c r="Z56" s="1030"/>
      <c r="AA56" s="1030"/>
      <c r="AB56" s="1030"/>
    </row>
    <row r="57" spans="1:28">
      <c r="A57" s="1168" t="s">
        <v>82</v>
      </c>
      <c r="B57" s="1120">
        <f ca="1">IFERROR(__xludf.DUMMYFUNCTION("""COMPUTED_VALUE"""),120)</f>
        <v>120</v>
      </c>
      <c r="C57" s="1172" t="str">
        <f ca="1">IFERROR(__xludf.DUMMYFUNCTION("""COMPUTED_VALUE"""),"津吉")</f>
        <v>津吉</v>
      </c>
      <c r="D57" s="1172" t="str">
        <f ca="1">IFERROR(__xludf.DUMMYFUNCTION("""COMPUTED_VALUE"""),"インドネシア")</f>
        <v>インドネシア</v>
      </c>
      <c r="E57" s="1172" t="str">
        <f ca="1">IFERROR(__xludf.DUMMYFUNCTION("""COMPUTED_VALUE"""),"プジャ サンロヒャ プルバ")</f>
        <v>プジャ サンロヒャ プルバ</v>
      </c>
      <c r="F57" s="1172" t="str">
        <f ca="1">IFERROR(__xludf.DUMMYFUNCTION("""COMPUTED_VALUE"""),"女")</f>
        <v>女</v>
      </c>
      <c r="G57" s="1173">
        <f ca="1">IFERROR(__xludf.DUMMYFUNCTION("""COMPUTED_VALUE"""),38069)</f>
        <v>38069</v>
      </c>
      <c r="H57" s="1172">
        <f ca="1">IFERROR(__xludf.DUMMYFUNCTION("""COMPUTED_VALUE"""),22)</f>
        <v>22</v>
      </c>
      <c r="I57" s="1172" t="str">
        <f ca="1">IFERROR(__xludf.DUMMYFUNCTION("""COMPUTED_VALUE"""),"H&amp;C")</f>
        <v>H&amp;C</v>
      </c>
      <c r="J57" s="1173">
        <f ca="1">IFERROR(__xludf.DUMMYFUNCTION("""COMPUTED_VALUE"""),45216)</f>
        <v>45216</v>
      </c>
      <c r="K57" s="1172" t="str">
        <f ca="1">IFERROR(__xludf.DUMMYFUNCTION("""COMPUTED_VALUE"""),"特定技能１号")</f>
        <v>特定技能１号</v>
      </c>
      <c r="L57" s="1144">
        <f ca="1">IFERROR(__xludf.DUMMYFUNCTION("""COMPUTED_VALUE"""),15000)</f>
        <v>15000</v>
      </c>
      <c r="M57" s="1075"/>
      <c r="N57" s="1648"/>
      <c r="O57" s="918"/>
      <c r="P57" s="1030"/>
      <c r="Q57" s="1030"/>
      <c r="R57" s="1030"/>
      <c r="S57" s="1030"/>
      <c r="T57" s="1030"/>
      <c r="U57" s="1030"/>
      <c r="V57" s="1030"/>
      <c r="W57" s="1030"/>
      <c r="X57" s="1030"/>
      <c r="Y57" s="1030"/>
      <c r="Z57" s="1030"/>
      <c r="AA57" s="1030"/>
      <c r="AB57" s="1030"/>
    </row>
    <row r="58" spans="1:28">
      <c r="A58" s="994" t="s">
        <v>149</v>
      </c>
      <c r="B58" s="915">
        <f ca="1">IFERROR(__xludf.DUMMYFUNCTION("QUERY('管理表'!A:AP,""select B,C,D,G,J,K,L,N,O,Q,T where ((C = '津吉' and R = '""&amp;$D$1&amp;$N58&amp;""'and S = '""&amp;$A58&amp;""')) and not(AH = '退職')"",0)"),96)</f>
        <v>96</v>
      </c>
      <c r="C58" s="1109" t="str">
        <f ca="1">IFERROR(__xludf.DUMMYFUNCTION("""COMPUTED_VALUE"""),"津吉")</f>
        <v>津吉</v>
      </c>
      <c r="D58" s="933" t="str">
        <f ca="1">IFERROR(__xludf.DUMMYFUNCTION("""COMPUTED_VALUE"""),"インドネシア")</f>
        <v>インドネシア</v>
      </c>
      <c r="E58" s="933" t="str">
        <f ca="1">IFERROR(__xludf.DUMMYFUNCTION("""COMPUTED_VALUE"""),"ニマトゥル マウリダ")</f>
        <v>ニマトゥル マウリダ</v>
      </c>
      <c r="F58" s="933" t="str">
        <f ca="1">IFERROR(__xludf.DUMMYFUNCTION("""COMPUTED_VALUE"""),"女")</f>
        <v>女</v>
      </c>
      <c r="G58" s="1110">
        <f ca="1">IFERROR(__xludf.DUMMYFUNCTION("""COMPUTED_VALUE"""),35621)</f>
        <v>35621</v>
      </c>
      <c r="H58" s="1109">
        <f ca="1">IFERROR(__xludf.DUMMYFUNCTION("""COMPUTED_VALUE"""),28)</f>
        <v>28</v>
      </c>
      <c r="I58" s="1109" t="str">
        <f ca="1">IFERROR(__xludf.DUMMYFUNCTION("""COMPUTED_VALUE"""),"H&amp;C")</f>
        <v>H&amp;C</v>
      </c>
      <c r="J58" s="1110">
        <f ca="1">IFERROR(__xludf.DUMMYFUNCTION("""COMPUTED_VALUE"""),45075)</f>
        <v>45075</v>
      </c>
      <c r="K58" s="1109" t="str">
        <f ca="1">IFERROR(__xludf.DUMMYFUNCTION("""COMPUTED_VALUE"""),"特定技能１号")</f>
        <v>特定技能１号</v>
      </c>
      <c r="L58" s="1135">
        <f ca="1">IFERROR(__xludf.DUMMYFUNCTION("""COMPUTED_VALUE"""),20000)</f>
        <v>20000</v>
      </c>
      <c r="M58" s="1080"/>
      <c r="N58" s="1659" t="s">
        <v>4380</v>
      </c>
      <c r="O58" s="964" t="s">
        <v>4381</v>
      </c>
      <c r="P58" s="970">
        <v>38000</v>
      </c>
      <c r="Q58" s="907">
        <v>3300</v>
      </c>
      <c r="R58" s="1030"/>
      <c r="S58" s="907"/>
      <c r="T58" s="1030"/>
      <c r="U58" s="1030"/>
      <c r="V58" s="1030"/>
      <c r="W58" s="1030"/>
      <c r="X58" s="1030"/>
      <c r="Y58" s="1030"/>
      <c r="Z58" s="1030"/>
      <c r="AA58" s="1030"/>
      <c r="AB58" s="1030"/>
    </row>
    <row r="59" spans="1:28">
      <c r="A59" s="996" t="s">
        <v>149</v>
      </c>
      <c r="B59" s="915">
        <f ca="1">IFERROR(__xludf.DUMMYFUNCTION("""COMPUTED_VALUE"""),203)</f>
        <v>203</v>
      </c>
      <c r="C59" s="1115" t="str">
        <f ca="1">IFERROR(__xludf.DUMMYFUNCTION("""COMPUTED_VALUE"""),"津吉")</f>
        <v>津吉</v>
      </c>
      <c r="D59" s="923" t="str">
        <f ca="1">IFERROR(__xludf.DUMMYFUNCTION("""COMPUTED_VALUE"""),"インドネシア")</f>
        <v>インドネシア</v>
      </c>
      <c r="E59" s="955" t="str">
        <f ca="1">IFERROR(__xludf.DUMMYFUNCTION("""COMPUTED_VALUE"""),"エカ トリヤナ")</f>
        <v>エカ トリヤナ</v>
      </c>
      <c r="F59" s="915" t="str">
        <f ca="1">IFERROR(__xludf.DUMMYFUNCTION("""COMPUTED_VALUE"""),"男")</f>
        <v>男</v>
      </c>
      <c r="G59" s="1193">
        <f ca="1">IFERROR(__xludf.DUMMYFUNCTION("""COMPUTED_VALUE"""),35859)</f>
        <v>35859</v>
      </c>
      <c r="H59" s="1194">
        <f ca="1">IFERROR(__xludf.DUMMYFUNCTION("""COMPUTED_VALUE"""),28)</f>
        <v>28</v>
      </c>
      <c r="I59" s="1194" t="str">
        <f ca="1">IFERROR(__xludf.DUMMYFUNCTION("""COMPUTED_VALUE"""),"H&amp;C")</f>
        <v>H&amp;C</v>
      </c>
      <c r="J59" s="1193">
        <f ca="1">IFERROR(__xludf.DUMMYFUNCTION("""COMPUTED_VALUE"""),45825)</f>
        <v>45825</v>
      </c>
      <c r="K59" s="1194" t="str">
        <f ca="1">IFERROR(__xludf.DUMMYFUNCTION("""COMPUTED_VALUE"""),"特定技能１号")</f>
        <v>特定技能１号</v>
      </c>
      <c r="L59" s="1144">
        <f ca="1">IFERROR(__xludf.DUMMYFUNCTION("""COMPUTED_VALUE"""),23300)</f>
        <v>23300</v>
      </c>
      <c r="M59" s="1080"/>
      <c r="N59" s="1648"/>
      <c r="O59" s="964" t="s">
        <v>4382</v>
      </c>
      <c r="P59" s="907"/>
      <c r="Q59" s="907" t="s">
        <v>4383</v>
      </c>
      <c r="R59" s="1030"/>
      <c r="S59" s="1030"/>
      <c r="T59" s="1030"/>
      <c r="U59" s="1030"/>
      <c r="V59" s="1030"/>
      <c r="W59" s="1030"/>
      <c r="X59" s="1030"/>
      <c r="Y59" s="1030"/>
      <c r="Z59" s="1030"/>
      <c r="AA59" s="1030"/>
      <c r="AB59" s="1030"/>
    </row>
    <row r="60" spans="1:28">
      <c r="A60" s="1175"/>
      <c r="B60" s="1159"/>
      <c r="C60" s="1159"/>
      <c r="D60" s="967"/>
      <c r="E60" s="967"/>
      <c r="F60" s="967"/>
      <c r="G60" s="1161"/>
      <c r="H60" s="1159"/>
      <c r="I60" s="1159"/>
      <c r="J60" s="1161"/>
      <c r="K60" s="1159"/>
      <c r="L60" s="1209"/>
      <c r="M60" s="1080"/>
      <c r="N60" s="1649"/>
      <c r="O60" s="918" t="s">
        <v>4384</v>
      </c>
      <c r="P60" s="1030"/>
      <c r="Q60" s="907" t="s">
        <v>4385</v>
      </c>
      <c r="R60" s="1030"/>
      <c r="S60" s="1030"/>
      <c r="T60" s="1030"/>
      <c r="U60" s="1030"/>
      <c r="V60" s="1030"/>
      <c r="W60" s="1030"/>
      <c r="X60" s="1030"/>
      <c r="Y60" s="1030"/>
      <c r="Z60" s="1030"/>
      <c r="AA60" s="1030"/>
      <c r="AB60" s="1030"/>
    </row>
    <row r="61" spans="1:28">
      <c r="A61" s="1108" t="s">
        <v>82</v>
      </c>
      <c r="B61" s="1109">
        <f ca="1">IFERROR(__xludf.DUMMYFUNCTION("QUERY('管理表'!A:AP,""select B,C,D,G,J,K,L,N,O,Q,T where ((C = '津吉' and R = '""&amp;$D$1&amp;$N61&amp;""'and S = '""&amp;$A61&amp;""')) and not(AH = '退職')"",0)"),77)</f>
        <v>77</v>
      </c>
      <c r="C61" s="1109" t="str">
        <f ca="1">IFERROR(__xludf.DUMMYFUNCTION("""COMPUTED_VALUE"""),"津吉")</f>
        <v>津吉</v>
      </c>
      <c r="D61" s="1109" t="str">
        <f ca="1">IFERROR(__xludf.DUMMYFUNCTION("""COMPUTED_VALUE"""),"インドネシア")</f>
        <v>インドネシア</v>
      </c>
      <c r="E61" s="1109" t="str">
        <f ca="1">IFERROR(__xludf.DUMMYFUNCTION("""COMPUTED_VALUE"""),"カデック アデリア ウィディアニタ レスタリ")</f>
        <v>カデック アデリア ウィディアニタ レスタリ</v>
      </c>
      <c r="F61" s="1109" t="str">
        <f ca="1">IFERROR(__xludf.DUMMYFUNCTION("""COMPUTED_VALUE"""),"女")</f>
        <v>女</v>
      </c>
      <c r="G61" s="1110">
        <f ca="1">IFERROR(__xludf.DUMMYFUNCTION("""COMPUTED_VALUE"""),35772)</f>
        <v>35772</v>
      </c>
      <c r="H61" s="1109">
        <f ca="1">IFERROR(__xludf.DUMMYFUNCTION("""COMPUTED_VALUE"""),28)</f>
        <v>28</v>
      </c>
      <c r="I61" s="1109" t="str">
        <f ca="1">IFERROR(__xludf.DUMMYFUNCTION("""COMPUTED_VALUE"""),"H&amp;C")</f>
        <v>H&amp;C</v>
      </c>
      <c r="J61" s="1110">
        <f ca="1">IFERROR(__xludf.DUMMYFUNCTION("""COMPUTED_VALUE"""),45027)</f>
        <v>45027</v>
      </c>
      <c r="K61" s="1109" t="str">
        <f ca="1">IFERROR(__xludf.DUMMYFUNCTION("""COMPUTED_VALUE"""),"特定技能１号")</f>
        <v>特定技能１号</v>
      </c>
      <c r="L61" s="1135">
        <f ca="1">IFERROR(__xludf.DUMMYFUNCTION("""COMPUTED_VALUE"""),15000)</f>
        <v>15000</v>
      </c>
      <c r="M61" s="1067"/>
      <c r="N61" s="1662" t="s">
        <v>4386</v>
      </c>
      <c r="O61" s="907" t="s">
        <v>4379</v>
      </c>
      <c r="P61" s="1206"/>
      <c r="Q61" s="1030"/>
      <c r="R61" s="1030"/>
      <c r="S61" s="1030"/>
      <c r="T61" s="1030"/>
      <c r="U61" s="1030"/>
      <c r="V61" s="1030"/>
      <c r="W61" s="1030"/>
      <c r="X61" s="1030"/>
      <c r="Y61" s="1030"/>
      <c r="Z61" s="1030"/>
      <c r="AA61" s="1030"/>
      <c r="AB61" s="1030"/>
    </row>
    <row r="62" spans="1:28">
      <c r="A62" s="1114" t="s">
        <v>82</v>
      </c>
      <c r="B62" s="1115">
        <f ca="1">IFERROR(__xludf.DUMMYFUNCTION("""COMPUTED_VALUE"""),78)</f>
        <v>78</v>
      </c>
      <c r="C62" s="1115" t="str">
        <f ca="1">IFERROR(__xludf.DUMMYFUNCTION("""COMPUTED_VALUE"""),"津吉")</f>
        <v>津吉</v>
      </c>
      <c r="D62" s="1115" t="str">
        <f ca="1">IFERROR(__xludf.DUMMYFUNCTION("""COMPUTED_VALUE"""),"インドネシア")</f>
        <v>インドネシア</v>
      </c>
      <c r="E62" s="1115" t="str">
        <f ca="1">IFERROR(__xludf.DUMMYFUNCTION("""COMPUTED_VALUE"""),"トリ ユニ")</f>
        <v>トリ ユニ</v>
      </c>
      <c r="F62" s="1115" t="str">
        <f ca="1">IFERROR(__xludf.DUMMYFUNCTION("""COMPUTED_VALUE"""),"女")</f>
        <v>女</v>
      </c>
      <c r="G62" s="1116">
        <f ca="1">IFERROR(__xludf.DUMMYFUNCTION("""COMPUTED_VALUE"""),36257)</f>
        <v>36257</v>
      </c>
      <c r="H62" s="1115">
        <f ca="1">IFERROR(__xludf.DUMMYFUNCTION("""COMPUTED_VALUE"""),27)</f>
        <v>27</v>
      </c>
      <c r="I62" s="1115" t="str">
        <f ca="1">IFERROR(__xludf.DUMMYFUNCTION("""COMPUTED_VALUE"""),"H&amp;C")</f>
        <v>H&amp;C</v>
      </c>
      <c r="J62" s="1116">
        <f ca="1">IFERROR(__xludf.DUMMYFUNCTION("""COMPUTED_VALUE"""),44669)</f>
        <v>44669</v>
      </c>
      <c r="K62" s="1115" t="str">
        <f ca="1">IFERROR(__xludf.DUMMYFUNCTION("""COMPUTED_VALUE"""),"特定技能１号")</f>
        <v>特定技能１号</v>
      </c>
      <c r="L62" s="1136">
        <f ca="1">IFERROR(__xludf.DUMMYFUNCTION("""COMPUTED_VALUE"""),15000)</f>
        <v>15000</v>
      </c>
      <c r="M62" s="1070"/>
      <c r="N62" s="1648"/>
      <c r="O62" s="918" t="s">
        <v>4387</v>
      </c>
      <c r="P62" s="1030"/>
      <c r="Q62" s="1030"/>
      <c r="R62" s="1030"/>
      <c r="S62" s="1030"/>
      <c r="T62" s="1030"/>
      <c r="U62" s="1030"/>
      <c r="V62" s="1030"/>
      <c r="W62" s="1030"/>
      <c r="X62" s="1030"/>
      <c r="Y62" s="1030"/>
      <c r="Z62" s="1030"/>
      <c r="AA62" s="1030"/>
      <c r="AB62" s="1030"/>
    </row>
    <row r="63" spans="1:28">
      <c r="A63" s="1119" t="s">
        <v>82</v>
      </c>
      <c r="B63" s="1120">
        <f ca="1">IFERROR(__xludf.DUMMYFUNCTION("""COMPUTED_VALUE"""),97)</f>
        <v>97</v>
      </c>
      <c r="C63" s="1120" t="str">
        <f ca="1">IFERROR(__xludf.DUMMYFUNCTION("""COMPUTED_VALUE"""),"津吉")</f>
        <v>津吉</v>
      </c>
      <c r="D63" s="1120" t="str">
        <f ca="1">IFERROR(__xludf.DUMMYFUNCTION("""COMPUTED_VALUE"""),"インドネシア")</f>
        <v>インドネシア</v>
      </c>
      <c r="E63" s="1120" t="str">
        <f ca="1">IFERROR(__xludf.DUMMYFUNCTION("""COMPUTED_VALUE"""),"ハビバ プリヤンティ")</f>
        <v>ハビバ プリヤンティ</v>
      </c>
      <c r="F63" s="1120" t="str">
        <f ca="1">IFERROR(__xludf.DUMMYFUNCTION("""COMPUTED_VALUE"""),"女")</f>
        <v>女</v>
      </c>
      <c r="G63" s="1122">
        <f ca="1">IFERROR(__xludf.DUMMYFUNCTION("""COMPUTED_VALUE"""),38039)</f>
        <v>38039</v>
      </c>
      <c r="H63" s="1120">
        <f ca="1">IFERROR(__xludf.DUMMYFUNCTION("""COMPUTED_VALUE"""),22)</f>
        <v>22</v>
      </c>
      <c r="I63" s="1120" t="str">
        <f ca="1">IFERROR(__xludf.DUMMYFUNCTION("""COMPUTED_VALUE"""),"H&amp;C")</f>
        <v>H&amp;C</v>
      </c>
      <c r="J63" s="1122">
        <f ca="1">IFERROR(__xludf.DUMMYFUNCTION("""COMPUTED_VALUE"""),45075)</f>
        <v>45075</v>
      </c>
      <c r="K63" s="1120" t="str">
        <f ca="1">IFERROR(__xludf.DUMMYFUNCTION("""COMPUTED_VALUE"""),"特定技能１号")</f>
        <v>特定技能１号</v>
      </c>
      <c r="L63" s="1137">
        <f ca="1">IFERROR(__xludf.DUMMYFUNCTION("""COMPUTED_VALUE"""),15000)</f>
        <v>15000</v>
      </c>
      <c r="M63" s="1138"/>
      <c r="N63" s="1649"/>
      <c r="O63" s="1030"/>
      <c r="P63" s="1030"/>
      <c r="Q63" s="1030"/>
      <c r="R63" s="1030"/>
      <c r="U63" s="1030"/>
      <c r="V63" s="1030"/>
      <c r="W63" s="1030"/>
      <c r="X63" s="1030"/>
      <c r="Y63" s="1030"/>
      <c r="Z63" s="1030"/>
      <c r="AA63" s="1030"/>
      <c r="AB63" s="1030"/>
    </row>
    <row r="64" spans="1:28">
      <c r="A64" s="1210" t="s">
        <v>82</v>
      </c>
      <c r="B64" s="1211" t="str">
        <f ca="1">IFERROR(__xludf.DUMMYFUNCTION("QUERY('管理表'!A:AP,""select B,C,D,G,J,K,L,N,O,Q,T where ((C = '津吉' and R = '""&amp;$D$1&amp;$N64&amp;""'and S = '""&amp;$A64&amp;""')) and not(AH = '退職')"",0)"),"#N/A")</f>
        <v>#N/A</v>
      </c>
      <c r="C64" s="1211"/>
      <c r="D64" s="1211"/>
      <c r="E64" s="1212"/>
      <c r="F64" s="1211"/>
      <c r="G64" s="1213"/>
      <c r="H64" s="1211"/>
      <c r="I64" s="1211"/>
      <c r="J64" s="1213"/>
      <c r="K64" s="1211"/>
      <c r="L64" s="1214"/>
      <c r="M64" s="1215"/>
      <c r="N64" s="1663" t="s">
        <v>4388</v>
      </c>
      <c r="O64" s="918" t="s">
        <v>4389</v>
      </c>
      <c r="P64" s="1206"/>
      <c r="Q64" s="907"/>
      <c r="R64" s="918"/>
      <c r="S64" s="1216" t="s">
        <v>4390</v>
      </c>
      <c r="T64" s="1206"/>
      <c r="U64" s="1206"/>
      <c r="V64" s="1030"/>
      <c r="W64" s="1030"/>
      <c r="X64" s="1030"/>
      <c r="Y64" s="1030"/>
      <c r="Z64" s="1030"/>
      <c r="AA64" s="1030"/>
      <c r="AB64" s="1030"/>
    </row>
    <row r="65" spans="1:28">
      <c r="A65" s="1217" t="s">
        <v>82</v>
      </c>
      <c r="B65" s="1218"/>
      <c r="C65" s="1218"/>
      <c r="D65" s="1218"/>
      <c r="E65" s="1219"/>
      <c r="F65" s="1218"/>
      <c r="G65" s="1220"/>
      <c r="H65" s="1218"/>
      <c r="I65" s="1218"/>
      <c r="J65" s="1220"/>
      <c r="K65" s="1218"/>
      <c r="L65" s="1221"/>
      <c r="M65" s="1222"/>
      <c r="N65" s="1648"/>
      <c r="O65" s="918" t="s">
        <v>4391</v>
      </c>
      <c r="P65" s="1030"/>
      <c r="Q65" s="1030"/>
      <c r="R65" s="1030"/>
      <c r="S65" s="1216" t="s">
        <v>4392</v>
      </c>
      <c r="T65" s="1216" t="s">
        <v>4393</v>
      </c>
      <c r="U65" s="1206"/>
      <c r="V65" s="1030"/>
      <c r="W65" s="1030"/>
      <c r="X65" s="1030"/>
      <c r="Y65" s="1030"/>
      <c r="Z65" s="1030"/>
      <c r="AA65" s="1030"/>
      <c r="AB65" s="1030"/>
    </row>
    <row r="66" spans="1:28">
      <c r="A66" s="1223" t="s">
        <v>82</v>
      </c>
      <c r="B66" s="1224"/>
      <c r="C66" s="1224"/>
      <c r="D66" s="1224"/>
      <c r="E66" s="1225"/>
      <c r="F66" s="1224"/>
      <c r="G66" s="1226"/>
      <c r="H66" s="1224"/>
      <c r="I66" s="1224"/>
      <c r="J66" s="1226"/>
      <c r="K66" s="1224"/>
      <c r="L66" s="1227"/>
      <c r="M66" s="1228"/>
      <c r="N66" s="1649"/>
      <c r="O66" s="907" t="s">
        <v>4394</v>
      </c>
      <c r="P66" s="1030"/>
      <c r="Q66" s="907"/>
      <c r="R66" s="1030"/>
      <c r="S66" s="1216" t="s">
        <v>4395</v>
      </c>
      <c r="T66" s="1216" t="s">
        <v>4396</v>
      </c>
      <c r="U66" s="1206"/>
      <c r="V66" s="1030"/>
      <c r="W66" s="1030"/>
      <c r="X66" s="1030"/>
      <c r="Y66" s="1030"/>
      <c r="Z66" s="1030"/>
      <c r="AA66" s="1030"/>
      <c r="AB66" s="1030"/>
    </row>
    <row r="67" spans="1:28">
      <c r="A67" s="1030"/>
      <c r="B67" s="1030"/>
      <c r="C67" s="1030"/>
      <c r="D67" s="1030"/>
      <c r="E67" s="1030"/>
      <c r="F67" s="1030"/>
      <c r="G67" s="1030"/>
      <c r="H67" s="1030"/>
      <c r="I67" s="1030"/>
      <c r="J67" s="1097"/>
      <c r="K67" s="1030"/>
      <c r="L67" s="1030"/>
      <c r="M67" s="1030"/>
      <c r="N67" s="1030"/>
      <c r="O67" s="1030"/>
      <c r="P67" s="1030"/>
      <c r="Q67" s="1030"/>
      <c r="R67" s="1030"/>
      <c r="S67" s="907" t="s">
        <v>4384</v>
      </c>
      <c r="T67" s="1216" t="s">
        <v>4396</v>
      </c>
      <c r="U67" s="1030"/>
      <c r="V67" s="1030"/>
      <c r="W67" s="1030"/>
      <c r="X67" s="1030"/>
      <c r="Y67" s="1030"/>
      <c r="Z67" s="1030"/>
      <c r="AA67" s="1030"/>
      <c r="AB67" s="1030"/>
    </row>
    <row r="68" spans="1:28">
      <c r="A68" s="1030" t="s">
        <v>4397</v>
      </c>
      <c r="B68" s="1229">
        <v>167</v>
      </c>
      <c r="C68" s="1230" t="s">
        <v>54</v>
      </c>
      <c r="D68" s="1230" t="s">
        <v>55</v>
      </c>
      <c r="E68" s="1230" t="s">
        <v>4398</v>
      </c>
      <c r="F68" s="1230" t="s">
        <v>60</v>
      </c>
      <c r="G68" s="1231">
        <v>35380</v>
      </c>
      <c r="H68" s="1230">
        <v>27</v>
      </c>
      <c r="I68" s="1230" t="s">
        <v>471</v>
      </c>
      <c r="J68" s="1232">
        <v>45489</v>
      </c>
      <c r="K68" s="1229" t="s">
        <v>4296</v>
      </c>
      <c r="L68" s="1230"/>
      <c r="M68" s="1230"/>
      <c r="N68" s="1233" t="s">
        <v>4399</v>
      </c>
      <c r="O68" s="1030" t="s">
        <v>4400</v>
      </c>
      <c r="P68" s="1030"/>
      <c r="Q68" s="1030"/>
      <c r="R68" s="918" t="s">
        <v>4401</v>
      </c>
      <c r="S68" s="1030"/>
      <c r="T68" s="1030"/>
      <c r="U68" s="1030"/>
      <c r="V68" s="1030"/>
      <c r="W68" s="1030"/>
      <c r="X68" s="1030"/>
      <c r="Y68" s="1030"/>
      <c r="Z68" s="1030"/>
      <c r="AA68" s="1030"/>
      <c r="AB68" s="1030"/>
    </row>
    <row r="69" spans="1:28">
      <c r="A69" s="1030"/>
      <c r="B69" s="1030"/>
      <c r="C69" s="1030"/>
      <c r="D69" s="1030"/>
      <c r="E69" s="1030"/>
      <c r="F69" s="1030"/>
      <c r="G69" s="1234"/>
      <c r="H69" s="1030"/>
      <c r="I69" s="1030"/>
      <c r="J69" s="1097"/>
      <c r="K69" s="1030"/>
      <c r="L69" s="1030"/>
      <c r="M69" s="1030"/>
      <c r="N69" s="1030"/>
      <c r="O69" s="1030"/>
      <c r="P69" s="1030"/>
      <c r="Q69" s="1030"/>
      <c r="R69" s="918" t="s">
        <v>4402</v>
      </c>
      <c r="S69" s="1030"/>
      <c r="T69" s="1030"/>
      <c r="U69" s="1030"/>
      <c r="V69" s="1030"/>
      <c r="W69" s="1030"/>
      <c r="X69" s="1030"/>
      <c r="Y69" s="1030"/>
      <c r="Z69" s="1030"/>
      <c r="AA69" s="1030"/>
      <c r="AB69" s="1030"/>
    </row>
    <row r="70" spans="1:28">
      <c r="A70" s="1030" t="s">
        <v>4397</v>
      </c>
      <c r="B70" s="1229">
        <v>19</v>
      </c>
      <c r="C70" s="1230" t="s">
        <v>54</v>
      </c>
      <c r="D70" s="1230" t="s">
        <v>55</v>
      </c>
      <c r="E70" s="1229" t="s">
        <v>238</v>
      </c>
      <c r="F70" s="1229" t="s">
        <v>60</v>
      </c>
      <c r="G70" s="1232">
        <v>33243</v>
      </c>
      <c r="H70" s="1229">
        <v>34</v>
      </c>
      <c r="I70" s="1229" t="s">
        <v>61</v>
      </c>
      <c r="J70" s="1235">
        <v>43729</v>
      </c>
      <c r="K70" s="1230" t="s">
        <v>81</v>
      </c>
      <c r="L70" s="1230"/>
      <c r="M70" s="1230"/>
      <c r="N70" s="1664" t="s">
        <v>4403</v>
      </c>
      <c r="O70" s="907" t="s">
        <v>4404</v>
      </c>
      <c r="P70" s="1030"/>
      <c r="Q70" s="1030"/>
      <c r="R70" s="1030"/>
      <c r="S70" s="1030"/>
      <c r="T70" s="1030"/>
      <c r="U70" s="1030"/>
      <c r="V70" s="1030"/>
      <c r="W70" s="1030"/>
      <c r="X70" s="1030"/>
      <c r="Y70" s="1030"/>
      <c r="Z70" s="1030"/>
      <c r="AA70" s="1030"/>
      <c r="AB70" s="1030"/>
    </row>
    <row r="71" spans="1:28">
      <c r="A71" s="1030" t="s">
        <v>4397</v>
      </c>
      <c r="B71" s="1229">
        <v>130</v>
      </c>
      <c r="C71" s="1230" t="s">
        <v>54</v>
      </c>
      <c r="D71" s="1230" t="s">
        <v>55</v>
      </c>
      <c r="E71" s="1229" t="s">
        <v>1183</v>
      </c>
      <c r="F71" s="1229" t="s">
        <v>261</v>
      </c>
      <c r="G71" s="1232">
        <v>34053</v>
      </c>
      <c r="H71" s="1229">
        <v>32</v>
      </c>
      <c r="I71" s="1229" t="s">
        <v>61</v>
      </c>
      <c r="J71" s="1235">
        <v>45301</v>
      </c>
      <c r="K71" s="1230" t="s">
        <v>81</v>
      </c>
      <c r="L71" s="1236">
        <v>4400</v>
      </c>
      <c r="M71" s="1230"/>
      <c r="N71" s="1602"/>
      <c r="O71" s="918" t="s">
        <v>4405</v>
      </c>
      <c r="P71" s="1030"/>
      <c r="Q71" s="1030"/>
      <c r="R71" s="1030"/>
      <c r="S71" s="1030"/>
      <c r="T71" s="1030"/>
      <c r="U71" s="1030"/>
      <c r="V71" s="1030"/>
      <c r="W71" s="1030"/>
      <c r="X71" s="1030"/>
      <c r="Y71" s="1030"/>
      <c r="Z71" s="1030"/>
      <c r="AA71" s="1030"/>
      <c r="AB71" s="1030"/>
    </row>
    <row r="72" spans="1:28">
      <c r="A72" s="1030" t="s">
        <v>4397</v>
      </c>
      <c r="B72" s="1229">
        <v>156</v>
      </c>
      <c r="C72" s="1230" t="s">
        <v>54</v>
      </c>
      <c r="D72" s="1230" t="s">
        <v>55</v>
      </c>
      <c r="E72" s="1230" t="s">
        <v>1452</v>
      </c>
      <c r="F72" s="1237" t="s">
        <v>60</v>
      </c>
      <c r="G72" s="1238">
        <v>30821</v>
      </c>
      <c r="H72" s="1239">
        <v>41</v>
      </c>
      <c r="I72" s="1239" t="s">
        <v>61</v>
      </c>
      <c r="J72" s="1238">
        <v>45364</v>
      </c>
      <c r="K72" s="1240" t="s">
        <v>81</v>
      </c>
      <c r="L72" s="1230"/>
      <c r="M72" s="1230"/>
      <c r="N72" s="1602"/>
      <c r="O72" s="907" t="s">
        <v>4406</v>
      </c>
      <c r="P72" s="1030"/>
      <c r="Q72" s="1030"/>
      <c r="R72" s="1030"/>
      <c r="S72" s="1030"/>
      <c r="T72" s="1030"/>
      <c r="U72" s="1030"/>
      <c r="V72" s="1030"/>
      <c r="W72" s="1030"/>
      <c r="X72" s="1030"/>
      <c r="Y72" s="1030"/>
      <c r="Z72" s="1030"/>
      <c r="AA72" s="1030"/>
      <c r="AB72" s="1030"/>
    </row>
    <row r="73" spans="1:28">
      <c r="A73" s="907"/>
      <c r="B73" s="970"/>
      <c r="C73" s="970"/>
      <c r="D73" s="970"/>
      <c r="E73" s="970"/>
      <c r="F73" s="970"/>
      <c r="G73" s="1241"/>
      <c r="H73" s="970"/>
      <c r="I73" s="970"/>
      <c r="J73" s="1242"/>
      <c r="K73" s="970"/>
      <c r="L73" s="1243"/>
      <c r="M73" s="1243"/>
      <c r="N73" s="1243"/>
      <c r="O73" s="907"/>
      <c r="P73" s="1030"/>
      <c r="Q73" s="1030"/>
      <c r="R73" s="1030"/>
      <c r="S73" s="1030"/>
      <c r="T73" s="1030"/>
      <c r="U73" s="1030"/>
      <c r="V73" s="1030"/>
      <c r="W73" s="1030"/>
      <c r="X73" s="1030"/>
      <c r="Y73" s="1030"/>
      <c r="Z73" s="1030"/>
      <c r="AA73" s="1030"/>
      <c r="AB73" s="1030"/>
    </row>
    <row r="74" spans="1:28">
      <c r="A74" s="970"/>
      <c r="B74" s="970"/>
      <c r="C74" s="970"/>
      <c r="D74" s="970"/>
      <c r="E74" s="970"/>
      <c r="F74" s="970"/>
      <c r="G74" s="1241"/>
      <c r="H74" s="970"/>
      <c r="I74" s="970"/>
      <c r="J74" s="1242"/>
      <c r="K74" s="970"/>
      <c r="L74" s="1243"/>
      <c r="M74" s="1243"/>
      <c r="N74" s="1243"/>
      <c r="O74" s="970"/>
      <c r="P74" s="1243"/>
      <c r="Q74" s="1243"/>
      <c r="R74" s="1243"/>
      <c r="S74" s="1243"/>
      <c r="T74" s="1243"/>
      <c r="U74" s="1243"/>
      <c r="V74" s="1243"/>
      <c r="W74" s="1243"/>
      <c r="X74" s="1243"/>
      <c r="Y74" s="1243"/>
      <c r="Z74" s="1243"/>
      <c r="AA74" s="1243"/>
      <c r="AB74" s="1243"/>
    </row>
    <row r="75" spans="1:28">
      <c r="A75" s="907" t="s">
        <v>4397</v>
      </c>
      <c r="B75" s="1244">
        <v>112</v>
      </c>
      <c r="C75" s="1244" t="s">
        <v>54</v>
      </c>
      <c r="D75" s="1244" t="s">
        <v>611</v>
      </c>
      <c r="E75" s="1244" t="s">
        <v>1010</v>
      </c>
      <c r="F75" s="1244" t="s">
        <v>60</v>
      </c>
      <c r="G75" s="1245">
        <v>38049</v>
      </c>
      <c r="H75" s="1244">
        <v>21</v>
      </c>
      <c r="I75" s="1244" t="s">
        <v>4407</v>
      </c>
      <c r="J75" s="1246">
        <v>45210</v>
      </c>
      <c r="K75" s="1244" t="s">
        <v>4296</v>
      </c>
      <c r="L75" s="1247"/>
      <c r="M75" s="1247"/>
      <c r="N75" s="1247"/>
      <c r="O75" s="1244" t="s">
        <v>4408</v>
      </c>
      <c r="P75" s="1030"/>
      <c r="Q75" s="1030"/>
      <c r="R75" s="1030"/>
      <c r="S75" s="1030"/>
      <c r="T75" s="1030"/>
      <c r="U75" s="1030"/>
      <c r="V75" s="1030"/>
      <c r="W75" s="1030"/>
      <c r="X75" s="1030"/>
      <c r="Y75" s="1030"/>
      <c r="Z75" s="1030"/>
      <c r="AA75" s="1030"/>
      <c r="AB75" s="1030"/>
    </row>
    <row r="76" spans="1:28">
      <c r="A76" s="1030"/>
      <c r="B76" s="1247"/>
      <c r="C76" s="1247"/>
      <c r="D76" s="1247"/>
      <c r="E76" s="1244" t="s">
        <v>4409</v>
      </c>
      <c r="F76" s="1247"/>
      <c r="G76" s="1247"/>
      <c r="H76" s="1247"/>
      <c r="I76" s="1247"/>
      <c r="J76" s="1248"/>
      <c r="K76" s="1247"/>
      <c r="L76" s="1247"/>
      <c r="M76" s="1247"/>
      <c r="N76" s="1247"/>
      <c r="O76" s="1247"/>
      <c r="P76" s="1030"/>
      <c r="Q76" s="1030"/>
      <c r="R76" s="1030"/>
      <c r="S76" s="1030"/>
      <c r="T76" s="1030"/>
      <c r="U76" s="1030"/>
      <c r="V76" s="1030"/>
      <c r="W76" s="1030"/>
      <c r="X76" s="1030"/>
      <c r="Y76" s="1030"/>
      <c r="Z76" s="1030"/>
      <c r="AA76" s="1030"/>
      <c r="AB76" s="1030"/>
    </row>
    <row r="77" spans="1:28">
      <c r="A77" s="1030"/>
      <c r="B77" s="1030"/>
      <c r="C77" s="1030"/>
      <c r="D77" s="1030"/>
      <c r="E77" s="1030"/>
      <c r="F77" s="1030"/>
      <c r="G77" s="1030"/>
      <c r="H77" s="1030"/>
      <c r="I77" s="1030"/>
      <c r="J77" s="1097"/>
      <c r="K77" s="1030"/>
      <c r="L77" s="1030"/>
      <c r="M77" s="1030"/>
      <c r="N77" s="1030"/>
      <c r="O77" s="1030"/>
      <c r="P77" s="1030"/>
      <c r="Q77" s="1030"/>
      <c r="R77" s="1030"/>
      <c r="S77" s="1030"/>
      <c r="T77" s="1030"/>
      <c r="U77" s="1030"/>
      <c r="V77" s="1030"/>
      <c r="W77" s="1030"/>
      <c r="X77" s="1030"/>
      <c r="Y77" s="1030"/>
      <c r="Z77" s="1030"/>
      <c r="AA77" s="1030"/>
      <c r="AB77" s="1030"/>
    </row>
    <row r="78" spans="1:28">
      <c r="A78" s="907" t="s">
        <v>4397</v>
      </c>
      <c r="B78" s="1229">
        <v>123</v>
      </c>
      <c r="C78" s="1229" t="s">
        <v>54</v>
      </c>
      <c r="D78" s="1229" t="s">
        <v>611</v>
      </c>
      <c r="E78" s="1229" t="s">
        <v>1106</v>
      </c>
      <c r="F78" s="1229" t="s">
        <v>60</v>
      </c>
      <c r="G78" s="1232">
        <v>37824</v>
      </c>
      <c r="H78" s="1229">
        <v>21</v>
      </c>
      <c r="I78" s="1229" t="s">
        <v>4407</v>
      </c>
      <c r="J78" s="1232">
        <v>44937</v>
      </c>
      <c r="K78" s="1229" t="s">
        <v>4296</v>
      </c>
      <c r="L78" s="1230"/>
      <c r="M78" s="1230"/>
      <c r="N78" s="1230"/>
      <c r="O78" s="907" t="s">
        <v>4410</v>
      </c>
      <c r="P78" s="1030"/>
      <c r="Q78" s="1030"/>
      <c r="R78" s="1030"/>
      <c r="S78" s="1030"/>
      <c r="T78" s="1030"/>
      <c r="U78" s="1030"/>
      <c r="V78" s="1030"/>
      <c r="W78" s="1030"/>
      <c r="X78" s="1030"/>
      <c r="Y78" s="1030"/>
      <c r="Z78" s="1030"/>
      <c r="AA78" s="1030"/>
      <c r="AB78" s="1030"/>
    </row>
    <row r="79" spans="1:28">
      <c r="A79" s="1030"/>
      <c r="B79" s="1230"/>
      <c r="C79" s="1230"/>
      <c r="D79" s="1230"/>
      <c r="E79" s="1229" t="s">
        <v>4411</v>
      </c>
      <c r="F79" s="1230"/>
      <c r="G79" s="1230"/>
      <c r="H79" s="1230"/>
      <c r="I79" s="1230"/>
      <c r="J79" s="1235"/>
      <c r="K79" s="1230"/>
      <c r="L79" s="1230"/>
      <c r="M79" s="1230"/>
      <c r="N79" s="1230"/>
      <c r="O79" s="964" t="s">
        <v>4412</v>
      </c>
      <c r="P79" s="1030"/>
      <c r="Q79" s="1030"/>
      <c r="R79" s="1030"/>
      <c r="S79" s="1030"/>
      <c r="T79" s="1030"/>
      <c r="U79" s="1030"/>
      <c r="V79" s="1030"/>
      <c r="W79" s="1030"/>
      <c r="X79" s="1030"/>
      <c r="Y79" s="1030"/>
      <c r="Z79" s="1030"/>
      <c r="AA79" s="1030"/>
      <c r="AB79" s="1030"/>
    </row>
    <row r="80" spans="1:28">
      <c r="A80" s="1030"/>
      <c r="B80" s="1030"/>
      <c r="C80" s="1030"/>
      <c r="D80" s="1030"/>
      <c r="E80" s="1030"/>
      <c r="F80" s="1030"/>
      <c r="G80" s="1030"/>
      <c r="H80" s="1030"/>
      <c r="I80" s="1030"/>
      <c r="J80" s="1097"/>
      <c r="K80" s="1030"/>
      <c r="L80" s="1030"/>
      <c r="M80" s="1030"/>
      <c r="N80" s="1030"/>
      <c r="O80" s="1030"/>
      <c r="P80" s="1030"/>
      <c r="Q80" s="1030"/>
      <c r="R80" s="1030"/>
      <c r="S80" s="1030"/>
      <c r="T80" s="1030"/>
      <c r="U80" s="1030"/>
      <c r="V80" s="1030"/>
      <c r="W80" s="1030"/>
      <c r="X80" s="1030"/>
      <c r="Y80" s="1030"/>
      <c r="Z80" s="1030"/>
      <c r="AA80" s="1030"/>
      <c r="AB80" s="1030"/>
    </row>
    <row r="81" spans="1:28">
      <c r="A81" s="907" t="s">
        <v>4397</v>
      </c>
      <c r="B81" s="1229">
        <v>129</v>
      </c>
      <c r="C81" s="1229" t="s">
        <v>54</v>
      </c>
      <c r="D81" s="1230" t="s">
        <v>55</v>
      </c>
      <c r="E81" s="1229" t="s">
        <v>3486</v>
      </c>
      <c r="F81" s="1229" t="s">
        <v>60</v>
      </c>
      <c r="G81" s="1232">
        <v>35903</v>
      </c>
      <c r="H81" s="1229">
        <v>28</v>
      </c>
      <c r="I81" s="1229" t="s">
        <v>61</v>
      </c>
      <c r="J81" s="1232">
        <v>44978</v>
      </c>
      <c r="K81" s="1229" t="s">
        <v>4296</v>
      </c>
      <c r="L81" s="1230"/>
      <c r="M81" s="1230"/>
      <c r="N81" s="1230"/>
      <c r="O81" s="907" t="s">
        <v>4413</v>
      </c>
      <c r="P81" s="1030"/>
      <c r="Q81" s="1030"/>
      <c r="R81" s="1030"/>
      <c r="S81" s="1030"/>
      <c r="T81" s="1030"/>
      <c r="U81" s="1030"/>
      <c r="V81" s="1030"/>
      <c r="W81" s="1030"/>
      <c r="X81" s="1030"/>
      <c r="Y81" s="1030"/>
      <c r="Z81" s="1030"/>
      <c r="AA81" s="1030"/>
      <c r="AB81" s="1030"/>
    </row>
    <row r="82" spans="1:28">
      <c r="A82" s="1030"/>
      <c r="B82" s="1230"/>
      <c r="C82" s="1230"/>
      <c r="D82" s="1230"/>
      <c r="E82" s="1229" t="s">
        <v>3903</v>
      </c>
      <c r="F82" s="1230"/>
      <c r="G82" s="1230"/>
      <c r="H82" s="1230"/>
      <c r="I82" s="1230"/>
      <c r="J82" s="1235"/>
      <c r="K82" s="1230"/>
      <c r="L82" s="1230"/>
      <c r="M82" s="1230"/>
      <c r="N82" s="1230"/>
      <c r="O82" s="1030"/>
      <c r="P82" s="1030"/>
      <c r="Q82" s="1030"/>
      <c r="R82" s="1030"/>
      <c r="S82" s="1030"/>
      <c r="T82" s="1030"/>
      <c r="U82" s="1030"/>
      <c r="V82" s="1030"/>
      <c r="W82" s="1030"/>
      <c r="X82" s="1030"/>
      <c r="Y82" s="1030"/>
      <c r="Z82" s="1030"/>
      <c r="AA82" s="1030"/>
      <c r="AB82" s="1030"/>
    </row>
    <row r="83" spans="1:28">
      <c r="A83" s="1030"/>
      <c r="B83" s="1030"/>
      <c r="C83" s="1030"/>
      <c r="D83" s="1030"/>
      <c r="E83" s="1030"/>
      <c r="F83" s="1030"/>
      <c r="G83" s="1030"/>
      <c r="H83" s="1030"/>
      <c r="I83" s="1030"/>
      <c r="J83" s="1097"/>
      <c r="K83" s="1030"/>
      <c r="L83" s="1030"/>
      <c r="M83" s="1030"/>
      <c r="N83" s="1030"/>
      <c r="O83" s="1030"/>
      <c r="P83" s="1030"/>
      <c r="Q83" s="1030"/>
      <c r="R83" s="1030"/>
      <c r="S83" s="1030"/>
      <c r="T83" s="1030"/>
      <c r="U83" s="1030"/>
      <c r="V83" s="1030"/>
      <c r="W83" s="1030"/>
      <c r="X83" s="1030"/>
      <c r="Y83" s="1030"/>
      <c r="Z83" s="1030"/>
      <c r="AA83" s="1030"/>
      <c r="AB83" s="1030"/>
    </row>
    <row r="84" spans="1:28">
      <c r="A84" s="1030"/>
      <c r="B84" s="1030"/>
      <c r="C84" s="1030"/>
      <c r="D84" s="1030"/>
      <c r="E84" s="1030"/>
      <c r="F84" s="1030"/>
      <c r="G84" s="1030"/>
      <c r="H84" s="1030"/>
      <c r="I84" s="1030"/>
      <c r="J84" s="1097"/>
      <c r="K84" s="1030"/>
      <c r="L84" s="1030"/>
      <c r="M84" s="1030"/>
      <c r="N84" s="1030"/>
      <c r="O84" s="1030"/>
      <c r="P84" s="1030"/>
      <c r="Q84" s="1030"/>
      <c r="R84" s="1030"/>
      <c r="S84" s="1030"/>
      <c r="T84" s="1030"/>
      <c r="U84" s="1030"/>
      <c r="V84" s="1030"/>
      <c r="W84" s="1030"/>
      <c r="X84" s="1030"/>
      <c r="Y84" s="1030"/>
      <c r="Z84" s="1030"/>
      <c r="AA84" s="1030"/>
      <c r="AB84" s="1030"/>
    </row>
    <row r="85" spans="1:28">
      <c r="A85" s="1030"/>
      <c r="B85" s="1030"/>
      <c r="C85" s="1030"/>
      <c r="D85" s="1030"/>
      <c r="E85" s="1030"/>
      <c r="F85" s="1030"/>
      <c r="G85" s="1030"/>
      <c r="H85" s="1030"/>
      <c r="I85" s="1030"/>
      <c r="J85" s="1097"/>
      <c r="K85" s="1030"/>
      <c r="L85" s="1030"/>
      <c r="M85" s="1030"/>
      <c r="N85" s="1030"/>
      <c r="O85" s="1030"/>
      <c r="P85" s="1030"/>
      <c r="Q85" s="1030"/>
      <c r="R85" s="1030"/>
      <c r="S85" s="1030"/>
      <c r="T85" s="1030"/>
      <c r="U85" s="1030"/>
      <c r="V85" s="1030"/>
      <c r="W85" s="1030"/>
      <c r="X85" s="1030"/>
      <c r="Y85" s="1030"/>
      <c r="Z85" s="1030"/>
      <c r="AA85" s="1030"/>
      <c r="AB85" s="1030"/>
    </row>
    <row r="86" spans="1:28">
      <c r="A86" s="1030"/>
      <c r="B86" s="1030"/>
      <c r="C86" s="1030"/>
      <c r="D86" s="1030"/>
      <c r="E86" s="1030"/>
      <c r="F86" s="1030"/>
      <c r="G86" s="1030"/>
      <c r="H86" s="1030"/>
      <c r="I86" s="1030"/>
      <c r="J86" s="1097"/>
      <c r="K86" s="1030"/>
      <c r="L86" s="1030"/>
      <c r="M86" s="1030"/>
      <c r="N86" s="1030"/>
      <c r="O86" s="1030"/>
      <c r="P86" s="1030"/>
      <c r="Q86" s="1030"/>
      <c r="R86" s="1030"/>
      <c r="S86" s="1030"/>
      <c r="T86" s="1030"/>
      <c r="U86" s="1030"/>
      <c r="V86" s="1030"/>
      <c r="W86" s="1030"/>
      <c r="X86" s="1030"/>
      <c r="Y86" s="1030"/>
      <c r="Z86" s="1030"/>
      <c r="AA86" s="1030"/>
      <c r="AB86" s="1030"/>
    </row>
    <row r="87" spans="1:28">
      <c r="A87" s="1030"/>
      <c r="B87" s="1030"/>
      <c r="C87" s="1030"/>
      <c r="D87" s="1030"/>
      <c r="E87" s="1030"/>
      <c r="F87" s="1030"/>
      <c r="G87" s="1030"/>
      <c r="H87" s="1030"/>
      <c r="I87" s="1030"/>
      <c r="J87" s="1097"/>
      <c r="K87" s="1030"/>
      <c r="L87" s="1030"/>
      <c r="M87" s="1030"/>
      <c r="N87" s="1030"/>
      <c r="O87" s="1030"/>
      <c r="P87" s="1030"/>
      <c r="Q87" s="1030"/>
      <c r="R87" s="1030"/>
      <c r="S87" s="1030"/>
      <c r="T87" s="1030"/>
      <c r="U87" s="1030"/>
      <c r="V87" s="1030"/>
      <c r="W87" s="1030"/>
      <c r="X87" s="1030"/>
      <c r="Y87" s="1030"/>
      <c r="Z87" s="1030"/>
      <c r="AA87" s="1030"/>
      <c r="AB87" s="1030"/>
    </row>
    <row r="88" spans="1:28">
      <c r="A88" s="1030"/>
      <c r="B88" s="1030"/>
      <c r="C88" s="1030"/>
      <c r="D88" s="1030"/>
      <c r="E88" s="1030"/>
      <c r="F88" s="1030"/>
      <c r="G88" s="1030"/>
      <c r="H88" s="1030"/>
      <c r="I88" s="1030"/>
      <c r="J88" s="1097"/>
      <c r="K88" s="1030"/>
      <c r="L88" s="1030"/>
      <c r="M88" s="1030"/>
      <c r="N88" s="1030"/>
      <c r="O88" s="1030"/>
      <c r="P88" s="1030"/>
      <c r="Q88" s="1030"/>
      <c r="R88" s="1030"/>
      <c r="S88" s="1030"/>
      <c r="T88" s="1030"/>
      <c r="U88" s="1030"/>
      <c r="V88" s="1030"/>
      <c r="W88" s="1030"/>
      <c r="X88" s="1030"/>
      <c r="Y88" s="1030"/>
      <c r="Z88" s="1030"/>
      <c r="AA88" s="1030"/>
      <c r="AB88" s="1030"/>
    </row>
    <row r="89" spans="1:28">
      <c r="A89" s="1030"/>
      <c r="B89" s="1030"/>
      <c r="C89" s="1030"/>
      <c r="D89" s="1030"/>
      <c r="E89" s="1030"/>
      <c r="F89" s="1030"/>
      <c r="G89" s="1030"/>
      <c r="H89" s="1030"/>
      <c r="I89" s="1030"/>
      <c r="J89" s="1097"/>
      <c r="K89" s="1030"/>
      <c r="L89" s="1030"/>
      <c r="M89" s="1030"/>
      <c r="N89" s="1030"/>
      <c r="O89" s="1030"/>
      <c r="P89" s="1030"/>
      <c r="Q89" s="1030"/>
      <c r="R89" s="1030"/>
      <c r="S89" s="1030"/>
      <c r="T89" s="1030"/>
      <c r="U89" s="1030"/>
      <c r="V89" s="1030"/>
      <c r="W89" s="1030"/>
      <c r="X89" s="1030"/>
      <c r="Y89" s="1030"/>
      <c r="Z89" s="1030"/>
      <c r="AA89" s="1030"/>
      <c r="AB89" s="1030"/>
    </row>
    <row r="90" spans="1:28">
      <c r="A90" s="1030"/>
      <c r="B90" s="1030"/>
      <c r="C90" s="1030"/>
      <c r="D90" s="1030"/>
      <c r="E90" s="1030"/>
      <c r="F90" s="1030"/>
      <c r="G90" s="1030"/>
      <c r="H90" s="1030"/>
      <c r="I90" s="1030"/>
      <c r="J90" s="1097"/>
      <c r="K90" s="1030"/>
      <c r="L90" s="1030"/>
      <c r="M90" s="1030"/>
      <c r="N90" s="1030"/>
      <c r="O90" s="1030"/>
      <c r="P90" s="1030"/>
      <c r="Q90" s="1030"/>
      <c r="R90" s="1030"/>
      <c r="S90" s="1030"/>
      <c r="T90" s="1030"/>
      <c r="U90" s="1030"/>
      <c r="V90" s="1030"/>
      <c r="W90" s="1030"/>
      <c r="X90" s="1030"/>
      <c r="Y90" s="1030"/>
      <c r="Z90" s="1030"/>
      <c r="AA90" s="1030"/>
      <c r="AB90" s="1030"/>
    </row>
    <row r="91" spans="1:28">
      <c r="A91" s="1030"/>
      <c r="B91" s="1030"/>
      <c r="C91" s="1030"/>
      <c r="D91" s="1030"/>
      <c r="E91" s="1030"/>
      <c r="F91" s="1030"/>
      <c r="G91" s="1030"/>
      <c r="H91" s="1030"/>
      <c r="I91" s="1030"/>
      <c r="J91" s="1097"/>
      <c r="K91" s="1030"/>
      <c r="L91" s="1030"/>
      <c r="M91" s="1030"/>
      <c r="N91" s="1030"/>
      <c r="O91" s="1030"/>
      <c r="P91" s="1030"/>
      <c r="Q91" s="1030"/>
      <c r="R91" s="1030"/>
      <c r="S91" s="1030"/>
      <c r="T91" s="1030"/>
      <c r="U91" s="1030"/>
      <c r="V91" s="1030"/>
      <c r="W91" s="1030"/>
      <c r="X91" s="1030"/>
      <c r="Y91" s="1030"/>
      <c r="Z91" s="1030"/>
      <c r="AA91" s="1030"/>
      <c r="AB91" s="1030"/>
    </row>
    <row r="92" spans="1:28">
      <c r="A92" s="1030"/>
      <c r="B92" s="1030"/>
      <c r="C92" s="1030"/>
      <c r="D92" s="1030"/>
      <c r="E92" s="1030"/>
      <c r="F92" s="1030"/>
      <c r="G92" s="1030"/>
      <c r="H92" s="1030"/>
      <c r="I92" s="1030"/>
      <c r="J92" s="1097"/>
      <c r="K92" s="1030"/>
      <c r="L92" s="1030"/>
      <c r="M92" s="1030"/>
      <c r="N92" s="1030"/>
      <c r="O92" s="1030"/>
      <c r="P92" s="1030"/>
      <c r="Q92" s="1030"/>
      <c r="R92" s="1030"/>
      <c r="S92" s="1030"/>
      <c r="T92" s="1030"/>
      <c r="U92" s="1030"/>
      <c r="V92" s="1030"/>
      <c r="W92" s="1030"/>
      <c r="X92" s="1030"/>
      <c r="Y92" s="1030"/>
      <c r="Z92" s="1030"/>
      <c r="AA92" s="1030"/>
      <c r="AB92" s="1030"/>
    </row>
    <row r="93" spans="1:28">
      <c r="A93" s="1030"/>
      <c r="B93" s="1030"/>
      <c r="C93" s="1030"/>
      <c r="D93" s="1030"/>
      <c r="E93" s="1030"/>
      <c r="F93" s="1030"/>
      <c r="G93" s="1030"/>
      <c r="H93" s="1030"/>
      <c r="I93" s="1030"/>
      <c r="J93" s="1097"/>
      <c r="K93" s="1030"/>
      <c r="L93" s="1030"/>
      <c r="M93" s="1030"/>
      <c r="N93" s="1030"/>
      <c r="O93" s="1030"/>
      <c r="P93" s="1030"/>
      <c r="Q93" s="1030"/>
      <c r="R93" s="1030"/>
      <c r="S93" s="1030"/>
      <c r="T93" s="1030"/>
      <c r="U93" s="1030"/>
      <c r="V93" s="1030"/>
      <c r="W93" s="1030"/>
      <c r="X93" s="1030"/>
      <c r="Y93" s="1030"/>
      <c r="Z93" s="1030"/>
      <c r="AA93" s="1030"/>
      <c r="AB93" s="1030"/>
    </row>
    <row r="94" spans="1:28">
      <c r="A94" s="1030"/>
      <c r="B94" s="1030"/>
      <c r="C94" s="1030"/>
      <c r="D94" s="1030"/>
      <c r="E94" s="1030"/>
      <c r="F94" s="1030"/>
      <c r="G94" s="1030"/>
      <c r="H94" s="1030"/>
      <c r="I94" s="1030"/>
      <c r="J94" s="1097"/>
      <c r="K94" s="1030"/>
      <c r="L94" s="1030"/>
      <c r="M94" s="1030"/>
      <c r="N94" s="1030"/>
      <c r="O94" s="1030"/>
      <c r="P94" s="1030"/>
      <c r="Q94" s="1030"/>
      <c r="R94" s="1030"/>
      <c r="S94" s="1030"/>
      <c r="T94" s="1030"/>
      <c r="U94" s="1030"/>
      <c r="V94" s="1030"/>
      <c r="W94" s="1030"/>
      <c r="X94" s="1030"/>
      <c r="Y94" s="1030"/>
      <c r="Z94" s="1030"/>
      <c r="AA94" s="1030"/>
      <c r="AB94" s="1030"/>
    </row>
    <row r="95" spans="1:28">
      <c r="A95" s="1030"/>
      <c r="B95" s="1030"/>
      <c r="C95" s="1030"/>
      <c r="D95" s="1030"/>
      <c r="E95" s="1030"/>
      <c r="F95" s="1030"/>
      <c r="G95" s="1030"/>
      <c r="H95" s="1030"/>
      <c r="I95" s="1030"/>
      <c r="J95" s="1097"/>
      <c r="K95" s="1030"/>
      <c r="L95" s="1030"/>
      <c r="M95" s="1030"/>
      <c r="N95" s="1030"/>
      <c r="O95" s="1030"/>
      <c r="P95" s="1030"/>
      <c r="Q95" s="1030"/>
      <c r="R95" s="1030"/>
      <c r="S95" s="1030"/>
      <c r="T95" s="1030"/>
      <c r="U95" s="1030"/>
      <c r="V95" s="1030"/>
      <c r="W95" s="1030"/>
      <c r="X95" s="1030"/>
      <c r="Y95" s="1030"/>
      <c r="Z95" s="1030"/>
      <c r="AA95" s="1030"/>
      <c r="AB95" s="1030"/>
    </row>
    <row r="96" spans="1:28">
      <c r="A96" s="1030"/>
      <c r="B96" s="1030"/>
      <c r="C96" s="1030"/>
      <c r="D96" s="1030"/>
      <c r="E96" s="1030"/>
      <c r="F96" s="1030"/>
      <c r="G96" s="1030"/>
      <c r="H96" s="1030"/>
      <c r="I96" s="1030"/>
      <c r="J96" s="1097"/>
      <c r="K96" s="1030"/>
      <c r="L96" s="1030"/>
      <c r="M96" s="1030"/>
      <c r="N96" s="1030"/>
      <c r="O96" s="1030"/>
      <c r="P96" s="1030"/>
      <c r="Q96" s="1030"/>
      <c r="R96" s="1030"/>
      <c r="S96" s="1030"/>
      <c r="T96" s="1030"/>
      <c r="U96" s="1030"/>
      <c r="V96" s="1030"/>
      <c r="W96" s="1030"/>
      <c r="X96" s="1030"/>
      <c r="Y96" s="1030"/>
      <c r="Z96" s="1030"/>
      <c r="AA96" s="1030"/>
      <c r="AB96" s="1030"/>
    </row>
    <row r="97" spans="1:28">
      <c r="A97" s="1030"/>
      <c r="B97" s="1030"/>
      <c r="C97" s="1030"/>
      <c r="D97" s="1030"/>
      <c r="E97" s="1030"/>
      <c r="F97" s="1030"/>
      <c r="G97" s="1030"/>
      <c r="H97" s="1030"/>
      <c r="I97" s="1030"/>
      <c r="J97" s="1097"/>
      <c r="K97" s="1030"/>
      <c r="L97" s="1030"/>
      <c r="M97" s="1030"/>
      <c r="N97" s="1030"/>
      <c r="O97" s="1030"/>
      <c r="P97" s="1030"/>
      <c r="Q97" s="1030"/>
      <c r="R97" s="1030"/>
      <c r="S97" s="1030"/>
      <c r="T97" s="1030"/>
      <c r="U97" s="1030"/>
      <c r="V97" s="1030"/>
      <c r="W97" s="1030"/>
      <c r="X97" s="1030"/>
      <c r="Y97" s="1030"/>
      <c r="Z97" s="1030"/>
      <c r="AA97" s="1030"/>
      <c r="AB97" s="1030"/>
    </row>
    <row r="98" spans="1:28">
      <c r="A98" s="1030"/>
      <c r="B98" s="1030"/>
      <c r="C98" s="1030"/>
      <c r="D98" s="1030"/>
      <c r="E98" s="1030"/>
      <c r="F98" s="1030"/>
      <c r="G98" s="1030"/>
      <c r="H98" s="1030"/>
      <c r="I98" s="1030"/>
      <c r="J98" s="1097"/>
      <c r="K98" s="1030"/>
      <c r="L98" s="1030"/>
      <c r="M98" s="1030"/>
      <c r="N98" s="1030"/>
      <c r="O98" s="1030"/>
      <c r="P98" s="1030"/>
      <c r="Q98" s="1030"/>
      <c r="R98" s="1030"/>
      <c r="S98" s="1030"/>
      <c r="T98" s="1030"/>
      <c r="U98" s="1030"/>
      <c r="V98" s="1030"/>
      <c r="W98" s="1030"/>
      <c r="X98" s="1030"/>
      <c r="Y98" s="1030"/>
      <c r="Z98" s="1030"/>
      <c r="AA98" s="1030"/>
      <c r="AB98" s="1030"/>
    </row>
    <row r="99" spans="1:28">
      <c r="A99" s="1030"/>
      <c r="B99" s="1030"/>
      <c r="C99" s="1030"/>
      <c r="D99" s="1030"/>
      <c r="E99" s="1030"/>
      <c r="F99" s="1030"/>
      <c r="G99" s="1030"/>
      <c r="H99" s="1030"/>
      <c r="I99" s="1030"/>
      <c r="J99" s="1097"/>
      <c r="K99" s="1030"/>
      <c r="L99" s="1030"/>
      <c r="M99" s="1030"/>
      <c r="N99" s="1030"/>
      <c r="O99" s="1030"/>
      <c r="P99" s="1030"/>
      <c r="Q99" s="1030"/>
      <c r="R99" s="1030"/>
      <c r="S99" s="1030"/>
      <c r="T99" s="1030"/>
      <c r="U99" s="1030"/>
      <c r="V99" s="1030"/>
      <c r="W99" s="1030"/>
      <c r="X99" s="1030"/>
      <c r="Y99" s="1030"/>
      <c r="Z99" s="1030"/>
      <c r="AA99" s="1030"/>
      <c r="AB99" s="1030"/>
    </row>
    <row r="100" spans="1:28">
      <c r="A100" s="1030"/>
      <c r="B100" s="1030"/>
      <c r="C100" s="1030"/>
      <c r="D100" s="1030"/>
      <c r="E100" s="1030"/>
      <c r="F100" s="1030"/>
      <c r="G100" s="1030"/>
      <c r="H100" s="1030"/>
      <c r="I100" s="1030"/>
      <c r="J100" s="1097"/>
      <c r="K100" s="1030"/>
      <c r="L100" s="1030"/>
      <c r="M100" s="1030"/>
      <c r="N100" s="1030"/>
      <c r="O100" s="1030"/>
      <c r="P100" s="1030"/>
      <c r="Q100" s="1030"/>
      <c r="R100" s="1030"/>
      <c r="S100" s="1030"/>
      <c r="T100" s="1030"/>
      <c r="U100" s="1030"/>
      <c r="V100" s="1030"/>
      <c r="W100" s="1030"/>
      <c r="X100" s="1030"/>
      <c r="Y100" s="1030"/>
      <c r="Z100" s="1030"/>
      <c r="AA100" s="1030"/>
      <c r="AB100" s="1030"/>
    </row>
    <row r="101" spans="1:28">
      <c r="A101" s="1030"/>
      <c r="B101" s="1030"/>
      <c r="C101" s="1030"/>
      <c r="D101" s="1030"/>
      <c r="E101" s="1030"/>
      <c r="F101" s="1030"/>
      <c r="G101" s="1030"/>
      <c r="H101" s="1030"/>
      <c r="I101" s="1030"/>
      <c r="J101" s="1097"/>
      <c r="K101" s="1030"/>
      <c r="L101" s="1030"/>
      <c r="M101" s="1030"/>
      <c r="N101" s="1030"/>
      <c r="O101" s="1030"/>
      <c r="P101" s="1030"/>
      <c r="Q101" s="1030"/>
      <c r="R101" s="1030"/>
      <c r="S101" s="1030"/>
      <c r="T101" s="1030"/>
      <c r="U101" s="1030"/>
      <c r="V101" s="1030"/>
      <c r="W101" s="1030"/>
      <c r="X101" s="1030"/>
      <c r="Y101" s="1030"/>
      <c r="Z101" s="1030"/>
      <c r="AA101" s="1030"/>
      <c r="AB101" s="1030"/>
    </row>
    <row r="102" spans="1:28">
      <c r="A102" s="1030"/>
      <c r="B102" s="1030"/>
      <c r="C102" s="1030"/>
      <c r="D102" s="1030"/>
      <c r="E102" s="1030"/>
      <c r="F102" s="1030"/>
      <c r="G102" s="1030"/>
      <c r="H102" s="1030"/>
      <c r="I102" s="1030"/>
      <c r="J102" s="1097"/>
      <c r="K102" s="1030"/>
      <c r="L102" s="1030"/>
      <c r="M102" s="1030"/>
      <c r="N102" s="1030"/>
      <c r="O102" s="1030"/>
      <c r="P102" s="1030"/>
      <c r="Q102" s="1030"/>
      <c r="R102" s="1030"/>
      <c r="S102" s="1030"/>
      <c r="T102" s="1030"/>
      <c r="U102" s="1030"/>
      <c r="V102" s="1030"/>
      <c r="W102" s="1030"/>
      <c r="X102" s="1030"/>
      <c r="Y102" s="1030"/>
      <c r="Z102" s="1030"/>
      <c r="AA102" s="1030"/>
      <c r="AB102" s="1030"/>
    </row>
    <row r="103" spans="1:28">
      <c r="A103" s="1030"/>
      <c r="B103" s="1030"/>
      <c r="C103" s="1030"/>
      <c r="D103" s="1030"/>
      <c r="E103" s="1030"/>
      <c r="F103" s="1030"/>
      <c r="G103" s="1030"/>
      <c r="H103" s="1030"/>
      <c r="I103" s="1030"/>
      <c r="J103" s="1097"/>
      <c r="K103" s="1030"/>
      <c r="L103" s="1030"/>
      <c r="M103" s="1030"/>
      <c r="N103" s="1030"/>
      <c r="O103" s="1030"/>
      <c r="P103" s="1030"/>
      <c r="Q103" s="1030"/>
      <c r="R103" s="1030"/>
      <c r="S103" s="1030"/>
      <c r="T103" s="1030"/>
      <c r="U103" s="1030"/>
      <c r="V103" s="1030"/>
      <c r="W103" s="1030"/>
      <c r="X103" s="1030"/>
      <c r="Y103" s="1030"/>
      <c r="Z103" s="1030"/>
      <c r="AA103" s="1030"/>
      <c r="AB103" s="1030"/>
    </row>
    <row r="104" spans="1:28">
      <c r="A104" s="1030"/>
      <c r="B104" s="1030"/>
      <c r="C104" s="1030"/>
      <c r="D104" s="1030"/>
      <c r="E104" s="1030"/>
      <c r="F104" s="1030"/>
      <c r="G104" s="1030"/>
      <c r="H104" s="1030"/>
      <c r="I104" s="1030"/>
      <c r="J104" s="1097"/>
      <c r="K104" s="1030"/>
      <c r="L104" s="1030"/>
      <c r="M104" s="1030"/>
      <c r="N104" s="1030"/>
      <c r="O104" s="1030"/>
      <c r="P104" s="1030"/>
      <c r="Q104" s="1030"/>
      <c r="R104" s="1030"/>
      <c r="S104" s="1030"/>
      <c r="T104" s="1030"/>
      <c r="U104" s="1030"/>
      <c r="V104" s="1030"/>
      <c r="W104" s="1030"/>
      <c r="X104" s="1030"/>
      <c r="Y104" s="1030"/>
      <c r="Z104" s="1030"/>
      <c r="AA104" s="1030"/>
      <c r="AB104" s="1030"/>
    </row>
    <row r="105" spans="1:28">
      <c r="A105" s="1030"/>
      <c r="B105" s="1030"/>
      <c r="C105" s="1030"/>
      <c r="D105" s="1030"/>
      <c r="E105" s="1030"/>
      <c r="F105" s="1030"/>
      <c r="G105" s="1030"/>
      <c r="H105" s="1030"/>
      <c r="I105" s="1030"/>
      <c r="J105" s="1097"/>
      <c r="K105" s="1030"/>
      <c r="L105" s="1030"/>
      <c r="M105" s="1030"/>
      <c r="N105" s="1030"/>
      <c r="O105" s="1030"/>
      <c r="P105" s="1030"/>
      <c r="Q105" s="1030"/>
      <c r="R105" s="1030"/>
      <c r="S105" s="1030"/>
      <c r="T105" s="1030"/>
      <c r="U105" s="1030"/>
      <c r="V105" s="1030"/>
      <c r="W105" s="1030"/>
      <c r="X105" s="1030"/>
      <c r="Y105" s="1030"/>
      <c r="Z105" s="1030"/>
      <c r="AA105" s="1030"/>
      <c r="AB105" s="1030"/>
    </row>
    <row r="106" spans="1:28">
      <c r="A106" s="1030"/>
      <c r="B106" s="1030"/>
      <c r="C106" s="1030"/>
      <c r="D106" s="1030"/>
      <c r="E106" s="1030"/>
      <c r="F106" s="1030"/>
      <c r="G106" s="1030"/>
      <c r="H106" s="1030"/>
      <c r="I106" s="1030"/>
      <c r="J106" s="1097"/>
      <c r="K106" s="1030"/>
      <c r="L106" s="1030"/>
      <c r="M106" s="1030"/>
      <c r="N106" s="1030"/>
      <c r="O106" s="1030"/>
      <c r="P106" s="1030"/>
      <c r="Q106" s="1030"/>
      <c r="R106" s="1030"/>
      <c r="S106" s="1030"/>
      <c r="T106" s="1030"/>
      <c r="U106" s="1030"/>
      <c r="V106" s="1030"/>
      <c r="W106" s="1030"/>
      <c r="X106" s="1030"/>
      <c r="Y106" s="1030"/>
      <c r="Z106" s="1030"/>
      <c r="AA106" s="1030"/>
      <c r="AB106" s="1030"/>
    </row>
    <row r="107" spans="1:28">
      <c r="A107" s="1030"/>
      <c r="B107" s="1030"/>
      <c r="C107" s="1030"/>
      <c r="D107" s="1030"/>
      <c r="E107" s="1030"/>
      <c r="F107" s="1030"/>
      <c r="G107" s="1030"/>
      <c r="H107" s="1030"/>
      <c r="I107" s="1030"/>
      <c r="J107" s="1097"/>
      <c r="K107" s="1030"/>
      <c r="L107" s="1030"/>
      <c r="M107" s="1030"/>
      <c r="N107" s="1030"/>
      <c r="O107" s="1030"/>
      <c r="P107" s="1030"/>
      <c r="Q107" s="1030"/>
      <c r="R107" s="1030"/>
      <c r="S107" s="1030"/>
      <c r="T107" s="1030"/>
      <c r="U107" s="1030"/>
      <c r="V107" s="1030"/>
      <c r="W107" s="1030"/>
      <c r="X107" s="1030"/>
      <c r="Y107" s="1030"/>
      <c r="Z107" s="1030"/>
      <c r="AA107" s="1030"/>
      <c r="AB107" s="1030"/>
    </row>
    <row r="108" spans="1:28">
      <c r="A108" s="1030"/>
      <c r="B108" s="1030"/>
      <c r="C108" s="1030"/>
      <c r="D108" s="1030"/>
      <c r="E108" s="1030"/>
      <c r="F108" s="1030"/>
      <c r="G108" s="1030"/>
      <c r="H108" s="1030"/>
      <c r="I108" s="1030"/>
      <c r="J108" s="1097"/>
      <c r="K108" s="1030"/>
      <c r="L108" s="1030"/>
      <c r="M108" s="1030"/>
      <c r="N108" s="1030"/>
      <c r="O108" s="1030"/>
      <c r="P108" s="1030"/>
      <c r="Q108" s="1030"/>
      <c r="R108" s="1030"/>
      <c r="S108" s="1030"/>
      <c r="T108" s="1030"/>
      <c r="U108" s="1030"/>
      <c r="V108" s="1030"/>
      <c r="W108" s="1030"/>
      <c r="X108" s="1030"/>
      <c r="Y108" s="1030"/>
      <c r="Z108" s="1030"/>
      <c r="AA108" s="1030"/>
      <c r="AB108" s="1030"/>
    </row>
    <row r="109" spans="1:28">
      <c r="A109" s="1030"/>
      <c r="B109" s="1030"/>
      <c r="C109" s="1030"/>
      <c r="D109" s="1030"/>
      <c r="E109" s="1030"/>
      <c r="F109" s="1030"/>
      <c r="G109" s="1030"/>
      <c r="H109" s="1030"/>
      <c r="I109" s="1030"/>
      <c r="J109" s="1097"/>
      <c r="K109" s="1030"/>
      <c r="L109" s="1030"/>
      <c r="M109" s="1030"/>
      <c r="N109" s="1030"/>
      <c r="O109" s="1030"/>
      <c r="P109" s="1030"/>
      <c r="Q109" s="1030"/>
      <c r="R109" s="1030"/>
      <c r="S109" s="1030"/>
      <c r="T109" s="1030"/>
      <c r="U109" s="1030"/>
      <c r="V109" s="1030"/>
      <c r="W109" s="1030"/>
      <c r="X109" s="1030"/>
      <c r="Y109" s="1030"/>
      <c r="Z109" s="1030"/>
      <c r="AA109" s="1030"/>
      <c r="AB109" s="1030"/>
    </row>
    <row r="110" spans="1:28">
      <c r="A110" s="1030"/>
      <c r="B110" s="1030"/>
      <c r="C110" s="1030"/>
      <c r="D110" s="1030"/>
      <c r="E110" s="1030"/>
      <c r="F110" s="1030"/>
      <c r="G110" s="1030"/>
      <c r="H110" s="1030"/>
      <c r="I110" s="1030"/>
      <c r="J110" s="1097"/>
      <c r="K110" s="1030"/>
      <c r="L110" s="1030"/>
      <c r="M110" s="1030"/>
      <c r="N110" s="1030"/>
      <c r="O110" s="1030"/>
      <c r="P110" s="1030"/>
      <c r="Q110" s="1030"/>
      <c r="R110" s="1030"/>
      <c r="S110" s="1030"/>
      <c r="T110" s="1030"/>
      <c r="U110" s="1030"/>
      <c r="V110" s="1030"/>
      <c r="W110" s="1030"/>
      <c r="X110" s="1030"/>
      <c r="Y110" s="1030"/>
      <c r="Z110" s="1030"/>
      <c r="AA110" s="1030"/>
      <c r="AB110" s="1030"/>
    </row>
    <row r="111" spans="1:28">
      <c r="A111" s="1030"/>
      <c r="B111" s="1030"/>
      <c r="C111" s="1030"/>
      <c r="D111" s="1030"/>
      <c r="E111" s="1030"/>
      <c r="F111" s="1030"/>
      <c r="G111" s="1030"/>
      <c r="H111" s="1030"/>
      <c r="I111" s="1030"/>
      <c r="J111" s="1097"/>
      <c r="K111" s="1030"/>
      <c r="L111" s="1030"/>
      <c r="M111" s="1030"/>
      <c r="N111" s="1030"/>
      <c r="O111" s="1030"/>
      <c r="P111" s="1030"/>
      <c r="Q111" s="1030"/>
      <c r="R111" s="1030"/>
      <c r="S111" s="1030"/>
      <c r="T111" s="1030"/>
      <c r="U111" s="1030"/>
      <c r="V111" s="1030"/>
      <c r="W111" s="1030"/>
      <c r="X111" s="1030"/>
      <c r="Y111" s="1030"/>
      <c r="Z111" s="1030"/>
      <c r="AA111" s="1030"/>
      <c r="AB111" s="1030"/>
    </row>
    <row r="112" spans="1:28">
      <c r="A112" s="1030"/>
      <c r="B112" s="1030"/>
      <c r="C112" s="1030"/>
      <c r="D112" s="1030"/>
      <c r="E112" s="1030"/>
      <c r="F112" s="1030"/>
      <c r="G112" s="1030"/>
      <c r="H112" s="1030"/>
      <c r="I112" s="1030"/>
      <c r="J112" s="1097"/>
      <c r="K112" s="1030"/>
      <c r="L112" s="1030"/>
      <c r="M112" s="1030"/>
      <c r="N112" s="1030"/>
      <c r="O112" s="1030"/>
      <c r="P112" s="1030"/>
      <c r="Q112" s="1030"/>
      <c r="R112" s="1030"/>
      <c r="S112" s="1030"/>
      <c r="T112" s="1030"/>
      <c r="U112" s="1030"/>
      <c r="V112" s="1030"/>
      <c r="W112" s="1030"/>
      <c r="X112" s="1030"/>
      <c r="Y112" s="1030"/>
      <c r="Z112" s="1030"/>
      <c r="AA112" s="1030"/>
      <c r="AB112" s="1030"/>
    </row>
    <row r="113" spans="1:28">
      <c r="A113" s="1030"/>
      <c r="B113" s="1030"/>
      <c r="C113" s="1030"/>
      <c r="D113" s="1030"/>
      <c r="E113" s="1030"/>
      <c r="F113" s="1030"/>
      <c r="G113" s="1030"/>
      <c r="H113" s="1030"/>
      <c r="I113" s="1030"/>
      <c r="J113" s="1097"/>
      <c r="K113" s="1030"/>
      <c r="L113" s="1030"/>
      <c r="M113" s="1030"/>
      <c r="N113" s="1030"/>
      <c r="O113" s="1030"/>
      <c r="P113" s="1030"/>
      <c r="Q113" s="1030"/>
      <c r="R113" s="1030"/>
      <c r="S113" s="1030"/>
      <c r="T113" s="1030"/>
      <c r="U113" s="1030"/>
      <c r="V113" s="1030"/>
      <c r="W113" s="1030"/>
      <c r="X113" s="1030"/>
      <c r="Y113" s="1030"/>
      <c r="Z113" s="1030"/>
      <c r="AA113" s="1030"/>
      <c r="AB113" s="1030"/>
    </row>
    <row r="114" spans="1:28">
      <c r="A114" s="1030"/>
      <c r="B114" s="1030"/>
      <c r="C114" s="1030"/>
      <c r="D114" s="1030"/>
      <c r="E114" s="1030"/>
      <c r="F114" s="1030"/>
      <c r="G114" s="1030"/>
      <c r="H114" s="1030"/>
      <c r="I114" s="1030"/>
      <c r="J114" s="1097"/>
      <c r="K114" s="1030"/>
      <c r="L114" s="1030"/>
      <c r="M114" s="1030"/>
      <c r="N114" s="1030"/>
      <c r="O114" s="1030"/>
      <c r="P114" s="1030"/>
      <c r="Q114" s="1030"/>
      <c r="R114" s="1030"/>
      <c r="S114" s="1030"/>
      <c r="T114" s="1030"/>
      <c r="U114" s="1030"/>
      <c r="V114" s="1030"/>
      <c r="W114" s="1030"/>
      <c r="X114" s="1030"/>
      <c r="Y114" s="1030"/>
      <c r="Z114" s="1030"/>
      <c r="AA114" s="1030"/>
      <c r="AB114" s="1030"/>
    </row>
    <row r="115" spans="1:28">
      <c r="A115" s="1030"/>
      <c r="B115" s="1030"/>
      <c r="C115" s="1030"/>
      <c r="D115" s="1030"/>
      <c r="E115" s="1030"/>
      <c r="F115" s="1030"/>
      <c r="G115" s="1030"/>
      <c r="H115" s="1030"/>
      <c r="I115" s="1030"/>
      <c r="J115" s="1097"/>
      <c r="K115" s="1030"/>
      <c r="L115" s="1030"/>
      <c r="M115" s="1030"/>
      <c r="N115" s="1030"/>
      <c r="O115" s="1030"/>
      <c r="P115" s="1030"/>
      <c r="Q115" s="1030"/>
      <c r="R115" s="1030"/>
      <c r="S115" s="1030"/>
      <c r="T115" s="1030"/>
      <c r="U115" s="1030"/>
      <c r="V115" s="1030"/>
      <c r="W115" s="1030"/>
      <c r="X115" s="1030"/>
      <c r="Y115" s="1030"/>
      <c r="Z115" s="1030"/>
      <c r="AA115" s="1030"/>
      <c r="AB115" s="1030"/>
    </row>
    <row r="116" spans="1:28">
      <c r="A116" s="1030"/>
      <c r="B116" s="1030"/>
      <c r="C116" s="1030"/>
      <c r="D116" s="1030"/>
      <c r="E116" s="1030"/>
      <c r="F116" s="1030"/>
      <c r="G116" s="1030"/>
      <c r="H116" s="1030"/>
      <c r="I116" s="1030"/>
      <c r="J116" s="1097"/>
      <c r="K116" s="1030"/>
      <c r="L116" s="1030"/>
      <c r="M116" s="1030"/>
      <c r="N116" s="1030"/>
      <c r="O116" s="1030"/>
      <c r="P116" s="1030"/>
      <c r="Q116" s="1030"/>
      <c r="R116" s="1030"/>
      <c r="S116" s="1030"/>
      <c r="T116" s="1030"/>
      <c r="U116" s="1030"/>
      <c r="V116" s="1030"/>
      <c r="W116" s="1030"/>
      <c r="X116" s="1030"/>
      <c r="Y116" s="1030"/>
      <c r="Z116" s="1030"/>
      <c r="AA116" s="1030"/>
      <c r="AB116" s="1030"/>
    </row>
    <row r="117" spans="1:28">
      <c r="A117" s="1030"/>
      <c r="B117" s="1030"/>
      <c r="C117" s="1030"/>
      <c r="D117" s="1030"/>
      <c r="E117" s="1030"/>
      <c r="F117" s="1030"/>
      <c r="G117" s="1030"/>
      <c r="H117" s="1030"/>
      <c r="I117" s="1030"/>
      <c r="J117" s="1097"/>
      <c r="K117" s="1030"/>
      <c r="L117" s="1030"/>
      <c r="M117" s="1030"/>
      <c r="N117" s="1030"/>
      <c r="O117" s="1030"/>
      <c r="P117" s="1030"/>
      <c r="Q117" s="1030"/>
      <c r="R117" s="1030"/>
      <c r="S117" s="1030"/>
      <c r="T117" s="1030"/>
      <c r="U117" s="1030"/>
      <c r="V117" s="1030"/>
      <c r="W117" s="1030"/>
      <c r="X117" s="1030"/>
      <c r="Y117" s="1030"/>
      <c r="Z117" s="1030"/>
      <c r="AA117" s="1030"/>
      <c r="AB117" s="1030"/>
    </row>
    <row r="118" spans="1:28">
      <c r="A118" s="1030"/>
      <c r="B118" s="1030"/>
      <c r="C118" s="1030"/>
      <c r="D118" s="1030"/>
      <c r="E118" s="1030"/>
      <c r="F118" s="1030"/>
      <c r="G118" s="1030"/>
      <c r="H118" s="1030"/>
      <c r="I118" s="1030"/>
      <c r="J118" s="1097"/>
      <c r="K118" s="1030"/>
      <c r="L118" s="1030"/>
      <c r="M118" s="1030"/>
      <c r="N118" s="1030"/>
      <c r="O118" s="1030"/>
      <c r="P118" s="1030"/>
      <c r="Q118" s="1030"/>
      <c r="R118" s="1030"/>
      <c r="S118" s="1030"/>
      <c r="T118" s="1030"/>
      <c r="U118" s="1030"/>
      <c r="V118" s="1030"/>
      <c r="W118" s="1030"/>
      <c r="X118" s="1030"/>
      <c r="Y118" s="1030"/>
      <c r="Z118" s="1030"/>
      <c r="AA118" s="1030"/>
      <c r="AB118" s="1030"/>
    </row>
    <row r="119" spans="1:28">
      <c r="A119" s="1030"/>
      <c r="B119" s="1030"/>
      <c r="C119" s="1030"/>
      <c r="D119" s="1030"/>
      <c r="E119" s="1030"/>
      <c r="F119" s="1030"/>
      <c r="G119" s="1030"/>
      <c r="H119" s="1030"/>
      <c r="I119" s="1030"/>
      <c r="J119" s="1097"/>
      <c r="K119" s="1030"/>
      <c r="L119" s="1030"/>
      <c r="M119" s="1030"/>
      <c r="N119" s="1030"/>
      <c r="O119" s="1030"/>
      <c r="P119" s="1030"/>
      <c r="Q119" s="1030"/>
      <c r="R119" s="1030"/>
      <c r="S119" s="1030"/>
      <c r="T119" s="1030"/>
      <c r="U119" s="1030"/>
      <c r="V119" s="1030"/>
      <c r="W119" s="1030"/>
      <c r="X119" s="1030"/>
      <c r="Y119" s="1030"/>
      <c r="Z119" s="1030"/>
      <c r="AA119" s="1030"/>
      <c r="AB119" s="1030"/>
    </row>
    <row r="120" spans="1:28">
      <c r="A120" s="1030"/>
      <c r="B120" s="1030"/>
      <c r="C120" s="1030"/>
      <c r="D120" s="1030"/>
      <c r="E120" s="1030"/>
      <c r="F120" s="1030"/>
      <c r="G120" s="1030"/>
      <c r="H120" s="1030"/>
      <c r="I120" s="1030"/>
      <c r="J120" s="1097"/>
      <c r="K120" s="1030"/>
      <c r="L120" s="1030"/>
      <c r="M120" s="1030"/>
      <c r="N120" s="1030"/>
      <c r="O120" s="1030"/>
      <c r="P120" s="1030"/>
      <c r="Q120" s="1030"/>
      <c r="R120" s="1030"/>
      <c r="S120" s="1030"/>
      <c r="T120" s="1030"/>
      <c r="U120" s="1030"/>
      <c r="V120" s="1030"/>
      <c r="W120" s="1030"/>
      <c r="X120" s="1030"/>
      <c r="Y120" s="1030"/>
      <c r="Z120" s="1030"/>
      <c r="AA120" s="1030"/>
      <c r="AB120" s="1030"/>
    </row>
    <row r="121" spans="1:28">
      <c r="A121" s="1030"/>
      <c r="B121" s="1030"/>
      <c r="C121" s="1030"/>
      <c r="D121" s="1030"/>
      <c r="E121" s="1030"/>
      <c r="F121" s="1030"/>
      <c r="G121" s="1030"/>
      <c r="H121" s="1030"/>
      <c r="I121" s="1030"/>
      <c r="J121" s="1097"/>
      <c r="K121" s="1030"/>
      <c r="L121" s="1030"/>
      <c r="M121" s="1030"/>
      <c r="N121" s="1030"/>
      <c r="O121" s="1030"/>
      <c r="P121" s="1030"/>
      <c r="Q121" s="1030"/>
      <c r="R121" s="1030"/>
      <c r="S121" s="1030"/>
      <c r="T121" s="1030"/>
      <c r="U121" s="1030"/>
      <c r="V121" s="1030"/>
      <c r="W121" s="1030"/>
      <c r="X121" s="1030"/>
      <c r="Y121" s="1030"/>
      <c r="Z121" s="1030"/>
      <c r="AA121" s="1030"/>
      <c r="AB121" s="1030"/>
    </row>
    <row r="122" spans="1:28">
      <c r="A122" s="1030"/>
      <c r="B122" s="1030"/>
      <c r="C122" s="1030"/>
      <c r="D122" s="1030"/>
      <c r="E122" s="1030"/>
      <c r="F122" s="1030"/>
      <c r="G122" s="1030"/>
      <c r="H122" s="1030"/>
      <c r="I122" s="1030"/>
      <c r="J122" s="1097"/>
      <c r="K122" s="1030"/>
      <c r="L122" s="1030"/>
      <c r="M122" s="1030"/>
      <c r="N122" s="1030"/>
      <c r="O122" s="1030"/>
      <c r="P122" s="1030"/>
      <c r="Q122" s="1030"/>
      <c r="R122" s="1030"/>
      <c r="S122" s="1030"/>
      <c r="T122" s="1030"/>
      <c r="U122" s="1030"/>
      <c r="V122" s="1030"/>
      <c r="W122" s="1030"/>
      <c r="X122" s="1030"/>
      <c r="Y122" s="1030"/>
      <c r="Z122" s="1030"/>
      <c r="AA122" s="1030"/>
      <c r="AB122" s="1030"/>
    </row>
    <row r="123" spans="1:28">
      <c r="A123" s="1030"/>
      <c r="B123" s="1030"/>
      <c r="C123" s="1030"/>
      <c r="D123" s="1030"/>
      <c r="E123" s="1030"/>
      <c r="F123" s="1030"/>
      <c r="G123" s="1030"/>
      <c r="H123" s="1030"/>
      <c r="I123" s="1030"/>
      <c r="J123" s="1097"/>
      <c r="K123" s="1030"/>
      <c r="L123" s="1030"/>
      <c r="M123" s="1030"/>
      <c r="N123" s="1030"/>
      <c r="O123" s="1030"/>
      <c r="P123" s="1030"/>
      <c r="Q123" s="1030"/>
      <c r="R123" s="1030"/>
      <c r="S123" s="1030"/>
      <c r="T123" s="1030"/>
      <c r="U123" s="1030"/>
      <c r="V123" s="1030"/>
      <c r="W123" s="1030"/>
      <c r="X123" s="1030"/>
      <c r="Y123" s="1030"/>
      <c r="Z123" s="1030"/>
      <c r="AA123" s="1030"/>
      <c r="AB123" s="1030"/>
    </row>
    <row r="124" spans="1:28">
      <c r="A124" s="1030"/>
      <c r="B124" s="1030"/>
      <c r="C124" s="1030"/>
      <c r="D124" s="1030"/>
      <c r="E124" s="1030"/>
      <c r="F124" s="1030"/>
      <c r="G124" s="1030"/>
      <c r="H124" s="1030"/>
      <c r="I124" s="1030"/>
      <c r="J124" s="1097"/>
      <c r="K124" s="1030"/>
      <c r="L124" s="1030"/>
      <c r="M124" s="1030"/>
      <c r="N124" s="1030"/>
      <c r="O124" s="1030"/>
      <c r="P124" s="1030"/>
      <c r="Q124" s="1030"/>
      <c r="R124" s="1030"/>
      <c r="S124" s="1030"/>
      <c r="T124" s="1030"/>
      <c r="U124" s="1030"/>
      <c r="V124" s="1030"/>
      <c r="W124" s="1030"/>
      <c r="X124" s="1030"/>
      <c r="Y124" s="1030"/>
      <c r="Z124" s="1030"/>
      <c r="AA124" s="1030"/>
      <c r="AB124" s="1030"/>
    </row>
    <row r="125" spans="1:28">
      <c r="A125" s="1030"/>
      <c r="B125" s="1030"/>
      <c r="C125" s="1030"/>
      <c r="D125" s="1030"/>
      <c r="E125" s="1030"/>
      <c r="F125" s="1030"/>
      <c r="G125" s="1030"/>
      <c r="H125" s="1030"/>
      <c r="I125" s="1030"/>
      <c r="J125" s="1097"/>
      <c r="K125" s="1030"/>
      <c r="L125" s="1030"/>
      <c r="M125" s="1030"/>
      <c r="N125" s="1030"/>
      <c r="O125" s="1030"/>
      <c r="P125" s="1030"/>
      <c r="Q125" s="1030"/>
      <c r="R125" s="1030"/>
      <c r="S125" s="1030"/>
      <c r="T125" s="1030"/>
      <c r="U125" s="1030"/>
      <c r="V125" s="1030"/>
      <c r="W125" s="1030"/>
      <c r="X125" s="1030"/>
      <c r="Y125" s="1030"/>
      <c r="Z125" s="1030"/>
      <c r="AA125" s="1030"/>
      <c r="AB125" s="1030"/>
    </row>
    <row r="126" spans="1:28">
      <c r="A126" s="1030"/>
      <c r="B126" s="1030"/>
      <c r="C126" s="1030"/>
      <c r="D126" s="1030"/>
      <c r="E126" s="1030"/>
      <c r="F126" s="1030"/>
      <c r="G126" s="1030"/>
      <c r="H126" s="1030"/>
      <c r="I126" s="1030"/>
      <c r="J126" s="1097"/>
      <c r="K126" s="1030"/>
      <c r="L126" s="1030"/>
      <c r="M126" s="1030"/>
      <c r="N126" s="1030"/>
      <c r="O126" s="1030"/>
      <c r="P126" s="1030"/>
      <c r="Q126" s="1030"/>
      <c r="R126" s="1030"/>
      <c r="S126" s="1030"/>
      <c r="T126" s="1030"/>
      <c r="U126" s="1030"/>
      <c r="V126" s="1030"/>
      <c r="W126" s="1030"/>
      <c r="X126" s="1030"/>
      <c r="Y126" s="1030"/>
      <c r="Z126" s="1030"/>
      <c r="AA126" s="1030"/>
      <c r="AB126" s="1030"/>
    </row>
    <row r="127" spans="1:28">
      <c r="A127" s="1030"/>
      <c r="B127" s="1030"/>
      <c r="C127" s="1030"/>
      <c r="D127" s="1030"/>
      <c r="E127" s="1030"/>
      <c r="F127" s="1030"/>
      <c r="G127" s="1030"/>
      <c r="H127" s="1030"/>
      <c r="I127" s="1030"/>
      <c r="J127" s="1097"/>
      <c r="K127" s="1030"/>
      <c r="L127" s="1030"/>
      <c r="M127" s="1030"/>
      <c r="N127" s="1030"/>
      <c r="O127" s="1030"/>
      <c r="P127" s="1030"/>
      <c r="Q127" s="1030"/>
      <c r="R127" s="1030"/>
      <c r="S127" s="1030"/>
      <c r="T127" s="1030"/>
      <c r="U127" s="1030"/>
      <c r="V127" s="1030"/>
      <c r="W127" s="1030"/>
      <c r="X127" s="1030"/>
      <c r="Y127" s="1030"/>
      <c r="Z127" s="1030"/>
      <c r="AA127" s="1030"/>
      <c r="AB127" s="1030"/>
    </row>
    <row r="128" spans="1:28">
      <c r="A128" s="1030"/>
      <c r="B128" s="1030"/>
      <c r="C128" s="1030"/>
      <c r="D128" s="1030"/>
      <c r="E128" s="1030"/>
      <c r="F128" s="1030"/>
      <c r="G128" s="1030"/>
      <c r="H128" s="1030"/>
      <c r="I128" s="1030"/>
      <c r="J128" s="1097"/>
      <c r="K128" s="1030"/>
      <c r="L128" s="1030"/>
      <c r="M128" s="1030"/>
      <c r="N128" s="1030"/>
      <c r="O128" s="1030"/>
      <c r="P128" s="1030"/>
      <c r="Q128" s="1030"/>
      <c r="R128" s="1030"/>
      <c r="S128" s="1030"/>
      <c r="T128" s="1030"/>
      <c r="U128" s="1030"/>
      <c r="V128" s="1030"/>
      <c r="W128" s="1030"/>
      <c r="X128" s="1030"/>
      <c r="Y128" s="1030"/>
      <c r="Z128" s="1030"/>
      <c r="AA128" s="1030"/>
      <c r="AB128" s="1030"/>
    </row>
    <row r="129" spans="1:28">
      <c r="A129" s="1030"/>
      <c r="B129" s="1030"/>
      <c r="C129" s="1030"/>
      <c r="D129" s="1030"/>
      <c r="E129" s="1030"/>
      <c r="F129" s="1030"/>
      <c r="G129" s="1030"/>
      <c r="H129" s="1030"/>
      <c r="I129" s="1030"/>
      <c r="J129" s="1097"/>
      <c r="K129" s="1030"/>
      <c r="L129" s="1030"/>
      <c r="M129" s="1030"/>
      <c r="N129" s="1030"/>
      <c r="O129" s="1030"/>
      <c r="P129" s="1030"/>
      <c r="Q129" s="1030"/>
      <c r="R129" s="1030"/>
      <c r="S129" s="1030"/>
      <c r="T129" s="1030"/>
      <c r="U129" s="1030"/>
      <c r="V129" s="1030"/>
      <c r="W129" s="1030"/>
      <c r="X129" s="1030"/>
      <c r="Y129" s="1030"/>
      <c r="Z129" s="1030"/>
      <c r="AA129" s="1030"/>
      <c r="AB129" s="1030"/>
    </row>
    <row r="130" spans="1:28">
      <c r="A130" s="1030"/>
      <c r="B130" s="1030"/>
      <c r="C130" s="1030"/>
      <c r="D130" s="1030"/>
      <c r="E130" s="1030"/>
      <c r="F130" s="1030"/>
      <c r="G130" s="1030"/>
      <c r="H130" s="1030"/>
      <c r="I130" s="1030"/>
      <c r="J130" s="1097"/>
      <c r="K130" s="1030"/>
      <c r="L130" s="1030"/>
      <c r="M130" s="1030"/>
      <c r="N130" s="1030"/>
      <c r="O130" s="1030"/>
      <c r="P130" s="1030"/>
      <c r="Q130" s="1030"/>
      <c r="R130" s="1030"/>
      <c r="S130" s="1030"/>
      <c r="T130" s="1030"/>
      <c r="U130" s="1030"/>
      <c r="V130" s="1030"/>
      <c r="W130" s="1030"/>
      <c r="X130" s="1030"/>
      <c r="Y130" s="1030"/>
      <c r="Z130" s="1030"/>
      <c r="AA130" s="1030"/>
      <c r="AB130" s="1030"/>
    </row>
    <row r="131" spans="1:28">
      <c r="A131" s="1030"/>
      <c r="B131" s="1030"/>
      <c r="C131" s="1030"/>
      <c r="D131" s="1030"/>
      <c r="E131" s="1030"/>
      <c r="F131" s="1030"/>
      <c r="G131" s="1030"/>
      <c r="H131" s="1030"/>
      <c r="I131" s="1030"/>
      <c r="J131" s="1097"/>
      <c r="K131" s="1030"/>
      <c r="L131" s="1030"/>
      <c r="M131" s="1030"/>
      <c r="N131" s="1030"/>
      <c r="O131" s="1030"/>
      <c r="P131" s="1030"/>
      <c r="Q131" s="1030"/>
      <c r="R131" s="1030"/>
      <c r="S131" s="1030"/>
      <c r="T131" s="1030"/>
      <c r="U131" s="1030"/>
      <c r="V131" s="1030"/>
      <c r="W131" s="1030"/>
      <c r="X131" s="1030"/>
      <c r="Y131" s="1030"/>
      <c r="Z131" s="1030"/>
      <c r="AA131" s="1030"/>
      <c r="AB131" s="1030"/>
    </row>
    <row r="132" spans="1:28">
      <c r="A132" s="1030"/>
      <c r="B132" s="1030"/>
      <c r="C132" s="1030"/>
      <c r="D132" s="1030"/>
      <c r="E132" s="1030"/>
      <c r="F132" s="1030"/>
      <c r="G132" s="1030"/>
      <c r="H132" s="1030"/>
      <c r="I132" s="1030"/>
      <c r="J132" s="1097"/>
      <c r="K132" s="1030"/>
      <c r="L132" s="1030"/>
      <c r="M132" s="1030"/>
      <c r="N132" s="1030"/>
      <c r="O132" s="1030"/>
      <c r="P132" s="1030"/>
      <c r="Q132" s="1030"/>
      <c r="R132" s="1030"/>
      <c r="S132" s="1030"/>
      <c r="T132" s="1030"/>
      <c r="U132" s="1030"/>
      <c r="V132" s="1030"/>
      <c r="W132" s="1030"/>
      <c r="X132" s="1030"/>
      <c r="Y132" s="1030"/>
      <c r="Z132" s="1030"/>
      <c r="AA132" s="1030"/>
      <c r="AB132" s="1030"/>
    </row>
    <row r="133" spans="1:28">
      <c r="A133" s="1030"/>
      <c r="B133" s="1030"/>
      <c r="C133" s="1030"/>
      <c r="D133" s="1030"/>
      <c r="E133" s="1030"/>
      <c r="F133" s="1030"/>
      <c r="G133" s="1030"/>
      <c r="H133" s="1030"/>
      <c r="I133" s="1030"/>
      <c r="J133" s="1097"/>
      <c r="K133" s="1030"/>
      <c r="L133" s="1030"/>
      <c r="M133" s="1030"/>
      <c r="N133" s="1030"/>
      <c r="O133" s="1030"/>
      <c r="P133" s="1030"/>
      <c r="Q133" s="1030"/>
      <c r="R133" s="1030"/>
      <c r="S133" s="1030"/>
      <c r="T133" s="1030"/>
      <c r="U133" s="1030"/>
      <c r="V133" s="1030"/>
      <c r="W133" s="1030"/>
      <c r="X133" s="1030"/>
      <c r="Y133" s="1030"/>
      <c r="Z133" s="1030"/>
      <c r="AA133" s="1030"/>
      <c r="AB133" s="1030"/>
    </row>
    <row r="134" spans="1:28">
      <c r="A134" s="1030"/>
      <c r="B134" s="1030"/>
      <c r="C134" s="1030"/>
      <c r="D134" s="1030"/>
      <c r="E134" s="1030"/>
      <c r="F134" s="1030"/>
      <c r="G134" s="1030"/>
      <c r="H134" s="1030"/>
      <c r="I134" s="1030"/>
      <c r="J134" s="1097"/>
      <c r="K134" s="1030"/>
      <c r="L134" s="1030"/>
      <c r="M134" s="1030"/>
      <c r="N134" s="1030"/>
      <c r="O134" s="1030"/>
      <c r="P134" s="1030"/>
      <c r="Q134" s="1030"/>
      <c r="R134" s="1030"/>
      <c r="S134" s="1030"/>
      <c r="T134" s="1030"/>
      <c r="U134" s="1030"/>
      <c r="V134" s="1030"/>
      <c r="W134" s="1030"/>
      <c r="X134" s="1030"/>
      <c r="Y134" s="1030"/>
      <c r="Z134" s="1030"/>
      <c r="AA134" s="1030"/>
      <c r="AB134" s="1030"/>
    </row>
    <row r="135" spans="1:28">
      <c r="A135" s="1030"/>
      <c r="B135" s="1030"/>
      <c r="C135" s="1030"/>
      <c r="D135" s="1030"/>
      <c r="E135" s="1030"/>
      <c r="F135" s="1030"/>
      <c r="G135" s="1030"/>
      <c r="H135" s="1030"/>
      <c r="I135" s="1030"/>
      <c r="J135" s="1097"/>
      <c r="K135" s="1030"/>
      <c r="L135" s="1030"/>
      <c r="M135" s="1030"/>
      <c r="N135" s="1030"/>
      <c r="O135" s="1030"/>
      <c r="P135" s="1030"/>
      <c r="Q135" s="1030"/>
      <c r="R135" s="1030"/>
      <c r="S135" s="1030"/>
      <c r="T135" s="1030"/>
      <c r="U135" s="1030"/>
      <c r="V135" s="1030"/>
      <c r="W135" s="1030"/>
      <c r="X135" s="1030"/>
      <c r="Y135" s="1030"/>
      <c r="Z135" s="1030"/>
      <c r="AA135" s="1030"/>
      <c r="AB135" s="1030"/>
    </row>
    <row r="136" spans="1:28">
      <c r="A136" s="1030"/>
      <c r="B136" s="1030"/>
      <c r="C136" s="1030"/>
      <c r="D136" s="1030"/>
      <c r="E136" s="1030"/>
      <c r="F136" s="1030"/>
      <c r="G136" s="1030"/>
      <c r="H136" s="1030"/>
      <c r="I136" s="1030"/>
      <c r="J136" s="1097"/>
      <c r="K136" s="1030"/>
      <c r="L136" s="1030"/>
      <c r="M136" s="1030"/>
      <c r="N136" s="1030"/>
      <c r="O136" s="1030"/>
      <c r="P136" s="1030"/>
      <c r="Q136" s="1030"/>
      <c r="R136" s="1030"/>
      <c r="S136" s="1030"/>
      <c r="T136" s="1030"/>
      <c r="U136" s="1030"/>
      <c r="V136" s="1030"/>
      <c r="W136" s="1030"/>
      <c r="X136" s="1030"/>
      <c r="Y136" s="1030"/>
      <c r="Z136" s="1030"/>
      <c r="AA136" s="1030"/>
      <c r="AB136" s="1030"/>
    </row>
    <row r="137" spans="1:28">
      <c r="A137" s="1030"/>
      <c r="B137" s="1030"/>
      <c r="C137" s="1030"/>
      <c r="D137" s="1030"/>
      <c r="E137" s="1030"/>
      <c r="F137" s="1030"/>
      <c r="G137" s="1030"/>
      <c r="H137" s="1030"/>
      <c r="I137" s="1030"/>
      <c r="J137" s="1097"/>
      <c r="K137" s="1030"/>
      <c r="L137" s="1030"/>
      <c r="M137" s="1030"/>
      <c r="N137" s="1030"/>
      <c r="O137" s="1030"/>
      <c r="P137" s="1030"/>
      <c r="Q137" s="1030"/>
      <c r="R137" s="1030"/>
      <c r="S137" s="1030"/>
      <c r="T137" s="1030"/>
      <c r="U137" s="1030"/>
      <c r="V137" s="1030"/>
      <c r="W137" s="1030"/>
      <c r="X137" s="1030"/>
      <c r="Y137" s="1030"/>
      <c r="Z137" s="1030"/>
      <c r="AA137" s="1030"/>
      <c r="AB137" s="1030"/>
    </row>
    <row r="138" spans="1:28">
      <c r="A138" s="1030"/>
      <c r="B138" s="1030"/>
      <c r="C138" s="1030"/>
      <c r="D138" s="1030"/>
      <c r="E138" s="1030"/>
      <c r="F138" s="1030"/>
      <c r="G138" s="1030"/>
      <c r="H138" s="1030"/>
      <c r="I138" s="1030"/>
      <c r="J138" s="1097"/>
      <c r="K138" s="1030"/>
      <c r="L138" s="1030"/>
      <c r="M138" s="1030"/>
      <c r="N138" s="1030"/>
      <c r="O138" s="1030"/>
      <c r="P138" s="1030"/>
      <c r="Q138" s="1030"/>
      <c r="R138" s="1030"/>
      <c r="S138" s="1030"/>
      <c r="T138" s="1030"/>
      <c r="U138" s="1030"/>
      <c r="V138" s="1030"/>
      <c r="W138" s="1030"/>
      <c r="X138" s="1030"/>
      <c r="Y138" s="1030"/>
      <c r="Z138" s="1030"/>
      <c r="AA138" s="1030"/>
      <c r="AB138" s="1030"/>
    </row>
    <row r="139" spans="1:28">
      <c r="A139" s="1030"/>
      <c r="B139" s="1030"/>
      <c r="C139" s="1030"/>
      <c r="D139" s="1030"/>
      <c r="E139" s="1030"/>
      <c r="F139" s="1030"/>
      <c r="G139" s="1030"/>
      <c r="H139" s="1030"/>
      <c r="I139" s="1030"/>
      <c r="J139" s="1097"/>
      <c r="K139" s="1030"/>
      <c r="L139" s="1030"/>
      <c r="M139" s="1030"/>
      <c r="N139" s="1030"/>
      <c r="O139" s="1030"/>
      <c r="P139" s="1030"/>
      <c r="Q139" s="1030"/>
      <c r="R139" s="1030"/>
      <c r="S139" s="1030"/>
      <c r="T139" s="1030"/>
      <c r="U139" s="1030"/>
      <c r="V139" s="1030"/>
      <c r="W139" s="1030"/>
      <c r="X139" s="1030"/>
      <c r="Y139" s="1030"/>
      <c r="Z139" s="1030"/>
      <c r="AA139" s="1030"/>
      <c r="AB139" s="1030"/>
    </row>
    <row r="140" spans="1:28">
      <c r="A140" s="1030"/>
      <c r="B140" s="1030"/>
      <c r="C140" s="1030"/>
      <c r="D140" s="1030"/>
      <c r="E140" s="1030"/>
      <c r="F140" s="1030"/>
      <c r="G140" s="1030"/>
      <c r="H140" s="1030"/>
      <c r="I140" s="1030"/>
      <c r="J140" s="1097"/>
      <c r="K140" s="1030"/>
      <c r="L140" s="1030"/>
      <c r="M140" s="1030"/>
      <c r="N140" s="1030"/>
      <c r="O140" s="1030"/>
      <c r="P140" s="1030"/>
      <c r="Q140" s="1030"/>
      <c r="R140" s="1030"/>
      <c r="S140" s="1030"/>
      <c r="T140" s="1030"/>
      <c r="U140" s="1030"/>
      <c r="V140" s="1030"/>
      <c r="W140" s="1030"/>
      <c r="X140" s="1030"/>
      <c r="Y140" s="1030"/>
      <c r="Z140" s="1030"/>
      <c r="AA140" s="1030"/>
      <c r="AB140" s="1030"/>
    </row>
    <row r="141" spans="1:28">
      <c r="A141" s="1030"/>
      <c r="B141" s="1030"/>
      <c r="C141" s="1030"/>
      <c r="D141" s="1030"/>
      <c r="E141" s="1030"/>
      <c r="F141" s="1030"/>
      <c r="G141" s="1030"/>
      <c r="H141" s="1030"/>
      <c r="I141" s="1030"/>
      <c r="J141" s="1097"/>
      <c r="K141" s="1030"/>
      <c r="L141" s="1030"/>
      <c r="M141" s="1030"/>
      <c r="N141" s="1030"/>
      <c r="O141" s="1030"/>
      <c r="P141" s="1030"/>
      <c r="Q141" s="1030"/>
      <c r="R141" s="1030"/>
      <c r="S141" s="1030"/>
      <c r="T141" s="1030"/>
      <c r="U141" s="1030"/>
      <c r="V141" s="1030"/>
      <c r="W141" s="1030"/>
      <c r="X141" s="1030"/>
      <c r="Y141" s="1030"/>
      <c r="Z141" s="1030"/>
      <c r="AA141" s="1030"/>
      <c r="AB141" s="1030"/>
    </row>
    <row r="142" spans="1:28">
      <c r="A142" s="1030"/>
      <c r="B142" s="1030"/>
      <c r="C142" s="1030"/>
      <c r="D142" s="1030"/>
      <c r="E142" s="1030"/>
      <c r="F142" s="1030"/>
      <c r="G142" s="1030"/>
      <c r="H142" s="1030"/>
      <c r="I142" s="1030"/>
      <c r="J142" s="1097"/>
      <c r="K142" s="1030"/>
      <c r="L142" s="1030"/>
      <c r="M142" s="1030"/>
      <c r="N142" s="1030"/>
      <c r="O142" s="1030"/>
      <c r="P142" s="1030"/>
      <c r="Q142" s="1030"/>
      <c r="R142" s="1030"/>
      <c r="S142" s="1030"/>
      <c r="T142" s="1030"/>
      <c r="U142" s="1030"/>
      <c r="V142" s="1030"/>
      <c r="W142" s="1030"/>
      <c r="X142" s="1030"/>
      <c r="Y142" s="1030"/>
      <c r="Z142" s="1030"/>
      <c r="AA142" s="1030"/>
      <c r="AB142" s="1030"/>
    </row>
    <row r="143" spans="1:28">
      <c r="A143" s="1030"/>
      <c r="B143" s="1030"/>
      <c r="C143" s="1030"/>
      <c r="D143" s="1030"/>
      <c r="E143" s="1030"/>
      <c r="F143" s="1030"/>
      <c r="G143" s="1030"/>
      <c r="H143" s="1030"/>
      <c r="I143" s="1030"/>
      <c r="J143" s="1097"/>
      <c r="K143" s="1030"/>
      <c r="L143" s="1030"/>
      <c r="M143" s="1030"/>
      <c r="N143" s="1030"/>
      <c r="O143" s="1030"/>
      <c r="P143" s="1030"/>
      <c r="Q143" s="1030"/>
      <c r="R143" s="1030"/>
      <c r="S143" s="1030"/>
      <c r="T143" s="1030"/>
      <c r="U143" s="1030"/>
      <c r="V143" s="1030"/>
      <c r="W143" s="1030"/>
      <c r="X143" s="1030"/>
      <c r="Y143" s="1030"/>
      <c r="Z143" s="1030"/>
      <c r="AA143" s="1030"/>
      <c r="AB143" s="1030"/>
    </row>
    <row r="144" spans="1:28">
      <c r="A144" s="1030"/>
      <c r="B144" s="1030"/>
      <c r="C144" s="1030"/>
      <c r="D144" s="1030"/>
      <c r="E144" s="1030"/>
      <c r="F144" s="1030"/>
      <c r="G144" s="1030"/>
      <c r="H144" s="1030"/>
      <c r="I144" s="1030"/>
      <c r="J144" s="1097"/>
      <c r="K144" s="1030"/>
      <c r="L144" s="1030"/>
      <c r="M144" s="1030"/>
      <c r="N144" s="1030"/>
      <c r="O144" s="1030"/>
      <c r="P144" s="1030"/>
      <c r="Q144" s="1030"/>
      <c r="R144" s="1030"/>
      <c r="S144" s="1030"/>
      <c r="T144" s="1030"/>
      <c r="U144" s="1030"/>
      <c r="V144" s="1030"/>
      <c r="W144" s="1030"/>
      <c r="X144" s="1030"/>
      <c r="Y144" s="1030"/>
      <c r="Z144" s="1030"/>
      <c r="AA144" s="1030"/>
      <c r="AB144" s="1030"/>
    </row>
    <row r="145" spans="1:28">
      <c r="A145" s="1030"/>
      <c r="B145" s="1030"/>
      <c r="C145" s="1030"/>
      <c r="D145" s="1030"/>
      <c r="E145" s="1030"/>
      <c r="F145" s="1030"/>
      <c r="G145" s="1030"/>
      <c r="H145" s="1030"/>
      <c r="I145" s="1030"/>
      <c r="J145" s="1097"/>
      <c r="K145" s="1030"/>
      <c r="L145" s="1030"/>
      <c r="M145" s="1030"/>
      <c r="N145" s="1030"/>
      <c r="O145" s="1030"/>
      <c r="P145" s="1030"/>
      <c r="Q145" s="1030"/>
      <c r="R145" s="1030"/>
      <c r="S145" s="1030"/>
      <c r="T145" s="1030"/>
      <c r="U145" s="1030"/>
      <c r="V145" s="1030"/>
      <c r="W145" s="1030"/>
      <c r="X145" s="1030"/>
      <c r="Y145" s="1030"/>
      <c r="Z145" s="1030"/>
      <c r="AA145" s="1030"/>
      <c r="AB145" s="1030"/>
    </row>
    <row r="146" spans="1:28">
      <c r="A146" s="1030"/>
      <c r="B146" s="1030"/>
      <c r="C146" s="1030"/>
      <c r="D146" s="1030"/>
      <c r="E146" s="1030"/>
      <c r="F146" s="1030"/>
      <c r="G146" s="1030"/>
      <c r="H146" s="1030"/>
      <c r="I146" s="1030"/>
      <c r="J146" s="1097"/>
      <c r="K146" s="1030"/>
      <c r="L146" s="1030"/>
      <c r="M146" s="1030"/>
      <c r="N146" s="1030"/>
      <c r="O146" s="1030"/>
      <c r="P146" s="1030"/>
      <c r="Q146" s="1030"/>
      <c r="R146" s="1030"/>
      <c r="S146" s="1030"/>
      <c r="T146" s="1030"/>
      <c r="U146" s="1030"/>
      <c r="V146" s="1030"/>
      <c r="W146" s="1030"/>
      <c r="X146" s="1030"/>
      <c r="Y146" s="1030"/>
      <c r="Z146" s="1030"/>
      <c r="AA146" s="1030"/>
      <c r="AB146" s="1030"/>
    </row>
    <row r="147" spans="1:28">
      <c r="A147" s="1030"/>
      <c r="B147" s="1030"/>
      <c r="C147" s="1030"/>
      <c r="D147" s="1030"/>
      <c r="E147" s="1030"/>
      <c r="F147" s="1030"/>
      <c r="G147" s="1030"/>
      <c r="H147" s="1030"/>
      <c r="I147" s="1030"/>
      <c r="J147" s="1097"/>
      <c r="K147" s="1030"/>
      <c r="L147" s="1030"/>
      <c r="M147" s="1030"/>
      <c r="N147" s="1030"/>
      <c r="O147" s="1030"/>
      <c r="P147" s="1030"/>
      <c r="Q147" s="1030"/>
      <c r="R147" s="1030"/>
      <c r="S147" s="1030"/>
      <c r="T147" s="1030"/>
      <c r="U147" s="1030"/>
      <c r="V147" s="1030"/>
      <c r="W147" s="1030"/>
      <c r="X147" s="1030"/>
      <c r="Y147" s="1030"/>
      <c r="Z147" s="1030"/>
      <c r="AA147" s="1030"/>
      <c r="AB147" s="1030"/>
    </row>
    <row r="148" spans="1:28">
      <c r="A148" s="1030"/>
      <c r="B148" s="1030"/>
      <c r="C148" s="1030"/>
      <c r="D148" s="1030"/>
      <c r="E148" s="1030"/>
      <c r="F148" s="1030"/>
      <c r="G148" s="1030"/>
      <c r="H148" s="1030"/>
      <c r="I148" s="1030"/>
      <c r="J148" s="1097"/>
      <c r="K148" s="1030"/>
      <c r="L148" s="1030"/>
      <c r="M148" s="1030"/>
      <c r="N148" s="1030"/>
      <c r="O148" s="1030"/>
      <c r="P148" s="1030"/>
      <c r="Q148" s="1030"/>
      <c r="R148" s="1030"/>
      <c r="S148" s="1030"/>
      <c r="T148" s="1030"/>
      <c r="U148" s="1030"/>
      <c r="V148" s="1030"/>
      <c r="W148" s="1030"/>
      <c r="X148" s="1030"/>
      <c r="Y148" s="1030"/>
      <c r="Z148" s="1030"/>
      <c r="AA148" s="1030"/>
      <c r="AB148" s="1030"/>
    </row>
    <row r="149" spans="1:28">
      <c r="A149" s="1030"/>
      <c r="B149" s="1030"/>
      <c r="C149" s="1030"/>
      <c r="D149" s="1030"/>
      <c r="E149" s="1030"/>
      <c r="F149" s="1030"/>
      <c r="G149" s="1030"/>
      <c r="H149" s="1030"/>
      <c r="I149" s="1030"/>
      <c r="J149" s="1097"/>
      <c r="K149" s="1030"/>
      <c r="L149" s="1030"/>
      <c r="M149" s="1030"/>
      <c r="N149" s="1030"/>
      <c r="O149" s="1030"/>
      <c r="P149" s="1030"/>
      <c r="Q149" s="1030"/>
      <c r="R149" s="1030"/>
      <c r="S149" s="1030"/>
      <c r="T149" s="1030"/>
      <c r="U149" s="1030"/>
      <c r="V149" s="1030"/>
      <c r="W149" s="1030"/>
      <c r="X149" s="1030"/>
      <c r="Y149" s="1030"/>
      <c r="Z149" s="1030"/>
      <c r="AA149" s="1030"/>
      <c r="AB149" s="1030"/>
    </row>
    <row r="150" spans="1:28">
      <c r="A150" s="1030"/>
      <c r="B150" s="1030"/>
      <c r="C150" s="1030"/>
      <c r="D150" s="1030"/>
      <c r="E150" s="1030"/>
      <c r="F150" s="1030"/>
      <c r="G150" s="1030"/>
      <c r="H150" s="1030"/>
      <c r="I150" s="1030"/>
      <c r="J150" s="1097"/>
      <c r="K150" s="1030"/>
      <c r="L150" s="1030"/>
      <c r="M150" s="1030"/>
      <c r="N150" s="1030"/>
      <c r="O150" s="1030"/>
      <c r="P150" s="1030"/>
      <c r="Q150" s="1030"/>
      <c r="R150" s="1030"/>
      <c r="S150" s="1030"/>
      <c r="T150" s="1030"/>
      <c r="U150" s="1030"/>
      <c r="V150" s="1030"/>
      <c r="W150" s="1030"/>
      <c r="X150" s="1030"/>
      <c r="Y150" s="1030"/>
      <c r="Z150" s="1030"/>
      <c r="AA150" s="1030"/>
      <c r="AB150" s="1030"/>
    </row>
    <row r="151" spans="1:28">
      <c r="A151" s="1030"/>
      <c r="B151" s="1030"/>
      <c r="C151" s="1030"/>
      <c r="D151" s="1030"/>
      <c r="E151" s="1030"/>
      <c r="F151" s="1030"/>
      <c r="G151" s="1030"/>
      <c r="H151" s="1030"/>
      <c r="I151" s="1030"/>
      <c r="J151" s="1097"/>
      <c r="K151" s="1030"/>
      <c r="L151" s="1030"/>
      <c r="M151" s="1030"/>
      <c r="N151" s="1030"/>
      <c r="O151" s="1030"/>
      <c r="P151" s="1030"/>
      <c r="Q151" s="1030"/>
      <c r="R151" s="1030"/>
      <c r="S151" s="1030"/>
      <c r="T151" s="1030"/>
      <c r="U151" s="1030"/>
      <c r="V151" s="1030"/>
      <c r="W151" s="1030"/>
      <c r="X151" s="1030"/>
      <c r="Y151" s="1030"/>
      <c r="Z151" s="1030"/>
      <c r="AA151" s="1030"/>
      <c r="AB151" s="1030"/>
    </row>
    <row r="152" spans="1:28">
      <c r="A152" s="1030"/>
      <c r="B152" s="1030"/>
      <c r="C152" s="1030"/>
      <c r="D152" s="1030"/>
      <c r="E152" s="1030"/>
      <c r="F152" s="1030"/>
      <c r="G152" s="1030"/>
      <c r="H152" s="1030"/>
      <c r="I152" s="1030"/>
      <c r="J152" s="1097"/>
      <c r="K152" s="1030"/>
      <c r="L152" s="1030"/>
      <c r="M152" s="1030"/>
      <c r="N152" s="1030"/>
      <c r="O152" s="1030"/>
      <c r="P152" s="1030"/>
      <c r="Q152" s="1030"/>
      <c r="R152" s="1030"/>
      <c r="S152" s="1030"/>
      <c r="T152" s="1030"/>
      <c r="U152" s="1030"/>
      <c r="V152" s="1030"/>
      <c r="W152" s="1030"/>
      <c r="X152" s="1030"/>
      <c r="Y152" s="1030"/>
      <c r="Z152" s="1030"/>
      <c r="AA152" s="1030"/>
      <c r="AB152" s="1030"/>
    </row>
    <row r="153" spans="1:28">
      <c r="A153" s="1030"/>
      <c r="B153" s="1030"/>
      <c r="C153" s="1030"/>
      <c r="D153" s="1030"/>
      <c r="E153" s="1030"/>
      <c r="F153" s="1030"/>
      <c r="G153" s="1030"/>
      <c r="H153" s="1030"/>
      <c r="I153" s="1030"/>
      <c r="J153" s="1097"/>
      <c r="K153" s="1030"/>
      <c r="L153" s="1030"/>
      <c r="M153" s="1030"/>
      <c r="N153" s="1030"/>
      <c r="O153" s="1030"/>
      <c r="P153" s="1030"/>
      <c r="Q153" s="1030"/>
      <c r="R153" s="1030"/>
      <c r="S153" s="1030"/>
      <c r="T153" s="1030"/>
      <c r="U153" s="1030"/>
      <c r="V153" s="1030"/>
      <c r="W153" s="1030"/>
      <c r="X153" s="1030"/>
      <c r="Y153" s="1030"/>
      <c r="Z153" s="1030"/>
      <c r="AA153" s="1030"/>
      <c r="AB153" s="1030"/>
    </row>
    <row r="154" spans="1:28">
      <c r="A154" s="1030"/>
      <c r="B154" s="1030"/>
      <c r="C154" s="1030"/>
      <c r="D154" s="1030"/>
      <c r="E154" s="1030"/>
      <c r="F154" s="1030"/>
      <c r="G154" s="1030"/>
      <c r="H154" s="1030"/>
      <c r="I154" s="1030"/>
      <c r="J154" s="1097"/>
      <c r="K154" s="1030"/>
      <c r="L154" s="1030"/>
      <c r="M154" s="1030"/>
      <c r="N154" s="1030"/>
      <c r="O154" s="1030"/>
      <c r="P154" s="1030"/>
      <c r="Q154" s="1030"/>
      <c r="R154" s="1030"/>
      <c r="S154" s="1030"/>
      <c r="T154" s="1030"/>
      <c r="U154" s="1030"/>
      <c r="V154" s="1030"/>
      <c r="W154" s="1030"/>
      <c r="X154" s="1030"/>
      <c r="Y154" s="1030"/>
      <c r="Z154" s="1030"/>
      <c r="AA154" s="1030"/>
      <c r="AB154" s="1030"/>
    </row>
    <row r="155" spans="1:28">
      <c r="A155" s="1030"/>
      <c r="B155" s="1030"/>
      <c r="C155" s="1030"/>
      <c r="D155" s="1030"/>
      <c r="E155" s="1030"/>
      <c r="F155" s="1030"/>
      <c r="G155" s="1030"/>
      <c r="H155" s="1030"/>
      <c r="I155" s="1030"/>
      <c r="J155" s="1097"/>
      <c r="K155" s="1030"/>
      <c r="L155" s="1030"/>
      <c r="M155" s="1030"/>
      <c r="N155" s="1030"/>
      <c r="O155" s="1030"/>
      <c r="P155" s="1030"/>
      <c r="Q155" s="1030"/>
      <c r="R155" s="1030"/>
      <c r="S155" s="1030"/>
      <c r="T155" s="1030"/>
      <c r="U155" s="1030"/>
      <c r="V155" s="1030"/>
      <c r="W155" s="1030"/>
      <c r="X155" s="1030"/>
      <c r="Y155" s="1030"/>
      <c r="Z155" s="1030"/>
      <c r="AA155" s="1030"/>
      <c r="AB155" s="1030"/>
    </row>
    <row r="156" spans="1:28">
      <c r="A156" s="1030"/>
      <c r="B156" s="1030"/>
      <c r="C156" s="1030"/>
      <c r="D156" s="1030"/>
      <c r="E156" s="1030"/>
      <c r="F156" s="1030"/>
      <c r="G156" s="1030"/>
      <c r="H156" s="1030"/>
      <c r="I156" s="1030"/>
      <c r="J156" s="1097"/>
      <c r="K156" s="1030"/>
      <c r="L156" s="1030"/>
      <c r="M156" s="1030"/>
      <c r="N156" s="1030"/>
      <c r="O156" s="1030"/>
      <c r="P156" s="1030"/>
      <c r="Q156" s="1030"/>
      <c r="R156" s="1030"/>
      <c r="S156" s="1030"/>
      <c r="T156" s="1030"/>
      <c r="U156" s="1030"/>
      <c r="V156" s="1030"/>
      <c r="W156" s="1030"/>
      <c r="X156" s="1030"/>
      <c r="Y156" s="1030"/>
      <c r="Z156" s="1030"/>
      <c r="AA156" s="1030"/>
      <c r="AB156" s="1030"/>
    </row>
    <row r="157" spans="1:28">
      <c r="A157" s="1030"/>
      <c r="B157" s="1030"/>
      <c r="C157" s="1030"/>
      <c r="D157" s="1030"/>
      <c r="E157" s="1030"/>
      <c r="F157" s="1030"/>
      <c r="G157" s="1030"/>
      <c r="H157" s="1030"/>
      <c r="I157" s="1030"/>
      <c r="J157" s="1097"/>
      <c r="K157" s="1030"/>
      <c r="L157" s="1030"/>
      <c r="M157" s="1030"/>
      <c r="N157" s="1030"/>
      <c r="O157" s="1030"/>
      <c r="P157" s="1030"/>
      <c r="Q157" s="1030"/>
      <c r="R157" s="1030"/>
      <c r="S157" s="1030"/>
      <c r="T157" s="1030"/>
      <c r="U157" s="1030"/>
      <c r="V157" s="1030"/>
      <c r="W157" s="1030"/>
      <c r="X157" s="1030"/>
      <c r="Y157" s="1030"/>
      <c r="Z157" s="1030"/>
      <c r="AA157" s="1030"/>
      <c r="AB157" s="1030"/>
    </row>
    <row r="158" spans="1:28">
      <c r="A158" s="1030"/>
      <c r="B158" s="1030"/>
      <c r="C158" s="1030"/>
      <c r="D158" s="1030"/>
      <c r="E158" s="1030"/>
      <c r="F158" s="1030"/>
      <c r="G158" s="1030"/>
      <c r="H158" s="1030"/>
      <c r="I158" s="1030"/>
      <c r="J158" s="1097"/>
      <c r="K158" s="1030"/>
      <c r="L158" s="1030"/>
      <c r="M158" s="1030"/>
      <c r="N158" s="1030"/>
      <c r="O158" s="1030"/>
      <c r="P158" s="1030"/>
      <c r="Q158" s="1030"/>
      <c r="R158" s="1030"/>
      <c r="S158" s="1030"/>
      <c r="T158" s="1030"/>
      <c r="U158" s="1030"/>
      <c r="V158" s="1030"/>
      <c r="W158" s="1030"/>
      <c r="X158" s="1030"/>
      <c r="Y158" s="1030"/>
      <c r="Z158" s="1030"/>
      <c r="AA158" s="1030"/>
      <c r="AB158" s="1030"/>
    </row>
    <row r="159" spans="1:28">
      <c r="A159" s="1030"/>
      <c r="B159" s="1030"/>
      <c r="C159" s="1030"/>
      <c r="D159" s="1030"/>
      <c r="E159" s="1030"/>
      <c r="F159" s="1030"/>
      <c r="G159" s="1030"/>
      <c r="H159" s="1030"/>
      <c r="I159" s="1030"/>
      <c r="J159" s="1097"/>
      <c r="K159" s="1030"/>
      <c r="L159" s="1030"/>
      <c r="M159" s="1030"/>
      <c r="N159" s="1030"/>
      <c r="O159" s="1030"/>
      <c r="P159" s="1030"/>
      <c r="Q159" s="1030"/>
      <c r="R159" s="1030"/>
      <c r="S159" s="1030"/>
      <c r="T159" s="1030"/>
      <c r="U159" s="1030"/>
      <c r="V159" s="1030"/>
      <c r="W159" s="1030"/>
      <c r="X159" s="1030"/>
      <c r="Y159" s="1030"/>
      <c r="Z159" s="1030"/>
      <c r="AA159" s="1030"/>
      <c r="AB159" s="1030"/>
    </row>
    <row r="160" spans="1:28">
      <c r="A160" s="1030"/>
      <c r="B160" s="1030"/>
      <c r="C160" s="1030"/>
      <c r="D160" s="1030"/>
      <c r="E160" s="1030"/>
      <c r="F160" s="1030"/>
      <c r="G160" s="1030"/>
      <c r="H160" s="1030"/>
      <c r="I160" s="1030"/>
      <c r="J160" s="1097"/>
      <c r="K160" s="1030"/>
      <c r="L160" s="1030"/>
      <c r="M160" s="1030"/>
      <c r="N160" s="1030"/>
      <c r="O160" s="1030"/>
      <c r="P160" s="1030"/>
      <c r="Q160" s="1030"/>
      <c r="R160" s="1030"/>
      <c r="S160" s="1030"/>
      <c r="T160" s="1030"/>
      <c r="U160" s="1030"/>
      <c r="V160" s="1030"/>
      <c r="W160" s="1030"/>
      <c r="X160" s="1030"/>
      <c r="Y160" s="1030"/>
      <c r="Z160" s="1030"/>
      <c r="AA160" s="1030"/>
      <c r="AB160" s="1030"/>
    </row>
    <row r="161" spans="1:28">
      <c r="A161" s="1030"/>
      <c r="B161" s="1030"/>
      <c r="C161" s="1030"/>
      <c r="D161" s="1030"/>
      <c r="E161" s="1030"/>
      <c r="F161" s="1030"/>
      <c r="G161" s="1030"/>
      <c r="H161" s="1030"/>
      <c r="I161" s="1030"/>
      <c r="J161" s="1097"/>
      <c r="K161" s="1030"/>
      <c r="L161" s="1030"/>
      <c r="M161" s="1030"/>
      <c r="N161" s="1030"/>
      <c r="O161" s="1030"/>
      <c r="P161" s="1030"/>
      <c r="Q161" s="1030"/>
      <c r="R161" s="1030"/>
      <c r="S161" s="1030"/>
      <c r="T161" s="1030"/>
      <c r="U161" s="1030"/>
      <c r="V161" s="1030"/>
      <c r="W161" s="1030"/>
      <c r="X161" s="1030"/>
      <c r="Y161" s="1030"/>
      <c r="Z161" s="1030"/>
      <c r="AA161" s="1030"/>
      <c r="AB161" s="1030"/>
    </row>
    <row r="162" spans="1:28">
      <c r="A162" s="1030"/>
      <c r="B162" s="1030"/>
      <c r="C162" s="1030"/>
      <c r="D162" s="1030"/>
      <c r="E162" s="1030"/>
      <c r="F162" s="1030"/>
      <c r="G162" s="1030"/>
      <c r="H162" s="1030"/>
      <c r="I162" s="1030"/>
      <c r="J162" s="1097"/>
      <c r="K162" s="1030"/>
      <c r="L162" s="1030"/>
      <c r="M162" s="1030"/>
      <c r="N162" s="1030"/>
      <c r="O162" s="1030"/>
      <c r="P162" s="1030"/>
      <c r="Q162" s="1030"/>
      <c r="R162" s="1030"/>
      <c r="S162" s="1030"/>
      <c r="T162" s="1030"/>
      <c r="U162" s="1030"/>
      <c r="V162" s="1030"/>
      <c r="W162" s="1030"/>
      <c r="X162" s="1030"/>
      <c r="Y162" s="1030"/>
      <c r="Z162" s="1030"/>
      <c r="AA162" s="1030"/>
      <c r="AB162" s="1030"/>
    </row>
    <row r="163" spans="1:28">
      <c r="A163" s="1030"/>
      <c r="B163" s="1030"/>
      <c r="C163" s="1030"/>
      <c r="D163" s="1030"/>
      <c r="E163" s="1030"/>
      <c r="F163" s="1030"/>
      <c r="G163" s="1030"/>
      <c r="H163" s="1030"/>
      <c r="I163" s="1030"/>
      <c r="J163" s="1097"/>
      <c r="K163" s="1030"/>
      <c r="L163" s="1030"/>
      <c r="M163" s="1030"/>
      <c r="N163" s="1030"/>
      <c r="O163" s="1030"/>
      <c r="P163" s="1030"/>
      <c r="Q163" s="1030"/>
      <c r="R163" s="1030"/>
      <c r="S163" s="1030"/>
      <c r="T163" s="1030"/>
      <c r="U163" s="1030"/>
      <c r="V163" s="1030"/>
      <c r="W163" s="1030"/>
      <c r="X163" s="1030"/>
      <c r="Y163" s="1030"/>
      <c r="Z163" s="1030"/>
      <c r="AA163" s="1030"/>
      <c r="AB163" s="1030"/>
    </row>
    <row r="164" spans="1:28">
      <c r="A164" s="1030"/>
      <c r="B164" s="1030"/>
      <c r="C164" s="1030"/>
      <c r="D164" s="1030"/>
      <c r="E164" s="1030"/>
      <c r="F164" s="1030"/>
      <c r="G164" s="1030"/>
      <c r="H164" s="1030"/>
      <c r="I164" s="1030"/>
      <c r="J164" s="1097"/>
      <c r="K164" s="1030"/>
      <c r="L164" s="1030"/>
      <c r="M164" s="1030"/>
      <c r="N164" s="1030"/>
      <c r="O164" s="1030"/>
      <c r="P164" s="1030"/>
      <c r="Q164" s="1030"/>
      <c r="R164" s="1030"/>
      <c r="S164" s="1030"/>
      <c r="T164" s="1030"/>
      <c r="U164" s="1030"/>
      <c r="V164" s="1030"/>
      <c r="W164" s="1030"/>
      <c r="X164" s="1030"/>
      <c r="Y164" s="1030"/>
      <c r="Z164" s="1030"/>
      <c r="AA164" s="1030"/>
      <c r="AB164" s="1030"/>
    </row>
    <row r="165" spans="1:28">
      <c r="A165" s="1030"/>
      <c r="B165" s="1030"/>
      <c r="C165" s="1030"/>
      <c r="D165" s="1030"/>
      <c r="E165" s="1030"/>
      <c r="F165" s="1030"/>
      <c r="G165" s="1030"/>
      <c r="H165" s="1030"/>
      <c r="I165" s="1030"/>
      <c r="J165" s="1097"/>
      <c r="K165" s="1030"/>
      <c r="L165" s="1030"/>
      <c r="M165" s="1030"/>
      <c r="N165" s="1030"/>
      <c r="O165" s="1030"/>
      <c r="P165" s="1030"/>
      <c r="Q165" s="1030"/>
      <c r="R165" s="1030"/>
      <c r="S165" s="1030"/>
      <c r="T165" s="1030"/>
      <c r="U165" s="1030"/>
      <c r="V165" s="1030"/>
      <c r="W165" s="1030"/>
      <c r="X165" s="1030"/>
      <c r="Y165" s="1030"/>
      <c r="Z165" s="1030"/>
      <c r="AA165" s="1030"/>
      <c r="AB165" s="1030"/>
    </row>
    <row r="166" spans="1:28">
      <c r="A166" s="1030"/>
      <c r="B166" s="1030"/>
      <c r="C166" s="1030"/>
      <c r="D166" s="1030"/>
      <c r="E166" s="1030"/>
      <c r="F166" s="1030"/>
      <c r="G166" s="1030"/>
      <c r="H166" s="1030"/>
      <c r="I166" s="1030"/>
      <c r="J166" s="1097"/>
      <c r="K166" s="1030"/>
      <c r="L166" s="1030"/>
      <c r="M166" s="1030"/>
      <c r="N166" s="1030"/>
      <c r="O166" s="1030"/>
      <c r="P166" s="1030"/>
      <c r="Q166" s="1030"/>
      <c r="R166" s="1030"/>
      <c r="S166" s="1030"/>
      <c r="T166" s="1030"/>
      <c r="U166" s="1030"/>
      <c r="V166" s="1030"/>
      <c r="W166" s="1030"/>
      <c r="X166" s="1030"/>
      <c r="Y166" s="1030"/>
      <c r="Z166" s="1030"/>
      <c r="AA166" s="1030"/>
      <c r="AB166" s="1030"/>
    </row>
    <row r="167" spans="1:28">
      <c r="A167" s="1030"/>
      <c r="B167" s="1030"/>
      <c r="C167" s="1030"/>
      <c r="D167" s="1030"/>
      <c r="E167" s="1030"/>
      <c r="F167" s="1030"/>
      <c r="G167" s="1030"/>
      <c r="H167" s="1030"/>
      <c r="I167" s="1030"/>
      <c r="J167" s="1097"/>
      <c r="K167" s="1030"/>
      <c r="L167" s="1030"/>
      <c r="M167" s="1030"/>
      <c r="N167" s="1030"/>
      <c r="O167" s="1030"/>
      <c r="P167" s="1030"/>
      <c r="Q167" s="1030"/>
      <c r="R167" s="1030"/>
      <c r="S167" s="1030"/>
      <c r="T167" s="1030"/>
      <c r="U167" s="1030"/>
      <c r="V167" s="1030"/>
      <c r="W167" s="1030"/>
      <c r="X167" s="1030"/>
      <c r="Y167" s="1030"/>
      <c r="Z167" s="1030"/>
      <c r="AA167" s="1030"/>
      <c r="AB167" s="1030"/>
    </row>
    <row r="168" spans="1:28">
      <c r="A168" s="1030"/>
      <c r="B168" s="1030"/>
      <c r="C168" s="1030"/>
      <c r="D168" s="1030"/>
      <c r="E168" s="1030"/>
      <c r="F168" s="1030"/>
      <c r="G168" s="1030"/>
      <c r="H168" s="1030"/>
      <c r="I168" s="1030"/>
      <c r="J168" s="1097"/>
      <c r="K168" s="1030"/>
      <c r="L168" s="1030"/>
      <c r="M168" s="1030"/>
      <c r="N168" s="1030"/>
      <c r="O168" s="1030"/>
      <c r="P168" s="1030"/>
      <c r="Q168" s="1030"/>
      <c r="R168" s="1030"/>
      <c r="S168" s="1030"/>
      <c r="T168" s="1030"/>
      <c r="U168" s="1030"/>
      <c r="V168" s="1030"/>
      <c r="W168" s="1030"/>
      <c r="X168" s="1030"/>
      <c r="Y168" s="1030"/>
      <c r="Z168" s="1030"/>
      <c r="AA168" s="1030"/>
      <c r="AB168" s="1030"/>
    </row>
    <row r="169" spans="1:28">
      <c r="A169" s="1030"/>
      <c r="B169" s="1030"/>
      <c r="C169" s="1030"/>
      <c r="D169" s="1030"/>
      <c r="E169" s="1030"/>
      <c r="F169" s="1030"/>
      <c r="G169" s="1030"/>
      <c r="H169" s="1030"/>
      <c r="I169" s="1030"/>
      <c r="J169" s="1097"/>
      <c r="K169" s="1030"/>
      <c r="L169" s="1030"/>
      <c r="M169" s="1030"/>
      <c r="N169" s="1030"/>
      <c r="O169" s="1030"/>
      <c r="P169" s="1030"/>
      <c r="Q169" s="1030"/>
      <c r="R169" s="1030"/>
      <c r="S169" s="1030"/>
      <c r="T169" s="1030"/>
      <c r="U169" s="1030"/>
      <c r="V169" s="1030"/>
      <c r="W169" s="1030"/>
      <c r="X169" s="1030"/>
      <c r="Y169" s="1030"/>
      <c r="Z169" s="1030"/>
      <c r="AA169" s="1030"/>
      <c r="AB169" s="1030"/>
    </row>
    <row r="170" spans="1:28">
      <c r="A170" s="1030"/>
      <c r="B170" s="1030"/>
      <c r="C170" s="1030"/>
      <c r="D170" s="1030"/>
      <c r="E170" s="1030"/>
      <c r="F170" s="1030"/>
      <c r="G170" s="1030"/>
      <c r="H170" s="1030"/>
      <c r="I170" s="1030"/>
      <c r="J170" s="1097"/>
      <c r="K170" s="1030"/>
      <c r="L170" s="1030"/>
      <c r="M170" s="1030"/>
      <c r="N170" s="1030"/>
      <c r="O170" s="1030"/>
      <c r="P170" s="1030"/>
      <c r="Q170" s="1030"/>
      <c r="R170" s="1030"/>
      <c r="S170" s="1030"/>
      <c r="T170" s="1030"/>
      <c r="U170" s="1030"/>
      <c r="V170" s="1030"/>
      <c r="W170" s="1030"/>
      <c r="X170" s="1030"/>
      <c r="Y170" s="1030"/>
      <c r="Z170" s="1030"/>
      <c r="AA170" s="1030"/>
      <c r="AB170" s="1030"/>
    </row>
    <row r="171" spans="1:28">
      <c r="A171" s="1030"/>
      <c r="B171" s="1030"/>
      <c r="C171" s="1030"/>
      <c r="D171" s="1030"/>
      <c r="E171" s="1030"/>
      <c r="F171" s="1030"/>
      <c r="G171" s="1030"/>
      <c r="H171" s="1030"/>
      <c r="I171" s="1030"/>
      <c r="J171" s="1097"/>
      <c r="K171" s="1030"/>
      <c r="L171" s="1030"/>
      <c r="M171" s="1030"/>
      <c r="N171" s="1030"/>
      <c r="O171" s="1030"/>
      <c r="P171" s="1030"/>
      <c r="Q171" s="1030"/>
      <c r="R171" s="1030"/>
      <c r="S171" s="1030"/>
      <c r="T171" s="1030"/>
      <c r="U171" s="1030"/>
      <c r="V171" s="1030"/>
      <c r="W171" s="1030"/>
      <c r="X171" s="1030"/>
      <c r="Y171" s="1030"/>
      <c r="Z171" s="1030"/>
      <c r="AA171" s="1030"/>
      <c r="AB171" s="1030"/>
    </row>
    <row r="172" spans="1:28">
      <c r="A172" s="1030"/>
      <c r="B172" s="1030"/>
      <c r="C172" s="1030"/>
      <c r="D172" s="1030"/>
      <c r="E172" s="1030"/>
      <c r="F172" s="1030"/>
      <c r="G172" s="1030"/>
      <c r="H172" s="1030"/>
      <c r="I172" s="1030"/>
      <c r="J172" s="1097"/>
      <c r="K172" s="1030"/>
      <c r="L172" s="1030"/>
      <c r="M172" s="1030"/>
      <c r="N172" s="1030"/>
      <c r="O172" s="1030"/>
      <c r="P172" s="1030"/>
      <c r="Q172" s="1030"/>
      <c r="R172" s="1030"/>
      <c r="S172" s="1030"/>
      <c r="T172" s="1030"/>
      <c r="U172" s="1030"/>
      <c r="V172" s="1030"/>
      <c r="W172" s="1030"/>
      <c r="X172" s="1030"/>
      <c r="Y172" s="1030"/>
      <c r="Z172" s="1030"/>
      <c r="AA172" s="1030"/>
      <c r="AB172" s="1030"/>
    </row>
    <row r="173" spans="1:28">
      <c r="A173" s="1030"/>
      <c r="B173" s="1030"/>
      <c r="C173" s="1030"/>
      <c r="D173" s="1030"/>
      <c r="E173" s="1030"/>
      <c r="F173" s="1030"/>
      <c r="G173" s="1030"/>
      <c r="H173" s="1030"/>
      <c r="I173" s="1030"/>
      <c r="J173" s="1097"/>
      <c r="K173" s="1030"/>
      <c r="L173" s="1030"/>
      <c r="M173" s="1030"/>
      <c r="N173" s="1030"/>
      <c r="O173" s="1030"/>
      <c r="P173" s="1030"/>
      <c r="Q173" s="1030"/>
      <c r="R173" s="1030"/>
      <c r="S173" s="1030"/>
      <c r="T173" s="1030"/>
      <c r="U173" s="1030"/>
      <c r="V173" s="1030"/>
      <c r="W173" s="1030"/>
      <c r="X173" s="1030"/>
      <c r="Y173" s="1030"/>
      <c r="Z173" s="1030"/>
      <c r="AA173" s="1030"/>
      <c r="AB173" s="1030"/>
    </row>
    <row r="174" spans="1:28">
      <c r="A174" s="1030"/>
      <c r="B174" s="1030"/>
      <c r="C174" s="1030"/>
      <c r="D174" s="1030"/>
      <c r="E174" s="1030"/>
      <c r="F174" s="1030"/>
      <c r="G174" s="1030"/>
      <c r="H174" s="1030"/>
      <c r="I174" s="1030"/>
      <c r="J174" s="1097"/>
      <c r="K174" s="1030"/>
      <c r="L174" s="1030"/>
      <c r="M174" s="1030"/>
      <c r="N174" s="1030"/>
      <c r="O174" s="1030"/>
      <c r="P174" s="1030"/>
      <c r="Q174" s="1030"/>
      <c r="R174" s="1030"/>
      <c r="S174" s="1030"/>
      <c r="T174" s="1030"/>
      <c r="U174" s="1030"/>
      <c r="V174" s="1030"/>
      <c r="W174" s="1030"/>
      <c r="X174" s="1030"/>
      <c r="Y174" s="1030"/>
      <c r="Z174" s="1030"/>
      <c r="AA174" s="1030"/>
      <c r="AB174" s="1030"/>
    </row>
    <row r="175" spans="1:28">
      <c r="A175" s="1030"/>
      <c r="B175" s="1030"/>
      <c r="C175" s="1030"/>
      <c r="D175" s="1030"/>
      <c r="E175" s="1030"/>
      <c r="F175" s="1030"/>
      <c r="G175" s="1030"/>
      <c r="H175" s="1030"/>
      <c r="I175" s="1030"/>
      <c r="J175" s="1097"/>
      <c r="K175" s="1030"/>
      <c r="L175" s="1030"/>
      <c r="M175" s="1030"/>
      <c r="N175" s="1030"/>
      <c r="O175" s="1030"/>
      <c r="P175" s="1030"/>
      <c r="Q175" s="1030"/>
      <c r="R175" s="1030"/>
      <c r="S175" s="1030"/>
      <c r="T175" s="1030"/>
      <c r="U175" s="1030"/>
      <c r="V175" s="1030"/>
      <c r="W175" s="1030"/>
      <c r="X175" s="1030"/>
      <c r="Y175" s="1030"/>
      <c r="Z175" s="1030"/>
      <c r="AA175" s="1030"/>
      <c r="AB175" s="1030"/>
    </row>
    <row r="176" spans="1:28">
      <c r="A176" s="1030"/>
      <c r="B176" s="1030"/>
      <c r="C176" s="1030"/>
      <c r="D176" s="1030"/>
      <c r="E176" s="1030"/>
      <c r="F176" s="1030"/>
      <c r="G176" s="1030"/>
      <c r="H176" s="1030"/>
      <c r="I176" s="1030"/>
      <c r="J176" s="1097"/>
      <c r="K176" s="1030"/>
      <c r="L176" s="1030"/>
      <c r="M176" s="1030"/>
      <c r="N176" s="1030"/>
      <c r="O176" s="1030"/>
      <c r="P176" s="1030"/>
      <c r="Q176" s="1030"/>
      <c r="R176" s="1030"/>
      <c r="S176" s="1030"/>
      <c r="T176" s="1030"/>
      <c r="U176" s="1030"/>
      <c r="V176" s="1030"/>
      <c r="W176" s="1030"/>
      <c r="X176" s="1030"/>
      <c r="Y176" s="1030"/>
      <c r="Z176" s="1030"/>
      <c r="AA176" s="1030"/>
      <c r="AB176" s="1030"/>
    </row>
    <row r="177" spans="1:28">
      <c r="A177" s="1030"/>
      <c r="B177" s="1030"/>
      <c r="C177" s="1030"/>
      <c r="D177" s="1030"/>
      <c r="E177" s="1030"/>
      <c r="F177" s="1030"/>
      <c r="G177" s="1030"/>
      <c r="H177" s="1030"/>
      <c r="I177" s="1030"/>
      <c r="J177" s="1097"/>
      <c r="K177" s="1030"/>
      <c r="L177" s="1030"/>
      <c r="M177" s="1030"/>
      <c r="N177" s="1030"/>
      <c r="O177" s="1030"/>
      <c r="P177" s="1030"/>
      <c r="Q177" s="1030"/>
      <c r="R177" s="1030"/>
      <c r="S177" s="1030"/>
      <c r="T177" s="1030"/>
      <c r="U177" s="1030"/>
      <c r="V177" s="1030"/>
      <c r="W177" s="1030"/>
      <c r="X177" s="1030"/>
      <c r="Y177" s="1030"/>
      <c r="Z177" s="1030"/>
      <c r="AA177" s="1030"/>
      <c r="AB177" s="1030"/>
    </row>
    <row r="178" spans="1:28">
      <c r="A178" s="1030"/>
      <c r="B178" s="1030"/>
      <c r="C178" s="1030"/>
      <c r="D178" s="1030"/>
      <c r="E178" s="1030"/>
      <c r="F178" s="1030"/>
      <c r="G178" s="1030"/>
      <c r="H178" s="1030"/>
      <c r="I178" s="1030"/>
      <c r="J178" s="1097"/>
      <c r="K178" s="1030"/>
      <c r="L178" s="1030"/>
      <c r="M178" s="1030"/>
      <c r="N178" s="1030"/>
      <c r="O178" s="1030"/>
      <c r="P178" s="1030"/>
      <c r="Q178" s="1030"/>
      <c r="R178" s="1030"/>
      <c r="S178" s="1030"/>
      <c r="T178" s="1030"/>
      <c r="U178" s="1030"/>
      <c r="V178" s="1030"/>
      <c r="W178" s="1030"/>
      <c r="X178" s="1030"/>
      <c r="Y178" s="1030"/>
      <c r="Z178" s="1030"/>
      <c r="AA178" s="1030"/>
      <c r="AB178" s="1030"/>
    </row>
    <row r="179" spans="1:28">
      <c r="A179" s="1030"/>
      <c r="B179" s="1030"/>
      <c r="C179" s="1030"/>
      <c r="D179" s="1030"/>
      <c r="E179" s="1030"/>
      <c r="F179" s="1030"/>
      <c r="G179" s="1030"/>
      <c r="H179" s="1030"/>
      <c r="I179" s="1030"/>
      <c r="J179" s="1097"/>
      <c r="K179" s="1030"/>
      <c r="L179" s="1030"/>
      <c r="M179" s="1030"/>
      <c r="N179" s="1030"/>
      <c r="O179" s="1030"/>
      <c r="P179" s="1030"/>
      <c r="Q179" s="1030"/>
      <c r="R179" s="1030"/>
      <c r="S179" s="1030"/>
      <c r="T179" s="1030"/>
      <c r="U179" s="1030"/>
      <c r="V179" s="1030"/>
      <c r="W179" s="1030"/>
      <c r="X179" s="1030"/>
      <c r="Y179" s="1030"/>
      <c r="Z179" s="1030"/>
      <c r="AA179" s="1030"/>
      <c r="AB179" s="1030"/>
    </row>
    <row r="180" spans="1:28">
      <c r="A180" s="1030"/>
      <c r="B180" s="1030"/>
      <c r="C180" s="1030"/>
      <c r="D180" s="1030"/>
      <c r="E180" s="1030"/>
      <c r="F180" s="1030"/>
      <c r="G180" s="1030"/>
      <c r="H180" s="1030"/>
      <c r="I180" s="1030"/>
      <c r="J180" s="1097"/>
      <c r="K180" s="1030"/>
      <c r="L180" s="1030"/>
      <c r="M180" s="1030"/>
      <c r="N180" s="1030"/>
      <c r="O180" s="1030"/>
      <c r="P180" s="1030"/>
      <c r="Q180" s="1030"/>
      <c r="R180" s="1030"/>
      <c r="S180" s="1030"/>
      <c r="T180" s="1030"/>
      <c r="U180" s="1030"/>
      <c r="V180" s="1030"/>
      <c r="W180" s="1030"/>
      <c r="X180" s="1030"/>
      <c r="Y180" s="1030"/>
      <c r="Z180" s="1030"/>
      <c r="AA180" s="1030"/>
      <c r="AB180" s="1030"/>
    </row>
    <row r="181" spans="1:28">
      <c r="A181" s="1030"/>
      <c r="B181" s="1030"/>
      <c r="C181" s="1030"/>
      <c r="D181" s="1030"/>
      <c r="E181" s="1030"/>
      <c r="F181" s="1030"/>
      <c r="G181" s="1030"/>
      <c r="H181" s="1030"/>
      <c r="I181" s="1030"/>
      <c r="J181" s="1097"/>
      <c r="K181" s="1030"/>
      <c r="L181" s="1030"/>
      <c r="M181" s="1030"/>
      <c r="N181" s="1030"/>
      <c r="O181" s="1030"/>
      <c r="P181" s="1030"/>
      <c r="Q181" s="1030"/>
      <c r="R181" s="1030"/>
      <c r="S181" s="1030"/>
      <c r="T181" s="1030"/>
      <c r="U181" s="1030"/>
      <c r="V181" s="1030"/>
      <c r="W181" s="1030"/>
      <c r="X181" s="1030"/>
      <c r="Y181" s="1030"/>
      <c r="Z181" s="1030"/>
      <c r="AA181" s="1030"/>
      <c r="AB181" s="1030"/>
    </row>
    <row r="182" spans="1:28">
      <c r="A182" s="1030"/>
      <c r="B182" s="1030"/>
      <c r="C182" s="1030"/>
      <c r="D182" s="1030"/>
      <c r="E182" s="1030"/>
      <c r="F182" s="1030"/>
      <c r="G182" s="1030"/>
      <c r="H182" s="1030"/>
      <c r="I182" s="1030"/>
      <c r="J182" s="1097"/>
      <c r="K182" s="1030"/>
      <c r="L182" s="1030"/>
      <c r="M182" s="1030"/>
      <c r="N182" s="1030"/>
      <c r="O182" s="1030"/>
      <c r="P182" s="1030"/>
      <c r="Q182" s="1030"/>
      <c r="R182" s="1030"/>
      <c r="S182" s="1030"/>
      <c r="T182" s="1030"/>
      <c r="U182" s="1030"/>
      <c r="V182" s="1030"/>
      <c r="W182" s="1030"/>
      <c r="X182" s="1030"/>
      <c r="Y182" s="1030"/>
      <c r="Z182" s="1030"/>
      <c r="AA182" s="1030"/>
      <c r="AB182" s="1030"/>
    </row>
    <row r="183" spans="1:28">
      <c r="A183" s="1030"/>
      <c r="B183" s="1030"/>
      <c r="C183" s="1030"/>
      <c r="D183" s="1030"/>
      <c r="E183" s="1030"/>
      <c r="F183" s="1030"/>
      <c r="G183" s="1030"/>
      <c r="H183" s="1030"/>
      <c r="I183" s="1030"/>
      <c r="J183" s="1097"/>
      <c r="K183" s="1030"/>
      <c r="L183" s="1030"/>
      <c r="M183" s="1030"/>
      <c r="N183" s="1030"/>
      <c r="O183" s="1030"/>
      <c r="P183" s="1030"/>
      <c r="Q183" s="1030"/>
      <c r="R183" s="1030"/>
      <c r="S183" s="1030"/>
      <c r="T183" s="1030"/>
      <c r="U183" s="1030"/>
      <c r="V183" s="1030"/>
      <c r="W183" s="1030"/>
      <c r="X183" s="1030"/>
      <c r="Y183" s="1030"/>
      <c r="Z183" s="1030"/>
      <c r="AA183" s="1030"/>
      <c r="AB183" s="1030"/>
    </row>
    <row r="184" spans="1:28">
      <c r="A184" s="1030"/>
      <c r="B184" s="1030"/>
      <c r="C184" s="1030"/>
      <c r="D184" s="1030"/>
      <c r="E184" s="1030"/>
      <c r="F184" s="1030"/>
      <c r="G184" s="1030"/>
      <c r="H184" s="1030"/>
      <c r="I184" s="1030"/>
      <c r="J184" s="1097"/>
      <c r="K184" s="1030"/>
      <c r="L184" s="1030"/>
      <c r="M184" s="1030"/>
      <c r="N184" s="1030"/>
      <c r="O184" s="1030"/>
      <c r="P184" s="1030"/>
      <c r="Q184" s="1030"/>
      <c r="R184" s="1030"/>
      <c r="S184" s="1030"/>
      <c r="T184" s="1030"/>
      <c r="U184" s="1030"/>
      <c r="V184" s="1030"/>
      <c r="W184" s="1030"/>
      <c r="X184" s="1030"/>
      <c r="Y184" s="1030"/>
      <c r="Z184" s="1030"/>
      <c r="AA184" s="1030"/>
      <c r="AB184" s="1030"/>
    </row>
    <row r="185" spans="1:28">
      <c r="A185" s="1030"/>
      <c r="B185" s="1030"/>
      <c r="C185" s="1030"/>
      <c r="D185" s="1030"/>
      <c r="E185" s="1030"/>
      <c r="F185" s="1030"/>
      <c r="G185" s="1030"/>
      <c r="H185" s="1030"/>
      <c r="I185" s="1030"/>
      <c r="J185" s="1097"/>
      <c r="K185" s="1030"/>
      <c r="L185" s="1030"/>
      <c r="M185" s="1030"/>
      <c r="N185" s="1030"/>
      <c r="O185" s="1030"/>
      <c r="P185" s="1030"/>
      <c r="Q185" s="1030"/>
      <c r="R185" s="1030"/>
      <c r="S185" s="1030"/>
      <c r="T185" s="1030"/>
      <c r="U185" s="1030"/>
      <c r="V185" s="1030"/>
      <c r="W185" s="1030"/>
      <c r="X185" s="1030"/>
      <c r="Y185" s="1030"/>
      <c r="Z185" s="1030"/>
      <c r="AA185" s="1030"/>
      <c r="AB185" s="1030"/>
    </row>
    <row r="186" spans="1:28">
      <c r="A186" s="1030"/>
      <c r="B186" s="1030"/>
      <c r="C186" s="1030"/>
      <c r="D186" s="1030"/>
      <c r="E186" s="1030"/>
      <c r="F186" s="1030"/>
      <c r="G186" s="1030"/>
      <c r="H186" s="1030"/>
      <c r="I186" s="1030"/>
      <c r="J186" s="1097"/>
      <c r="K186" s="1030"/>
      <c r="L186" s="1030"/>
      <c r="M186" s="1030"/>
      <c r="N186" s="1030"/>
      <c r="O186" s="1030"/>
      <c r="P186" s="1030"/>
      <c r="Q186" s="1030"/>
      <c r="R186" s="1030"/>
      <c r="S186" s="1030"/>
      <c r="T186" s="1030"/>
      <c r="U186" s="1030"/>
      <c r="V186" s="1030"/>
      <c r="W186" s="1030"/>
      <c r="X186" s="1030"/>
      <c r="Y186" s="1030"/>
      <c r="Z186" s="1030"/>
      <c r="AA186" s="1030"/>
      <c r="AB186" s="1030"/>
    </row>
    <row r="187" spans="1:28">
      <c r="A187" s="1030"/>
      <c r="B187" s="1030"/>
      <c r="C187" s="1030"/>
      <c r="D187" s="1030"/>
      <c r="E187" s="1030"/>
      <c r="F187" s="1030"/>
      <c r="G187" s="1030"/>
      <c r="H187" s="1030"/>
      <c r="I187" s="1030"/>
      <c r="J187" s="1097"/>
      <c r="K187" s="1030"/>
      <c r="L187" s="1030"/>
      <c r="M187" s="1030"/>
      <c r="N187" s="1030"/>
      <c r="O187" s="1030"/>
      <c r="P187" s="1030"/>
      <c r="Q187" s="1030"/>
      <c r="R187" s="1030"/>
      <c r="S187" s="1030"/>
      <c r="T187" s="1030"/>
      <c r="U187" s="1030"/>
      <c r="V187" s="1030"/>
      <c r="W187" s="1030"/>
      <c r="X187" s="1030"/>
      <c r="Y187" s="1030"/>
      <c r="Z187" s="1030"/>
      <c r="AA187" s="1030"/>
      <c r="AB187" s="1030"/>
    </row>
    <row r="188" spans="1:28">
      <c r="A188" s="1030"/>
      <c r="B188" s="1030"/>
      <c r="C188" s="1030"/>
      <c r="D188" s="1030"/>
      <c r="E188" s="1030"/>
      <c r="F188" s="1030"/>
      <c r="G188" s="1030"/>
      <c r="H188" s="1030"/>
      <c r="I188" s="1030"/>
      <c r="J188" s="1097"/>
      <c r="K188" s="1030"/>
      <c r="L188" s="1030"/>
      <c r="M188" s="1030"/>
      <c r="N188" s="1030"/>
      <c r="O188" s="1030"/>
      <c r="P188" s="1030"/>
      <c r="Q188" s="1030"/>
      <c r="R188" s="1030"/>
      <c r="S188" s="1030"/>
      <c r="T188" s="1030"/>
      <c r="U188" s="1030"/>
      <c r="V188" s="1030"/>
      <c r="W188" s="1030"/>
      <c r="X188" s="1030"/>
      <c r="Y188" s="1030"/>
      <c r="Z188" s="1030"/>
      <c r="AA188" s="1030"/>
      <c r="AB188" s="1030"/>
    </row>
    <row r="189" spans="1:28">
      <c r="A189" s="1030"/>
      <c r="B189" s="1030"/>
      <c r="C189" s="1030"/>
      <c r="D189" s="1030"/>
      <c r="E189" s="1030"/>
      <c r="F189" s="1030"/>
      <c r="G189" s="1030"/>
      <c r="H189" s="1030"/>
      <c r="I189" s="1030"/>
      <c r="J189" s="1097"/>
      <c r="K189" s="1030"/>
      <c r="L189" s="1030"/>
      <c r="M189" s="1030"/>
      <c r="N189" s="1030"/>
      <c r="O189" s="1030"/>
      <c r="P189" s="1030"/>
      <c r="Q189" s="1030"/>
      <c r="R189" s="1030"/>
      <c r="S189" s="1030"/>
      <c r="T189" s="1030"/>
      <c r="U189" s="1030"/>
      <c r="V189" s="1030"/>
      <c r="W189" s="1030"/>
      <c r="X189" s="1030"/>
      <c r="Y189" s="1030"/>
      <c r="Z189" s="1030"/>
      <c r="AA189" s="1030"/>
      <c r="AB189" s="1030"/>
    </row>
    <row r="190" spans="1:28">
      <c r="A190" s="1030"/>
      <c r="B190" s="1030"/>
      <c r="C190" s="1030"/>
      <c r="D190" s="1030"/>
      <c r="E190" s="1030"/>
      <c r="F190" s="1030"/>
      <c r="G190" s="1030"/>
      <c r="H190" s="1030"/>
      <c r="I190" s="1030"/>
      <c r="J190" s="1097"/>
      <c r="K190" s="1030"/>
      <c r="L190" s="1030"/>
      <c r="M190" s="1030"/>
      <c r="N190" s="1030"/>
      <c r="O190" s="1030"/>
      <c r="P190" s="1030"/>
      <c r="Q190" s="1030"/>
      <c r="R190" s="1030"/>
      <c r="S190" s="1030"/>
      <c r="T190" s="1030"/>
      <c r="U190" s="1030"/>
      <c r="V190" s="1030"/>
      <c r="W190" s="1030"/>
      <c r="X190" s="1030"/>
      <c r="Y190" s="1030"/>
      <c r="Z190" s="1030"/>
      <c r="AA190" s="1030"/>
      <c r="AB190" s="1030"/>
    </row>
    <row r="191" spans="1:28">
      <c r="A191" s="1030"/>
      <c r="B191" s="1030"/>
      <c r="C191" s="1030"/>
      <c r="D191" s="1030"/>
      <c r="E191" s="1030"/>
      <c r="F191" s="1030"/>
      <c r="G191" s="1030"/>
      <c r="H191" s="1030"/>
      <c r="I191" s="1030"/>
      <c r="J191" s="1097"/>
      <c r="K191" s="1030"/>
      <c r="L191" s="1030"/>
      <c r="M191" s="1030"/>
      <c r="N191" s="1030"/>
      <c r="O191" s="1030"/>
      <c r="P191" s="1030"/>
      <c r="Q191" s="1030"/>
      <c r="R191" s="1030"/>
      <c r="S191" s="1030"/>
      <c r="T191" s="1030"/>
      <c r="U191" s="1030"/>
      <c r="V191" s="1030"/>
      <c r="W191" s="1030"/>
      <c r="X191" s="1030"/>
      <c r="Y191" s="1030"/>
      <c r="Z191" s="1030"/>
      <c r="AA191" s="1030"/>
      <c r="AB191" s="1030"/>
    </row>
    <row r="192" spans="1:28">
      <c r="A192" s="1030"/>
      <c r="B192" s="1030"/>
      <c r="C192" s="1030"/>
      <c r="D192" s="1030"/>
      <c r="E192" s="1030"/>
      <c r="F192" s="1030"/>
      <c r="G192" s="1030"/>
      <c r="H192" s="1030"/>
      <c r="I192" s="1030"/>
      <c r="J192" s="1097"/>
      <c r="K192" s="1030"/>
      <c r="L192" s="1030"/>
      <c r="M192" s="1030"/>
      <c r="N192" s="1030"/>
      <c r="O192" s="1030"/>
      <c r="P192" s="1030"/>
      <c r="Q192" s="1030"/>
      <c r="R192" s="1030"/>
      <c r="S192" s="1030"/>
      <c r="T192" s="1030"/>
      <c r="U192" s="1030"/>
      <c r="V192" s="1030"/>
      <c r="W192" s="1030"/>
      <c r="X192" s="1030"/>
      <c r="Y192" s="1030"/>
      <c r="Z192" s="1030"/>
      <c r="AA192" s="1030"/>
      <c r="AB192" s="1030"/>
    </row>
    <row r="193" spans="1:28">
      <c r="A193" s="1030"/>
      <c r="B193" s="1030"/>
      <c r="C193" s="1030"/>
      <c r="D193" s="1030"/>
      <c r="E193" s="1030"/>
      <c r="F193" s="1030"/>
      <c r="G193" s="1030"/>
      <c r="H193" s="1030"/>
      <c r="I193" s="1030"/>
      <c r="J193" s="1097"/>
      <c r="K193" s="1030"/>
      <c r="L193" s="1030"/>
      <c r="M193" s="1030"/>
      <c r="N193" s="1030"/>
      <c r="O193" s="1030"/>
      <c r="P193" s="1030"/>
      <c r="Q193" s="1030"/>
      <c r="R193" s="1030"/>
      <c r="S193" s="1030"/>
      <c r="T193" s="1030"/>
      <c r="U193" s="1030"/>
      <c r="V193" s="1030"/>
      <c r="W193" s="1030"/>
      <c r="X193" s="1030"/>
      <c r="Y193" s="1030"/>
      <c r="Z193" s="1030"/>
      <c r="AA193" s="1030"/>
      <c r="AB193" s="1030"/>
    </row>
    <row r="194" spans="1:28">
      <c r="A194" s="1030"/>
      <c r="B194" s="1030"/>
      <c r="C194" s="1030"/>
      <c r="D194" s="1030"/>
      <c r="E194" s="1030"/>
      <c r="F194" s="1030"/>
      <c r="G194" s="1030"/>
      <c r="H194" s="1030"/>
      <c r="I194" s="1030"/>
      <c r="J194" s="1097"/>
      <c r="K194" s="1030"/>
      <c r="L194" s="1030"/>
      <c r="M194" s="1030"/>
      <c r="N194" s="1030"/>
      <c r="O194" s="1030"/>
      <c r="P194" s="1030"/>
      <c r="Q194" s="1030"/>
      <c r="R194" s="1030"/>
      <c r="S194" s="1030"/>
      <c r="T194" s="1030"/>
      <c r="U194" s="1030"/>
      <c r="V194" s="1030"/>
      <c r="W194" s="1030"/>
      <c r="X194" s="1030"/>
      <c r="Y194" s="1030"/>
      <c r="Z194" s="1030"/>
      <c r="AA194" s="1030"/>
      <c r="AB194" s="1030"/>
    </row>
    <row r="195" spans="1:28">
      <c r="A195" s="1030"/>
      <c r="B195" s="1030"/>
      <c r="C195" s="1030"/>
      <c r="D195" s="1030"/>
      <c r="E195" s="1030"/>
      <c r="F195" s="1030"/>
      <c r="G195" s="1030"/>
      <c r="H195" s="1030"/>
      <c r="I195" s="1030"/>
      <c r="J195" s="1097"/>
      <c r="K195" s="1030"/>
      <c r="L195" s="1030"/>
      <c r="M195" s="1030"/>
      <c r="N195" s="1030"/>
      <c r="O195" s="1030"/>
      <c r="P195" s="1030"/>
      <c r="Q195" s="1030"/>
      <c r="R195" s="1030"/>
      <c r="S195" s="1030"/>
      <c r="T195" s="1030"/>
      <c r="U195" s="1030"/>
      <c r="V195" s="1030"/>
      <c r="W195" s="1030"/>
      <c r="X195" s="1030"/>
      <c r="Y195" s="1030"/>
      <c r="Z195" s="1030"/>
      <c r="AA195" s="1030"/>
      <c r="AB195" s="1030"/>
    </row>
    <row r="196" spans="1:28">
      <c r="A196" s="1030"/>
      <c r="B196" s="1030"/>
      <c r="C196" s="1030"/>
      <c r="D196" s="1030"/>
      <c r="E196" s="1030"/>
      <c r="F196" s="1030"/>
      <c r="G196" s="1030"/>
      <c r="H196" s="1030"/>
      <c r="I196" s="1030"/>
      <c r="J196" s="1097"/>
      <c r="K196" s="1030"/>
      <c r="L196" s="1030"/>
      <c r="M196" s="1030"/>
      <c r="N196" s="1030"/>
      <c r="O196" s="1030"/>
      <c r="P196" s="1030"/>
      <c r="Q196" s="1030"/>
      <c r="R196" s="1030"/>
      <c r="S196" s="1030"/>
      <c r="T196" s="1030"/>
      <c r="U196" s="1030"/>
      <c r="V196" s="1030"/>
      <c r="W196" s="1030"/>
      <c r="X196" s="1030"/>
      <c r="Y196" s="1030"/>
      <c r="Z196" s="1030"/>
      <c r="AA196" s="1030"/>
      <c r="AB196" s="1030"/>
    </row>
    <row r="197" spans="1:28">
      <c r="A197" s="1030"/>
      <c r="B197" s="1030"/>
      <c r="C197" s="1030"/>
      <c r="D197" s="1030"/>
      <c r="E197" s="1030"/>
      <c r="F197" s="1030"/>
      <c r="G197" s="1030"/>
      <c r="H197" s="1030"/>
      <c r="I197" s="1030"/>
      <c r="J197" s="1097"/>
      <c r="K197" s="1030"/>
      <c r="L197" s="1030"/>
      <c r="M197" s="1030"/>
      <c r="N197" s="1030"/>
      <c r="O197" s="1030"/>
      <c r="P197" s="1030"/>
      <c r="Q197" s="1030"/>
      <c r="R197" s="1030"/>
      <c r="S197" s="1030"/>
      <c r="T197" s="1030"/>
      <c r="U197" s="1030"/>
      <c r="V197" s="1030"/>
      <c r="W197" s="1030"/>
      <c r="X197" s="1030"/>
      <c r="Y197" s="1030"/>
      <c r="Z197" s="1030"/>
      <c r="AA197" s="1030"/>
      <c r="AB197" s="1030"/>
    </row>
    <row r="198" spans="1:28">
      <c r="A198" s="1030"/>
      <c r="B198" s="1030"/>
      <c r="C198" s="1030"/>
      <c r="D198" s="1030"/>
      <c r="E198" s="1030"/>
      <c r="F198" s="1030"/>
      <c r="G198" s="1030"/>
      <c r="H198" s="1030"/>
      <c r="I198" s="1030"/>
      <c r="J198" s="1097"/>
      <c r="K198" s="1030"/>
      <c r="L198" s="1030"/>
      <c r="M198" s="1030"/>
      <c r="N198" s="1030"/>
      <c r="O198" s="1030"/>
      <c r="P198" s="1030"/>
      <c r="Q198" s="1030"/>
      <c r="R198" s="1030"/>
      <c r="S198" s="1030"/>
      <c r="T198" s="1030"/>
      <c r="U198" s="1030"/>
      <c r="V198" s="1030"/>
      <c r="W198" s="1030"/>
      <c r="X198" s="1030"/>
      <c r="Y198" s="1030"/>
      <c r="Z198" s="1030"/>
      <c r="AA198" s="1030"/>
      <c r="AB198" s="1030"/>
    </row>
    <row r="199" spans="1:28">
      <c r="A199" s="1030"/>
      <c r="B199" s="1030"/>
      <c r="C199" s="1030"/>
      <c r="D199" s="1030"/>
      <c r="E199" s="1030"/>
      <c r="F199" s="1030"/>
      <c r="G199" s="1030"/>
      <c r="H199" s="1030"/>
      <c r="I199" s="1030"/>
      <c r="J199" s="1097"/>
      <c r="K199" s="1030"/>
      <c r="L199" s="1030"/>
      <c r="M199" s="1030"/>
      <c r="N199" s="1030"/>
      <c r="O199" s="1030"/>
      <c r="P199" s="1030"/>
      <c r="Q199" s="1030"/>
      <c r="R199" s="1030"/>
      <c r="S199" s="1030"/>
      <c r="T199" s="1030"/>
      <c r="U199" s="1030"/>
      <c r="V199" s="1030"/>
      <c r="W199" s="1030"/>
      <c r="X199" s="1030"/>
      <c r="Y199" s="1030"/>
      <c r="Z199" s="1030"/>
      <c r="AA199" s="1030"/>
      <c r="AB199" s="1030"/>
    </row>
    <row r="200" spans="1:28">
      <c r="A200" s="1030"/>
      <c r="B200" s="1030"/>
      <c r="C200" s="1030"/>
      <c r="D200" s="1030"/>
      <c r="E200" s="1030"/>
      <c r="F200" s="1030"/>
      <c r="G200" s="1030"/>
      <c r="H200" s="1030"/>
      <c r="I200" s="1030"/>
      <c r="J200" s="1097"/>
      <c r="K200" s="1030"/>
      <c r="L200" s="1030"/>
      <c r="M200" s="1030"/>
      <c r="N200" s="1030"/>
      <c r="O200" s="1030"/>
      <c r="P200" s="1030"/>
      <c r="Q200" s="1030"/>
      <c r="R200" s="1030"/>
      <c r="S200" s="1030"/>
      <c r="T200" s="1030"/>
      <c r="U200" s="1030"/>
      <c r="V200" s="1030"/>
      <c r="W200" s="1030"/>
      <c r="X200" s="1030"/>
      <c r="Y200" s="1030"/>
      <c r="Z200" s="1030"/>
      <c r="AA200" s="1030"/>
      <c r="AB200" s="1030"/>
    </row>
    <row r="201" spans="1:28">
      <c r="A201" s="1030"/>
      <c r="B201" s="1030"/>
      <c r="C201" s="1030"/>
      <c r="D201" s="1030"/>
      <c r="E201" s="1030"/>
      <c r="F201" s="1030"/>
      <c r="G201" s="1030"/>
      <c r="H201" s="1030"/>
      <c r="I201" s="1030"/>
      <c r="J201" s="1097"/>
      <c r="K201" s="1030"/>
      <c r="L201" s="1030"/>
      <c r="M201" s="1030"/>
      <c r="N201" s="1030"/>
      <c r="O201" s="1030"/>
      <c r="P201" s="1030"/>
      <c r="Q201" s="1030"/>
      <c r="R201" s="1030"/>
      <c r="S201" s="1030"/>
      <c r="T201" s="1030"/>
      <c r="U201" s="1030"/>
      <c r="V201" s="1030"/>
      <c r="W201" s="1030"/>
      <c r="X201" s="1030"/>
      <c r="Y201" s="1030"/>
      <c r="Z201" s="1030"/>
      <c r="AA201" s="1030"/>
      <c r="AB201" s="1030"/>
    </row>
    <row r="202" spans="1:28">
      <c r="A202" s="1030"/>
      <c r="B202" s="1030"/>
      <c r="C202" s="1030"/>
      <c r="D202" s="1030"/>
      <c r="E202" s="1030"/>
      <c r="F202" s="1030"/>
      <c r="G202" s="1030"/>
      <c r="H202" s="1030"/>
      <c r="I202" s="1030"/>
      <c r="J202" s="1097"/>
      <c r="K202" s="1030"/>
      <c r="L202" s="1030"/>
      <c r="M202" s="1030"/>
      <c r="N202" s="1030"/>
      <c r="O202" s="1030"/>
      <c r="P202" s="1030"/>
      <c r="Q202" s="1030"/>
      <c r="R202" s="1030"/>
      <c r="S202" s="1030"/>
      <c r="T202" s="1030"/>
      <c r="U202" s="1030"/>
      <c r="V202" s="1030"/>
      <c r="W202" s="1030"/>
      <c r="X202" s="1030"/>
      <c r="Y202" s="1030"/>
      <c r="Z202" s="1030"/>
      <c r="AA202" s="1030"/>
      <c r="AB202" s="1030"/>
    </row>
    <row r="203" spans="1:28">
      <c r="A203" s="1030"/>
      <c r="B203" s="1030"/>
      <c r="C203" s="1030"/>
      <c r="D203" s="1030"/>
      <c r="E203" s="1030"/>
      <c r="F203" s="1030"/>
      <c r="G203" s="1030"/>
      <c r="H203" s="1030"/>
      <c r="I203" s="1030"/>
      <c r="J203" s="1097"/>
      <c r="K203" s="1030"/>
      <c r="L203" s="1030"/>
      <c r="M203" s="1030"/>
      <c r="N203" s="1030"/>
      <c r="O203" s="1030"/>
      <c r="P203" s="1030"/>
      <c r="Q203" s="1030"/>
      <c r="R203" s="1030"/>
      <c r="S203" s="1030"/>
      <c r="T203" s="1030"/>
      <c r="U203" s="1030"/>
      <c r="V203" s="1030"/>
      <c r="W203" s="1030"/>
      <c r="X203" s="1030"/>
      <c r="Y203" s="1030"/>
      <c r="Z203" s="1030"/>
      <c r="AA203" s="1030"/>
      <c r="AB203" s="1030"/>
    </row>
    <row r="204" spans="1:28">
      <c r="A204" s="1030"/>
      <c r="B204" s="1030"/>
      <c r="C204" s="1030"/>
      <c r="D204" s="1030"/>
      <c r="E204" s="1030"/>
      <c r="F204" s="1030"/>
      <c r="G204" s="1030"/>
      <c r="H204" s="1030"/>
      <c r="I204" s="1030"/>
      <c r="J204" s="1097"/>
      <c r="K204" s="1030"/>
      <c r="L204" s="1030"/>
      <c r="M204" s="1030"/>
      <c r="N204" s="1030"/>
      <c r="O204" s="1030"/>
      <c r="P204" s="1030"/>
      <c r="Q204" s="1030"/>
      <c r="R204" s="1030"/>
      <c r="S204" s="1030"/>
      <c r="T204" s="1030"/>
      <c r="U204" s="1030"/>
      <c r="V204" s="1030"/>
      <c r="W204" s="1030"/>
      <c r="X204" s="1030"/>
      <c r="Y204" s="1030"/>
      <c r="Z204" s="1030"/>
      <c r="AA204" s="1030"/>
      <c r="AB204" s="1030"/>
    </row>
    <row r="205" spans="1:28">
      <c r="A205" s="1030"/>
      <c r="B205" s="1030"/>
      <c r="C205" s="1030"/>
      <c r="D205" s="1030"/>
      <c r="E205" s="1030"/>
      <c r="F205" s="1030"/>
      <c r="G205" s="1030"/>
      <c r="H205" s="1030"/>
      <c r="I205" s="1030"/>
      <c r="J205" s="1097"/>
      <c r="K205" s="1030"/>
      <c r="L205" s="1030"/>
      <c r="M205" s="1030"/>
      <c r="N205" s="1030"/>
      <c r="O205" s="1030"/>
      <c r="P205" s="1030"/>
      <c r="Q205" s="1030"/>
      <c r="R205" s="1030"/>
      <c r="S205" s="1030"/>
      <c r="T205" s="1030"/>
      <c r="U205" s="1030"/>
      <c r="V205" s="1030"/>
      <c r="W205" s="1030"/>
      <c r="X205" s="1030"/>
      <c r="Y205" s="1030"/>
      <c r="Z205" s="1030"/>
      <c r="AA205" s="1030"/>
      <c r="AB205" s="1030"/>
    </row>
    <row r="206" spans="1:28">
      <c r="A206" s="1030"/>
      <c r="B206" s="1030"/>
      <c r="C206" s="1030"/>
      <c r="D206" s="1030"/>
      <c r="E206" s="1030"/>
      <c r="F206" s="1030"/>
      <c r="G206" s="1030"/>
      <c r="H206" s="1030"/>
      <c r="I206" s="1030"/>
      <c r="J206" s="1097"/>
      <c r="K206" s="1030"/>
      <c r="L206" s="1030"/>
      <c r="M206" s="1030"/>
      <c r="N206" s="1030"/>
      <c r="O206" s="1030"/>
      <c r="P206" s="1030"/>
      <c r="Q206" s="1030"/>
      <c r="R206" s="1030"/>
      <c r="S206" s="1030"/>
      <c r="T206" s="1030"/>
      <c r="U206" s="1030"/>
      <c r="V206" s="1030"/>
      <c r="W206" s="1030"/>
      <c r="X206" s="1030"/>
      <c r="Y206" s="1030"/>
      <c r="Z206" s="1030"/>
      <c r="AA206" s="1030"/>
      <c r="AB206" s="1030"/>
    </row>
    <row r="207" spans="1:28">
      <c r="A207" s="1030"/>
      <c r="B207" s="1030"/>
      <c r="C207" s="1030"/>
      <c r="D207" s="1030"/>
      <c r="E207" s="1030"/>
      <c r="F207" s="1030"/>
      <c r="G207" s="1030"/>
      <c r="H207" s="1030"/>
      <c r="I207" s="1030"/>
      <c r="J207" s="1097"/>
      <c r="K207" s="1030"/>
      <c r="L207" s="1030"/>
      <c r="M207" s="1030"/>
      <c r="N207" s="1030"/>
      <c r="O207" s="1030"/>
      <c r="P207" s="1030"/>
      <c r="Q207" s="1030"/>
      <c r="R207" s="1030"/>
      <c r="S207" s="1030"/>
      <c r="T207" s="1030"/>
      <c r="U207" s="1030"/>
      <c r="V207" s="1030"/>
      <c r="W207" s="1030"/>
      <c r="X207" s="1030"/>
      <c r="Y207" s="1030"/>
      <c r="Z207" s="1030"/>
      <c r="AA207" s="1030"/>
      <c r="AB207" s="1030"/>
    </row>
    <row r="208" spans="1:28">
      <c r="A208" s="1030"/>
      <c r="B208" s="1030"/>
      <c r="C208" s="1030"/>
      <c r="D208" s="1030"/>
      <c r="E208" s="1030"/>
      <c r="F208" s="1030"/>
      <c r="G208" s="1030"/>
      <c r="H208" s="1030"/>
      <c r="I208" s="1030"/>
      <c r="J208" s="1097"/>
      <c r="K208" s="1030"/>
      <c r="L208" s="1030"/>
      <c r="M208" s="1030"/>
      <c r="N208" s="1030"/>
      <c r="O208" s="1030"/>
      <c r="P208" s="1030"/>
      <c r="Q208" s="1030"/>
      <c r="R208" s="1030"/>
      <c r="S208" s="1030"/>
      <c r="T208" s="1030"/>
      <c r="U208" s="1030"/>
      <c r="V208" s="1030"/>
      <c r="W208" s="1030"/>
      <c r="X208" s="1030"/>
      <c r="Y208" s="1030"/>
      <c r="Z208" s="1030"/>
      <c r="AA208" s="1030"/>
      <c r="AB208" s="1030"/>
    </row>
    <row r="209" spans="1:28">
      <c r="A209" s="1030"/>
      <c r="B209" s="1030"/>
      <c r="C209" s="1030"/>
      <c r="D209" s="1030"/>
      <c r="E209" s="1030"/>
      <c r="F209" s="1030"/>
      <c r="G209" s="1030"/>
      <c r="H209" s="1030"/>
      <c r="I209" s="1030"/>
      <c r="J209" s="1097"/>
      <c r="K209" s="1030"/>
      <c r="L209" s="1030"/>
      <c r="M209" s="1030"/>
      <c r="N209" s="1030"/>
      <c r="O209" s="1030"/>
      <c r="P209" s="1030"/>
      <c r="Q209" s="1030"/>
      <c r="R209" s="1030"/>
      <c r="S209" s="1030"/>
      <c r="T209" s="1030"/>
      <c r="U209" s="1030"/>
      <c r="V209" s="1030"/>
      <c r="W209" s="1030"/>
      <c r="X209" s="1030"/>
      <c r="Y209" s="1030"/>
      <c r="Z209" s="1030"/>
      <c r="AA209" s="1030"/>
      <c r="AB209" s="1030"/>
    </row>
    <row r="210" spans="1:28">
      <c r="A210" s="1030"/>
      <c r="B210" s="1030"/>
      <c r="C210" s="1030"/>
      <c r="D210" s="1030"/>
      <c r="E210" s="1030"/>
      <c r="F210" s="1030"/>
      <c r="G210" s="1030"/>
      <c r="H210" s="1030"/>
      <c r="I210" s="1030"/>
      <c r="J210" s="1097"/>
      <c r="K210" s="1030"/>
      <c r="L210" s="1030"/>
      <c r="M210" s="1030"/>
      <c r="N210" s="1030"/>
      <c r="O210" s="1030"/>
      <c r="P210" s="1030"/>
      <c r="Q210" s="1030"/>
      <c r="R210" s="1030"/>
      <c r="S210" s="1030"/>
      <c r="T210" s="1030"/>
      <c r="U210" s="1030"/>
      <c r="V210" s="1030"/>
      <c r="W210" s="1030"/>
      <c r="X210" s="1030"/>
      <c r="Y210" s="1030"/>
      <c r="Z210" s="1030"/>
      <c r="AA210" s="1030"/>
      <c r="AB210" s="1030"/>
    </row>
    <row r="211" spans="1:28">
      <c r="A211" s="1030"/>
      <c r="B211" s="1030"/>
      <c r="C211" s="1030"/>
      <c r="D211" s="1030"/>
      <c r="E211" s="1030"/>
      <c r="F211" s="1030"/>
      <c r="G211" s="1030"/>
      <c r="H211" s="1030"/>
      <c r="I211" s="1030"/>
      <c r="J211" s="1097"/>
      <c r="K211" s="1030"/>
      <c r="L211" s="1030"/>
      <c r="M211" s="1030"/>
      <c r="N211" s="1030"/>
      <c r="O211" s="1030"/>
      <c r="P211" s="1030"/>
      <c r="Q211" s="1030"/>
      <c r="R211" s="1030"/>
      <c r="S211" s="1030"/>
      <c r="T211" s="1030"/>
      <c r="U211" s="1030"/>
      <c r="V211" s="1030"/>
      <c r="W211" s="1030"/>
      <c r="X211" s="1030"/>
      <c r="Y211" s="1030"/>
      <c r="Z211" s="1030"/>
      <c r="AA211" s="1030"/>
      <c r="AB211" s="1030"/>
    </row>
    <row r="212" spans="1:28">
      <c r="A212" s="1030"/>
      <c r="B212" s="1030"/>
      <c r="C212" s="1030"/>
      <c r="D212" s="1030"/>
      <c r="E212" s="1030"/>
      <c r="F212" s="1030"/>
      <c r="G212" s="1030"/>
      <c r="H212" s="1030"/>
      <c r="I212" s="1030"/>
      <c r="J212" s="1097"/>
      <c r="K212" s="1030"/>
      <c r="L212" s="1030"/>
      <c r="M212" s="1030"/>
      <c r="N212" s="1030"/>
      <c r="O212" s="1030"/>
      <c r="P212" s="1030"/>
      <c r="Q212" s="1030"/>
      <c r="R212" s="1030"/>
      <c r="S212" s="1030"/>
      <c r="T212" s="1030"/>
      <c r="U212" s="1030"/>
      <c r="V212" s="1030"/>
      <c r="W212" s="1030"/>
      <c r="X212" s="1030"/>
      <c r="Y212" s="1030"/>
      <c r="Z212" s="1030"/>
      <c r="AA212" s="1030"/>
      <c r="AB212" s="1030"/>
    </row>
    <row r="213" spans="1:28">
      <c r="A213" s="1030"/>
      <c r="B213" s="1030"/>
      <c r="C213" s="1030"/>
      <c r="D213" s="1030"/>
      <c r="E213" s="1030"/>
      <c r="F213" s="1030"/>
      <c r="G213" s="1030"/>
      <c r="H213" s="1030"/>
      <c r="I213" s="1030"/>
      <c r="J213" s="1097"/>
      <c r="K213" s="1030"/>
      <c r="L213" s="1030"/>
      <c r="M213" s="1030"/>
      <c r="N213" s="1030"/>
      <c r="O213" s="1030"/>
      <c r="P213" s="1030"/>
      <c r="Q213" s="1030"/>
      <c r="R213" s="1030"/>
      <c r="S213" s="1030"/>
      <c r="T213" s="1030"/>
      <c r="U213" s="1030"/>
      <c r="V213" s="1030"/>
      <c r="W213" s="1030"/>
      <c r="X213" s="1030"/>
      <c r="Y213" s="1030"/>
      <c r="Z213" s="1030"/>
      <c r="AA213" s="1030"/>
      <c r="AB213" s="1030"/>
    </row>
    <row r="214" spans="1:28">
      <c r="A214" s="1030"/>
      <c r="B214" s="1030"/>
      <c r="C214" s="1030"/>
      <c r="D214" s="1030"/>
      <c r="E214" s="1030"/>
      <c r="F214" s="1030"/>
      <c r="G214" s="1030"/>
      <c r="H214" s="1030"/>
      <c r="I214" s="1030"/>
      <c r="J214" s="1097"/>
      <c r="K214" s="1030"/>
      <c r="L214" s="1030"/>
      <c r="M214" s="1030"/>
      <c r="N214" s="1030"/>
      <c r="O214" s="1030"/>
      <c r="P214" s="1030"/>
      <c r="Q214" s="1030"/>
      <c r="R214" s="1030"/>
      <c r="S214" s="1030"/>
      <c r="T214" s="1030"/>
      <c r="U214" s="1030"/>
      <c r="V214" s="1030"/>
      <c r="W214" s="1030"/>
      <c r="X214" s="1030"/>
      <c r="Y214" s="1030"/>
      <c r="Z214" s="1030"/>
      <c r="AA214" s="1030"/>
      <c r="AB214" s="1030"/>
    </row>
    <row r="215" spans="1:28">
      <c r="A215" s="1030"/>
      <c r="B215" s="1030"/>
      <c r="C215" s="1030"/>
      <c r="D215" s="1030"/>
      <c r="E215" s="1030"/>
      <c r="F215" s="1030"/>
      <c r="G215" s="1030"/>
      <c r="H215" s="1030"/>
      <c r="I215" s="1030"/>
      <c r="J215" s="1097"/>
      <c r="K215" s="1030"/>
      <c r="L215" s="1030"/>
      <c r="M215" s="1030"/>
      <c r="N215" s="1030"/>
      <c r="O215" s="1030"/>
      <c r="P215" s="1030"/>
      <c r="Q215" s="1030"/>
      <c r="R215" s="1030"/>
      <c r="S215" s="1030"/>
      <c r="T215" s="1030"/>
      <c r="U215" s="1030"/>
      <c r="V215" s="1030"/>
      <c r="W215" s="1030"/>
      <c r="X215" s="1030"/>
      <c r="Y215" s="1030"/>
      <c r="Z215" s="1030"/>
      <c r="AA215" s="1030"/>
      <c r="AB215" s="1030"/>
    </row>
    <row r="216" spans="1:28">
      <c r="A216" s="1030"/>
      <c r="B216" s="1030"/>
      <c r="C216" s="1030"/>
      <c r="D216" s="1030"/>
      <c r="E216" s="1030"/>
      <c r="F216" s="1030"/>
      <c r="G216" s="1030"/>
      <c r="H216" s="1030"/>
      <c r="I216" s="1030"/>
      <c r="J216" s="1097"/>
      <c r="K216" s="1030"/>
      <c r="L216" s="1030"/>
      <c r="M216" s="1030"/>
      <c r="N216" s="1030"/>
      <c r="O216" s="1030"/>
      <c r="P216" s="1030"/>
      <c r="Q216" s="1030"/>
      <c r="R216" s="1030"/>
      <c r="S216" s="1030"/>
      <c r="T216" s="1030"/>
      <c r="U216" s="1030"/>
      <c r="V216" s="1030"/>
      <c r="W216" s="1030"/>
      <c r="X216" s="1030"/>
      <c r="Y216" s="1030"/>
      <c r="Z216" s="1030"/>
      <c r="AA216" s="1030"/>
      <c r="AB216" s="1030"/>
    </row>
    <row r="217" spans="1:28">
      <c r="A217" s="1030"/>
      <c r="B217" s="1030"/>
      <c r="C217" s="1030"/>
      <c r="D217" s="1030"/>
      <c r="E217" s="1030"/>
      <c r="F217" s="1030"/>
      <c r="G217" s="1030"/>
      <c r="H217" s="1030"/>
      <c r="I217" s="1030"/>
      <c r="J217" s="1097"/>
      <c r="K217" s="1030"/>
      <c r="L217" s="1030"/>
      <c r="M217" s="1030"/>
      <c r="N217" s="1030"/>
      <c r="O217" s="1030"/>
      <c r="P217" s="1030"/>
      <c r="Q217" s="1030"/>
      <c r="R217" s="1030"/>
      <c r="S217" s="1030"/>
      <c r="T217" s="1030"/>
      <c r="U217" s="1030"/>
      <c r="V217" s="1030"/>
      <c r="W217" s="1030"/>
      <c r="X217" s="1030"/>
      <c r="Y217" s="1030"/>
      <c r="Z217" s="1030"/>
      <c r="AA217" s="1030"/>
      <c r="AB217" s="1030"/>
    </row>
    <row r="218" spans="1:28">
      <c r="A218" s="1030"/>
      <c r="B218" s="1030"/>
      <c r="C218" s="1030"/>
      <c r="D218" s="1030"/>
      <c r="E218" s="1030"/>
      <c r="F218" s="1030"/>
      <c r="G218" s="1030"/>
      <c r="H218" s="1030"/>
      <c r="I218" s="1030"/>
      <c r="J218" s="1097"/>
      <c r="K218" s="1030"/>
      <c r="L218" s="1030"/>
      <c r="M218" s="1030"/>
      <c r="N218" s="1030"/>
      <c r="O218" s="1030"/>
      <c r="P218" s="1030"/>
      <c r="Q218" s="1030"/>
      <c r="R218" s="1030"/>
      <c r="S218" s="1030"/>
      <c r="T218" s="1030"/>
      <c r="U218" s="1030"/>
      <c r="V218" s="1030"/>
      <c r="W218" s="1030"/>
      <c r="X218" s="1030"/>
      <c r="Y218" s="1030"/>
      <c r="Z218" s="1030"/>
      <c r="AA218" s="1030"/>
      <c r="AB218" s="1030"/>
    </row>
    <row r="219" spans="1:28">
      <c r="A219" s="1030"/>
      <c r="B219" s="1030"/>
      <c r="C219" s="1030"/>
      <c r="D219" s="1030"/>
      <c r="E219" s="1030"/>
      <c r="F219" s="1030"/>
      <c r="G219" s="1030"/>
      <c r="H219" s="1030"/>
      <c r="I219" s="1030"/>
      <c r="J219" s="1097"/>
      <c r="K219" s="1030"/>
      <c r="L219" s="1030"/>
      <c r="M219" s="1030"/>
      <c r="N219" s="1030"/>
      <c r="O219" s="1030"/>
      <c r="P219" s="1030"/>
      <c r="Q219" s="1030"/>
      <c r="R219" s="1030"/>
      <c r="S219" s="1030"/>
      <c r="T219" s="1030"/>
      <c r="U219" s="1030"/>
      <c r="V219" s="1030"/>
      <c r="W219" s="1030"/>
      <c r="X219" s="1030"/>
      <c r="Y219" s="1030"/>
      <c r="Z219" s="1030"/>
      <c r="AA219" s="1030"/>
      <c r="AB219" s="1030"/>
    </row>
    <row r="220" spans="1:28">
      <c r="A220" s="1030"/>
      <c r="B220" s="1030"/>
      <c r="C220" s="1030"/>
      <c r="D220" s="1030"/>
      <c r="E220" s="1030"/>
      <c r="F220" s="1030"/>
      <c r="G220" s="1030"/>
      <c r="H220" s="1030"/>
      <c r="I220" s="1030"/>
      <c r="J220" s="1097"/>
      <c r="K220" s="1030"/>
      <c r="L220" s="1030"/>
      <c r="M220" s="1030"/>
      <c r="N220" s="1030"/>
      <c r="O220" s="1030"/>
      <c r="P220" s="1030"/>
      <c r="Q220" s="1030"/>
      <c r="R220" s="1030"/>
      <c r="S220" s="1030"/>
      <c r="T220" s="1030"/>
      <c r="U220" s="1030"/>
      <c r="V220" s="1030"/>
      <c r="W220" s="1030"/>
      <c r="X220" s="1030"/>
      <c r="Y220" s="1030"/>
      <c r="Z220" s="1030"/>
      <c r="AA220" s="1030"/>
      <c r="AB220" s="1030"/>
    </row>
    <row r="221" spans="1:28">
      <c r="A221" s="1030"/>
      <c r="B221" s="1030"/>
      <c r="C221" s="1030"/>
      <c r="D221" s="1030"/>
      <c r="E221" s="1030"/>
      <c r="F221" s="1030"/>
      <c r="G221" s="1030"/>
      <c r="H221" s="1030"/>
      <c r="I221" s="1030"/>
      <c r="J221" s="1097"/>
      <c r="K221" s="1030"/>
      <c r="L221" s="1030"/>
      <c r="M221" s="1030"/>
      <c r="N221" s="1030"/>
      <c r="O221" s="1030"/>
      <c r="P221" s="1030"/>
      <c r="Q221" s="1030"/>
      <c r="R221" s="1030"/>
      <c r="S221" s="1030"/>
      <c r="T221" s="1030"/>
      <c r="U221" s="1030"/>
      <c r="V221" s="1030"/>
      <c r="W221" s="1030"/>
      <c r="X221" s="1030"/>
      <c r="Y221" s="1030"/>
      <c r="Z221" s="1030"/>
      <c r="AA221" s="1030"/>
      <c r="AB221" s="1030"/>
    </row>
    <row r="222" spans="1:28">
      <c r="A222" s="1030"/>
      <c r="B222" s="1030"/>
      <c r="C222" s="1030"/>
      <c r="D222" s="1030"/>
      <c r="E222" s="1030"/>
      <c r="F222" s="1030"/>
      <c r="G222" s="1030"/>
      <c r="H222" s="1030"/>
      <c r="I222" s="1030"/>
      <c r="J222" s="1097"/>
      <c r="K222" s="1030"/>
      <c r="L222" s="1030"/>
      <c r="M222" s="1030"/>
      <c r="N222" s="1030"/>
      <c r="O222" s="1030"/>
      <c r="P222" s="1030"/>
      <c r="Q222" s="1030"/>
      <c r="R222" s="1030"/>
      <c r="S222" s="1030"/>
      <c r="T222" s="1030"/>
      <c r="U222" s="1030"/>
      <c r="V222" s="1030"/>
      <c r="W222" s="1030"/>
      <c r="X222" s="1030"/>
      <c r="Y222" s="1030"/>
      <c r="Z222" s="1030"/>
      <c r="AA222" s="1030"/>
      <c r="AB222" s="1030"/>
    </row>
    <row r="223" spans="1:28">
      <c r="A223" s="1030"/>
      <c r="B223" s="1030"/>
      <c r="C223" s="1030"/>
      <c r="D223" s="1030"/>
      <c r="E223" s="1030"/>
      <c r="F223" s="1030"/>
      <c r="G223" s="1030"/>
      <c r="H223" s="1030"/>
      <c r="I223" s="1030"/>
      <c r="J223" s="1097"/>
      <c r="K223" s="1030"/>
      <c r="L223" s="1030"/>
      <c r="M223" s="1030"/>
      <c r="N223" s="1030"/>
      <c r="O223" s="1030"/>
      <c r="P223" s="1030"/>
      <c r="Q223" s="1030"/>
      <c r="R223" s="1030"/>
      <c r="S223" s="1030"/>
      <c r="T223" s="1030"/>
      <c r="U223" s="1030"/>
      <c r="V223" s="1030"/>
      <c r="W223" s="1030"/>
      <c r="X223" s="1030"/>
      <c r="Y223" s="1030"/>
      <c r="Z223" s="1030"/>
      <c r="AA223" s="1030"/>
      <c r="AB223" s="1030"/>
    </row>
    <row r="224" spans="1:28">
      <c r="A224" s="1030"/>
      <c r="B224" s="1030"/>
      <c r="C224" s="1030"/>
      <c r="D224" s="1030"/>
      <c r="E224" s="1030"/>
      <c r="F224" s="1030"/>
      <c r="G224" s="1030"/>
      <c r="H224" s="1030"/>
      <c r="I224" s="1030"/>
      <c r="J224" s="1097"/>
      <c r="K224" s="1030"/>
      <c r="L224" s="1030"/>
      <c r="M224" s="1030"/>
      <c r="N224" s="1030"/>
      <c r="O224" s="1030"/>
      <c r="P224" s="1030"/>
      <c r="Q224" s="1030"/>
      <c r="R224" s="1030"/>
      <c r="S224" s="1030"/>
      <c r="T224" s="1030"/>
      <c r="U224" s="1030"/>
      <c r="V224" s="1030"/>
      <c r="W224" s="1030"/>
      <c r="X224" s="1030"/>
      <c r="Y224" s="1030"/>
      <c r="Z224" s="1030"/>
      <c r="AA224" s="1030"/>
      <c r="AB224" s="1030"/>
    </row>
    <row r="225" spans="1:28">
      <c r="A225" s="1030"/>
      <c r="B225" s="1030"/>
      <c r="C225" s="1030"/>
      <c r="D225" s="1030"/>
      <c r="E225" s="1030"/>
      <c r="F225" s="1030"/>
      <c r="G225" s="1030"/>
      <c r="H225" s="1030"/>
      <c r="I225" s="1030"/>
      <c r="J225" s="1097"/>
      <c r="K225" s="1030"/>
      <c r="L225" s="1030"/>
      <c r="M225" s="1030"/>
      <c r="N225" s="1030"/>
      <c r="O225" s="1030"/>
      <c r="P225" s="1030"/>
      <c r="Q225" s="1030"/>
      <c r="R225" s="1030"/>
      <c r="S225" s="1030"/>
      <c r="T225" s="1030"/>
      <c r="U225" s="1030"/>
      <c r="V225" s="1030"/>
      <c r="W225" s="1030"/>
      <c r="X225" s="1030"/>
      <c r="Y225" s="1030"/>
      <c r="Z225" s="1030"/>
      <c r="AA225" s="1030"/>
      <c r="AB225" s="1030"/>
    </row>
    <row r="226" spans="1:28">
      <c r="A226" s="1030"/>
      <c r="B226" s="1030"/>
      <c r="C226" s="1030"/>
      <c r="D226" s="1030"/>
      <c r="E226" s="1030"/>
      <c r="F226" s="1030"/>
      <c r="G226" s="1030"/>
      <c r="H226" s="1030"/>
      <c r="I226" s="1030"/>
      <c r="J226" s="1097"/>
      <c r="K226" s="1030"/>
      <c r="L226" s="1030"/>
      <c r="M226" s="1030"/>
      <c r="N226" s="1030"/>
      <c r="O226" s="1030"/>
      <c r="P226" s="1030"/>
      <c r="Q226" s="1030"/>
      <c r="R226" s="1030"/>
      <c r="S226" s="1030"/>
      <c r="T226" s="1030"/>
      <c r="U226" s="1030"/>
      <c r="V226" s="1030"/>
      <c r="W226" s="1030"/>
      <c r="X226" s="1030"/>
      <c r="Y226" s="1030"/>
      <c r="Z226" s="1030"/>
      <c r="AA226" s="1030"/>
      <c r="AB226" s="1030"/>
    </row>
    <row r="227" spans="1:28">
      <c r="A227" s="1030"/>
      <c r="B227" s="1030"/>
      <c r="C227" s="1030"/>
      <c r="D227" s="1030"/>
      <c r="E227" s="1030"/>
      <c r="F227" s="1030"/>
      <c r="G227" s="1030"/>
      <c r="H227" s="1030"/>
      <c r="I227" s="1030"/>
      <c r="J227" s="1097"/>
      <c r="K227" s="1030"/>
      <c r="L227" s="1030"/>
      <c r="M227" s="1030"/>
      <c r="N227" s="1030"/>
      <c r="O227" s="1030"/>
      <c r="P227" s="1030"/>
      <c r="Q227" s="1030"/>
      <c r="R227" s="1030"/>
      <c r="S227" s="1030"/>
      <c r="T227" s="1030"/>
      <c r="U227" s="1030"/>
      <c r="V227" s="1030"/>
      <c r="W227" s="1030"/>
      <c r="X227" s="1030"/>
      <c r="Y227" s="1030"/>
      <c r="Z227" s="1030"/>
      <c r="AA227" s="1030"/>
      <c r="AB227" s="1030"/>
    </row>
    <row r="228" spans="1:28">
      <c r="A228" s="1030"/>
      <c r="B228" s="1030"/>
      <c r="C228" s="1030"/>
      <c r="D228" s="1030"/>
      <c r="E228" s="1030"/>
      <c r="F228" s="1030"/>
      <c r="G228" s="1030"/>
      <c r="H228" s="1030"/>
      <c r="I228" s="1030"/>
      <c r="J228" s="1097"/>
      <c r="K228" s="1030"/>
      <c r="L228" s="1030"/>
      <c r="M228" s="1030"/>
      <c r="N228" s="1030"/>
      <c r="O228" s="1030"/>
      <c r="P228" s="1030"/>
      <c r="Q228" s="1030"/>
      <c r="R228" s="1030"/>
      <c r="S228" s="1030"/>
      <c r="T228" s="1030"/>
      <c r="U228" s="1030"/>
      <c r="V228" s="1030"/>
      <c r="W228" s="1030"/>
      <c r="X228" s="1030"/>
      <c r="Y228" s="1030"/>
      <c r="Z228" s="1030"/>
      <c r="AA228" s="1030"/>
      <c r="AB228" s="1030"/>
    </row>
    <row r="229" spans="1:28">
      <c r="A229" s="1030"/>
      <c r="B229" s="1030"/>
      <c r="C229" s="1030"/>
      <c r="D229" s="1030"/>
      <c r="E229" s="1030"/>
      <c r="F229" s="1030"/>
      <c r="G229" s="1030"/>
      <c r="H229" s="1030"/>
      <c r="I229" s="1030"/>
      <c r="J229" s="1097"/>
      <c r="K229" s="1030"/>
      <c r="L229" s="1030"/>
      <c r="M229" s="1030"/>
      <c r="N229" s="1030"/>
      <c r="O229" s="1030"/>
      <c r="P229" s="1030"/>
      <c r="Q229" s="1030"/>
      <c r="R229" s="1030"/>
      <c r="S229" s="1030"/>
      <c r="T229" s="1030"/>
      <c r="U229" s="1030"/>
      <c r="V229" s="1030"/>
      <c r="W229" s="1030"/>
      <c r="X229" s="1030"/>
      <c r="Y229" s="1030"/>
      <c r="Z229" s="1030"/>
      <c r="AA229" s="1030"/>
      <c r="AB229" s="1030"/>
    </row>
    <row r="230" spans="1:28">
      <c r="A230" s="1030"/>
      <c r="B230" s="1030"/>
      <c r="C230" s="1030"/>
      <c r="D230" s="1030"/>
      <c r="E230" s="1030"/>
      <c r="F230" s="1030"/>
      <c r="G230" s="1030"/>
      <c r="H230" s="1030"/>
      <c r="I230" s="1030"/>
      <c r="J230" s="1097"/>
      <c r="K230" s="1030"/>
      <c r="L230" s="1030"/>
      <c r="M230" s="1030"/>
      <c r="N230" s="1030"/>
      <c r="O230" s="1030"/>
      <c r="P230" s="1030"/>
      <c r="Q230" s="1030"/>
      <c r="R230" s="1030"/>
      <c r="S230" s="1030"/>
      <c r="T230" s="1030"/>
      <c r="U230" s="1030"/>
      <c r="V230" s="1030"/>
      <c r="W230" s="1030"/>
      <c r="X230" s="1030"/>
      <c r="Y230" s="1030"/>
      <c r="Z230" s="1030"/>
      <c r="AA230" s="1030"/>
      <c r="AB230" s="1030"/>
    </row>
    <row r="231" spans="1:28">
      <c r="A231" s="1030"/>
      <c r="B231" s="1030"/>
      <c r="C231" s="1030"/>
      <c r="D231" s="1030"/>
      <c r="E231" s="1030"/>
      <c r="F231" s="1030"/>
      <c r="G231" s="1030"/>
      <c r="H231" s="1030"/>
      <c r="I231" s="1030"/>
      <c r="J231" s="1097"/>
      <c r="K231" s="1030"/>
      <c r="L231" s="1030"/>
      <c r="M231" s="1030"/>
      <c r="N231" s="1030"/>
      <c r="O231" s="1030"/>
      <c r="P231" s="1030"/>
      <c r="Q231" s="1030"/>
      <c r="R231" s="1030"/>
      <c r="S231" s="1030"/>
      <c r="T231" s="1030"/>
      <c r="U231" s="1030"/>
      <c r="V231" s="1030"/>
      <c r="W231" s="1030"/>
      <c r="X231" s="1030"/>
      <c r="Y231" s="1030"/>
      <c r="Z231" s="1030"/>
      <c r="AA231" s="1030"/>
      <c r="AB231" s="1030"/>
    </row>
    <row r="232" spans="1:28">
      <c r="A232" s="1030"/>
      <c r="B232" s="1030"/>
      <c r="C232" s="1030"/>
      <c r="D232" s="1030"/>
      <c r="E232" s="1030"/>
      <c r="F232" s="1030"/>
      <c r="G232" s="1030"/>
      <c r="H232" s="1030"/>
      <c r="I232" s="1030"/>
      <c r="J232" s="1097"/>
      <c r="K232" s="1030"/>
      <c r="L232" s="1030"/>
      <c r="M232" s="1030"/>
      <c r="N232" s="1030"/>
      <c r="O232" s="1030"/>
      <c r="P232" s="1030"/>
      <c r="Q232" s="1030"/>
      <c r="R232" s="1030"/>
      <c r="S232" s="1030"/>
      <c r="T232" s="1030"/>
      <c r="U232" s="1030"/>
      <c r="V232" s="1030"/>
      <c r="W232" s="1030"/>
      <c r="X232" s="1030"/>
      <c r="Y232" s="1030"/>
      <c r="Z232" s="1030"/>
      <c r="AA232" s="1030"/>
      <c r="AB232" s="1030"/>
    </row>
    <row r="233" spans="1:28">
      <c r="A233" s="1030"/>
      <c r="B233" s="1030"/>
      <c r="C233" s="1030"/>
      <c r="D233" s="1030"/>
      <c r="E233" s="1030"/>
      <c r="F233" s="1030"/>
      <c r="G233" s="1030"/>
      <c r="H233" s="1030"/>
      <c r="I233" s="1030"/>
      <c r="J233" s="1097"/>
      <c r="K233" s="1030"/>
      <c r="L233" s="1030"/>
      <c r="M233" s="1030"/>
      <c r="N233" s="1030"/>
      <c r="O233" s="1030"/>
      <c r="P233" s="1030"/>
      <c r="Q233" s="1030"/>
      <c r="R233" s="1030"/>
      <c r="S233" s="1030"/>
      <c r="T233" s="1030"/>
      <c r="U233" s="1030"/>
      <c r="V233" s="1030"/>
      <c r="W233" s="1030"/>
      <c r="X233" s="1030"/>
      <c r="Y233" s="1030"/>
      <c r="Z233" s="1030"/>
      <c r="AA233" s="1030"/>
      <c r="AB233" s="1030"/>
    </row>
    <row r="234" spans="1:28">
      <c r="A234" s="1030"/>
      <c r="B234" s="1030"/>
      <c r="C234" s="1030"/>
      <c r="D234" s="1030"/>
      <c r="E234" s="1030"/>
      <c r="F234" s="1030"/>
      <c r="G234" s="1030"/>
      <c r="H234" s="1030"/>
      <c r="I234" s="1030"/>
      <c r="J234" s="1097"/>
      <c r="K234" s="1030"/>
      <c r="L234" s="1030"/>
      <c r="M234" s="1030"/>
      <c r="N234" s="1030"/>
      <c r="O234" s="1030"/>
      <c r="P234" s="1030"/>
      <c r="Q234" s="1030"/>
      <c r="R234" s="1030"/>
      <c r="S234" s="1030"/>
      <c r="T234" s="1030"/>
      <c r="U234" s="1030"/>
      <c r="V234" s="1030"/>
      <c r="W234" s="1030"/>
      <c r="X234" s="1030"/>
      <c r="Y234" s="1030"/>
      <c r="Z234" s="1030"/>
      <c r="AA234" s="1030"/>
      <c r="AB234" s="1030"/>
    </row>
    <row r="235" spans="1:28">
      <c r="A235" s="1030"/>
      <c r="B235" s="1030"/>
      <c r="C235" s="1030"/>
      <c r="D235" s="1030"/>
      <c r="E235" s="1030"/>
      <c r="F235" s="1030"/>
      <c r="G235" s="1030"/>
      <c r="H235" s="1030"/>
      <c r="I235" s="1030"/>
      <c r="J235" s="1097"/>
      <c r="K235" s="1030"/>
      <c r="L235" s="1030"/>
      <c r="M235" s="1030"/>
      <c r="N235" s="1030"/>
      <c r="O235" s="1030"/>
      <c r="P235" s="1030"/>
      <c r="Q235" s="1030"/>
      <c r="R235" s="1030"/>
      <c r="S235" s="1030"/>
      <c r="T235" s="1030"/>
      <c r="U235" s="1030"/>
      <c r="V235" s="1030"/>
      <c r="W235" s="1030"/>
      <c r="X235" s="1030"/>
      <c r="Y235" s="1030"/>
      <c r="Z235" s="1030"/>
      <c r="AA235" s="1030"/>
      <c r="AB235" s="1030"/>
    </row>
    <row r="236" spans="1:28">
      <c r="A236" s="1030"/>
      <c r="B236" s="1030"/>
      <c r="C236" s="1030"/>
      <c r="D236" s="1030"/>
      <c r="E236" s="1030"/>
      <c r="F236" s="1030"/>
      <c r="G236" s="1030"/>
      <c r="H236" s="1030"/>
      <c r="I236" s="1030"/>
      <c r="J236" s="1097"/>
      <c r="K236" s="1030"/>
      <c r="L236" s="1030"/>
      <c r="M236" s="1030"/>
      <c r="N236" s="1030"/>
      <c r="O236" s="1030"/>
      <c r="P236" s="1030"/>
      <c r="Q236" s="1030"/>
      <c r="R236" s="1030"/>
      <c r="S236" s="1030"/>
      <c r="T236" s="1030"/>
      <c r="U236" s="1030"/>
      <c r="V236" s="1030"/>
      <c r="W236" s="1030"/>
      <c r="X236" s="1030"/>
      <c r="Y236" s="1030"/>
      <c r="Z236" s="1030"/>
      <c r="AA236" s="1030"/>
      <c r="AB236" s="1030"/>
    </row>
    <row r="237" spans="1:28">
      <c r="A237" s="1030"/>
      <c r="B237" s="1030"/>
      <c r="C237" s="1030"/>
      <c r="D237" s="1030"/>
      <c r="E237" s="1030"/>
      <c r="F237" s="1030"/>
      <c r="G237" s="1030"/>
      <c r="H237" s="1030"/>
      <c r="I237" s="1030"/>
      <c r="J237" s="1097"/>
      <c r="K237" s="1030"/>
      <c r="L237" s="1030"/>
      <c r="M237" s="1030"/>
      <c r="N237" s="1030"/>
      <c r="O237" s="1030"/>
      <c r="P237" s="1030"/>
      <c r="Q237" s="1030"/>
      <c r="R237" s="1030"/>
      <c r="S237" s="1030"/>
      <c r="T237" s="1030"/>
      <c r="U237" s="1030"/>
      <c r="V237" s="1030"/>
      <c r="W237" s="1030"/>
      <c r="X237" s="1030"/>
      <c r="Y237" s="1030"/>
      <c r="Z237" s="1030"/>
      <c r="AA237" s="1030"/>
      <c r="AB237" s="1030"/>
    </row>
    <row r="238" spans="1:28">
      <c r="A238" s="1030"/>
      <c r="B238" s="1030"/>
      <c r="C238" s="1030"/>
      <c r="D238" s="1030"/>
      <c r="E238" s="1030"/>
      <c r="F238" s="1030"/>
      <c r="G238" s="1030"/>
      <c r="H238" s="1030"/>
      <c r="I238" s="1030"/>
      <c r="J238" s="1097"/>
      <c r="K238" s="1030"/>
      <c r="L238" s="1030"/>
      <c r="M238" s="1030"/>
      <c r="N238" s="1030"/>
      <c r="O238" s="1030"/>
      <c r="P238" s="1030"/>
      <c r="Q238" s="1030"/>
      <c r="R238" s="1030"/>
      <c r="S238" s="1030"/>
      <c r="T238" s="1030"/>
      <c r="U238" s="1030"/>
      <c r="V238" s="1030"/>
      <c r="W238" s="1030"/>
      <c r="X238" s="1030"/>
      <c r="Y238" s="1030"/>
      <c r="Z238" s="1030"/>
      <c r="AA238" s="1030"/>
      <c r="AB238" s="1030"/>
    </row>
    <row r="239" spans="1:28">
      <c r="A239" s="1030"/>
      <c r="B239" s="1030"/>
      <c r="C239" s="1030"/>
      <c r="D239" s="1030"/>
      <c r="E239" s="1030"/>
      <c r="F239" s="1030"/>
      <c r="G239" s="1030"/>
      <c r="H239" s="1030"/>
      <c r="I239" s="1030"/>
      <c r="J239" s="1097"/>
      <c r="K239" s="1030"/>
      <c r="L239" s="1030"/>
      <c r="M239" s="1030"/>
      <c r="N239" s="1030"/>
      <c r="O239" s="1030"/>
      <c r="P239" s="1030"/>
      <c r="Q239" s="1030"/>
      <c r="R239" s="1030"/>
      <c r="S239" s="1030"/>
      <c r="T239" s="1030"/>
      <c r="U239" s="1030"/>
      <c r="V239" s="1030"/>
      <c r="W239" s="1030"/>
      <c r="X239" s="1030"/>
      <c r="Y239" s="1030"/>
      <c r="Z239" s="1030"/>
      <c r="AA239" s="1030"/>
      <c r="AB239" s="1030"/>
    </row>
    <row r="240" spans="1:28">
      <c r="A240" s="1030"/>
      <c r="B240" s="1030"/>
      <c r="C240" s="1030"/>
      <c r="D240" s="1030"/>
      <c r="E240" s="1030"/>
      <c r="F240" s="1030"/>
      <c r="G240" s="1030"/>
      <c r="H240" s="1030"/>
      <c r="I240" s="1030"/>
      <c r="J240" s="1097"/>
      <c r="K240" s="1030"/>
      <c r="L240" s="1030"/>
      <c r="M240" s="1030"/>
      <c r="N240" s="1030"/>
      <c r="O240" s="1030"/>
      <c r="P240" s="1030"/>
      <c r="Q240" s="1030"/>
      <c r="R240" s="1030"/>
      <c r="S240" s="1030"/>
      <c r="T240" s="1030"/>
      <c r="U240" s="1030"/>
      <c r="V240" s="1030"/>
      <c r="W240" s="1030"/>
      <c r="X240" s="1030"/>
      <c r="Y240" s="1030"/>
      <c r="Z240" s="1030"/>
      <c r="AA240" s="1030"/>
      <c r="AB240" s="1030"/>
    </row>
    <row r="241" spans="1:28">
      <c r="A241" s="1030"/>
      <c r="B241" s="1030"/>
      <c r="C241" s="1030"/>
      <c r="D241" s="1030"/>
      <c r="E241" s="1030"/>
      <c r="F241" s="1030"/>
      <c r="G241" s="1030"/>
      <c r="H241" s="1030"/>
      <c r="I241" s="1030"/>
      <c r="J241" s="1097"/>
      <c r="K241" s="1030"/>
      <c r="L241" s="1030"/>
      <c r="M241" s="1030"/>
      <c r="N241" s="1030"/>
      <c r="O241" s="1030"/>
      <c r="P241" s="1030"/>
      <c r="Q241" s="1030"/>
      <c r="R241" s="1030"/>
      <c r="S241" s="1030"/>
      <c r="T241" s="1030"/>
      <c r="U241" s="1030"/>
      <c r="V241" s="1030"/>
      <c r="W241" s="1030"/>
      <c r="X241" s="1030"/>
      <c r="Y241" s="1030"/>
      <c r="Z241" s="1030"/>
      <c r="AA241" s="1030"/>
      <c r="AB241" s="1030"/>
    </row>
    <row r="242" spans="1:28">
      <c r="A242" s="1030"/>
      <c r="B242" s="1030"/>
      <c r="C242" s="1030"/>
      <c r="D242" s="1030"/>
      <c r="E242" s="1030"/>
      <c r="F242" s="1030"/>
      <c r="G242" s="1030"/>
      <c r="H242" s="1030"/>
      <c r="I242" s="1030"/>
      <c r="J242" s="1097"/>
      <c r="K242" s="1030"/>
      <c r="L242" s="1030"/>
      <c r="M242" s="1030"/>
      <c r="N242" s="1030"/>
      <c r="O242" s="1030"/>
      <c r="P242" s="1030"/>
      <c r="Q242" s="1030"/>
      <c r="R242" s="1030"/>
      <c r="S242" s="1030"/>
      <c r="T242" s="1030"/>
      <c r="U242" s="1030"/>
      <c r="V242" s="1030"/>
      <c r="W242" s="1030"/>
      <c r="X242" s="1030"/>
      <c r="Y242" s="1030"/>
      <c r="Z242" s="1030"/>
      <c r="AA242" s="1030"/>
      <c r="AB242" s="1030"/>
    </row>
    <row r="243" spans="1:28">
      <c r="A243" s="1030"/>
      <c r="B243" s="1030"/>
      <c r="C243" s="1030"/>
      <c r="D243" s="1030"/>
      <c r="E243" s="1030"/>
      <c r="F243" s="1030"/>
      <c r="G243" s="1030"/>
      <c r="H243" s="1030"/>
      <c r="I243" s="1030"/>
      <c r="J243" s="1097"/>
      <c r="K243" s="1030"/>
      <c r="L243" s="1030"/>
      <c r="M243" s="1030"/>
      <c r="N243" s="1030"/>
      <c r="O243" s="1030"/>
      <c r="P243" s="1030"/>
      <c r="Q243" s="1030"/>
      <c r="R243" s="1030"/>
      <c r="S243" s="1030"/>
      <c r="T243" s="1030"/>
      <c r="U243" s="1030"/>
      <c r="V243" s="1030"/>
      <c r="W243" s="1030"/>
      <c r="X243" s="1030"/>
      <c r="Y243" s="1030"/>
      <c r="Z243" s="1030"/>
      <c r="AA243" s="1030"/>
      <c r="AB243" s="1030"/>
    </row>
    <row r="244" spans="1:28">
      <c r="A244" s="1030"/>
      <c r="B244" s="1030"/>
      <c r="C244" s="1030"/>
      <c r="D244" s="1030"/>
      <c r="E244" s="1030"/>
      <c r="F244" s="1030"/>
      <c r="G244" s="1030"/>
      <c r="H244" s="1030"/>
      <c r="I244" s="1030"/>
      <c r="J244" s="1097"/>
      <c r="K244" s="1030"/>
      <c r="L244" s="1030"/>
      <c r="M244" s="1030"/>
      <c r="N244" s="1030"/>
      <c r="O244" s="1030"/>
      <c r="P244" s="1030"/>
      <c r="Q244" s="1030"/>
      <c r="R244" s="1030"/>
      <c r="S244" s="1030"/>
      <c r="T244" s="1030"/>
      <c r="U244" s="1030"/>
      <c r="V244" s="1030"/>
      <c r="W244" s="1030"/>
      <c r="X244" s="1030"/>
      <c r="Y244" s="1030"/>
      <c r="Z244" s="1030"/>
      <c r="AA244" s="1030"/>
      <c r="AB244" s="1030"/>
    </row>
    <row r="245" spans="1:28">
      <c r="A245" s="1030"/>
      <c r="B245" s="1030"/>
      <c r="C245" s="1030"/>
      <c r="D245" s="1030"/>
      <c r="E245" s="1030"/>
      <c r="F245" s="1030"/>
      <c r="G245" s="1030"/>
      <c r="H245" s="1030"/>
      <c r="I245" s="1030"/>
      <c r="J245" s="1097"/>
      <c r="K245" s="1030"/>
      <c r="L245" s="1030"/>
      <c r="M245" s="1030"/>
      <c r="N245" s="1030"/>
      <c r="O245" s="1030"/>
      <c r="P245" s="1030"/>
      <c r="Q245" s="1030"/>
      <c r="R245" s="1030"/>
      <c r="S245" s="1030"/>
      <c r="T245" s="1030"/>
      <c r="U245" s="1030"/>
      <c r="V245" s="1030"/>
      <c r="W245" s="1030"/>
      <c r="X245" s="1030"/>
      <c r="Y245" s="1030"/>
      <c r="Z245" s="1030"/>
      <c r="AA245" s="1030"/>
      <c r="AB245" s="1030"/>
    </row>
    <row r="246" spans="1:28">
      <c r="A246" s="1030"/>
      <c r="B246" s="1030"/>
      <c r="C246" s="1030"/>
      <c r="D246" s="1030"/>
      <c r="E246" s="1030"/>
      <c r="F246" s="1030"/>
      <c r="G246" s="1030"/>
      <c r="H246" s="1030"/>
      <c r="I246" s="1030"/>
      <c r="J246" s="1097"/>
      <c r="K246" s="1030"/>
      <c r="L246" s="1030"/>
      <c r="M246" s="1030"/>
      <c r="N246" s="1030"/>
      <c r="O246" s="1030"/>
      <c r="P246" s="1030"/>
      <c r="Q246" s="1030"/>
      <c r="R246" s="1030"/>
      <c r="S246" s="1030"/>
      <c r="T246" s="1030"/>
      <c r="U246" s="1030"/>
      <c r="V246" s="1030"/>
      <c r="W246" s="1030"/>
      <c r="X246" s="1030"/>
      <c r="Y246" s="1030"/>
      <c r="Z246" s="1030"/>
      <c r="AA246" s="1030"/>
      <c r="AB246" s="1030"/>
    </row>
    <row r="247" spans="1:28">
      <c r="A247" s="1030"/>
      <c r="B247" s="1030"/>
      <c r="C247" s="1030"/>
      <c r="D247" s="1030"/>
      <c r="E247" s="1030"/>
      <c r="F247" s="1030"/>
      <c r="G247" s="1030"/>
      <c r="H247" s="1030"/>
      <c r="I247" s="1030"/>
      <c r="J247" s="1097"/>
      <c r="K247" s="1030"/>
      <c r="L247" s="1030"/>
      <c r="M247" s="1030"/>
      <c r="N247" s="1030"/>
      <c r="O247" s="1030"/>
      <c r="P247" s="1030"/>
      <c r="Q247" s="1030"/>
      <c r="R247" s="1030"/>
      <c r="S247" s="1030"/>
      <c r="T247" s="1030"/>
      <c r="U247" s="1030"/>
      <c r="V247" s="1030"/>
      <c r="W247" s="1030"/>
      <c r="X247" s="1030"/>
      <c r="Y247" s="1030"/>
      <c r="Z247" s="1030"/>
      <c r="AA247" s="1030"/>
      <c r="AB247" s="1030"/>
    </row>
    <row r="248" spans="1:28">
      <c r="A248" s="1030"/>
      <c r="B248" s="1030"/>
      <c r="C248" s="1030"/>
      <c r="D248" s="1030"/>
      <c r="E248" s="1030"/>
      <c r="F248" s="1030"/>
      <c r="G248" s="1030"/>
      <c r="H248" s="1030"/>
      <c r="I248" s="1030"/>
      <c r="J248" s="1097"/>
      <c r="K248" s="1030"/>
      <c r="L248" s="1030"/>
      <c r="M248" s="1030"/>
      <c r="N248" s="1030"/>
      <c r="O248" s="1030"/>
      <c r="P248" s="1030"/>
      <c r="Q248" s="1030"/>
      <c r="R248" s="1030"/>
      <c r="S248" s="1030"/>
      <c r="T248" s="1030"/>
      <c r="U248" s="1030"/>
      <c r="V248" s="1030"/>
      <c r="W248" s="1030"/>
      <c r="X248" s="1030"/>
      <c r="Y248" s="1030"/>
      <c r="Z248" s="1030"/>
      <c r="AA248" s="1030"/>
      <c r="AB248" s="1030"/>
    </row>
    <row r="249" spans="1:28">
      <c r="A249" s="1030"/>
      <c r="B249" s="1030"/>
      <c r="C249" s="1030"/>
      <c r="D249" s="1030"/>
      <c r="E249" s="1030"/>
      <c r="F249" s="1030"/>
      <c r="G249" s="1030"/>
      <c r="H249" s="1030"/>
      <c r="I249" s="1030"/>
      <c r="J249" s="1097"/>
      <c r="K249" s="1030"/>
      <c r="L249" s="1030"/>
      <c r="M249" s="1030"/>
      <c r="N249" s="1030"/>
      <c r="O249" s="1030"/>
      <c r="P249" s="1030"/>
      <c r="Q249" s="1030"/>
      <c r="R249" s="1030"/>
      <c r="S249" s="1030"/>
      <c r="T249" s="1030"/>
      <c r="U249" s="1030"/>
      <c r="V249" s="1030"/>
      <c r="W249" s="1030"/>
      <c r="X249" s="1030"/>
      <c r="Y249" s="1030"/>
      <c r="Z249" s="1030"/>
      <c r="AA249" s="1030"/>
      <c r="AB249" s="1030"/>
    </row>
    <row r="250" spans="1:28">
      <c r="A250" s="1030"/>
      <c r="B250" s="1030"/>
      <c r="C250" s="1030"/>
      <c r="D250" s="1030"/>
      <c r="E250" s="1030"/>
      <c r="F250" s="1030"/>
      <c r="G250" s="1030"/>
      <c r="H250" s="1030"/>
      <c r="I250" s="1030"/>
      <c r="J250" s="1097"/>
      <c r="K250" s="1030"/>
      <c r="L250" s="1030"/>
      <c r="M250" s="1030"/>
      <c r="N250" s="1030"/>
      <c r="O250" s="1030"/>
      <c r="P250" s="1030"/>
      <c r="Q250" s="1030"/>
      <c r="R250" s="1030"/>
      <c r="S250" s="1030"/>
      <c r="T250" s="1030"/>
      <c r="U250" s="1030"/>
      <c r="V250" s="1030"/>
      <c r="W250" s="1030"/>
      <c r="X250" s="1030"/>
      <c r="Y250" s="1030"/>
      <c r="Z250" s="1030"/>
      <c r="AA250" s="1030"/>
      <c r="AB250" s="1030"/>
    </row>
    <row r="251" spans="1:28">
      <c r="A251" s="1030"/>
      <c r="B251" s="1030"/>
      <c r="C251" s="1030"/>
      <c r="D251" s="1030"/>
      <c r="E251" s="1030"/>
      <c r="F251" s="1030"/>
      <c r="G251" s="1030"/>
      <c r="H251" s="1030"/>
      <c r="I251" s="1030"/>
      <c r="J251" s="1097"/>
      <c r="K251" s="1030"/>
      <c r="L251" s="1030"/>
      <c r="M251" s="1030"/>
      <c r="N251" s="1030"/>
      <c r="O251" s="1030"/>
      <c r="P251" s="1030"/>
      <c r="Q251" s="1030"/>
      <c r="R251" s="1030"/>
      <c r="S251" s="1030"/>
      <c r="T251" s="1030"/>
      <c r="U251" s="1030"/>
      <c r="V251" s="1030"/>
      <c r="W251" s="1030"/>
      <c r="X251" s="1030"/>
      <c r="Y251" s="1030"/>
      <c r="Z251" s="1030"/>
      <c r="AA251" s="1030"/>
      <c r="AB251" s="1030"/>
    </row>
    <row r="252" spans="1:28">
      <c r="A252" s="1030"/>
      <c r="B252" s="1030"/>
      <c r="C252" s="1030"/>
      <c r="D252" s="1030"/>
      <c r="E252" s="1030"/>
      <c r="F252" s="1030"/>
      <c r="G252" s="1030"/>
      <c r="H252" s="1030"/>
      <c r="I252" s="1030"/>
      <c r="J252" s="1097"/>
      <c r="K252" s="1030"/>
      <c r="L252" s="1030"/>
      <c r="M252" s="1030"/>
      <c r="N252" s="1030"/>
      <c r="O252" s="1030"/>
      <c r="P252" s="1030"/>
      <c r="Q252" s="1030"/>
      <c r="R252" s="1030"/>
      <c r="S252" s="1030"/>
      <c r="T252" s="1030"/>
      <c r="U252" s="1030"/>
      <c r="V252" s="1030"/>
      <c r="W252" s="1030"/>
      <c r="X252" s="1030"/>
      <c r="Y252" s="1030"/>
      <c r="Z252" s="1030"/>
      <c r="AA252" s="1030"/>
      <c r="AB252" s="1030"/>
    </row>
    <row r="253" spans="1:28">
      <c r="A253" s="1030"/>
      <c r="B253" s="1030"/>
      <c r="C253" s="1030"/>
      <c r="D253" s="1030"/>
      <c r="E253" s="1030"/>
      <c r="F253" s="1030"/>
      <c r="G253" s="1030"/>
      <c r="H253" s="1030"/>
      <c r="I253" s="1030"/>
      <c r="J253" s="1097"/>
      <c r="K253" s="1030"/>
      <c r="L253" s="1030"/>
      <c r="M253" s="1030"/>
      <c r="N253" s="1030"/>
      <c r="O253" s="1030"/>
      <c r="P253" s="1030"/>
      <c r="Q253" s="1030"/>
      <c r="R253" s="1030"/>
      <c r="S253" s="1030"/>
      <c r="T253" s="1030"/>
      <c r="U253" s="1030"/>
      <c r="V253" s="1030"/>
      <c r="W253" s="1030"/>
      <c r="X253" s="1030"/>
      <c r="Y253" s="1030"/>
      <c r="Z253" s="1030"/>
      <c r="AA253" s="1030"/>
      <c r="AB253" s="1030"/>
    </row>
    <row r="254" spans="1:28">
      <c r="A254" s="1030"/>
      <c r="B254" s="1030"/>
      <c r="C254" s="1030"/>
      <c r="D254" s="1030"/>
      <c r="E254" s="1030"/>
      <c r="F254" s="1030"/>
      <c r="G254" s="1030"/>
      <c r="H254" s="1030"/>
      <c r="I254" s="1030"/>
      <c r="J254" s="1097"/>
      <c r="K254" s="1030"/>
      <c r="L254" s="1030"/>
      <c r="M254" s="1030"/>
      <c r="N254" s="1030"/>
      <c r="O254" s="1030"/>
      <c r="P254" s="1030"/>
      <c r="Q254" s="1030"/>
      <c r="R254" s="1030"/>
      <c r="S254" s="1030"/>
      <c r="T254" s="1030"/>
      <c r="U254" s="1030"/>
      <c r="V254" s="1030"/>
      <c r="W254" s="1030"/>
      <c r="X254" s="1030"/>
      <c r="Y254" s="1030"/>
      <c r="Z254" s="1030"/>
      <c r="AA254" s="1030"/>
      <c r="AB254" s="1030"/>
    </row>
    <row r="255" spans="1:28">
      <c r="A255" s="1030"/>
      <c r="B255" s="1030"/>
      <c r="C255" s="1030"/>
      <c r="D255" s="1030"/>
      <c r="E255" s="1030"/>
      <c r="F255" s="1030"/>
      <c r="G255" s="1030"/>
      <c r="H255" s="1030"/>
      <c r="I255" s="1030"/>
      <c r="J255" s="1097"/>
      <c r="K255" s="1030"/>
      <c r="L255" s="1030"/>
      <c r="M255" s="1030"/>
      <c r="N255" s="1030"/>
      <c r="O255" s="1030"/>
      <c r="P255" s="1030"/>
      <c r="Q255" s="1030"/>
      <c r="R255" s="1030"/>
      <c r="S255" s="1030"/>
      <c r="T255" s="1030"/>
      <c r="U255" s="1030"/>
      <c r="V255" s="1030"/>
      <c r="W255" s="1030"/>
      <c r="X255" s="1030"/>
      <c r="Y255" s="1030"/>
      <c r="Z255" s="1030"/>
      <c r="AA255" s="1030"/>
      <c r="AB255" s="1030"/>
    </row>
    <row r="256" spans="1:28">
      <c r="A256" s="1030"/>
      <c r="B256" s="1030"/>
      <c r="C256" s="1030"/>
      <c r="D256" s="1030"/>
      <c r="E256" s="1030"/>
      <c r="F256" s="1030"/>
      <c r="G256" s="1030"/>
      <c r="H256" s="1030"/>
      <c r="I256" s="1030"/>
      <c r="J256" s="1097"/>
      <c r="K256" s="1030"/>
      <c r="L256" s="1030"/>
      <c r="M256" s="1030"/>
      <c r="N256" s="1030"/>
      <c r="O256" s="1030"/>
      <c r="P256" s="1030"/>
      <c r="Q256" s="1030"/>
      <c r="R256" s="1030"/>
      <c r="S256" s="1030"/>
      <c r="T256" s="1030"/>
      <c r="U256" s="1030"/>
      <c r="V256" s="1030"/>
      <c r="W256" s="1030"/>
      <c r="X256" s="1030"/>
      <c r="Y256" s="1030"/>
      <c r="Z256" s="1030"/>
      <c r="AA256" s="1030"/>
      <c r="AB256" s="1030"/>
    </row>
    <row r="257" spans="1:28">
      <c r="A257" s="1030"/>
      <c r="B257" s="1030"/>
      <c r="C257" s="1030"/>
      <c r="D257" s="1030"/>
      <c r="E257" s="1030"/>
      <c r="F257" s="1030"/>
      <c r="G257" s="1030"/>
      <c r="H257" s="1030"/>
      <c r="I257" s="1030"/>
      <c r="J257" s="1097"/>
      <c r="K257" s="1030"/>
      <c r="L257" s="1030"/>
      <c r="M257" s="1030"/>
      <c r="N257" s="1030"/>
      <c r="O257" s="1030"/>
      <c r="P257" s="1030"/>
      <c r="Q257" s="1030"/>
      <c r="R257" s="1030"/>
      <c r="S257" s="1030"/>
      <c r="T257" s="1030"/>
      <c r="U257" s="1030"/>
      <c r="V257" s="1030"/>
      <c r="W257" s="1030"/>
      <c r="X257" s="1030"/>
      <c r="Y257" s="1030"/>
      <c r="Z257" s="1030"/>
      <c r="AA257" s="1030"/>
      <c r="AB257" s="1030"/>
    </row>
    <row r="258" spans="1:28">
      <c r="A258" s="1030"/>
      <c r="B258" s="1030"/>
      <c r="C258" s="1030"/>
      <c r="D258" s="1030"/>
      <c r="E258" s="1030"/>
      <c r="F258" s="1030"/>
      <c r="G258" s="1030"/>
      <c r="H258" s="1030"/>
      <c r="I258" s="1030"/>
      <c r="J258" s="1097"/>
      <c r="K258" s="1030"/>
      <c r="L258" s="1030"/>
      <c r="M258" s="1030"/>
      <c r="N258" s="1030"/>
      <c r="O258" s="1030"/>
      <c r="P258" s="1030"/>
      <c r="Q258" s="1030"/>
      <c r="R258" s="1030"/>
      <c r="S258" s="1030"/>
      <c r="T258" s="1030"/>
      <c r="U258" s="1030"/>
      <c r="V258" s="1030"/>
      <c r="W258" s="1030"/>
      <c r="X258" s="1030"/>
      <c r="Y258" s="1030"/>
      <c r="Z258" s="1030"/>
      <c r="AA258" s="1030"/>
      <c r="AB258" s="1030"/>
    </row>
    <row r="259" spans="1:28">
      <c r="A259" s="1030"/>
      <c r="B259" s="1030"/>
      <c r="C259" s="1030"/>
      <c r="D259" s="1030"/>
      <c r="E259" s="1030"/>
      <c r="F259" s="1030"/>
      <c r="G259" s="1030"/>
      <c r="H259" s="1030"/>
      <c r="I259" s="1030"/>
      <c r="J259" s="1097"/>
      <c r="K259" s="1030"/>
      <c r="L259" s="1030"/>
      <c r="M259" s="1030"/>
      <c r="N259" s="1030"/>
      <c r="O259" s="1030"/>
      <c r="P259" s="1030"/>
      <c r="Q259" s="1030"/>
      <c r="R259" s="1030"/>
      <c r="S259" s="1030"/>
      <c r="T259" s="1030"/>
      <c r="U259" s="1030"/>
      <c r="V259" s="1030"/>
      <c r="W259" s="1030"/>
      <c r="X259" s="1030"/>
      <c r="Y259" s="1030"/>
      <c r="Z259" s="1030"/>
      <c r="AA259" s="1030"/>
      <c r="AB259" s="1030"/>
    </row>
    <row r="260" spans="1:28">
      <c r="A260" s="1030"/>
      <c r="B260" s="1030"/>
      <c r="C260" s="1030"/>
      <c r="D260" s="1030"/>
      <c r="E260" s="1030"/>
      <c r="F260" s="1030"/>
      <c r="G260" s="1030"/>
      <c r="H260" s="1030"/>
      <c r="I260" s="1030"/>
      <c r="J260" s="1097"/>
      <c r="K260" s="1030"/>
      <c r="L260" s="1030"/>
      <c r="M260" s="1030"/>
      <c r="N260" s="1030"/>
      <c r="O260" s="1030"/>
      <c r="P260" s="1030"/>
      <c r="Q260" s="1030"/>
      <c r="R260" s="1030"/>
      <c r="S260" s="1030"/>
      <c r="T260" s="1030"/>
      <c r="U260" s="1030"/>
      <c r="V260" s="1030"/>
      <c r="W260" s="1030"/>
      <c r="X260" s="1030"/>
      <c r="Y260" s="1030"/>
      <c r="Z260" s="1030"/>
      <c r="AA260" s="1030"/>
      <c r="AB260" s="1030"/>
    </row>
    <row r="261" spans="1:28">
      <c r="A261" s="1030"/>
      <c r="B261" s="1030"/>
      <c r="C261" s="1030"/>
      <c r="D261" s="1030"/>
      <c r="E261" s="1030"/>
      <c r="F261" s="1030"/>
      <c r="G261" s="1030"/>
      <c r="H261" s="1030"/>
      <c r="I261" s="1030"/>
      <c r="J261" s="1097"/>
      <c r="K261" s="1030"/>
      <c r="L261" s="1030"/>
      <c r="M261" s="1030"/>
      <c r="N261" s="1030"/>
      <c r="O261" s="1030"/>
      <c r="P261" s="1030"/>
      <c r="Q261" s="1030"/>
      <c r="R261" s="1030"/>
      <c r="S261" s="1030"/>
      <c r="T261" s="1030"/>
      <c r="U261" s="1030"/>
      <c r="V261" s="1030"/>
      <c r="W261" s="1030"/>
      <c r="X261" s="1030"/>
      <c r="Y261" s="1030"/>
      <c r="Z261" s="1030"/>
      <c r="AA261" s="1030"/>
      <c r="AB261" s="1030"/>
    </row>
    <row r="262" spans="1:28">
      <c r="A262" s="1030"/>
      <c r="B262" s="1030"/>
      <c r="C262" s="1030"/>
      <c r="D262" s="1030"/>
      <c r="E262" s="1030"/>
      <c r="F262" s="1030"/>
      <c r="G262" s="1030"/>
      <c r="H262" s="1030"/>
      <c r="I262" s="1030"/>
      <c r="J262" s="1097"/>
      <c r="K262" s="1030"/>
      <c r="L262" s="1030"/>
      <c r="M262" s="1030"/>
      <c r="N262" s="1030"/>
      <c r="O262" s="1030"/>
      <c r="P262" s="1030"/>
      <c r="Q262" s="1030"/>
      <c r="R262" s="1030"/>
      <c r="S262" s="1030"/>
      <c r="T262" s="1030"/>
      <c r="U262" s="1030"/>
      <c r="V262" s="1030"/>
      <c r="W262" s="1030"/>
      <c r="X262" s="1030"/>
      <c r="Y262" s="1030"/>
      <c r="Z262" s="1030"/>
      <c r="AA262" s="1030"/>
      <c r="AB262" s="1030"/>
    </row>
    <row r="263" spans="1:28">
      <c r="A263" s="1030"/>
      <c r="B263" s="1030"/>
      <c r="C263" s="1030"/>
      <c r="D263" s="1030"/>
      <c r="E263" s="1030"/>
      <c r="F263" s="1030"/>
      <c r="G263" s="1030"/>
      <c r="H263" s="1030"/>
      <c r="I263" s="1030"/>
      <c r="J263" s="1097"/>
      <c r="K263" s="1030"/>
      <c r="L263" s="1030"/>
      <c r="M263" s="1030"/>
      <c r="N263" s="1030"/>
      <c r="O263" s="1030"/>
      <c r="P263" s="1030"/>
      <c r="Q263" s="1030"/>
      <c r="R263" s="1030"/>
      <c r="S263" s="1030"/>
      <c r="T263" s="1030"/>
      <c r="U263" s="1030"/>
      <c r="V263" s="1030"/>
      <c r="W263" s="1030"/>
      <c r="X263" s="1030"/>
      <c r="Y263" s="1030"/>
      <c r="Z263" s="1030"/>
      <c r="AA263" s="1030"/>
      <c r="AB263" s="1030"/>
    </row>
    <row r="264" spans="1:28">
      <c r="A264" s="1030"/>
      <c r="B264" s="1030"/>
      <c r="C264" s="1030"/>
      <c r="D264" s="1030"/>
      <c r="E264" s="1030"/>
      <c r="F264" s="1030"/>
      <c r="G264" s="1030"/>
      <c r="H264" s="1030"/>
      <c r="I264" s="1030"/>
      <c r="J264" s="1097"/>
      <c r="K264" s="1030"/>
      <c r="L264" s="1030"/>
      <c r="M264" s="1030"/>
      <c r="N264" s="1030"/>
      <c r="O264" s="1030"/>
      <c r="P264" s="1030"/>
      <c r="Q264" s="1030"/>
      <c r="R264" s="1030"/>
      <c r="S264" s="1030"/>
      <c r="T264" s="1030"/>
      <c r="U264" s="1030"/>
      <c r="V264" s="1030"/>
      <c r="W264" s="1030"/>
      <c r="X264" s="1030"/>
      <c r="Y264" s="1030"/>
      <c r="Z264" s="1030"/>
      <c r="AA264" s="1030"/>
      <c r="AB264" s="1030"/>
    </row>
    <row r="265" spans="1:28">
      <c r="A265" s="1030"/>
      <c r="B265" s="1030"/>
      <c r="C265" s="1030"/>
      <c r="D265" s="1030"/>
      <c r="E265" s="1030"/>
      <c r="F265" s="1030"/>
      <c r="G265" s="1030"/>
      <c r="H265" s="1030"/>
      <c r="I265" s="1030"/>
      <c r="J265" s="1097"/>
      <c r="K265" s="1030"/>
      <c r="L265" s="1030"/>
      <c r="M265" s="1030"/>
      <c r="N265" s="1030"/>
      <c r="O265" s="1030"/>
      <c r="P265" s="1030"/>
      <c r="Q265" s="1030"/>
      <c r="R265" s="1030"/>
      <c r="S265" s="1030"/>
      <c r="T265" s="1030"/>
      <c r="U265" s="1030"/>
      <c r="V265" s="1030"/>
      <c r="W265" s="1030"/>
      <c r="X265" s="1030"/>
      <c r="Y265" s="1030"/>
      <c r="Z265" s="1030"/>
      <c r="AA265" s="1030"/>
      <c r="AB265" s="1030"/>
    </row>
    <row r="266" spans="1:28">
      <c r="A266" s="1030"/>
      <c r="B266" s="1030"/>
      <c r="C266" s="1030"/>
      <c r="D266" s="1030"/>
      <c r="E266" s="1030"/>
      <c r="F266" s="1030"/>
      <c r="G266" s="1030"/>
      <c r="H266" s="1030"/>
      <c r="I266" s="1030"/>
      <c r="J266" s="1097"/>
      <c r="K266" s="1030"/>
      <c r="L266" s="1030"/>
      <c r="M266" s="1030"/>
      <c r="N266" s="1030"/>
      <c r="O266" s="1030"/>
      <c r="P266" s="1030"/>
      <c r="Q266" s="1030"/>
      <c r="R266" s="1030"/>
      <c r="S266" s="1030"/>
      <c r="T266" s="1030"/>
      <c r="U266" s="1030"/>
      <c r="V266" s="1030"/>
      <c r="W266" s="1030"/>
      <c r="X266" s="1030"/>
      <c r="Y266" s="1030"/>
      <c r="Z266" s="1030"/>
      <c r="AA266" s="1030"/>
      <c r="AB266" s="1030"/>
    </row>
    <row r="267" spans="1:28">
      <c r="A267" s="1030"/>
      <c r="B267" s="1030"/>
      <c r="C267" s="1030"/>
      <c r="D267" s="1030"/>
      <c r="E267" s="1030"/>
      <c r="F267" s="1030"/>
      <c r="G267" s="1030"/>
      <c r="H267" s="1030"/>
      <c r="I267" s="1030"/>
      <c r="J267" s="1097"/>
      <c r="K267" s="1030"/>
      <c r="L267" s="1030"/>
      <c r="M267" s="1030"/>
      <c r="N267" s="1030"/>
      <c r="O267" s="1030"/>
      <c r="P267" s="1030"/>
      <c r="Q267" s="1030"/>
      <c r="R267" s="1030"/>
      <c r="S267" s="1030"/>
      <c r="T267" s="1030"/>
      <c r="U267" s="1030"/>
      <c r="V267" s="1030"/>
      <c r="W267" s="1030"/>
      <c r="X267" s="1030"/>
      <c r="Y267" s="1030"/>
      <c r="Z267" s="1030"/>
      <c r="AA267" s="1030"/>
      <c r="AB267" s="1030"/>
    </row>
    <row r="268" spans="1:28">
      <c r="A268" s="1030"/>
      <c r="B268" s="1030"/>
      <c r="C268" s="1030"/>
      <c r="D268" s="1030"/>
      <c r="E268" s="1030"/>
      <c r="F268" s="1030"/>
      <c r="G268" s="1030"/>
      <c r="H268" s="1030"/>
      <c r="I268" s="1030"/>
      <c r="J268" s="1097"/>
      <c r="K268" s="1030"/>
      <c r="L268" s="1030"/>
      <c r="M268" s="1030"/>
      <c r="N268" s="1030"/>
      <c r="O268" s="1030"/>
      <c r="P268" s="1030"/>
      <c r="Q268" s="1030"/>
      <c r="R268" s="1030"/>
      <c r="S268" s="1030"/>
      <c r="T268" s="1030"/>
      <c r="U268" s="1030"/>
      <c r="V268" s="1030"/>
      <c r="W268" s="1030"/>
      <c r="X268" s="1030"/>
      <c r="Y268" s="1030"/>
      <c r="Z268" s="1030"/>
      <c r="AA268" s="1030"/>
      <c r="AB268" s="1030"/>
    </row>
    <row r="269" spans="1:28">
      <c r="A269" s="1030"/>
      <c r="B269" s="1030"/>
      <c r="C269" s="1030"/>
      <c r="D269" s="1030"/>
      <c r="E269" s="1030"/>
      <c r="F269" s="1030"/>
      <c r="G269" s="1030"/>
      <c r="H269" s="1030"/>
      <c r="I269" s="1030"/>
      <c r="J269" s="1097"/>
      <c r="K269" s="1030"/>
      <c r="L269" s="1030"/>
      <c r="M269" s="1030"/>
      <c r="N269" s="1030"/>
      <c r="O269" s="1030"/>
      <c r="P269" s="1030"/>
      <c r="Q269" s="1030"/>
      <c r="R269" s="1030"/>
      <c r="S269" s="1030"/>
      <c r="T269" s="1030"/>
      <c r="U269" s="1030"/>
      <c r="V269" s="1030"/>
      <c r="W269" s="1030"/>
      <c r="X269" s="1030"/>
      <c r="Y269" s="1030"/>
      <c r="Z269" s="1030"/>
      <c r="AA269" s="1030"/>
      <c r="AB269" s="1030"/>
    </row>
    <row r="270" spans="1:28">
      <c r="A270" s="1030"/>
      <c r="B270" s="1030"/>
      <c r="C270" s="1030"/>
      <c r="D270" s="1030"/>
      <c r="E270" s="1030"/>
      <c r="F270" s="1030"/>
      <c r="G270" s="1030"/>
      <c r="H270" s="1030"/>
      <c r="I270" s="1030"/>
      <c r="J270" s="1097"/>
      <c r="K270" s="1030"/>
      <c r="L270" s="1030"/>
      <c r="M270" s="1030"/>
      <c r="N270" s="1030"/>
      <c r="O270" s="1030"/>
      <c r="P270" s="1030"/>
      <c r="Q270" s="1030"/>
      <c r="R270" s="1030"/>
      <c r="S270" s="1030"/>
      <c r="T270" s="1030"/>
      <c r="U270" s="1030"/>
      <c r="V270" s="1030"/>
      <c r="W270" s="1030"/>
      <c r="X270" s="1030"/>
      <c r="Y270" s="1030"/>
      <c r="Z270" s="1030"/>
      <c r="AA270" s="1030"/>
      <c r="AB270" s="1030"/>
    </row>
    <row r="271" spans="1:28">
      <c r="A271" s="1030"/>
      <c r="B271" s="1030"/>
      <c r="C271" s="1030"/>
      <c r="D271" s="1030"/>
      <c r="E271" s="1030"/>
      <c r="F271" s="1030"/>
      <c r="G271" s="1030"/>
      <c r="H271" s="1030"/>
      <c r="I271" s="1030"/>
      <c r="J271" s="1097"/>
      <c r="K271" s="1030"/>
      <c r="L271" s="1030"/>
      <c r="M271" s="1030"/>
      <c r="N271" s="1030"/>
      <c r="O271" s="1030"/>
      <c r="P271" s="1030"/>
      <c r="Q271" s="1030"/>
      <c r="R271" s="1030"/>
      <c r="S271" s="1030"/>
      <c r="T271" s="1030"/>
      <c r="U271" s="1030"/>
      <c r="V271" s="1030"/>
      <c r="W271" s="1030"/>
      <c r="X271" s="1030"/>
      <c r="Y271" s="1030"/>
      <c r="Z271" s="1030"/>
      <c r="AA271" s="1030"/>
      <c r="AB271" s="1030"/>
    </row>
    <row r="272" spans="1:28">
      <c r="A272" s="1030"/>
      <c r="B272" s="1030"/>
      <c r="C272" s="1030"/>
      <c r="D272" s="1030"/>
      <c r="E272" s="1030"/>
      <c r="F272" s="1030"/>
      <c r="G272" s="1030"/>
      <c r="H272" s="1030"/>
      <c r="I272" s="1030"/>
      <c r="J272" s="1097"/>
      <c r="K272" s="1030"/>
      <c r="L272" s="1030"/>
      <c r="M272" s="1030"/>
      <c r="N272" s="1030"/>
      <c r="O272" s="1030"/>
      <c r="P272" s="1030"/>
      <c r="Q272" s="1030"/>
      <c r="R272" s="1030"/>
      <c r="S272" s="1030"/>
      <c r="T272" s="1030"/>
      <c r="U272" s="1030"/>
      <c r="V272" s="1030"/>
      <c r="W272" s="1030"/>
      <c r="X272" s="1030"/>
      <c r="Y272" s="1030"/>
      <c r="Z272" s="1030"/>
      <c r="AA272" s="1030"/>
      <c r="AB272" s="1030"/>
    </row>
    <row r="273" spans="1:28">
      <c r="A273" s="1030"/>
      <c r="B273" s="1030"/>
      <c r="C273" s="1030"/>
      <c r="D273" s="1030"/>
      <c r="E273" s="1030"/>
      <c r="F273" s="1030"/>
      <c r="G273" s="1030"/>
      <c r="H273" s="1030"/>
      <c r="I273" s="1030"/>
      <c r="J273" s="1097"/>
      <c r="K273" s="1030"/>
      <c r="L273" s="1030"/>
      <c r="M273" s="1030"/>
      <c r="N273" s="1030"/>
      <c r="O273" s="1030"/>
      <c r="P273" s="1030"/>
      <c r="Q273" s="1030"/>
      <c r="R273" s="1030"/>
      <c r="S273" s="1030"/>
      <c r="T273" s="1030"/>
      <c r="U273" s="1030"/>
      <c r="V273" s="1030"/>
      <c r="W273" s="1030"/>
      <c r="X273" s="1030"/>
      <c r="Y273" s="1030"/>
      <c r="Z273" s="1030"/>
      <c r="AA273" s="1030"/>
      <c r="AB273" s="1030"/>
    </row>
    <row r="274" spans="1:28">
      <c r="A274" s="1030"/>
      <c r="B274" s="1030"/>
      <c r="C274" s="1030"/>
      <c r="D274" s="1030"/>
      <c r="E274" s="1030"/>
      <c r="F274" s="1030"/>
      <c r="G274" s="1030"/>
      <c r="H274" s="1030"/>
      <c r="I274" s="1030"/>
      <c r="J274" s="1097"/>
      <c r="K274" s="1030"/>
      <c r="L274" s="1030"/>
      <c r="M274" s="1030"/>
      <c r="N274" s="1030"/>
      <c r="O274" s="1030"/>
      <c r="P274" s="1030"/>
      <c r="Q274" s="1030"/>
      <c r="R274" s="1030"/>
      <c r="S274" s="1030"/>
      <c r="T274" s="1030"/>
      <c r="U274" s="1030"/>
      <c r="V274" s="1030"/>
      <c r="W274" s="1030"/>
      <c r="X274" s="1030"/>
      <c r="Y274" s="1030"/>
      <c r="Z274" s="1030"/>
      <c r="AA274" s="1030"/>
      <c r="AB274" s="1030"/>
    </row>
    <row r="275" spans="1:28">
      <c r="A275" s="1030"/>
      <c r="B275" s="1030"/>
      <c r="C275" s="1030"/>
      <c r="D275" s="1030"/>
      <c r="E275" s="1030"/>
      <c r="F275" s="1030"/>
      <c r="G275" s="1030"/>
      <c r="H275" s="1030"/>
      <c r="I275" s="1030"/>
      <c r="J275" s="1097"/>
      <c r="K275" s="1030"/>
      <c r="L275" s="1030"/>
      <c r="M275" s="1030"/>
      <c r="N275" s="1030"/>
      <c r="O275" s="1030"/>
      <c r="P275" s="1030"/>
      <c r="Q275" s="1030"/>
      <c r="R275" s="1030"/>
      <c r="S275" s="1030"/>
      <c r="T275" s="1030"/>
      <c r="U275" s="1030"/>
      <c r="V275" s="1030"/>
      <c r="W275" s="1030"/>
      <c r="X275" s="1030"/>
      <c r="Y275" s="1030"/>
      <c r="Z275" s="1030"/>
      <c r="AA275" s="1030"/>
      <c r="AB275" s="1030"/>
    </row>
    <row r="276" spans="1:28">
      <c r="A276" s="1030"/>
      <c r="B276" s="1030"/>
      <c r="C276" s="1030"/>
      <c r="D276" s="1030"/>
      <c r="E276" s="1030"/>
      <c r="F276" s="1030"/>
      <c r="G276" s="1030"/>
      <c r="H276" s="1030"/>
      <c r="I276" s="1030"/>
      <c r="J276" s="1097"/>
      <c r="K276" s="1030"/>
      <c r="L276" s="1030"/>
      <c r="M276" s="1030"/>
      <c r="N276" s="1030"/>
      <c r="O276" s="1030"/>
      <c r="P276" s="1030"/>
      <c r="Q276" s="1030"/>
      <c r="R276" s="1030"/>
      <c r="S276" s="1030"/>
      <c r="T276" s="1030"/>
      <c r="U276" s="1030"/>
      <c r="V276" s="1030"/>
      <c r="W276" s="1030"/>
      <c r="X276" s="1030"/>
      <c r="Y276" s="1030"/>
      <c r="Z276" s="1030"/>
      <c r="AA276" s="1030"/>
      <c r="AB276" s="1030"/>
    </row>
    <row r="277" spans="1:28">
      <c r="A277" s="1030"/>
      <c r="B277" s="1030"/>
      <c r="C277" s="1030"/>
      <c r="D277" s="1030"/>
      <c r="E277" s="1030"/>
      <c r="F277" s="1030"/>
      <c r="G277" s="1030"/>
      <c r="H277" s="1030"/>
      <c r="I277" s="1030"/>
      <c r="J277" s="1097"/>
      <c r="K277" s="1030"/>
      <c r="L277" s="1030"/>
      <c r="M277" s="1030"/>
      <c r="N277" s="1030"/>
      <c r="O277" s="1030"/>
      <c r="P277" s="1030"/>
      <c r="Q277" s="1030"/>
      <c r="R277" s="1030"/>
      <c r="S277" s="1030"/>
      <c r="T277" s="1030"/>
      <c r="U277" s="1030"/>
      <c r="V277" s="1030"/>
      <c r="W277" s="1030"/>
      <c r="X277" s="1030"/>
      <c r="Y277" s="1030"/>
      <c r="Z277" s="1030"/>
      <c r="AA277" s="1030"/>
      <c r="AB277" s="1030"/>
    </row>
    <row r="278" spans="1:28">
      <c r="A278" s="1030"/>
      <c r="B278" s="1030"/>
      <c r="C278" s="1030"/>
      <c r="D278" s="1030"/>
      <c r="E278" s="1030"/>
      <c r="F278" s="1030"/>
      <c r="G278" s="1030"/>
      <c r="H278" s="1030"/>
      <c r="I278" s="1030"/>
      <c r="J278" s="1097"/>
      <c r="K278" s="1030"/>
      <c r="L278" s="1030"/>
      <c r="M278" s="1030"/>
      <c r="N278" s="1030"/>
      <c r="O278" s="1030"/>
      <c r="P278" s="1030"/>
      <c r="Q278" s="1030"/>
      <c r="R278" s="1030"/>
      <c r="S278" s="1030"/>
      <c r="T278" s="1030"/>
      <c r="U278" s="1030"/>
      <c r="V278" s="1030"/>
      <c r="W278" s="1030"/>
      <c r="X278" s="1030"/>
      <c r="Y278" s="1030"/>
      <c r="Z278" s="1030"/>
      <c r="AA278" s="1030"/>
      <c r="AB278" s="1030"/>
    </row>
    <row r="279" spans="1:28">
      <c r="A279" s="1030"/>
      <c r="B279" s="1030"/>
      <c r="C279" s="1030"/>
      <c r="D279" s="1030"/>
      <c r="E279" s="1030"/>
      <c r="F279" s="1030"/>
      <c r="G279" s="1030"/>
      <c r="H279" s="1030"/>
      <c r="I279" s="1030"/>
      <c r="J279" s="1097"/>
      <c r="K279" s="1030"/>
      <c r="L279" s="1030"/>
      <c r="M279" s="1030"/>
      <c r="N279" s="1030"/>
      <c r="O279" s="1030"/>
      <c r="P279" s="1030"/>
      <c r="Q279" s="1030"/>
      <c r="R279" s="1030"/>
      <c r="S279" s="1030"/>
      <c r="T279" s="1030"/>
      <c r="U279" s="1030"/>
      <c r="V279" s="1030"/>
      <c r="W279" s="1030"/>
      <c r="X279" s="1030"/>
      <c r="Y279" s="1030"/>
      <c r="Z279" s="1030"/>
      <c r="AA279" s="1030"/>
      <c r="AB279" s="1030"/>
    </row>
    <row r="280" spans="1:28">
      <c r="A280" s="1030"/>
      <c r="B280" s="1030"/>
      <c r="C280" s="1030"/>
      <c r="D280" s="1030"/>
      <c r="E280" s="1030"/>
      <c r="F280" s="1030"/>
      <c r="G280" s="1030"/>
      <c r="H280" s="1030"/>
      <c r="I280" s="1030"/>
      <c r="J280" s="1097"/>
      <c r="K280" s="1030"/>
      <c r="L280" s="1030"/>
      <c r="M280" s="1030"/>
      <c r="N280" s="1030"/>
      <c r="O280" s="1030"/>
      <c r="P280" s="1030"/>
      <c r="Q280" s="1030"/>
      <c r="R280" s="1030"/>
      <c r="S280" s="1030"/>
      <c r="T280" s="1030"/>
      <c r="U280" s="1030"/>
      <c r="V280" s="1030"/>
      <c r="W280" s="1030"/>
      <c r="X280" s="1030"/>
      <c r="Y280" s="1030"/>
      <c r="Z280" s="1030"/>
      <c r="AA280" s="1030"/>
      <c r="AB280" s="1030"/>
    </row>
    <row r="281" spans="1:28">
      <c r="A281" s="1030"/>
      <c r="B281" s="1030"/>
      <c r="C281" s="1030"/>
      <c r="D281" s="1030"/>
      <c r="E281" s="1030"/>
      <c r="F281" s="1030"/>
      <c r="G281" s="1030"/>
      <c r="H281" s="1030"/>
      <c r="I281" s="1030"/>
      <c r="J281" s="1097"/>
      <c r="K281" s="1030"/>
      <c r="L281" s="1030"/>
      <c r="M281" s="1030"/>
      <c r="N281" s="1030"/>
      <c r="O281" s="1030"/>
      <c r="P281" s="1030"/>
      <c r="Q281" s="1030"/>
      <c r="R281" s="1030"/>
      <c r="S281" s="1030"/>
      <c r="T281" s="1030"/>
      <c r="U281" s="1030"/>
      <c r="V281" s="1030"/>
      <c r="W281" s="1030"/>
      <c r="X281" s="1030"/>
      <c r="Y281" s="1030"/>
      <c r="Z281" s="1030"/>
      <c r="AA281" s="1030"/>
      <c r="AB281" s="1030"/>
    </row>
    <row r="282" spans="1:28">
      <c r="A282" s="1030"/>
      <c r="B282" s="1030"/>
      <c r="C282" s="1030"/>
      <c r="D282" s="1030"/>
      <c r="E282" s="1030"/>
      <c r="F282" s="1030"/>
      <c r="G282" s="1030"/>
      <c r="H282" s="1030"/>
      <c r="I282" s="1030"/>
      <c r="J282" s="1097"/>
      <c r="K282" s="1030"/>
      <c r="L282" s="1030"/>
      <c r="M282" s="1030"/>
      <c r="N282" s="1030"/>
      <c r="O282" s="1030"/>
      <c r="P282" s="1030"/>
      <c r="Q282" s="1030"/>
      <c r="R282" s="1030"/>
      <c r="S282" s="1030"/>
      <c r="T282" s="1030"/>
      <c r="U282" s="1030"/>
      <c r="V282" s="1030"/>
      <c r="W282" s="1030"/>
      <c r="X282" s="1030"/>
      <c r="Y282" s="1030"/>
      <c r="Z282" s="1030"/>
      <c r="AA282" s="1030"/>
      <c r="AB282" s="1030"/>
    </row>
    <row r="283" spans="1:28">
      <c r="A283" s="1030"/>
      <c r="B283" s="1030"/>
      <c r="C283" s="1030"/>
      <c r="D283" s="1030"/>
      <c r="E283" s="1030"/>
      <c r="F283" s="1030"/>
      <c r="G283" s="1030"/>
      <c r="H283" s="1030"/>
      <c r="I283" s="1030"/>
      <c r="J283" s="1097"/>
      <c r="K283" s="1030"/>
      <c r="L283" s="1030"/>
      <c r="M283" s="1030"/>
      <c r="N283" s="1030"/>
      <c r="O283" s="1030"/>
      <c r="P283" s="1030"/>
      <c r="Q283" s="1030"/>
      <c r="R283" s="1030"/>
      <c r="S283" s="1030"/>
      <c r="T283" s="1030"/>
      <c r="U283" s="1030"/>
      <c r="V283" s="1030"/>
      <c r="W283" s="1030"/>
      <c r="X283" s="1030"/>
      <c r="Y283" s="1030"/>
      <c r="Z283" s="1030"/>
      <c r="AA283" s="1030"/>
      <c r="AB283" s="1030"/>
    </row>
    <row r="284" spans="1:28">
      <c r="A284" s="1030"/>
      <c r="B284" s="1030"/>
      <c r="C284" s="1030"/>
      <c r="D284" s="1030"/>
      <c r="E284" s="1030"/>
      <c r="F284" s="1030"/>
      <c r="G284" s="1030"/>
      <c r="H284" s="1030"/>
      <c r="I284" s="1030"/>
      <c r="J284" s="1097"/>
      <c r="K284" s="1030"/>
      <c r="L284" s="1030"/>
      <c r="M284" s="1030"/>
      <c r="N284" s="1030"/>
      <c r="O284" s="1030"/>
      <c r="P284" s="1030"/>
      <c r="Q284" s="1030"/>
      <c r="R284" s="1030"/>
      <c r="S284" s="1030"/>
      <c r="T284" s="1030"/>
      <c r="U284" s="1030"/>
      <c r="V284" s="1030"/>
      <c r="W284" s="1030"/>
      <c r="X284" s="1030"/>
      <c r="Y284" s="1030"/>
      <c r="Z284" s="1030"/>
      <c r="AA284" s="1030"/>
      <c r="AB284" s="1030"/>
    </row>
    <row r="285" spans="1:28">
      <c r="A285" s="1030"/>
      <c r="B285" s="1030"/>
      <c r="C285" s="1030"/>
      <c r="D285" s="1030"/>
      <c r="E285" s="1030"/>
      <c r="F285" s="1030"/>
      <c r="G285" s="1030"/>
      <c r="H285" s="1030"/>
      <c r="I285" s="1030"/>
      <c r="J285" s="1097"/>
      <c r="K285" s="1030"/>
      <c r="L285" s="1030"/>
      <c r="M285" s="1030"/>
      <c r="N285" s="1030"/>
      <c r="O285" s="1030"/>
      <c r="P285" s="1030"/>
      <c r="Q285" s="1030"/>
      <c r="R285" s="1030"/>
      <c r="S285" s="1030"/>
      <c r="T285" s="1030"/>
      <c r="U285" s="1030"/>
      <c r="V285" s="1030"/>
      <c r="W285" s="1030"/>
      <c r="X285" s="1030"/>
      <c r="Y285" s="1030"/>
      <c r="Z285" s="1030"/>
      <c r="AA285" s="1030"/>
      <c r="AB285" s="1030"/>
    </row>
    <row r="286" spans="1:28">
      <c r="A286" s="1030"/>
      <c r="B286" s="1030"/>
      <c r="C286" s="1030"/>
      <c r="D286" s="1030"/>
      <c r="E286" s="1030"/>
      <c r="F286" s="1030"/>
      <c r="G286" s="1030"/>
      <c r="H286" s="1030"/>
      <c r="I286" s="1030"/>
      <c r="J286" s="1097"/>
      <c r="K286" s="1030"/>
      <c r="L286" s="1030"/>
      <c r="M286" s="1030"/>
      <c r="N286" s="1030"/>
      <c r="O286" s="1030"/>
      <c r="P286" s="1030"/>
      <c r="Q286" s="1030"/>
      <c r="R286" s="1030"/>
      <c r="S286" s="1030"/>
      <c r="T286" s="1030"/>
      <c r="U286" s="1030"/>
      <c r="V286" s="1030"/>
      <c r="W286" s="1030"/>
      <c r="X286" s="1030"/>
      <c r="Y286" s="1030"/>
      <c r="Z286" s="1030"/>
      <c r="AA286" s="1030"/>
      <c r="AB286" s="1030"/>
    </row>
    <row r="287" spans="1:28">
      <c r="A287" s="1030"/>
      <c r="B287" s="1030"/>
      <c r="C287" s="1030"/>
      <c r="D287" s="1030"/>
      <c r="E287" s="1030"/>
      <c r="F287" s="1030"/>
      <c r="G287" s="1030"/>
      <c r="H287" s="1030"/>
      <c r="I287" s="1030"/>
      <c r="J287" s="1097"/>
      <c r="K287" s="1030"/>
      <c r="L287" s="1030"/>
      <c r="M287" s="1030"/>
      <c r="N287" s="1030"/>
      <c r="O287" s="1030"/>
      <c r="P287" s="1030"/>
      <c r="Q287" s="1030"/>
      <c r="R287" s="1030"/>
      <c r="S287" s="1030"/>
      <c r="T287" s="1030"/>
      <c r="U287" s="1030"/>
      <c r="V287" s="1030"/>
      <c r="W287" s="1030"/>
      <c r="X287" s="1030"/>
      <c r="Y287" s="1030"/>
      <c r="Z287" s="1030"/>
      <c r="AA287" s="1030"/>
      <c r="AB287" s="1030"/>
    </row>
    <row r="288" spans="1:28">
      <c r="A288" s="1030"/>
      <c r="B288" s="1030"/>
      <c r="C288" s="1030"/>
      <c r="D288" s="1030"/>
      <c r="E288" s="1030"/>
      <c r="F288" s="1030"/>
      <c r="G288" s="1030"/>
      <c r="H288" s="1030"/>
      <c r="I288" s="1030"/>
      <c r="J288" s="1097"/>
      <c r="K288" s="1030"/>
      <c r="L288" s="1030"/>
      <c r="M288" s="1030"/>
      <c r="N288" s="1030"/>
      <c r="O288" s="1030"/>
      <c r="P288" s="1030"/>
      <c r="Q288" s="1030"/>
      <c r="R288" s="1030"/>
      <c r="S288" s="1030"/>
      <c r="T288" s="1030"/>
      <c r="U288" s="1030"/>
      <c r="V288" s="1030"/>
      <c r="W288" s="1030"/>
      <c r="X288" s="1030"/>
      <c r="Y288" s="1030"/>
      <c r="Z288" s="1030"/>
      <c r="AA288" s="1030"/>
      <c r="AB288" s="1030"/>
    </row>
    <row r="289" spans="1:28">
      <c r="A289" s="1030"/>
      <c r="B289" s="1030"/>
      <c r="C289" s="1030"/>
      <c r="D289" s="1030"/>
      <c r="E289" s="1030"/>
      <c r="F289" s="1030"/>
      <c r="G289" s="1030"/>
      <c r="H289" s="1030"/>
      <c r="I289" s="1030"/>
      <c r="J289" s="1097"/>
      <c r="K289" s="1030"/>
      <c r="L289" s="1030"/>
      <c r="M289" s="1030"/>
      <c r="N289" s="1030"/>
      <c r="O289" s="1030"/>
      <c r="P289" s="1030"/>
      <c r="Q289" s="1030"/>
      <c r="R289" s="1030"/>
      <c r="S289" s="1030"/>
      <c r="T289" s="1030"/>
      <c r="U289" s="1030"/>
      <c r="V289" s="1030"/>
      <c r="W289" s="1030"/>
      <c r="X289" s="1030"/>
      <c r="Y289" s="1030"/>
      <c r="Z289" s="1030"/>
      <c r="AA289" s="1030"/>
      <c r="AB289" s="1030"/>
    </row>
    <row r="290" spans="1:28">
      <c r="A290" s="1030"/>
      <c r="B290" s="1030"/>
      <c r="C290" s="1030"/>
      <c r="D290" s="1030"/>
      <c r="E290" s="1030"/>
      <c r="F290" s="1030"/>
      <c r="G290" s="1030"/>
      <c r="H290" s="1030"/>
      <c r="I290" s="1030"/>
      <c r="J290" s="1097"/>
      <c r="K290" s="1030"/>
      <c r="L290" s="1030"/>
      <c r="M290" s="1030"/>
      <c r="N290" s="1030"/>
      <c r="O290" s="1030"/>
      <c r="P290" s="1030"/>
      <c r="Q290" s="1030"/>
      <c r="R290" s="1030"/>
      <c r="S290" s="1030"/>
      <c r="T290" s="1030"/>
      <c r="U290" s="1030"/>
      <c r="V290" s="1030"/>
      <c r="W290" s="1030"/>
      <c r="X290" s="1030"/>
      <c r="Y290" s="1030"/>
      <c r="Z290" s="1030"/>
      <c r="AA290" s="1030"/>
      <c r="AB290" s="1030"/>
    </row>
    <row r="291" spans="1:28">
      <c r="A291" s="1030"/>
      <c r="B291" s="1030"/>
      <c r="C291" s="1030"/>
      <c r="D291" s="1030"/>
      <c r="E291" s="1030"/>
      <c r="F291" s="1030"/>
      <c r="G291" s="1030"/>
      <c r="H291" s="1030"/>
      <c r="I291" s="1030"/>
      <c r="J291" s="1097"/>
      <c r="K291" s="1030"/>
      <c r="L291" s="1030"/>
      <c r="M291" s="1030"/>
      <c r="N291" s="1030"/>
      <c r="O291" s="1030"/>
      <c r="P291" s="1030"/>
      <c r="Q291" s="1030"/>
      <c r="R291" s="1030"/>
      <c r="S291" s="1030"/>
      <c r="T291" s="1030"/>
      <c r="U291" s="1030"/>
      <c r="V291" s="1030"/>
      <c r="W291" s="1030"/>
      <c r="X291" s="1030"/>
      <c r="Y291" s="1030"/>
      <c r="Z291" s="1030"/>
      <c r="AA291" s="1030"/>
      <c r="AB291" s="1030"/>
    </row>
    <row r="292" spans="1:28">
      <c r="A292" s="1030"/>
      <c r="B292" s="1030"/>
      <c r="C292" s="1030"/>
      <c r="D292" s="1030"/>
      <c r="E292" s="1030"/>
      <c r="F292" s="1030"/>
      <c r="G292" s="1030"/>
      <c r="H292" s="1030"/>
      <c r="I292" s="1030"/>
      <c r="J292" s="1097"/>
      <c r="K292" s="1030"/>
      <c r="L292" s="1030"/>
      <c r="M292" s="1030"/>
      <c r="N292" s="1030"/>
      <c r="O292" s="1030"/>
      <c r="P292" s="1030"/>
      <c r="Q292" s="1030"/>
      <c r="R292" s="1030"/>
      <c r="S292" s="1030"/>
      <c r="T292" s="1030"/>
      <c r="U292" s="1030"/>
      <c r="V292" s="1030"/>
      <c r="W292" s="1030"/>
      <c r="X292" s="1030"/>
      <c r="Y292" s="1030"/>
      <c r="Z292" s="1030"/>
      <c r="AA292" s="1030"/>
      <c r="AB292" s="1030"/>
    </row>
    <row r="293" spans="1:28">
      <c r="A293" s="1030"/>
      <c r="B293" s="1030"/>
      <c r="C293" s="1030"/>
      <c r="D293" s="1030"/>
      <c r="E293" s="1030"/>
      <c r="F293" s="1030"/>
      <c r="G293" s="1030"/>
      <c r="H293" s="1030"/>
      <c r="I293" s="1030"/>
      <c r="J293" s="1097"/>
      <c r="K293" s="1030"/>
      <c r="L293" s="1030"/>
      <c r="M293" s="1030"/>
      <c r="N293" s="1030"/>
      <c r="O293" s="1030"/>
      <c r="P293" s="1030"/>
      <c r="Q293" s="1030"/>
      <c r="R293" s="1030"/>
      <c r="S293" s="1030"/>
      <c r="T293" s="1030"/>
      <c r="U293" s="1030"/>
      <c r="V293" s="1030"/>
      <c r="W293" s="1030"/>
      <c r="X293" s="1030"/>
      <c r="Y293" s="1030"/>
      <c r="Z293" s="1030"/>
      <c r="AA293" s="1030"/>
      <c r="AB293" s="1030"/>
    </row>
    <row r="294" spans="1:28">
      <c r="A294" s="1030"/>
      <c r="B294" s="1030"/>
      <c r="C294" s="1030"/>
      <c r="D294" s="1030"/>
      <c r="E294" s="1030"/>
      <c r="F294" s="1030"/>
      <c r="G294" s="1030"/>
      <c r="H294" s="1030"/>
      <c r="I294" s="1030"/>
      <c r="J294" s="1097"/>
      <c r="K294" s="1030"/>
      <c r="L294" s="1030"/>
      <c r="M294" s="1030"/>
      <c r="N294" s="1030"/>
      <c r="O294" s="1030"/>
      <c r="P294" s="1030"/>
      <c r="Q294" s="1030"/>
      <c r="R294" s="1030"/>
      <c r="S294" s="1030"/>
      <c r="T294" s="1030"/>
      <c r="U294" s="1030"/>
      <c r="V294" s="1030"/>
      <c r="W294" s="1030"/>
      <c r="X294" s="1030"/>
      <c r="Y294" s="1030"/>
      <c r="Z294" s="1030"/>
      <c r="AA294" s="1030"/>
      <c r="AB294" s="1030"/>
    </row>
    <row r="295" spans="1:28">
      <c r="A295" s="1030"/>
      <c r="B295" s="1030"/>
      <c r="C295" s="1030"/>
      <c r="D295" s="1030"/>
      <c r="E295" s="1030"/>
      <c r="F295" s="1030"/>
      <c r="G295" s="1030"/>
      <c r="H295" s="1030"/>
      <c r="I295" s="1030"/>
      <c r="J295" s="1097"/>
      <c r="K295" s="1030"/>
      <c r="L295" s="1030"/>
      <c r="M295" s="1030"/>
      <c r="N295" s="1030"/>
      <c r="O295" s="1030"/>
      <c r="P295" s="1030"/>
      <c r="Q295" s="1030"/>
      <c r="R295" s="1030"/>
      <c r="S295" s="1030"/>
      <c r="T295" s="1030"/>
      <c r="U295" s="1030"/>
      <c r="V295" s="1030"/>
      <c r="W295" s="1030"/>
      <c r="X295" s="1030"/>
      <c r="Y295" s="1030"/>
      <c r="Z295" s="1030"/>
      <c r="AA295" s="1030"/>
      <c r="AB295" s="1030"/>
    </row>
    <row r="296" spans="1:28">
      <c r="A296" s="1030"/>
      <c r="B296" s="1030"/>
      <c r="C296" s="1030"/>
      <c r="D296" s="1030"/>
      <c r="E296" s="1030"/>
      <c r="F296" s="1030"/>
      <c r="G296" s="1030"/>
      <c r="H296" s="1030"/>
      <c r="I296" s="1030"/>
      <c r="J296" s="1097"/>
      <c r="K296" s="1030"/>
      <c r="L296" s="1030"/>
      <c r="M296" s="1030"/>
      <c r="N296" s="1030"/>
      <c r="O296" s="1030"/>
      <c r="P296" s="1030"/>
      <c r="Q296" s="1030"/>
      <c r="R296" s="1030"/>
      <c r="S296" s="1030"/>
      <c r="T296" s="1030"/>
      <c r="U296" s="1030"/>
      <c r="V296" s="1030"/>
      <c r="W296" s="1030"/>
      <c r="X296" s="1030"/>
      <c r="Y296" s="1030"/>
      <c r="Z296" s="1030"/>
      <c r="AA296" s="1030"/>
      <c r="AB296" s="1030"/>
    </row>
    <row r="297" spans="1:28">
      <c r="A297" s="1030"/>
      <c r="B297" s="1030"/>
      <c r="C297" s="1030"/>
      <c r="D297" s="1030"/>
      <c r="E297" s="1030"/>
      <c r="F297" s="1030"/>
      <c r="G297" s="1030"/>
      <c r="H297" s="1030"/>
      <c r="I297" s="1030"/>
      <c r="J297" s="1097"/>
      <c r="K297" s="1030"/>
      <c r="L297" s="1030"/>
      <c r="M297" s="1030"/>
      <c r="N297" s="1030"/>
      <c r="O297" s="1030"/>
      <c r="P297" s="1030"/>
      <c r="Q297" s="1030"/>
      <c r="R297" s="1030"/>
      <c r="S297" s="1030"/>
      <c r="T297" s="1030"/>
      <c r="U297" s="1030"/>
      <c r="V297" s="1030"/>
      <c r="W297" s="1030"/>
      <c r="X297" s="1030"/>
      <c r="Y297" s="1030"/>
      <c r="Z297" s="1030"/>
      <c r="AA297" s="1030"/>
      <c r="AB297" s="1030"/>
    </row>
    <row r="298" spans="1:28">
      <c r="A298" s="1030"/>
      <c r="B298" s="1030"/>
      <c r="C298" s="1030"/>
      <c r="D298" s="1030"/>
      <c r="E298" s="1030"/>
      <c r="F298" s="1030"/>
      <c r="G298" s="1030"/>
      <c r="H298" s="1030"/>
      <c r="I298" s="1030"/>
      <c r="J298" s="1097"/>
      <c r="K298" s="1030"/>
      <c r="L298" s="1030"/>
      <c r="M298" s="1030"/>
      <c r="N298" s="1030"/>
      <c r="O298" s="1030"/>
      <c r="P298" s="1030"/>
      <c r="Q298" s="1030"/>
      <c r="R298" s="1030"/>
      <c r="S298" s="1030"/>
      <c r="T298" s="1030"/>
      <c r="U298" s="1030"/>
      <c r="V298" s="1030"/>
      <c r="W298" s="1030"/>
      <c r="X298" s="1030"/>
      <c r="Y298" s="1030"/>
      <c r="Z298" s="1030"/>
      <c r="AA298" s="1030"/>
      <c r="AB298" s="1030"/>
    </row>
    <row r="299" spans="1:28">
      <c r="A299" s="1030"/>
      <c r="B299" s="1030"/>
      <c r="C299" s="1030"/>
      <c r="D299" s="1030"/>
      <c r="E299" s="1030"/>
      <c r="F299" s="1030"/>
      <c r="G299" s="1030"/>
      <c r="H299" s="1030"/>
      <c r="I299" s="1030"/>
      <c r="J299" s="1097"/>
      <c r="K299" s="1030"/>
      <c r="L299" s="1030"/>
      <c r="M299" s="1030"/>
      <c r="N299" s="1030"/>
      <c r="O299" s="1030"/>
      <c r="P299" s="1030"/>
      <c r="Q299" s="1030"/>
      <c r="R299" s="1030"/>
      <c r="S299" s="1030"/>
      <c r="T299" s="1030"/>
      <c r="U299" s="1030"/>
      <c r="V299" s="1030"/>
      <c r="W299" s="1030"/>
      <c r="X299" s="1030"/>
      <c r="Y299" s="1030"/>
      <c r="Z299" s="1030"/>
      <c r="AA299" s="1030"/>
      <c r="AB299" s="1030"/>
    </row>
    <row r="300" spans="1:28">
      <c r="A300" s="1030"/>
      <c r="B300" s="1030"/>
      <c r="C300" s="1030"/>
      <c r="D300" s="1030"/>
      <c r="E300" s="1030"/>
      <c r="F300" s="1030"/>
      <c r="G300" s="1030"/>
      <c r="H300" s="1030"/>
      <c r="I300" s="1030"/>
      <c r="J300" s="1097"/>
      <c r="K300" s="1030"/>
      <c r="L300" s="1030"/>
      <c r="M300" s="1030"/>
      <c r="N300" s="1030"/>
      <c r="O300" s="1030"/>
      <c r="P300" s="1030"/>
      <c r="Q300" s="1030"/>
      <c r="R300" s="1030"/>
      <c r="S300" s="1030"/>
      <c r="T300" s="1030"/>
      <c r="U300" s="1030"/>
      <c r="V300" s="1030"/>
      <c r="W300" s="1030"/>
      <c r="X300" s="1030"/>
      <c r="Y300" s="1030"/>
      <c r="Z300" s="1030"/>
      <c r="AA300" s="1030"/>
      <c r="AB300" s="1030"/>
    </row>
    <row r="301" spans="1:28">
      <c r="A301" s="1030"/>
      <c r="B301" s="1030"/>
      <c r="C301" s="1030"/>
      <c r="D301" s="1030"/>
      <c r="E301" s="1030"/>
      <c r="F301" s="1030"/>
      <c r="G301" s="1030"/>
      <c r="H301" s="1030"/>
      <c r="I301" s="1030"/>
      <c r="J301" s="1097"/>
      <c r="K301" s="1030"/>
      <c r="L301" s="1030"/>
      <c r="M301" s="1030"/>
      <c r="N301" s="1030"/>
      <c r="O301" s="1030"/>
      <c r="P301" s="1030"/>
      <c r="Q301" s="1030"/>
      <c r="R301" s="1030"/>
      <c r="S301" s="1030"/>
      <c r="T301" s="1030"/>
      <c r="U301" s="1030"/>
      <c r="V301" s="1030"/>
      <c r="W301" s="1030"/>
      <c r="X301" s="1030"/>
      <c r="Y301" s="1030"/>
      <c r="Z301" s="1030"/>
      <c r="AA301" s="1030"/>
      <c r="AB301" s="1030"/>
    </row>
    <row r="302" spans="1:28">
      <c r="A302" s="1030"/>
      <c r="B302" s="1030"/>
      <c r="C302" s="1030"/>
      <c r="D302" s="1030"/>
      <c r="E302" s="1030"/>
      <c r="F302" s="1030"/>
      <c r="G302" s="1030"/>
      <c r="H302" s="1030"/>
      <c r="I302" s="1030"/>
      <c r="J302" s="1097"/>
      <c r="K302" s="1030"/>
      <c r="L302" s="1030"/>
      <c r="M302" s="1030"/>
      <c r="N302" s="1030"/>
      <c r="O302" s="1030"/>
      <c r="P302" s="1030"/>
      <c r="Q302" s="1030"/>
      <c r="R302" s="1030"/>
      <c r="S302" s="1030"/>
      <c r="T302" s="1030"/>
      <c r="U302" s="1030"/>
      <c r="V302" s="1030"/>
      <c r="W302" s="1030"/>
      <c r="X302" s="1030"/>
      <c r="Y302" s="1030"/>
      <c r="Z302" s="1030"/>
      <c r="AA302" s="1030"/>
      <c r="AB302" s="1030"/>
    </row>
    <row r="303" spans="1:28">
      <c r="A303" s="1030"/>
      <c r="B303" s="1030"/>
      <c r="C303" s="1030"/>
      <c r="D303" s="1030"/>
      <c r="E303" s="1030"/>
      <c r="F303" s="1030"/>
      <c r="G303" s="1030"/>
      <c r="H303" s="1030"/>
      <c r="I303" s="1030"/>
      <c r="J303" s="1097"/>
      <c r="K303" s="1030"/>
      <c r="L303" s="1030"/>
      <c r="M303" s="1030"/>
      <c r="N303" s="1030"/>
      <c r="O303" s="1030"/>
      <c r="P303" s="1030"/>
      <c r="Q303" s="1030"/>
      <c r="R303" s="1030"/>
      <c r="S303" s="1030"/>
      <c r="T303" s="1030"/>
      <c r="U303" s="1030"/>
      <c r="V303" s="1030"/>
      <c r="W303" s="1030"/>
      <c r="X303" s="1030"/>
      <c r="Y303" s="1030"/>
      <c r="Z303" s="1030"/>
      <c r="AA303" s="1030"/>
      <c r="AB303" s="1030"/>
    </row>
    <row r="304" spans="1:28">
      <c r="A304" s="1030"/>
      <c r="B304" s="1030"/>
      <c r="C304" s="1030"/>
      <c r="D304" s="1030"/>
      <c r="E304" s="1030"/>
      <c r="F304" s="1030"/>
      <c r="G304" s="1030"/>
      <c r="H304" s="1030"/>
      <c r="I304" s="1030"/>
      <c r="J304" s="1097"/>
      <c r="K304" s="1030"/>
      <c r="L304" s="1030"/>
      <c r="M304" s="1030"/>
      <c r="N304" s="1030"/>
      <c r="O304" s="1030"/>
      <c r="P304" s="1030"/>
      <c r="Q304" s="1030"/>
      <c r="R304" s="1030"/>
      <c r="S304" s="1030"/>
      <c r="T304" s="1030"/>
      <c r="U304" s="1030"/>
      <c r="V304" s="1030"/>
      <c r="W304" s="1030"/>
      <c r="X304" s="1030"/>
      <c r="Y304" s="1030"/>
      <c r="Z304" s="1030"/>
      <c r="AA304" s="1030"/>
      <c r="AB304" s="1030"/>
    </row>
    <row r="305" spans="1:28">
      <c r="A305" s="1030"/>
      <c r="B305" s="1030"/>
      <c r="C305" s="1030"/>
      <c r="D305" s="1030"/>
      <c r="E305" s="1030"/>
      <c r="F305" s="1030"/>
      <c r="G305" s="1030"/>
      <c r="H305" s="1030"/>
      <c r="I305" s="1030"/>
      <c r="J305" s="1097"/>
      <c r="K305" s="1030"/>
      <c r="L305" s="1030"/>
      <c r="M305" s="1030"/>
      <c r="N305" s="1030"/>
      <c r="O305" s="1030"/>
      <c r="P305" s="1030"/>
      <c r="Q305" s="1030"/>
      <c r="R305" s="1030"/>
      <c r="S305" s="1030"/>
      <c r="T305" s="1030"/>
      <c r="U305" s="1030"/>
      <c r="V305" s="1030"/>
      <c r="W305" s="1030"/>
      <c r="X305" s="1030"/>
      <c r="Y305" s="1030"/>
      <c r="Z305" s="1030"/>
      <c r="AA305" s="1030"/>
      <c r="AB305" s="1030"/>
    </row>
    <row r="306" spans="1:28">
      <c r="A306" s="1030"/>
      <c r="B306" s="1030"/>
      <c r="C306" s="1030"/>
      <c r="D306" s="1030"/>
      <c r="E306" s="1030"/>
      <c r="F306" s="1030"/>
      <c r="G306" s="1030"/>
      <c r="H306" s="1030"/>
      <c r="I306" s="1030"/>
      <c r="J306" s="1097"/>
      <c r="K306" s="1030"/>
      <c r="L306" s="1030"/>
      <c r="M306" s="1030"/>
      <c r="N306" s="1030"/>
      <c r="O306" s="1030"/>
      <c r="P306" s="1030"/>
      <c r="Q306" s="1030"/>
      <c r="R306" s="1030"/>
      <c r="S306" s="1030"/>
      <c r="T306" s="1030"/>
      <c r="U306" s="1030"/>
      <c r="V306" s="1030"/>
      <c r="W306" s="1030"/>
      <c r="X306" s="1030"/>
      <c r="Y306" s="1030"/>
      <c r="Z306" s="1030"/>
      <c r="AA306" s="1030"/>
      <c r="AB306" s="1030"/>
    </row>
    <row r="307" spans="1:28">
      <c r="A307" s="1030"/>
      <c r="B307" s="1030"/>
      <c r="C307" s="1030"/>
      <c r="D307" s="1030"/>
      <c r="E307" s="1030"/>
      <c r="F307" s="1030"/>
      <c r="G307" s="1030"/>
      <c r="H307" s="1030"/>
      <c r="I307" s="1030"/>
      <c r="J307" s="1097"/>
      <c r="K307" s="1030"/>
      <c r="L307" s="1030"/>
      <c r="M307" s="1030"/>
      <c r="N307" s="1030"/>
      <c r="O307" s="1030"/>
      <c r="P307" s="1030"/>
      <c r="Q307" s="1030"/>
      <c r="R307" s="1030"/>
      <c r="S307" s="1030"/>
      <c r="T307" s="1030"/>
      <c r="U307" s="1030"/>
      <c r="V307" s="1030"/>
      <c r="W307" s="1030"/>
      <c r="X307" s="1030"/>
      <c r="Y307" s="1030"/>
      <c r="Z307" s="1030"/>
      <c r="AA307" s="1030"/>
      <c r="AB307" s="1030"/>
    </row>
    <row r="308" spans="1:28">
      <c r="A308" s="1030"/>
      <c r="B308" s="1030"/>
      <c r="C308" s="1030"/>
      <c r="D308" s="1030"/>
      <c r="E308" s="1030"/>
      <c r="F308" s="1030"/>
      <c r="G308" s="1030"/>
      <c r="H308" s="1030"/>
      <c r="I308" s="1030"/>
      <c r="J308" s="1097"/>
      <c r="K308" s="1030"/>
      <c r="L308" s="1030"/>
      <c r="M308" s="1030"/>
      <c r="N308" s="1030"/>
      <c r="O308" s="1030"/>
      <c r="P308" s="1030"/>
      <c r="Q308" s="1030"/>
      <c r="R308" s="1030"/>
      <c r="S308" s="1030"/>
      <c r="T308" s="1030"/>
      <c r="U308" s="1030"/>
      <c r="V308" s="1030"/>
      <c r="W308" s="1030"/>
      <c r="X308" s="1030"/>
      <c r="Y308" s="1030"/>
      <c r="Z308" s="1030"/>
      <c r="AA308" s="1030"/>
      <c r="AB308" s="1030"/>
    </row>
    <row r="309" spans="1:28">
      <c r="A309" s="1030"/>
      <c r="B309" s="1030"/>
      <c r="C309" s="1030"/>
      <c r="D309" s="1030"/>
      <c r="E309" s="1030"/>
      <c r="F309" s="1030"/>
      <c r="G309" s="1030"/>
      <c r="H309" s="1030"/>
      <c r="I309" s="1030"/>
      <c r="J309" s="1097"/>
      <c r="K309" s="1030"/>
      <c r="L309" s="1030"/>
      <c r="M309" s="1030"/>
      <c r="N309" s="1030"/>
      <c r="O309" s="1030"/>
      <c r="P309" s="1030"/>
      <c r="Q309" s="1030"/>
      <c r="R309" s="1030"/>
      <c r="S309" s="1030"/>
      <c r="T309" s="1030"/>
      <c r="U309" s="1030"/>
      <c r="V309" s="1030"/>
      <c r="W309" s="1030"/>
      <c r="X309" s="1030"/>
      <c r="Y309" s="1030"/>
      <c r="Z309" s="1030"/>
      <c r="AA309" s="1030"/>
      <c r="AB309" s="1030"/>
    </row>
    <row r="310" spans="1:28">
      <c r="A310" s="1030"/>
      <c r="B310" s="1030"/>
      <c r="C310" s="1030"/>
      <c r="D310" s="1030"/>
      <c r="E310" s="1030"/>
      <c r="F310" s="1030"/>
      <c r="G310" s="1030"/>
      <c r="H310" s="1030"/>
      <c r="I310" s="1030"/>
      <c r="J310" s="1097"/>
      <c r="K310" s="1030"/>
      <c r="L310" s="1030"/>
      <c r="M310" s="1030"/>
      <c r="N310" s="1030"/>
      <c r="O310" s="1030"/>
      <c r="P310" s="1030"/>
      <c r="Q310" s="1030"/>
      <c r="R310" s="1030"/>
      <c r="S310" s="1030"/>
      <c r="T310" s="1030"/>
      <c r="U310" s="1030"/>
      <c r="V310" s="1030"/>
      <c r="W310" s="1030"/>
      <c r="X310" s="1030"/>
      <c r="Y310" s="1030"/>
      <c r="Z310" s="1030"/>
      <c r="AA310" s="1030"/>
      <c r="AB310" s="1030"/>
    </row>
    <row r="311" spans="1:28">
      <c r="A311" s="1030"/>
      <c r="B311" s="1030"/>
      <c r="C311" s="1030"/>
      <c r="D311" s="1030"/>
      <c r="E311" s="1030"/>
      <c r="F311" s="1030"/>
      <c r="G311" s="1030"/>
      <c r="H311" s="1030"/>
      <c r="I311" s="1030"/>
      <c r="J311" s="1097"/>
      <c r="K311" s="1030"/>
      <c r="L311" s="1030"/>
      <c r="M311" s="1030"/>
      <c r="N311" s="1030"/>
      <c r="O311" s="1030"/>
      <c r="P311" s="1030"/>
      <c r="Q311" s="1030"/>
      <c r="R311" s="1030"/>
      <c r="S311" s="1030"/>
      <c r="T311" s="1030"/>
      <c r="U311" s="1030"/>
      <c r="V311" s="1030"/>
      <c r="W311" s="1030"/>
      <c r="X311" s="1030"/>
      <c r="Y311" s="1030"/>
      <c r="Z311" s="1030"/>
      <c r="AA311" s="1030"/>
      <c r="AB311" s="1030"/>
    </row>
    <row r="312" spans="1:28">
      <c r="A312" s="1030"/>
      <c r="B312" s="1030"/>
      <c r="C312" s="1030"/>
      <c r="D312" s="1030"/>
      <c r="E312" s="1030"/>
      <c r="F312" s="1030"/>
      <c r="G312" s="1030"/>
      <c r="H312" s="1030"/>
      <c r="I312" s="1030"/>
      <c r="J312" s="1097"/>
      <c r="K312" s="1030"/>
      <c r="L312" s="1030"/>
      <c r="M312" s="1030"/>
      <c r="N312" s="1030"/>
      <c r="O312" s="1030"/>
      <c r="P312" s="1030"/>
      <c r="Q312" s="1030"/>
      <c r="R312" s="1030"/>
      <c r="S312" s="1030"/>
      <c r="T312" s="1030"/>
      <c r="U312" s="1030"/>
      <c r="V312" s="1030"/>
      <c r="W312" s="1030"/>
      <c r="X312" s="1030"/>
      <c r="Y312" s="1030"/>
      <c r="Z312" s="1030"/>
      <c r="AA312" s="1030"/>
      <c r="AB312" s="1030"/>
    </row>
    <row r="313" spans="1:28">
      <c r="A313" s="1030"/>
      <c r="B313" s="1030"/>
      <c r="C313" s="1030"/>
      <c r="D313" s="1030"/>
      <c r="E313" s="1030"/>
      <c r="F313" s="1030"/>
      <c r="G313" s="1030"/>
      <c r="H313" s="1030"/>
      <c r="I313" s="1030"/>
      <c r="J313" s="1097"/>
      <c r="K313" s="1030"/>
      <c r="L313" s="1030"/>
      <c r="M313" s="1030"/>
      <c r="N313" s="1030"/>
      <c r="O313" s="1030"/>
      <c r="P313" s="1030"/>
      <c r="Q313" s="1030"/>
      <c r="R313" s="1030"/>
      <c r="S313" s="1030"/>
      <c r="T313" s="1030"/>
      <c r="U313" s="1030"/>
      <c r="V313" s="1030"/>
      <c r="W313" s="1030"/>
      <c r="X313" s="1030"/>
      <c r="Y313" s="1030"/>
      <c r="Z313" s="1030"/>
      <c r="AA313" s="1030"/>
      <c r="AB313" s="1030"/>
    </row>
    <row r="314" spans="1:28">
      <c r="A314" s="1030"/>
      <c r="B314" s="1030"/>
      <c r="C314" s="1030"/>
      <c r="D314" s="1030"/>
      <c r="E314" s="1030"/>
      <c r="F314" s="1030"/>
      <c r="G314" s="1030"/>
      <c r="H314" s="1030"/>
      <c r="I314" s="1030"/>
      <c r="J314" s="1097"/>
      <c r="K314" s="1030"/>
      <c r="L314" s="1030"/>
      <c r="M314" s="1030"/>
      <c r="N314" s="1030"/>
      <c r="O314" s="1030"/>
      <c r="P314" s="1030"/>
      <c r="Q314" s="1030"/>
      <c r="R314" s="1030"/>
      <c r="S314" s="1030"/>
      <c r="T314" s="1030"/>
      <c r="U314" s="1030"/>
      <c r="V314" s="1030"/>
      <c r="W314" s="1030"/>
      <c r="X314" s="1030"/>
      <c r="Y314" s="1030"/>
      <c r="Z314" s="1030"/>
      <c r="AA314" s="1030"/>
      <c r="AB314" s="1030"/>
    </row>
    <row r="315" spans="1:28">
      <c r="A315" s="1030"/>
      <c r="B315" s="1030"/>
      <c r="C315" s="1030"/>
      <c r="D315" s="1030"/>
      <c r="E315" s="1030"/>
      <c r="F315" s="1030"/>
      <c r="G315" s="1030"/>
      <c r="H315" s="1030"/>
      <c r="I315" s="1030"/>
      <c r="J315" s="1097"/>
      <c r="K315" s="1030"/>
      <c r="L315" s="1030"/>
      <c r="M315" s="1030"/>
      <c r="N315" s="1030"/>
      <c r="O315" s="1030"/>
      <c r="P315" s="1030"/>
      <c r="Q315" s="1030"/>
      <c r="R315" s="1030"/>
      <c r="S315" s="1030"/>
      <c r="T315" s="1030"/>
      <c r="U315" s="1030"/>
      <c r="V315" s="1030"/>
      <c r="W315" s="1030"/>
      <c r="X315" s="1030"/>
      <c r="Y315" s="1030"/>
      <c r="Z315" s="1030"/>
      <c r="AA315" s="1030"/>
      <c r="AB315" s="1030"/>
    </row>
    <row r="316" spans="1:28">
      <c r="A316" s="1030"/>
      <c r="B316" s="1030"/>
      <c r="C316" s="1030"/>
      <c r="D316" s="1030"/>
      <c r="E316" s="1030"/>
      <c r="F316" s="1030"/>
      <c r="G316" s="1030"/>
      <c r="H316" s="1030"/>
      <c r="I316" s="1030"/>
      <c r="J316" s="1097"/>
      <c r="K316" s="1030"/>
      <c r="L316" s="1030"/>
      <c r="M316" s="1030"/>
      <c r="N316" s="1030"/>
      <c r="O316" s="1030"/>
      <c r="P316" s="1030"/>
      <c r="Q316" s="1030"/>
      <c r="R316" s="1030"/>
      <c r="S316" s="1030"/>
      <c r="T316" s="1030"/>
      <c r="U316" s="1030"/>
      <c r="V316" s="1030"/>
      <c r="W316" s="1030"/>
      <c r="X316" s="1030"/>
      <c r="Y316" s="1030"/>
      <c r="Z316" s="1030"/>
      <c r="AA316" s="1030"/>
      <c r="AB316" s="1030"/>
    </row>
    <row r="317" spans="1:28">
      <c r="A317" s="1030"/>
      <c r="B317" s="1030"/>
      <c r="C317" s="1030"/>
      <c r="D317" s="1030"/>
      <c r="E317" s="1030"/>
      <c r="F317" s="1030"/>
      <c r="G317" s="1030"/>
      <c r="H317" s="1030"/>
      <c r="I317" s="1030"/>
      <c r="J317" s="1097"/>
      <c r="K317" s="1030"/>
      <c r="L317" s="1030"/>
      <c r="M317" s="1030"/>
      <c r="N317" s="1030"/>
      <c r="O317" s="1030"/>
      <c r="P317" s="1030"/>
      <c r="Q317" s="1030"/>
      <c r="R317" s="1030"/>
      <c r="S317" s="1030"/>
      <c r="T317" s="1030"/>
      <c r="U317" s="1030"/>
      <c r="V317" s="1030"/>
      <c r="W317" s="1030"/>
      <c r="X317" s="1030"/>
      <c r="Y317" s="1030"/>
      <c r="Z317" s="1030"/>
      <c r="AA317" s="1030"/>
      <c r="AB317" s="1030"/>
    </row>
    <row r="318" spans="1:28">
      <c r="A318" s="1030"/>
      <c r="B318" s="1030"/>
      <c r="C318" s="1030"/>
      <c r="D318" s="1030"/>
      <c r="E318" s="1030"/>
      <c r="F318" s="1030"/>
      <c r="G318" s="1030"/>
      <c r="H318" s="1030"/>
      <c r="I318" s="1030"/>
      <c r="J318" s="1097"/>
      <c r="K318" s="1030"/>
      <c r="L318" s="1030"/>
      <c r="M318" s="1030"/>
      <c r="N318" s="1030"/>
      <c r="O318" s="1030"/>
      <c r="P318" s="1030"/>
      <c r="Q318" s="1030"/>
      <c r="R318" s="1030"/>
      <c r="S318" s="1030"/>
      <c r="T318" s="1030"/>
      <c r="U318" s="1030"/>
      <c r="V318" s="1030"/>
      <c r="W318" s="1030"/>
      <c r="X318" s="1030"/>
      <c r="Y318" s="1030"/>
      <c r="Z318" s="1030"/>
      <c r="AA318" s="1030"/>
      <c r="AB318" s="1030"/>
    </row>
    <row r="319" spans="1:28">
      <c r="A319" s="1030"/>
      <c r="B319" s="1030"/>
      <c r="C319" s="1030"/>
      <c r="D319" s="1030"/>
      <c r="E319" s="1030"/>
      <c r="F319" s="1030"/>
      <c r="G319" s="1030"/>
      <c r="H319" s="1030"/>
      <c r="I319" s="1030"/>
      <c r="J319" s="1097"/>
      <c r="K319" s="1030"/>
      <c r="L319" s="1030"/>
      <c r="M319" s="1030"/>
      <c r="N319" s="1030"/>
      <c r="O319" s="1030"/>
      <c r="P319" s="1030"/>
      <c r="Q319" s="1030"/>
      <c r="R319" s="1030"/>
      <c r="S319" s="1030"/>
      <c r="T319" s="1030"/>
      <c r="U319" s="1030"/>
      <c r="V319" s="1030"/>
      <c r="W319" s="1030"/>
      <c r="X319" s="1030"/>
      <c r="Y319" s="1030"/>
      <c r="Z319" s="1030"/>
      <c r="AA319" s="1030"/>
      <c r="AB319" s="1030"/>
    </row>
    <row r="320" spans="1:28">
      <c r="A320" s="1030"/>
      <c r="B320" s="1030"/>
      <c r="C320" s="1030"/>
      <c r="D320" s="1030"/>
      <c r="E320" s="1030"/>
      <c r="F320" s="1030"/>
      <c r="G320" s="1030"/>
      <c r="H320" s="1030"/>
      <c r="I320" s="1030"/>
      <c r="J320" s="1097"/>
      <c r="K320" s="1030"/>
      <c r="L320" s="1030"/>
      <c r="M320" s="1030"/>
      <c r="N320" s="1030"/>
      <c r="O320" s="1030"/>
      <c r="P320" s="1030"/>
      <c r="Q320" s="1030"/>
      <c r="R320" s="1030"/>
      <c r="S320" s="1030"/>
      <c r="T320" s="1030"/>
      <c r="U320" s="1030"/>
      <c r="V320" s="1030"/>
      <c r="W320" s="1030"/>
      <c r="X320" s="1030"/>
      <c r="Y320" s="1030"/>
      <c r="Z320" s="1030"/>
      <c r="AA320" s="1030"/>
      <c r="AB320" s="1030"/>
    </row>
    <row r="321" spans="1:28">
      <c r="A321" s="1030"/>
      <c r="B321" s="1030"/>
      <c r="C321" s="1030"/>
      <c r="D321" s="1030"/>
      <c r="E321" s="1030"/>
      <c r="F321" s="1030"/>
      <c r="G321" s="1030"/>
      <c r="H321" s="1030"/>
      <c r="I321" s="1030"/>
      <c r="J321" s="1097"/>
      <c r="K321" s="1030"/>
      <c r="L321" s="1030"/>
      <c r="M321" s="1030"/>
      <c r="N321" s="1030"/>
      <c r="O321" s="1030"/>
      <c r="P321" s="1030"/>
      <c r="Q321" s="1030"/>
      <c r="R321" s="1030"/>
      <c r="S321" s="1030"/>
      <c r="T321" s="1030"/>
      <c r="U321" s="1030"/>
      <c r="V321" s="1030"/>
      <c r="W321" s="1030"/>
      <c r="X321" s="1030"/>
      <c r="Y321" s="1030"/>
      <c r="Z321" s="1030"/>
      <c r="AA321" s="1030"/>
      <c r="AB321" s="1030"/>
    </row>
    <row r="322" spans="1:28">
      <c r="A322" s="1030"/>
      <c r="B322" s="1030"/>
      <c r="C322" s="1030"/>
      <c r="D322" s="1030"/>
      <c r="E322" s="1030"/>
      <c r="F322" s="1030"/>
      <c r="G322" s="1030"/>
      <c r="H322" s="1030"/>
      <c r="I322" s="1030"/>
      <c r="J322" s="1097"/>
      <c r="K322" s="1030"/>
      <c r="L322" s="1030"/>
      <c r="M322" s="1030"/>
      <c r="N322" s="1030"/>
      <c r="O322" s="1030"/>
      <c r="P322" s="1030"/>
      <c r="Q322" s="1030"/>
      <c r="R322" s="1030"/>
      <c r="S322" s="1030"/>
      <c r="T322" s="1030"/>
      <c r="U322" s="1030"/>
      <c r="V322" s="1030"/>
      <c r="W322" s="1030"/>
      <c r="X322" s="1030"/>
      <c r="Y322" s="1030"/>
      <c r="Z322" s="1030"/>
      <c r="AA322" s="1030"/>
      <c r="AB322" s="1030"/>
    </row>
    <row r="323" spans="1:28">
      <c r="A323" s="1030"/>
      <c r="B323" s="1030"/>
      <c r="C323" s="1030"/>
      <c r="D323" s="1030"/>
      <c r="E323" s="1030"/>
      <c r="F323" s="1030"/>
      <c r="G323" s="1030"/>
      <c r="H323" s="1030"/>
      <c r="I323" s="1030"/>
      <c r="J323" s="1097"/>
      <c r="K323" s="1030"/>
      <c r="L323" s="1030"/>
      <c r="M323" s="1030"/>
      <c r="N323" s="1030"/>
      <c r="O323" s="1030"/>
      <c r="P323" s="1030"/>
      <c r="Q323" s="1030"/>
      <c r="R323" s="1030"/>
      <c r="S323" s="1030"/>
      <c r="T323" s="1030"/>
      <c r="U323" s="1030"/>
      <c r="V323" s="1030"/>
      <c r="W323" s="1030"/>
      <c r="X323" s="1030"/>
      <c r="Y323" s="1030"/>
      <c r="Z323" s="1030"/>
      <c r="AA323" s="1030"/>
      <c r="AB323" s="1030"/>
    </row>
    <row r="324" spans="1:28">
      <c r="A324" s="1030"/>
      <c r="B324" s="1030"/>
      <c r="C324" s="1030"/>
      <c r="D324" s="1030"/>
      <c r="E324" s="1030"/>
      <c r="F324" s="1030"/>
      <c r="G324" s="1030"/>
      <c r="H324" s="1030"/>
      <c r="I324" s="1030"/>
      <c r="J324" s="1097"/>
      <c r="K324" s="1030"/>
      <c r="L324" s="1030"/>
      <c r="M324" s="1030"/>
      <c r="N324" s="1030"/>
      <c r="O324" s="1030"/>
      <c r="P324" s="1030"/>
      <c r="Q324" s="1030"/>
      <c r="R324" s="1030"/>
      <c r="S324" s="1030"/>
      <c r="T324" s="1030"/>
      <c r="U324" s="1030"/>
      <c r="V324" s="1030"/>
      <c r="W324" s="1030"/>
      <c r="X324" s="1030"/>
      <c r="Y324" s="1030"/>
      <c r="Z324" s="1030"/>
      <c r="AA324" s="1030"/>
      <c r="AB324" s="1030"/>
    </row>
    <row r="325" spans="1:28">
      <c r="A325" s="1030"/>
      <c r="B325" s="1030"/>
      <c r="C325" s="1030"/>
      <c r="D325" s="1030"/>
      <c r="E325" s="1030"/>
      <c r="F325" s="1030"/>
      <c r="G325" s="1030"/>
      <c r="H325" s="1030"/>
      <c r="I325" s="1030"/>
      <c r="J325" s="1097"/>
      <c r="K325" s="1030"/>
      <c r="L325" s="1030"/>
      <c r="M325" s="1030"/>
      <c r="N325" s="1030"/>
      <c r="O325" s="1030"/>
      <c r="P325" s="1030"/>
      <c r="Q325" s="1030"/>
      <c r="R325" s="1030"/>
      <c r="S325" s="1030"/>
      <c r="T325" s="1030"/>
      <c r="U325" s="1030"/>
      <c r="V325" s="1030"/>
      <c r="W325" s="1030"/>
      <c r="X325" s="1030"/>
      <c r="Y325" s="1030"/>
      <c r="Z325" s="1030"/>
      <c r="AA325" s="1030"/>
      <c r="AB325" s="1030"/>
    </row>
    <row r="326" spans="1:28">
      <c r="A326" s="1030"/>
      <c r="B326" s="1030"/>
      <c r="C326" s="1030"/>
      <c r="D326" s="1030"/>
      <c r="E326" s="1030"/>
      <c r="F326" s="1030"/>
      <c r="G326" s="1030"/>
      <c r="H326" s="1030"/>
      <c r="I326" s="1030"/>
      <c r="J326" s="1097"/>
      <c r="K326" s="1030"/>
      <c r="L326" s="1030"/>
      <c r="M326" s="1030"/>
      <c r="N326" s="1030"/>
      <c r="O326" s="1030"/>
      <c r="P326" s="1030"/>
      <c r="Q326" s="1030"/>
      <c r="R326" s="1030"/>
      <c r="S326" s="1030"/>
      <c r="T326" s="1030"/>
      <c r="U326" s="1030"/>
      <c r="V326" s="1030"/>
      <c r="W326" s="1030"/>
      <c r="X326" s="1030"/>
      <c r="Y326" s="1030"/>
      <c r="Z326" s="1030"/>
      <c r="AA326" s="1030"/>
      <c r="AB326" s="1030"/>
    </row>
    <row r="327" spans="1:28">
      <c r="A327" s="1030"/>
      <c r="B327" s="1030"/>
      <c r="C327" s="1030"/>
      <c r="D327" s="1030"/>
      <c r="E327" s="1030"/>
      <c r="F327" s="1030"/>
      <c r="G327" s="1030"/>
      <c r="H327" s="1030"/>
      <c r="I327" s="1030"/>
      <c r="J327" s="1097"/>
      <c r="K327" s="1030"/>
      <c r="L327" s="1030"/>
      <c r="M327" s="1030"/>
      <c r="N327" s="1030"/>
      <c r="O327" s="1030"/>
      <c r="P327" s="1030"/>
      <c r="Q327" s="1030"/>
      <c r="R327" s="1030"/>
      <c r="S327" s="1030"/>
      <c r="T327" s="1030"/>
      <c r="U327" s="1030"/>
      <c r="V327" s="1030"/>
      <c r="W327" s="1030"/>
      <c r="X327" s="1030"/>
      <c r="Y327" s="1030"/>
      <c r="Z327" s="1030"/>
      <c r="AA327" s="1030"/>
      <c r="AB327" s="1030"/>
    </row>
    <row r="328" spans="1:28">
      <c r="A328" s="1030"/>
      <c r="B328" s="1030"/>
      <c r="C328" s="1030"/>
      <c r="D328" s="1030"/>
      <c r="E328" s="1030"/>
      <c r="F328" s="1030"/>
      <c r="G328" s="1030"/>
      <c r="H328" s="1030"/>
      <c r="I328" s="1030"/>
      <c r="J328" s="1097"/>
      <c r="K328" s="1030"/>
      <c r="L328" s="1030"/>
      <c r="M328" s="1030"/>
      <c r="N328" s="1030"/>
      <c r="O328" s="1030"/>
      <c r="P328" s="1030"/>
      <c r="Q328" s="1030"/>
      <c r="R328" s="1030"/>
      <c r="S328" s="1030"/>
      <c r="T328" s="1030"/>
      <c r="U328" s="1030"/>
      <c r="V328" s="1030"/>
      <c r="W328" s="1030"/>
      <c r="X328" s="1030"/>
      <c r="Y328" s="1030"/>
      <c r="Z328" s="1030"/>
      <c r="AA328" s="1030"/>
      <c r="AB328" s="1030"/>
    </row>
    <row r="329" spans="1:28">
      <c r="A329" s="1030"/>
      <c r="B329" s="1030"/>
      <c r="C329" s="1030"/>
      <c r="D329" s="1030"/>
      <c r="E329" s="1030"/>
      <c r="F329" s="1030"/>
      <c r="G329" s="1030"/>
      <c r="H329" s="1030"/>
      <c r="I329" s="1030"/>
      <c r="J329" s="1097"/>
      <c r="K329" s="1030"/>
      <c r="L329" s="1030"/>
      <c r="M329" s="1030"/>
      <c r="N329" s="1030"/>
      <c r="O329" s="1030"/>
      <c r="P329" s="1030"/>
      <c r="Q329" s="1030"/>
      <c r="R329" s="1030"/>
      <c r="S329" s="1030"/>
      <c r="T329" s="1030"/>
      <c r="U329" s="1030"/>
      <c r="V329" s="1030"/>
      <c r="W329" s="1030"/>
      <c r="X329" s="1030"/>
      <c r="Y329" s="1030"/>
      <c r="Z329" s="1030"/>
      <c r="AA329" s="1030"/>
      <c r="AB329" s="1030"/>
    </row>
    <row r="330" spans="1:28">
      <c r="A330" s="1030"/>
      <c r="B330" s="1030"/>
      <c r="C330" s="1030"/>
      <c r="D330" s="1030"/>
      <c r="E330" s="1030"/>
      <c r="F330" s="1030"/>
      <c r="G330" s="1030"/>
      <c r="H330" s="1030"/>
      <c r="I330" s="1030"/>
      <c r="J330" s="1097"/>
      <c r="K330" s="1030"/>
      <c r="L330" s="1030"/>
      <c r="M330" s="1030"/>
      <c r="N330" s="1030"/>
      <c r="O330" s="1030"/>
      <c r="P330" s="1030"/>
      <c r="Q330" s="1030"/>
      <c r="R330" s="1030"/>
      <c r="S330" s="1030"/>
      <c r="T330" s="1030"/>
      <c r="U330" s="1030"/>
      <c r="V330" s="1030"/>
      <c r="W330" s="1030"/>
      <c r="X330" s="1030"/>
      <c r="Y330" s="1030"/>
      <c r="Z330" s="1030"/>
      <c r="AA330" s="1030"/>
      <c r="AB330" s="1030"/>
    </row>
    <row r="331" spans="1:28">
      <c r="A331" s="1030"/>
      <c r="B331" s="1030"/>
      <c r="C331" s="1030"/>
      <c r="D331" s="1030"/>
      <c r="E331" s="1030"/>
      <c r="F331" s="1030"/>
      <c r="G331" s="1030"/>
      <c r="H331" s="1030"/>
      <c r="I331" s="1030"/>
      <c r="J331" s="1097"/>
      <c r="K331" s="1030"/>
      <c r="L331" s="1030"/>
      <c r="M331" s="1030"/>
      <c r="N331" s="1030"/>
      <c r="O331" s="1030"/>
      <c r="P331" s="1030"/>
      <c r="Q331" s="1030"/>
      <c r="R331" s="1030"/>
      <c r="S331" s="1030"/>
      <c r="T331" s="1030"/>
      <c r="U331" s="1030"/>
      <c r="V331" s="1030"/>
      <c r="W331" s="1030"/>
      <c r="X331" s="1030"/>
      <c r="Y331" s="1030"/>
      <c r="Z331" s="1030"/>
      <c r="AA331" s="1030"/>
      <c r="AB331" s="1030"/>
    </row>
    <row r="332" spans="1:28">
      <c r="A332" s="1030"/>
      <c r="B332" s="1030"/>
      <c r="C332" s="1030"/>
      <c r="D332" s="1030"/>
      <c r="E332" s="1030"/>
      <c r="F332" s="1030"/>
      <c r="G332" s="1030"/>
      <c r="H332" s="1030"/>
      <c r="I332" s="1030"/>
      <c r="J332" s="1097"/>
      <c r="K332" s="1030"/>
      <c r="L332" s="1030"/>
      <c r="M332" s="1030"/>
      <c r="N332" s="1030"/>
      <c r="O332" s="1030"/>
      <c r="P332" s="1030"/>
      <c r="Q332" s="1030"/>
      <c r="R332" s="1030"/>
      <c r="S332" s="1030"/>
      <c r="T332" s="1030"/>
      <c r="U332" s="1030"/>
      <c r="V332" s="1030"/>
      <c r="W332" s="1030"/>
      <c r="X332" s="1030"/>
      <c r="Y332" s="1030"/>
      <c r="Z332" s="1030"/>
      <c r="AA332" s="1030"/>
      <c r="AB332" s="1030"/>
    </row>
    <row r="333" spans="1:28">
      <c r="A333" s="1030"/>
      <c r="B333" s="1030"/>
      <c r="C333" s="1030"/>
      <c r="D333" s="1030"/>
      <c r="E333" s="1030"/>
      <c r="F333" s="1030"/>
      <c r="G333" s="1030"/>
      <c r="H333" s="1030"/>
      <c r="I333" s="1030"/>
      <c r="J333" s="1097"/>
      <c r="K333" s="1030"/>
      <c r="L333" s="1030"/>
      <c r="M333" s="1030"/>
      <c r="N333" s="1030"/>
      <c r="O333" s="1030"/>
      <c r="P333" s="1030"/>
      <c r="Q333" s="1030"/>
      <c r="R333" s="1030"/>
      <c r="S333" s="1030"/>
      <c r="T333" s="1030"/>
      <c r="U333" s="1030"/>
      <c r="V333" s="1030"/>
      <c r="W333" s="1030"/>
      <c r="X333" s="1030"/>
      <c r="Y333" s="1030"/>
      <c r="Z333" s="1030"/>
      <c r="AA333" s="1030"/>
      <c r="AB333" s="1030"/>
    </row>
    <row r="334" spans="1:28">
      <c r="A334" s="1030"/>
      <c r="B334" s="1030"/>
      <c r="C334" s="1030"/>
      <c r="D334" s="1030"/>
      <c r="E334" s="1030"/>
      <c r="F334" s="1030"/>
      <c r="G334" s="1030"/>
      <c r="H334" s="1030"/>
      <c r="I334" s="1030"/>
      <c r="J334" s="1097"/>
      <c r="K334" s="1030"/>
      <c r="L334" s="1030"/>
      <c r="M334" s="1030"/>
      <c r="N334" s="1030"/>
      <c r="O334" s="1030"/>
      <c r="P334" s="1030"/>
      <c r="Q334" s="1030"/>
      <c r="R334" s="1030"/>
      <c r="S334" s="1030"/>
      <c r="T334" s="1030"/>
      <c r="U334" s="1030"/>
      <c r="V334" s="1030"/>
      <c r="W334" s="1030"/>
      <c r="X334" s="1030"/>
      <c r="Y334" s="1030"/>
      <c r="Z334" s="1030"/>
      <c r="AA334" s="1030"/>
      <c r="AB334" s="1030"/>
    </row>
    <row r="335" spans="1:28">
      <c r="A335" s="1030"/>
      <c r="B335" s="1030"/>
      <c r="C335" s="1030"/>
      <c r="D335" s="1030"/>
      <c r="E335" s="1030"/>
      <c r="F335" s="1030"/>
      <c r="G335" s="1030"/>
      <c r="H335" s="1030"/>
      <c r="I335" s="1030"/>
      <c r="J335" s="1097"/>
      <c r="K335" s="1030"/>
      <c r="L335" s="1030"/>
      <c r="M335" s="1030"/>
      <c r="N335" s="1030"/>
      <c r="O335" s="1030"/>
      <c r="P335" s="1030"/>
      <c r="Q335" s="1030"/>
      <c r="R335" s="1030"/>
      <c r="S335" s="1030"/>
      <c r="T335" s="1030"/>
      <c r="U335" s="1030"/>
      <c r="V335" s="1030"/>
      <c r="W335" s="1030"/>
      <c r="X335" s="1030"/>
      <c r="Y335" s="1030"/>
      <c r="Z335" s="1030"/>
      <c r="AA335" s="1030"/>
      <c r="AB335" s="1030"/>
    </row>
    <row r="336" spans="1:28">
      <c r="A336" s="1030"/>
      <c r="B336" s="1030"/>
      <c r="C336" s="1030"/>
      <c r="D336" s="1030"/>
      <c r="E336" s="1030"/>
      <c r="F336" s="1030"/>
      <c r="G336" s="1030"/>
      <c r="H336" s="1030"/>
      <c r="I336" s="1030"/>
      <c r="J336" s="1097"/>
      <c r="K336" s="1030"/>
      <c r="L336" s="1030"/>
      <c r="M336" s="1030"/>
      <c r="N336" s="1030"/>
      <c r="O336" s="1030"/>
      <c r="P336" s="1030"/>
      <c r="Q336" s="1030"/>
      <c r="R336" s="1030"/>
      <c r="S336" s="1030"/>
      <c r="T336" s="1030"/>
      <c r="U336" s="1030"/>
      <c r="V336" s="1030"/>
      <c r="W336" s="1030"/>
      <c r="X336" s="1030"/>
      <c r="Y336" s="1030"/>
      <c r="Z336" s="1030"/>
      <c r="AA336" s="1030"/>
      <c r="AB336" s="1030"/>
    </row>
    <row r="337" spans="1:28">
      <c r="A337" s="1030"/>
      <c r="B337" s="1030"/>
      <c r="C337" s="1030"/>
      <c r="D337" s="1030"/>
      <c r="E337" s="1030"/>
      <c r="F337" s="1030"/>
      <c r="G337" s="1030"/>
      <c r="H337" s="1030"/>
      <c r="I337" s="1030"/>
      <c r="J337" s="1097"/>
      <c r="K337" s="1030"/>
      <c r="L337" s="1030"/>
      <c r="M337" s="1030"/>
      <c r="N337" s="1030"/>
      <c r="O337" s="1030"/>
      <c r="P337" s="1030"/>
      <c r="Q337" s="1030"/>
      <c r="R337" s="1030"/>
      <c r="S337" s="1030"/>
      <c r="T337" s="1030"/>
      <c r="U337" s="1030"/>
      <c r="V337" s="1030"/>
      <c r="W337" s="1030"/>
      <c r="X337" s="1030"/>
      <c r="Y337" s="1030"/>
      <c r="Z337" s="1030"/>
      <c r="AA337" s="1030"/>
      <c r="AB337" s="1030"/>
    </row>
    <row r="338" spans="1:28">
      <c r="A338" s="1030"/>
      <c r="B338" s="1030"/>
      <c r="C338" s="1030"/>
      <c r="D338" s="1030"/>
      <c r="E338" s="1030"/>
      <c r="F338" s="1030"/>
      <c r="G338" s="1030"/>
      <c r="H338" s="1030"/>
      <c r="I338" s="1030"/>
      <c r="J338" s="1097"/>
      <c r="K338" s="1030"/>
      <c r="L338" s="1030"/>
      <c r="M338" s="1030"/>
      <c r="N338" s="1030"/>
      <c r="O338" s="1030"/>
      <c r="P338" s="1030"/>
      <c r="Q338" s="1030"/>
      <c r="R338" s="1030"/>
      <c r="S338" s="1030"/>
      <c r="T338" s="1030"/>
      <c r="U338" s="1030"/>
      <c r="V338" s="1030"/>
      <c r="W338" s="1030"/>
      <c r="X338" s="1030"/>
      <c r="Y338" s="1030"/>
      <c r="Z338" s="1030"/>
      <c r="AA338" s="1030"/>
      <c r="AB338" s="1030"/>
    </row>
    <row r="339" spans="1:28">
      <c r="A339" s="1030"/>
      <c r="B339" s="1030"/>
      <c r="C339" s="1030"/>
      <c r="D339" s="1030"/>
      <c r="E339" s="1030"/>
      <c r="F339" s="1030"/>
      <c r="G339" s="1030"/>
      <c r="H339" s="1030"/>
      <c r="I339" s="1030"/>
      <c r="J339" s="1097"/>
      <c r="K339" s="1030"/>
      <c r="L339" s="1030"/>
      <c r="M339" s="1030"/>
      <c r="N339" s="1030"/>
      <c r="O339" s="1030"/>
      <c r="P339" s="1030"/>
      <c r="Q339" s="1030"/>
      <c r="R339" s="1030"/>
      <c r="S339" s="1030"/>
      <c r="T339" s="1030"/>
      <c r="U339" s="1030"/>
      <c r="V339" s="1030"/>
      <c r="W339" s="1030"/>
      <c r="X339" s="1030"/>
      <c r="Y339" s="1030"/>
      <c r="Z339" s="1030"/>
      <c r="AA339" s="1030"/>
      <c r="AB339" s="1030"/>
    </row>
    <row r="340" spans="1:28">
      <c r="A340" s="1030"/>
      <c r="B340" s="1030"/>
      <c r="C340" s="1030"/>
      <c r="D340" s="1030"/>
      <c r="E340" s="1030"/>
      <c r="F340" s="1030"/>
      <c r="G340" s="1030"/>
      <c r="H340" s="1030"/>
      <c r="I340" s="1030"/>
      <c r="J340" s="1097"/>
      <c r="K340" s="1030"/>
      <c r="L340" s="1030"/>
      <c r="M340" s="1030"/>
      <c r="N340" s="1030"/>
      <c r="O340" s="1030"/>
      <c r="P340" s="1030"/>
      <c r="Q340" s="1030"/>
      <c r="R340" s="1030"/>
      <c r="S340" s="1030"/>
      <c r="T340" s="1030"/>
      <c r="U340" s="1030"/>
      <c r="V340" s="1030"/>
      <c r="W340" s="1030"/>
      <c r="X340" s="1030"/>
      <c r="Y340" s="1030"/>
      <c r="Z340" s="1030"/>
      <c r="AA340" s="1030"/>
      <c r="AB340" s="1030"/>
    </row>
    <row r="341" spans="1:28">
      <c r="A341" s="1030"/>
      <c r="B341" s="1030"/>
      <c r="C341" s="1030"/>
      <c r="D341" s="1030"/>
      <c r="E341" s="1030"/>
      <c r="F341" s="1030"/>
      <c r="G341" s="1030"/>
      <c r="H341" s="1030"/>
      <c r="I341" s="1030"/>
      <c r="J341" s="1097"/>
      <c r="K341" s="1030"/>
      <c r="L341" s="1030"/>
      <c r="M341" s="1030"/>
      <c r="N341" s="1030"/>
      <c r="O341" s="1030"/>
      <c r="P341" s="1030"/>
      <c r="Q341" s="1030"/>
      <c r="R341" s="1030"/>
      <c r="S341" s="1030"/>
      <c r="T341" s="1030"/>
      <c r="U341" s="1030"/>
      <c r="V341" s="1030"/>
      <c r="W341" s="1030"/>
      <c r="X341" s="1030"/>
      <c r="Y341" s="1030"/>
      <c r="Z341" s="1030"/>
      <c r="AA341" s="1030"/>
      <c r="AB341" s="1030"/>
    </row>
    <row r="342" spans="1:28">
      <c r="A342" s="1030"/>
      <c r="B342" s="1030"/>
      <c r="C342" s="1030"/>
      <c r="D342" s="1030"/>
      <c r="E342" s="1030"/>
      <c r="F342" s="1030"/>
      <c r="G342" s="1030"/>
      <c r="H342" s="1030"/>
      <c r="I342" s="1030"/>
      <c r="J342" s="1097"/>
      <c r="K342" s="1030"/>
      <c r="L342" s="1030"/>
      <c r="M342" s="1030"/>
      <c r="N342" s="1030"/>
      <c r="O342" s="1030"/>
      <c r="P342" s="1030"/>
      <c r="Q342" s="1030"/>
      <c r="R342" s="1030"/>
      <c r="S342" s="1030"/>
      <c r="T342" s="1030"/>
      <c r="U342" s="1030"/>
      <c r="V342" s="1030"/>
      <c r="W342" s="1030"/>
      <c r="X342" s="1030"/>
      <c r="Y342" s="1030"/>
      <c r="Z342" s="1030"/>
      <c r="AA342" s="1030"/>
      <c r="AB342" s="1030"/>
    </row>
    <row r="343" spans="1:28">
      <c r="A343" s="1030"/>
      <c r="B343" s="1030"/>
      <c r="C343" s="1030"/>
      <c r="D343" s="1030"/>
      <c r="E343" s="1030"/>
      <c r="F343" s="1030"/>
      <c r="G343" s="1030"/>
      <c r="H343" s="1030"/>
      <c r="I343" s="1030"/>
      <c r="J343" s="1097"/>
      <c r="K343" s="1030"/>
      <c r="L343" s="1030"/>
      <c r="M343" s="1030"/>
      <c r="N343" s="1030"/>
      <c r="O343" s="1030"/>
      <c r="P343" s="1030"/>
      <c r="Q343" s="1030"/>
      <c r="R343" s="1030"/>
      <c r="S343" s="1030"/>
      <c r="T343" s="1030"/>
      <c r="U343" s="1030"/>
      <c r="V343" s="1030"/>
      <c r="W343" s="1030"/>
      <c r="X343" s="1030"/>
      <c r="Y343" s="1030"/>
      <c r="Z343" s="1030"/>
      <c r="AA343" s="1030"/>
      <c r="AB343" s="1030"/>
    </row>
    <row r="344" spans="1:28">
      <c r="A344" s="1030"/>
      <c r="B344" s="1030"/>
      <c r="C344" s="1030"/>
      <c r="D344" s="1030"/>
      <c r="E344" s="1030"/>
      <c r="F344" s="1030"/>
      <c r="G344" s="1030"/>
      <c r="H344" s="1030"/>
      <c r="I344" s="1030"/>
      <c r="J344" s="1097"/>
      <c r="K344" s="1030"/>
      <c r="L344" s="1030"/>
      <c r="M344" s="1030"/>
      <c r="N344" s="1030"/>
      <c r="O344" s="1030"/>
      <c r="P344" s="1030"/>
      <c r="Q344" s="1030"/>
      <c r="R344" s="1030"/>
      <c r="S344" s="1030"/>
      <c r="T344" s="1030"/>
      <c r="U344" s="1030"/>
      <c r="V344" s="1030"/>
      <c r="W344" s="1030"/>
      <c r="X344" s="1030"/>
      <c r="Y344" s="1030"/>
      <c r="Z344" s="1030"/>
      <c r="AA344" s="1030"/>
      <c r="AB344" s="1030"/>
    </row>
    <row r="345" spans="1:28">
      <c r="A345" s="1030"/>
      <c r="B345" s="1030"/>
      <c r="C345" s="1030"/>
      <c r="D345" s="1030"/>
      <c r="E345" s="1030"/>
      <c r="F345" s="1030"/>
      <c r="G345" s="1030"/>
      <c r="H345" s="1030"/>
      <c r="I345" s="1030"/>
      <c r="J345" s="1097"/>
      <c r="K345" s="1030"/>
      <c r="L345" s="1030"/>
      <c r="M345" s="1030"/>
      <c r="N345" s="1030"/>
      <c r="O345" s="1030"/>
      <c r="P345" s="1030"/>
      <c r="Q345" s="1030"/>
      <c r="R345" s="1030"/>
      <c r="S345" s="1030"/>
      <c r="T345" s="1030"/>
      <c r="U345" s="1030"/>
      <c r="V345" s="1030"/>
      <c r="W345" s="1030"/>
      <c r="X345" s="1030"/>
      <c r="Y345" s="1030"/>
      <c r="Z345" s="1030"/>
      <c r="AA345" s="1030"/>
      <c r="AB345" s="1030"/>
    </row>
    <row r="346" spans="1:28">
      <c r="A346" s="1030"/>
      <c r="B346" s="1030"/>
      <c r="C346" s="1030"/>
      <c r="D346" s="1030"/>
      <c r="E346" s="1030"/>
      <c r="F346" s="1030"/>
      <c r="G346" s="1030"/>
      <c r="H346" s="1030"/>
      <c r="I346" s="1030"/>
      <c r="J346" s="1097"/>
      <c r="K346" s="1030"/>
      <c r="L346" s="1030"/>
      <c r="M346" s="1030"/>
      <c r="N346" s="1030"/>
      <c r="O346" s="1030"/>
      <c r="P346" s="1030"/>
      <c r="Q346" s="1030"/>
      <c r="R346" s="1030"/>
      <c r="S346" s="1030"/>
      <c r="T346" s="1030"/>
      <c r="U346" s="1030"/>
      <c r="V346" s="1030"/>
      <c r="W346" s="1030"/>
      <c r="X346" s="1030"/>
      <c r="Y346" s="1030"/>
      <c r="Z346" s="1030"/>
      <c r="AA346" s="1030"/>
      <c r="AB346" s="1030"/>
    </row>
    <row r="347" spans="1:28">
      <c r="A347" s="1030"/>
      <c r="B347" s="1030"/>
      <c r="C347" s="1030"/>
      <c r="D347" s="1030"/>
      <c r="E347" s="1030"/>
      <c r="F347" s="1030"/>
      <c r="G347" s="1030"/>
      <c r="H347" s="1030"/>
      <c r="I347" s="1030"/>
      <c r="J347" s="1097"/>
      <c r="K347" s="1030"/>
      <c r="L347" s="1030"/>
      <c r="M347" s="1030"/>
      <c r="N347" s="1030"/>
      <c r="O347" s="1030"/>
      <c r="P347" s="1030"/>
      <c r="Q347" s="1030"/>
      <c r="R347" s="1030"/>
      <c r="S347" s="1030"/>
      <c r="T347" s="1030"/>
      <c r="U347" s="1030"/>
      <c r="V347" s="1030"/>
      <c r="W347" s="1030"/>
      <c r="X347" s="1030"/>
      <c r="Y347" s="1030"/>
      <c r="Z347" s="1030"/>
      <c r="AA347" s="1030"/>
      <c r="AB347" s="1030"/>
    </row>
    <row r="348" spans="1:28">
      <c r="A348" s="1030"/>
      <c r="B348" s="1030"/>
      <c r="C348" s="1030"/>
      <c r="D348" s="1030"/>
      <c r="E348" s="1030"/>
      <c r="F348" s="1030"/>
      <c r="G348" s="1030"/>
      <c r="H348" s="1030"/>
      <c r="I348" s="1030"/>
      <c r="J348" s="1097"/>
      <c r="K348" s="1030"/>
      <c r="L348" s="1030"/>
      <c r="M348" s="1030"/>
      <c r="N348" s="1030"/>
      <c r="O348" s="1030"/>
      <c r="P348" s="1030"/>
      <c r="Q348" s="1030"/>
      <c r="R348" s="1030"/>
      <c r="S348" s="1030"/>
      <c r="T348" s="1030"/>
      <c r="U348" s="1030"/>
      <c r="V348" s="1030"/>
      <c r="W348" s="1030"/>
      <c r="X348" s="1030"/>
      <c r="Y348" s="1030"/>
      <c r="Z348" s="1030"/>
      <c r="AA348" s="1030"/>
      <c r="AB348" s="1030"/>
    </row>
    <row r="349" spans="1:28">
      <c r="A349" s="1030"/>
      <c r="B349" s="1030"/>
      <c r="C349" s="1030"/>
      <c r="D349" s="1030"/>
      <c r="E349" s="1030"/>
      <c r="F349" s="1030"/>
      <c r="G349" s="1030"/>
      <c r="H349" s="1030"/>
      <c r="I349" s="1030"/>
      <c r="J349" s="1097"/>
      <c r="K349" s="1030"/>
      <c r="L349" s="1030"/>
      <c r="M349" s="1030"/>
      <c r="N349" s="1030"/>
      <c r="O349" s="1030"/>
      <c r="P349" s="1030"/>
      <c r="Q349" s="1030"/>
      <c r="R349" s="1030"/>
      <c r="S349" s="1030"/>
      <c r="T349" s="1030"/>
      <c r="U349" s="1030"/>
      <c r="V349" s="1030"/>
      <c r="W349" s="1030"/>
      <c r="X349" s="1030"/>
      <c r="Y349" s="1030"/>
      <c r="Z349" s="1030"/>
      <c r="AA349" s="1030"/>
      <c r="AB349" s="1030"/>
    </row>
    <row r="350" spans="1:28">
      <c r="A350" s="1030"/>
      <c r="B350" s="1030"/>
      <c r="C350" s="1030"/>
      <c r="D350" s="1030"/>
      <c r="E350" s="1030"/>
      <c r="F350" s="1030"/>
      <c r="G350" s="1030"/>
      <c r="H350" s="1030"/>
      <c r="I350" s="1030"/>
      <c r="J350" s="1097"/>
      <c r="K350" s="1030"/>
      <c r="L350" s="1030"/>
      <c r="M350" s="1030"/>
      <c r="N350" s="1030"/>
      <c r="O350" s="1030"/>
      <c r="P350" s="1030"/>
      <c r="Q350" s="1030"/>
      <c r="R350" s="1030"/>
      <c r="S350" s="1030"/>
      <c r="T350" s="1030"/>
      <c r="U350" s="1030"/>
      <c r="V350" s="1030"/>
      <c r="W350" s="1030"/>
      <c r="X350" s="1030"/>
      <c r="Y350" s="1030"/>
      <c r="Z350" s="1030"/>
      <c r="AA350" s="1030"/>
      <c r="AB350" s="1030"/>
    </row>
    <row r="351" spans="1:28">
      <c r="A351" s="1030"/>
      <c r="B351" s="1030"/>
      <c r="C351" s="1030"/>
      <c r="D351" s="1030"/>
      <c r="E351" s="1030"/>
      <c r="F351" s="1030"/>
      <c r="G351" s="1030"/>
      <c r="H351" s="1030"/>
      <c r="I351" s="1030"/>
      <c r="J351" s="1097"/>
      <c r="K351" s="1030"/>
      <c r="L351" s="1030"/>
      <c r="M351" s="1030"/>
      <c r="N351" s="1030"/>
      <c r="O351" s="1030"/>
      <c r="P351" s="1030"/>
      <c r="Q351" s="1030"/>
      <c r="R351" s="1030"/>
      <c r="S351" s="1030"/>
      <c r="T351" s="1030"/>
      <c r="U351" s="1030"/>
      <c r="V351" s="1030"/>
      <c r="W351" s="1030"/>
      <c r="X351" s="1030"/>
      <c r="Y351" s="1030"/>
      <c r="Z351" s="1030"/>
      <c r="AA351" s="1030"/>
      <c r="AB351" s="1030"/>
    </row>
    <row r="352" spans="1:28">
      <c r="A352" s="1030"/>
      <c r="B352" s="1030"/>
      <c r="C352" s="1030"/>
      <c r="D352" s="1030"/>
      <c r="E352" s="1030"/>
      <c r="F352" s="1030"/>
      <c r="G352" s="1030"/>
      <c r="H352" s="1030"/>
      <c r="I352" s="1030"/>
      <c r="J352" s="1097"/>
      <c r="K352" s="1030"/>
      <c r="L352" s="1030"/>
      <c r="M352" s="1030"/>
      <c r="N352" s="1030"/>
      <c r="O352" s="1030"/>
      <c r="P352" s="1030"/>
      <c r="Q352" s="1030"/>
      <c r="R352" s="1030"/>
      <c r="S352" s="1030"/>
      <c r="T352" s="1030"/>
      <c r="U352" s="1030"/>
      <c r="V352" s="1030"/>
      <c r="W352" s="1030"/>
      <c r="X352" s="1030"/>
      <c r="Y352" s="1030"/>
      <c r="Z352" s="1030"/>
      <c r="AA352" s="1030"/>
      <c r="AB352" s="1030"/>
    </row>
    <row r="353" spans="1:28">
      <c r="A353" s="1030"/>
      <c r="B353" s="1030"/>
      <c r="C353" s="1030"/>
      <c r="D353" s="1030"/>
      <c r="E353" s="1030"/>
      <c r="F353" s="1030"/>
      <c r="G353" s="1030"/>
      <c r="H353" s="1030"/>
      <c r="I353" s="1030"/>
      <c r="J353" s="1097"/>
      <c r="K353" s="1030"/>
      <c r="L353" s="1030"/>
      <c r="M353" s="1030"/>
      <c r="N353" s="1030"/>
      <c r="O353" s="1030"/>
      <c r="P353" s="1030"/>
      <c r="Q353" s="1030"/>
      <c r="R353" s="1030"/>
      <c r="S353" s="1030"/>
      <c r="T353" s="1030"/>
      <c r="U353" s="1030"/>
      <c r="V353" s="1030"/>
      <c r="W353" s="1030"/>
      <c r="X353" s="1030"/>
      <c r="Y353" s="1030"/>
      <c r="Z353" s="1030"/>
      <c r="AA353" s="1030"/>
      <c r="AB353" s="1030"/>
    </row>
    <row r="354" spans="1:28">
      <c r="A354" s="1030"/>
      <c r="B354" s="1030"/>
      <c r="C354" s="1030"/>
      <c r="D354" s="1030"/>
      <c r="E354" s="1030"/>
      <c r="F354" s="1030"/>
      <c r="G354" s="1030"/>
      <c r="H354" s="1030"/>
      <c r="I354" s="1030"/>
      <c r="J354" s="1097"/>
      <c r="K354" s="1030"/>
      <c r="L354" s="1030"/>
      <c r="M354" s="1030"/>
      <c r="N354" s="1030"/>
      <c r="O354" s="1030"/>
      <c r="P354" s="1030"/>
      <c r="Q354" s="1030"/>
      <c r="R354" s="1030"/>
      <c r="S354" s="1030"/>
      <c r="T354" s="1030"/>
      <c r="U354" s="1030"/>
      <c r="V354" s="1030"/>
      <c r="W354" s="1030"/>
      <c r="X354" s="1030"/>
      <c r="Y354" s="1030"/>
      <c r="Z354" s="1030"/>
      <c r="AA354" s="1030"/>
      <c r="AB354" s="1030"/>
    </row>
    <row r="355" spans="1:28">
      <c r="A355" s="1030"/>
      <c r="B355" s="1030"/>
      <c r="C355" s="1030"/>
      <c r="D355" s="1030"/>
      <c r="E355" s="1030"/>
      <c r="F355" s="1030"/>
      <c r="G355" s="1030"/>
      <c r="H355" s="1030"/>
      <c r="I355" s="1030"/>
      <c r="J355" s="1097"/>
      <c r="K355" s="1030"/>
      <c r="L355" s="1030"/>
      <c r="M355" s="1030"/>
      <c r="N355" s="1030"/>
      <c r="O355" s="1030"/>
      <c r="P355" s="1030"/>
      <c r="Q355" s="1030"/>
      <c r="R355" s="1030"/>
      <c r="S355" s="1030"/>
      <c r="T355" s="1030"/>
      <c r="U355" s="1030"/>
      <c r="V355" s="1030"/>
      <c r="W355" s="1030"/>
      <c r="X355" s="1030"/>
      <c r="Y355" s="1030"/>
      <c r="Z355" s="1030"/>
      <c r="AA355" s="1030"/>
      <c r="AB355" s="1030"/>
    </row>
    <row r="356" spans="1:28">
      <c r="A356" s="1030"/>
      <c r="B356" s="1030"/>
      <c r="C356" s="1030"/>
      <c r="D356" s="1030"/>
      <c r="E356" s="1030"/>
      <c r="F356" s="1030"/>
      <c r="G356" s="1030"/>
      <c r="H356" s="1030"/>
      <c r="I356" s="1030"/>
      <c r="J356" s="1097"/>
      <c r="K356" s="1030"/>
      <c r="L356" s="1030"/>
      <c r="M356" s="1030"/>
      <c r="N356" s="1030"/>
      <c r="O356" s="1030"/>
      <c r="P356" s="1030"/>
      <c r="Q356" s="1030"/>
      <c r="R356" s="1030"/>
      <c r="S356" s="1030"/>
      <c r="T356" s="1030"/>
      <c r="U356" s="1030"/>
      <c r="V356" s="1030"/>
      <c r="W356" s="1030"/>
      <c r="X356" s="1030"/>
      <c r="Y356" s="1030"/>
      <c r="Z356" s="1030"/>
      <c r="AA356" s="1030"/>
      <c r="AB356" s="1030"/>
    </row>
    <row r="357" spans="1:28">
      <c r="A357" s="1030"/>
      <c r="B357" s="1030"/>
      <c r="C357" s="1030"/>
      <c r="D357" s="1030"/>
      <c r="E357" s="1030"/>
      <c r="F357" s="1030"/>
      <c r="G357" s="1030"/>
      <c r="H357" s="1030"/>
      <c r="I357" s="1030"/>
      <c r="J357" s="1097"/>
      <c r="K357" s="1030"/>
      <c r="L357" s="1030"/>
      <c r="M357" s="1030"/>
      <c r="N357" s="1030"/>
      <c r="O357" s="1030"/>
      <c r="P357" s="1030"/>
      <c r="Q357" s="1030"/>
      <c r="R357" s="1030"/>
      <c r="S357" s="1030"/>
      <c r="T357" s="1030"/>
      <c r="U357" s="1030"/>
      <c r="V357" s="1030"/>
      <c r="W357" s="1030"/>
      <c r="X357" s="1030"/>
      <c r="Y357" s="1030"/>
      <c r="Z357" s="1030"/>
      <c r="AA357" s="1030"/>
      <c r="AB357" s="1030"/>
    </row>
    <row r="358" spans="1:28">
      <c r="A358" s="1030"/>
      <c r="B358" s="1030"/>
      <c r="C358" s="1030"/>
      <c r="D358" s="1030"/>
      <c r="E358" s="1030"/>
      <c r="F358" s="1030"/>
      <c r="G358" s="1030"/>
      <c r="H358" s="1030"/>
      <c r="I358" s="1030"/>
      <c r="J358" s="1097"/>
      <c r="K358" s="1030"/>
      <c r="L358" s="1030"/>
      <c r="M358" s="1030"/>
      <c r="N358" s="1030"/>
      <c r="O358" s="1030"/>
      <c r="P358" s="1030"/>
      <c r="Q358" s="1030"/>
      <c r="R358" s="1030"/>
      <c r="S358" s="1030"/>
      <c r="T358" s="1030"/>
      <c r="U358" s="1030"/>
      <c r="V358" s="1030"/>
      <c r="W358" s="1030"/>
      <c r="X358" s="1030"/>
      <c r="Y358" s="1030"/>
      <c r="Z358" s="1030"/>
      <c r="AA358" s="1030"/>
      <c r="AB358" s="1030"/>
    </row>
    <row r="359" spans="1:28">
      <c r="A359" s="1030"/>
      <c r="B359" s="1030"/>
      <c r="C359" s="1030"/>
      <c r="D359" s="1030"/>
      <c r="E359" s="1030"/>
      <c r="F359" s="1030"/>
      <c r="G359" s="1030"/>
      <c r="H359" s="1030"/>
      <c r="I359" s="1030"/>
      <c r="J359" s="1097"/>
      <c r="K359" s="1030"/>
      <c r="L359" s="1030"/>
      <c r="M359" s="1030"/>
      <c r="N359" s="1030"/>
      <c r="O359" s="1030"/>
      <c r="P359" s="1030"/>
      <c r="Q359" s="1030"/>
      <c r="R359" s="1030"/>
      <c r="S359" s="1030"/>
      <c r="T359" s="1030"/>
      <c r="U359" s="1030"/>
      <c r="V359" s="1030"/>
      <c r="W359" s="1030"/>
      <c r="X359" s="1030"/>
      <c r="Y359" s="1030"/>
      <c r="Z359" s="1030"/>
      <c r="AA359" s="1030"/>
      <c r="AB359" s="1030"/>
    </row>
    <row r="360" spans="1:28">
      <c r="A360" s="1030"/>
      <c r="B360" s="1030"/>
      <c r="C360" s="1030"/>
      <c r="D360" s="1030"/>
      <c r="E360" s="1030"/>
      <c r="F360" s="1030"/>
      <c r="G360" s="1030"/>
      <c r="H360" s="1030"/>
      <c r="I360" s="1030"/>
      <c r="J360" s="1097"/>
      <c r="K360" s="1030"/>
      <c r="L360" s="1030"/>
      <c r="M360" s="1030"/>
      <c r="N360" s="1030"/>
      <c r="O360" s="1030"/>
      <c r="P360" s="1030"/>
      <c r="Q360" s="1030"/>
      <c r="R360" s="1030"/>
      <c r="S360" s="1030"/>
      <c r="T360" s="1030"/>
      <c r="U360" s="1030"/>
      <c r="V360" s="1030"/>
      <c r="W360" s="1030"/>
      <c r="X360" s="1030"/>
      <c r="Y360" s="1030"/>
      <c r="Z360" s="1030"/>
      <c r="AA360" s="1030"/>
      <c r="AB360" s="1030"/>
    </row>
    <row r="361" spans="1:28">
      <c r="A361" s="1030"/>
      <c r="B361" s="1030"/>
      <c r="C361" s="1030"/>
      <c r="D361" s="1030"/>
      <c r="E361" s="1030"/>
      <c r="F361" s="1030"/>
      <c r="G361" s="1030"/>
      <c r="H361" s="1030"/>
      <c r="I361" s="1030"/>
      <c r="J361" s="1097"/>
      <c r="K361" s="1030"/>
      <c r="L361" s="1030"/>
      <c r="M361" s="1030"/>
      <c r="N361" s="1030"/>
      <c r="O361" s="1030"/>
      <c r="P361" s="1030"/>
      <c r="Q361" s="1030"/>
      <c r="R361" s="1030"/>
      <c r="S361" s="1030"/>
      <c r="T361" s="1030"/>
      <c r="U361" s="1030"/>
      <c r="V361" s="1030"/>
      <c r="W361" s="1030"/>
      <c r="X361" s="1030"/>
      <c r="Y361" s="1030"/>
      <c r="Z361" s="1030"/>
      <c r="AA361" s="1030"/>
      <c r="AB361" s="1030"/>
    </row>
    <row r="362" spans="1:28">
      <c r="A362" s="1030"/>
      <c r="B362" s="1030"/>
      <c r="C362" s="1030"/>
      <c r="D362" s="1030"/>
      <c r="E362" s="1030"/>
      <c r="F362" s="1030"/>
      <c r="G362" s="1030"/>
      <c r="H362" s="1030"/>
      <c r="I362" s="1030"/>
      <c r="J362" s="1097"/>
      <c r="K362" s="1030"/>
      <c r="L362" s="1030"/>
      <c r="M362" s="1030"/>
      <c r="N362" s="1030"/>
      <c r="O362" s="1030"/>
      <c r="P362" s="1030"/>
      <c r="Q362" s="1030"/>
      <c r="R362" s="1030"/>
      <c r="S362" s="1030"/>
      <c r="T362" s="1030"/>
      <c r="U362" s="1030"/>
      <c r="V362" s="1030"/>
      <c r="W362" s="1030"/>
      <c r="X362" s="1030"/>
      <c r="Y362" s="1030"/>
      <c r="Z362" s="1030"/>
      <c r="AA362" s="1030"/>
      <c r="AB362" s="1030"/>
    </row>
    <row r="363" spans="1:28">
      <c r="A363" s="1030"/>
      <c r="B363" s="1030"/>
      <c r="C363" s="1030"/>
      <c r="D363" s="1030"/>
      <c r="E363" s="1030"/>
      <c r="F363" s="1030"/>
      <c r="G363" s="1030"/>
      <c r="H363" s="1030"/>
      <c r="I363" s="1030"/>
      <c r="J363" s="1097"/>
      <c r="K363" s="1030"/>
      <c r="L363" s="1030"/>
      <c r="M363" s="1030"/>
      <c r="N363" s="1030"/>
      <c r="O363" s="1030"/>
      <c r="P363" s="1030"/>
      <c r="Q363" s="1030"/>
      <c r="R363" s="1030"/>
      <c r="S363" s="1030"/>
      <c r="T363" s="1030"/>
      <c r="U363" s="1030"/>
      <c r="V363" s="1030"/>
      <c r="W363" s="1030"/>
      <c r="X363" s="1030"/>
      <c r="Y363" s="1030"/>
      <c r="Z363" s="1030"/>
      <c r="AA363" s="1030"/>
      <c r="AB363" s="1030"/>
    </row>
    <row r="364" spans="1:28">
      <c r="A364" s="1030"/>
      <c r="B364" s="1030"/>
      <c r="C364" s="1030"/>
      <c r="D364" s="1030"/>
      <c r="E364" s="1030"/>
      <c r="F364" s="1030"/>
      <c r="G364" s="1030"/>
      <c r="H364" s="1030"/>
      <c r="I364" s="1030"/>
      <c r="J364" s="1097"/>
      <c r="K364" s="1030"/>
      <c r="L364" s="1030"/>
      <c r="M364" s="1030"/>
      <c r="N364" s="1030"/>
      <c r="O364" s="1030"/>
      <c r="P364" s="1030"/>
      <c r="Q364" s="1030"/>
      <c r="R364" s="1030"/>
      <c r="S364" s="1030"/>
      <c r="T364" s="1030"/>
      <c r="U364" s="1030"/>
      <c r="V364" s="1030"/>
      <c r="W364" s="1030"/>
      <c r="X364" s="1030"/>
      <c r="Y364" s="1030"/>
      <c r="Z364" s="1030"/>
      <c r="AA364" s="1030"/>
      <c r="AB364" s="1030"/>
    </row>
    <row r="365" spans="1:28">
      <c r="A365" s="1030"/>
      <c r="B365" s="1030"/>
      <c r="C365" s="1030"/>
      <c r="D365" s="1030"/>
      <c r="E365" s="1030"/>
      <c r="F365" s="1030"/>
      <c r="G365" s="1030"/>
      <c r="H365" s="1030"/>
      <c r="I365" s="1030"/>
      <c r="J365" s="1097"/>
      <c r="K365" s="1030"/>
      <c r="L365" s="1030"/>
      <c r="M365" s="1030"/>
      <c r="N365" s="1030"/>
      <c r="O365" s="1030"/>
      <c r="P365" s="1030"/>
      <c r="Q365" s="1030"/>
      <c r="R365" s="1030"/>
      <c r="S365" s="1030"/>
      <c r="T365" s="1030"/>
      <c r="U365" s="1030"/>
      <c r="V365" s="1030"/>
      <c r="W365" s="1030"/>
      <c r="X365" s="1030"/>
      <c r="Y365" s="1030"/>
      <c r="Z365" s="1030"/>
      <c r="AA365" s="1030"/>
      <c r="AB365" s="1030"/>
    </row>
    <row r="366" spans="1:28">
      <c r="A366" s="1030"/>
      <c r="B366" s="1030"/>
      <c r="C366" s="1030"/>
      <c r="D366" s="1030"/>
      <c r="E366" s="1030"/>
      <c r="F366" s="1030"/>
      <c r="G366" s="1030"/>
      <c r="H366" s="1030"/>
      <c r="I366" s="1030"/>
      <c r="J366" s="1097"/>
      <c r="K366" s="1030"/>
      <c r="L366" s="1030"/>
      <c r="M366" s="1030"/>
      <c r="N366" s="1030"/>
      <c r="O366" s="1030"/>
      <c r="P366" s="1030"/>
      <c r="Q366" s="1030"/>
      <c r="R366" s="1030"/>
      <c r="S366" s="1030"/>
      <c r="T366" s="1030"/>
      <c r="U366" s="1030"/>
      <c r="V366" s="1030"/>
      <c r="W366" s="1030"/>
      <c r="X366" s="1030"/>
      <c r="Y366" s="1030"/>
      <c r="Z366" s="1030"/>
      <c r="AA366" s="1030"/>
      <c r="AB366" s="1030"/>
    </row>
    <row r="367" spans="1:28">
      <c r="A367" s="1030"/>
      <c r="B367" s="1030"/>
      <c r="C367" s="1030"/>
      <c r="D367" s="1030"/>
      <c r="E367" s="1030"/>
      <c r="F367" s="1030"/>
      <c r="G367" s="1030"/>
      <c r="H367" s="1030"/>
      <c r="I367" s="1030"/>
      <c r="J367" s="1097"/>
      <c r="K367" s="1030"/>
      <c r="L367" s="1030"/>
      <c r="M367" s="1030"/>
      <c r="N367" s="1030"/>
      <c r="O367" s="1030"/>
      <c r="P367" s="1030"/>
      <c r="Q367" s="1030"/>
      <c r="R367" s="1030"/>
      <c r="S367" s="1030"/>
      <c r="T367" s="1030"/>
      <c r="U367" s="1030"/>
      <c r="V367" s="1030"/>
      <c r="W367" s="1030"/>
      <c r="X367" s="1030"/>
      <c r="Y367" s="1030"/>
      <c r="Z367" s="1030"/>
      <c r="AA367" s="1030"/>
      <c r="AB367" s="1030"/>
    </row>
    <row r="368" spans="1:28">
      <c r="A368" s="1030"/>
      <c r="B368" s="1030"/>
      <c r="C368" s="1030"/>
      <c r="D368" s="1030"/>
      <c r="E368" s="1030"/>
      <c r="F368" s="1030"/>
      <c r="G368" s="1030"/>
      <c r="H368" s="1030"/>
      <c r="I368" s="1030"/>
      <c r="J368" s="1097"/>
      <c r="K368" s="1030"/>
      <c r="L368" s="1030"/>
      <c r="M368" s="1030"/>
      <c r="N368" s="1030"/>
      <c r="O368" s="1030"/>
      <c r="P368" s="1030"/>
      <c r="Q368" s="1030"/>
      <c r="R368" s="1030"/>
      <c r="S368" s="1030"/>
      <c r="T368" s="1030"/>
      <c r="U368" s="1030"/>
      <c r="V368" s="1030"/>
      <c r="W368" s="1030"/>
      <c r="X368" s="1030"/>
      <c r="Y368" s="1030"/>
      <c r="Z368" s="1030"/>
      <c r="AA368" s="1030"/>
      <c r="AB368" s="1030"/>
    </row>
    <row r="369" spans="1:28">
      <c r="A369" s="1030"/>
      <c r="B369" s="1030"/>
      <c r="C369" s="1030"/>
      <c r="D369" s="1030"/>
      <c r="E369" s="1030"/>
      <c r="F369" s="1030"/>
      <c r="G369" s="1030"/>
      <c r="H369" s="1030"/>
      <c r="I369" s="1030"/>
      <c r="J369" s="1097"/>
      <c r="K369" s="1030"/>
      <c r="L369" s="1030"/>
      <c r="M369" s="1030"/>
      <c r="N369" s="1030"/>
      <c r="O369" s="1030"/>
      <c r="P369" s="1030"/>
      <c r="Q369" s="1030"/>
      <c r="R369" s="1030"/>
      <c r="S369" s="1030"/>
      <c r="T369" s="1030"/>
      <c r="U369" s="1030"/>
      <c r="V369" s="1030"/>
      <c r="W369" s="1030"/>
      <c r="X369" s="1030"/>
      <c r="Y369" s="1030"/>
      <c r="Z369" s="1030"/>
      <c r="AA369" s="1030"/>
      <c r="AB369" s="1030"/>
    </row>
    <row r="370" spans="1:28">
      <c r="A370" s="1030"/>
      <c r="B370" s="1030"/>
      <c r="C370" s="1030"/>
      <c r="D370" s="1030"/>
      <c r="E370" s="1030"/>
      <c r="F370" s="1030"/>
      <c r="G370" s="1030"/>
      <c r="H370" s="1030"/>
      <c r="I370" s="1030"/>
      <c r="J370" s="1097"/>
      <c r="K370" s="1030"/>
      <c r="L370" s="1030"/>
      <c r="M370" s="1030"/>
      <c r="N370" s="1030"/>
      <c r="O370" s="1030"/>
      <c r="P370" s="1030"/>
      <c r="Q370" s="1030"/>
      <c r="R370" s="1030"/>
      <c r="S370" s="1030"/>
      <c r="T370" s="1030"/>
      <c r="U370" s="1030"/>
      <c r="V370" s="1030"/>
      <c r="W370" s="1030"/>
      <c r="X370" s="1030"/>
      <c r="Y370" s="1030"/>
      <c r="Z370" s="1030"/>
      <c r="AA370" s="1030"/>
      <c r="AB370" s="1030"/>
    </row>
    <row r="371" spans="1:28">
      <c r="A371" s="1030"/>
      <c r="B371" s="1030"/>
      <c r="C371" s="1030"/>
      <c r="D371" s="1030"/>
      <c r="E371" s="1030"/>
      <c r="F371" s="1030"/>
      <c r="G371" s="1030"/>
      <c r="H371" s="1030"/>
      <c r="I371" s="1030"/>
      <c r="J371" s="1097"/>
      <c r="K371" s="1030"/>
      <c r="L371" s="1030"/>
      <c r="M371" s="1030"/>
      <c r="N371" s="1030"/>
      <c r="O371" s="1030"/>
      <c r="P371" s="1030"/>
      <c r="Q371" s="1030"/>
      <c r="R371" s="1030"/>
      <c r="S371" s="1030"/>
      <c r="T371" s="1030"/>
      <c r="U371" s="1030"/>
      <c r="V371" s="1030"/>
      <c r="W371" s="1030"/>
      <c r="X371" s="1030"/>
      <c r="Y371" s="1030"/>
      <c r="Z371" s="1030"/>
      <c r="AA371" s="1030"/>
      <c r="AB371" s="1030"/>
    </row>
    <row r="372" spans="1:28">
      <c r="A372" s="1030"/>
      <c r="B372" s="1030"/>
      <c r="C372" s="1030"/>
      <c r="D372" s="1030"/>
      <c r="E372" s="1030"/>
      <c r="F372" s="1030"/>
      <c r="G372" s="1030"/>
      <c r="H372" s="1030"/>
      <c r="I372" s="1030"/>
      <c r="J372" s="1097"/>
      <c r="K372" s="1030"/>
      <c r="L372" s="1030"/>
      <c r="M372" s="1030"/>
      <c r="N372" s="1030"/>
      <c r="O372" s="1030"/>
      <c r="P372" s="1030"/>
      <c r="Q372" s="1030"/>
      <c r="R372" s="1030"/>
      <c r="S372" s="1030"/>
      <c r="T372" s="1030"/>
      <c r="U372" s="1030"/>
      <c r="V372" s="1030"/>
      <c r="W372" s="1030"/>
      <c r="X372" s="1030"/>
      <c r="Y372" s="1030"/>
      <c r="Z372" s="1030"/>
      <c r="AA372" s="1030"/>
      <c r="AB372" s="1030"/>
    </row>
    <row r="373" spans="1:28">
      <c r="A373" s="1030"/>
      <c r="B373" s="1030"/>
      <c r="C373" s="1030"/>
      <c r="D373" s="1030"/>
      <c r="E373" s="1030"/>
      <c r="F373" s="1030"/>
      <c r="G373" s="1030"/>
      <c r="H373" s="1030"/>
      <c r="I373" s="1030"/>
      <c r="J373" s="1097"/>
      <c r="K373" s="1030"/>
      <c r="L373" s="1030"/>
      <c r="M373" s="1030"/>
      <c r="N373" s="1030"/>
      <c r="O373" s="1030"/>
      <c r="P373" s="1030"/>
      <c r="Q373" s="1030"/>
      <c r="R373" s="1030"/>
      <c r="S373" s="1030"/>
      <c r="T373" s="1030"/>
      <c r="U373" s="1030"/>
      <c r="V373" s="1030"/>
      <c r="W373" s="1030"/>
      <c r="X373" s="1030"/>
      <c r="Y373" s="1030"/>
      <c r="Z373" s="1030"/>
      <c r="AA373" s="1030"/>
      <c r="AB373" s="1030"/>
    </row>
    <row r="374" spans="1:28">
      <c r="A374" s="1030"/>
      <c r="B374" s="1030"/>
      <c r="C374" s="1030"/>
      <c r="D374" s="1030"/>
      <c r="E374" s="1030"/>
      <c r="F374" s="1030"/>
      <c r="G374" s="1030"/>
      <c r="H374" s="1030"/>
      <c r="I374" s="1030"/>
      <c r="J374" s="1097"/>
      <c r="K374" s="1030"/>
      <c r="L374" s="1030"/>
      <c r="M374" s="1030"/>
      <c r="N374" s="1030"/>
      <c r="O374" s="1030"/>
      <c r="P374" s="1030"/>
      <c r="Q374" s="1030"/>
      <c r="R374" s="1030"/>
      <c r="S374" s="1030"/>
      <c r="T374" s="1030"/>
      <c r="U374" s="1030"/>
      <c r="V374" s="1030"/>
      <c r="W374" s="1030"/>
      <c r="X374" s="1030"/>
      <c r="Y374" s="1030"/>
      <c r="Z374" s="1030"/>
      <c r="AA374" s="1030"/>
      <c r="AB374" s="1030"/>
    </row>
    <row r="375" spans="1:28">
      <c r="A375" s="1030"/>
      <c r="B375" s="1030"/>
      <c r="C375" s="1030"/>
      <c r="D375" s="1030"/>
      <c r="E375" s="1030"/>
      <c r="F375" s="1030"/>
      <c r="G375" s="1030"/>
      <c r="H375" s="1030"/>
      <c r="I375" s="1030"/>
      <c r="J375" s="1097"/>
      <c r="K375" s="1030"/>
      <c r="L375" s="1030"/>
      <c r="M375" s="1030"/>
      <c r="N375" s="1030"/>
      <c r="O375" s="1030"/>
      <c r="P375" s="1030"/>
      <c r="Q375" s="1030"/>
      <c r="R375" s="1030"/>
      <c r="S375" s="1030"/>
      <c r="T375" s="1030"/>
      <c r="U375" s="1030"/>
      <c r="V375" s="1030"/>
      <c r="W375" s="1030"/>
      <c r="X375" s="1030"/>
      <c r="Y375" s="1030"/>
      <c r="Z375" s="1030"/>
      <c r="AA375" s="1030"/>
      <c r="AB375" s="1030"/>
    </row>
    <row r="376" spans="1:28">
      <c r="A376" s="1030"/>
      <c r="B376" s="1030"/>
      <c r="C376" s="1030"/>
      <c r="D376" s="1030"/>
      <c r="E376" s="1030"/>
      <c r="F376" s="1030"/>
      <c r="G376" s="1030"/>
      <c r="H376" s="1030"/>
      <c r="I376" s="1030"/>
      <c r="J376" s="1097"/>
      <c r="K376" s="1030"/>
      <c r="L376" s="1030"/>
      <c r="M376" s="1030"/>
      <c r="N376" s="1030"/>
      <c r="O376" s="1030"/>
      <c r="P376" s="1030"/>
      <c r="Q376" s="1030"/>
      <c r="R376" s="1030"/>
      <c r="S376" s="1030"/>
      <c r="T376" s="1030"/>
      <c r="U376" s="1030"/>
      <c r="V376" s="1030"/>
      <c r="W376" s="1030"/>
      <c r="X376" s="1030"/>
      <c r="Y376" s="1030"/>
      <c r="Z376" s="1030"/>
      <c r="AA376" s="1030"/>
      <c r="AB376" s="1030"/>
    </row>
    <row r="377" spans="1:28">
      <c r="A377" s="1030"/>
      <c r="B377" s="1030"/>
      <c r="C377" s="1030"/>
      <c r="D377" s="1030"/>
      <c r="E377" s="1030"/>
      <c r="F377" s="1030"/>
      <c r="G377" s="1030"/>
      <c r="H377" s="1030"/>
      <c r="I377" s="1030"/>
      <c r="J377" s="1097"/>
      <c r="K377" s="1030"/>
      <c r="L377" s="1030"/>
      <c r="M377" s="1030"/>
      <c r="N377" s="1030"/>
      <c r="O377" s="1030"/>
      <c r="P377" s="1030"/>
      <c r="Q377" s="1030"/>
      <c r="R377" s="1030"/>
      <c r="S377" s="1030"/>
      <c r="T377" s="1030"/>
      <c r="U377" s="1030"/>
      <c r="V377" s="1030"/>
      <c r="W377" s="1030"/>
      <c r="X377" s="1030"/>
      <c r="Y377" s="1030"/>
      <c r="Z377" s="1030"/>
      <c r="AA377" s="1030"/>
      <c r="AB377" s="1030"/>
    </row>
    <row r="378" spans="1:28">
      <c r="A378" s="1030"/>
      <c r="B378" s="1030"/>
      <c r="C378" s="1030"/>
      <c r="D378" s="1030"/>
      <c r="E378" s="1030"/>
      <c r="F378" s="1030"/>
      <c r="G378" s="1030"/>
      <c r="H378" s="1030"/>
      <c r="I378" s="1030"/>
      <c r="J378" s="1097"/>
      <c r="K378" s="1030"/>
      <c r="L378" s="1030"/>
      <c r="M378" s="1030"/>
      <c r="N378" s="1030"/>
      <c r="O378" s="1030"/>
      <c r="P378" s="1030"/>
      <c r="Q378" s="1030"/>
      <c r="R378" s="1030"/>
      <c r="S378" s="1030"/>
      <c r="T378" s="1030"/>
      <c r="U378" s="1030"/>
      <c r="V378" s="1030"/>
      <c r="W378" s="1030"/>
      <c r="X378" s="1030"/>
      <c r="Y378" s="1030"/>
      <c r="Z378" s="1030"/>
      <c r="AA378" s="1030"/>
      <c r="AB378" s="1030"/>
    </row>
    <row r="379" spans="1:28">
      <c r="A379" s="1030"/>
      <c r="B379" s="1030"/>
      <c r="C379" s="1030"/>
      <c r="D379" s="1030"/>
      <c r="E379" s="1030"/>
      <c r="F379" s="1030"/>
      <c r="G379" s="1030"/>
      <c r="H379" s="1030"/>
      <c r="I379" s="1030"/>
      <c r="J379" s="1097"/>
      <c r="K379" s="1030"/>
      <c r="L379" s="1030"/>
      <c r="M379" s="1030"/>
      <c r="N379" s="1030"/>
      <c r="O379" s="1030"/>
      <c r="P379" s="1030"/>
      <c r="Q379" s="1030"/>
      <c r="R379" s="1030"/>
      <c r="S379" s="1030"/>
      <c r="T379" s="1030"/>
      <c r="U379" s="1030"/>
      <c r="V379" s="1030"/>
      <c r="W379" s="1030"/>
      <c r="X379" s="1030"/>
      <c r="Y379" s="1030"/>
      <c r="Z379" s="1030"/>
      <c r="AA379" s="1030"/>
      <c r="AB379" s="1030"/>
    </row>
    <row r="380" spans="1:28">
      <c r="A380" s="1030"/>
      <c r="B380" s="1030"/>
      <c r="C380" s="1030"/>
      <c r="D380" s="1030"/>
      <c r="E380" s="1030"/>
      <c r="F380" s="1030"/>
      <c r="G380" s="1030"/>
      <c r="H380" s="1030"/>
      <c r="I380" s="1030"/>
      <c r="J380" s="1097"/>
      <c r="K380" s="1030"/>
      <c r="L380" s="1030"/>
      <c r="M380" s="1030"/>
      <c r="N380" s="1030"/>
      <c r="O380" s="1030"/>
      <c r="P380" s="1030"/>
      <c r="Q380" s="1030"/>
      <c r="R380" s="1030"/>
      <c r="S380" s="1030"/>
      <c r="T380" s="1030"/>
      <c r="U380" s="1030"/>
      <c r="V380" s="1030"/>
      <c r="W380" s="1030"/>
      <c r="X380" s="1030"/>
      <c r="Y380" s="1030"/>
      <c r="Z380" s="1030"/>
      <c r="AA380" s="1030"/>
      <c r="AB380" s="1030"/>
    </row>
    <row r="381" spans="1:28">
      <c r="A381" s="1030"/>
      <c r="B381" s="1030"/>
      <c r="C381" s="1030"/>
      <c r="D381" s="1030"/>
      <c r="E381" s="1030"/>
      <c r="F381" s="1030"/>
      <c r="G381" s="1030"/>
      <c r="H381" s="1030"/>
      <c r="I381" s="1030"/>
      <c r="J381" s="1097"/>
      <c r="K381" s="1030"/>
      <c r="L381" s="1030"/>
      <c r="M381" s="1030"/>
      <c r="N381" s="1030"/>
      <c r="O381" s="1030"/>
      <c r="P381" s="1030"/>
      <c r="Q381" s="1030"/>
      <c r="R381" s="1030"/>
      <c r="S381" s="1030"/>
      <c r="T381" s="1030"/>
      <c r="U381" s="1030"/>
      <c r="V381" s="1030"/>
      <c r="W381" s="1030"/>
      <c r="X381" s="1030"/>
      <c r="Y381" s="1030"/>
      <c r="Z381" s="1030"/>
      <c r="AA381" s="1030"/>
      <c r="AB381" s="1030"/>
    </row>
    <row r="382" spans="1:28">
      <c r="A382" s="1030"/>
      <c r="B382" s="1030"/>
      <c r="C382" s="1030"/>
      <c r="D382" s="1030"/>
      <c r="E382" s="1030"/>
      <c r="F382" s="1030"/>
      <c r="G382" s="1030"/>
      <c r="H382" s="1030"/>
      <c r="I382" s="1030"/>
      <c r="J382" s="1097"/>
      <c r="K382" s="1030"/>
      <c r="L382" s="1030"/>
      <c r="M382" s="1030"/>
      <c r="N382" s="1030"/>
      <c r="O382" s="1030"/>
      <c r="P382" s="1030"/>
      <c r="Q382" s="1030"/>
      <c r="R382" s="1030"/>
      <c r="S382" s="1030"/>
      <c r="T382" s="1030"/>
      <c r="U382" s="1030"/>
      <c r="V382" s="1030"/>
      <c r="W382" s="1030"/>
      <c r="X382" s="1030"/>
      <c r="Y382" s="1030"/>
      <c r="Z382" s="1030"/>
      <c r="AA382" s="1030"/>
      <c r="AB382" s="1030"/>
    </row>
    <row r="383" spans="1:28">
      <c r="A383" s="1030"/>
      <c r="B383" s="1030"/>
      <c r="C383" s="1030"/>
      <c r="D383" s="1030"/>
      <c r="E383" s="1030"/>
      <c r="F383" s="1030"/>
      <c r="G383" s="1030"/>
      <c r="H383" s="1030"/>
      <c r="I383" s="1030"/>
      <c r="J383" s="1097"/>
      <c r="K383" s="1030"/>
      <c r="L383" s="1030"/>
      <c r="M383" s="1030"/>
      <c r="N383" s="1030"/>
      <c r="O383" s="1030"/>
      <c r="P383" s="1030"/>
      <c r="Q383" s="1030"/>
      <c r="R383" s="1030"/>
      <c r="S383" s="1030"/>
      <c r="T383" s="1030"/>
      <c r="U383" s="1030"/>
      <c r="V383" s="1030"/>
      <c r="W383" s="1030"/>
      <c r="X383" s="1030"/>
      <c r="Y383" s="1030"/>
      <c r="Z383" s="1030"/>
      <c r="AA383" s="1030"/>
      <c r="AB383" s="1030"/>
    </row>
    <row r="384" spans="1:28">
      <c r="A384" s="1030"/>
      <c r="B384" s="1030"/>
      <c r="C384" s="1030"/>
      <c r="D384" s="1030"/>
      <c r="E384" s="1030"/>
      <c r="F384" s="1030"/>
      <c r="G384" s="1030"/>
      <c r="H384" s="1030"/>
      <c r="I384" s="1030"/>
      <c r="J384" s="1097"/>
      <c r="K384" s="1030"/>
      <c r="L384" s="1030"/>
      <c r="M384" s="1030"/>
      <c r="N384" s="1030"/>
      <c r="O384" s="1030"/>
      <c r="P384" s="1030"/>
      <c r="Q384" s="1030"/>
      <c r="R384" s="1030"/>
      <c r="S384" s="1030"/>
      <c r="T384" s="1030"/>
      <c r="U384" s="1030"/>
      <c r="V384" s="1030"/>
      <c r="W384" s="1030"/>
      <c r="X384" s="1030"/>
      <c r="Y384" s="1030"/>
      <c r="Z384" s="1030"/>
      <c r="AA384" s="1030"/>
      <c r="AB384" s="1030"/>
    </row>
    <row r="385" spans="1:28">
      <c r="A385" s="1030"/>
      <c r="B385" s="1030"/>
      <c r="C385" s="1030"/>
      <c r="D385" s="1030"/>
      <c r="E385" s="1030"/>
      <c r="F385" s="1030"/>
      <c r="G385" s="1030"/>
      <c r="H385" s="1030"/>
      <c r="I385" s="1030"/>
      <c r="J385" s="1097"/>
      <c r="K385" s="1030"/>
      <c r="L385" s="1030"/>
      <c r="M385" s="1030"/>
      <c r="N385" s="1030"/>
      <c r="O385" s="1030"/>
      <c r="P385" s="1030"/>
      <c r="Q385" s="1030"/>
      <c r="R385" s="1030"/>
      <c r="S385" s="1030"/>
      <c r="T385" s="1030"/>
      <c r="U385" s="1030"/>
      <c r="V385" s="1030"/>
      <c r="W385" s="1030"/>
      <c r="X385" s="1030"/>
      <c r="Y385" s="1030"/>
      <c r="Z385" s="1030"/>
      <c r="AA385" s="1030"/>
      <c r="AB385" s="1030"/>
    </row>
    <row r="386" spans="1:28">
      <c r="A386" s="1030"/>
      <c r="B386" s="1030"/>
      <c r="C386" s="1030"/>
      <c r="D386" s="1030"/>
      <c r="E386" s="1030"/>
      <c r="F386" s="1030"/>
      <c r="G386" s="1030"/>
      <c r="H386" s="1030"/>
      <c r="I386" s="1030"/>
      <c r="J386" s="1097"/>
      <c r="K386" s="1030"/>
      <c r="L386" s="1030"/>
      <c r="M386" s="1030"/>
      <c r="N386" s="1030"/>
      <c r="O386" s="1030"/>
      <c r="P386" s="1030"/>
      <c r="Q386" s="1030"/>
      <c r="R386" s="1030"/>
      <c r="S386" s="1030"/>
      <c r="T386" s="1030"/>
      <c r="U386" s="1030"/>
      <c r="V386" s="1030"/>
      <c r="W386" s="1030"/>
      <c r="X386" s="1030"/>
      <c r="Y386" s="1030"/>
      <c r="Z386" s="1030"/>
      <c r="AA386" s="1030"/>
      <c r="AB386" s="1030"/>
    </row>
    <row r="387" spans="1:28">
      <c r="A387" s="1030"/>
      <c r="B387" s="1030"/>
      <c r="C387" s="1030"/>
      <c r="D387" s="1030"/>
      <c r="E387" s="1030"/>
      <c r="F387" s="1030"/>
      <c r="G387" s="1030"/>
      <c r="H387" s="1030"/>
      <c r="I387" s="1030"/>
      <c r="J387" s="1097"/>
      <c r="K387" s="1030"/>
      <c r="L387" s="1030"/>
      <c r="M387" s="1030"/>
      <c r="N387" s="1030"/>
      <c r="O387" s="1030"/>
      <c r="P387" s="1030"/>
      <c r="Q387" s="1030"/>
      <c r="R387" s="1030"/>
      <c r="S387" s="1030"/>
      <c r="T387" s="1030"/>
      <c r="U387" s="1030"/>
      <c r="V387" s="1030"/>
      <c r="W387" s="1030"/>
      <c r="X387" s="1030"/>
      <c r="Y387" s="1030"/>
      <c r="Z387" s="1030"/>
      <c r="AA387" s="1030"/>
      <c r="AB387" s="1030"/>
    </row>
    <row r="388" spans="1:28">
      <c r="A388" s="1030"/>
      <c r="B388" s="1030"/>
      <c r="C388" s="1030"/>
      <c r="D388" s="1030"/>
      <c r="E388" s="1030"/>
      <c r="F388" s="1030"/>
      <c r="G388" s="1030"/>
      <c r="H388" s="1030"/>
      <c r="I388" s="1030"/>
      <c r="J388" s="1097"/>
      <c r="K388" s="1030"/>
      <c r="L388" s="1030"/>
      <c r="M388" s="1030"/>
      <c r="N388" s="1030"/>
      <c r="O388" s="1030"/>
      <c r="P388" s="1030"/>
      <c r="Q388" s="1030"/>
      <c r="R388" s="1030"/>
      <c r="S388" s="1030"/>
      <c r="T388" s="1030"/>
      <c r="U388" s="1030"/>
      <c r="V388" s="1030"/>
      <c r="W388" s="1030"/>
      <c r="X388" s="1030"/>
      <c r="Y388" s="1030"/>
      <c r="Z388" s="1030"/>
      <c r="AA388" s="1030"/>
      <c r="AB388" s="1030"/>
    </row>
    <row r="389" spans="1:28">
      <c r="A389" s="1030"/>
      <c r="B389" s="1030"/>
      <c r="C389" s="1030"/>
      <c r="D389" s="1030"/>
      <c r="E389" s="1030"/>
      <c r="F389" s="1030"/>
      <c r="G389" s="1030"/>
      <c r="H389" s="1030"/>
      <c r="I389" s="1030"/>
      <c r="J389" s="1097"/>
      <c r="K389" s="1030"/>
      <c r="L389" s="1030"/>
      <c r="M389" s="1030"/>
      <c r="N389" s="1030"/>
      <c r="O389" s="1030"/>
      <c r="P389" s="1030"/>
      <c r="Q389" s="1030"/>
      <c r="R389" s="1030"/>
      <c r="S389" s="1030"/>
      <c r="T389" s="1030"/>
      <c r="U389" s="1030"/>
      <c r="V389" s="1030"/>
      <c r="W389" s="1030"/>
      <c r="X389" s="1030"/>
      <c r="Y389" s="1030"/>
      <c r="Z389" s="1030"/>
      <c r="AA389" s="1030"/>
      <c r="AB389" s="1030"/>
    </row>
    <row r="390" spans="1:28">
      <c r="A390" s="1030"/>
      <c r="B390" s="1030"/>
      <c r="C390" s="1030"/>
      <c r="D390" s="1030"/>
      <c r="E390" s="1030"/>
      <c r="F390" s="1030"/>
      <c r="G390" s="1030"/>
      <c r="H390" s="1030"/>
      <c r="I390" s="1030"/>
      <c r="J390" s="1097"/>
      <c r="K390" s="1030"/>
      <c r="L390" s="1030"/>
      <c r="M390" s="1030"/>
      <c r="N390" s="1030"/>
      <c r="O390" s="1030"/>
      <c r="P390" s="1030"/>
      <c r="Q390" s="1030"/>
      <c r="R390" s="1030"/>
      <c r="S390" s="1030"/>
      <c r="T390" s="1030"/>
      <c r="U390" s="1030"/>
      <c r="V390" s="1030"/>
      <c r="W390" s="1030"/>
      <c r="X390" s="1030"/>
      <c r="Y390" s="1030"/>
      <c r="Z390" s="1030"/>
      <c r="AA390" s="1030"/>
      <c r="AB390" s="1030"/>
    </row>
    <row r="391" spans="1:28">
      <c r="A391" s="1030"/>
      <c r="B391" s="1030"/>
      <c r="C391" s="1030"/>
      <c r="D391" s="1030"/>
      <c r="E391" s="1030"/>
      <c r="F391" s="1030"/>
      <c r="G391" s="1030"/>
      <c r="H391" s="1030"/>
      <c r="I391" s="1030"/>
      <c r="J391" s="1097"/>
      <c r="K391" s="1030"/>
      <c r="L391" s="1030"/>
      <c r="M391" s="1030"/>
      <c r="N391" s="1030"/>
      <c r="O391" s="1030"/>
      <c r="P391" s="1030"/>
      <c r="Q391" s="1030"/>
      <c r="R391" s="1030"/>
      <c r="S391" s="1030"/>
      <c r="T391" s="1030"/>
      <c r="U391" s="1030"/>
      <c r="V391" s="1030"/>
      <c r="W391" s="1030"/>
      <c r="X391" s="1030"/>
      <c r="Y391" s="1030"/>
      <c r="Z391" s="1030"/>
      <c r="AA391" s="1030"/>
      <c r="AB391" s="1030"/>
    </row>
    <row r="392" spans="1:28">
      <c r="A392" s="1030"/>
      <c r="B392" s="1030"/>
      <c r="C392" s="1030"/>
      <c r="D392" s="1030"/>
      <c r="E392" s="1030"/>
      <c r="F392" s="1030"/>
      <c r="G392" s="1030"/>
      <c r="H392" s="1030"/>
      <c r="I392" s="1030"/>
      <c r="J392" s="1097"/>
      <c r="K392" s="1030"/>
      <c r="L392" s="1030"/>
      <c r="M392" s="1030"/>
      <c r="N392" s="1030"/>
      <c r="O392" s="1030"/>
      <c r="P392" s="1030"/>
      <c r="Q392" s="1030"/>
      <c r="R392" s="1030"/>
      <c r="S392" s="1030"/>
      <c r="T392" s="1030"/>
      <c r="U392" s="1030"/>
      <c r="V392" s="1030"/>
      <c r="W392" s="1030"/>
      <c r="X392" s="1030"/>
      <c r="Y392" s="1030"/>
      <c r="Z392" s="1030"/>
      <c r="AA392" s="1030"/>
      <c r="AB392" s="1030"/>
    </row>
    <row r="393" spans="1:28">
      <c r="A393" s="1030"/>
      <c r="B393" s="1030"/>
      <c r="C393" s="1030"/>
      <c r="D393" s="1030"/>
      <c r="E393" s="1030"/>
      <c r="F393" s="1030"/>
      <c r="G393" s="1030"/>
      <c r="H393" s="1030"/>
      <c r="I393" s="1030"/>
      <c r="J393" s="1097"/>
      <c r="K393" s="1030"/>
      <c r="L393" s="1030"/>
      <c r="M393" s="1030"/>
      <c r="N393" s="1030"/>
      <c r="O393" s="1030"/>
      <c r="P393" s="1030"/>
      <c r="Q393" s="1030"/>
      <c r="R393" s="1030"/>
      <c r="S393" s="1030"/>
      <c r="T393" s="1030"/>
      <c r="U393" s="1030"/>
      <c r="V393" s="1030"/>
      <c r="W393" s="1030"/>
      <c r="X393" s="1030"/>
      <c r="Y393" s="1030"/>
      <c r="Z393" s="1030"/>
      <c r="AA393" s="1030"/>
      <c r="AB393" s="1030"/>
    </row>
    <row r="394" spans="1:28">
      <c r="A394" s="1030"/>
      <c r="B394" s="1030"/>
      <c r="C394" s="1030"/>
      <c r="D394" s="1030"/>
      <c r="E394" s="1030"/>
      <c r="F394" s="1030"/>
      <c r="G394" s="1030"/>
      <c r="H394" s="1030"/>
      <c r="I394" s="1030"/>
      <c r="J394" s="1097"/>
      <c r="K394" s="1030"/>
      <c r="L394" s="1030"/>
      <c r="M394" s="1030"/>
      <c r="N394" s="1030"/>
      <c r="O394" s="1030"/>
      <c r="P394" s="1030"/>
      <c r="Q394" s="1030"/>
      <c r="R394" s="1030"/>
      <c r="S394" s="1030"/>
      <c r="T394" s="1030"/>
      <c r="U394" s="1030"/>
      <c r="V394" s="1030"/>
      <c r="W394" s="1030"/>
      <c r="X394" s="1030"/>
      <c r="Y394" s="1030"/>
      <c r="Z394" s="1030"/>
      <c r="AA394" s="1030"/>
      <c r="AB394" s="1030"/>
    </row>
    <row r="395" spans="1:28">
      <c r="A395" s="1030"/>
      <c r="B395" s="1030"/>
      <c r="C395" s="1030"/>
      <c r="D395" s="1030"/>
      <c r="E395" s="1030"/>
      <c r="F395" s="1030"/>
      <c r="G395" s="1030"/>
      <c r="H395" s="1030"/>
      <c r="I395" s="1030"/>
      <c r="J395" s="1097"/>
      <c r="K395" s="1030"/>
      <c r="L395" s="1030"/>
      <c r="M395" s="1030"/>
      <c r="N395" s="1030"/>
      <c r="O395" s="1030"/>
      <c r="P395" s="1030"/>
      <c r="Q395" s="1030"/>
      <c r="R395" s="1030"/>
      <c r="S395" s="1030"/>
      <c r="T395" s="1030"/>
      <c r="U395" s="1030"/>
      <c r="V395" s="1030"/>
      <c r="W395" s="1030"/>
      <c r="X395" s="1030"/>
      <c r="Y395" s="1030"/>
      <c r="Z395" s="1030"/>
      <c r="AA395" s="1030"/>
      <c r="AB395" s="1030"/>
    </row>
    <row r="396" spans="1:28">
      <c r="A396" s="1030"/>
      <c r="B396" s="1030"/>
      <c r="C396" s="1030"/>
      <c r="D396" s="1030"/>
      <c r="E396" s="1030"/>
      <c r="F396" s="1030"/>
      <c r="G396" s="1030"/>
      <c r="H396" s="1030"/>
      <c r="I396" s="1030"/>
      <c r="J396" s="1097"/>
      <c r="K396" s="1030"/>
      <c r="L396" s="1030"/>
      <c r="M396" s="1030"/>
      <c r="N396" s="1030"/>
      <c r="O396" s="1030"/>
      <c r="P396" s="1030"/>
      <c r="Q396" s="1030"/>
      <c r="R396" s="1030"/>
      <c r="S396" s="1030"/>
      <c r="T396" s="1030"/>
      <c r="U396" s="1030"/>
      <c r="V396" s="1030"/>
      <c r="W396" s="1030"/>
      <c r="X396" s="1030"/>
      <c r="Y396" s="1030"/>
      <c r="Z396" s="1030"/>
      <c r="AA396" s="1030"/>
      <c r="AB396" s="1030"/>
    </row>
    <row r="397" spans="1:28">
      <c r="A397" s="1030"/>
      <c r="B397" s="1030"/>
      <c r="C397" s="1030"/>
      <c r="D397" s="1030"/>
      <c r="E397" s="1030"/>
      <c r="F397" s="1030"/>
      <c r="G397" s="1030"/>
      <c r="H397" s="1030"/>
      <c r="I397" s="1030"/>
      <c r="J397" s="1097"/>
      <c r="K397" s="1030"/>
      <c r="L397" s="1030"/>
      <c r="M397" s="1030"/>
      <c r="N397" s="1030"/>
      <c r="O397" s="1030"/>
      <c r="P397" s="1030"/>
      <c r="Q397" s="1030"/>
      <c r="R397" s="1030"/>
      <c r="S397" s="1030"/>
      <c r="T397" s="1030"/>
      <c r="U397" s="1030"/>
      <c r="V397" s="1030"/>
      <c r="W397" s="1030"/>
      <c r="X397" s="1030"/>
      <c r="Y397" s="1030"/>
      <c r="Z397" s="1030"/>
      <c r="AA397" s="1030"/>
      <c r="AB397" s="1030"/>
    </row>
    <row r="398" spans="1:28">
      <c r="A398" s="1030"/>
      <c r="B398" s="1030"/>
      <c r="C398" s="1030"/>
      <c r="D398" s="1030"/>
      <c r="E398" s="1030"/>
      <c r="F398" s="1030"/>
      <c r="G398" s="1030"/>
      <c r="H398" s="1030"/>
      <c r="I398" s="1030"/>
      <c r="J398" s="1097"/>
      <c r="K398" s="1030"/>
      <c r="L398" s="1030"/>
      <c r="M398" s="1030"/>
      <c r="N398" s="1030"/>
      <c r="O398" s="1030"/>
      <c r="P398" s="1030"/>
      <c r="Q398" s="1030"/>
      <c r="R398" s="1030"/>
      <c r="S398" s="1030"/>
      <c r="T398" s="1030"/>
      <c r="U398" s="1030"/>
      <c r="V398" s="1030"/>
      <c r="W398" s="1030"/>
      <c r="X398" s="1030"/>
      <c r="Y398" s="1030"/>
      <c r="Z398" s="1030"/>
      <c r="AA398" s="1030"/>
      <c r="AB398" s="1030"/>
    </row>
    <row r="399" spans="1:28">
      <c r="A399" s="1030"/>
      <c r="B399" s="1030"/>
      <c r="C399" s="1030"/>
      <c r="D399" s="1030"/>
      <c r="E399" s="1030"/>
      <c r="F399" s="1030"/>
      <c r="G399" s="1030"/>
      <c r="H399" s="1030"/>
      <c r="I399" s="1030"/>
      <c r="J399" s="1097"/>
      <c r="K399" s="1030"/>
      <c r="L399" s="1030"/>
      <c r="M399" s="1030"/>
      <c r="N399" s="1030"/>
      <c r="O399" s="1030"/>
      <c r="P399" s="1030"/>
      <c r="Q399" s="1030"/>
      <c r="R399" s="1030"/>
      <c r="S399" s="1030"/>
      <c r="T399" s="1030"/>
      <c r="U399" s="1030"/>
      <c r="V399" s="1030"/>
      <c r="W399" s="1030"/>
      <c r="X399" s="1030"/>
      <c r="Y399" s="1030"/>
      <c r="Z399" s="1030"/>
      <c r="AA399" s="1030"/>
      <c r="AB399" s="1030"/>
    </row>
    <row r="400" spans="1:28">
      <c r="A400" s="1030"/>
      <c r="B400" s="1030"/>
      <c r="C400" s="1030"/>
      <c r="D400" s="1030"/>
      <c r="E400" s="1030"/>
      <c r="F400" s="1030"/>
      <c r="G400" s="1030"/>
      <c r="H400" s="1030"/>
      <c r="I400" s="1030"/>
      <c r="J400" s="1097"/>
      <c r="K400" s="1030"/>
      <c r="L400" s="1030"/>
      <c r="M400" s="1030"/>
      <c r="N400" s="1030"/>
      <c r="O400" s="1030"/>
      <c r="P400" s="1030"/>
      <c r="Q400" s="1030"/>
      <c r="R400" s="1030"/>
      <c r="S400" s="1030"/>
      <c r="T400" s="1030"/>
      <c r="U400" s="1030"/>
      <c r="V400" s="1030"/>
      <c r="W400" s="1030"/>
      <c r="X400" s="1030"/>
      <c r="Y400" s="1030"/>
      <c r="Z400" s="1030"/>
      <c r="AA400" s="1030"/>
      <c r="AB400" s="1030"/>
    </row>
    <row r="401" spans="1:28">
      <c r="A401" s="1030"/>
      <c r="B401" s="1030"/>
      <c r="C401" s="1030"/>
      <c r="D401" s="1030"/>
      <c r="E401" s="1030"/>
      <c r="F401" s="1030"/>
      <c r="G401" s="1030"/>
      <c r="H401" s="1030"/>
      <c r="I401" s="1030"/>
      <c r="J401" s="1097"/>
      <c r="K401" s="1030"/>
      <c r="L401" s="1030"/>
      <c r="M401" s="1030"/>
      <c r="N401" s="1030"/>
      <c r="O401" s="1030"/>
      <c r="P401" s="1030"/>
      <c r="Q401" s="1030"/>
      <c r="R401" s="1030"/>
      <c r="S401" s="1030"/>
      <c r="T401" s="1030"/>
      <c r="U401" s="1030"/>
      <c r="V401" s="1030"/>
      <c r="W401" s="1030"/>
      <c r="X401" s="1030"/>
      <c r="Y401" s="1030"/>
      <c r="Z401" s="1030"/>
      <c r="AA401" s="1030"/>
      <c r="AB401" s="1030"/>
    </row>
    <row r="402" spans="1:28">
      <c r="A402" s="1030"/>
      <c r="B402" s="1030"/>
      <c r="C402" s="1030"/>
      <c r="D402" s="1030"/>
      <c r="E402" s="1030"/>
      <c r="F402" s="1030"/>
      <c r="G402" s="1030"/>
      <c r="H402" s="1030"/>
      <c r="I402" s="1030"/>
      <c r="J402" s="1097"/>
      <c r="K402" s="1030"/>
      <c r="L402" s="1030"/>
      <c r="M402" s="1030"/>
      <c r="N402" s="1030"/>
      <c r="O402" s="1030"/>
      <c r="P402" s="1030"/>
      <c r="Q402" s="1030"/>
      <c r="R402" s="1030"/>
      <c r="S402" s="1030"/>
      <c r="T402" s="1030"/>
      <c r="U402" s="1030"/>
      <c r="V402" s="1030"/>
      <c r="W402" s="1030"/>
      <c r="X402" s="1030"/>
      <c r="Y402" s="1030"/>
      <c r="Z402" s="1030"/>
      <c r="AA402" s="1030"/>
      <c r="AB402" s="1030"/>
    </row>
    <row r="403" spans="1:28">
      <c r="A403" s="1030"/>
      <c r="B403" s="1030"/>
      <c r="C403" s="1030"/>
      <c r="D403" s="1030"/>
      <c r="E403" s="1030"/>
      <c r="F403" s="1030"/>
      <c r="G403" s="1030"/>
      <c r="H403" s="1030"/>
      <c r="I403" s="1030"/>
      <c r="J403" s="1097"/>
      <c r="K403" s="1030"/>
      <c r="L403" s="1030"/>
      <c r="M403" s="1030"/>
      <c r="N403" s="1030"/>
      <c r="O403" s="1030"/>
      <c r="P403" s="1030"/>
      <c r="Q403" s="1030"/>
      <c r="R403" s="1030"/>
      <c r="S403" s="1030"/>
      <c r="T403" s="1030"/>
      <c r="U403" s="1030"/>
      <c r="V403" s="1030"/>
      <c r="W403" s="1030"/>
      <c r="X403" s="1030"/>
      <c r="Y403" s="1030"/>
      <c r="Z403" s="1030"/>
      <c r="AA403" s="1030"/>
      <c r="AB403" s="1030"/>
    </row>
    <row r="404" spans="1:28">
      <c r="A404" s="1030"/>
      <c r="B404" s="1030"/>
      <c r="C404" s="1030"/>
      <c r="D404" s="1030"/>
      <c r="E404" s="1030"/>
      <c r="F404" s="1030"/>
      <c r="G404" s="1030"/>
      <c r="H404" s="1030"/>
      <c r="I404" s="1030"/>
      <c r="J404" s="1097"/>
      <c r="K404" s="1030"/>
      <c r="L404" s="1030"/>
      <c r="M404" s="1030"/>
      <c r="N404" s="1030"/>
      <c r="O404" s="1030"/>
      <c r="P404" s="1030"/>
      <c r="Q404" s="1030"/>
      <c r="R404" s="1030"/>
      <c r="S404" s="1030"/>
      <c r="T404" s="1030"/>
      <c r="U404" s="1030"/>
      <c r="V404" s="1030"/>
      <c r="W404" s="1030"/>
      <c r="X404" s="1030"/>
      <c r="Y404" s="1030"/>
      <c r="Z404" s="1030"/>
      <c r="AA404" s="1030"/>
      <c r="AB404" s="1030"/>
    </row>
    <row r="405" spans="1:28">
      <c r="A405" s="1030"/>
      <c r="B405" s="1030"/>
      <c r="C405" s="1030"/>
      <c r="D405" s="1030"/>
      <c r="E405" s="1030"/>
      <c r="F405" s="1030"/>
      <c r="G405" s="1030"/>
      <c r="H405" s="1030"/>
      <c r="I405" s="1030"/>
      <c r="J405" s="1097"/>
      <c r="K405" s="1030"/>
      <c r="L405" s="1030"/>
      <c r="M405" s="1030"/>
      <c r="N405" s="1030"/>
      <c r="O405" s="1030"/>
      <c r="P405" s="1030"/>
      <c r="Q405" s="1030"/>
      <c r="R405" s="1030"/>
      <c r="S405" s="1030"/>
      <c r="T405" s="1030"/>
      <c r="U405" s="1030"/>
      <c r="V405" s="1030"/>
      <c r="W405" s="1030"/>
      <c r="X405" s="1030"/>
      <c r="Y405" s="1030"/>
      <c r="Z405" s="1030"/>
      <c r="AA405" s="1030"/>
      <c r="AB405" s="1030"/>
    </row>
    <row r="406" spans="1:28">
      <c r="A406" s="1030"/>
      <c r="B406" s="1030"/>
      <c r="C406" s="1030"/>
      <c r="D406" s="1030"/>
      <c r="E406" s="1030"/>
      <c r="F406" s="1030"/>
      <c r="G406" s="1030"/>
      <c r="H406" s="1030"/>
      <c r="I406" s="1030"/>
      <c r="J406" s="1097"/>
      <c r="K406" s="1030"/>
      <c r="L406" s="1030"/>
      <c r="M406" s="1030"/>
      <c r="N406" s="1030"/>
      <c r="O406" s="1030"/>
      <c r="P406" s="1030"/>
      <c r="Q406" s="1030"/>
      <c r="R406" s="1030"/>
      <c r="S406" s="1030"/>
      <c r="T406" s="1030"/>
      <c r="U406" s="1030"/>
      <c r="V406" s="1030"/>
      <c r="W406" s="1030"/>
      <c r="X406" s="1030"/>
      <c r="Y406" s="1030"/>
      <c r="Z406" s="1030"/>
      <c r="AA406" s="1030"/>
      <c r="AB406" s="1030"/>
    </row>
    <row r="407" spans="1:28">
      <c r="A407" s="1030"/>
      <c r="B407" s="1030"/>
      <c r="C407" s="1030"/>
      <c r="D407" s="1030"/>
      <c r="E407" s="1030"/>
      <c r="F407" s="1030"/>
      <c r="G407" s="1030"/>
      <c r="H407" s="1030"/>
      <c r="I407" s="1030"/>
      <c r="J407" s="1097"/>
      <c r="K407" s="1030"/>
      <c r="L407" s="1030"/>
      <c r="M407" s="1030"/>
      <c r="N407" s="1030"/>
      <c r="O407" s="1030"/>
      <c r="P407" s="1030"/>
      <c r="Q407" s="1030"/>
      <c r="R407" s="1030"/>
      <c r="S407" s="1030"/>
      <c r="T407" s="1030"/>
      <c r="U407" s="1030"/>
      <c r="V407" s="1030"/>
      <c r="W407" s="1030"/>
      <c r="X407" s="1030"/>
      <c r="Y407" s="1030"/>
      <c r="Z407" s="1030"/>
      <c r="AA407" s="1030"/>
      <c r="AB407" s="1030"/>
    </row>
    <row r="408" spans="1:28">
      <c r="A408" s="1030"/>
      <c r="B408" s="1030"/>
      <c r="C408" s="1030"/>
      <c r="D408" s="1030"/>
      <c r="E408" s="1030"/>
      <c r="F408" s="1030"/>
      <c r="G408" s="1030"/>
      <c r="H408" s="1030"/>
      <c r="I408" s="1030"/>
      <c r="J408" s="1097"/>
      <c r="K408" s="1030"/>
      <c r="L408" s="1030"/>
      <c r="M408" s="1030"/>
      <c r="N408" s="1030"/>
      <c r="O408" s="1030"/>
      <c r="P408" s="1030"/>
      <c r="Q408" s="1030"/>
      <c r="R408" s="1030"/>
      <c r="S408" s="1030"/>
      <c r="T408" s="1030"/>
      <c r="U408" s="1030"/>
      <c r="V408" s="1030"/>
      <c r="W408" s="1030"/>
      <c r="X408" s="1030"/>
      <c r="Y408" s="1030"/>
      <c r="Z408" s="1030"/>
      <c r="AA408" s="1030"/>
      <c r="AB408" s="1030"/>
    </row>
    <row r="409" spans="1:28">
      <c r="A409" s="1030"/>
      <c r="B409" s="1030"/>
      <c r="C409" s="1030"/>
      <c r="D409" s="1030"/>
      <c r="E409" s="1030"/>
      <c r="F409" s="1030"/>
      <c r="G409" s="1030"/>
      <c r="H409" s="1030"/>
      <c r="I409" s="1030"/>
      <c r="J409" s="1097"/>
      <c r="K409" s="1030"/>
      <c r="L409" s="1030"/>
      <c r="M409" s="1030"/>
      <c r="N409" s="1030"/>
      <c r="O409" s="1030"/>
      <c r="P409" s="1030"/>
      <c r="Q409" s="1030"/>
      <c r="R409" s="1030"/>
      <c r="S409" s="1030"/>
      <c r="T409" s="1030"/>
      <c r="U409" s="1030"/>
      <c r="V409" s="1030"/>
      <c r="W409" s="1030"/>
      <c r="X409" s="1030"/>
      <c r="Y409" s="1030"/>
      <c r="Z409" s="1030"/>
      <c r="AA409" s="1030"/>
      <c r="AB409" s="1030"/>
    </row>
    <row r="410" spans="1:28">
      <c r="A410" s="1030"/>
      <c r="B410" s="1030"/>
      <c r="C410" s="1030"/>
      <c r="D410" s="1030"/>
      <c r="E410" s="1030"/>
      <c r="F410" s="1030"/>
      <c r="G410" s="1030"/>
      <c r="H410" s="1030"/>
      <c r="I410" s="1030"/>
      <c r="J410" s="1097"/>
      <c r="K410" s="1030"/>
      <c r="L410" s="1030"/>
      <c r="M410" s="1030"/>
      <c r="N410" s="1030"/>
      <c r="O410" s="1030"/>
      <c r="P410" s="1030"/>
      <c r="Q410" s="1030"/>
      <c r="R410" s="1030"/>
      <c r="S410" s="1030"/>
      <c r="T410" s="1030"/>
      <c r="U410" s="1030"/>
      <c r="V410" s="1030"/>
      <c r="W410" s="1030"/>
      <c r="X410" s="1030"/>
      <c r="Y410" s="1030"/>
      <c r="Z410" s="1030"/>
      <c r="AA410" s="1030"/>
      <c r="AB410" s="1030"/>
    </row>
    <row r="411" spans="1:28">
      <c r="A411" s="1030"/>
      <c r="B411" s="1030"/>
      <c r="C411" s="1030"/>
      <c r="D411" s="1030"/>
      <c r="E411" s="1030"/>
      <c r="F411" s="1030"/>
      <c r="G411" s="1030"/>
      <c r="H411" s="1030"/>
      <c r="I411" s="1030"/>
      <c r="J411" s="1097"/>
      <c r="K411" s="1030"/>
      <c r="L411" s="1030"/>
      <c r="M411" s="1030"/>
      <c r="N411" s="1030"/>
      <c r="O411" s="1030"/>
      <c r="P411" s="1030"/>
      <c r="Q411" s="1030"/>
      <c r="R411" s="1030"/>
      <c r="S411" s="1030"/>
      <c r="T411" s="1030"/>
      <c r="U411" s="1030"/>
      <c r="V411" s="1030"/>
      <c r="W411" s="1030"/>
      <c r="X411" s="1030"/>
      <c r="Y411" s="1030"/>
      <c r="Z411" s="1030"/>
      <c r="AA411" s="1030"/>
      <c r="AB411" s="1030"/>
    </row>
    <row r="412" spans="1:28">
      <c r="A412" s="1030"/>
      <c r="B412" s="1030"/>
      <c r="C412" s="1030"/>
      <c r="D412" s="1030"/>
      <c r="E412" s="1030"/>
      <c r="F412" s="1030"/>
      <c r="G412" s="1030"/>
      <c r="H412" s="1030"/>
      <c r="I412" s="1030"/>
      <c r="J412" s="1097"/>
      <c r="K412" s="1030"/>
      <c r="L412" s="1030"/>
      <c r="M412" s="1030"/>
      <c r="N412" s="1030"/>
      <c r="O412" s="1030"/>
      <c r="P412" s="1030"/>
      <c r="Q412" s="1030"/>
      <c r="R412" s="1030"/>
      <c r="S412" s="1030"/>
      <c r="T412" s="1030"/>
      <c r="U412" s="1030"/>
      <c r="V412" s="1030"/>
      <c r="W412" s="1030"/>
      <c r="X412" s="1030"/>
      <c r="Y412" s="1030"/>
      <c r="Z412" s="1030"/>
      <c r="AA412" s="1030"/>
      <c r="AB412" s="1030"/>
    </row>
    <row r="413" spans="1:28">
      <c r="A413" s="1030"/>
      <c r="B413" s="1030"/>
      <c r="C413" s="1030"/>
      <c r="D413" s="1030"/>
      <c r="E413" s="1030"/>
      <c r="F413" s="1030"/>
      <c r="G413" s="1030"/>
      <c r="H413" s="1030"/>
      <c r="I413" s="1030"/>
      <c r="J413" s="1097"/>
      <c r="K413" s="1030"/>
      <c r="L413" s="1030"/>
      <c r="M413" s="1030"/>
      <c r="N413" s="1030"/>
      <c r="O413" s="1030"/>
      <c r="P413" s="1030"/>
      <c r="Q413" s="1030"/>
      <c r="R413" s="1030"/>
      <c r="S413" s="1030"/>
      <c r="T413" s="1030"/>
      <c r="U413" s="1030"/>
      <c r="V413" s="1030"/>
      <c r="W413" s="1030"/>
      <c r="X413" s="1030"/>
      <c r="Y413" s="1030"/>
      <c r="Z413" s="1030"/>
      <c r="AA413" s="1030"/>
      <c r="AB413" s="1030"/>
    </row>
    <row r="414" spans="1:28">
      <c r="A414" s="1030"/>
      <c r="B414" s="1030"/>
      <c r="C414" s="1030"/>
      <c r="D414" s="1030"/>
      <c r="E414" s="1030"/>
      <c r="F414" s="1030"/>
      <c r="G414" s="1030"/>
      <c r="H414" s="1030"/>
      <c r="I414" s="1030"/>
      <c r="J414" s="1097"/>
      <c r="K414" s="1030"/>
      <c r="L414" s="1030"/>
      <c r="M414" s="1030"/>
      <c r="N414" s="1030"/>
      <c r="O414" s="1030"/>
      <c r="P414" s="1030"/>
      <c r="Q414" s="1030"/>
      <c r="R414" s="1030"/>
      <c r="S414" s="1030"/>
      <c r="T414" s="1030"/>
      <c r="U414" s="1030"/>
      <c r="V414" s="1030"/>
      <c r="W414" s="1030"/>
      <c r="X414" s="1030"/>
      <c r="Y414" s="1030"/>
      <c r="Z414" s="1030"/>
      <c r="AA414" s="1030"/>
      <c r="AB414" s="1030"/>
    </row>
    <row r="415" spans="1:28">
      <c r="A415" s="1030"/>
      <c r="B415" s="1030"/>
      <c r="C415" s="1030"/>
      <c r="D415" s="1030"/>
      <c r="E415" s="1030"/>
      <c r="F415" s="1030"/>
      <c r="G415" s="1030"/>
      <c r="H415" s="1030"/>
      <c r="I415" s="1030"/>
      <c r="J415" s="1097"/>
      <c r="K415" s="1030"/>
      <c r="L415" s="1030"/>
      <c r="M415" s="1030"/>
      <c r="N415" s="1030"/>
      <c r="O415" s="1030"/>
      <c r="P415" s="1030"/>
      <c r="Q415" s="1030"/>
      <c r="R415" s="1030"/>
      <c r="S415" s="1030"/>
      <c r="T415" s="1030"/>
      <c r="U415" s="1030"/>
      <c r="V415" s="1030"/>
      <c r="W415" s="1030"/>
      <c r="X415" s="1030"/>
      <c r="Y415" s="1030"/>
      <c r="Z415" s="1030"/>
      <c r="AA415" s="1030"/>
      <c r="AB415" s="1030"/>
    </row>
    <row r="416" spans="1:28">
      <c r="A416" s="1030"/>
      <c r="B416" s="1030"/>
      <c r="C416" s="1030"/>
      <c r="D416" s="1030"/>
      <c r="E416" s="1030"/>
      <c r="F416" s="1030"/>
      <c r="G416" s="1030"/>
      <c r="H416" s="1030"/>
      <c r="I416" s="1030"/>
      <c r="J416" s="1097"/>
      <c r="K416" s="1030"/>
      <c r="L416" s="1030"/>
      <c r="M416" s="1030"/>
      <c r="N416" s="1030"/>
      <c r="O416" s="1030"/>
      <c r="P416" s="1030"/>
      <c r="Q416" s="1030"/>
      <c r="R416" s="1030"/>
      <c r="S416" s="1030"/>
      <c r="T416" s="1030"/>
      <c r="U416" s="1030"/>
      <c r="V416" s="1030"/>
      <c r="W416" s="1030"/>
      <c r="X416" s="1030"/>
      <c r="Y416" s="1030"/>
      <c r="Z416" s="1030"/>
      <c r="AA416" s="1030"/>
      <c r="AB416" s="1030"/>
    </row>
    <row r="417" spans="1:28">
      <c r="A417" s="1030"/>
      <c r="B417" s="1030"/>
      <c r="C417" s="1030"/>
      <c r="D417" s="1030"/>
      <c r="E417" s="1030"/>
      <c r="F417" s="1030"/>
      <c r="G417" s="1030"/>
      <c r="H417" s="1030"/>
      <c r="I417" s="1030"/>
      <c r="J417" s="1097"/>
      <c r="K417" s="1030"/>
      <c r="L417" s="1030"/>
      <c r="M417" s="1030"/>
      <c r="N417" s="1030"/>
      <c r="O417" s="1030"/>
      <c r="P417" s="1030"/>
      <c r="Q417" s="1030"/>
      <c r="R417" s="1030"/>
      <c r="S417" s="1030"/>
      <c r="T417" s="1030"/>
      <c r="U417" s="1030"/>
      <c r="V417" s="1030"/>
      <c r="W417" s="1030"/>
      <c r="X417" s="1030"/>
      <c r="Y417" s="1030"/>
      <c r="Z417" s="1030"/>
      <c r="AA417" s="1030"/>
      <c r="AB417" s="1030"/>
    </row>
    <row r="418" spans="1:28">
      <c r="A418" s="1030"/>
      <c r="B418" s="1030"/>
      <c r="C418" s="1030"/>
      <c r="D418" s="1030"/>
      <c r="E418" s="1030"/>
      <c r="F418" s="1030"/>
      <c r="G418" s="1030"/>
      <c r="H418" s="1030"/>
      <c r="I418" s="1030"/>
      <c r="J418" s="1097"/>
      <c r="K418" s="1030"/>
      <c r="L418" s="1030"/>
      <c r="M418" s="1030"/>
      <c r="N418" s="1030"/>
      <c r="O418" s="1030"/>
      <c r="P418" s="1030"/>
      <c r="Q418" s="1030"/>
      <c r="R418" s="1030"/>
      <c r="S418" s="1030"/>
      <c r="T418" s="1030"/>
      <c r="U418" s="1030"/>
      <c r="V418" s="1030"/>
      <c r="W418" s="1030"/>
      <c r="X418" s="1030"/>
      <c r="Y418" s="1030"/>
      <c r="Z418" s="1030"/>
      <c r="AA418" s="1030"/>
      <c r="AB418" s="1030"/>
    </row>
    <row r="419" spans="1:28">
      <c r="A419" s="1030"/>
      <c r="B419" s="1030"/>
      <c r="C419" s="1030"/>
      <c r="D419" s="1030"/>
      <c r="E419" s="1030"/>
      <c r="F419" s="1030"/>
      <c r="G419" s="1030"/>
      <c r="H419" s="1030"/>
      <c r="I419" s="1030"/>
      <c r="J419" s="1097"/>
      <c r="K419" s="1030"/>
      <c r="L419" s="1030"/>
      <c r="M419" s="1030"/>
      <c r="N419" s="1030"/>
      <c r="O419" s="1030"/>
      <c r="P419" s="1030"/>
      <c r="Q419" s="1030"/>
      <c r="R419" s="1030"/>
      <c r="S419" s="1030"/>
      <c r="T419" s="1030"/>
      <c r="U419" s="1030"/>
      <c r="V419" s="1030"/>
      <c r="W419" s="1030"/>
      <c r="X419" s="1030"/>
      <c r="Y419" s="1030"/>
      <c r="Z419" s="1030"/>
      <c r="AA419" s="1030"/>
      <c r="AB419" s="1030"/>
    </row>
    <row r="420" spans="1:28">
      <c r="A420" s="1030"/>
      <c r="B420" s="1030"/>
      <c r="C420" s="1030"/>
      <c r="D420" s="1030"/>
      <c r="E420" s="1030"/>
      <c r="F420" s="1030"/>
      <c r="G420" s="1030"/>
      <c r="H420" s="1030"/>
      <c r="I420" s="1030"/>
      <c r="J420" s="1097"/>
      <c r="K420" s="1030"/>
      <c r="L420" s="1030"/>
      <c r="M420" s="1030"/>
      <c r="N420" s="1030"/>
      <c r="O420" s="1030"/>
      <c r="P420" s="1030"/>
      <c r="Q420" s="1030"/>
      <c r="R420" s="1030"/>
      <c r="S420" s="1030"/>
      <c r="T420" s="1030"/>
      <c r="U420" s="1030"/>
      <c r="V420" s="1030"/>
      <c r="W420" s="1030"/>
      <c r="X420" s="1030"/>
      <c r="Y420" s="1030"/>
      <c r="Z420" s="1030"/>
      <c r="AA420" s="1030"/>
      <c r="AB420" s="1030"/>
    </row>
    <row r="421" spans="1:28">
      <c r="A421" s="1030"/>
      <c r="B421" s="1030"/>
      <c r="C421" s="1030"/>
      <c r="D421" s="1030"/>
      <c r="E421" s="1030"/>
      <c r="F421" s="1030"/>
      <c r="G421" s="1030"/>
      <c r="H421" s="1030"/>
      <c r="I421" s="1030"/>
      <c r="J421" s="1097"/>
      <c r="K421" s="1030"/>
      <c r="L421" s="1030"/>
      <c r="M421" s="1030"/>
      <c r="N421" s="1030"/>
      <c r="O421" s="1030"/>
      <c r="P421" s="1030"/>
      <c r="Q421" s="1030"/>
      <c r="R421" s="1030"/>
      <c r="S421" s="1030"/>
      <c r="T421" s="1030"/>
      <c r="U421" s="1030"/>
      <c r="V421" s="1030"/>
      <c r="W421" s="1030"/>
      <c r="X421" s="1030"/>
      <c r="Y421" s="1030"/>
      <c r="Z421" s="1030"/>
      <c r="AA421" s="1030"/>
      <c r="AB421" s="1030"/>
    </row>
    <row r="422" spans="1:28">
      <c r="A422" s="1030"/>
      <c r="B422" s="1030"/>
      <c r="C422" s="1030"/>
      <c r="D422" s="1030"/>
      <c r="E422" s="1030"/>
      <c r="F422" s="1030"/>
      <c r="G422" s="1030"/>
      <c r="H422" s="1030"/>
      <c r="I422" s="1030"/>
      <c r="J422" s="1097"/>
      <c r="K422" s="1030"/>
      <c r="L422" s="1030"/>
      <c r="M422" s="1030"/>
      <c r="N422" s="1030"/>
      <c r="O422" s="1030"/>
      <c r="P422" s="1030"/>
      <c r="Q422" s="1030"/>
      <c r="R422" s="1030"/>
      <c r="S422" s="1030"/>
      <c r="T422" s="1030"/>
      <c r="U422" s="1030"/>
      <c r="V422" s="1030"/>
      <c r="W422" s="1030"/>
      <c r="X422" s="1030"/>
      <c r="Y422" s="1030"/>
      <c r="Z422" s="1030"/>
      <c r="AA422" s="1030"/>
      <c r="AB422" s="1030"/>
    </row>
    <row r="423" spans="1:28">
      <c r="A423" s="1030"/>
      <c r="B423" s="1030"/>
      <c r="C423" s="1030"/>
      <c r="D423" s="1030"/>
      <c r="E423" s="1030"/>
      <c r="F423" s="1030"/>
      <c r="G423" s="1030"/>
      <c r="H423" s="1030"/>
      <c r="I423" s="1030"/>
      <c r="J423" s="1097"/>
      <c r="K423" s="1030"/>
      <c r="L423" s="1030"/>
      <c r="M423" s="1030"/>
      <c r="N423" s="1030"/>
      <c r="O423" s="1030"/>
      <c r="P423" s="1030"/>
      <c r="Q423" s="1030"/>
      <c r="R423" s="1030"/>
      <c r="S423" s="1030"/>
      <c r="T423" s="1030"/>
      <c r="U423" s="1030"/>
      <c r="V423" s="1030"/>
      <c r="W423" s="1030"/>
      <c r="X423" s="1030"/>
      <c r="Y423" s="1030"/>
      <c r="Z423" s="1030"/>
      <c r="AA423" s="1030"/>
      <c r="AB423" s="1030"/>
    </row>
    <row r="424" spans="1:28">
      <c r="A424" s="1030"/>
      <c r="B424" s="1030"/>
      <c r="C424" s="1030"/>
      <c r="D424" s="1030"/>
      <c r="E424" s="1030"/>
      <c r="F424" s="1030"/>
      <c r="G424" s="1030"/>
      <c r="H424" s="1030"/>
      <c r="I424" s="1030"/>
      <c r="J424" s="1097"/>
      <c r="K424" s="1030"/>
      <c r="L424" s="1030"/>
      <c r="M424" s="1030"/>
      <c r="N424" s="1030"/>
      <c r="O424" s="1030"/>
      <c r="P424" s="1030"/>
      <c r="Q424" s="1030"/>
      <c r="R424" s="1030"/>
      <c r="S424" s="1030"/>
      <c r="T424" s="1030"/>
      <c r="U424" s="1030"/>
      <c r="V424" s="1030"/>
      <c r="W424" s="1030"/>
      <c r="X424" s="1030"/>
      <c r="Y424" s="1030"/>
      <c r="Z424" s="1030"/>
      <c r="AA424" s="1030"/>
      <c r="AB424" s="1030"/>
    </row>
    <row r="425" spans="1:28">
      <c r="A425" s="1030"/>
      <c r="B425" s="1030"/>
      <c r="C425" s="1030"/>
      <c r="D425" s="1030"/>
      <c r="E425" s="1030"/>
      <c r="F425" s="1030"/>
      <c r="G425" s="1030"/>
      <c r="H425" s="1030"/>
      <c r="I425" s="1030"/>
      <c r="J425" s="1097"/>
      <c r="K425" s="1030"/>
      <c r="L425" s="1030"/>
      <c r="M425" s="1030"/>
      <c r="N425" s="1030"/>
      <c r="O425" s="1030"/>
      <c r="P425" s="1030"/>
      <c r="Q425" s="1030"/>
      <c r="R425" s="1030"/>
      <c r="S425" s="1030"/>
      <c r="T425" s="1030"/>
      <c r="U425" s="1030"/>
      <c r="V425" s="1030"/>
      <c r="W425" s="1030"/>
      <c r="X425" s="1030"/>
      <c r="Y425" s="1030"/>
      <c r="Z425" s="1030"/>
      <c r="AA425" s="1030"/>
      <c r="AB425" s="1030"/>
    </row>
    <row r="426" spans="1:28">
      <c r="A426" s="1030"/>
      <c r="B426" s="1030"/>
      <c r="C426" s="1030"/>
      <c r="D426" s="1030"/>
      <c r="E426" s="1030"/>
      <c r="F426" s="1030"/>
      <c r="G426" s="1030"/>
      <c r="H426" s="1030"/>
      <c r="I426" s="1030"/>
      <c r="J426" s="1097"/>
      <c r="K426" s="1030"/>
      <c r="L426" s="1030"/>
      <c r="M426" s="1030"/>
      <c r="N426" s="1030"/>
      <c r="O426" s="1030"/>
      <c r="P426" s="1030"/>
      <c r="Q426" s="1030"/>
      <c r="R426" s="1030"/>
      <c r="S426" s="1030"/>
      <c r="T426" s="1030"/>
      <c r="U426" s="1030"/>
      <c r="V426" s="1030"/>
      <c r="W426" s="1030"/>
      <c r="X426" s="1030"/>
      <c r="Y426" s="1030"/>
      <c r="Z426" s="1030"/>
      <c r="AA426" s="1030"/>
      <c r="AB426" s="1030"/>
    </row>
    <row r="427" spans="1:28">
      <c r="A427" s="1030"/>
      <c r="B427" s="1030"/>
      <c r="C427" s="1030"/>
      <c r="D427" s="1030"/>
      <c r="E427" s="1030"/>
      <c r="F427" s="1030"/>
      <c r="G427" s="1030"/>
      <c r="H427" s="1030"/>
      <c r="I427" s="1030"/>
      <c r="J427" s="1097"/>
      <c r="K427" s="1030"/>
      <c r="L427" s="1030"/>
      <c r="M427" s="1030"/>
      <c r="N427" s="1030"/>
      <c r="O427" s="1030"/>
      <c r="P427" s="1030"/>
      <c r="Q427" s="1030"/>
      <c r="R427" s="1030"/>
      <c r="S427" s="1030"/>
      <c r="T427" s="1030"/>
      <c r="U427" s="1030"/>
      <c r="V427" s="1030"/>
      <c r="W427" s="1030"/>
      <c r="X427" s="1030"/>
      <c r="Y427" s="1030"/>
      <c r="Z427" s="1030"/>
      <c r="AA427" s="1030"/>
      <c r="AB427" s="1030"/>
    </row>
    <row r="428" spans="1:28">
      <c r="A428" s="1030"/>
      <c r="B428" s="1030"/>
      <c r="C428" s="1030"/>
      <c r="D428" s="1030"/>
      <c r="E428" s="1030"/>
      <c r="F428" s="1030"/>
      <c r="G428" s="1030"/>
      <c r="H428" s="1030"/>
      <c r="I428" s="1030"/>
      <c r="J428" s="1097"/>
      <c r="K428" s="1030"/>
      <c r="L428" s="1030"/>
      <c r="M428" s="1030"/>
      <c r="N428" s="1030"/>
      <c r="O428" s="1030"/>
      <c r="P428" s="1030"/>
      <c r="Q428" s="1030"/>
      <c r="R428" s="1030"/>
      <c r="S428" s="1030"/>
      <c r="T428" s="1030"/>
      <c r="U428" s="1030"/>
      <c r="V428" s="1030"/>
      <c r="W428" s="1030"/>
      <c r="X428" s="1030"/>
      <c r="Y428" s="1030"/>
      <c r="Z428" s="1030"/>
      <c r="AA428" s="1030"/>
      <c r="AB428" s="1030"/>
    </row>
    <row r="429" spans="1:28">
      <c r="A429" s="1030"/>
      <c r="B429" s="1030"/>
      <c r="C429" s="1030"/>
      <c r="D429" s="1030"/>
      <c r="E429" s="1030"/>
      <c r="F429" s="1030"/>
      <c r="G429" s="1030"/>
      <c r="H429" s="1030"/>
      <c r="I429" s="1030"/>
      <c r="J429" s="1097"/>
      <c r="K429" s="1030"/>
      <c r="L429" s="1030"/>
      <c r="M429" s="1030"/>
      <c r="N429" s="1030"/>
      <c r="O429" s="1030"/>
      <c r="P429" s="1030"/>
      <c r="Q429" s="1030"/>
      <c r="R429" s="1030"/>
      <c r="S429" s="1030"/>
      <c r="T429" s="1030"/>
      <c r="U429" s="1030"/>
      <c r="V429" s="1030"/>
      <c r="W429" s="1030"/>
      <c r="X429" s="1030"/>
      <c r="Y429" s="1030"/>
      <c r="Z429" s="1030"/>
      <c r="AA429" s="1030"/>
      <c r="AB429" s="1030"/>
    </row>
    <row r="430" spans="1:28">
      <c r="A430" s="1030"/>
      <c r="B430" s="1030"/>
      <c r="C430" s="1030"/>
      <c r="D430" s="1030"/>
      <c r="E430" s="1030"/>
      <c r="F430" s="1030"/>
      <c r="G430" s="1030"/>
      <c r="H430" s="1030"/>
      <c r="I430" s="1030"/>
      <c r="J430" s="1097"/>
      <c r="K430" s="1030"/>
      <c r="L430" s="1030"/>
      <c r="M430" s="1030"/>
      <c r="N430" s="1030"/>
      <c r="O430" s="1030"/>
      <c r="P430" s="1030"/>
      <c r="Q430" s="1030"/>
      <c r="R430" s="1030"/>
      <c r="S430" s="1030"/>
      <c r="T430" s="1030"/>
      <c r="U430" s="1030"/>
      <c r="V430" s="1030"/>
      <c r="W430" s="1030"/>
      <c r="X430" s="1030"/>
      <c r="Y430" s="1030"/>
      <c r="Z430" s="1030"/>
      <c r="AA430" s="1030"/>
      <c r="AB430" s="1030"/>
    </row>
    <row r="431" spans="1:28">
      <c r="A431" s="1030"/>
      <c r="B431" s="1030"/>
      <c r="C431" s="1030"/>
      <c r="D431" s="1030"/>
      <c r="E431" s="1030"/>
      <c r="F431" s="1030"/>
      <c r="G431" s="1030"/>
      <c r="H431" s="1030"/>
      <c r="I431" s="1030"/>
      <c r="J431" s="1097"/>
      <c r="K431" s="1030"/>
      <c r="L431" s="1030"/>
      <c r="M431" s="1030"/>
      <c r="N431" s="1030"/>
      <c r="O431" s="1030"/>
      <c r="P431" s="1030"/>
      <c r="Q431" s="1030"/>
      <c r="R431" s="1030"/>
      <c r="S431" s="1030"/>
      <c r="T431" s="1030"/>
      <c r="U431" s="1030"/>
      <c r="V431" s="1030"/>
      <c r="W431" s="1030"/>
      <c r="X431" s="1030"/>
      <c r="Y431" s="1030"/>
      <c r="Z431" s="1030"/>
      <c r="AA431" s="1030"/>
      <c r="AB431" s="1030"/>
    </row>
    <row r="432" spans="1:28">
      <c r="A432" s="1030"/>
      <c r="B432" s="1030"/>
      <c r="C432" s="1030"/>
      <c r="D432" s="1030"/>
      <c r="E432" s="1030"/>
      <c r="F432" s="1030"/>
      <c r="G432" s="1030"/>
      <c r="H432" s="1030"/>
      <c r="I432" s="1030"/>
      <c r="J432" s="1097"/>
      <c r="K432" s="1030"/>
      <c r="L432" s="1030"/>
      <c r="M432" s="1030"/>
      <c r="N432" s="1030"/>
      <c r="O432" s="1030"/>
      <c r="P432" s="1030"/>
      <c r="Q432" s="1030"/>
      <c r="R432" s="1030"/>
      <c r="S432" s="1030"/>
      <c r="T432" s="1030"/>
      <c r="U432" s="1030"/>
      <c r="V432" s="1030"/>
      <c r="W432" s="1030"/>
      <c r="X432" s="1030"/>
      <c r="Y432" s="1030"/>
      <c r="Z432" s="1030"/>
      <c r="AA432" s="1030"/>
      <c r="AB432" s="1030"/>
    </row>
    <row r="433" spans="1:28">
      <c r="A433" s="1030"/>
      <c r="B433" s="1030"/>
      <c r="C433" s="1030"/>
      <c r="D433" s="1030"/>
      <c r="E433" s="1030"/>
      <c r="F433" s="1030"/>
      <c r="G433" s="1030"/>
      <c r="H433" s="1030"/>
      <c r="I433" s="1030"/>
      <c r="J433" s="1097"/>
      <c r="K433" s="1030"/>
      <c r="L433" s="1030"/>
      <c r="M433" s="1030"/>
      <c r="N433" s="1030"/>
      <c r="O433" s="1030"/>
      <c r="P433" s="1030"/>
      <c r="Q433" s="1030"/>
      <c r="R433" s="1030"/>
      <c r="S433" s="1030"/>
      <c r="T433" s="1030"/>
      <c r="U433" s="1030"/>
      <c r="V433" s="1030"/>
      <c r="W433" s="1030"/>
      <c r="X433" s="1030"/>
      <c r="Y433" s="1030"/>
      <c r="Z433" s="1030"/>
      <c r="AA433" s="1030"/>
      <c r="AB433" s="1030"/>
    </row>
    <row r="434" spans="1:28">
      <c r="A434" s="1030"/>
      <c r="B434" s="1030"/>
      <c r="C434" s="1030"/>
      <c r="D434" s="1030"/>
      <c r="E434" s="1030"/>
      <c r="F434" s="1030"/>
      <c r="G434" s="1030"/>
      <c r="H434" s="1030"/>
      <c r="I434" s="1030"/>
      <c r="J434" s="1097"/>
      <c r="K434" s="1030"/>
      <c r="L434" s="1030"/>
      <c r="M434" s="1030"/>
      <c r="N434" s="1030"/>
      <c r="O434" s="1030"/>
      <c r="P434" s="1030"/>
      <c r="Q434" s="1030"/>
      <c r="R434" s="1030"/>
      <c r="S434" s="1030"/>
      <c r="T434" s="1030"/>
      <c r="U434" s="1030"/>
      <c r="V434" s="1030"/>
      <c r="W434" s="1030"/>
      <c r="X434" s="1030"/>
      <c r="Y434" s="1030"/>
      <c r="Z434" s="1030"/>
      <c r="AA434" s="1030"/>
      <c r="AB434" s="1030"/>
    </row>
    <row r="435" spans="1:28">
      <c r="A435" s="1030"/>
      <c r="B435" s="1030"/>
      <c r="C435" s="1030"/>
      <c r="D435" s="1030"/>
      <c r="E435" s="1030"/>
      <c r="F435" s="1030"/>
      <c r="G435" s="1030"/>
      <c r="H435" s="1030"/>
      <c r="I435" s="1030"/>
      <c r="J435" s="1097"/>
      <c r="K435" s="1030"/>
      <c r="L435" s="1030"/>
      <c r="M435" s="1030"/>
      <c r="N435" s="1030"/>
      <c r="O435" s="1030"/>
      <c r="P435" s="1030"/>
      <c r="Q435" s="1030"/>
      <c r="R435" s="1030"/>
      <c r="S435" s="1030"/>
      <c r="T435" s="1030"/>
      <c r="U435" s="1030"/>
      <c r="V435" s="1030"/>
      <c r="W435" s="1030"/>
      <c r="X435" s="1030"/>
      <c r="Y435" s="1030"/>
      <c r="Z435" s="1030"/>
      <c r="AA435" s="1030"/>
      <c r="AB435" s="1030"/>
    </row>
    <row r="436" spans="1:28">
      <c r="A436" s="1030"/>
      <c r="B436" s="1030"/>
      <c r="C436" s="1030"/>
      <c r="D436" s="1030"/>
      <c r="E436" s="1030"/>
      <c r="F436" s="1030"/>
      <c r="G436" s="1030"/>
      <c r="H436" s="1030"/>
      <c r="I436" s="1030"/>
      <c r="J436" s="1097"/>
      <c r="K436" s="1030"/>
      <c r="L436" s="1030"/>
      <c r="M436" s="1030"/>
      <c r="N436" s="1030"/>
      <c r="O436" s="1030"/>
      <c r="P436" s="1030"/>
      <c r="Q436" s="1030"/>
      <c r="R436" s="1030"/>
      <c r="S436" s="1030"/>
      <c r="T436" s="1030"/>
      <c r="U436" s="1030"/>
      <c r="V436" s="1030"/>
      <c r="W436" s="1030"/>
      <c r="X436" s="1030"/>
      <c r="Y436" s="1030"/>
      <c r="Z436" s="1030"/>
      <c r="AA436" s="1030"/>
      <c r="AB436" s="1030"/>
    </row>
    <row r="437" spans="1:28">
      <c r="A437" s="1030"/>
      <c r="B437" s="1030"/>
      <c r="C437" s="1030"/>
      <c r="D437" s="1030"/>
      <c r="E437" s="1030"/>
      <c r="F437" s="1030"/>
      <c r="G437" s="1030"/>
      <c r="H437" s="1030"/>
      <c r="I437" s="1030"/>
      <c r="J437" s="1097"/>
      <c r="K437" s="1030"/>
      <c r="L437" s="1030"/>
      <c r="M437" s="1030"/>
      <c r="N437" s="1030"/>
      <c r="O437" s="1030"/>
      <c r="P437" s="1030"/>
      <c r="Q437" s="1030"/>
      <c r="R437" s="1030"/>
      <c r="S437" s="1030"/>
      <c r="T437" s="1030"/>
      <c r="U437" s="1030"/>
      <c r="V437" s="1030"/>
      <c r="W437" s="1030"/>
      <c r="X437" s="1030"/>
      <c r="Y437" s="1030"/>
      <c r="Z437" s="1030"/>
      <c r="AA437" s="1030"/>
      <c r="AB437" s="1030"/>
    </row>
    <row r="438" spans="1:28">
      <c r="A438" s="1030"/>
      <c r="B438" s="1030"/>
      <c r="C438" s="1030"/>
      <c r="D438" s="1030"/>
      <c r="E438" s="1030"/>
      <c r="F438" s="1030"/>
      <c r="G438" s="1030"/>
      <c r="H438" s="1030"/>
      <c r="I438" s="1030"/>
      <c r="J438" s="1097"/>
      <c r="K438" s="1030"/>
      <c r="L438" s="1030"/>
      <c r="M438" s="1030"/>
      <c r="N438" s="1030"/>
      <c r="O438" s="1030"/>
      <c r="P438" s="1030"/>
      <c r="Q438" s="1030"/>
      <c r="R438" s="1030"/>
      <c r="S438" s="1030"/>
      <c r="T438" s="1030"/>
      <c r="U438" s="1030"/>
      <c r="V438" s="1030"/>
      <c r="W438" s="1030"/>
      <c r="X438" s="1030"/>
      <c r="Y438" s="1030"/>
      <c r="Z438" s="1030"/>
      <c r="AA438" s="1030"/>
      <c r="AB438" s="1030"/>
    </row>
    <row r="439" spans="1:28">
      <c r="A439" s="1030"/>
      <c r="B439" s="1030"/>
      <c r="C439" s="1030"/>
      <c r="D439" s="1030"/>
      <c r="E439" s="1030"/>
      <c r="F439" s="1030"/>
      <c r="G439" s="1030"/>
      <c r="H439" s="1030"/>
      <c r="I439" s="1030"/>
      <c r="J439" s="1097"/>
      <c r="K439" s="1030"/>
      <c r="L439" s="1030"/>
      <c r="M439" s="1030"/>
      <c r="N439" s="1030"/>
      <c r="O439" s="1030"/>
      <c r="P439" s="1030"/>
      <c r="Q439" s="1030"/>
      <c r="R439" s="1030"/>
      <c r="S439" s="1030"/>
      <c r="T439" s="1030"/>
      <c r="U439" s="1030"/>
      <c r="V439" s="1030"/>
      <c r="W439" s="1030"/>
      <c r="X439" s="1030"/>
      <c r="Y439" s="1030"/>
      <c r="Z439" s="1030"/>
      <c r="AA439" s="1030"/>
      <c r="AB439" s="1030"/>
    </row>
    <row r="440" spans="1:28">
      <c r="A440" s="1030"/>
      <c r="B440" s="1030"/>
      <c r="C440" s="1030"/>
      <c r="D440" s="1030"/>
      <c r="E440" s="1030"/>
      <c r="F440" s="1030"/>
      <c r="G440" s="1030"/>
      <c r="H440" s="1030"/>
      <c r="I440" s="1030"/>
      <c r="J440" s="1097"/>
      <c r="K440" s="1030"/>
      <c r="L440" s="1030"/>
      <c r="M440" s="1030"/>
      <c r="N440" s="1030"/>
      <c r="O440" s="1030"/>
      <c r="P440" s="1030"/>
      <c r="Q440" s="1030"/>
      <c r="R440" s="1030"/>
      <c r="S440" s="1030"/>
      <c r="T440" s="1030"/>
      <c r="U440" s="1030"/>
      <c r="V440" s="1030"/>
      <c r="W440" s="1030"/>
      <c r="X440" s="1030"/>
      <c r="Y440" s="1030"/>
      <c r="Z440" s="1030"/>
      <c r="AA440" s="1030"/>
      <c r="AB440" s="1030"/>
    </row>
    <row r="441" spans="1:28">
      <c r="A441" s="1030"/>
      <c r="B441" s="1030"/>
      <c r="C441" s="1030"/>
      <c r="D441" s="1030"/>
      <c r="E441" s="1030"/>
      <c r="F441" s="1030"/>
      <c r="G441" s="1030"/>
      <c r="H441" s="1030"/>
      <c r="I441" s="1030"/>
      <c r="J441" s="1097"/>
      <c r="K441" s="1030"/>
      <c r="L441" s="1030"/>
      <c r="M441" s="1030"/>
      <c r="N441" s="1030"/>
      <c r="O441" s="1030"/>
      <c r="P441" s="1030"/>
      <c r="Q441" s="1030"/>
      <c r="R441" s="1030"/>
      <c r="S441" s="1030"/>
      <c r="T441" s="1030"/>
      <c r="U441" s="1030"/>
      <c r="V441" s="1030"/>
      <c r="W441" s="1030"/>
      <c r="X441" s="1030"/>
      <c r="Y441" s="1030"/>
      <c r="Z441" s="1030"/>
      <c r="AA441" s="1030"/>
      <c r="AB441" s="1030"/>
    </row>
    <row r="442" spans="1:28">
      <c r="A442" s="1030"/>
      <c r="B442" s="1030"/>
      <c r="C442" s="1030"/>
      <c r="D442" s="1030"/>
      <c r="E442" s="1030"/>
      <c r="F442" s="1030"/>
      <c r="G442" s="1030"/>
      <c r="H442" s="1030"/>
      <c r="I442" s="1030"/>
      <c r="J442" s="1097"/>
      <c r="K442" s="1030"/>
      <c r="L442" s="1030"/>
      <c r="M442" s="1030"/>
      <c r="N442" s="1030"/>
      <c r="O442" s="1030"/>
      <c r="P442" s="1030"/>
      <c r="Q442" s="1030"/>
      <c r="R442" s="1030"/>
      <c r="S442" s="1030"/>
      <c r="T442" s="1030"/>
      <c r="U442" s="1030"/>
      <c r="V442" s="1030"/>
      <c r="W442" s="1030"/>
      <c r="X442" s="1030"/>
      <c r="Y442" s="1030"/>
      <c r="Z442" s="1030"/>
      <c r="AA442" s="1030"/>
      <c r="AB442" s="1030"/>
    </row>
    <row r="443" spans="1:28">
      <c r="A443" s="1030"/>
      <c r="B443" s="1030"/>
      <c r="C443" s="1030"/>
      <c r="D443" s="1030"/>
      <c r="E443" s="1030"/>
      <c r="F443" s="1030"/>
      <c r="G443" s="1030"/>
      <c r="H443" s="1030"/>
      <c r="I443" s="1030"/>
      <c r="J443" s="1097"/>
      <c r="K443" s="1030"/>
      <c r="L443" s="1030"/>
      <c r="M443" s="1030"/>
      <c r="N443" s="1030"/>
      <c r="O443" s="1030"/>
      <c r="P443" s="1030"/>
      <c r="Q443" s="1030"/>
      <c r="R443" s="1030"/>
      <c r="S443" s="1030"/>
      <c r="T443" s="1030"/>
      <c r="U443" s="1030"/>
      <c r="V443" s="1030"/>
      <c r="W443" s="1030"/>
      <c r="X443" s="1030"/>
      <c r="Y443" s="1030"/>
      <c r="Z443" s="1030"/>
      <c r="AA443" s="1030"/>
      <c r="AB443" s="1030"/>
    </row>
    <row r="444" spans="1:28">
      <c r="A444" s="1030"/>
      <c r="B444" s="1030"/>
      <c r="C444" s="1030"/>
      <c r="D444" s="1030"/>
      <c r="E444" s="1030"/>
      <c r="F444" s="1030"/>
      <c r="G444" s="1030"/>
      <c r="H444" s="1030"/>
      <c r="I444" s="1030"/>
      <c r="J444" s="1097"/>
      <c r="K444" s="1030"/>
      <c r="L444" s="1030"/>
      <c r="M444" s="1030"/>
      <c r="N444" s="1030"/>
      <c r="O444" s="1030"/>
      <c r="P444" s="1030"/>
      <c r="Q444" s="1030"/>
      <c r="R444" s="1030"/>
      <c r="S444" s="1030"/>
      <c r="T444" s="1030"/>
      <c r="U444" s="1030"/>
      <c r="V444" s="1030"/>
      <c r="W444" s="1030"/>
      <c r="X444" s="1030"/>
      <c r="Y444" s="1030"/>
      <c r="Z444" s="1030"/>
      <c r="AA444" s="1030"/>
      <c r="AB444" s="1030"/>
    </row>
    <row r="445" spans="1:28">
      <c r="A445" s="1030"/>
      <c r="B445" s="1030"/>
      <c r="C445" s="1030"/>
      <c r="D445" s="1030"/>
      <c r="E445" s="1030"/>
      <c r="F445" s="1030"/>
      <c r="G445" s="1030"/>
      <c r="H445" s="1030"/>
      <c r="I445" s="1030"/>
      <c r="J445" s="1097"/>
      <c r="K445" s="1030"/>
      <c r="L445" s="1030"/>
      <c r="M445" s="1030"/>
      <c r="N445" s="1030"/>
      <c r="O445" s="1030"/>
      <c r="P445" s="1030"/>
      <c r="Q445" s="1030"/>
      <c r="R445" s="1030"/>
      <c r="S445" s="1030"/>
      <c r="T445" s="1030"/>
      <c r="U445" s="1030"/>
      <c r="V445" s="1030"/>
      <c r="W445" s="1030"/>
      <c r="X445" s="1030"/>
      <c r="Y445" s="1030"/>
      <c r="Z445" s="1030"/>
      <c r="AA445" s="1030"/>
      <c r="AB445" s="1030"/>
    </row>
    <row r="446" spans="1:28">
      <c r="A446" s="1030"/>
      <c r="B446" s="1030"/>
      <c r="C446" s="1030"/>
      <c r="D446" s="1030"/>
      <c r="E446" s="1030"/>
      <c r="F446" s="1030"/>
      <c r="G446" s="1030"/>
      <c r="H446" s="1030"/>
      <c r="I446" s="1030"/>
      <c r="J446" s="1097"/>
      <c r="K446" s="1030"/>
      <c r="L446" s="1030"/>
      <c r="M446" s="1030"/>
      <c r="N446" s="1030"/>
      <c r="O446" s="1030"/>
      <c r="P446" s="1030"/>
      <c r="Q446" s="1030"/>
      <c r="R446" s="1030"/>
      <c r="S446" s="1030"/>
      <c r="T446" s="1030"/>
      <c r="U446" s="1030"/>
      <c r="V446" s="1030"/>
      <c r="W446" s="1030"/>
      <c r="X446" s="1030"/>
      <c r="Y446" s="1030"/>
      <c r="Z446" s="1030"/>
      <c r="AA446" s="1030"/>
      <c r="AB446" s="1030"/>
    </row>
    <row r="447" spans="1:28">
      <c r="A447" s="1030"/>
      <c r="B447" s="1030"/>
      <c r="C447" s="1030"/>
      <c r="D447" s="1030"/>
      <c r="E447" s="1030"/>
      <c r="F447" s="1030"/>
      <c r="G447" s="1030"/>
      <c r="H447" s="1030"/>
      <c r="I447" s="1030"/>
      <c r="J447" s="1097"/>
      <c r="K447" s="1030"/>
      <c r="L447" s="1030"/>
      <c r="M447" s="1030"/>
      <c r="N447" s="1030"/>
      <c r="O447" s="1030"/>
      <c r="P447" s="1030"/>
      <c r="Q447" s="1030"/>
      <c r="R447" s="1030"/>
      <c r="S447" s="1030"/>
      <c r="T447" s="1030"/>
      <c r="U447" s="1030"/>
      <c r="V447" s="1030"/>
      <c r="W447" s="1030"/>
      <c r="X447" s="1030"/>
      <c r="Y447" s="1030"/>
      <c r="Z447" s="1030"/>
      <c r="AA447" s="1030"/>
      <c r="AB447" s="1030"/>
    </row>
    <row r="448" spans="1:28">
      <c r="A448" s="1030"/>
      <c r="B448" s="1030"/>
      <c r="C448" s="1030"/>
      <c r="D448" s="1030"/>
      <c r="E448" s="1030"/>
      <c r="F448" s="1030"/>
      <c r="G448" s="1030"/>
      <c r="H448" s="1030"/>
      <c r="I448" s="1030"/>
      <c r="J448" s="1097"/>
      <c r="K448" s="1030"/>
      <c r="L448" s="1030"/>
      <c r="M448" s="1030"/>
      <c r="N448" s="1030"/>
      <c r="O448" s="1030"/>
      <c r="P448" s="1030"/>
      <c r="Q448" s="1030"/>
      <c r="R448" s="1030"/>
      <c r="S448" s="1030"/>
      <c r="T448" s="1030"/>
      <c r="U448" s="1030"/>
      <c r="V448" s="1030"/>
      <c r="W448" s="1030"/>
      <c r="X448" s="1030"/>
      <c r="Y448" s="1030"/>
      <c r="Z448" s="1030"/>
      <c r="AA448" s="1030"/>
      <c r="AB448" s="1030"/>
    </row>
    <row r="449" spans="1:28">
      <c r="A449" s="1030"/>
      <c r="B449" s="1030"/>
      <c r="C449" s="1030"/>
      <c r="D449" s="1030"/>
      <c r="E449" s="1030"/>
      <c r="F449" s="1030"/>
      <c r="G449" s="1030"/>
      <c r="H449" s="1030"/>
      <c r="I449" s="1030"/>
      <c r="J449" s="1097"/>
      <c r="K449" s="1030"/>
      <c r="L449" s="1030"/>
      <c r="M449" s="1030"/>
      <c r="N449" s="1030"/>
      <c r="O449" s="1030"/>
      <c r="P449" s="1030"/>
      <c r="Q449" s="1030"/>
      <c r="R449" s="1030"/>
      <c r="S449" s="1030"/>
      <c r="T449" s="1030"/>
      <c r="U449" s="1030"/>
      <c r="V449" s="1030"/>
      <c r="W449" s="1030"/>
      <c r="X449" s="1030"/>
      <c r="Y449" s="1030"/>
      <c r="Z449" s="1030"/>
      <c r="AA449" s="1030"/>
      <c r="AB449" s="1030"/>
    </row>
    <row r="450" spans="1:28">
      <c r="A450" s="1030"/>
      <c r="B450" s="1030"/>
      <c r="C450" s="1030"/>
      <c r="D450" s="1030"/>
      <c r="E450" s="1030"/>
      <c r="F450" s="1030"/>
      <c r="G450" s="1030"/>
      <c r="H450" s="1030"/>
      <c r="I450" s="1030"/>
      <c r="J450" s="1097"/>
      <c r="K450" s="1030"/>
      <c r="L450" s="1030"/>
      <c r="M450" s="1030"/>
      <c r="N450" s="1030"/>
      <c r="O450" s="1030"/>
      <c r="P450" s="1030"/>
      <c r="Q450" s="1030"/>
      <c r="R450" s="1030"/>
      <c r="S450" s="1030"/>
      <c r="T450" s="1030"/>
      <c r="U450" s="1030"/>
      <c r="V450" s="1030"/>
      <c r="W450" s="1030"/>
      <c r="X450" s="1030"/>
      <c r="Y450" s="1030"/>
      <c r="Z450" s="1030"/>
      <c r="AA450" s="1030"/>
      <c r="AB450" s="1030"/>
    </row>
    <row r="451" spans="1:28">
      <c r="A451" s="1030"/>
      <c r="B451" s="1030"/>
      <c r="C451" s="1030"/>
      <c r="D451" s="1030"/>
      <c r="E451" s="1030"/>
      <c r="F451" s="1030"/>
      <c r="G451" s="1030"/>
      <c r="H451" s="1030"/>
      <c r="I451" s="1030"/>
      <c r="J451" s="1097"/>
      <c r="K451" s="1030"/>
      <c r="L451" s="1030"/>
      <c r="M451" s="1030"/>
      <c r="N451" s="1030"/>
      <c r="O451" s="1030"/>
      <c r="P451" s="1030"/>
      <c r="Q451" s="1030"/>
      <c r="R451" s="1030"/>
      <c r="S451" s="1030"/>
      <c r="T451" s="1030"/>
      <c r="U451" s="1030"/>
      <c r="V451" s="1030"/>
      <c r="W451" s="1030"/>
      <c r="X451" s="1030"/>
      <c r="Y451" s="1030"/>
      <c r="Z451" s="1030"/>
      <c r="AA451" s="1030"/>
      <c r="AB451" s="1030"/>
    </row>
    <row r="452" spans="1:28">
      <c r="A452" s="1030"/>
      <c r="B452" s="1030"/>
      <c r="C452" s="1030"/>
      <c r="D452" s="1030"/>
      <c r="E452" s="1030"/>
      <c r="F452" s="1030"/>
      <c r="G452" s="1030"/>
      <c r="H452" s="1030"/>
      <c r="I452" s="1030"/>
      <c r="J452" s="1097"/>
      <c r="K452" s="1030"/>
      <c r="L452" s="1030"/>
      <c r="M452" s="1030"/>
      <c r="N452" s="1030"/>
      <c r="O452" s="1030"/>
      <c r="P452" s="1030"/>
      <c r="Q452" s="1030"/>
      <c r="R452" s="1030"/>
      <c r="S452" s="1030"/>
      <c r="T452" s="1030"/>
      <c r="U452" s="1030"/>
      <c r="V452" s="1030"/>
      <c r="W452" s="1030"/>
      <c r="X452" s="1030"/>
      <c r="Y452" s="1030"/>
      <c r="Z452" s="1030"/>
      <c r="AA452" s="1030"/>
      <c r="AB452" s="1030"/>
    </row>
    <row r="453" spans="1:28">
      <c r="A453" s="1030"/>
      <c r="B453" s="1030"/>
      <c r="C453" s="1030"/>
      <c r="D453" s="1030"/>
      <c r="E453" s="1030"/>
      <c r="F453" s="1030"/>
      <c r="G453" s="1030"/>
      <c r="H453" s="1030"/>
      <c r="I453" s="1030"/>
      <c r="J453" s="1097"/>
      <c r="K453" s="1030"/>
      <c r="L453" s="1030"/>
      <c r="M453" s="1030"/>
      <c r="N453" s="1030"/>
      <c r="O453" s="1030"/>
      <c r="P453" s="1030"/>
      <c r="Q453" s="1030"/>
      <c r="R453" s="1030"/>
      <c r="S453" s="1030"/>
      <c r="T453" s="1030"/>
      <c r="U453" s="1030"/>
      <c r="V453" s="1030"/>
      <c r="W453" s="1030"/>
      <c r="X453" s="1030"/>
      <c r="Y453" s="1030"/>
      <c r="Z453" s="1030"/>
      <c r="AA453" s="1030"/>
      <c r="AB453" s="1030"/>
    </row>
    <row r="454" spans="1:28">
      <c r="A454" s="1030"/>
      <c r="B454" s="1030"/>
      <c r="C454" s="1030"/>
      <c r="D454" s="1030"/>
      <c r="E454" s="1030"/>
      <c r="F454" s="1030"/>
      <c r="G454" s="1030"/>
      <c r="H454" s="1030"/>
      <c r="I454" s="1030"/>
      <c r="J454" s="1097"/>
      <c r="K454" s="1030"/>
      <c r="L454" s="1030"/>
      <c r="M454" s="1030"/>
      <c r="N454" s="1030"/>
      <c r="O454" s="1030"/>
      <c r="P454" s="1030"/>
      <c r="Q454" s="1030"/>
      <c r="R454" s="1030"/>
      <c r="S454" s="1030"/>
      <c r="T454" s="1030"/>
      <c r="U454" s="1030"/>
      <c r="V454" s="1030"/>
      <c r="W454" s="1030"/>
      <c r="X454" s="1030"/>
      <c r="Y454" s="1030"/>
      <c r="Z454" s="1030"/>
      <c r="AA454" s="1030"/>
      <c r="AB454" s="1030"/>
    </row>
    <row r="455" spans="1:28">
      <c r="A455" s="1030"/>
      <c r="B455" s="1030"/>
      <c r="C455" s="1030"/>
      <c r="D455" s="1030"/>
      <c r="E455" s="1030"/>
      <c r="F455" s="1030"/>
      <c r="G455" s="1030"/>
      <c r="H455" s="1030"/>
      <c r="I455" s="1030"/>
      <c r="J455" s="1097"/>
      <c r="K455" s="1030"/>
      <c r="L455" s="1030"/>
      <c r="M455" s="1030"/>
      <c r="N455" s="1030"/>
      <c r="O455" s="1030"/>
      <c r="P455" s="1030"/>
      <c r="Q455" s="1030"/>
      <c r="R455" s="1030"/>
      <c r="S455" s="1030"/>
      <c r="T455" s="1030"/>
      <c r="U455" s="1030"/>
      <c r="V455" s="1030"/>
      <c r="W455" s="1030"/>
      <c r="X455" s="1030"/>
      <c r="Y455" s="1030"/>
      <c r="Z455" s="1030"/>
      <c r="AA455" s="1030"/>
      <c r="AB455" s="1030"/>
    </row>
    <row r="456" spans="1:28">
      <c r="A456" s="1030"/>
      <c r="B456" s="1030"/>
      <c r="C456" s="1030"/>
      <c r="D456" s="1030"/>
      <c r="E456" s="1030"/>
      <c r="F456" s="1030"/>
      <c r="G456" s="1030"/>
      <c r="H456" s="1030"/>
      <c r="I456" s="1030"/>
      <c r="J456" s="1097"/>
      <c r="K456" s="1030"/>
      <c r="L456" s="1030"/>
      <c r="M456" s="1030"/>
      <c r="N456" s="1030"/>
      <c r="O456" s="1030"/>
      <c r="P456" s="1030"/>
      <c r="Q456" s="1030"/>
      <c r="R456" s="1030"/>
      <c r="S456" s="1030"/>
      <c r="T456" s="1030"/>
      <c r="U456" s="1030"/>
      <c r="V456" s="1030"/>
      <c r="W456" s="1030"/>
      <c r="X456" s="1030"/>
      <c r="Y456" s="1030"/>
      <c r="Z456" s="1030"/>
      <c r="AA456" s="1030"/>
      <c r="AB456" s="1030"/>
    </row>
    <row r="457" spans="1:28">
      <c r="A457" s="1030"/>
      <c r="B457" s="1030"/>
      <c r="C457" s="1030"/>
      <c r="D457" s="1030"/>
      <c r="E457" s="1030"/>
      <c r="F457" s="1030"/>
      <c r="G457" s="1030"/>
      <c r="H457" s="1030"/>
      <c r="I457" s="1030"/>
      <c r="J457" s="1097"/>
      <c r="K457" s="1030"/>
      <c r="L457" s="1030"/>
      <c r="M457" s="1030"/>
      <c r="N457" s="1030"/>
      <c r="O457" s="1030"/>
      <c r="P457" s="1030"/>
      <c r="Q457" s="1030"/>
      <c r="R457" s="1030"/>
      <c r="S457" s="1030"/>
      <c r="T457" s="1030"/>
      <c r="U457" s="1030"/>
      <c r="V457" s="1030"/>
      <c r="W457" s="1030"/>
      <c r="X457" s="1030"/>
      <c r="Y457" s="1030"/>
      <c r="Z457" s="1030"/>
      <c r="AA457" s="1030"/>
      <c r="AB457" s="1030"/>
    </row>
    <row r="458" spans="1:28">
      <c r="A458" s="1030"/>
      <c r="B458" s="1030"/>
      <c r="C458" s="1030"/>
      <c r="D458" s="1030"/>
      <c r="E458" s="1030"/>
      <c r="F458" s="1030"/>
      <c r="G458" s="1030"/>
      <c r="H458" s="1030"/>
      <c r="I458" s="1030"/>
      <c r="J458" s="1097"/>
      <c r="K458" s="1030"/>
      <c r="L458" s="1030"/>
      <c r="M458" s="1030"/>
      <c r="N458" s="1030"/>
      <c r="O458" s="1030"/>
      <c r="P458" s="1030"/>
      <c r="Q458" s="1030"/>
      <c r="R458" s="1030"/>
      <c r="S458" s="1030"/>
      <c r="T458" s="1030"/>
      <c r="U458" s="1030"/>
      <c r="V458" s="1030"/>
      <c r="W458" s="1030"/>
      <c r="X458" s="1030"/>
      <c r="Y458" s="1030"/>
      <c r="Z458" s="1030"/>
      <c r="AA458" s="1030"/>
      <c r="AB458" s="1030"/>
    </row>
    <row r="459" spans="1:28">
      <c r="A459" s="1030"/>
      <c r="B459" s="1030"/>
      <c r="C459" s="1030"/>
      <c r="D459" s="1030"/>
      <c r="E459" s="1030"/>
      <c r="F459" s="1030"/>
      <c r="G459" s="1030"/>
      <c r="H459" s="1030"/>
      <c r="I459" s="1030"/>
      <c r="J459" s="1097"/>
      <c r="K459" s="1030"/>
      <c r="L459" s="1030"/>
      <c r="M459" s="1030"/>
      <c r="N459" s="1030"/>
      <c r="O459" s="1030"/>
      <c r="P459" s="1030"/>
      <c r="Q459" s="1030"/>
      <c r="R459" s="1030"/>
      <c r="S459" s="1030"/>
      <c r="T459" s="1030"/>
      <c r="U459" s="1030"/>
      <c r="V459" s="1030"/>
      <c r="W459" s="1030"/>
      <c r="X459" s="1030"/>
      <c r="Y459" s="1030"/>
      <c r="Z459" s="1030"/>
      <c r="AA459" s="1030"/>
      <c r="AB459" s="1030"/>
    </row>
    <row r="460" spans="1:28">
      <c r="A460" s="1030"/>
      <c r="B460" s="1030"/>
      <c r="C460" s="1030"/>
      <c r="D460" s="1030"/>
      <c r="E460" s="1030"/>
      <c r="F460" s="1030"/>
      <c r="G460" s="1030"/>
      <c r="H460" s="1030"/>
      <c r="I460" s="1030"/>
      <c r="J460" s="1097"/>
      <c r="K460" s="1030"/>
      <c r="L460" s="1030"/>
      <c r="M460" s="1030"/>
      <c r="N460" s="1030"/>
      <c r="O460" s="1030"/>
      <c r="P460" s="1030"/>
      <c r="Q460" s="1030"/>
      <c r="R460" s="1030"/>
      <c r="S460" s="1030"/>
      <c r="T460" s="1030"/>
      <c r="U460" s="1030"/>
      <c r="V460" s="1030"/>
      <c r="W460" s="1030"/>
      <c r="X460" s="1030"/>
      <c r="Y460" s="1030"/>
      <c r="Z460" s="1030"/>
      <c r="AA460" s="1030"/>
      <c r="AB460" s="1030"/>
    </row>
    <row r="461" spans="1:28">
      <c r="A461" s="1030"/>
      <c r="B461" s="1030"/>
      <c r="C461" s="1030"/>
      <c r="D461" s="1030"/>
      <c r="E461" s="1030"/>
      <c r="F461" s="1030"/>
      <c r="G461" s="1030"/>
      <c r="H461" s="1030"/>
      <c r="I461" s="1030"/>
      <c r="J461" s="1097"/>
      <c r="K461" s="1030"/>
      <c r="L461" s="1030"/>
      <c r="M461" s="1030"/>
      <c r="N461" s="1030"/>
      <c r="O461" s="1030"/>
      <c r="P461" s="1030"/>
      <c r="Q461" s="1030"/>
      <c r="R461" s="1030"/>
      <c r="S461" s="1030"/>
      <c r="T461" s="1030"/>
      <c r="U461" s="1030"/>
      <c r="V461" s="1030"/>
      <c r="W461" s="1030"/>
      <c r="X461" s="1030"/>
      <c r="Y461" s="1030"/>
      <c r="Z461" s="1030"/>
      <c r="AA461" s="1030"/>
      <c r="AB461" s="1030"/>
    </row>
    <row r="462" spans="1:28">
      <c r="A462" s="1030"/>
      <c r="B462" s="1030"/>
      <c r="C462" s="1030"/>
      <c r="D462" s="1030"/>
      <c r="E462" s="1030"/>
      <c r="F462" s="1030"/>
      <c r="G462" s="1030"/>
      <c r="H462" s="1030"/>
      <c r="I462" s="1030"/>
      <c r="J462" s="1097"/>
      <c r="K462" s="1030"/>
      <c r="L462" s="1030"/>
      <c r="M462" s="1030"/>
      <c r="N462" s="1030"/>
      <c r="O462" s="1030"/>
      <c r="P462" s="1030"/>
      <c r="Q462" s="1030"/>
      <c r="R462" s="1030"/>
      <c r="S462" s="1030"/>
      <c r="T462" s="1030"/>
      <c r="U462" s="1030"/>
      <c r="V462" s="1030"/>
      <c r="W462" s="1030"/>
      <c r="X462" s="1030"/>
      <c r="Y462" s="1030"/>
      <c r="Z462" s="1030"/>
      <c r="AA462" s="1030"/>
      <c r="AB462" s="1030"/>
    </row>
    <row r="463" spans="1:28">
      <c r="A463" s="1030"/>
      <c r="B463" s="1030"/>
      <c r="C463" s="1030"/>
      <c r="D463" s="1030"/>
      <c r="E463" s="1030"/>
      <c r="F463" s="1030"/>
      <c r="G463" s="1030"/>
      <c r="H463" s="1030"/>
      <c r="I463" s="1030"/>
      <c r="J463" s="1097"/>
      <c r="K463" s="1030"/>
      <c r="L463" s="1030"/>
      <c r="M463" s="1030"/>
      <c r="N463" s="1030"/>
      <c r="O463" s="1030"/>
      <c r="P463" s="1030"/>
      <c r="Q463" s="1030"/>
      <c r="R463" s="1030"/>
      <c r="S463" s="1030"/>
      <c r="T463" s="1030"/>
      <c r="U463" s="1030"/>
      <c r="V463" s="1030"/>
      <c r="W463" s="1030"/>
      <c r="X463" s="1030"/>
      <c r="Y463" s="1030"/>
      <c r="Z463" s="1030"/>
      <c r="AA463" s="1030"/>
      <c r="AB463" s="1030"/>
    </row>
    <row r="464" spans="1:28">
      <c r="A464" s="1030"/>
      <c r="B464" s="1030"/>
      <c r="C464" s="1030"/>
      <c r="D464" s="1030"/>
      <c r="E464" s="1030"/>
      <c r="F464" s="1030"/>
      <c r="G464" s="1030"/>
      <c r="H464" s="1030"/>
      <c r="I464" s="1030"/>
      <c r="J464" s="1097"/>
      <c r="K464" s="1030"/>
      <c r="L464" s="1030"/>
      <c r="M464" s="1030"/>
      <c r="N464" s="1030"/>
      <c r="O464" s="1030"/>
      <c r="P464" s="1030"/>
      <c r="Q464" s="1030"/>
      <c r="R464" s="1030"/>
      <c r="S464" s="1030"/>
      <c r="T464" s="1030"/>
      <c r="U464" s="1030"/>
      <c r="V464" s="1030"/>
      <c r="W464" s="1030"/>
      <c r="X464" s="1030"/>
      <c r="Y464" s="1030"/>
      <c r="Z464" s="1030"/>
      <c r="AA464" s="1030"/>
      <c r="AB464" s="1030"/>
    </row>
    <row r="465" spans="1:28">
      <c r="A465" s="1030"/>
      <c r="B465" s="1030"/>
      <c r="C465" s="1030"/>
      <c r="D465" s="1030"/>
      <c r="E465" s="1030"/>
      <c r="F465" s="1030"/>
      <c r="G465" s="1030"/>
      <c r="H465" s="1030"/>
      <c r="I465" s="1030"/>
      <c r="J465" s="1097"/>
      <c r="K465" s="1030"/>
      <c r="L465" s="1030"/>
      <c r="M465" s="1030"/>
      <c r="N465" s="1030"/>
      <c r="O465" s="1030"/>
      <c r="P465" s="1030"/>
      <c r="Q465" s="1030"/>
      <c r="R465" s="1030"/>
      <c r="S465" s="1030"/>
      <c r="T465" s="1030"/>
      <c r="U465" s="1030"/>
      <c r="V465" s="1030"/>
      <c r="W465" s="1030"/>
      <c r="X465" s="1030"/>
      <c r="Y465" s="1030"/>
      <c r="Z465" s="1030"/>
      <c r="AA465" s="1030"/>
      <c r="AB465" s="1030"/>
    </row>
    <row r="466" spans="1:28">
      <c r="A466" s="1030"/>
      <c r="B466" s="1030"/>
      <c r="C466" s="1030"/>
      <c r="D466" s="1030"/>
      <c r="E466" s="1030"/>
      <c r="F466" s="1030"/>
      <c r="G466" s="1030"/>
      <c r="H466" s="1030"/>
      <c r="I466" s="1030"/>
      <c r="J466" s="1097"/>
      <c r="K466" s="1030"/>
      <c r="L466" s="1030"/>
      <c r="M466" s="1030"/>
      <c r="N466" s="1030"/>
      <c r="O466" s="1030"/>
      <c r="P466" s="1030"/>
      <c r="Q466" s="1030"/>
      <c r="R466" s="1030"/>
      <c r="S466" s="1030"/>
      <c r="T466" s="1030"/>
      <c r="U466" s="1030"/>
      <c r="V466" s="1030"/>
      <c r="W466" s="1030"/>
      <c r="X466" s="1030"/>
      <c r="Y466" s="1030"/>
      <c r="Z466" s="1030"/>
      <c r="AA466" s="1030"/>
      <c r="AB466" s="1030"/>
    </row>
    <row r="467" spans="1:28">
      <c r="A467" s="1030"/>
      <c r="B467" s="1030"/>
      <c r="C467" s="1030"/>
      <c r="D467" s="1030"/>
      <c r="E467" s="1030"/>
      <c r="F467" s="1030"/>
      <c r="G467" s="1030"/>
      <c r="H467" s="1030"/>
      <c r="I467" s="1030"/>
      <c r="J467" s="1097"/>
      <c r="K467" s="1030"/>
      <c r="L467" s="1030"/>
      <c r="M467" s="1030"/>
      <c r="N467" s="1030"/>
      <c r="O467" s="1030"/>
      <c r="P467" s="1030"/>
      <c r="Q467" s="1030"/>
      <c r="R467" s="1030"/>
      <c r="S467" s="1030"/>
      <c r="T467" s="1030"/>
      <c r="U467" s="1030"/>
      <c r="V467" s="1030"/>
      <c r="W467" s="1030"/>
      <c r="X467" s="1030"/>
      <c r="Y467" s="1030"/>
      <c r="Z467" s="1030"/>
      <c r="AA467" s="1030"/>
      <c r="AB467" s="1030"/>
    </row>
    <row r="468" spans="1:28">
      <c r="A468" s="1030"/>
      <c r="B468" s="1030"/>
      <c r="C468" s="1030"/>
      <c r="D468" s="1030"/>
      <c r="E468" s="1030"/>
      <c r="F468" s="1030"/>
      <c r="G468" s="1030"/>
      <c r="H468" s="1030"/>
      <c r="I468" s="1030"/>
      <c r="J468" s="1097"/>
      <c r="K468" s="1030"/>
      <c r="L468" s="1030"/>
      <c r="M468" s="1030"/>
      <c r="N468" s="1030"/>
      <c r="O468" s="1030"/>
      <c r="P468" s="1030"/>
      <c r="Q468" s="1030"/>
      <c r="R468" s="1030"/>
      <c r="S468" s="1030"/>
      <c r="T468" s="1030"/>
      <c r="U468" s="1030"/>
      <c r="V468" s="1030"/>
      <c r="W468" s="1030"/>
      <c r="X468" s="1030"/>
      <c r="Y468" s="1030"/>
      <c r="Z468" s="1030"/>
      <c r="AA468" s="1030"/>
      <c r="AB468" s="1030"/>
    </row>
    <row r="469" spans="1:28">
      <c r="A469" s="1030"/>
      <c r="B469" s="1030"/>
      <c r="C469" s="1030"/>
      <c r="D469" s="1030"/>
      <c r="E469" s="1030"/>
      <c r="F469" s="1030"/>
      <c r="G469" s="1030"/>
      <c r="H469" s="1030"/>
      <c r="I469" s="1030"/>
      <c r="J469" s="1097"/>
      <c r="K469" s="1030"/>
      <c r="L469" s="1030"/>
      <c r="M469" s="1030"/>
      <c r="N469" s="1030"/>
      <c r="O469" s="1030"/>
      <c r="P469" s="1030"/>
      <c r="Q469" s="1030"/>
      <c r="R469" s="1030"/>
      <c r="S469" s="1030"/>
      <c r="T469" s="1030"/>
      <c r="U469" s="1030"/>
      <c r="V469" s="1030"/>
      <c r="W469" s="1030"/>
      <c r="X469" s="1030"/>
      <c r="Y469" s="1030"/>
      <c r="Z469" s="1030"/>
      <c r="AA469" s="1030"/>
      <c r="AB469" s="1030"/>
    </row>
    <row r="470" spans="1:28">
      <c r="A470" s="1030"/>
      <c r="B470" s="1030"/>
      <c r="C470" s="1030"/>
      <c r="D470" s="1030"/>
      <c r="E470" s="1030"/>
      <c r="F470" s="1030"/>
      <c r="G470" s="1030"/>
      <c r="H470" s="1030"/>
      <c r="I470" s="1030"/>
      <c r="J470" s="1097"/>
      <c r="K470" s="1030"/>
      <c r="L470" s="1030"/>
      <c r="M470" s="1030"/>
      <c r="N470" s="1030"/>
      <c r="O470" s="1030"/>
      <c r="P470" s="1030"/>
      <c r="Q470" s="1030"/>
      <c r="R470" s="1030"/>
      <c r="S470" s="1030"/>
      <c r="T470" s="1030"/>
      <c r="U470" s="1030"/>
      <c r="V470" s="1030"/>
      <c r="W470" s="1030"/>
      <c r="X470" s="1030"/>
      <c r="Y470" s="1030"/>
      <c r="Z470" s="1030"/>
      <c r="AA470" s="1030"/>
      <c r="AB470" s="1030"/>
    </row>
    <row r="471" spans="1:28">
      <c r="A471" s="1030"/>
      <c r="B471" s="1030"/>
      <c r="C471" s="1030"/>
      <c r="D471" s="1030"/>
      <c r="E471" s="1030"/>
      <c r="F471" s="1030"/>
      <c r="G471" s="1030"/>
      <c r="H471" s="1030"/>
      <c r="I471" s="1030"/>
      <c r="J471" s="1097"/>
      <c r="K471" s="1030"/>
      <c r="L471" s="1030"/>
      <c r="M471" s="1030"/>
      <c r="N471" s="1030"/>
      <c r="O471" s="1030"/>
      <c r="P471" s="1030"/>
      <c r="Q471" s="1030"/>
      <c r="R471" s="1030"/>
      <c r="S471" s="1030"/>
      <c r="T471" s="1030"/>
      <c r="U471" s="1030"/>
      <c r="V471" s="1030"/>
      <c r="W471" s="1030"/>
      <c r="X471" s="1030"/>
      <c r="Y471" s="1030"/>
      <c r="Z471" s="1030"/>
      <c r="AA471" s="1030"/>
      <c r="AB471" s="1030"/>
    </row>
    <row r="472" spans="1:28">
      <c r="A472" s="1030"/>
      <c r="B472" s="1030"/>
      <c r="C472" s="1030"/>
      <c r="D472" s="1030"/>
      <c r="E472" s="1030"/>
      <c r="F472" s="1030"/>
      <c r="G472" s="1030"/>
      <c r="H472" s="1030"/>
      <c r="I472" s="1030"/>
      <c r="J472" s="1097"/>
      <c r="K472" s="1030"/>
      <c r="L472" s="1030"/>
      <c r="M472" s="1030"/>
      <c r="N472" s="1030"/>
      <c r="O472" s="1030"/>
      <c r="P472" s="1030"/>
      <c r="Q472" s="1030"/>
      <c r="R472" s="1030"/>
      <c r="S472" s="1030"/>
      <c r="T472" s="1030"/>
      <c r="U472" s="1030"/>
      <c r="V472" s="1030"/>
      <c r="W472" s="1030"/>
      <c r="X472" s="1030"/>
      <c r="Y472" s="1030"/>
      <c r="Z472" s="1030"/>
      <c r="AA472" s="1030"/>
      <c r="AB472" s="1030"/>
    </row>
    <row r="473" spans="1:28">
      <c r="A473" s="1030"/>
      <c r="B473" s="1030"/>
      <c r="C473" s="1030"/>
      <c r="D473" s="1030"/>
      <c r="E473" s="1030"/>
      <c r="F473" s="1030"/>
      <c r="G473" s="1030"/>
      <c r="H473" s="1030"/>
      <c r="I473" s="1030"/>
      <c r="J473" s="1097"/>
      <c r="K473" s="1030"/>
      <c r="L473" s="1030"/>
      <c r="M473" s="1030"/>
      <c r="N473" s="1030"/>
      <c r="O473" s="1030"/>
      <c r="P473" s="1030"/>
      <c r="Q473" s="1030"/>
      <c r="R473" s="1030"/>
      <c r="S473" s="1030"/>
      <c r="T473" s="1030"/>
      <c r="U473" s="1030"/>
      <c r="V473" s="1030"/>
      <c r="W473" s="1030"/>
      <c r="X473" s="1030"/>
      <c r="Y473" s="1030"/>
      <c r="Z473" s="1030"/>
      <c r="AA473" s="1030"/>
      <c r="AB473" s="1030"/>
    </row>
    <row r="474" spans="1:28">
      <c r="A474" s="1030"/>
      <c r="B474" s="1030"/>
      <c r="C474" s="1030"/>
      <c r="D474" s="1030"/>
      <c r="E474" s="1030"/>
      <c r="F474" s="1030"/>
      <c r="G474" s="1030"/>
      <c r="H474" s="1030"/>
      <c r="I474" s="1030"/>
      <c r="J474" s="1097"/>
      <c r="K474" s="1030"/>
      <c r="L474" s="1030"/>
      <c r="M474" s="1030"/>
      <c r="N474" s="1030"/>
      <c r="O474" s="1030"/>
      <c r="P474" s="1030"/>
      <c r="Q474" s="1030"/>
      <c r="R474" s="1030"/>
      <c r="S474" s="1030"/>
      <c r="T474" s="1030"/>
      <c r="U474" s="1030"/>
      <c r="V474" s="1030"/>
      <c r="W474" s="1030"/>
      <c r="X474" s="1030"/>
      <c r="Y474" s="1030"/>
      <c r="Z474" s="1030"/>
      <c r="AA474" s="1030"/>
      <c r="AB474" s="1030"/>
    </row>
    <row r="475" spans="1:28">
      <c r="A475" s="1030"/>
      <c r="B475" s="1030"/>
      <c r="C475" s="1030"/>
      <c r="D475" s="1030"/>
      <c r="E475" s="1030"/>
      <c r="F475" s="1030"/>
      <c r="G475" s="1030"/>
      <c r="H475" s="1030"/>
      <c r="I475" s="1030"/>
      <c r="J475" s="1097"/>
      <c r="K475" s="1030"/>
      <c r="L475" s="1030"/>
      <c r="M475" s="1030"/>
      <c r="N475" s="1030"/>
      <c r="O475" s="1030"/>
      <c r="P475" s="1030"/>
      <c r="Q475" s="1030"/>
      <c r="R475" s="1030"/>
      <c r="S475" s="1030"/>
      <c r="T475" s="1030"/>
      <c r="U475" s="1030"/>
      <c r="V475" s="1030"/>
      <c r="W475" s="1030"/>
      <c r="X475" s="1030"/>
      <c r="Y475" s="1030"/>
      <c r="Z475" s="1030"/>
      <c r="AA475" s="1030"/>
      <c r="AB475" s="1030"/>
    </row>
    <row r="476" spans="1:28">
      <c r="A476" s="1030"/>
      <c r="B476" s="1030"/>
      <c r="C476" s="1030"/>
      <c r="D476" s="1030"/>
      <c r="E476" s="1030"/>
      <c r="F476" s="1030"/>
      <c r="G476" s="1030"/>
      <c r="H476" s="1030"/>
      <c r="I476" s="1030"/>
      <c r="J476" s="1097"/>
      <c r="K476" s="1030"/>
      <c r="L476" s="1030"/>
      <c r="M476" s="1030"/>
      <c r="N476" s="1030"/>
      <c r="O476" s="1030"/>
      <c r="P476" s="1030"/>
      <c r="Q476" s="1030"/>
      <c r="R476" s="1030"/>
      <c r="S476" s="1030"/>
      <c r="T476" s="1030"/>
      <c r="U476" s="1030"/>
      <c r="V476" s="1030"/>
      <c r="W476" s="1030"/>
      <c r="X476" s="1030"/>
      <c r="Y476" s="1030"/>
      <c r="Z476" s="1030"/>
      <c r="AA476" s="1030"/>
      <c r="AB476" s="1030"/>
    </row>
    <row r="477" spans="1:28">
      <c r="A477" s="1030"/>
      <c r="B477" s="1030"/>
      <c r="C477" s="1030"/>
      <c r="D477" s="1030"/>
      <c r="E477" s="1030"/>
      <c r="F477" s="1030"/>
      <c r="G477" s="1030"/>
      <c r="H477" s="1030"/>
      <c r="I477" s="1030"/>
      <c r="J477" s="1097"/>
      <c r="K477" s="1030"/>
      <c r="L477" s="1030"/>
      <c r="M477" s="1030"/>
      <c r="N477" s="1030"/>
      <c r="O477" s="1030"/>
      <c r="P477" s="1030"/>
      <c r="Q477" s="1030"/>
      <c r="R477" s="1030"/>
      <c r="S477" s="1030"/>
      <c r="T477" s="1030"/>
      <c r="U477" s="1030"/>
      <c r="V477" s="1030"/>
      <c r="W477" s="1030"/>
      <c r="X477" s="1030"/>
      <c r="Y477" s="1030"/>
      <c r="Z477" s="1030"/>
      <c r="AA477" s="1030"/>
      <c r="AB477" s="1030"/>
    </row>
    <row r="478" spans="1:28">
      <c r="A478" s="1030"/>
      <c r="B478" s="1030"/>
      <c r="C478" s="1030"/>
      <c r="D478" s="1030"/>
      <c r="E478" s="1030"/>
      <c r="F478" s="1030"/>
      <c r="G478" s="1030"/>
      <c r="H478" s="1030"/>
      <c r="I478" s="1030"/>
      <c r="J478" s="1097"/>
      <c r="K478" s="1030"/>
      <c r="L478" s="1030"/>
      <c r="M478" s="1030"/>
      <c r="N478" s="1030"/>
      <c r="O478" s="1030"/>
      <c r="P478" s="1030"/>
      <c r="Q478" s="1030"/>
      <c r="R478" s="1030"/>
      <c r="S478" s="1030"/>
      <c r="T478" s="1030"/>
      <c r="U478" s="1030"/>
      <c r="V478" s="1030"/>
      <c r="W478" s="1030"/>
      <c r="X478" s="1030"/>
      <c r="Y478" s="1030"/>
      <c r="Z478" s="1030"/>
      <c r="AA478" s="1030"/>
      <c r="AB478" s="1030"/>
    </row>
    <row r="479" spans="1:28">
      <c r="A479" s="1030"/>
      <c r="B479" s="1030"/>
      <c r="C479" s="1030"/>
      <c r="D479" s="1030"/>
      <c r="E479" s="1030"/>
      <c r="F479" s="1030"/>
      <c r="G479" s="1030"/>
      <c r="H479" s="1030"/>
      <c r="I479" s="1030"/>
      <c r="J479" s="1097"/>
      <c r="K479" s="1030"/>
      <c r="L479" s="1030"/>
      <c r="M479" s="1030"/>
      <c r="N479" s="1030"/>
      <c r="O479" s="1030"/>
      <c r="P479" s="1030"/>
      <c r="Q479" s="1030"/>
      <c r="R479" s="1030"/>
      <c r="S479" s="1030"/>
      <c r="T479" s="1030"/>
      <c r="U479" s="1030"/>
      <c r="V479" s="1030"/>
      <c r="W479" s="1030"/>
      <c r="X479" s="1030"/>
      <c r="Y479" s="1030"/>
      <c r="Z479" s="1030"/>
      <c r="AA479" s="1030"/>
      <c r="AB479" s="1030"/>
    </row>
    <row r="480" spans="1:28">
      <c r="A480" s="1030"/>
      <c r="B480" s="1030"/>
      <c r="C480" s="1030"/>
      <c r="D480" s="1030"/>
      <c r="E480" s="1030"/>
      <c r="F480" s="1030"/>
      <c r="G480" s="1030"/>
      <c r="H480" s="1030"/>
      <c r="I480" s="1030"/>
      <c r="J480" s="1097"/>
      <c r="K480" s="1030"/>
      <c r="L480" s="1030"/>
      <c r="M480" s="1030"/>
      <c r="N480" s="1030"/>
      <c r="O480" s="1030"/>
      <c r="P480" s="1030"/>
      <c r="Q480" s="1030"/>
      <c r="R480" s="1030"/>
      <c r="S480" s="1030"/>
      <c r="T480" s="1030"/>
      <c r="U480" s="1030"/>
      <c r="V480" s="1030"/>
      <c r="W480" s="1030"/>
      <c r="X480" s="1030"/>
      <c r="Y480" s="1030"/>
      <c r="Z480" s="1030"/>
      <c r="AA480" s="1030"/>
      <c r="AB480" s="1030"/>
    </row>
    <row r="481" spans="1:28">
      <c r="A481" s="1030"/>
      <c r="B481" s="1030"/>
      <c r="C481" s="1030"/>
      <c r="D481" s="1030"/>
      <c r="E481" s="1030"/>
      <c r="F481" s="1030"/>
      <c r="G481" s="1030"/>
      <c r="H481" s="1030"/>
      <c r="I481" s="1030"/>
      <c r="J481" s="1097"/>
      <c r="K481" s="1030"/>
      <c r="L481" s="1030"/>
      <c r="M481" s="1030"/>
      <c r="N481" s="1030"/>
      <c r="O481" s="1030"/>
      <c r="P481" s="1030"/>
      <c r="Q481" s="1030"/>
      <c r="R481" s="1030"/>
      <c r="S481" s="1030"/>
      <c r="T481" s="1030"/>
      <c r="U481" s="1030"/>
      <c r="V481" s="1030"/>
      <c r="W481" s="1030"/>
      <c r="X481" s="1030"/>
      <c r="Y481" s="1030"/>
      <c r="Z481" s="1030"/>
      <c r="AA481" s="1030"/>
      <c r="AB481" s="1030"/>
    </row>
    <row r="482" spans="1:28">
      <c r="A482" s="1030"/>
      <c r="B482" s="1030"/>
      <c r="C482" s="1030"/>
      <c r="D482" s="1030"/>
      <c r="E482" s="1030"/>
      <c r="F482" s="1030"/>
      <c r="G482" s="1030"/>
      <c r="H482" s="1030"/>
      <c r="I482" s="1030"/>
      <c r="J482" s="1097"/>
      <c r="K482" s="1030"/>
      <c r="L482" s="1030"/>
      <c r="M482" s="1030"/>
      <c r="N482" s="1030"/>
      <c r="O482" s="1030"/>
      <c r="P482" s="1030"/>
      <c r="Q482" s="1030"/>
      <c r="R482" s="1030"/>
      <c r="S482" s="1030"/>
      <c r="T482" s="1030"/>
      <c r="U482" s="1030"/>
      <c r="V482" s="1030"/>
      <c r="W482" s="1030"/>
      <c r="X482" s="1030"/>
      <c r="Y482" s="1030"/>
      <c r="Z482" s="1030"/>
      <c r="AA482" s="1030"/>
      <c r="AB482" s="1030"/>
    </row>
    <row r="483" spans="1:28">
      <c r="A483" s="1030"/>
      <c r="B483" s="1030"/>
      <c r="C483" s="1030"/>
      <c r="D483" s="1030"/>
      <c r="E483" s="1030"/>
      <c r="F483" s="1030"/>
      <c r="G483" s="1030"/>
      <c r="H483" s="1030"/>
      <c r="I483" s="1030"/>
      <c r="J483" s="1097"/>
      <c r="K483" s="1030"/>
      <c r="L483" s="1030"/>
      <c r="M483" s="1030"/>
      <c r="N483" s="1030"/>
      <c r="O483" s="1030"/>
      <c r="P483" s="1030"/>
      <c r="Q483" s="1030"/>
      <c r="R483" s="1030"/>
      <c r="S483" s="1030"/>
      <c r="T483" s="1030"/>
      <c r="U483" s="1030"/>
      <c r="V483" s="1030"/>
      <c r="W483" s="1030"/>
      <c r="X483" s="1030"/>
      <c r="Y483" s="1030"/>
      <c r="Z483" s="1030"/>
      <c r="AA483" s="1030"/>
      <c r="AB483" s="1030"/>
    </row>
    <row r="484" spans="1:28">
      <c r="A484" s="1030"/>
      <c r="B484" s="1030"/>
      <c r="C484" s="1030"/>
      <c r="D484" s="1030"/>
      <c r="E484" s="1030"/>
      <c r="F484" s="1030"/>
      <c r="G484" s="1030"/>
      <c r="H484" s="1030"/>
      <c r="I484" s="1030"/>
      <c r="J484" s="1097"/>
      <c r="K484" s="1030"/>
      <c r="L484" s="1030"/>
      <c r="M484" s="1030"/>
      <c r="N484" s="1030"/>
      <c r="O484" s="1030"/>
      <c r="P484" s="1030"/>
      <c r="Q484" s="1030"/>
      <c r="R484" s="1030"/>
      <c r="S484" s="1030"/>
      <c r="T484" s="1030"/>
      <c r="U484" s="1030"/>
      <c r="V484" s="1030"/>
      <c r="W484" s="1030"/>
      <c r="X484" s="1030"/>
      <c r="Y484" s="1030"/>
      <c r="Z484" s="1030"/>
      <c r="AA484" s="1030"/>
      <c r="AB484" s="1030"/>
    </row>
    <row r="485" spans="1:28">
      <c r="A485" s="1030"/>
      <c r="B485" s="1030"/>
      <c r="C485" s="1030"/>
      <c r="D485" s="1030"/>
      <c r="E485" s="1030"/>
      <c r="F485" s="1030"/>
      <c r="G485" s="1030"/>
      <c r="H485" s="1030"/>
      <c r="I485" s="1030"/>
      <c r="J485" s="1097"/>
      <c r="K485" s="1030"/>
      <c r="L485" s="1030"/>
      <c r="M485" s="1030"/>
      <c r="N485" s="1030"/>
      <c r="O485" s="1030"/>
      <c r="P485" s="1030"/>
      <c r="Q485" s="1030"/>
      <c r="R485" s="1030"/>
      <c r="S485" s="1030"/>
      <c r="T485" s="1030"/>
      <c r="U485" s="1030"/>
      <c r="V485" s="1030"/>
      <c r="W485" s="1030"/>
      <c r="X485" s="1030"/>
      <c r="Y485" s="1030"/>
      <c r="Z485" s="1030"/>
      <c r="AA485" s="1030"/>
      <c r="AB485" s="1030"/>
    </row>
    <row r="486" spans="1:28">
      <c r="A486" s="1030"/>
      <c r="B486" s="1030"/>
      <c r="C486" s="1030"/>
      <c r="D486" s="1030"/>
      <c r="E486" s="1030"/>
      <c r="F486" s="1030"/>
      <c r="G486" s="1030"/>
      <c r="H486" s="1030"/>
      <c r="I486" s="1030"/>
      <c r="J486" s="1097"/>
      <c r="K486" s="1030"/>
      <c r="L486" s="1030"/>
      <c r="M486" s="1030"/>
      <c r="N486" s="1030"/>
      <c r="O486" s="1030"/>
      <c r="P486" s="1030"/>
      <c r="Q486" s="1030"/>
      <c r="R486" s="1030"/>
      <c r="S486" s="1030"/>
      <c r="T486" s="1030"/>
      <c r="U486" s="1030"/>
      <c r="V486" s="1030"/>
      <c r="W486" s="1030"/>
      <c r="X486" s="1030"/>
      <c r="Y486" s="1030"/>
      <c r="Z486" s="1030"/>
      <c r="AA486" s="1030"/>
      <c r="AB486" s="1030"/>
    </row>
    <row r="487" spans="1:28">
      <c r="A487" s="1030"/>
      <c r="B487" s="1030"/>
      <c r="C487" s="1030"/>
      <c r="D487" s="1030"/>
      <c r="E487" s="1030"/>
      <c r="F487" s="1030"/>
      <c r="G487" s="1030"/>
      <c r="H487" s="1030"/>
      <c r="I487" s="1030"/>
      <c r="J487" s="1097"/>
      <c r="K487" s="1030"/>
      <c r="L487" s="1030"/>
      <c r="M487" s="1030"/>
      <c r="N487" s="1030"/>
      <c r="O487" s="1030"/>
      <c r="P487" s="1030"/>
      <c r="Q487" s="1030"/>
      <c r="R487" s="1030"/>
      <c r="S487" s="1030"/>
      <c r="T487" s="1030"/>
      <c r="U487" s="1030"/>
      <c r="V487" s="1030"/>
      <c r="W487" s="1030"/>
      <c r="X487" s="1030"/>
      <c r="Y487" s="1030"/>
      <c r="Z487" s="1030"/>
      <c r="AA487" s="1030"/>
      <c r="AB487" s="1030"/>
    </row>
    <row r="488" spans="1:28">
      <c r="A488" s="1030"/>
      <c r="B488" s="1030"/>
      <c r="C488" s="1030"/>
      <c r="D488" s="1030"/>
      <c r="E488" s="1030"/>
      <c r="F488" s="1030"/>
      <c r="G488" s="1030"/>
      <c r="H488" s="1030"/>
      <c r="I488" s="1030"/>
      <c r="J488" s="1097"/>
      <c r="K488" s="1030"/>
      <c r="L488" s="1030"/>
      <c r="M488" s="1030"/>
      <c r="N488" s="1030"/>
      <c r="O488" s="1030"/>
      <c r="P488" s="1030"/>
      <c r="Q488" s="1030"/>
      <c r="R488" s="1030"/>
      <c r="S488" s="1030"/>
      <c r="T488" s="1030"/>
      <c r="U488" s="1030"/>
      <c r="V488" s="1030"/>
      <c r="W488" s="1030"/>
      <c r="X488" s="1030"/>
      <c r="Y488" s="1030"/>
      <c r="Z488" s="1030"/>
      <c r="AA488" s="1030"/>
      <c r="AB488" s="1030"/>
    </row>
    <row r="489" spans="1:28">
      <c r="A489" s="1030"/>
      <c r="B489" s="1030"/>
      <c r="C489" s="1030"/>
      <c r="D489" s="1030"/>
      <c r="E489" s="1030"/>
      <c r="F489" s="1030"/>
      <c r="G489" s="1030"/>
      <c r="H489" s="1030"/>
      <c r="I489" s="1030"/>
      <c r="J489" s="1097"/>
      <c r="K489" s="1030"/>
      <c r="L489" s="1030"/>
      <c r="M489" s="1030"/>
      <c r="N489" s="1030"/>
      <c r="O489" s="1030"/>
      <c r="P489" s="1030"/>
      <c r="Q489" s="1030"/>
      <c r="R489" s="1030"/>
      <c r="S489" s="1030"/>
      <c r="T489" s="1030"/>
      <c r="U489" s="1030"/>
      <c r="V489" s="1030"/>
      <c r="W489" s="1030"/>
      <c r="X489" s="1030"/>
      <c r="Y489" s="1030"/>
      <c r="Z489" s="1030"/>
      <c r="AA489" s="1030"/>
      <c r="AB489" s="1030"/>
    </row>
    <row r="490" spans="1:28">
      <c r="A490" s="1030"/>
      <c r="B490" s="1030"/>
      <c r="C490" s="1030"/>
      <c r="D490" s="1030"/>
      <c r="E490" s="1030"/>
      <c r="F490" s="1030"/>
      <c r="G490" s="1030"/>
      <c r="H490" s="1030"/>
      <c r="I490" s="1030"/>
      <c r="J490" s="1097"/>
      <c r="K490" s="1030"/>
      <c r="L490" s="1030"/>
      <c r="M490" s="1030"/>
      <c r="N490" s="1030"/>
      <c r="O490" s="1030"/>
      <c r="P490" s="1030"/>
      <c r="Q490" s="1030"/>
      <c r="R490" s="1030"/>
      <c r="S490" s="1030"/>
      <c r="T490" s="1030"/>
      <c r="U490" s="1030"/>
      <c r="V490" s="1030"/>
      <c r="W490" s="1030"/>
      <c r="X490" s="1030"/>
      <c r="Y490" s="1030"/>
      <c r="Z490" s="1030"/>
      <c r="AA490" s="1030"/>
      <c r="AB490" s="1030"/>
    </row>
    <row r="491" spans="1:28">
      <c r="A491" s="1030"/>
      <c r="B491" s="1030"/>
      <c r="C491" s="1030"/>
      <c r="D491" s="1030"/>
      <c r="E491" s="1030"/>
      <c r="F491" s="1030"/>
      <c r="G491" s="1030"/>
      <c r="H491" s="1030"/>
      <c r="I491" s="1030"/>
      <c r="J491" s="1097"/>
      <c r="K491" s="1030"/>
      <c r="L491" s="1030"/>
      <c r="M491" s="1030"/>
      <c r="N491" s="1030"/>
      <c r="O491" s="1030"/>
      <c r="P491" s="1030"/>
      <c r="Q491" s="1030"/>
      <c r="R491" s="1030"/>
      <c r="S491" s="1030"/>
      <c r="T491" s="1030"/>
      <c r="U491" s="1030"/>
      <c r="V491" s="1030"/>
      <c r="W491" s="1030"/>
      <c r="X491" s="1030"/>
      <c r="Y491" s="1030"/>
      <c r="Z491" s="1030"/>
      <c r="AA491" s="1030"/>
      <c r="AB491" s="1030"/>
    </row>
    <row r="492" spans="1:28">
      <c r="A492" s="1030"/>
      <c r="B492" s="1030"/>
      <c r="C492" s="1030"/>
      <c r="D492" s="1030"/>
      <c r="E492" s="1030"/>
      <c r="F492" s="1030"/>
      <c r="G492" s="1030"/>
      <c r="H492" s="1030"/>
      <c r="I492" s="1030"/>
      <c r="J492" s="1097"/>
      <c r="K492" s="1030"/>
      <c r="L492" s="1030"/>
      <c r="M492" s="1030"/>
      <c r="N492" s="1030"/>
      <c r="O492" s="1030"/>
      <c r="P492" s="1030"/>
      <c r="Q492" s="1030"/>
      <c r="R492" s="1030"/>
      <c r="S492" s="1030"/>
      <c r="T492" s="1030"/>
      <c r="U492" s="1030"/>
      <c r="V492" s="1030"/>
      <c r="W492" s="1030"/>
      <c r="X492" s="1030"/>
      <c r="Y492" s="1030"/>
      <c r="Z492" s="1030"/>
      <c r="AA492" s="1030"/>
      <c r="AB492" s="1030"/>
    </row>
    <row r="493" spans="1:28">
      <c r="A493" s="1030"/>
      <c r="B493" s="1030"/>
      <c r="C493" s="1030"/>
      <c r="D493" s="1030"/>
      <c r="E493" s="1030"/>
      <c r="F493" s="1030"/>
      <c r="G493" s="1030"/>
      <c r="H493" s="1030"/>
      <c r="I493" s="1030"/>
      <c r="J493" s="1097"/>
      <c r="K493" s="1030"/>
      <c r="L493" s="1030"/>
      <c r="M493" s="1030"/>
      <c r="N493" s="1030"/>
      <c r="O493" s="1030"/>
      <c r="P493" s="1030"/>
      <c r="Q493" s="1030"/>
      <c r="R493" s="1030"/>
      <c r="S493" s="1030"/>
      <c r="T493" s="1030"/>
      <c r="U493" s="1030"/>
      <c r="V493" s="1030"/>
      <c r="W493" s="1030"/>
      <c r="X493" s="1030"/>
      <c r="Y493" s="1030"/>
      <c r="Z493" s="1030"/>
      <c r="AA493" s="1030"/>
      <c r="AB493" s="1030"/>
    </row>
    <row r="494" spans="1:28">
      <c r="A494" s="1030"/>
      <c r="B494" s="1030"/>
      <c r="C494" s="1030"/>
      <c r="D494" s="1030"/>
      <c r="E494" s="1030"/>
      <c r="F494" s="1030"/>
      <c r="G494" s="1030"/>
      <c r="H494" s="1030"/>
      <c r="I494" s="1030"/>
      <c r="J494" s="1097"/>
      <c r="K494" s="1030"/>
      <c r="L494" s="1030"/>
      <c r="M494" s="1030"/>
      <c r="N494" s="1030"/>
      <c r="O494" s="1030"/>
      <c r="P494" s="1030"/>
      <c r="Q494" s="1030"/>
      <c r="R494" s="1030"/>
      <c r="S494" s="1030"/>
      <c r="T494" s="1030"/>
      <c r="U494" s="1030"/>
      <c r="V494" s="1030"/>
      <c r="W494" s="1030"/>
      <c r="X494" s="1030"/>
      <c r="Y494" s="1030"/>
      <c r="Z494" s="1030"/>
      <c r="AA494" s="1030"/>
      <c r="AB494" s="1030"/>
    </row>
    <row r="495" spans="1:28">
      <c r="A495" s="1030"/>
      <c r="B495" s="1030"/>
      <c r="C495" s="1030"/>
      <c r="D495" s="1030"/>
      <c r="E495" s="1030"/>
      <c r="F495" s="1030"/>
      <c r="G495" s="1030"/>
      <c r="H495" s="1030"/>
      <c r="I495" s="1030"/>
      <c r="J495" s="1097"/>
      <c r="K495" s="1030"/>
      <c r="L495" s="1030"/>
      <c r="M495" s="1030"/>
      <c r="N495" s="1030"/>
      <c r="O495" s="1030"/>
      <c r="P495" s="1030"/>
      <c r="Q495" s="1030"/>
      <c r="R495" s="1030"/>
      <c r="S495" s="1030"/>
      <c r="T495" s="1030"/>
      <c r="U495" s="1030"/>
      <c r="V495" s="1030"/>
      <c r="W495" s="1030"/>
      <c r="X495" s="1030"/>
      <c r="Y495" s="1030"/>
      <c r="Z495" s="1030"/>
      <c r="AA495" s="1030"/>
      <c r="AB495" s="1030"/>
    </row>
    <row r="496" spans="1:28">
      <c r="A496" s="1030"/>
      <c r="B496" s="1030"/>
      <c r="C496" s="1030"/>
      <c r="D496" s="1030"/>
      <c r="E496" s="1030"/>
      <c r="F496" s="1030"/>
      <c r="G496" s="1030"/>
      <c r="H496" s="1030"/>
      <c r="I496" s="1030"/>
      <c r="J496" s="1097"/>
      <c r="K496" s="1030"/>
      <c r="L496" s="1030"/>
      <c r="M496" s="1030"/>
      <c r="N496" s="1030"/>
      <c r="O496" s="1030"/>
      <c r="P496" s="1030"/>
      <c r="Q496" s="1030"/>
      <c r="R496" s="1030"/>
      <c r="S496" s="1030"/>
      <c r="T496" s="1030"/>
      <c r="U496" s="1030"/>
      <c r="V496" s="1030"/>
      <c r="W496" s="1030"/>
      <c r="X496" s="1030"/>
      <c r="Y496" s="1030"/>
      <c r="Z496" s="1030"/>
      <c r="AA496" s="1030"/>
      <c r="AB496" s="1030"/>
    </row>
    <row r="497" spans="1:28">
      <c r="A497" s="1030"/>
      <c r="B497" s="1030"/>
      <c r="C497" s="1030"/>
      <c r="D497" s="1030"/>
      <c r="E497" s="1030"/>
      <c r="F497" s="1030"/>
      <c r="G497" s="1030"/>
      <c r="H497" s="1030"/>
      <c r="I497" s="1030"/>
      <c r="J497" s="1097"/>
      <c r="K497" s="1030"/>
      <c r="L497" s="1030"/>
      <c r="M497" s="1030"/>
      <c r="N497" s="1030"/>
      <c r="O497" s="1030"/>
      <c r="P497" s="1030"/>
      <c r="Q497" s="1030"/>
      <c r="R497" s="1030"/>
      <c r="S497" s="1030"/>
      <c r="T497" s="1030"/>
      <c r="U497" s="1030"/>
      <c r="V497" s="1030"/>
      <c r="W497" s="1030"/>
      <c r="X497" s="1030"/>
      <c r="Y497" s="1030"/>
      <c r="Z497" s="1030"/>
      <c r="AA497" s="1030"/>
      <c r="AB497" s="1030"/>
    </row>
    <row r="498" spans="1:28">
      <c r="A498" s="1030"/>
      <c r="B498" s="1030"/>
      <c r="C498" s="1030"/>
      <c r="D498" s="1030"/>
      <c r="E498" s="1030"/>
      <c r="F498" s="1030"/>
      <c r="G498" s="1030"/>
      <c r="H498" s="1030"/>
      <c r="I498" s="1030"/>
      <c r="J498" s="1097"/>
      <c r="K498" s="1030"/>
      <c r="L498" s="1030"/>
      <c r="M498" s="1030"/>
      <c r="N498" s="1030"/>
      <c r="O498" s="1030"/>
      <c r="P498" s="1030"/>
      <c r="Q498" s="1030"/>
      <c r="R498" s="1030"/>
      <c r="S498" s="1030"/>
      <c r="T498" s="1030"/>
      <c r="U498" s="1030"/>
      <c r="V498" s="1030"/>
      <c r="W498" s="1030"/>
      <c r="X498" s="1030"/>
      <c r="Y498" s="1030"/>
      <c r="Z498" s="1030"/>
      <c r="AA498" s="1030"/>
      <c r="AB498" s="1030"/>
    </row>
    <row r="499" spans="1:28">
      <c r="A499" s="1030"/>
      <c r="B499" s="1030"/>
      <c r="C499" s="1030"/>
      <c r="D499" s="1030"/>
      <c r="E499" s="1030"/>
      <c r="F499" s="1030"/>
      <c r="G499" s="1030"/>
      <c r="H499" s="1030"/>
      <c r="I499" s="1030"/>
      <c r="J499" s="1097"/>
      <c r="K499" s="1030"/>
      <c r="L499" s="1030"/>
      <c r="M499" s="1030"/>
      <c r="N499" s="1030"/>
      <c r="O499" s="1030"/>
      <c r="P499" s="1030"/>
      <c r="Q499" s="1030"/>
      <c r="R499" s="1030"/>
      <c r="S499" s="1030"/>
      <c r="T499" s="1030"/>
      <c r="U499" s="1030"/>
      <c r="V499" s="1030"/>
      <c r="W499" s="1030"/>
      <c r="X499" s="1030"/>
      <c r="Y499" s="1030"/>
      <c r="Z499" s="1030"/>
      <c r="AA499" s="1030"/>
      <c r="AB499" s="1030"/>
    </row>
    <row r="500" spans="1:28">
      <c r="A500" s="1030"/>
      <c r="B500" s="1030"/>
      <c r="C500" s="1030"/>
      <c r="D500" s="1030"/>
      <c r="E500" s="1030"/>
      <c r="F500" s="1030"/>
      <c r="G500" s="1030"/>
      <c r="H500" s="1030"/>
      <c r="I500" s="1030"/>
      <c r="J500" s="1097"/>
      <c r="K500" s="1030"/>
      <c r="L500" s="1030"/>
      <c r="M500" s="1030"/>
      <c r="N500" s="1030"/>
      <c r="O500" s="1030"/>
      <c r="P500" s="1030"/>
      <c r="Q500" s="1030"/>
      <c r="R500" s="1030"/>
      <c r="S500" s="1030"/>
      <c r="T500" s="1030"/>
      <c r="U500" s="1030"/>
      <c r="V500" s="1030"/>
      <c r="W500" s="1030"/>
      <c r="X500" s="1030"/>
      <c r="Y500" s="1030"/>
      <c r="Z500" s="1030"/>
      <c r="AA500" s="1030"/>
      <c r="AB500" s="1030"/>
    </row>
    <row r="501" spans="1:28">
      <c r="A501" s="1030"/>
      <c r="B501" s="1030"/>
      <c r="C501" s="1030"/>
      <c r="D501" s="1030"/>
      <c r="E501" s="1030"/>
      <c r="F501" s="1030"/>
      <c r="G501" s="1030"/>
      <c r="H501" s="1030"/>
      <c r="I501" s="1030"/>
      <c r="J501" s="1097"/>
      <c r="K501" s="1030"/>
      <c r="L501" s="1030"/>
      <c r="M501" s="1030"/>
      <c r="N501" s="1030"/>
      <c r="O501" s="1030"/>
      <c r="P501" s="1030"/>
      <c r="Q501" s="1030"/>
      <c r="R501" s="1030"/>
      <c r="S501" s="1030"/>
      <c r="T501" s="1030"/>
      <c r="U501" s="1030"/>
      <c r="V501" s="1030"/>
      <c r="W501" s="1030"/>
      <c r="X501" s="1030"/>
      <c r="Y501" s="1030"/>
      <c r="Z501" s="1030"/>
      <c r="AA501" s="1030"/>
      <c r="AB501" s="1030"/>
    </row>
    <row r="502" spans="1:28">
      <c r="A502" s="1030"/>
      <c r="B502" s="1030"/>
      <c r="C502" s="1030"/>
      <c r="D502" s="1030"/>
      <c r="E502" s="1030"/>
      <c r="F502" s="1030"/>
      <c r="G502" s="1030"/>
      <c r="H502" s="1030"/>
      <c r="I502" s="1030"/>
      <c r="J502" s="1097"/>
      <c r="K502" s="1030"/>
      <c r="L502" s="1030"/>
      <c r="M502" s="1030"/>
      <c r="N502" s="1030"/>
      <c r="O502" s="1030"/>
      <c r="P502" s="1030"/>
      <c r="Q502" s="1030"/>
      <c r="R502" s="1030"/>
      <c r="S502" s="1030"/>
      <c r="T502" s="1030"/>
      <c r="U502" s="1030"/>
      <c r="V502" s="1030"/>
      <c r="W502" s="1030"/>
      <c r="X502" s="1030"/>
      <c r="Y502" s="1030"/>
      <c r="Z502" s="1030"/>
      <c r="AA502" s="1030"/>
      <c r="AB502" s="1030"/>
    </row>
    <row r="503" spans="1:28">
      <c r="A503" s="1030"/>
      <c r="B503" s="1030"/>
      <c r="C503" s="1030"/>
      <c r="D503" s="1030"/>
      <c r="E503" s="1030"/>
      <c r="F503" s="1030"/>
      <c r="G503" s="1030"/>
      <c r="H503" s="1030"/>
      <c r="I503" s="1030"/>
      <c r="J503" s="1097"/>
      <c r="K503" s="1030"/>
      <c r="L503" s="1030"/>
      <c r="M503" s="1030"/>
      <c r="N503" s="1030"/>
      <c r="O503" s="1030"/>
      <c r="P503" s="1030"/>
      <c r="Q503" s="1030"/>
      <c r="R503" s="1030"/>
      <c r="S503" s="1030"/>
      <c r="T503" s="1030"/>
      <c r="U503" s="1030"/>
      <c r="V503" s="1030"/>
      <c r="W503" s="1030"/>
      <c r="X503" s="1030"/>
      <c r="Y503" s="1030"/>
      <c r="Z503" s="1030"/>
      <c r="AA503" s="1030"/>
      <c r="AB503" s="1030"/>
    </row>
    <row r="504" spans="1:28">
      <c r="A504" s="1030"/>
      <c r="B504" s="1030"/>
      <c r="C504" s="1030"/>
      <c r="D504" s="1030"/>
      <c r="E504" s="1030"/>
      <c r="F504" s="1030"/>
      <c r="G504" s="1030"/>
      <c r="H504" s="1030"/>
      <c r="I504" s="1030"/>
      <c r="J504" s="1097"/>
      <c r="K504" s="1030"/>
      <c r="L504" s="1030"/>
      <c r="M504" s="1030"/>
      <c r="N504" s="1030"/>
      <c r="O504" s="1030"/>
      <c r="P504" s="1030"/>
      <c r="Q504" s="1030"/>
      <c r="R504" s="1030"/>
      <c r="S504" s="1030"/>
      <c r="T504" s="1030"/>
      <c r="U504" s="1030"/>
      <c r="V504" s="1030"/>
      <c r="W504" s="1030"/>
      <c r="X504" s="1030"/>
      <c r="Y504" s="1030"/>
      <c r="Z504" s="1030"/>
      <c r="AA504" s="1030"/>
      <c r="AB504" s="1030"/>
    </row>
    <row r="505" spans="1:28">
      <c r="A505" s="1030"/>
      <c r="B505" s="1030"/>
      <c r="C505" s="1030"/>
      <c r="D505" s="1030"/>
      <c r="E505" s="1030"/>
      <c r="F505" s="1030"/>
      <c r="G505" s="1030"/>
      <c r="H505" s="1030"/>
      <c r="I505" s="1030"/>
      <c r="J505" s="1097"/>
      <c r="K505" s="1030"/>
      <c r="L505" s="1030"/>
      <c r="M505" s="1030"/>
      <c r="N505" s="1030"/>
      <c r="O505" s="1030"/>
      <c r="P505" s="1030"/>
      <c r="Q505" s="1030"/>
      <c r="R505" s="1030"/>
      <c r="S505" s="1030"/>
      <c r="T505" s="1030"/>
      <c r="U505" s="1030"/>
      <c r="V505" s="1030"/>
      <c r="W505" s="1030"/>
      <c r="X505" s="1030"/>
      <c r="Y505" s="1030"/>
      <c r="Z505" s="1030"/>
      <c r="AA505" s="1030"/>
      <c r="AB505" s="1030"/>
    </row>
    <row r="506" spans="1:28">
      <c r="A506" s="1030"/>
      <c r="B506" s="1030"/>
      <c r="C506" s="1030"/>
      <c r="D506" s="1030"/>
      <c r="E506" s="1030"/>
      <c r="F506" s="1030"/>
      <c r="G506" s="1030"/>
      <c r="H506" s="1030"/>
      <c r="I506" s="1030"/>
      <c r="J506" s="1097"/>
      <c r="K506" s="1030"/>
      <c r="L506" s="1030"/>
      <c r="M506" s="1030"/>
      <c r="N506" s="1030"/>
      <c r="O506" s="1030"/>
      <c r="P506" s="1030"/>
      <c r="Q506" s="1030"/>
      <c r="R506" s="1030"/>
      <c r="S506" s="1030"/>
      <c r="T506" s="1030"/>
      <c r="U506" s="1030"/>
      <c r="V506" s="1030"/>
      <c r="W506" s="1030"/>
      <c r="X506" s="1030"/>
      <c r="Y506" s="1030"/>
      <c r="Z506" s="1030"/>
      <c r="AA506" s="1030"/>
      <c r="AB506" s="1030"/>
    </row>
    <row r="507" spans="1:28">
      <c r="A507" s="1030"/>
      <c r="B507" s="1030"/>
      <c r="C507" s="1030"/>
      <c r="D507" s="1030"/>
      <c r="E507" s="1030"/>
      <c r="F507" s="1030"/>
      <c r="G507" s="1030"/>
      <c r="H507" s="1030"/>
      <c r="I507" s="1030"/>
      <c r="J507" s="1097"/>
      <c r="K507" s="1030"/>
      <c r="L507" s="1030"/>
      <c r="M507" s="1030"/>
      <c r="N507" s="1030"/>
      <c r="O507" s="1030"/>
      <c r="P507" s="1030"/>
      <c r="Q507" s="1030"/>
      <c r="R507" s="1030"/>
      <c r="S507" s="1030"/>
      <c r="T507" s="1030"/>
      <c r="U507" s="1030"/>
      <c r="V507" s="1030"/>
      <c r="W507" s="1030"/>
      <c r="X507" s="1030"/>
      <c r="Y507" s="1030"/>
      <c r="Z507" s="1030"/>
      <c r="AA507" s="1030"/>
      <c r="AB507" s="1030"/>
    </row>
    <row r="508" spans="1:28">
      <c r="A508" s="1030"/>
      <c r="B508" s="1030"/>
      <c r="C508" s="1030"/>
      <c r="D508" s="1030"/>
      <c r="E508" s="1030"/>
      <c r="F508" s="1030"/>
      <c r="G508" s="1030"/>
      <c r="H508" s="1030"/>
      <c r="I508" s="1030"/>
      <c r="J508" s="1097"/>
      <c r="K508" s="1030"/>
      <c r="L508" s="1030"/>
      <c r="M508" s="1030"/>
      <c r="N508" s="1030"/>
      <c r="O508" s="1030"/>
      <c r="P508" s="1030"/>
      <c r="Q508" s="1030"/>
      <c r="R508" s="1030"/>
      <c r="S508" s="1030"/>
      <c r="T508" s="1030"/>
      <c r="U508" s="1030"/>
      <c r="V508" s="1030"/>
      <c r="W508" s="1030"/>
      <c r="X508" s="1030"/>
      <c r="Y508" s="1030"/>
      <c r="Z508" s="1030"/>
      <c r="AA508" s="1030"/>
      <c r="AB508" s="1030"/>
    </row>
    <row r="509" spans="1:28">
      <c r="A509" s="1030"/>
      <c r="B509" s="1030"/>
      <c r="C509" s="1030"/>
      <c r="D509" s="1030"/>
      <c r="E509" s="1030"/>
      <c r="F509" s="1030"/>
      <c r="G509" s="1030"/>
      <c r="H509" s="1030"/>
      <c r="I509" s="1030"/>
      <c r="J509" s="1097"/>
      <c r="K509" s="1030"/>
      <c r="L509" s="1030"/>
      <c r="M509" s="1030"/>
      <c r="N509" s="1030"/>
      <c r="O509" s="1030"/>
      <c r="P509" s="1030"/>
      <c r="Q509" s="1030"/>
      <c r="R509" s="1030"/>
      <c r="S509" s="1030"/>
      <c r="T509" s="1030"/>
      <c r="U509" s="1030"/>
      <c r="V509" s="1030"/>
      <c r="W509" s="1030"/>
      <c r="X509" s="1030"/>
      <c r="Y509" s="1030"/>
      <c r="Z509" s="1030"/>
      <c r="AA509" s="1030"/>
      <c r="AB509" s="1030"/>
    </row>
    <row r="510" spans="1:28">
      <c r="A510" s="1030"/>
      <c r="B510" s="1030"/>
      <c r="C510" s="1030"/>
      <c r="D510" s="1030"/>
      <c r="E510" s="1030"/>
      <c r="F510" s="1030"/>
      <c r="G510" s="1030"/>
      <c r="H510" s="1030"/>
      <c r="I510" s="1030"/>
      <c r="J510" s="1097"/>
      <c r="K510" s="1030"/>
      <c r="L510" s="1030"/>
      <c r="M510" s="1030"/>
      <c r="N510" s="1030"/>
      <c r="O510" s="1030"/>
      <c r="P510" s="1030"/>
      <c r="Q510" s="1030"/>
      <c r="R510" s="1030"/>
      <c r="S510" s="1030"/>
      <c r="T510" s="1030"/>
      <c r="U510" s="1030"/>
      <c r="V510" s="1030"/>
      <c r="W510" s="1030"/>
      <c r="X510" s="1030"/>
      <c r="Y510" s="1030"/>
      <c r="Z510" s="1030"/>
      <c r="AA510" s="1030"/>
      <c r="AB510" s="1030"/>
    </row>
    <row r="511" spans="1:28">
      <c r="A511" s="1030"/>
      <c r="B511" s="1030"/>
      <c r="C511" s="1030"/>
      <c r="D511" s="1030"/>
      <c r="E511" s="1030"/>
      <c r="F511" s="1030"/>
      <c r="G511" s="1030"/>
      <c r="H511" s="1030"/>
      <c r="I511" s="1030"/>
      <c r="J511" s="1097"/>
      <c r="K511" s="1030"/>
      <c r="L511" s="1030"/>
      <c r="M511" s="1030"/>
      <c r="N511" s="1030"/>
      <c r="O511" s="1030"/>
      <c r="P511" s="1030"/>
      <c r="Q511" s="1030"/>
      <c r="R511" s="1030"/>
      <c r="S511" s="1030"/>
      <c r="T511" s="1030"/>
      <c r="U511" s="1030"/>
      <c r="V511" s="1030"/>
      <c r="W511" s="1030"/>
      <c r="X511" s="1030"/>
      <c r="Y511" s="1030"/>
      <c r="Z511" s="1030"/>
      <c r="AA511" s="1030"/>
      <c r="AB511" s="1030"/>
    </row>
    <row r="512" spans="1:28">
      <c r="A512" s="1030"/>
      <c r="B512" s="1030"/>
      <c r="C512" s="1030"/>
      <c r="D512" s="1030"/>
      <c r="E512" s="1030"/>
      <c r="F512" s="1030"/>
      <c r="G512" s="1030"/>
      <c r="H512" s="1030"/>
      <c r="I512" s="1030"/>
      <c r="J512" s="1097"/>
      <c r="K512" s="1030"/>
      <c r="L512" s="1030"/>
      <c r="M512" s="1030"/>
      <c r="N512" s="1030"/>
      <c r="O512" s="1030"/>
      <c r="P512" s="1030"/>
      <c r="Q512" s="1030"/>
      <c r="R512" s="1030"/>
      <c r="S512" s="1030"/>
      <c r="T512" s="1030"/>
      <c r="U512" s="1030"/>
      <c r="V512" s="1030"/>
      <c r="W512" s="1030"/>
      <c r="X512" s="1030"/>
      <c r="Y512" s="1030"/>
      <c r="Z512" s="1030"/>
      <c r="AA512" s="1030"/>
      <c r="AB512" s="1030"/>
    </row>
    <row r="513" spans="1:28">
      <c r="A513" s="1030"/>
      <c r="B513" s="1030"/>
      <c r="C513" s="1030"/>
      <c r="D513" s="1030"/>
      <c r="E513" s="1030"/>
      <c r="F513" s="1030"/>
      <c r="G513" s="1030"/>
      <c r="H513" s="1030"/>
      <c r="I513" s="1030"/>
      <c r="J513" s="1097"/>
      <c r="K513" s="1030"/>
      <c r="L513" s="1030"/>
      <c r="M513" s="1030"/>
      <c r="N513" s="1030"/>
      <c r="O513" s="1030"/>
      <c r="P513" s="1030"/>
      <c r="Q513" s="1030"/>
      <c r="R513" s="1030"/>
      <c r="S513" s="1030"/>
      <c r="T513" s="1030"/>
      <c r="U513" s="1030"/>
      <c r="V513" s="1030"/>
      <c r="W513" s="1030"/>
      <c r="X513" s="1030"/>
      <c r="Y513" s="1030"/>
      <c r="Z513" s="1030"/>
      <c r="AA513" s="1030"/>
      <c r="AB513" s="1030"/>
    </row>
    <row r="514" spans="1:28">
      <c r="A514" s="1030"/>
      <c r="B514" s="1030"/>
      <c r="C514" s="1030"/>
      <c r="D514" s="1030"/>
      <c r="E514" s="1030"/>
      <c r="F514" s="1030"/>
      <c r="G514" s="1030"/>
      <c r="H514" s="1030"/>
      <c r="I514" s="1030"/>
      <c r="J514" s="1097"/>
      <c r="K514" s="1030"/>
      <c r="L514" s="1030"/>
      <c r="M514" s="1030"/>
      <c r="N514" s="1030"/>
      <c r="O514" s="1030"/>
      <c r="P514" s="1030"/>
      <c r="Q514" s="1030"/>
      <c r="R514" s="1030"/>
      <c r="S514" s="1030"/>
      <c r="T514" s="1030"/>
      <c r="U514" s="1030"/>
      <c r="V514" s="1030"/>
      <c r="W514" s="1030"/>
      <c r="X514" s="1030"/>
      <c r="Y514" s="1030"/>
      <c r="Z514" s="1030"/>
      <c r="AA514" s="1030"/>
      <c r="AB514" s="1030"/>
    </row>
    <row r="515" spans="1:28">
      <c r="A515" s="1030"/>
      <c r="B515" s="1030"/>
      <c r="C515" s="1030"/>
      <c r="D515" s="1030"/>
      <c r="E515" s="1030"/>
      <c r="F515" s="1030"/>
      <c r="G515" s="1030"/>
      <c r="H515" s="1030"/>
      <c r="I515" s="1030"/>
      <c r="J515" s="1097"/>
      <c r="K515" s="1030"/>
      <c r="L515" s="1030"/>
      <c r="M515" s="1030"/>
      <c r="N515" s="1030"/>
      <c r="O515" s="1030"/>
      <c r="P515" s="1030"/>
      <c r="Q515" s="1030"/>
      <c r="R515" s="1030"/>
      <c r="S515" s="1030"/>
      <c r="T515" s="1030"/>
      <c r="U515" s="1030"/>
      <c r="V515" s="1030"/>
      <c r="W515" s="1030"/>
      <c r="X515" s="1030"/>
      <c r="Y515" s="1030"/>
      <c r="Z515" s="1030"/>
      <c r="AA515" s="1030"/>
      <c r="AB515" s="1030"/>
    </row>
    <row r="516" spans="1:28">
      <c r="A516" s="1030"/>
      <c r="B516" s="1030"/>
      <c r="C516" s="1030"/>
      <c r="D516" s="1030"/>
      <c r="E516" s="1030"/>
      <c r="F516" s="1030"/>
      <c r="G516" s="1030"/>
      <c r="H516" s="1030"/>
      <c r="I516" s="1030"/>
      <c r="J516" s="1097"/>
      <c r="K516" s="1030"/>
      <c r="L516" s="1030"/>
      <c r="M516" s="1030"/>
      <c r="N516" s="1030"/>
      <c r="O516" s="1030"/>
      <c r="P516" s="1030"/>
      <c r="Q516" s="1030"/>
      <c r="R516" s="1030"/>
      <c r="S516" s="1030"/>
      <c r="T516" s="1030"/>
      <c r="U516" s="1030"/>
      <c r="V516" s="1030"/>
      <c r="W516" s="1030"/>
      <c r="X516" s="1030"/>
      <c r="Y516" s="1030"/>
      <c r="Z516" s="1030"/>
      <c r="AA516" s="1030"/>
      <c r="AB516" s="1030"/>
    </row>
    <row r="517" spans="1:28">
      <c r="A517" s="1030"/>
      <c r="B517" s="1030"/>
      <c r="C517" s="1030"/>
      <c r="D517" s="1030"/>
      <c r="E517" s="1030"/>
      <c r="F517" s="1030"/>
      <c r="G517" s="1030"/>
      <c r="H517" s="1030"/>
      <c r="I517" s="1030"/>
      <c r="J517" s="1097"/>
      <c r="K517" s="1030"/>
      <c r="L517" s="1030"/>
      <c r="M517" s="1030"/>
      <c r="N517" s="1030"/>
      <c r="O517" s="1030"/>
      <c r="P517" s="1030"/>
      <c r="Q517" s="1030"/>
      <c r="R517" s="1030"/>
      <c r="S517" s="1030"/>
      <c r="T517" s="1030"/>
      <c r="U517" s="1030"/>
      <c r="V517" s="1030"/>
      <c r="W517" s="1030"/>
      <c r="X517" s="1030"/>
      <c r="Y517" s="1030"/>
      <c r="Z517" s="1030"/>
      <c r="AA517" s="1030"/>
      <c r="AB517" s="1030"/>
    </row>
    <row r="518" spans="1:28">
      <c r="A518" s="1030"/>
      <c r="B518" s="1030"/>
      <c r="C518" s="1030"/>
      <c r="D518" s="1030"/>
      <c r="E518" s="1030"/>
      <c r="F518" s="1030"/>
      <c r="G518" s="1030"/>
      <c r="H518" s="1030"/>
      <c r="I518" s="1030"/>
      <c r="J518" s="1097"/>
      <c r="K518" s="1030"/>
      <c r="L518" s="1030"/>
      <c r="M518" s="1030"/>
      <c r="N518" s="1030"/>
      <c r="O518" s="1030"/>
      <c r="P518" s="1030"/>
      <c r="Q518" s="1030"/>
      <c r="R518" s="1030"/>
      <c r="S518" s="1030"/>
      <c r="T518" s="1030"/>
      <c r="U518" s="1030"/>
      <c r="V518" s="1030"/>
      <c r="W518" s="1030"/>
      <c r="X518" s="1030"/>
      <c r="Y518" s="1030"/>
      <c r="Z518" s="1030"/>
      <c r="AA518" s="1030"/>
      <c r="AB518" s="1030"/>
    </row>
    <row r="519" spans="1:28">
      <c r="A519" s="1030"/>
      <c r="B519" s="1030"/>
      <c r="C519" s="1030"/>
      <c r="D519" s="1030"/>
      <c r="E519" s="1030"/>
      <c r="F519" s="1030"/>
      <c r="G519" s="1030"/>
      <c r="H519" s="1030"/>
      <c r="I519" s="1030"/>
      <c r="J519" s="1097"/>
      <c r="K519" s="1030"/>
      <c r="L519" s="1030"/>
      <c r="M519" s="1030"/>
      <c r="N519" s="1030"/>
      <c r="O519" s="1030"/>
      <c r="P519" s="1030"/>
      <c r="Q519" s="1030"/>
      <c r="R519" s="1030"/>
      <c r="S519" s="1030"/>
      <c r="T519" s="1030"/>
      <c r="U519" s="1030"/>
      <c r="V519" s="1030"/>
      <c r="W519" s="1030"/>
      <c r="X519" s="1030"/>
      <c r="Y519" s="1030"/>
      <c r="Z519" s="1030"/>
      <c r="AA519" s="1030"/>
      <c r="AB519" s="1030"/>
    </row>
    <row r="520" spans="1:28">
      <c r="A520" s="1030"/>
      <c r="B520" s="1030"/>
      <c r="C520" s="1030"/>
      <c r="D520" s="1030"/>
      <c r="E520" s="1030"/>
      <c r="F520" s="1030"/>
      <c r="G520" s="1030"/>
      <c r="H520" s="1030"/>
      <c r="I520" s="1030"/>
      <c r="J520" s="1097"/>
      <c r="K520" s="1030"/>
      <c r="L520" s="1030"/>
      <c r="M520" s="1030"/>
      <c r="N520" s="1030"/>
      <c r="O520" s="1030"/>
      <c r="P520" s="1030"/>
      <c r="Q520" s="1030"/>
      <c r="R520" s="1030"/>
      <c r="S520" s="1030"/>
      <c r="T520" s="1030"/>
      <c r="U520" s="1030"/>
      <c r="V520" s="1030"/>
      <c r="W520" s="1030"/>
      <c r="X520" s="1030"/>
      <c r="Y520" s="1030"/>
      <c r="Z520" s="1030"/>
      <c r="AA520" s="1030"/>
      <c r="AB520" s="1030"/>
    </row>
    <row r="521" spans="1:28">
      <c r="A521" s="1030"/>
      <c r="B521" s="1030"/>
      <c r="C521" s="1030"/>
      <c r="D521" s="1030"/>
      <c r="E521" s="1030"/>
      <c r="F521" s="1030"/>
      <c r="G521" s="1030"/>
      <c r="H521" s="1030"/>
      <c r="I521" s="1030"/>
      <c r="J521" s="1097"/>
      <c r="K521" s="1030"/>
      <c r="L521" s="1030"/>
      <c r="M521" s="1030"/>
      <c r="N521" s="1030"/>
      <c r="O521" s="1030"/>
      <c r="P521" s="1030"/>
      <c r="Q521" s="1030"/>
      <c r="R521" s="1030"/>
      <c r="S521" s="1030"/>
      <c r="T521" s="1030"/>
      <c r="U521" s="1030"/>
      <c r="V521" s="1030"/>
      <c r="W521" s="1030"/>
      <c r="X521" s="1030"/>
      <c r="Y521" s="1030"/>
      <c r="Z521" s="1030"/>
      <c r="AA521" s="1030"/>
      <c r="AB521" s="1030"/>
    </row>
    <row r="522" spans="1:28">
      <c r="A522" s="1030"/>
      <c r="B522" s="1030"/>
      <c r="C522" s="1030"/>
      <c r="D522" s="1030"/>
      <c r="E522" s="1030"/>
      <c r="F522" s="1030"/>
      <c r="G522" s="1030"/>
      <c r="H522" s="1030"/>
      <c r="I522" s="1030"/>
      <c r="J522" s="1097"/>
      <c r="K522" s="1030"/>
      <c r="L522" s="1030"/>
      <c r="M522" s="1030"/>
      <c r="N522" s="1030"/>
      <c r="O522" s="1030"/>
      <c r="P522" s="1030"/>
      <c r="Q522" s="1030"/>
      <c r="R522" s="1030"/>
      <c r="S522" s="1030"/>
      <c r="T522" s="1030"/>
      <c r="U522" s="1030"/>
      <c r="V522" s="1030"/>
      <c r="W522" s="1030"/>
      <c r="X522" s="1030"/>
      <c r="Y522" s="1030"/>
      <c r="Z522" s="1030"/>
      <c r="AA522" s="1030"/>
      <c r="AB522" s="1030"/>
    </row>
    <row r="523" spans="1:28">
      <c r="A523" s="1030"/>
      <c r="B523" s="1030"/>
      <c r="C523" s="1030"/>
      <c r="D523" s="1030"/>
      <c r="E523" s="1030"/>
      <c r="F523" s="1030"/>
      <c r="G523" s="1030"/>
      <c r="H523" s="1030"/>
      <c r="I523" s="1030"/>
      <c r="J523" s="1097"/>
      <c r="K523" s="1030"/>
      <c r="L523" s="1030"/>
      <c r="M523" s="1030"/>
      <c r="N523" s="1030"/>
      <c r="O523" s="1030"/>
      <c r="P523" s="1030"/>
      <c r="Q523" s="1030"/>
      <c r="R523" s="1030"/>
      <c r="S523" s="1030"/>
      <c r="T523" s="1030"/>
      <c r="U523" s="1030"/>
      <c r="V523" s="1030"/>
      <c r="W523" s="1030"/>
      <c r="X523" s="1030"/>
      <c r="Y523" s="1030"/>
      <c r="Z523" s="1030"/>
      <c r="AA523" s="1030"/>
      <c r="AB523" s="1030"/>
    </row>
    <row r="524" spans="1:28">
      <c r="A524" s="1030"/>
      <c r="B524" s="1030"/>
      <c r="C524" s="1030"/>
      <c r="D524" s="1030"/>
      <c r="E524" s="1030"/>
      <c r="F524" s="1030"/>
      <c r="G524" s="1030"/>
      <c r="H524" s="1030"/>
      <c r="I524" s="1030"/>
      <c r="J524" s="1097"/>
      <c r="K524" s="1030"/>
      <c r="L524" s="1030"/>
      <c r="M524" s="1030"/>
      <c r="N524" s="1030"/>
      <c r="O524" s="1030"/>
      <c r="P524" s="1030"/>
      <c r="Q524" s="1030"/>
      <c r="R524" s="1030"/>
      <c r="S524" s="1030"/>
      <c r="T524" s="1030"/>
      <c r="U524" s="1030"/>
      <c r="V524" s="1030"/>
      <c r="W524" s="1030"/>
      <c r="X524" s="1030"/>
      <c r="Y524" s="1030"/>
      <c r="Z524" s="1030"/>
      <c r="AA524" s="1030"/>
      <c r="AB524" s="1030"/>
    </row>
    <row r="525" spans="1:28">
      <c r="A525" s="1030"/>
      <c r="B525" s="1030"/>
      <c r="C525" s="1030"/>
      <c r="D525" s="1030"/>
      <c r="E525" s="1030"/>
      <c r="F525" s="1030"/>
      <c r="G525" s="1030"/>
      <c r="H525" s="1030"/>
      <c r="I525" s="1030"/>
      <c r="J525" s="1097"/>
      <c r="K525" s="1030"/>
      <c r="L525" s="1030"/>
      <c r="M525" s="1030"/>
      <c r="N525" s="1030"/>
      <c r="O525" s="1030"/>
      <c r="P525" s="1030"/>
      <c r="Q525" s="1030"/>
      <c r="R525" s="1030"/>
      <c r="S525" s="1030"/>
      <c r="T525" s="1030"/>
      <c r="U525" s="1030"/>
      <c r="V525" s="1030"/>
      <c r="W525" s="1030"/>
      <c r="X525" s="1030"/>
      <c r="Y525" s="1030"/>
      <c r="Z525" s="1030"/>
      <c r="AA525" s="1030"/>
      <c r="AB525" s="1030"/>
    </row>
    <row r="526" spans="1:28">
      <c r="A526" s="1030"/>
      <c r="B526" s="1030"/>
      <c r="C526" s="1030"/>
      <c r="D526" s="1030"/>
      <c r="E526" s="1030"/>
      <c r="F526" s="1030"/>
      <c r="G526" s="1030"/>
      <c r="H526" s="1030"/>
      <c r="I526" s="1030"/>
      <c r="J526" s="1097"/>
      <c r="K526" s="1030"/>
      <c r="L526" s="1030"/>
      <c r="M526" s="1030"/>
      <c r="N526" s="1030"/>
      <c r="O526" s="1030"/>
      <c r="P526" s="1030"/>
      <c r="Q526" s="1030"/>
      <c r="R526" s="1030"/>
      <c r="S526" s="1030"/>
      <c r="T526" s="1030"/>
      <c r="U526" s="1030"/>
      <c r="V526" s="1030"/>
      <c r="W526" s="1030"/>
      <c r="X526" s="1030"/>
      <c r="Y526" s="1030"/>
      <c r="Z526" s="1030"/>
      <c r="AA526" s="1030"/>
      <c r="AB526" s="1030"/>
    </row>
    <row r="527" spans="1:28">
      <c r="A527" s="1030"/>
      <c r="B527" s="1030"/>
      <c r="C527" s="1030"/>
      <c r="D527" s="1030"/>
      <c r="E527" s="1030"/>
      <c r="F527" s="1030"/>
      <c r="G527" s="1030"/>
      <c r="H527" s="1030"/>
      <c r="I527" s="1030"/>
      <c r="J527" s="1097"/>
      <c r="K527" s="1030"/>
      <c r="L527" s="1030"/>
      <c r="M527" s="1030"/>
      <c r="N527" s="1030"/>
      <c r="O527" s="1030"/>
      <c r="P527" s="1030"/>
      <c r="Q527" s="1030"/>
      <c r="R527" s="1030"/>
      <c r="S527" s="1030"/>
      <c r="T527" s="1030"/>
      <c r="U527" s="1030"/>
      <c r="V527" s="1030"/>
      <c r="W527" s="1030"/>
      <c r="X527" s="1030"/>
      <c r="Y527" s="1030"/>
      <c r="Z527" s="1030"/>
      <c r="AA527" s="1030"/>
      <c r="AB527" s="1030"/>
    </row>
    <row r="528" spans="1:28">
      <c r="A528" s="1030"/>
      <c r="B528" s="1030"/>
      <c r="C528" s="1030"/>
      <c r="D528" s="1030"/>
      <c r="E528" s="1030"/>
      <c r="F528" s="1030"/>
      <c r="G528" s="1030"/>
      <c r="H528" s="1030"/>
      <c r="I528" s="1030"/>
      <c r="J528" s="1097"/>
      <c r="K528" s="1030"/>
      <c r="L528" s="1030"/>
      <c r="M528" s="1030"/>
      <c r="N528" s="1030"/>
      <c r="O528" s="1030"/>
      <c r="P528" s="1030"/>
      <c r="Q528" s="1030"/>
      <c r="R528" s="1030"/>
      <c r="S528" s="1030"/>
      <c r="T528" s="1030"/>
      <c r="U528" s="1030"/>
      <c r="V528" s="1030"/>
      <c r="W528" s="1030"/>
      <c r="X528" s="1030"/>
      <c r="Y528" s="1030"/>
      <c r="Z528" s="1030"/>
      <c r="AA528" s="1030"/>
      <c r="AB528" s="1030"/>
    </row>
    <row r="529" spans="1:28">
      <c r="A529" s="1030"/>
      <c r="B529" s="1030"/>
      <c r="C529" s="1030"/>
      <c r="D529" s="1030"/>
      <c r="E529" s="1030"/>
      <c r="F529" s="1030"/>
      <c r="G529" s="1030"/>
      <c r="H529" s="1030"/>
      <c r="I529" s="1030"/>
      <c r="J529" s="1097"/>
      <c r="K529" s="1030"/>
      <c r="L529" s="1030"/>
      <c r="M529" s="1030"/>
      <c r="N529" s="1030"/>
      <c r="O529" s="1030"/>
      <c r="P529" s="1030"/>
      <c r="Q529" s="1030"/>
      <c r="R529" s="1030"/>
      <c r="S529" s="1030"/>
      <c r="T529" s="1030"/>
      <c r="U529" s="1030"/>
      <c r="V529" s="1030"/>
      <c r="W529" s="1030"/>
      <c r="X529" s="1030"/>
      <c r="Y529" s="1030"/>
      <c r="Z529" s="1030"/>
      <c r="AA529" s="1030"/>
      <c r="AB529" s="1030"/>
    </row>
    <row r="530" spans="1:28">
      <c r="A530" s="1030"/>
      <c r="B530" s="1030"/>
      <c r="C530" s="1030"/>
      <c r="D530" s="1030"/>
      <c r="E530" s="1030"/>
      <c r="F530" s="1030"/>
      <c r="G530" s="1030"/>
      <c r="H530" s="1030"/>
      <c r="I530" s="1030"/>
      <c r="J530" s="1097"/>
      <c r="K530" s="1030"/>
      <c r="L530" s="1030"/>
      <c r="M530" s="1030"/>
      <c r="N530" s="1030"/>
      <c r="O530" s="1030"/>
      <c r="P530" s="1030"/>
      <c r="Q530" s="1030"/>
      <c r="R530" s="1030"/>
      <c r="S530" s="1030"/>
      <c r="T530" s="1030"/>
      <c r="U530" s="1030"/>
      <c r="V530" s="1030"/>
      <c r="W530" s="1030"/>
      <c r="X530" s="1030"/>
      <c r="Y530" s="1030"/>
      <c r="Z530" s="1030"/>
      <c r="AA530" s="1030"/>
      <c r="AB530" s="1030"/>
    </row>
    <row r="531" spans="1:28">
      <c r="A531" s="1030"/>
      <c r="B531" s="1030"/>
      <c r="C531" s="1030"/>
      <c r="D531" s="1030"/>
      <c r="E531" s="1030"/>
      <c r="F531" s="1030"/>
      <c r="G531" s="1030"/>
      <c r="H531" s="1030"/>
      <c r="I531" s="1030"/>
      <c r="J531" s="1097"/>
      <c r="K531" s="1030"/>
      <c r="L531" s="1030"/>
      <c r="M531" s="1030"/>
      <c r="N531" s="1030"/>
      <c r="O531" s="1030"/>
      <c r="P531" s="1030"/>
      <c r="Q531" s="1030"/>
      <c r="R531" s="1030"/>
      <c r="S531" s="1030"/>
      <c r="T531" s="1030"/>
      <c r="U531" s="1030"/>
      <c r="V531" s="1030"/>
      <c r="W531" s="1030"/>
      <c r="X531" s="1030"/>
      <c r="Y531" s="1030"/>
      <c r="Z531" s="1030"/>
      <c r="AA531" s="1030"/>
      <c r="AB531" s="1030"/>
    </row>
    <row r="532" spans="1:28">
      <c r="A532" s="1030"/>
      <c r="B532" s="1030"/>
      <c r="C532" s="1030"/>
      <c r="D532" s="1030"/>
      <c r="E532" s="1030"/>
      <c r="F532" s="1030"/>
      <c r="G532" s="1030"/>
      <c r="H532" s="1030"/>
      <c r="I532" s="1030"/>
      <c r="J532" s="1097"/>
      <c r="K532" s="1030"/>
      <c r="L532" s="1030"/>
      <c r="M532" s="1030"/>
      <c r="N532" s="1030"/>
      <c r="O532" s="1030"/>
      <c r="P532" s="1030"/>
      <c r="Q532" s="1030"/>
      <c r="R532" s="1030"/>
      <c r="S532" s="1030"/>
      <c r="T532" s="1030"/>
      <c r="U532" s="1030"/>
      <c r="V532" s="1030"/>
      <c r="W532" s="1030"/>
      <c r="X532" s="1030"/>
      <c r="Y532" s="1030"/>
      <c r="Z532" s="1030"/>
      <c r="AA532" s="1030"/>
      <c r="AB532" s="1030"/>
    </row>
    <row r="533" spans="1:28">
      <c r="A533" s="1030"/>
      <c r="B533" s="1030"/>
      <c r="C533" s="1030"/>
      <c r="D533" s="1030"/>
      <c r="E533" s="1030"/>
      <c r="F533" s="1030"/>
      <c r="G533" s="1030"/>
      <c r="H533" s="1030"/>
      <c r="I533" s="1030"/>
      <c r="J533" s="1097"/>
      <c r="K533" s="1030"/>
      <c r="L533" s="1030"/>
      <c r="M533" s="1030"/>
      <c r="N533" s="1030"/>
      <c r="O533" s="1030"/>
      <c r="P533" s="1030"/>
      <c r="Q533" s="1030"/>
      <c r="R533" s="1030"/>
      <c r="S533" s="1030"/>
      <c r="T533" s="1030"/>
      <c r="U533" s="1030"/>
      <c r="V533" s="1030"/>
      <c r="W533" s="1030"/>
      <c r="X533" s="1030"/>
      <c r="Y533" s="1030"/>
      <c r="Z533" s="1030"/>
      <c r="AA533" s="1030"/>
      <c r="AB533" s="1030"/>
    </row>
    <row r="534" spans="1:28">
      <c r="A534" s="1030"/>
      <c r="B534" s="1030"/>
      <c r="C534" s="1030"/>
      <c r="D534" s="1030"/>
      <c r="E534" s="1030"/>
      <c r="F534" s="1030"/>
      <c r="G534" s="1030"/>
      <c r="H534" s="1030"/>
      <c r="I534" s="1030"/>
      <c r="J534" s="1097"/>
      <c r="K534" s="1030"/>
      <c r="L534" s="1030"/>
      <c r="M534" s="1030"/>
      <c r="N534" s="1030"/>
      <c r="O534" s="1030"/>
      <c r="P534" s="1030"/>
      <c r="Q534" s="1030"/>
      <c r="R534" s="1030"/>
      <c r="S534" s="1030"/>
      <c r="T534" s="1030"/>
      <c r="U534" s="1030"/>
      <c r="V534" s="1030"/>
      <c r="W534" s="1030"/>
      <c r="X534" s="1030"/>
      <c r="Y534" s="1030"/>
      <c r="Z534" s="1030"/>
      <c r="AA534" s="1030"/>
      <c r="AB534" s="1030"/>
    </row>
    <row r="535" spans="1:28">
      <c r="A535" s="1030"/>
      <c r="B535" s="1030"/>
      <c r="C535" s="1030"/>
      <c r="D535" s="1030"/>
      <c r="E535" s="1030"/>
      <c r="F535" s="1030"/>
      <c r="G535" s="1030"/>
      <c r="H535" s="1030"/>
      <c r="I535" s="1030"/>
      <c r="J535" s="1097"/>
      <c r="K535" s="1030"/>
      <c r="L535" s="1030"/>
      <c r="M535" s="1030"/>
      <c r="N535" s="1030"/>
      <c r="O535" s="1030"/>
      <c r="P535" s="1030"/>
      <c r="Q535" s="1030"/>
      <c r="R535" s="1030"/>
      <c r="S535" s="1030"/>
      <c r="T535" s="1030"/>
      <c r="U535" s="1030"/>
      <c r="V535" s="1030"/>
      <c r="W535" s="1030"/>
      <c r="X535" s="1030"/>
      <c r="Y535" s="1030"/>
      <c r="Z535" s="1030"/>
      <c r="AA535" s="1030"/>
      <c r="AB535" s="1030"/>
    </row>
    <row r="536" spans="1:28">
      <c r="A536" s="1030"/>
      <c r="B536" s="1030"/>
      <c r="C536" s="1030"/>
      <c r="D536" s="1030"/>
      <c r="E536" s="1030"/>
      <c r="F536" s="1030"/>
      <c r="G536" s="1030"/>
      <c r="H536" s="1030"/>
      <c r="I536" s="1030"/>
      <c r="J536" s="1097"/>
      <c r="K536" s="1030"/>
      <c r="L536" s="1030"/>
      <c r="M536" s="1030"/>
      <c r="N536" s="1030"/>
      <c r="O536" s="1030"/>
      <c r="P536" s="1030"/>
      <c r="Q536" s="1030"/>
      <c r="R536" s="1030"/>
      <c r="S536" s="1030"/>
      <c r="T536" s="1030"/>
      <c r="U536" s="1030"/>
      <c r="V536" s="1030"/>
      <c r="W536" s="1030"/>
      <c r="X536" s="1030"/>
      <c r="Y536" s="1030"/>
      <c r="Z536" s="1030"/>
      <c r="AA536" s="1030"/>
      <c r="AB536" s="1030"/>
    </row>
    <row r="537" spans="1:28">
      <c r="A537" s="1030"/>
      <c r="B537" s="1030"/>
      <c r="C537" s="1030"/>
      <c r="D537" s="1030"/>
      <c r="E537" s="1030"/>
      <c r="F537" s="1030"/>
      <c r="G537" s="1030"/>
      <c r="H537" s="1030"/>
      <c r="I537" s="1030"/>
      <c r="J537" s="1097"/>
      <c r="K537" s="1030"/>
      <c r="L537" s="1030"/>
      <c r="M537" s="1030"/>
      <c r="N537" s="1030"/>
      <c r="O537" s="1030"/>
      <c r="P537" s="1030"/>
      <c r="Q537" s="1030"/>
      <c r="R537" s="1030"/>
      <c r="S537" s="1030"/>
      <c r="T537" s="1030"/>
      <c r="U537" s="1030"/>
      <c r="V537" s="1030"/>
      <c r="W537" s="1030"/>
      <c r="X537" s="1030"/>
      <c r="Y537" s="1030"/>
      <c r="Z537" s="1030"/>
      <c r="AA537" s="1030"/>
      <c r="AB537" s="1030"/>
    </row>
    <row r="538" spans="1:28">
      <c r="A538" s="1030"/>
      <c r="B538" s="1030"/>
      <c r="C538" s="1030"/>
      <c r="D538" s="1030"/>
      <c r="E538" s="1030"/>
      <c r="F538" s="1030"/>
      <c r="G538" s="1030"/>
      <c r="H538" s="1030"/>
      <c r="I538" s="1030"/>
      <c r="J538" s="1097"/>
      <c r="K538" s="1030"/>
      <c r="L538" s="1030"/>
      <c r="M538" s="1030"/>
      <c r="N538" s="1030"/>
      <c r="O538" s="1030"/>
      <c r="P538" s="1030"/>
      <c r="Q538" s="1030"/>
      <c r="R538" s="1030"/>
      <c r="S538" s="1030"/>
      <c r="T538" s="1030"/>
      <c r="U538" s="1030"/>
      <c r="V538" s="1030"/>
      <c r="W538" s="1030"/>
      <c r="X538" s="1030"/>
      <c r="Y538" s="1030"/>
      <c r="Z538" s="1030"/>
      <c r="AA538" s="1030"/>
      <c r="AB538" s="1030"/>
    </row>
    <row r="539" spans="1:28">
      <c r="A539" s="1030"/>
      <c r="B539" s="1030"/>
      <c r="C539" s="1030"/>
      <c r="D539" s="1030"/>
      <c r="E539" s="1030"/>
      <c r="F539" s="1030"/>
      <c r="G539" s="1030"/>
      <c r="H539" s="1030"/>
      <c r="I539" s="1030"/>
      <c r="J539" s="1097"/>
      <c r="K539" s="1030"/>
      <c r="L539" s="1030"/>
      <c r="M539" s="1030"/>
      <c r="N539" s="1030"/>
      <c r="O539" s="1030"/>
      <c r="P539" s="1030"/>
      <c r="Q539" s="1030"/>
      <c r="R539" s="1030"/>
      <c r="S539" s="1030"/>
      <c r="T539" s="1030"/>
      <c r="U539" s="1030"/>
      <c r="V539" s="1030"/>
      <c r="W539" s="1030"/>
      <c r="X539" s="1030"/>
      <c r="Y539" s="1030"/>
      <c r="Z539" s="1030"/>
      <c r="AA539" s="1030"/>
      <c r="AB539" s="1030"/>
    </row>
    <row r="540" spans="1:28">
      <c r="A540" s="1030"/>
      <c r="B540" s="1030"/>
      <c r="C540" s="1030"/>
      <c r="D540" s="1030"/>
      <c r="E540" s="1030"/>
      <c r="F540" s="1030"/>
      <c r="G540" s="1030"/>
      <c r="H540" s="1030"/>
      <c r="I540" s="1030"/>
      <c r="J540" s="1097"/>
      <c r="K540" s="1030"/>
      <c r="L540" s="1030"/>
      <c r="M540" s="1030"/>
      <c r="N540" s="1030"/>
      <c r="O540" s="1030"/>
      <c r="P540" s="1030"/>
      <c r="Q540" s="1030"/>
      <c r="R540" s="1030"/>
      <c r="S540" s="1030"/>
      <c r="T540" s="1030"/>
      <c r="U540" s="1030"/>
      <c r="V540" s="1030"/>
      <c r="W540" s="1030"/>
      <c r="X540" s="1030"/>
      <c r="Y540" s="1030"/>
      <c r="Z540" s="1030"/>
      <c r="AA540" s="1030"/>
      <c r="AB540" s="1030"/>
    </row>
    <row r="541" spans="1:28">
      <c r="A541" s="1030"/>
      <c r="B541" s="1030"/>
      <c r="C541" s="1030"/>
      <c r="D541" s="1030"/>
      <c r="E541" s="1030"/>
      <c r="F541" s="1030"/>
      <c r="G541" s="1030"/>
      <c r="H541" s="1030"/>
      <c r="I541" s="1030"/>
      <c r="J541" s="1097"/>
      <c r="K541" s="1030"/>
      <c r="L541" s="1030"/>
      <c r="M541" s="1030"/>
      <c r="N541" s="1030"/>
      <c r="O541" s="1030"/>
      <c r="P541" s="1030"/>
      <c r="Q541" s="1030"/>
      <c r="R541" s="1030"/>
      <c r="S541" s="1030"/>
      <c r="T541" s="1030"/>
      <c r="U541" s="1030"/>
      <c r="V541" s="1030"/>
      <c r="W541" s="1030"/>
      <c r="X541" s="1030"/>
      <c r="Y541" s="1030"/>
      <c r="Z541" s="1030"/>
      <c r="AA541" s="1030"/>
      <c r="AB541" s="1030"/>
    </row>
    <row r="542" spans="1:28">
      <c r="A542" s="1030"/>
      <c r="B542" s="1030"/>
      <c r="C542" s="1030"/>
      <c r="D542" s="1030"/>
      <c r="E542" s="1030"/>
      <c r="F542" s="1030"/>
      <c r="G542" s="1030"/>
      <c r="H542" s="1030"/>
      <c r="I542" s="1030"/>
      <c r="J542" s="1097"/>
      <c r="K542" s="1030"/>
      <c r="L542" s="1030"/>
      <c r="M542" s="1030"/>
      <c r="N542" s="1030"/>
      <c r="O542" s="1030"/>
      <c r="P542" s="1030"/>
      <c r="Q542" s="1030"/>
      <c r="R542" s="1030"/>
      <c r="S542" s="1030"/>
      <c r="T542" s="1030"/>
      <c r="U542" s="1030"/>
      <c r="V542" s="1030"/>
      <c r="W542" s="1030"/>
      <c r="X542" s="1030"/>
      <c r="Y542" s="1030"/>
      <c r="Z542" s="1030"/>
      <c r="AA542" s="1030"/>
      <c r="AB542" s="1030"/>
    </row>
    <row r="543" spans="1:28">
      <c r="A543" s="1030"/>
      <c r="B543" s="1030"/>
      <c r="C543" s="1030"/>
      <c r="D543" s="1030"/>
      <c r="E543" s="1030"/>
      <c r="F543" s="1030"/>
      <c r="G543" s="1030"/>
      <c r="H543" s="1030"/>
      <c r="I543" s="1030"/>
      <c r="J543" s="1097"/>
      <c r="K543" s="1030"/>
      <c r="L543" s="1030"/>
      <c r="M543" s="1030"/>
      <c r="N543" s="1030"/>
      <c r="O543" s="1030"/>
      <c r="P543" s="1030"/>
      <c r="Q543" s="1030"/>
      <c r="R543" s="1030"/>
      <c r="S543" s="1030"/>
      <c r="T543" s="1030"/>
      <c r="U543" s="1030"/>
      <c r="V543" s="1030"/>
      <c r="W543" s="1030"/>
      <c r="X543" s="1030"/>
      <c r="Y543" s="1030"/>
      <c r="Z543" s="1030"/>
      <c r="AA543" s="1030"/>
      <c r="AB543" s="1030"/>
    </row>
    <row r="544" spans="1:28">
      <c r="A544" s="1030"/>
      <c r="B544" s="1030"/>
      <c r="C544" s="1030"/>
      <c r="D544" s="1030"/>
      <c r="E544" s="1030"/>
      <c r="F544" s="1030"/>
      <c r="G544" s="1030"/>
      <c r="H544" s="1030"/>
      <c r="I544" s="1030"/>
      <c r="J544" s="1097"/>
      <c r="K544" s="1030"/>
      <c r="L544" s="1030"/>
      <c r="M544" s="1030"/>
      <c r="N544" s="1030"/>
      <c r="O544" s="1030"/>
      <c r="P544" s="1030"/>
      <c r="Q544" s="1030"/>
      <c r="R544" s="1030"/>
      <c r="S544" s="1030"/>
      <c r="T544" s="1030"/>
      <c r="U544" s="1030"/>
      <c r="V544" s="1030"/>
      <c r="W544" s="1030"/>
      <c r="X544" s="1030"/>
      <c r="Y544" s="1030"/>
      <c r="Z544" s="1030"/>
      <c r="AA544" s="1030"/>
      <c r="AB544" s="1030"/>
    </row>
    <row r="545" spans="1:28">
      <c r="A545" s="1030"/>
      <c r="B545" s="1030"/>
      <c r="C545" s="1030"/>
      <c r="D545" s="1030"/>
      <c r="E545" s="1030"/>
      <c r="F545" s="1030"/>
      <c r="G545" s="1030"/>
      <c r="H545" s="1030"/>
      <c r="I545" s="1030"/>
      <c r="J545" s="1097"/>
      <c r="K545" s="1030"/>
      <c r="L545" s="1030"/>
      <c r="M545" s="1030"/>
      <c r="N545" s="1030"/>
      <c r="O545" s="1030"/>
      <c r="P545" s="1030"/>
      <c r="Q545" s="1030"/>
      <c r="R545" s="1030"/>
      <c r="S545" s="1030"/>
      <c r="T545" s="1030"/>
      <c r="U545" s="1030"/>
      <c r="V545" s="1030"/>
      <c r="W545" s="1030"/>
      <c r="X545" s="1030"/>
      <c r="Y545" s="1030"/>
      <c r="Z545" s="1030"/>
      <c r="AA545" s="1030"/>
      <c r="AB545" s="1030"/>
    </row>
    <row r="546" spans="1:28">
      <c r="A546" s="1030"/>
      <c r="B546" s="1030"/>
      <c r="C546" s="1030"/>
      <c r="D546" s="1030"/>
      <c r="E546" s="1030"/>
      <c r="F546" s="1030"/>
      <c r="G546" s="1030"/>
      <c r="H546" s="1030"/>
      <c r="I546" s="1030"/>
      <c r="J546" s="1097"/>
      <c r="K546" s="1030"/>
      <c r="L546" s="1030"/>
      <c r="M546" s="1030"/>
      <c r="N546" s="1030"/>
      <c r="O546" s="1030"/>
      <c r="P546" s="1030"/>
      <c r="Q546" s="1030"/>
      <c r="R546" s="1030"/>
      <c r="S546" s="1030"/>
      <c r="T546" s="1030"/>
      <c r="U546" s="1030"/>
      <c r="V546" s="1030"/>
      <c r="W546" s="1030"/>
      <c r="X546" s="1030"/>
      <c r="Y546" s="1030"/>
      <c r="Z546" s="1030"/>
      <c r="AA546" s="1030"/>
      <c r="AB546" s="1030"/>
    </row>
    <row r="547" spans="1:28">
      <c r="A547" s="1030"/>
      <c r="B547" s="1030"/>
      <c r="C547" s="1030"/>
      <c r="D547" s="1030"/>
      <c r="E547" s="1030"/>
      <c r="F547" s="1030"/>
      <c r="G547" s="1030"/>
      <c r="H547" s="1030"/>
      <c r="I547" s="1030"/>
      <c r="J547" s="1097"/>
      <c r="K547" s="1030"/>
      <c r="L547" s="1030"/>
      <c r="M547" s="1030"/>
      <c r="N547" s="1030"/>
      <c r="O547" s="1030"/>
      <c r="P547" s="1030"/>
      <c r="Q547" s="1030"/>
      <c r="R547" s="1030"/>
      <c r="S547" s="1030"/>
      <c r="T547" s="1030"/>
      <c r="U547" s="1030"/>
      <c r="V547" s="1030"/>
      <c r="W547" s="1030"/>
      <c r="X547" s="1030"/>
      <c r="Y547" s="1030"/>
      <c r="Z547" s="1030"/>
      <c r="AA547" s="1030"/>
      <c r="AB547" s="1030"/>
    </row>
    <row r="548" spans="1:28">
      <c r="A548" s="1030"/>
      <c r="B548" s="1030"/>
      <c r="C548" s="1030"/>
      <c r="D548" s="1030"/>
      <c r="E548" s="1030"/>
      <c r="F548" s="1030"/>
      <c r="G548" s="1030"/>
      <c r="H548" s="1030"/>
      <c r="I548" s="1030"/>
      <c r="J548" s="1097"/>
      <c r="K548" s="1030"/>
      <c r="L548" s="1030"/>
      <c r="M548" s="1030"/>
      <c r="N548" s="1030"/>
      <c r="O548" s="1030"/>
      <c r="P548" s="1030"/>
      <c r="Q548" s="1030"/>
      <c r="R548" s="1030"/>
      <c r="S548" s="1030"/>
      <c r="T548" s="1030"/>
      <c r="U548" s="1030"/>
      <c r="V548" s="1030"/>
      <c r="W548" s="1030"/>
      <c r="X548" s="1030"/>
      <c r="Y548" s="1030"/>
      <c r="Z548" s="1030"/>
      <c r="AA548" s="1030"/>
      <c r="AB548" s="1030"/>
    </row>
    <row r="549" spans="1:28">
      <c r="A549" s="1030"/>
      <c r="B549" s="1030"/>
      <c r="C549" s="1030"/>
      <c r="D549" s="1030"/>
      <c r="E549" s="1030"/>
      <c r="F549" s="1030"/>
      <c r="G549" s="1030"/>
      <c r="H549" s="1030"/>
      <c r="I549" s="1030"/>
      <c r="J549" s="1097"/>
      <c r="K549" s="1030"/>
      <c r="L549" s="1030"/>
      <c r="M549" s="1030"/>
      <c r="N549" s="1030"/>
      <c r="O549" s="1030"/>
      <c r="P549" s="1030"/>
      <c r="Q549" s="1030"/>
      <c r="R549" s="1030"/>
      <c r="S549" s="1030"/>
      <c r="T549" s="1030"/>
      <c r="U549" s="1030"/>
      <c r="V549" s="1030"/>
      <c r="W549" s="1030"/>
      <c r="X549" s="1030"/>
      <c r="Y549" s="1030"/>
      <c r="Z549" s="1030"/>
      <c r="AA549" s="1030"/>
      <c r="AB549" s="1030"/>
    </row>
    <row r="550" spans="1:28">
      <c r="A550" s="1030"/>
      <c r="B550" s="1030"/>
      <c r="C550" s="1030"/>
      <c r="D550" s="1030"/>
      <c r="E550" s="1030"/>
      <c r="F550" s="1030"/>
      <c r="G550" s="1030"/>
      <c r="H550" s="1030"/>
      <c r="I550" s="1030"/>
      <c r="J550" s="1097"/>
      <c r="K550" s="1030"/>
      <c r="L550" s="1030"/>
      <c r="M550" s="1030"/>
      <c r="N550" s="1030"/>
      <c r="O550" s="1030"/>
      <c r="P550" s="1030"/>
      <c r="Q550" s="1030"/>
      <c r="R550" s="1030"/>
      <c r="S550" s="1030"/>
      <c r="T550" s="1030"/>
      <c r="U550" s="1030"/>
      <c r="V550" s="1030"/>
      <c r="W550" s="1030"/>
      <c r="X550" s="1030"/>
      <c r="Y550" s="1030"/>
      <c r="Z550" s="1030"/>
      <c r="AA550" s="1030"/>
      <c r="AB550" s="1030"/>
    </row>
    <row r="551" spans="1:28">
      <c r="A551" s="1030"/>
      <c r="B551" s="1030"/>
      <c r="C551" s="1030"/>
      <c r="D551" s="1030"/>
      <c r="E551" s="1030"/>
      <c r="F551" s="1030"/>
      <c r="G551" s="1030"/>
      <c r="H551" s="1030"/>
      <c r="I551" s="1030"/>
      <c r="J551" s="1097"/>
      <c r="K551" s="1030"/>
      <c r="L551" s="1030"/>
      <c r="M551" s="1030"/>
      <c r="N551" s="1030"/>
      <c r="O551" s="1030"/>
      <c r="P551" s="1030"/>
      <c r="Q551" s="1030"/>
      <c r="R551" s="1030"/>
      <c r="S551" s="1030"/>
      <c r="T551" s="1030"/>
      <c r="U551" s="1030"/>
      <c r="V551" s="1030"/>
      <c r="W551" s="1030"/>
      <c r="X551" s="1030"/>
      <c r="Y551" s="1030"/>
      <c r="Z551" s="1030"/>
      <c r="AA551" s="1030"/>
      <c r="AB551" s="1030"/>
    </row>
    <row r="552" spans="1:28">
      <c r="A552" s="1030"/>
      <c r="B552" s="1030"/>
      <c r="C552" s="1030"/>
      <c r="D552" s="1030"/>
      <c r="E552" s="1030"/>
      <c r="F552" s="1030"/>
      <c r="G552" s="1030"/>
      <c r="H552" s="1030"/>
      <c r="I552" s="1030"/>
      <c r="J552" s="1097"/>
      <c r="K552" s="1030"/>
      <c r="L552" s="1030"/>
      <c r="M552" s="1030"/>
      <c r="N552" s="1030"/>
      <c r="O552" s="1030"/>
      <c r="P552" s="1030"/>
      <c r="Q552" s="1030"/>
      <c r="R552" s="1030"/>
      <c r="S552" s="1030"/>
      <c r="T552" s="1030"/>
      <c r="U552" s="1030"/>
      <c r="V552" s="1030"/>
      <c r="W552" s="1030"/>
      <c r="X552" s="1030"/>
      <c r="Y552" s="1030"/>
      <c r="Z552" s="1030"/>
      <c r="AA552" s="1030"/>
      <c r="AB552" s="1030"/>
    </row>
    <row r="553" spans="1:28">
      <c r="A553" s="1030"/>
      <c r="B553" s="1030"/>
      <c r="C553" s="1030"/>
      <c r="D553" s="1030"/>
      <c r="E553" s="1030"/>
      <c r="F553" s="1030"/>
      <c r="G553" s="1030"/>
      <c r="H553" s="1030"/>
      <c r="I553" s="1030"/>
      <c r="J553" s="1097"/>
      <c r="K553" s="1030"/>
      <c r="L553" s="1030"/>
      <c r="M553" s="1030"/>
      <c r="N553" s="1030"/>
      <c r="O553" s="1030"/>
      <c r="P553" s="1030"/>
      <c r="Q553" s="1030"/>
      <c r="R553" s="1030"/>
      <c r="S553" s="1030"/>
      <c r="T553" s="1030"/>
      <c r="U553" s="1030"/>
      <c r="V553" s="1030"/>
      <c r="W553" s="1030"/>
      <c r="X553" s="1030"/>
      <c r="Y553" s="1030"/>
      <c r="Z553" s="1030"/>
      <c r="AA553" s="1030"/>
      <c r="AB553" s="1030"/>
    </row>
    <row r="554" spans="1:28">
      <c r="A554" s="1030"/>
      <c r="B554" s="1030"/>
      <c r="C554" s="1030"/>
      <c r="D554" s="1030"/>
      <c r="E554" s="1030"/>
      <c r="F554" s="1030"/>
      <c r="G554" s="1030"/>
      <c r="H554" s="1030"/>
      <c r="I554" s="1030"/>
      <c r="J554" s="1097"/>
      <c r="K554" s="1030"/>
      <c r="L554" s="1030"/>
      <c r="M554" s="1030"/>
      <c r="N554" s="1030"/>
      <c r="O554" s="1030"/>
      <c r="P554" s="1030"/>
      <c r="Q554" s="1030"/>
      <c r="R554" s="1030"/>
      <c r="S554" s="1030"/>
      <c r="T554" s="1030"/>
      <c r="U554" s="1030"/>
      <c r="V554" s="1030"/>
      <c r="W554" s="1030"/>
      <c r="X554" s="1030"/>
      <c r="Y554" s="1030"/>
      <c r="Z554" s="1030"/>
      <c r="AA554" s="1030"/>
      <c r="AB554" s="1030"/>
    </row>
    <row r="555" spans="1:28">
      <c r="A555" s="1030"/>
      <c r="B555" s="1030"/>
      <c r="C555" s="1030"/>
      <c r="D555" s="1030"/>
      <c r="E555" s="1030"/>
      <c r="F555" s="1030"/>
      <c r="G555" s="1030"/>
      <c r="H555" s="1030"/>
      <c r="I555" s="1030"/>
      <c r="J555" s="1097"/>
      <c r="K555" s="1030"/>
      <c r="L555" s="1030"/>
      <c r="M555" s="1030"/>
      <c r="N555" s="1030"/>
      <c r="O555" s="1030"/>
      <c r="P555" s="1030"/>
      <c r="Q555" s="1030"/>
      <c r="R555" s="1030"/>
      <c r="S555" s="1030"/>
      <c r="T555" s="1030"/>
      <c r="U555" s="1030"/>
      <c r="V555" s="1030"/>
      <c r="W555" s="1030"/>
      <c r="X555" s="1030"/>
      <c r="Y555" s="1030"/>
      <c r="Z555" s="1030"/>
      <c r="AA555" s="1030"/>
      <c r="AB555" s="1030"/>
    </row>
    <row r="556" spans="1:28">
      <c r="A556" s="1030"/>
      <c r="B556" s="1030"/>
      <c r="C556" s="1030"/>
      <c r="D556" s="1030"/>
      <c r="E556" s="1030"/>
      <c r="F556" s="1030"/>
      <c r="G556" s="1030"/>
      <c r="H556" s="1030"/>
      <c r="I556" s="1030"/>
      <c r="J556" s="1097"/>
      <c r="K556" s="1030"/>
      <c r="L556" s="1030"/>
      <c r="M556" s="1030"/>
      <c r="N556" s="1030"/>
      <c r="O556" s="1030"/>
      <c r="P556" s="1030"/>
      <c r="Q556" s="1030"/>
      <c r="R556" s="1030"/>
      <c r="S556" s="1030"/>
      <c r="T556" s="1030"/>
      <c r="U556" s="1030"/>
      <c r="V556" s="1030"/>
      <c r="W556" s="1030"/>
      <c r="X556" s="1030"/>
      <c r="Y556" s="1030"/>
      <c r="Z556" s="1030"/>
      <c r="AA556" s="1030"/>
      <c r="AB556" s="1030"/>
    </row>
    <row r="557" spans="1:28">
      <c r="A557" s="1030"/>
      <c r="B557" s="1030"/>
      <c r="C557" s="1030"/>
      <c r="D557" s="1030"/>
      <c r="E557" s="1030"/>
      <c r="F557" s="1030"/>
      <c r="G557" s="1030"/>
      <c r="H557" s="1030"/>
      <c r="I557" s="1030"/>
      <c r="J557" s="1097"/>
      <c r="K557" s="1030"/>
      <c r="L557" s="1030"/>
      <c r="M557" s="1030"/>
      <c r="N557" s="1030"/>
      <c r="O557" s="1030"/>
      <c r="P557" s="1030"/>
      <c r="Q557" s="1030"/>
      <c r="R557" s="1030"/>
      <c r="S557" s="1030"/>
      <c r="T557" s="1030"/>
      <c r="U557" s="1030"/>
      <c r="V557" s="1030"/>
      <c r="W557" s="1030"/>
      <c r="X557" s="1030"/>
      <c r="Y557" s="1030"/>
      <c r="Z557" s="1030"/>
      <c r="AA557" s="1030"/>
      <c r="AB557" s="1030"/>
    </row>
    <row r="558" spans="1:28">
      <c r="A558" s="1030"/>
      <c r="B558" s="1030"/>
      <c r="C558" s="1030"/>
      <c r="D558" s="1030"/>
      <c r="E558" s="1030"/>
      <c r="F558" s="1030"/>
      <c r="G558" s="1030"/>
      <c r="H558" s="1030"/>
      <c r="I558" s="1030"/>
      <c r="J558" s="1097"/>
      <c r="K558" s="1030"/>
      <c r="L558" s="1030"/>
      <c r="M558" s="1030"/>
      <c r="N558" s="1030"/>
      <c r="O558" s="1030"/>
      <c r="P558" s="1030"/>
      <c r="Q558" s="1030"/>
      <c r="R558" s="1030"/>
      <c r="S558" s="1030"/>
      <c r="T558" s="1030"/>
      <c r="U558" s="1030"/>
      <c r="V558" s="1030"/>
      <c r="W558" s="1030"/>
      <c r="X558" s="1030"/>
      <c r="Y558" s="1030"/>
      <c r="Z558" s="1030"/>
      <c r="AA558" s="1030"/>
      <c r="AB558" s="1030"/>
    </row>
    <row r="559" spans="1:28">
      <c r="A559" s="1030"/>
      <c r="B559" s="1030"/>
      <c r="C559" s="1030"/>
      <c r="D559" s="1030"/>
      <c r="E559" s="1030"/>
      <c r="F559" s="1030"/>
      <c r="G559" s="1030"/>
      <c r="H559" s="1030"/>
      <c r="I559" s="1030"/>
      <c r="J559" s="1097"/>
      <c r="K559" s="1030"/>
      <c r="L559" s="1030"/>
      <c r="M559" s="1030"/>
      <c r="N559" s="1030"/>
      <c r="O559" s="1030"/>
      <c r="P559" s="1030"/>
      <c r="Q559" s="1030"/>
      <c r="R559" s="1030"/>
      <c r="S559" s="1030"/>
      <c r="T559" s="1030"/>
      <c r="U559" s="1030"/>
      <c r="V559" s="1030"/>
      <c r="W559" s="1030"/>
      <c r="X559" s="1030"/>
      <c r="Y559" s="1030"/>
      <c r="Z559" s="1030"/>
      <c r="AA559" s="1030"/>
      <c r="AB559" s="1030"/>
    </row>
    <row r="560" spans="1:28">
      <c r="A560" s="1030"/>
      <c r="B560" s="1030"/>
      <c r="C560" s="1030"/>
      <c r="D560" s="1030"/>
      <c r="E560" s="1030"/>
      <c r="F560" s="1030"/>
      <c r="G560" s="1030"/>
      <c r="H560" s="1030"/>
      <c r="I560" s="1030"/>
      <c r="J560" s="1097"/>
      <c r="K560" s="1030"/>
      <c r="L560" s="1030"/>
      <c r="M560" s="1030"/>
      <c r="N560" s="1030"/>
      <c r="O560" s="1030"/>
      <c r="P560" s="1030"/>
      <c r="Q560" s="1030"/>
      <c r="R560" s="1030"/>
      <c r="S560" s="1030"/>
      <c r="T560" s="1030"/>
      <c r="U560" s="1030"/>
      <c r="V560" s="1030"/>
      <c r="W560" s="1030"/>
      <c r="X560" s="1030"/>
      <c r="Y560" s="1030"/>
      <c r="Z560" s="1030"/>
      <c r="AA560" s="1030"/>
      <c r="AB560" s="1030"/>
    </row>
    <row r="561" spans="1:28">
      <c r="A561" s="1030"/>
      <c r="B561" s="1030"/>
      <c r="C561" s="1030"/>
      <c r="D561" s="1030"/>
      <c r="E561" s="1030"/>
      <c r="F561" s="1030"/>
      <c r="G561" s="1030"/>
      <c r="H561" s="1030"/>
      <c r="I561" s="1030"/>
      <c r="J561" s="1097"/>
      <c r="K561" s="1030"/>
      <c r="L561" s="1030"/>
      <c r="M561" s="1030"/>
      <c r="N561" s="1030"/>
      <c r="O561" s="1030"/>
      <c r="P561" s="1030"/>
      <c r="Q561" s="1030"/>
      <c r="R561" s="1030"/>
      <c r="S561" s="1030"/>
      <c r="T561" s="1030"/>
      <c r="U561" s="1030"/>
      <c r="V561" s="1030"/>
      <c r="W561" s="1030"/>
      <c r="X561" s="1030"/>
      <c r="Y561" s="1030"/>
      <c r="Z561" s="1030"/>
      <c r="AA561" s="1030"/>
      <c r="AB561" s="1030"/>
    </row>
    <row r="562" spans="1:28">
      <c r="A562" s="1030"/>
      <c r="B562" s="1030"/>
      <c r="C562" s="1030"/>
      <c r="D562" s="1030"/>
      <c r="E562" s="1030"/>
      <c r="F562" s="1030"/>
      <c r="G562" s="1030"/>
      <c r="H562" s="1030"/>
      <c r="I562" s="1030"/>
      <c r="J562" s="1097"/>
      <c r="K562" s="1030"/>
      <c r="L562" s="1030"/>
      <c r="M562" s="1030"/>
      <c r="N562" s="1030"/>
      <c r="O562" s="1030"/>
      <c r="P562" s="1030"/>
      <c r="Q562" s="1030"/>
      <c r="R562" s="1030"/>
      <c r="S562" s="1030"/>
      <c r="T562" s="1030"/>
      <c r="U562" s="1030"/>
      <c r="V562" s="1030"/>
      <c r="W562" s="1030"/>
      <c r="X562" s="1030"/>
      <c r="Y562" s="1030"/>
      <c r="Z562" s="1030"/>
      <c r="AA562" s="1030"/>
      <c r="AB562" s="1030"/>
    </row>
    <row r="563" spans="1:28">
      <c r="A563" s="1030"/>
      <c r="B563" s="1030"/>
      <c r="C563" s="1030"/>
      <c r="D563" s="1030"/>
      <c r="E563" s="1030"/>
      <c r="F563" s="1030"/>
      <c r="G563" s="1030"/>
      <c r="H563" s="1030"/>
      <c r="I563" s="1030"/>
      <c r="J563" s="1097"/>
      <c r="K563" s="1030"/>
      <c r="L563" s="1030"/>
      <c r="M563" s="1030"/>
      <c r="N563" s="1030"/>
      <c r="O563" s="1030"/>
      <c r="P563" s="1030"/>
      <c r="Q563" s="1030"/>
      <c r="R563" s="1030"/>
      <c r="S563" s="1030"/>
      <c r="T563" s="1030"/>
      <c r="U563" s="1030"/>
      <c r="V563" s="1030"/>
      <c r="W563" s="1030"/>
      <c r="X563" s="1030"/>
      <c r="Y563" s="1030"/>
      <c r="Z563" s="1030"/>
      <c r="AA563" s="1030"/>
      <c r="AB563" s="1030"/>
    </row>
    <row r="564" spans="1:28">
      <c r="A564" s="1030"/>
      <c r="B564" s="1030"/>
      <c r="C564" s="1030"/>
      <c r="D564" s="1030"/>
      <c r="E564" s="1030"/>
      <c r="F564" s="1030"/>
      <c r="G564" s="1030"/>
      <c r="H564" s="1030"/>
      <c r="I564" s="1030"/>
      <c r="J564" s="1097"/>
      <c r="K564" s="1030"/>
      <c r="L564" s="1030"/>
      <c r="M564" s="1030"/>
      <c r="N564" s="1030"/>
      <c r="O564" s="1030"/>
      <c r="P564" s="1030"/>
      <c r="Q564" s="1030"/>
      <c r="R564" s="1030"/>
      <c r="S564" s="1030"/>
      <c r="T564" s="1030"/>
      <c r="U564" s="1030"/>
      <c r="V564" s="1030"/>
      <c r="W564" s="1030"/>
      <c r="X564" s="1030"/>
      <c r="Y564" s="1030"/>
      <c r="Z564" s="1030"/>
      <c r="AA564" s="1030"/>
      <c r="AB564" s="1030"/>
    </row>
    <row r="565" spans="1:28">
      <c r="A565" s="1030"/>
      <c r="B565" s="1030"/>
      <c r="C565" s="1030"/>
      <c r="D565" s="1030"/>
      <c r="E565" s="1030"/>
      <c r="F565" s="1030"/>
      <c r="G565" s="1030"/>
      <c r="H565" s="1030"/>
      <c r="I565" s="1030"/>
      <c r="J565" s="1097"/>
      <c r="K565" s="1030"/>
      <c r="L565" s="1030"/>
      <c r="M565" s="1030"/>
      <c r="N565" s="1030"/>
      <c r="O565" s="1030"/>
      <c r="P565" s="1030"/>
      <c r="Q565" s="1030"/>
      <c r="R565" s="1030"/>
      <c r="S565" s="1030"/>
      <c r="T565" s="1030"/>
      <c r="U565" s="1030"/>
      <c r="V565" s="1030"/>
      <c r="W565" s="1030"/>
      <c r="X565" s="1030"/>
      <c r="Y565" s="1030"/>
      <c r="Z565" s="1030"/>
      <c r="AA565" s="1030"/>
      <c r="AB565" s="1030"/>
    </row>
    <row r="566" spans="1:28">
      <c r="A566" s="1030"/>
      <c r="B566" s="1030"/>
      <c r="C566" s="1030"/>
      <c r="D566" s="1030"/>
      <c r="E566" s="1030"/>
      <c r="F566" s="1030"/>
      <c r="G566" s="1030"/>
      <c r="H566" s="1030"/>
      <c r="I566" s="1030"/>
      <c r="J566" s="1097"/>
      <c r="K566" s="1030"/>
      <c r="L566" s="1030"/>
      <c r="M566" s="1030"/>
      <c r="N566" s="1030"/>
      <c r="O566" s="1030"/>
      <c r="P566" s="1030"/>
      <c r="Q566" s="1030"/>
      <c r="R566" s="1030"/>
      <c r="S566" s="1030"/>
      <c r="T566" s="1030"/>
      <c r="U566" s="1030"/>
      <c r="V566" s="1030"/>
      <c r="W566" s="1030"/>
      <c r="X566" s="1030"/>
      <c r="Y566" s="1030"/>
      <c r="Z566" s="1030"/>
      <c r="AA566" s="1030"/>
      <c r="AB566" s="1030"/>
    </row>
    <row r="567" spans="1:28">
      <c r="A567" s="1030"/>
      <c r="B567" s="1030"/>
      <c r="C567" s="1030"/>
      <c r="D567" s="1030"/>
      <c r="E567" s="1030"/>
      <c r="F567" s="1030"/>
      <c r="G567" s="1030"/>
      <c r="H567" s="1030"/>
      <c r="I567" s="1030"/>
      <c r="J567" s="1097"/>
      <c r="K567" s="1030"/>
      <c r="L567" s="1030"/>
      <c r="M567" s="1030"/>
      <c r="N567" s="1030"/>
      <c r="O567" s="1030"/>
      <c r="P567" s="1030"/>
      <c r="Q567" s="1030"/>
      <c r="R567" s="1030"/>
      <c r="S567" s="1030"/>
      <c r="T567" s="1030"/>
      <c r="U567" s="1030"/>
      <c r="V567" s="1030"/>
      <c r="W567" s="1030"/>
      <c r="X567" s="1030"/>
      <c r="Y567" s="1030"/>
      <c r="Z567" s="1030"/>
      <c r="AA567" s="1030"/>
      <c r="AB567" s="1030"/>
    </row>
    <row r="568" spans="1:28">
      <c r="A568" s="1030"/>
      <c r="B568" s="1030"/>
      <c r="C568" s="1030"/>
      <c r="D568" s="1030"/>
      <c r="E568" s="1030"/>
      <c r="F568" s="1030"/>
      <c r="G568" s="1030"/>
      <c r="H568" s="1030"/>
      <c r="I568" s="1030"/>
      <c r="J568" s="1097"/>
      <c r="K568" s="1030"/>
      <c r="L568" s="1030"/>
      <c r="M568" s="1030"/>
      <c r="N568" s="1030"/>
      <c r="O568" s="1030"/>
      <c r="P568" s="1030"/>
      <c r="Q568" s="1030"/>
      <c r="R568" s="1030"/>
      <c r="S568" s="1030"/>
      <c r="T568" s="1030"/>
      <c r="U568" s="1030"/>
      <c r="V568" s="1030"/>
      <c r="W568" s="1030"/>
      <c r="X568" s="1030"/>
      <c r="Y568" s="1030"/>
      <c r="Z568" s="1030"/>
      <c r="AA568" s="1030"/>
      <c r="AB568" s="1030"/>
    </row>
    <row r="569" spans="1:28">
      <c r="A569" s="1030"/>
      <c r="B569" s="1030"/>
      <c r="C569" s="1030"/>
      <c r="D569" s="1030"/>
      <c r="E569" s="1030"/>
      <c r="F569" s="1030"/>
      <c r="G569" s="1030"/>
      <c r="H569" s="1030"/>
      <c r="I569" s="1030"/>
      <c r="J569" s="1097"/>
      <c r="K569" s="1030"/>
      <c r="L569" s="1030"/>
      <c r="M569" s="1030"/>
      <c r="N569" s="1030"/>
      <c r="O569" s="1030"/>
      <c r="P569" s="1030"/>
      <c r="Q569" s="1030"/>
      <c r="R569" s="1030"/>
      <c r="S569" s="1030"/>
      <c r="T569" s="1030"/>
      <c r="U569" s="1030"/>
      <c r="V569" s="1030"/>
      <c r="W569" s="1030"/>
      <c r="X569" s="1030"/>
      <c r="Y569" s="1030"/>
      <c r="Z569" s="1030"/>
      <c r="AA569" s="1030"/>
      <c r="AB569" s="1030"/>
    </row>
    <row r="570" spans="1:28">
      <c r="A570" s="1030"/>
      <c r="B570" s="1030"/>
      <c r="C570" s="1030"/>
      <c r="D570" s="1030"/>
      <c r="E570" s="1030"/>
      <c r="F570" s="1030"/>
      <c r="G570" s="1030"/>
      <c r="H570" s="1030"/>
      <c r="I570" s="1030"/>
      <c r="J570" s="1097"/>
      <c r="K570" s="1030"/>
      <c r="L570" s="1030"/>
      <c r="M570" s="1030"/>
      <c r="N570" s="1030"/>
      <c r="O570" s="1030"/>
      <c r="P570" s="1030"/>
      <c r="Q570" s="1030"/>
      <c r="R570" s="1030"/>
      <c r="S570" s="1030"/>
      <c r="T570" s="1030"/>
      <c r="U570" s="1030"/>
      <c r="V570" s="1030"/>
      <c r="W570" s="1030"/>
      <c r="X570" s="1030"/>
      <c r="Y570" s="1030"/>
      <c r="Z570" s="1030"/>
      <c r="AA570" s="1030"/>
      <c r="AB570" s="1030"/>
    </row>
    <row r="571" spans="1:28">
      <c r="A571" s="1030"/>
      <c r="B571" s="1030"/>
      <c r="C571" s="1030"/>
      <c r="D571" s="1030"/>
      <c r="E571" s="1030"/>
      <c r="F571" s="1030"/>
      <c r="G571" s="1030"/>
      <c r="H571" s="1030"/>
      <c r="I571" s="1030"/>
      <c r="J571" s="1097"/>
      <c r="K571" s="1030"/>
      <c r="L571" s="1030"/>
      <c r="M571" s="1030"/>
      <c r="N571" s="1030"/>
      <c r="O571" s="1030"/>
      <c r="P571" s="1030"/>
      <c r="Q571" s="1030"/>
      <c r="R571" s="1030"/>
      <c r="S571" s="1030"/>
      <c r="T571" s="1030"/>
      <c r="U571" s="1030"/>
      <c r="V571" s="1030"/>
      <c r="W571" s="1030"/>
      <c r="X571" s="1030"/>
      <c r="Y571" s="1030"/>
      <c r="Z571" s="1030"/>
      <c r="AA571" s="1030"/>
      <c r="AB571" s="1030"/>
    </row>
    <row r="572" spans="1:28">
      <c r="A572" s="1030"/>
      <c r="B572" s="1030"/>
      <c r="C572" s="1030"/>
      <c r="D572" s="1030"/>
      <c r="E572" s="1030"/>
      <c r="F572" s="1030"/>
      <c r="G572" s="1030"/>
      <c r="H572" s="1030"/>
      <c r="I572" s="1030"/>
      <c r="J572" s="1097"/>
      <c r="K572" s="1030"/>
      <c r="L572" s="1030"/>
      <c r="M572" s="1030"/>
      <c r="N572" s="1030"/>
      <c r="O572" s="1030"/>
      <c r="P572" s="1030"/>
      <c r="Q572" s="1030"/>
      <c r="R572" s="1030"/>
      <c r="S572" s="1030"/>
      <c r="T572" s="1030"/>
      <c r="U572" s="1030"/>
      <c r="V572" s="1030"/>
      <c r="W572" s="1030"/>
      <c r="X572" s="1030"/>
      <c r="Y572" s="1030"/>
      <c r="Z572" s="1030"/>
      <c r="AA572" s="1030"/>
      <c r="AB572" s="1030"/>
    </row>
    <row r="573" spans="1:28">
      <c r="A573" s="1030"/>
      <c r="B573" s="1030"/>
      <c r="C573" s="1030"/>
      <c r="D573" s="1030"/>
      <c r="E573" s="1030"/>
      <c r="F573" s="1030"/>
      <c r="G573" s="1030"/>
      <c r="H573" s="1030"/>
      <c r="I573" s="1030"/>
      <c r="J573" s="1097"/>
      <c r="K573" s="1030"/>
      <c r="L573" s="1030"/>
      <c r="M573" s="1030"/>
      <c r="N573" s="1030"/>
      <c r="O573" s="1030"/>
      <c r="P573" s="1030"/>
      <c r="Q573" s="1030"/>
      <c r="R573" s="1030"/>
      <c r="S573" s="1030"/>
      <c r="T573" s="1030"/>
      <c r="U573" s="1030"/>
      <c r="V573" s="1030"/>
      <c r="W573" s="1030"/>
      <c r="X573" s="1030"/>
      <c r="Y573" s="1030"/>
      <c r="Z573" s="1030"/>
      <c r="AA573" s="1030"/>
      <c r="AB573" s="1030"/>
    </row>
    <row r="574" spans="1:28">
      <c r="A574" s="1030"/>
      <c r="B574" s="1030"/>
      <c r="C574" s="1030"/>
      <c r="D574" s="1030"/>
      <c r="E574" s="1030"/>
      <c r="F574" s="1030"/>
      <c r="G574" s="1030"/>
      <c r="H574" s="1030"/>
      <c r="I574" s="1030"/>
      <c r="J574" s="1097"/>
      <c r="K574" s="1030"/>
      <c r="L574" s="1030"/>
      <c r="M574" s="1030"/>
      <c r="N574" s="1030"/>
      <c r="O574" s="1030"/>
      <c r="P574" s="1030"/>
      <c r="Q574" s="1030"/>
      <c r="R574" s="1030"/>
      <c r="S574" s="1030"/>
      <c r="T574" s="1030"/>
      <c r="U574" s="1030"/>
      <c r="V574" s="1030"/>
      <c r="W574" s="1030"/>
      <c r="X574" s="1030"/>
      <c r="Y574" s="1030"/>
      <c r="Z574" s="1030"/>
      <c r="AA574" s="1030"/>
      <c r="AB574" s="1030"/>
    </row>
    <row r="575" spans="1:28">
      <c r="A575" s="1030"/>
      <c r="B575" s="1030"/>
      <c r="C575" s="1030"/>
      <c r="D575" s="1030"/>
      <c r="E575" s="1030"/>
      <c r="F575" s="1030"/>
      <c r="G575" s="1030"/>
      <c r="H575" s="1030"/>
      <c r="I575" s="1030"/>
      <c r="J575" s="1097"/>
      <c r="K575" s="1030"/>
      <c r="L575" s="1030"/>
      <c r="M575" s="1030"/>
      <c r="N575" s="1030"/>
      <c r="O575" s="1030"/>
      <c r="P575" s="1030"/>
      <c r="Q575" s="1030"/>
      <c r="R575" s="1030"/>
      <c r="S575" s="1030"/>
      <c r="T575" s="1030"/>
      <c r="U575" s="1030"/>
      <c r="V575" s="1030"/>
      <c r="W575" s="1030"/>
      <c r="X575" s="1030"/>
      <c r="Y575" s="1030"/>
      <c r="Z575" s="1030"/>
      <c r="AA575" s="1030"/>
      <c r="AB575" s="1030"/>
    </row>
    <row r="576" spans="1:28">
      <c r="A576" s="1030"/>
      <c r="B576" s="1030"/>
      <c r="C576" s="1030"/>
      <c r="D576" s="1030"/>
      <c r="E576" s="1030"/>
      <c r="F576" s="1030"/>
      <c r="G576" s="1030"/>
      <c r="H576" s="1030"/>
      <c r="I576" s="1030"/>
      <c r="J576" s="1097"/>
      <c r="K576" s="1030"/>
      <c r="L576" s="1030"/>
      <c r="M576" s="1030"/>
      <c r="N576" s="1030"/>
      <c r="O576" s="1030"/>
      <c r="P576" s="1030"/>
      <c r="Q576" s="1030"/>
      <c r="R576" s="1030"/>
      <c r="S576" s="1030"/>
      <c r="T576" s="1030"/>
      <c r="U576" s="1030"/>
      <c r="V576" s="1030"/>
      <c r="W576" s="1030"/>
      <c r="X576" s="1030"/>
      <c r="Y576" s="1030"/>
      <c r="Z576" s="1030"/>
      <c r="AA576" s="1030"/>
      <c r="AB576" s="1030"/>
    </row>
    <row r="577" spans="1:28">
      <c r="A577" s="1030"/>
      <c r="B577" s="1030"/>
      <c r="C577" s="1030"/>
      <c r="D577" s="1030"/>
      <c r="E577" s="1030"/>
      <c r="F577" s="1030"/>
      <c r="G577" s="1030"/>
      <c r="H577" s="1030"/>
      <c r="I577" s="1030"/>
      <c r="J577" s="1097"/>
      <c r="K577" s="1030"/>
      <c r="L577" s="1030"/>
      <c r="M577" s="1030"/>
      <c r="N577" s="1030"/>
      <c r="O577" s="1030"/>
      <c r="P577" s="1030"/>
      <c r="Q577" s="1030"/>
      <c r="R577" s="1030"/>
      <c r="S577" s="1030"/>
      <c r="T577" s="1030"/>
      <c r="U577" s="1030"/>
      <c r="V577" s="1030"/>
      <c r="W577" s="1030"/>
      <c r="X577" s="1030"/>
      <c r="Y577" s="1030"/>
      <c r="Z577" s="1030"/>
      <c r="AA577" s="1030"/>
      <c r="AB577" s="1030"/>
    </row>
    <row r="578" spans="1:28">
      <c r="A578" s="1030"/>
      <c r="B578" s="1030"/>
      <c r="C578" s="1030"/>
      <c r="D578" s="1030"/>
      <c r="E578" s="1030"/>
      <c r="F578" s="1030"/>
      <c r="G578" s="1030"/>
      <c r="H578" s="1030"/>
      <c r="I578" s="1030"/>
      <c r="J578" s="1097"/>
      <c r="K578" s="1030"/>
      <c r="L578" s="1030"/>
      <c r="M578" s="1030"/>
      <c r="N578" s="1030"/>
      <c r="O578" s="1030"/>
      <c r="P578" s="1030"/>
      <c r="Q578" s="1030"/>
      <c r="R578" s="1030"/>
      <c r="S578" s="1030"/>
      <c r="T578" s="1030"/>
      <c r="U578" s="1030"/>
      <c r="V578" s="1030"/>
      <c r="W578" s="1030"/>
      <c r="X578" s="1030"/>
      <c r="Y578" s="1030"/>
      <c r="Z578" s="1030"/>
      <c r="AA578" s="1030"/>
      <c r="AB578" s="1030"/>
    </row>
    <row r="579" spans="1:28">
      <c r="A579" s="1030"/>
      <c r="B579" s="1030"/>
      <c r="C579" s="1030"/>
      <c r="D579" s="1030"/>
      <c r="E579" s="1030"/>
      <c r="F579" s="1030"/>
      <c r="G579" s="1030"/>
      <c r="H579" s="1030"/>
      <c r="I579" s="1030"/>
      <c r="J579" s="1097"/>
      <c r="K579" s="1030"/>
      <c r="L579" s="1030"/>
      <c r="M579" s="1030"/>
      <c r="N579" s="1030"/>
      <c r="O579" s="1030"/>
      <c r="P579" s="1030"/>
      <c r="Q579" s="1030"/>
      <c r="R579" s="1030"/>
      <c r="S579" s="1030"/>
      <c r="T579" s="1030"/>
      <c r="U579" s="1030"/>
      <c r="V579" s="1030"/>
      <c r="W579" s="1030"/>
      <c r="X579" s="1030"/>
      <c r="Y579" s="1030"/>
      <c r="Z579" s="1030"/>
      <c r="AA579" s="1030"/>
      <c r="AB579" s="1030"/>
    </row>
    <row r="580" spans="1:28">
      <c r="A580" s="1030"/>
      <c r="B580" s="1030"/>
      <c r="C580" s="1030"/>
      <c r="D580" s="1030"/>
      <c r="E580" s="1030"/>
      <c r="F580" s="1030"/>
      <c r="G580" s="1030"/>
      <c r="H580" s="1030"/>
      <c r="I580" s="1030"/>
      <c r="J580" s="1097"/>
      <c r="K580" s="1030"/>
      <c r="L580" s="1030"/>
      <c r="M580" s="1030"/>
      <c r="N580" s="1030"/>
      <c r="O580" s="1030"/>
      <c r="P580" s="1030"/>
      <c r="Q580" s="1030"/>
      <c r="R580" s="1030"/>
      <c r="S580" s="1030"/>
      <c r="T580" s="1030"/>
      <c r="U580" s="1030"/>
      <c r="V580" s="1030"/>
      <c r="W580" s="1030"/>
      <c r="X580" s="1030"/>
      <c r="Y580" s="1030"/>
      <c r="Z580" s="1030"/>
      <c r="AA580" s="1030"/>
      <c r="AB580" s="1030"/>
    </row>
    <row r="581" spans="1:28">
      <c r="A581" s="1030"/>
      <c r="B581" s="1030"/>
      <c r="C581" s="1030"/>
      <c r="D581" s="1030"/>
      <c r="E581" s="1030"/>
      <c r="F581" s="1030"/>
      <c r="G581" s="1030"/>
      <c r="H581" s="1030"/>
      <c r="I581" s="1030"/>
      <c r="J581" s="1097"/>
      <c r="K581" s="1030"/>
      <c r="L581" s="1030"/>
      <c r="M581" s="1030"/>
      <c r="N581" s="1030"/>
      <c r="O581" s="1030"/>
      <c r="P581" s="1030"/>
      <c r="Q581" s="1030"/>
      <c r="R581" s="1030"/>
      <c r="S581" s="1030"/>
      <c r="T581" s="1030"/>
      <c r="U581" s="1030"/>
      <c r="V581" s="1030"/>
      <c r="W581" s="1030"/>
      <c r="X581" s="1030"/>
      <c r="Y581" s="1030"/>
      <c r="Z581" s="1030"/>
      <c r="AA581" s="1030"/>
      <c r="AB581" s="1030"/>
    </row>
    <row r="582" spans="1:28">
      <c r="A582" s="1030"/>
      <c r="B582" s="1030"/>
      <c r="C582" s="1030"/>
      <c r="D582" s="1030"/>
      <c r="E582" s="1030"/>
      <c r="F582" s="1030"/>
      <c r="G582" s="1030"/>
      <c r="H582" s="1030"/>
      <c r="I582" s="1030"/>
      <c r="J582" s="1097"/>
      <c r="K582" s="1030"/>
      <c r="L582" s="1030"/>
      <c r="M582" s="1030"/>
      <c r="N582" s="1030"/>
      <c r="O582" s="1030"/>
      <c r="P582" s="1030"/>
      <c r="Q582" s="1030"/>
      <c r="R582" s="1030"/>
      <c r="S582" s="1030"/>
      <c r="T582" s="1030"/>
      <c r="U582" s="1030"/>
      <c r="V582" s="1030"/>
      <c r="W582" s="1030"/>
      <c r="X582" s="1030"/>
      <c r="Y582" s="1030"/>
      <c r="Z582" s="1030"/>
      <c r="AA582" s="1030"/>
      <c r="AB582" s="1030"/>
    </row>
    <row r="583" spans="1:28">
      <c r="A583" s="1030"/>
      <c r="B583" s="1030"/>
      <c r="C583" s="1030"/>
      <c r="D583" s="1030"/>
      <c r="E583" s="1030"/>
      <c r="F583" s="1030"/>
      <c r="G583" s="1030"/>
      <c r="H583" s="1030"/>
      <c r="I583" s="1030"/>
      <c r="J583" s="1097"/>
      <c r="K583" s="1030"/>
      <c r="L583" s="1030"/>
      <c r="M583" s="1030"/>
      <c r="N583" s="1030"/>
      <c r="O583" s="1030"/>
      <c r="P583" s="1030"/>
      <c r="Q583" s="1030"/>
      <c r="R583" s="1030"/>
      <c r="S583" s="1030"/>
      <c r="T583" s="1030"/>
      <c r="U583" s="1030"/>
      <c r="V583" s="1030"/>
      <c r="W583" s="1030"/>
      <c r="X583" s="1030"/>
      <c r="Y583" s="1030"/>
      <c r="Z583" s="1030"/>
      <c r="AA583" s="1030"/>
      <c r="AB583" s="1030"/>
    </row>
    <row r="584" spans="1:28">
      <c r="A584" s="1030"/>
      <c r="B584" s="1030"/>
      <c r="C584" s="1030"/>
      <c r="D584" s="1030"/>
      <c r="E584" s="1030"/>
      <c r="F584" s="1030"/>
      <c r="G584" s="1030"/>
      <c r="H584" s="1030"/>
      <c r="I584" s="1030"/>
      <c r="J584" s="1097"/>
      <c r="K584" s="1030"/>
      <c r="L584" s="1030"/>
      <c r="M584" s="1030"/>
      <c r="N584" s="1030"/>
      <c r="O584" s="1030"/>
      <c r="P584" s="1030"/>
      <c r="Q584" s="1030"/>
      <c r="R584" s="1030"/>
      <c r="S584" s="1030"/>
      <c r="T584" s="1030"/>
      <c r="U584" s="1030"/>
      <c r="V584" s="1030"/>
      <c r="W584" s="1030"/>
      <c r="X584" s="1030"/>
      <c r="Y584" s="1030"/>
      <c r="Z584" s="1030"/>
      <c r="AA584" s="1030"/>
      <c r="AB584" s="1030"/>
    </row>
    <row r="585" spans="1:28">
      <c r="A585" s="1030"/>
      <c r="B585" s="1030"/>
      <c r="C585" s="1030"/>
      <c r="D585" s="1030"/>
      <c r="E585" s="1030"/>
      <c r="F585" s="1030"/>
      <c r="G585" s="1030"/>
      <c r="H585" s="1030"/>
      <c r="I585" s="1030"/>
      <c r="J585" s="1097"/>
      <c r="K585" s="1030"/>
      <c r="L585" s="1030"/>
      <c r="M585" s="1030"/>
      <c r="N585" s="1030"/>
      <c r="O585" s="1030"/>
      <c r="P585" s="1030"/>
      <c r="Q585" s="1030"/>
      <c r="R585" s="1030"/>
      <c r="S585" s="1030"/>
      <c r="T585" s="1030"/>
      <c r="U585" s="1030"/>
      <c r="V585" s="1030"/>
      <c r="W585" s="1030"/>
      <c r="X585" s="1030"/>
      <c r="Y585" s="1030"/>
      <c r="Z585" s="1030"/>
      <c r="AA585" s="1030"/>
      <c r="AB585" s="1030"/>
    </row>
    <row r="586" spans="1:28">
      <c r="A586" s="1030"/>
      <c r="B586" s="1030"/>
      <c r="C586" s="1030"/>
      <c r="D586" s="1030"/>
      <c r="E586" s="1030"/>
      <c r="F586" s="1030"/>
      <c r="G586" s="1030"/>
      <c r="H586" s="1030"/>
      <c r="I586" s="1030"/>
      <c r="J586" s="1097"/>
      <c r="K586" s="1030"/>
      <c r="L586" s="1030"/>
      <c r="M586" s="1030"/>
      <c r="N586" s="1030"/>
      <c r="O586" s="1030"/>
      <c r="P586" s="1030"/>
      <c r="Q586" s="1030"/>
      <c r="R586" s="1030"/>
      <c r="S586" s="1030"/>
      <c r="T586" s="1030"/>
      <c r="U586" s="1030"/>
      <c r="V586" s="1030"/>
      <c r="W586" s="1030"/>
      <c r="X586" s="1030"/>
      <c r="Y586" s="1030"/>
      <c r="Z586" s="1030"/>
      <c r="AA586" s="1030"/>
      <c r="AB586" s="1030"/>
    </row>
    <row r="587" spans="1:28">
      <c r="A587" s="1030"/>
      <c r="B587" s="1030"/>
      <c r="C587" s="1030"/>
      <c r="D587" s="1030"/>
      <c r="E587" s="1030"/>
      <c r="F587" s="1030"/>
      <c r="G587" s="1030"/>
      <c r="H587" s="1030"/>
      <c r="I587" s="1030"/>
      <c r="J587" s="1097"/>
      <c r="K587" s="1030"/>
      <c r="L587" s="1030"/>
      <c r="M587" s="1030"/>
      <c r="N587" s="1030"/>
      <c r="O587" s="1030"/>
      <c r="P587" s="1030"/>
      <c r="Q587" s="1030"/>
      <c r="R587" s="1030"/>
      <c r="S587" s="1030"/>
      <c r="T587" s="1030"/>
      <c r="U587" s="1030"/>
      <c r="V587" s="1030"/>
      <c r="W587" s="1030"/>
      <c r="X587" s="1030"/>
      <c r="Y587" s="1030"/>
      <c r="Z587" s="1030"/>
      <c r="AA587" s="1030"/>
      <c r="AB587" s="1030"/>
    </row>
    <row r="588" spans="1:28">
      <c r="A588" s="1030"/>
      <c r="B588" s="1030"/>
      <c r="C588" s="1030"/>
      <c r="D588" s="1030"/>
      <c r="E588" s="1030"/>
      <c r="F588" s="1030"/>
      <c r="G588" s="1030"/>
      <c r="H588" s="1030"/>
      <c r="I588" s="1030"/>
      <c r="J588" s="1097"/>
      <c r="K588" s="1030"/>
      <c r="L588" s="1030"/>
      <c r="M588" s="1030"/>
      <c r="N588" s="1030"/>
      <c r="O588" s="1030"/>
      <c r="P588" s="1030"/>
      <c r="Q588" s="1030"/>
      <c r="R588" s="1030"/>
      <c r="S588" s="1030"/>
      <c r="T588" s="1030"/>
      <c r="U588" s="1030"/>
      <c r="V588" s="1030"/>
      <c r="W588" s="1030"/>
      <c r="X588" s="1030"/>
      <c r="Y588" s="1030"/>
      <c r="Z588" s="1030"/>
      <c r="AA588" s="1030"/>
      <c r="AB588" s="1030"/>
    </row>
    <row r="589" spans="1:28">
      <c r="A589" s="1030"/>
      <c r="B589" s="1030"/>
      <c r="C589" s="1030"/>
      <c r="D589" s="1030"/>
      <c r="E589" s="1030"/>
      <c r="F589" s="1030"/>
      <c r="G589" s="1030"/>
      <c r="H589" s="1030"/>
      <c r="I589" s="1030"/>
      <c r="J589" s="1097"/>
      <c r="K589" s="1030"/>
      <c r="L589" s="1030"/>
      <c r="M589" s="1030"/>
      <c r="N589" s="1030"/>
      <c r="O589" s="1030"/>
      <c r="P589" s="1030"/>
      <c r="Q589" s="1030"/>
      <c r="R589" s="1030"/>
      <c r="S589" s="1030"/>
      <c r="T589" s="1030"/>
      <c r="U589" s="1030"/>
      <c r="V589" s="1030"/>
      <c r="W589" s="1030"/>
      <c r="X589" s="1030"/>
      <c r="Y589" s="1030"/>
      <c r="Z589" s="1030"/>
      <c r="AA589" s="1030"/>
      <c r="AB589" s="1030"/>
    </row>
    <row r="590" spans="1:28">
      <c r="A590" s="1030"/>
      <c r="B590" s="1030"/>
      <c r="C590" s="1030"/>
      <c r="D590" s="1030"/>
      <c r="E590" s="1030"/>
      <c r="F590" s="1030"/>
      <c r="G590" s="1030"/>
      <c r="H590" s="1030"/>
      <c r="I590" s="1030"/>
      <c r="J590" s="1097"/>
      <c r="K590" s="1030"/>
      <c r="L590" s="1030"/>
      <c r="M590" s="1030"/>
      <c r="N590" s="1030"/>
      <c r="O590" s="1030"/>
      <c r="P590" s="1030"/>
      <c r="Q590" s="1030"/>
      <c r="R590" s="1030"/>
      <c r="S590" s="1030"/>
      <c r="T590" s="1030"/>
      <c r="U590" s="1030"/>
      <c r="V590" s="1030"/>
      <c r="W590" s="1030"/>
      <c r="X590" s="1030"/>
      <c r="Y590" s="1030"/>
      <c r="Z590" s="1030"/>
      <c r="AA590" s="1030"/>
      <c r="AB590" s="1030"/>
    </row>
    <row r="591" spans="1:28">
      <c r="A591" s="1030"/>
      <c r="B591" s="1030"/>
      <c r="C591" s="1030"/>
      <c r="D591" s="1030"/>
      <c r="E591" s="1030"/>
      <c r="F591" s="1030"/>
      <c r="G591" s="1030"/>
      <c r="H591" s="1030"/>
      <c r="I591" s="1030"/>
      <c r="J591" s="1097"/>
      <c r="K591" s="1030"/>
      <c r="L591" s="1030"/>
      <c r="M591" s="1030"/>
      <c r="N591" s="1030"/>
      <c r="O591" s="1030"/>
      <c r="P591" s="1030"/>
      <c r="Q591" s="1030"/>
      <c r="R591" s="1030"/>
      <c r="S591" s="1030"/>
      <c r="T591" s="1030"/>
      <c r="U591" s="1030"/>
      <c r="V591" s="1030"/>
      <c r="W591" s="1030"/>
      <c r="X591" s="1030"/>
      <c r="Y591" s="1030"/>
      <c r="Z591" s="1030"/>
      <c r="AA591" s="1030"/>
      <c r="AB591" s="1030"/>
    </row>
    <row r="592" spans="1:28">
      <c r="A592" s="1030"/>
      <c r="B592" s="1030"/>
      <c r="C592" s="1030"/>
      <c r="D592" s="1030"/>
      <c r="E592" s="1030"/>
      <c r="F592" s="1030"/>
      <c r="G592" s="1030"/>
      <c r="H592" s="1030"/>
      <c r="I592" s="1030"/>
      <c r="J592" s="1097"/>
      <c r="K592" s="1030"/>
      <c r="L592" s="1030"/>
      <c r="M592" s="1030"/>
      <c r="N592" s="1030"/>
      <c r="O592" s="1030"/>
      <c r="P592" s="1030"/>
      <c r="Q592" s="1030"/>
      <c r="R592" s="1030"/>
      <c r="S592" s="1030"/>
      <c r="T592" s="1030"/>
      <c r="U592" s="1030"/>
      <c r="V592" s="1030"/>
      <c r="W592" s="1030"/>
      <c r="X592" s="1030"/>
      <c r="Y592" s="1030"/>
      <c r="Z592" s="1030"/>
      <c r="AA592" s="1030"/>
      <c r="AB592" s="1030"/>
    </row>
    <row r="593" spans="1:28">
      <c r="A593" s="1030"/>
      <c r="B593" s="1030"/>
      <c r="C593" s="1030"/>
      <c r="D593" s="1030"/>
      <c r="E593" s="1030"/>
      <c r="F593" s="1030"/>
      <c r="G593" s="1030"/>
      <c r="H593" s="1030"/>
      <c r="I593" s="1030"/>
      <c r="J593" s="1097"/>
      <c r="K593" s="1030"/>
      <c r="L593" s="1030"/>
      <c r="M593" s="1030"/>
      <c r="N593" s="1030"/>
      <c r="O593" s="1030"/>
      <c r="P593" s="1030"/>
      <c r="Q593" s="1030"/>
      <c r="R593" s="1030"/>
      <c r="S593" s="1030"/>
      <c r="T593" s="1030"/>
      <c r="U593" s="1030"/>
      <c r="V593" s="1030"/>
      <c r="W593" s="1030"/>
      <c r="X593" s="1030"/>
      <c r="Y593" s="1030"/>
      <c r="Z593" s="1030"/>
      <c r="AA593" s="1030"/>
      <c r="AB593" s="1030"/>
    </row>
    <row r="594" spans="1:28">
      <c r="A594" s="1030"/>
      <c r="B594" s="1030"/>
      <c r="C594" s="1030"/>
      <c r="D594" s="1030"/>
      <c r="E594" s="1030"/>
      <c r="F594" s="1030"/>
      <c r="G594" s="1030"/>
      <c r="H594" s="1030"/>
      <c r="I594" s="1030"/>
      <c r="J594" s="1097"/>
      <c r="K594" s="1030"/>
      <c r="L594" s="1030"/>
      <c r="M594" s="1030"/>
      <c r="N594" s="1030"/>
      <c r="O594" s="1030"/>
      <c r="P594" s="1030"/>
      <c r="Q594" s="1030"/>
      <c r="R594" s="1030"/>
      <c r="S594" s="1030"/>
      <c r="T594" s="1030"/>
      <c r="U594" s="1030"/>
      <c r="V594" s="1030"/>
      <c r="W594" s="1030"/>
      <c r="X594" s="1030"/>
      <c r="Y594" s="1030"/>
      <c r="Z594" s="1030"/>
      <c r="AA594" s="1030"/>
      <c r="AB594" s="1030"/>
    </row>
    <row r="595" spans="1:28">
      <c r="A595" s="1030"/>
      <c r="B595" s="1030"/>
      <c r="C595" s="1030"/>
      <c r="D595" s="1030"/>
      <c r="E595" s="1030"/>
      <c r="F595" s="1030"/>
      <c r="G595" s="1030"/>
      <c r="H595" s="1030"/>
      <c r="I595" s="1030"/>
      <c r="J595" s="1097"/>
      <c r="K595" s="1030"/>
      <c r="L595" s="1030"/>
      <c r="M595" s="1030"/>
      <c r="N595" s="1030"/>
      <c r="O595" s="1030"/>
      <c r="P595" s="1030"/>
      <c r="Q595" s="1030"/>
      <c r="R595" s="1030"/>
      <c r="S595" s="1030"/>
      <c r="T595" s="1030"/>
      <c r="U595" s="1030"/>
      <c r="V595" s="1030"/>
      <c r="W595" s="1030"/>
      <c r="X595" s="1030"/>
      <c r="Y595" s="1030"/>
      <c r="Z595" s="1030"/>
      <c r="AA595" s="1030"/>
      <c r="AB595" s="1030"/>
    </row>
    <row r="596" spans="1:28">
      <c r="A596" s="1030"/>
      <c r="B596" s="1030"/>
      <c r="C596" s="1030"/>
      <c r="D596" s="1030"/>
      <c r="E596" s="1030"/>
      <c r="F596" s="1030"/>
      <c r="G596" s="1030"/>
      <c r="H596" s="1030"/>
      <c r="I596" s="1030"/>
      <c r="J596" s="1097"/>
      <c r="K596" s="1030"/>
      <c r="L596" s="1030"/>
      <c r="M596" s="1030"/>
      <c r="N596" s="1030"/>
      <c r="O596" s="1030"/>
      <c r="P596" s="1030"/>
      <c r="Q596" s="1030"/>
      <c r="R596" s="1030"/>
      <c r="S596" s="1030"/>
      <c r="T596" s="1030"/>
      <c r="U596" s="1030"/>
      <c r="V596" s="1030"/>
      <c r="W596" s="1030"/>
      <c r="X596" s="1030"/>
      <c r="Y596" s="1030"/>
      <c r="Z596" s="1030"/>
      <c r="AA596" s="1030"/>
      <c r="AB596" s="1030"/>
    </row>
    <row r="597" spans="1:28">
      <c r="A597" s="1030"/>
      <c r="B597" s="1030"/>
      <c r="C597" s="1030"/>
      <c r="D597" s="1030"/>
      <c r="E597" s="1030"/>
      <c r="F597" s="1030"/>
      <c r="G597" s="1030"/>
      <c r="H597" s="1030"/>
      <c r="I597" s="1030"/>
      <c r="J597" s="1097"/>
      <c r="K597" s="1030"/>
      <c r="L597" s="1030"/>
      <c r="M597" s="1030"/>
      <c r="N597" s="1030"/>
      <c r="O597" s="1030"/>
      <c r="P597" s="1030"/>
      <c r="Q597" s="1030"/>
      <c r="R597" s="1030"/>
      <c r="S597" s="1030"/>
      <c r="T597" s="1030"/>
      <c r="U597" s="1030"/>
      <c r="V597" s="1030"/>
      <c r="W597" s="1030"/>
      <c r="X597" s="1030"/>
      <c r="Y597" s="1030"/>
      <c r="Z597" s="1030"/>
      <c r="AA597" s="1030"/>
      <c r="AB597" s="1030"/>
    </row>
    <row r="598" spans="1:28">
      <c r="A598" s="1030"/>
      <c r="B598" s="1030"/>
      <c r="C598" s="1030"/>
      <c r="D598" s="1030"/>
      <c r="E598" s="1030"/>
      <c r="F598" s="1030"/>
      <c r="G598" s="1030"/>
      <c r="H598" s="1030"/>
      <c r="I598" s="1030"/>
      <c r="J598" s="1097"/>
      <c r="K598" s="1030"/>
      <c r="L598" s="1030"/>
      <c r="M598" s="1030"/>
      <c r="N598" s="1030"/>
      <c r="O598" s="1030"/>
      <c r="P598" s="1030"/>
      <c r="Q598" s="1030"/>
      <c r="R598" s="1030"/>
      <c r="S598" s="1030"/>
      <c r="T598" s="1030"/>
      <c r="U598" s="1030"/>
      <c r="V598" s="1030"/>
      <c r="W598" s="1030"/>
      <c r="X598" s="1030"/>
      <c r="Y598" s="1030"/>
      <c r="Z598" s="1030"/>
      <c r="AA598" s="1030"/>
      <c r="AB598" s="1030"/>
    </row>
    <row r="599" spans="1:28">
      <c r="A599" s="1030"/>
      <c r="B599" s="1030"/>
      <c r="C599" s="1030"/>
      <c r="D599" s="1030"/>
      <c r="E599" s="1030"/>
      <c r="F599" s="1030"/>
      <c r="G599" s="1030"/>
      <c r="H599" s="1030"/>
      <c r="I599" s="1030"/>
      <c r="J599" s="1097"/>
      <c r="K599" s="1030"/>
      <c r="L599" s="1030"/>
      <c r="M599" s="1030"/>
      <c r="N599" s="1030"/>
      <c r="O599" s="1030"/>
      <c r="P599" s="1030"/>
      <c r="Q599" s="1030"/>
      <c r="R599" s="1030"/>
      <c r="S599" s="1030"/>
      <c r="T599" s="1030"/>
      <c r="U599" s="1030"/>
      <c r="V599" s="1030"/>
      <c r="W599" s="1030"/>
      <c r="X599" s="1030"/>
      <c r="Y599" s="1030"/>
      <c r="Z599" s="1030"/>
      <c r="AA599" s="1030"/>
      <c r="AB599" s="1030"/>
    </row>
    <row r="600" spans="1:28">
      <c r="A600" s="1030"/>
      <c r="B600" s="1030"/>
      <c r="C600" s="1030"/>
      <c r="D600" s="1030"/>
      <c r="E600" s="1030"/>
      <c r="F600" s="1030"/>
      <c r="G600" s="1030"/>
      <c r="H600" s="1030"/>
      <c r="I600" s="1030"/>
      <c r="J600" s="1097"/>
      <c r="K600" s="1030"/>
      <c r="L600" s="1030"/>
      <c r="M600" s="1030"/>
      <c r="N600" s="1030"/>
      <c r="O600" s="1030"/>
      <c r="P600" s="1030"/>
      <c r="Q600" s="1030"/>
      <c r="R600" s="1030"/>
      <c r="S600" s="1030"/>
      <c r="T600" s="1030"/>
      <c r="U600" s="1030"/>
      <c r="V600" s="1030"/>
      <c r="W600" s="1030"/>
      <c r="X600" s="1030"/>
      <c r="Y600" s="1030"/>
      <c r="Z600" s="1030"/>
      <c r="AA600" s="1030"/>
      <c r="AB600" s="1030"/>
    </row>
    <row r="601" spans="1:28">
      <c r="A601" s="1030"/>
      <c r="B601" s="1030"/>
      <c r="C601" s="1030"/>
      <c r="D601" s="1030"/>
      <c r="E601" s="1030"/>
      <c r="F601" s="1030"/>
      <c r="G601" s="1030"/>
      <c r="H601" s="1030"/>
      <c r="I601" s="1030"/>
      <c r="J601" s="1097"/>
      <c r="K601" s="1030"/>
      <c r="L601" s="1030"/>
      <c r="M601" s="1030"/>
      <c r="N601" s="1030"/>
      <c r="O601" s="1030"/>
      <c r="P601" s="1030"/>
      <c r="Q601" s="1030"/>
      <c r="R601" s="1030"/>
      <c r="S601" s="1030"/>
      <c r="T601" s="1030"/>
      <c r="U601" s="1030"/>
      <c r="V601" s="1030"/>
      <c r="W601" s="1030"/>
      <c r="X601" s="1030"/>
      <c r="Y601" s="1030"/>
      <c r="Z601" s="1030"/>
      <c r="AA601" s="1030"/>
      <c r="AB601" s="1030"/>
    </row>
    <row r="602" spans="1:28">
      <c r="A602" s="1030"/>
      <c r="B602" s="1030"/>
      <c r="C602" s="1030"/>
      <c r="D602" s="1030"/>
      <c r="E602" s="1030"/>
      <c r="F602" s="1030"/>
      <c r="G602" s="1030"/>
      <c r="H602" s="1030"/>
      <c r="I602" s="1030"/>
      <c r="J602" s="1097"/>
      <c r="K602" s="1030"/>
      <c r="L602" s="1030"/>
      <c r="M602" s="1030"/>
      <c r="N602" s="1030"/>
      <c r="O602" s="1030"/>
      <c r="P602" s="1030"/>
      <c r="Q602" s="1030"/>
      <c r="R602" s="1030"/>
      <c r="S602" s="1030"/>
      <c r="T602" s="1030"/>
      <c r="U602" s="1030"/>
      <c r="V602" s="1030"/>
      <c r="W602" s="1030"/>
      <c r="X602" s="1030"/>
      <c r="Y602" s="1030"/>
      <c r="Z602" s="1030"/>
      <c r="AA602" s="1030"/>
      <c r="AB602" s="1030"/>
    </row>
    <row r="603" spans="1:28">
      <c r="A603" s="1030"/>
      <c r="B603" s="1030"/>
      <c r="C603" s="1030"/>
      <c r="D603" s="1030"/>
      <c r="E603" s="1030"/>
      <c r="F603" s="1030"/>
      <c r="G603" s="1030"/>
      <c r="H603" s="1030"/>
      <c r="I603" s="1030"/>
      <c r="J603" s="1097"/>
      <c r="K603" s="1030"/>
      <c r="L603" s="1030"/>
      <c r="M603" s="1030"/>
      <c r="N603" s="1030"/>
      <c r="O603" s="1030"/>
      <c r="P603" s="1030"/>
      <c r="Q603" s="1030"/>
      <c r="R603" s="1030"/>
      <c r="S603" s="1030"/>
      <c r="T603" s="1030"/>
      <c r="U603" s="1030"/>
      <c r="V603" s="1030"/>
      <c r="W603" s="1030"/>
      <c r="X603" s="1030"/>
      <c r="Y603" s="1030"/>
      <c r="Z603" s="1030"/>
      <c r="AA603" s="1030"/>
      <c r="AB603" s="1030"/>
    </row>
    <row r="604" spans="1:28">
      <c r="A604" s="1030"/>
      <c r="B604" s="1030"/>
      <c r="C604" s="1030"/>
      <c r="D604" s="1030"/>
      <c r="E604" s="1030"/>
      <c r="F604" s="1030"/>
      <c r="G604" s="1030"/>
      <c r="H604" s="1030"/>
      <c r="I604" s="1030"/>
      <c r="J604" s="1097"/>
      <c r="K604" s="1030"/>
      <c r="L604" s="1030"/>
      <c r="M604" s="1030"/>
      <c r="N604" s="1030"/>
      <c r="O604" s="1030"/>
      <c r="P604" s="1030"/>
      <c r="Q604" s="1030"/>
      <c r="R604" s="1030"/>
      <c r="S604" s="1030"/>
      <c r="T604" s="1030"/>
      <c r="U604" s="1030"/>
      <c r="V604" s="1030"/>
      <c r="W604" s="1030"/>
      <c r="X604" s="1030"/>
      <c r="Y604" s="1030"/>
      <c r="Z604" s="1030"/>
      <c r="AA604" s="1030"/>
      <c r="AB604" s="1030"/>
    </row>
    <row r="605" spans="1:28">
      <c r="A605" s="1030"/>
      <c r="B605" s="1030"/>
      <c r="C605" s="1030"/>
      <c r="D605" s="1030"/>
      <c r="E605" s="1030"/>
      <c r="F605" s="1030"/>
      <c r="G605" s="1030"/>
      <c r="H605" s="1030"/>
      <c r="I605" s="1030"/>
      <c r="J605" s="1097"/>
      <c r="K605" s="1030"/>
      <c r="L605" s="1030"/>
      <c r="M605" s="1030"/>
      <c r="N605" s="1030"/>
      <c r="O605" s="1030"/>
      <c r="P605" s="1030"/>
      <c r="Q605" s="1030"/>
      <c r="R605" s="1030"/>
      <c r="S605" s="1030"/>
      <c r="T605" s="1030"/>
      <c r="U605" s="1030"/>
      <c r="V605" s="1030"/>
      <c r="W605" s="1030"/>
      <c r="X605" s="1030"/>
      <c r="Y605" s="1030"/>
      <c r="Z605" s="1030"/>
      <c r="AA605" s="1030"/>
      <c r="AB605" s="1030"/>
    </row>
    <row r="606" spans="1:28">
      <c r="A606" s="1030"/>
      <c r="B606" s="1030"/>
      <c r="C606" s="1030"/>
      <c r="D606" s="1030"/>
      <c r="E606" s="1030"/>
      <c r="F606" s="1030"/>
      <c r="G606" s="1030"/>
      <c r="H606" s="1030"/>
      <c r="I606" s="1030"/>
      <c r="J606" s="1097"/>
      <c r="K606" s="1030"/>
      <c r="L606" s="1030"/>
      <c r="M606" s="1030"/>
      <c r="N606" s="1030"/>
      <c r="O606" s="1030"/>
      <c r="P606" s="1030"/>
      <c r="Q606" s="1030"/>
      <c r="R606" s="1030"/>
      <c r="S606" s="1030"/>
      <c r="T606" s="1030"/>
      <c r="U606" s="1030"/>
      <c r="V606" s="1030"/>
      <c r="W606" s="1030"/>
      <c r="X606" s="1030"/>
      <c r="Y606" s="1030"/>
      <c r="Z606" s="1030"/>
      <c r="AA606" s="1030"/>
      <c r="AB606" s="1030"/>
    </row>
    <row r="607" spans="1:28">
      <c r="A607" s="1030"/>
      <c r="B607" s="1030"/>
      <c r="C607" s="1030"/>
      <c r="D607" s="1030"/>
      <c r="E607" s="1030"/>
      <c r="F607" s="1030"/>
      <c r="G607" s="1030"/>
      <c r="H607" s="1030"/>
      <c r="I607" s="1030"/>
      <c r="J607" s="1097"/>
      <c r="K607" s="1030"/>
      <c r="L607" s="1030"/>
      <c r="M607" s="1030"/>
      <c r="N607" s="1030"/>
      <c r="O607" s="1030"/>
      <c r="P607" s="1030"/>
      <c r="Q607" s="1030"/>
      <c r="R607" s="1030"/>
      <c r="S607" s="1030"/>
      <c r="T607" s="1030"/>
      <c r="U607" s="1030"/>
      <c r="V607" s="1030"/>
      <c r="W607" s="1030"/>
      <c r="X607" s="1030"/>
      <c r="Y607" s="1030"/>
      <c r="Z607" s="1030"/>
      <c r="AA607" s="1030"/>
      <c r="AB607" s="1030"/>
    </row>
    <row r="608" spans="1:28">
      <c r="A608" s="1030"/>
      <c r="B608" s="1030"/>
      <c r="C608" s="1030"/>
      <c r="D608" s="1030"/>
      <c r="E608" s="1030"/>
      <c r="F608" s="1030"/>
      <c r="G608" s="1030"/>
      <c r="H608" s="1030"/>
      <c r="I608" s="1030"/>
      <c r="J608" s="1097"/>
      <c r="K608" s="1030"/>
      <c r="L608" s="1030"/>
      <c r="M608" s="1030"/>
      <c r="N608" s="1030"/>
      <c r="O608" s="1030"/>
      <c r="P608" s="1030"/>
      <c r="Q608" s="1030"/>
      <c r="R608" s="1030"/>
      <c r="S608" s="1030"/>
      <c r="T608" s="1030"/>
      <c r="U608" s="1030"/>
      <c r="V608" s="1030"/>
      <c r="W608" s="1030"/>
      <c r="X608" s="1030"/>
      <c r="Y608" s="1030"/>
      <c r="Z608" s="1030"/>
      <c r="AA608" s="1030"/>
      <c r="AB608" s="1030"/>
    </row>
    <row r="609" spans="1:28">
      <c r="A609" s="1030"/>
      <c r="B609" s="1030"/>
      <c r="C609" s="1030"/>
      <c r="D609" s="1030"/>
      <c r="E609" s="1030"/>
      <c r="F609" s="1030"/>
      <c r="G609" s="1030"/>
      <c r="H609" s="1030"/>
      <c r="I609" s="1030"/>
      <c r="J609" s="1097"/>
      <c r="K609" s="1030"/>
      <c r="L609" s="1030"/>
      <c r="M609" s="1030"/>
      <c r="N609" s="1030"/>
      <c r="O609" s="1030"/>
      <c r="P609" s="1030"/>
      <c r="Q609" s="1030"/>
      <c r="R609" s="1030"/>
      <c r="S609" s="1030"/>
      <c r="T609" s="1030"/>
      <c r="U609" s="1030"/>
      <c r="V609" s="1030"/>
      <c r="W609" s="1030"/>
      <c r="X609" s="1030"/>
      <c r="Y609" s="1030"/>
      <c r="Z609" s="1030"/>
      <c r="AA609" s="1030"/>
      <c r="AB609" s="1030"/>
    </row>
    <row r="610" spans="1:28">
      <c r="A610" s="1030"/>
      <c r="B610" s="1030"/>
      <c r="C610" s="1030"/>
      <c r="D610" s="1030"/>
      <c r="E610" s="1030"/>
      <c r="F610" s="1030"/>
      <c r="G610" s="1030"/>
      <c r="H610" s="1030"/>
      <c r="I610" s="1030"/>
      <c r="J610" s="1097"/>
      <c r="K610" s="1030"/>
      <c r="L610" s="1030"/>
      <c r="M610" s="1030"/>
      <c r="N610" s="1030"/>
      <c r="O610" s="1030"/>
      <c r="P610" s="1030"/>
      <c r="Q610" s="1030"/>
      <c r="R610" s="1030"/>
      <c r="S610" s="1030"/>
      <c r="T610" s="1030"/>
      <c r="U610" s="1030"/>
      <c r="V610" s="1030"/>
      <c r="W610" s="1030"/>
      <c r="X610" s="1030"/>
      <c r="Y610" s="1030"/>
      <c r="Z610" s="1030"/>
      <c r="AA610" s="1030"/>
      <c r="AB610" s="1030"/>
    </row>
    <row r="611" spans="1:28">
      <c r="A611" s="1030"/>
      <c r="B611" s="1030"/>
      <c r="C611" s="1030"/>
      <c r="D611" s="1030"/>
      <c r="E611" s="1030"/>
      <c r="F611" s="1030"/>
      <c r="G611" s="1030"/>
      <c r="H611" s="1030"/>
      <c r="I611" s="1030"/>
      <c r="J611" s="1097"/>
      <c r="K611" s="1030"/>
      <c r="L611" s="1030"/>
      <c r="M611" s="1030"/>
      <c r="N611" s="1030"/>
      <c r="O611" s="1030"/>
      <c r="P611" s="1030"/>
      <c r="Q611" s="1030"/>
      <c r="R611" s="1030"/>
      <c r="S611" s="1030"/>
      <c r="T611" s="1030"/>
      <c r="U611" s="1030"/>
      <c r="V611" s="1030"/>
      <c r="W611" s="1030"/>
      <c r="X611" s="1030"/>
      <c r="Y611" s="1030"/>
      <c r="Z611" s="1030"/>
      <c r="AA611" s="1030"/>
      <c r="AB611" s="1030"/>
    </row>
    <row r="612" spans="1:28">
      <c r="A612" s="1030"/>
      <c r="B612" s="1030"/>
      <c r="C612" s="1030"/>
      <c r="D612" s="1030"/>
      <c r="E612" s="1030"/>
      <c r="F612" s="1030"/>
      <c r="G612" s="1030"/>
      <c r="H612" s="1030"/>
      <c r="I612" s="1030"/>
      <c r="J612" s="1097"/>
      <c r="K612" s="1030"/>
      <c r="L612" s="1030"/>
      <c r="M612" s="1030"/>
      <c r="N612" s="1030"/>
      <c r="O612" s="1030"/>
      <c r="P612" s="1030"/>
      <c r="Q612" s="1030"/>
      <c r="R612" s="1030"/>
      <c r="S612" s="1030"/>
      <c r="T612" s="1030"/>
      <c r="U612" s="1030"/>
      <c r="V612" s="1030"/>
      <c r="W612" s="1030"/>
      <c r="X612" s="1030"/>
      <c r="Y612" s="1030"/>
      <c r="Z612" s="1030"/>
      <c r="AA612" s="1030"/>
      <c r="AB612" s="1030"/>
    </row>
    <row r="613" spans="1:28">
      <c r="A613" s="1030"/>
      <c r="B613" s="1030"/>
      <c r="C613" s="1030"/>
      <c r="D613" s="1030"/>
      <c r="E613" s="1030"/>
      <c r="F613" s="1030"/>
      <c r="G613" s="1030"/>
      <c r="H613" s="1030"/>
      <c r="I613" s="1030"/>
      <c r="J613" s="1097"/>
      <c r="K613" s="1030"/>
      <c r="L613" s="1030"/>
      <c r="M613" s="1030"/>
      <c r="N613" s="1030"/>
      <c r="O613" s="1030"/>
      <c r="P613" s="1030"/>
      <c r="Q613" s="1030"/>
      <c r="R613" s="1030"/>
      <c r="S613" s="1030"/>
      <c r="T613" s="1030"/>
      <c r="U613" s="1030"/>
      <c r="V613" s="1030"/>
      <c r="W613" s="1030"/>
      <c r="X613" s="1030"/>
      <c r="Y613" s="1030"/>
      <c r="Z613" s="1030"/>
      <c r="AA613" s="1030"/>
      <c r="AB613" s="1030"/>
    </row>
    <row r="614" spans="1:28">
      <c r="A614" s="1030"/>
      <c r="B614" s="1030"/>
      <c r="C614" s="1030"/>
      <c r="D614" s="1030"/>
      <c r="E614" s="1030"/>
      <c r="F614" s="1030"/>
      <c r="G614" s="1030"/>
      <c r="H614" s="1030"/>
      <c r="I614" s="1030"/>
      <c r="J614" s="1097"/>
      <c r="K614" s="1030"/>
      <c r="L614" s="1030"/>
      <c r="M614" s="1030"/>
      <c r="N614" s="1030"/>
      <c r="O614" s="1030"/>
      <c r="P614" s="1030"/>
      <c r="Q614" s="1030"/>
      <c r="R614" s="1030"/>
      <c r="S614" s="1030"/>
      <c r="T614" s="1030"/>
      <c r="U614" s="1030"/>
      <c r="V614" s="1030"/>
      <c r="W614" s="1030"/>
      <c r="X614" s="1030"/>
      <c r="Y614" s="1030"/>
      <c r="Z614" s="1030"/>
      <c r="AA614" s="1030"/>
      <c r="AB614" s="1030"/>
    </row>
    <row r="615" spans="1:28">
      <c r="A615" s="1030"/>
      <c r="B615" s="1030"/>
      <c r="C615" s="1030"/>
      <c r="D615" s="1030"/>
      <c r="E615" s="1030"/>
      <c r="F615" s="1030"/>
      <c r="G615" s="1030"/>
      <c r="H615" s="1030"/>
      <c r="I615" s="1030"/>
      <c r="J615" s="1097"/>
      <c r="K615" s="1030"/>
      <c r="L615" s="1030"/>
      <c r="M615" s="1030"/>
      <c r="N615" s="1030"/>
      <c r="O615" s="1030"/>
      <c r="P615" s="1030"/>
      <c r="Q615" s="1030"/>
      <c r="R615" s="1030"/>
      <c r="S615" s="1030"/>
      <c r="T615" s="1030"/>
      <c r="U615" s="1030"/>
      <c r="V615" s="1030"/>
      <c r="W615" s="1030"/>
      <c r="X615" s="1030"/>
      <c r="Y615" s="1030"/>
      <c r="Z615" s="1030"/>
      <c r="AA615" s="1030"/>
      <c r="AB615" s="1030"/>
    </row>
    <row r="616" spans="1:28">
      <c r="A616" s="1030"/>
      <c r="B616" s="1030"/>
      <c r="C616" s="1030"/>
      <c r="D616" s="1030"/>
      <c r="E616" s="1030"/>
      <c r="F616" s="1030"/>
      <c r="G616" s="1030"/>
      <c r="H616" s="1030"/>
      <c r="I616" s="1030"/>
      <c r="J616" s="1097"/>
      <c r="K616" s="1030"/>
      <c r="L616" s="1030"/>
      <c r="M616" s="1030"/>
      <c r="N616" s="1030"/>
      <c r="O616" s="1030"/>
      <c r="P616" s="1030"/>
      <c r="Q616" s="1030"/>
      <c r="R616" s="1030"/>
      <c r="S616" s="1030"/>
      <c r="T616" s="1030"/>
      <c r="U616" s="1030"/>
      <c r="V616" s="1030"/>
      <c r="W616" s="1030"/>
      <c r="X616" s="1030"/>
      <c r="Y616" s="1030"/>
      <c r="Z616" s="1030"/>
      <c r="AA616" s="1030"/>
      <c r="AB616" s="1030"/>
    </row>
    <row r="617" spans="1:28">
      <c r="A617" s="1030"/>
      <c r="B617" s="1030"/>
      <c r="C617" s="1030"/>
      <c r="D617" s="1030"/>
      <c r="E617" s="1030"/>
      <c r="F617" s="1030"/>
      <c r="G617" s="1030"/>
      <c r="H617" s="1030"/>
      <c r="I617" s="1030"/>
      <c r="J617" s="1097"/>
      <c r="K617" s="1030"/>
      <c r="L617" s="1030"/>
      <c r="M617" s="1030"/>
      <c r="N617" s="1030"/>
      <c r="O617" s="1030"/>
      <c r="P617" s="1030"/>
      <c r="Q617" s="1030"/>
      <c r="R617" s="1030"/>
      <c r="S617" s="1030"/>
      <c r="T617" s="1030"/>
      <c r="U617" s="1030"/>
      <c r="V617" s="1030"/>
      <c r="W617" s="1030"/>
      <c r="X617" s="1030"/>
      <c r="Y617" s="1030"/>
      <c r="Z617" s="1030"/>
      <c r="AA617" s="1030"/>
      <c r="AB617" s="1030"/>
    </row>
    <row r="618" spans="1:28">
      <c r="A618" s="1030"/>
      <c r="B618" s="1030"/>
      <c r="C618" s="1030"/>
      <c r="D618" s="1030"/>
      <c r="E618" s="1030"/>
      <c r="F618" s="1030"/>
      <c r="G618" s="1030"/>
      <c r="H618" s="1030"/>
      <c r="I618" s="1030"/>
      <c r="J618" s="1097"/>
      <c r="K618" s="1030"/>
      <c r="L618" s="1030"/>
      <c r="M618" s="1030"/>
      <c r="N618" s="1030"/>
      <c r="O618" s="1030"/>
      <c r="P618" s="1030"/>
      <c r="Q618" s="1030"/>
      <c r="R618" s="1030"/>
      <c r="S618" s="1030"/>
      <c r="T618" s="1030"/>
      <c r="U618" s="1030"/>
      <c r="V618" s="1030"/>
      <c r="W618" s="1030"/>
      <c r="X618" s="1030"/>
      <c r="Y618" s="1030"/>
      <c r="Z618" s="1030"/>
      <c r="AA618" s="1030"/>
      <c r="AB618" s="1030"/>
    </row>
    <row r="619" spans="1:28">
      <c r="A619" s="1030"/>
      <c r="B619" s="1030"/>
      <c r="C619" s="1030"/>
      <c r="D619" s="1030"/>
      <c r="E619" s="1030"/>
      <c r="F619" s="1030"/>
      <c r="G619" s="1030"/>
      <c r="H619" s="1030"/>
      <c r="I619" s="1030"/>
      <c r="J619" s="1097"/>
      <c r="K619" s="1030"/>
      <c r="L619" s="1030"/>
      <c r="M619" s="1030"/>
      <c r="N619" s="1030"/>
      <c r="O619" s="1030"/>
      <c r="P619" s="1030"/>
      <c r="Q619" s="1030"/>
      <c r="R619" s="1030"/>
      <c r="S619" s="1030"/>
      <c r="T619" s="1030"/>
      <c r="U619" s="1030"/>
      <c r="V619" s="1030"/>
      <c r="W619" s="1030"/>
      <c r="X619" s="1030"/>
      <c r="Y619" s="1030"/>
      <c r="Z619" s="1030"/>
      <c r="AA619" s="1030"/>
      <c r="AB619" s="1030"/>
    </row>
    <row r="620" spans="1:28">
      <c r="A620" s="1030"/>
      <c r="B620" s="1030"/>
      <c r="C620" s="1030"/>
      <c r="D620" s="1030"/>
      <c r="E620" s="1030"/>
      <c r="F620" s="1030"/>
      <c r="G620" s="1030"/>
      <c r="H620" s="1030"/>
      <c r="I620" s="1030"/>
      <c r="J620" s="1097"/>
      <c r="K620" s="1030"/>
      <c r="L620" s="1030"/>
      <c r="M620" s="1030"/>
      <c r="N620" s="1030"/>
      <c r="O620" s="1030"/>
      <c r="P620" s="1030"/>
      <c r="Q620" s="1030"/>
      <c r="R620" s="1030"/>
      <c r="S620" s="1030"/>
      <c r="T620" s="1030"/>
      <c r="U620" s="1030"/>
      <c r="V620" s="1030"/>
      <c r="W620" s="1030"/>
      <c r="X620" s="1030"/>
      <c r="Y620" s="1030"/>
      <c r="Z620" s="1030"/>
      <c r="AA620" s="1030"/>
      <c r="AB620" s="1030"/>
    </row>
    <row r="621" spans="1:28">
      <c r="A621" s="1030"/>
      <c r="B621" s="1030"/>
      <c r="C621" s="1030"/>
      <c r="D621" s="1030"/>
      <c r="E621" s="1030"/>
      <c r="F621" s="1030"/>
      <c r="G621" s="1030"/>
      <c r="H621" s="1030"/>
      <c r="I621" s="1030"/>
      <c r="J621" s="1097"/>
      <c r="K621" s="1030"/>
      <c r="L621" s="1030"/>
      <c r="M621" s="1030"/>
      <c r="N621" s="1030"/>
      <c r="O621" s="1030"/>
      <c r="P621" s="1030"/>
      <c r="Q621" s="1030"/>
      <c r="R621" s="1030"/>
      <c r="S621" s="1030"/>
      <c r="T621" s="1030"/>
      <c r="U621" s="1030"/>
      <c r="V621" s="1030"/>
      <c r="W621" s="1030"/>
      <c r="X621" s="1030"/>
      <c r="Y621" s="1030"/>
      <c r="Z621" s="1030"/>
      <c r="AA621" s="1030"/>
      <c r="AB621" s="1030"/>
    </row>
    <row r="622" spans="1:28">
      <c r="A622" s="1030"/>
      <c r="B622" s="1030"/>
      <c r="C622" s="1030"/>
      <c r="D622" s="1030"/>
      <c r="E622" s="1030"/>
      <c r="F622" s="1030"/>
      <c r="G622" s="1030"/>
      <c r="H622" s="1030"/>
      <c r="I622" s="1030"/>
      <c r="J622" s="1097"/>
      <c r="K622" s="1030"/>
      <c r="L622" s="1030"/>
      <c r="M622" s="1030"/>
      <c r="N622" s="1030"/>
      <c r="O622" s="1030"/>
      <c r="P622" s="1030"/>
      <c r="Q622" s="1030"/>
      <c r="R622" s="1030"/>
      <c r="S622" s="1030"/>
      <c r="T622" s="1030"/>
      <c r="U622" s="1030"/>
      <c r="V622" s="1030"/>
      <c r="W622" s="1030"/>
      <c r="X622" s="1030"/>
      <c r="Y622" s="1030"/>
      <c r="Z622" s="1030"/>
      <c r="AA622" s="1030"/>
      <c r="AB622" s="1030"/>
    </row>
    <row r="623" spans="1:28">
      <c r="A623" s="1030"/>
      <c r="B623" s="1030"/>
      <c r="C623" s="1030"/>
      <c r="D623" s="1030"/>
      <c r="E623" s="1030"/>
      <c r="F623" s="1030"/>
      <c r="G623" s="1030"/>
      <c r="H623" s="1030"/>
      <c r="I623" s="1030"/>
      <c r="J623" s="1097"/>
      <c r="K623" s="1030"/>
      <c r="L623" s="1030"/>
      <c r="M623" s="1030"/>
      <c r="N623" s="1030"/>
      <c r="O623" s="1030"/>
      <c r="P623" s="1030"/>
      <c r="Q623" s="1030"/>
      <c r="R623" s="1030"/>
      <c r="S623" s="1030"/>
      <c r="T623" s="1030"/>
      <c r="U623" s="1030"/>
      <c r="V623" s="1030"/>
      <c r="W623" s="1030"/>
      <c r="X623" s="1030"/>
      <c r="Y623" s="1030"/>
      <c r="Z623" s="1030"/>
      <c r="AA623" s="1030"/>
      <c r="AB623" s="1030"/>
    </row>
    <row r="624" spans="1:28">
      <c r="A624" s="1030"/>
      <c r="B624" s="1030"/>
      <c r="C624" s="1030"/>
      <c r="D624" s="1030"/>
      <c r="E624" s="1030"/>
      <c r="F624" s="1030"/>
      <c r="G624" s="1030"/>
      <c r="H624" s="1030"/>
      <c r="I624" s="1030"/>
      <c r="J624" s="1097"/>
      <c r="K624" s="1030"/>
      <c r="L624" s="1030"/>
      <c r="M624" s="1030"/>
      <c r="N624" s="1030"/>
      <c r="O624" s="1030"/>
      <c r="P624" s="1030"/>
      <c r="Q624" s="1030"/>
      <c r="R624" s="1030"/>
      <c r="S624" s="1030"/>
      <c r="T624" s="1030"/>
      <c r="U624" s="1030"/>
      <c r="V624" s="1030"/>
      <c r="W624" s="1030"/>
      <c r="X624" s="1030"/>
      <c r="Y624" s="1030"/>
      <c r="Z624" s="1030"/>
      <c r="AA624" s="1030"/>
      <c r="AB624" s="1030"/>
    </row>
    <row r="625" spans="1:28">
      <c r="A625" s="1030"/>
      <c r="B625" s="1030"/>
      <c r="C625" s="1030"/>
      <c r="D625" s="1030"/>
      <c r="E625" s="1030"/>
      <c r="F625" s="1030"/>
      <c r="G625" s="1030"/>
      <c r="H625" s="1030"/>
      <c r="I625" s="1030"/>
      <c r="J625" s="1097"/>
      <c r="K625" s="1030"/>
      <c r="L625" s="1030"/>
      <c r="M625" s="1030"/>
      <c r="N625" s="1030"/>
      <c r="O625" s="1030"/>
      <c r="P625" s="1030"/>
      <c r="Q625" s="1030"/>
      <c r="R625" s="1030"/>
      <c r="S625" s="1030"/>
      <c r="T625" s="1030"/>
      <c r="U625" s="1030"/>
      <c r="V625" s="1030"/>
      <c r="W625" s="1030"/>
      <c r="X625" s="1030"/>
      <c r="Y625" s="1030"/>
      <c r="Z625" s="1030"/>
      <c r="AA625" s="1030"/>
      <c r="AB625" s="1030"/>
    </row>
    <row r="626" spans="1:28">
      <c r="A626" s="1030"/>
      <c r="B626" s="1030"/>
      <c r="C626" s="1030"/>
      <c r="D626" s="1030"/>
      <c r="E626" s="1030"/>
      <c r="F626" s="1030"/>
      <c r="G626" s="1030"/>
      <c r="H626" s="1030"/>
      <c r="I626" s="1030"/>
      <c r="J626" s="1097"/>
      <c r="K626" s="1030"/>
      <c r="L626" s="1030"/>
      <c r="M626" s="1030"/>
      <c r="N626" s="1030"/>
      <c r="O626" s="1030"/>
      <c r="P626" s="1030"/>
      <c r="Q626" s="1030"/>
      <c r="R626" s="1030"/>
      <c r="S626" s="1030"/>
      <c r="T626" s="1030"/>
      <c r="U626" s="1030"/>
      <c r="V626" s="1030"/>
      <c r="W626" s="1030"/>
      <c r="X626" s="1030"/>
      <c r="Y626" s="1030"/>
      <c r="Z626" s="1030"/>
      <c r="AA626" s="1030"/>
      <c r="AB626" s="1030"/>
    </row>
    <row r="627" spans="1:28">
      <c r="A627" s="1030"/>
      <c r="B627" s="1030"/>
      <c r="C627" s="1030"/>
      <c r="D627" s="1030"/>
      <c r="E627" s="1030"/>
      <c r="F627" s="1030"/>
      <c r="G627" s="1030"/>
      <c r="H627" s="1030"/>
      <c r="I627" s="1030"/>
      <c r="J627" s="1097"/>
      <c r="K627" s="1030"/>
      <c r="L627" s="1030"/>
      <c r="M627" s="1030"/>
      <c r="N627" s="1030"/>
      <c r="O627" s="1030"/>
      <c r="P627" s="1030"/>
      <c r="Q627" s="1030"/>
      <c r="R627" s="1030"/>
      <c r="S627" s="1030"/>
      <c r="T627" s="1030"/>
      <c r="U627" s="1030"/>
      <c r="V627" s="1030"/>
      <c r="W627" s="1030"/>
      <c r="X627" s="1030"/>
      <c r="Y627" s="1030"/>
      <c r="Z627" s="1030"/>
      <c r="AA627" s="1030"/>
      <c r="AB627" s="1030"/>
    </row>
    <row r="628" spans="1:28">
      <c r="A628" s="1030"/>
      <c r="B628" s="1030"/>
      <c r="C628" s="1030"/>
      <c r="D628" s="1030"/>
      <c r="E628" s="1030"/>
      <c r="F628" s="1030"/>
      <c r="G628" s="1030"/>
      <c r="H628" s="1030"/>
      <c r="I628" s="1030"/>
      <c r="J628" s="1097"/>
      <c r="K628" s="1030"/>
      <c r="L628" s="1030"/>
      <c r="M628" s="1030"/>
      <c r="N628" s="1030"/>
      <c r="O628" s="1030"/>
      <c r="P628" s="1030"/>
      <c r="Q628" s="1030"/>
      <c r="R628" s="1030"/>
      <c r="S628" s="1030"/>
      <c r="T628" s="1030"/>
      <c r="U628" s="1030"/>
      <c r="V628" s="1030"/>
      <c r="W628" s="1030"/>
      <c r="X628" s="1030"/>
      <c r="Y628" s="1030"/>
      <c r="Z628" s="1030"/>
      <c r="AA628" s="1030"/>
      <c r="AB628" s="1030"/>
    </row>
    <row r="629" spans="1:28">
      <c r="A629" s="1030"/>
      <c r="B629" s="1030"/>
      <c r="C629" s="1030"/>
      <c r="D629" s="1030"/>
      <c r="E629" s="1030"/>
      <c r="F629" s="1030"/>
      <c r="G629" s="1030"/>
      <c r="H629" s="1030"/>
      <c r="I629" s="1030"/>
      <c r="J629" s="1097"/>
      <c r="K629" s="1030"/>
      <c r="L629" s="1030"/>
      <c r="M629" s="1030"/>
      <c r="N629" s="1030"/>
      <c r="O629" s="1030"/>
      <c r="P629" s="1030"/>
      <c r="Q629" s="1030"/>
      <c r="R629" s="1030"/>
      <c r="S629" s="1030"/>
      <c r="T629" s="1030"/>
      <c r="U629" s="1030"/>
      <c r="V629" s="1030"/>
      <c r="W629" s="1030"/>
      <c r="X629" s="1030"/>
      <c r="Y629" s="1030"/>
      <c r="Z629" s="1030"/>
      <c r="AA629" s="1030"/>
      <c r="AB629" s="1030"/>
    </row>
    <row r="630" spans="1:28">
      <c r="A630" s="1030"/>
      <c r="B630" s="1030"/>
      <c r="C630" s="1030"/>
      <c r="D630" s="1030"/>
      <c r="E630" s="1030"/>
      <c r="F630" s="1030"/>
      <c r="G630" s="1030"/>
      <c r="H630" s="1030"/>
      <c r="I630" s="1030"/>
      <c r="J630" s="1097"/>
      <c r="K630" s="1030"/>
      <c r="L630" s="1030"/>
      <c r="M630" s="1030"/>
      <c r="N630" s="1030"/>
      <c r="O630" s="1030"/>
      <c r="P630" s="1030"/>
      <c r="Q630" s="1030"/>
      <c r="R630" s="1030"/>
      <c r="S630" s="1030"/>
      <c r="T630" s="1030"/>
      <c r="U630" s="1030"/>
      <c r="V630" s="1030"/>
      <c r="W630" s="1030"/>
      <c r="X630" s="1030"/>
      <c r="Y630" s="1030"/>
      <c r="Z630" s="1030"/>
      <c r="AA630" s="1030"/>
      <c r="AB630" s="1030"/>
    </row>
    <row r="631" spans="1:28">
      <c r="A631" s="1030"/>
      <c r="B631" s="1030"/>
      <c r="C631" s="1030"/>
      <c r="D631" s="1030"/>
      <c r="E631" s="1030"/>
      <c r="F631" s="1030"/>
      <c r="G631" s="1030"/>
      <c r="H631" s="1030"/>
      <c r="I631" s="1030"/>
      <c r="J631" s="1097"/>
      <c r="K631" s="1030"/>
      <c r="L631" s="1030"/>
      <c r="M631" s="1030"/>
      <c r="N631" s="1030"/>
      <c r="O631" s="1030"/>
      <c r="P631" s="1030"/>
      <c r="Q631" s="1030"/>
      <c r="R631" s="1030"/>
      <c r="S631" s="1030"/>
      <c r="T631" s="1030"/>
      <c r="U631" s="1030"/>
      <c r="V631" s="1030"/>
      <c r="W631" s="1030"/>
      <c r="X631" s="1030"/>
      <c r="Y631" s="1030"/>
      <c r="Z631" s="1030"/>
      <c r="AA631" s="1030"/>
      <c r="AB631" s="1030"/>
    </row>
    <row r="632" spans="1:28">
      <c r="A632" s="1030"/>
      <c r="B632" s="1030"/>
      <c r="C632" s="1030"/>
      <c r="D632" s="1030"/>
      <c r="E632" s="1030"/>
      <c r="F632" s="1030"/>
      <c r="G632" s="1030"/>
      <c r="H632" s="1030"/>
      <c r="I632" s="1030"/>
      <c r="J632" s="1097"/>
      <c r="K632" s="1030"/>
      <c r="L632" s="1030"/>
      <c r="M632" s="1030"/>
      <c r="N632" s="1030"/>
      <c r="O632" s="1030"/>
      <c r="P632" s="1030"/>
      <c r="Q632" s="1030"/>
      <c r="R632" s="1030"/>
      <c r="S632" s="1030"/>
      <c r="T632" s="1030"/>
      <c r="U632" s="1030"/>
      <c r="V632" s="1030"/>
      <c r="W632" s="1030"/>
      <c r="X632" s="1030"/>
      <c r="Y632" s="1030"/>
      <c r="Z632" s="1030"/>
      <c r="AA632" s="1030"/>
      <c r="AB632" s="1030"/>
    </row>
    <row r="633" spans="1:28">
      <c r="A633" s="1030"/>
      <c r="B633" s="1030"/>
      <c r="C633" s="1030"/>
      <c r="D633" s="1030"/>
      <c r="E633" s="1030"/>
      <c r="F633" s="1030"/>
      <c r="G633" s="1030"/>
      <c r="H633" s="1030"/>
      <c r="I633" s="1030"/>
      <c r="J633" s="1097"/>
      <c r="K633" s="1030"/>
      <c r="L633" s="1030"/>
      <c r="M633" s="1030"/>
      <c r="N633" s="1030"/>
      <c r="O633" s="1030"/>
      <c r="P633" s="1030"/>
      <c r="Q633" s="1030"/>
      <c r="R633" s="1030"/>
      <c r="S633" s="1030"/>
      <c r="T633" s="1030"/>
      <c r="U633" s="1030"/>
      <c r="V633" s="1030"/>
      <c r="W633" s="1030"/>
      <c r="X633" s="1030"/>
      <c r="Y633" s="1030"/>
      <c r="Z633" s="1030"/>
      <c r="AA633" s="1030"/>
      <c r="AB633" s="1030"/>
    </row>
    <row r="634" spans="1:28">
      <c r="A634" s="1030"/>
      <c r="B634" s="1030"/>
      <c r="C634" s="1030"/>
      <c r="D634" s="1030"/>
      <c r="E634" s="1030"/>
      <c r="F634" s="1030"/>
      <c r="G634" s="1030"/>
      <c r="H634" s="1030"/>
      <c r="I634" s="1030"/>
      <c r="J634" s="1097"/>
      <c r="K634" s="1030"/>
      <c r="L634" s="1030"/>
      <c r="M634" s="1030"/>
      <c r="N634" s="1030"/>
      <c r="O634" s="1030"/>
      <c r="P634" s="1030"/>
      <c r="Q634" s="1030"/>
      <c r="R634" s="1030"/>
      <c r="S634" s="1030"/>
      <c r="T634" s="1030"/>
      <c r="U634" s="1030"/>
      <c r="V634" s="1030"/>
      <c r="W634" s="1030"/>
      <c r="X634" s="1030"/>
      <c r="Y634" s="1030"/>
      <c r="Z634" s="1030"/>
      <c r="AA634" s="1030"/>
      <c r="AB634" s="1030"/>
    </row>
    <row r="635" spans="1:28">
      <c r="A635" s="1030"/>
      <c r="B635" s="1030"/>
      <c r="C635" s="1030"/>
      <c r="D635" s="1030"/>
      <c r="E635" s="1030"/>
      <c r="F635" s="1030"/>
      <c r="G635" s="1030"/>
      <c r="H635" s="1030"/>
      <c r="I635" s="1030"/>
      <c r="J635" s="1097"/>
      <c r="K635" s="1030"/>
      <c r="L635" s="1030"/>
      <c r="M635" s="1030"/>
      <c r="N635" s="1030"/>
      <c r="O635" s="1030"/>
      <c r="P635" s="1030"/>
      <c r="Q635" s="1030"/>
      <c r="R635" s="1030"/>
      <c r="S635" s="1030"/>
      <c r="T635" s="1030"/>
      <c r="U635" s="1030"/>
      <c r="V635" s="1030"/>
      <c r="W635" s="1030"/>
      <c r="X635" s="1030"/>
      <c r="Y635" s="1030"/>
      <c r="Z635" s="1030"/>
      <c r="AA635" s="1030"/>
      <c r="AB635" s="1030"/>
    </row>
    <row r="636" spans="1:28">
      <c r="A636" s="1030"/>
      <c r="B636" s="1030"/>
      <c r="C636" s="1030"/>
      <c r="D636" s="1030"/>
      <c r="E636" s="1030"/>
      <c r="F636" s="1030"/>
      <c r="G636" s="1030"/>
      <c r="H636" s="1030"/>
      <c r="I636" s="1030"/>
      <c r="J636" s="1097"/>
      <c r="K636" s="1030"/>
      <c r="L636" s="1030"/>
      <c r="M636" s="1030"/>
      <c r="N636" s="1030"/>
      <c r="O636" s="1030"/>
      <c r="P636" s="1030"/>
      <c r="Q636" s="1030"/>
      <c r="R636" s="1030"/>
      <c r="S636" s="1030"/>
      <c r="T636" s="1030"/>
      <c r="U636" s="1030"/>
      <c r="V636" s="1030"/>
      <c r="W636" s="1030"/>
      <c r="X636" s="1030"/>
      <c r="Y636" s="1030"/>
      <c r="Z636" s="1030"/>
      <c r="AA636" s="1030"/>
      <c r="AB636" s="1030"/>
    </row>
    <row r="637" spans="1:28">
      <c r="A637" s="1030"/>
      <c r="B637" s="1030"/>
      <c r="C637" s="1030"/>
      <c r="D637" s="1030"/>
      <c r="E637" s="1030"/>
      <c r="F637" s="1030"/>
      <c r="G637" s="1030"/>
      <c r="H637" s="1030"/>
      <c r="I637" s="1030"/>
      <c r="J637" s="1097"/>
      <c r="K637" s="1030"/>
      <c r="L637" s="1030"/>
      <c r="M637" s="1030"/>
      <c r="N637" s="1030"/>
      <c r="O637" s="1030"/>
      <c r="P637" s="1030"/>
      <c r="Q637" s="1030"/>
      <c r="R637" s="1030"/>
      <c r="S637" s="1030"/>
      <c r="T637" s="1030"/>
      <c r="U637" s="1030"/>
      <c r="V637" s="1030"/>
      <c r="W637" s="1030"/>
      <c r="X637" s="1030"/>
      <c r="Y637" s="1030"/>
      <c r="Z637" s="1030"/>
      <c r="AA637" s="1030"/>
      <c r="AB637" s="1030"/>
    </row>
    <row r="638" spans="1:28">
      <c r="A638" s="1030"/>
      <c r="B638" s="1030"/>
      <c r="C638" s="1030"/>
      <c r="D638" s="1030"/>
      <c r="E638" s="1030"/>
      <c r="F638" s="1030"/>
      <c r="G638" s="1030"/>
      <c r="H638" s="1030"/>
      <c r="I638" s="1030"/>
      <c r="J638" s="1097"/>
      <c r="K638" s="1030"/>
      <c r="L638" s="1030"/>
      <c r="M638" s="1030"/>
      <c r="N638" s="1030"/>
      <c r="O638" s="1030"/>
      <c r="P638" s="1030"/>
      <c r="Q638" s="1030"/>
      <c r="R638" s="1030"/>
      <c r="S638" s="1030"/>
      <c r="T638" s="1030"/>
      <c r="U638" s="1030"/>
      <c r="V638" s="1030"/>
      <c r="W638" s="1030"/>
      <c r="X638" s="1030"/>
      <c r="Y638" s="1030"/>
      <c r="Z638" s="1030"/>
      <c r="AA638" s="1030"/>
      <c r="AB638" s="1030"/>
    </row>
    <row r="639" spans="1:28">
      <c r="A639" s="1030"/>
      <c r="B639" s="1030"/>
      <c r="C639" s="1030"/>
      <c r="D639" s="1030"/>
      <c r="E639" s="1030"/>
      <c r="F639" s="1030"/>
      <c r="G639" s="1030"/>
      <c r="H639" s="1030"/>
      <c r="I639" s="1030"/>
      <c r="J639" s="1097"/>
      <c r="K639" s="1030"/>
      <c r="L639" s="1030"/>
      <c r="M639" s="1030"/>
      <c r="N639" s="1030"/>
      <c r="O639" s="1030"/>
      <c r="P639" s="1030"/>
      <c r="Q639" s="1030"/>
      <c r="R639" s="1030"/>
      <c r="S639" s="1030"/>
      <c r="T639" s="1030"/>
      <c r="U639" s="1030"/>
      <c r="V639" s="1030"/>
      <c r="W639" s="1030"/>
      <c r="X639" s="1030"/>
      <c r="Y639" s="1030"/>
      <c r="Z639" s="1030"/>
      <c r="AA639" s="1030"/>
      <c r="AB639" s="1030"/>
    </row>
    <row r="640" spans="1:28">
      <c r="A640" s="1030"/>
      <c r="B640" s="1030"/>
      <c r="C640" s="1030"/>
      <c r="D640" s="1030"/>
      <c r="E640" s="1030"/>
      <c r="F640" s="1030"/>
      <c r="G640" s="1030"/>
      <c r="H640" s="1030"/>
      <c r="I640" s="1030"/>
      <c r="J640" s="1097"/>
      <c r="K640" s="1030"/>
      <c r="L640" s="1030"/>
      <c r="M640" s="1030"/>
      <c r="N640" s="1030"/>
      <c r="O640" s="1030"/>
      <c r="P640" s="1030"/>
      <c r="Q640" s="1030"/>
      <c r="R640" s="1030"/>
      <c r="S640" s="1030"/>
      <c r="T640" s="1030"/>
      <c r="U640" s="1030"/>
      <c r="V640" s="1030"/>
      <c r="W640" s="1030"/>
      <c r="X640" s="1030"/>
      <c r="Y640" s="1030"/>
      <c r="Z640" s="1030"/>
      <c r="AA640" s="1030"/>
      <c r="AB640" s="1030"/>
    </row>
    <row r="641" spans="1:28">
      <c r="A641" s="1030"/>
      <c r="B641" s="1030"/>
      <c r="C641" s="1030"/>
      <c r="D641" s="1030"/>
      <c r="E641" s="1030"/>
      <c r="F641" s="1030"/>
      <c r="G641" s="1030"/>
      <c r="H641" s="1030"/>
      <c r="I641" s="1030"/>
      <c r="J641" s="1097"/>
      <c r="K641" s="1030"/>
      <c r="L641" s="1030"/>
      <c r="M641" s="1030"/>
      <c r="N641" s="1030"/>
      <c r="O641" s="1030"/>
      <c r="P641" s="1030"/>
      <c r="Q641" s="1030"/>
      <c r="R641" s="1030"/>
      <c r="S641" s="1030"/>
      <c r="T641" s="1030"/>
      <c r="U641" s="1030"/>
      <c r="V641" s="1030"/>
      <c r="W641" s="1030"/>
      <c r="X641" s="1030"/>
      <c r="Y641" s="1030"/>
      <c r="Z641" s="1030"/>
      <c r="AA641" s="1030"/>
      <c r="AB641" s="1030"/>
    </row>
    <row r="642" spans="1:28">
      <c r="A642" s="1030"/>
      <c r="B642" s="1030"/>
      <c r="C642" s="1030"/>
      <c r="D642" s="1030"/>
      <c r="E642" s="1030"/>
      <c r="F642" s="1030"/>
      <c r="G642" s="1030"/>
      <c r="H642" s="1030"/>
      <c r="I642" s="1030"/>
      <c r="J642" s="1097"/>
      <c r="K642" s="1030"/>
      <c r="L642" s="1030"/>
      <c r="M642" s="1030"/>
      <c r="N642" s="1030"/>
      <c r="O642" s="1030"/>
      <c r="P642" s="1030"/>
      <c r="Q642" s="1030"/>
      <c r="R642" s="1030"/>
      <c r="S642" s="1030"/>
      <c r="T642" s="1030"/>
      <c r="U642" s="1030"/>
      <c r="V642" s="1030"/>
      <c r="W642" s="1030"/>
      <c r="X642" s="1030"/>
      <c r="Y642" s="1030"/>
      <c r="Z642" s="1030"/>
      <c r="AA642" s="1030"/>
      <c r="AB642" s="1030"/>
    </row>
    <row r="643" spans="1:28">
      <c r="A643" s="1030"/>
      <c r="B643" s="1030"/>
      <c r="C643" s="1030"/>
      <c r="D643" s="1030"/>
      <c r="E643" s="1030"/>
      <c r="F643" s="1030"/>
      <c r="G643" s="1030"/>
      <c r="H643" s="1030"/>
      <c r="I643" s="1030"/>
      <c r="J643" s="1097"/>
      <c r="K643" s="1030"/>
      <c r="L643" s="1030"/>
      <c r="M643" s="1030"/>
      <c r="N643" s="1030"/>
      <c r="O643" s="1030"/>
      <c r="P643" s="1030"/>
      <c r="Q643" s="1030"/>
      <c r="R643" s="1030"/>
      <c r="S643" s="1030"/>
      <c r="T643" s="1030"/>
      <c r="U643" s="1030"/>
      <c r="V643" s="1030"/>
      <c r="W643" s="1030"/>
      <c r="X643" s="1030"/>
      <c r="Y643" s="1030"/>
      <c r="Z643" s="1030"/>
      <c r="AA643" s="1030"/>
      <c r="AB643" s="1030"/>
    </row>
    <row r="644" spans="1:28">
      <c r="A644" s="1030"/>
      <c r="B644" s="1030"/>
      <c r="C644" s="1030"/>
      <c r="D644" s="1030"/>
      <c r="E644" s="1030"/>
      <c r="F644" s="1030"/>
      <c r="G644" s="1030"/>
      <c r="H644" s="1030"/>
      <c r="I644" s="1030"/>
      <c r="J644" s="1097"/>
      <c r="K644" s="1030"/>
      <c r="L644" s="1030"/>
      <c r="M644" s="1030"/>
      <c r="N644" s="1030"/>
      <c r="O644" s="1030"/>
      <c r="P644" s="1030"/>
      <c r="Q644" s="1030"/>
      <c r="R644" s="1030"/>
      <c r="S644" s="1030"/>
      <c r="T644" s="1030"/>
      <c r="U644" s="1030"/>
      <c r="V644" s="1030"/>
      <c r="W644" s="1030"/>
      <c r="X644" s="1030"/>
      <c r="Y644" s="1030"/>
      <c r="Z644" s="1030"/>
      <c r="AA644" s="1030"/>
      <c r="AB644" s="1030"/>
    </row>
    <row r="645" spans="1:28">
      <c r="A645" s="1030"/>
      <c r="B645" s="1030"/>
      <c r="C645" s="1030"/>
      <c r="D645" s="1030"/>
      <c r="E645" s="1030"/>
      <c r="F645" s="1030"/>
      <c r="G645" s="1030"/>
      <c r="H645" s="1030"/>
      <c r="I645" s="1030"/>
      <c r="J645" s="1097"/>
      <c r="K645" s="1030"/>
      <c r="L645" s="1030"/>
      <c r="M645" s="1030"/>
      <c r="N645" s="1030"/>
      <c r="O645" s="1030"/>
      <c r="P645" s="1030"/>
      <c r="Q645" s="1030"/>
      <c r="R645" s="1030"/>
      <c r="S645" s="1030"/>
      <c r="T645" s="1030"/>
      <c r="U645" s="1030"/>
      <c r="V645" s="1030"/>
      <c r="W645" s="1030"/>
      <c r="X645" s="1030"/>
      <c r="Y645" s="1030"/>
      <c r="Z645" s="1030"/>
      <c r="AA645" s="1030"/>
      <c r="AB645" s="1030"/>
    </row>
    <row r="646" spans="1:28">
      <c r="A646" s="1030"/>
      <c r="B646" s="1030"/>
      <c r="C646" s="1030"/>
      <c r="D646" s="1030"/>
      <c r="E646" s="1030"/>
      <c r="F646" s="1030"/>
      <c r="G646" s="1030"/>
      <c r="H646" s="1030"/>
      <c r="I646" s="1030"/>
      <c r="J646" s="1097"/>
      <c r="K646" s="1030"/>
      <c r="L646" s="1030"/>
      <c r="M646" s="1030"/>
      <c r="N646" s="1030"/>
      <c r="O646" s="1030"/>
      <c r="P646" s="1030"/>
      <c r="Q646" s="1030"/>
      <c r="R646" s="1030"/>
      <c r="S646" s="1030"/>
      <c r="T646" s="1030"/>
      <c r="U646" s="1030"/>
      <c r="V646" s="1030"/>
      <c r="W646" s="1030"/>
      <c r="X646" s="1030"/>
      <c r="Y646" s="1030"/>
      <c r="Z646" s="1030"/>
      <c r="AA646" s="1030"/>
      <c r="AB646" s="1030"/>
    </row>
    <row r="647" spans="1:28">
      <c r="A647" s="1030"/>
      <c r="B647" s="1030"/>
      <c r="C647" s="1030"/>
      <c r="D647" s="1030"/>
      <c r="E647" s="1030"/>
      <c r="F647" s="1030"/>
      <c r="G647" s="1030"/>
      <c r="H647" s="1030"/>
      <c r="I647" s="1030"/>
      <c r="J647" s="1097"/>
      <c r="K647" s="1030"/>
      <c r="L647" s="1030"/>
      <c r="M647" s="1030"/>
      <c r="N647" s="1030"/>
      <c r="O647" s="1030"/>
      <c r="P647" s="1030"/>
      <c r="Q647" s="1030"/>
      <c r="R647" s="1030"/>
      <c r="S647" s="1030"/>
      <c r="T647" s="1030"/>
      <c r="U647" s="1030"/>
      <c r="V647" s="1030"/>
      <c r="W647" s="1030"/>
      <c r="X647" s="1030"/>
      <c r="Y647" s="1030"/>
      <c r="Z647" s="1030"/>
      <c r="AA647" s="1030"/>
      <c r="AB647" s="1030"/>
    </row>
    <row r="648" spans="1:28">
      <c r="A648" s="1030"/>
      <c r="B648" s="1030"/>
      <c r="C648" s="1030"/>
      <c r="D648" s="1030"/>
      <c r="E648" s="1030"/>
      <c r="F648" s="1030"/>
      <c r="G648" s="1030"/>
      <c r="H648" s="1030"/>
      <c r="I648" s="1030"/>
      <c r="J648" s="1097"/>
      <c r="K648" s="1030"/>
      <c r="L648" s="1030"/>
      <c r="M648" s="1030"/>
      <c r="N648" s="1030"/>
      <c r="O648" s="1030"/>
      <c r="P648" s="1030"/>
      <c r="Q648" s="1030"/>
      <c r="R648" s="1030"/>
      <c r="S648" s="1030"/>
      <c r="T648" s="1030"/>
      <c r="U648" s="1030"/>
      <c r="V648" s="1030"/>
      <c r="W648" s="1030"/>
      <c r="X648" s="1030"/>
      <c r="Y648" s="1030"/>
      <c r="Z648" s="1030"/>
      <c r="AA648" s="1030"/>
      <c r="AB648" s="1030"/>
    </row>
    <row r="649" spans="1:28">
      <c r="A649" s="1030"/>
      <c r="B649" s="1030"/>
      <c r="C649" s="1030"/>
      <c r="D649" s="1030"/>
      <c r="E649" s="1030"/>
      <c r="F649" s="1030"/>
      <c r="G649" s="1030"/>
      <c r="H649" s="1030"/>
      <c r="I649" s="1030"/>
      <c r="J649" s="1097"/>
      <c r="K649" s="1030"/>
      <c r="L649" s="1030"/>
      <c r="M649" s="1030"/>
      <c r="N649" s="1030"/>
      <c r="O649" s="1030"/>
      <c r="P649" s="1030"/>
      <c r="Q649" s="1030"/>
      <c r="R649" s="1030"/>
      <c r="S649" s="1030"/>
      <c r="T649" s="1030"/>
      <c r="U649" s="1030"/>
      <c r="V649" s="1030"/>
      <c r="W649" s="1030"/>
      <c r="X649" s="1030"/>
      <c r="Y649" s="1030"/>
      <c r="Z649" s="1030"/>
      <c r="AA649" s="1030"/>
      <c r="AB649" s="1030"/>
    </row>
    <row r="650" spans="1:28">
      <c r="A650" s="1030"/>
      <c r="B650" s="1030"/>
      <c r="C650" s="1030"/>
      <c r="D650" s="1030"/>
      <c r="E650" s="1030"/>
      <c r="F650" s="1030"/>
      <c r="G650" s="1030"/>
      <c r="H650" s="1030"/>
      <c r="I650" s="1030"/>
      <c r="J650" s="1097"/>
      <c r="K650" s="1030"/>
      <c r="L650" s="1030"/>
      <c r="M650" s="1030"/>
      <c r="N650" s="1030"/>
      <c r="O650" s="1030"/>
      <c r="P650" s="1030"/>
      <c r="Q650" s="1030"/>
      <c r="R650" s="1030"/>
      <c r="S650" s="1030"/>
      <c r="T650" s="1030"/>
      <c r="U650" s="1030"/>
      <c r="V650" s="1030"/>
      <c r="W650" s="1030"/>
      <c r="X650" s="1030"/>
      <c r="Y650" s="1030"/>
      <c r="Z650" s="1030"/>
      <c r="AA650" s="1030"/>
      <c r="AB650" s="1030"/>
    </row>
    <row r="651" spans="1:28">
      <c r="A651" s="1030"/>
      <c r="B651" s="1030"/>
      <c r="C651" s="1030"/>
      <c r="D651" s="1030"/>
      <c r="E651" s="1030"/>
      <c r="F651" s="1030"/>
      <c r="G651" s="1030"/>
      <c r="H651" s="1030"/>
      <c r="I651" s="1030"/>
      <c r="J651" s="1097"/>
      <c r="K651" s="1030"/>
      <c r="L651" s="1030"/>
      <c r="M651" s="1030"/>
      <c r="N651" s="1030"/>
      <c r="O651" s="1030"/>
      <c r="P651" s="1030"/>
      <c r="Q651" s="1030"/>
      <c r="R651" s="1030"/>
      <c r="S651" s="1030"/>
      <c r="T651" s="1030"/>
      <c r="U651" s="1030"/>
      <c r="V651" s="1030"/>
      <c r="W651" s="1030"/>
      <c r="X651" s="1030"/>
      <c r="Y651" s="1030"/>
      <c r="Z651" s="1030"/>
      <c r="AA651" s="1030"/>
      <c r="AB651" s="1030"/>
    </row>
    <row r="652" spans="1:28">
      <c r="A652" s="1030"/>
      <c r="B652" s="1030"/>
      <c r="C652" s="1030"/>
      <c r="D652" s="1030"/>
      <c r="E652" s="1030"/>
      <c r="F652" s="1030"/>
      <c r="G652" s="1030"/>
      <c r="H652" s="1030"/>
      <c r="I652" s="1030"/>
      <c r="J652" s="1097"/>
      <c r="K652" s="1030"/>
      <c r="L652" s="1030"/>
      <c r="M652" s="1030"/>
      <c r="N652" s="1030"/>
      <c r="O652" s="1030"/>
      <c r="P652" s="1030"/>
      <c r="Q652" s="1030"/>
      <c r="R652" s="1030"/>
      <c r="S652" s="1030"/>
      <c r="T652" s="1030"/>
      <c r="U652" s="1030"/>
      <c r="V652" s="1030"/>
      <c r="W652" s="1030"/>
      <c r="X652" s="1030"/>
      <c r="Y652" s="1030"/>
      <c r="Z652" s="1030"/>
      <c r="AA652" s="1030"/>
      <c r="AB652" s="1030"/>
    </row>
    <row r="653" spans="1:28">
      <c r="A653" s="1030"/>
      <c r="B653" s="1030"/>
      <c r="C653" s="1030"/>
      <c r="D653" s="1030"/>
      <c r="E653" s="1030"/>
      <c r="F653" s="1030"/>
      <c r="G653" s="1030"/>
      <c r="H653" s="1030"/>
      <c r="I653" s="1030"/>
      <c r="J653" s="1097"/>
      <c r="K653" s="1030"/>
      <c r="L653" s="1030"/>
      <c r="M653" s="1030"/>
      <c r="N653" s="1030"/>
      <c r="O653" s="1030"/>
      <c r="P653" s="1030"/>
      <c r="Q653" s="1030"/>
      <c r="R653" s="1030"/>
      <c r="S653" s="1030"/>
      <c r="T653" s="1030"/>
      <c r="U653" s="1030"/>
      <c r="V653" s="1030"/>
      <c r="W653" s="1030"/>
      <c r="X653" s="1030"/>
      <c r="Y653" s="1030"/>
      <c r="Z653" s="1030"/>
      <c r="AA653" s="1030"/>
      <c r="AB653" s="1030"/>
    </row>
    <row r="654" spans="1:28">
      <c r="A654" s="1030"/>
      <c r="B654" s="1030"/>
      <c r="C654" s="1030"/>
      <c r="D654" s="1030"/>
      <c r="E654" s="1030"/>
      <c r="F654" s="1030"/>
      <c r="G654" s="1030"/>
      <c r="H654" s="1030"/>
      <c r="I654" s="1030"/>
      <c r="J654" s="1097"/>
      <c r="K654" s="1030"/>
      <c r="L654" s="1030"/>
      <c r="M654" s="1030"/>
      <c r="N654" s="1030"/>
      <c r="O654" s="1030"/>
      <c r="P654" s="1030"/>
      <c r="Q654" s="1030"/>
      <c r="R654" s="1030"/>
      <c r="S654" s="1030"/>
      <c r="T654" s="1030"/>
      <c r="U654" s="1030"/>
      <c r="V654" s="1030"/>
      <c r="W654" s="1030"/>
      <c r="X654" s="1030"/>
      <c r="Y654" s="1030"/>
      <c r="Z654" s="1030"/>
      <c r="AA654" s="1030"/>
      <c r="AB654" s="1030"/>
    </row>
    <row r="655" spans="1:28">
      <c r="A655" s="1030"/>
      <c r="B655" s="1030"/>
      <c r="C655" s="1030"/>
      <c r="D655" s="1030"/>
      <c r="E655" s="1030"/>
      <c r="F655" s="1030"/>
      <c r="G655" s="1030"/>
      <c r="H655" s="1030"/>
      <c r="I655" s="1030"/>
      <c r="J655" s="1097"/>
      <c r="K655" s="1030"/>
      <c r="L655" s="1030"/>
      <c r="M655" s="1030"/>
      <c r="N655" s="1030"/>
      <c r="O655" s="1030"/>
      <c r="P655" s="1030"/>
      <c r="Q655" s="1030"/>
      <c r="R655" s="1030"/>
      <c r="S655" s="1030"/>
      <c r="T655" s="1030"/>
      <c r="U655" s="1030"/>
      <c r="V655" s="1030"/>
      <c r="W655" s="1030"/>
      <c r="X655" s="1030"/>
      <c r="Y655" s="1030"/>
      <c r="Z655" s="1030"/>
      <c r="AA655" s="1030"/>
      <c r="AB655" s="1030"/>
    </row>
    <row r="656" spans="1:28">
      <c r="A656" s="1030"/>
      <c r="B656" s="1030"/>
      <c r="C656" s="1030"/>
      <c r="D656" s="1030"/>
      <c r="E656" s="1030"/>
      <c r="F656" s="1030"/>
      <c r="G656" s="1030"/>
      <c r="H656" s="1030"/>
      <c r="I656" s="1030"/>
      <c r="J656" s="1097"/>
      <c r="K656" s="1030"/>
      <c r="L656" s="1030"/>
      <c r="M656" s="1030"/>
      <c r="N656" s="1030"/>
      <c r="O656" s="1030"/>
      <c r="P656" s="1030"/>
      <c r="Q656" s="1030"/>
      <c r="R656" s="1030"/>
      <c r="S656" s="1030"/>
      <c r="T656" s="1030"/>
      <c r="U656" s="1030"/>
      <c r="V656" s="1030"/>
      <c r="W656" s="1030"/>
      <c r="X656" s="1030"/>
      <c r="Y656" s="1030"/>
      <c r="Z656" s="1030"/>
      <c r="AA656" s="1030"/>
      <c r="AB656" s="1030"/>
    </row>
    <row r="657" spans="1:28">
      <c r="A657" s="1030"/>
      <c r="B657" s="1030"/>
      <c r="C657" s="1030"/>
      <c r="D657" s="1030"/>
      <c r="E657" s="1030"/>
      <c r="F657" s="1030"/>
      <c r="G657" s="1030"/>
      <c r="H657" s="1030"/>
      <c r="I657" s="1030"/>
      <c r="J657" s="1097"/>
      <c r="K657" s="1030"/>
      <c r="L657" s="1030"/>
      <c r="M657" s="1030"/>
      <c r="N657" s="1030"/>
      <c r="O657" s="1030"/>
      <c r="P657" s="1030"/>
      <c r="Q657" s="1030"/>
      <c r="R657" s="1030"/>
      <c r="S657" s="1030"/>
      <c r="T657" s="1030"/>
      <c r="U657" s="1030"/>
      <c r="V657" s="1030"/>
      <c r="W657" s="1030"/>
      <c r="X657" s="1030"/>
      <c r="Y657" s="1030"/>
      <c r="Z657" s="1030"/>
      <c r="AA657" s="1030"/>
      <c r="AB657" s="1030"/>
    </row>
    <row r="658" spans="1:28">
      <c r="A658" s="1030"/>
      <c r="B658" s="1030"/>
      <c r="C658" s="1030"/>
      <c r="D658" s="1030"/>
      <c r="E658" s="1030"/>
      <c r="F658" s="1030"/>
      <c r="G658" s="1030"/>
      <c r="H658" s="1030"/>
      <c r="I658" s="1030"/>
      <c r="J658" s="1097"/>
      <c r="K658" s="1030"/>
      <c r="L658" s="1030"/>
      <c r="M658" s="1030"/>
      <c r="N658" s="1030"/>
      <c r="O658" s="1030"/>
      <c r="P658" s="1030"/>
      <c r="Q658" s="1030"/>
      <c r="R658" s="1030"/>
      <c r="S658" s="1030"/>
      <c r="T658" s="1030"/>
      <c r="U658" s="1030"/>
      <c r="V658" s="1030"/>
      <c r="W658" s="1030"/>
      <c r="X658" s="1030"/>
      <c r="Y658" s="1030"/>
      <c r="Z658" s="1030"/>
      <c r="AA658" s="1030"/>
      <c r="AB658" s="1030"/>
    </row>
    <row r="659" spans="1:28">
      <c r="A659" s="1030"/>
      <c r="B659" s="1030"/>
      <c r="C659" s="1030"/>
      <c r="D659" s="1030"/>
      <c r="E659" s="1030"/>
      <c r="F659" s="1030"/>
      <c r="G659" s="1030"/>
      <c r="H659" s="1030"/>
      <c r="I659" s="1030"/>
      <c r="J659" s="1097"/>
      <c r="K659" s="1030"/>
      <c r="L659" s="1030"/>
      <c r="M659" s="1030"/>
      <c r="N659" s="1030"/>
      <c r="O659" s="1030"/>
      <c r="P659" s="1030"/>
      <c r="Q659" s="1030"/>
      <c r="R659" s="1030"/>
      <c r="S659" s="1030"/>
      <c r="T659" s="1030"/>
      <c r="U659" s="1030"/>
      <c r="V659" s="1030"/>
      <c r="W659" s="1030"/>
      <c r="X659" s="1030"/>
      <c r="Y659" s="1030"/>
      <c r="Z659" s="1030"/>
      <c r="AA659" s="1030"/>
      <c r="AB659" s="1030"/>
    </row>
    <row r="660" spans="1:28">
      <c r="A660" s="1030"/>
      <c r="B660" s="1030"/>
      <c r="C660" s="1030"/>
      <c r="D660" s="1030"/>
      <c r="E660" s="1030"/>
      <c r="F660" s="1030"/>
      <c r="G660" s="1030"/>
      <c r="H660" s="1030"/>
      <c r="I660" s="1030"/>
      <c r="J660" s="1097"/>
      <c r="K660" s="1030"/>
      <c r="L660" s="1030"/>
      <c r="M660" s="1030"/>
      <c r="N660" s="1030"/>
      <c r="O660" s="1030"/>
      <c r="P660" s="1030"/>
      <c r="Q660" s="1030"/>
      <c r="R660" s="1030"/>
      <c r="S660" s="1030"/>
      <c r="T660" s="1030"/>
      <c r="U660" s="1030"/>
      <c r="V660" s="1030"/>
      <c r="W660" s="1030"/>
      <c r="X660" s="1030"/>
      <c r="Y660" s="1030"/>
      <c r="Z660" s="1030"/>
      <c r="AA660" s="1030"/>
      <c r="AB660" s="1030"/>
    </row>
    <row r="661" spans="1:28">
      <c r="A661" s="1030"/>
      <c r="B661" s="1030"/>
      <c r="C661" s="1030"/>
      <c r="D661" s="1030"/>
      <c r="E661" s="1030"/>
      <c r="F661" s="1030"/>
      <c r="G661" s="1030"/>
      <c r="H661" s="1030"/>
      <c r="I661" s="1030"/>
      <c r="J661" s="1097"/>
      <c r="K661" s="1030"/>
      <c r="L661" s="1030"/>
      <c r="M661" s="1030"/>
      <c r="N661" s="1030"/>
      <c r="O661" s="1030"/>
      <c r="P661" s="1030"/>
      <c r="Q661" s="1030"/>
      <c r="R661" s="1030"/>
      <c r="S661" s="1030"/>
      <c r="T661" s="1030"/>
      <c r="U661" s="1030"/>
      <c r="V661" s="1030"/>
      <c r="W661" s="1030"/>
      <c r="X661" s="1030"/>
      <c r="Y661" s="1030"/>
      <c r="Z661" s="1030"/>
      <c r="AA661" s="1030"/>
      <c r="AB661" s="1030"/>
    </row>
    <row r="662" spans="1:28">
      <c r="A662" s="1030"/>
      <c r="B662" s="1030"/>
      <c r="C662" s="1030"/>
      <c r="D662" s="1030"/>
      <c r="E662" s="1030"/>
      <c r="F662" s="1030"/>
      <c r="G662" s="1030"/>
      <c r="H662" s="1030"/>
      <c r="I662" s="1030"/>
      <c r="J662" s="1097"/>
      <c r="K662" s="1030"/>
      <c r="L662" s="1030"/>
      <c r="M662" s="1030"/>
      <c r="N662" s="1030"/>
      <c r="O662" s="1030"/>
      <c r="P662" s="1030"/>
      <c r="Q662" s="1030"/>
      <c r="R662" s="1030"/>
      <c r="S662" s="1030"/>
      <c r="T662" s="1030"/>
      <c r="U662" s="1030"/>
      <c r="V662" s="1030"/>
      <c r="W662" s="1030"/>
      <c r="X662" s="1030"/>
      <c r="Y662" s="1030"/>
      <c r="Z662" s="1030"/>
      <c r="AA662" s="1030"/>
      <c r="AB662" s="1030"/>
    </row>
    <row r="663" spans="1:28">
      <c r="A663" s="1030"/>
      <c r="B663" s="1030"/>
      <c r="C663" s="1030"/>
      <c r="D663" s="1030"/>
      <c r="E663" s="1030"/>
      <c r="F663" s="1030"/>
      <c r="G663" s="1030"/>
      <c r="H663" s="1030"/>
      <c r="I663" s="1030"/>
      <c r="J663" s="1097"/>
      <c r="K663" s="1030"/>
      <c r="L663" s="1030"/>
      <c r="M663" s="1030"/>
      <c r="N663" s="1030"/>
      <c r="O663" s="1030"/>
      <c r="P663" s="1030"/>
      <c r="Q663" s="1030"/>
      <c r="R663" s="1030"/>
      <c r="S663" s="1030"/>
      <c r="T663" s="1030"/>
      <c r="U663" s="1030"/>
      <c r="V663" s="1030"/>
      <c r="W663" s="1030"/>
      <c r="X663" s="1030"/>
      <c r="Y663" s="1030"/>
      <c r="Z663" s="1030"/>
      <c r="AA663" s="1030"/>
      <c r="AB663" s="1030"/>
    </row>
    <row r="664" spans="1:28">
      <c r="A664" s="1030"/>
      <c r="B664" s="1030"/>
      <c r="C664" s="1030"/>
      <c r="D664" s="1030"/>
      <c r="E664" s="1030"/>
      <c r="F664" s="1030"/>
      <c r="G664" s="1030"/>
      <c r="H664" s="1030"/>
      <c r="I664" s="1030"/>
      <c r="J664" s="1097"/>
      <c r="K664" s="1030"/>
      <c r="L664" s="1030"/>
      <c r="M664" s="1030"/>
      <c r="N664" s="1030"/>
      <c r="O664" s="1030"/>
      <c r="P664" s="1030"/>
      <c r="Q664" s="1030"/>
      <c r="R664" s="1030"/>
      <c r="S664" s="1030"/>
      <c r="T664" s="1030"/>
      <c r="U664" s="1030"/>
      <c r="V664" s="1030"/>
      <c r="W664" s="1030"/>
      <c r="X664" s="1030"/>
      <c r="Y664" s="1030"/>
      <c r="Z664" s="1030"/>
      <c r="AA664" s="1030"/>
      <c r="AB664" s="1030"/>
    </row>
    <row r="665" spans="1:28">
      <c r="A665" s="1030"/>
      <c r="B665" s="1030"/>
      <c r="C665" s="1030"/>
      <c r="D665" s="1030"/>
      <c r="E665" s="1030"/>
      <c r="F665" s="1030"/>
      <c r="G665" s="1030"/>
      <c r="H665" s="1030"/>
      <c r="I665" s="1030"/>
      <c r="J665" s="1097"/>
      <c r="K665" s="1030"/>
      <c r="L665" s="1030"/>
      <c r="M665" s="1030"/>
      <c r="N665" s="1030"/>
      <c r="O665" s="1030"/>
      <c r="P665" s="1030"/>
      <c r="Q665" s="1030"/>
      <c r="R665" s="1030"/>
      <c r="S665" s="1030"/>
      <c r="T665" s="1030"/>
      <c r="U665" s="1030"/>
      <c r="V665" s="1030"/>
      <c r="W665" s="1030"/>
      <c r="X665" s="1030"/>
      <c r="Y665" s="1030"/>
      <c r="Z665" s="1030"/>
      <c r="AA665" s="1030"/>
      <c r="AB665" s="1030"/>
    </row>
    <row r="666" spans="1:28">
      <c r="A666" s="1030"/>
      <c r="B666" s="1030"/>
      <c r="C666" s="1030"/>
      <c r="D666" s="1030"/>
      <c r="E666" s="1030"/>
      <c r="F666" s="1030"/>
      <c r="G666" s="1030"/>
      <c r="H666" s="1030"/>
      <c r="I666" s="1030"/>
      <c r="J666" s="1097"/>
      <c r="K666" s="1030"/>
      <c r="L666" s="1030"/>
      <c r="M666" s="1030"/>
      <c r="N666" s="1030"/>
      <c r="O666" s="1030"/>
      <c r="P666" s="1030"/>
      <c r="Q666" s="1030"/>
      <c r="R666" s="1030"/>
      <c r="S666" s="1030"/>
      <c r="T666" s="1030"/>
      <c r="U666" s="1030"/>
      <c r="V666" s="1030"/>
      <c r="W666" s="1030"/>
      <c r="X666" s="1030"/>
      <c r="Y666" s="1030"/>
      <c r="Z666" s="1030"/>
      <c r="AA666" s="1030"/>
      <c r="AB666" s="1030"/>
    </row>
    <row r="667" spans="1:28">
      <c r="A667" s="1030"/>
      <c r="B667" s="1030"/>
      <c r="C667" s="1030"/>
      <c r="D667" s="1030"/>
      <c r="E667" s="1030"/>
      <c r="F667" s="1030"/>
      <c r="G667" s="1030"/>
      <c r="H667" s="1030"/>
      <c r="I667" s="1030"/>
      <c r="J667" s="1097"/>
      <c r="K667" s="1030"/>
      <c r="L667" s="1030"/>
      <c r="M667" s="1030"/>
      <c r="N667" s="1030"/>
      <c r="O667" s="1030"/>
      <c r="P667" s="1030"/>
      <c r="Q667" s="1030"/>
      <c r="R667" s="1030"/>
      <c r="S667" s="1030"/>
      <c r="T667" s="1030"/>
      <c r="U667" s="1030"/>
      <c r="V667" s="1030"/>
      <c r="W667" s="1030"/>
      <c r="X667" s="1030"/>
      <c r="Y667" s="1030"/>
      <c r="Z667" s="1030"/>
      <c r="AA667" s="1030"/>
      <c r="AB667" s="1030"/>
    </row>
    <row r="668" spans="1:28">
      <c r="A668" s="1030"/>
      <c r="B668" s="1030"/>
      <c r="C668" s="1030"/>
      <c r="D668" s="1030"/>
      <c r="E668" s="1030"/>
      <c r="F668" s="1030"/>
      <c r="G668" s="1030"/>
      <c r="H668" s="1030"/>
      <c r="I668" s="1030"/>
      <c r="J668" s="1097"/>
      <c r="K668" s="1030"/>
      <c r="L668" s="1030"/>
      <c r="M668" s="1030"/>
      <c r="N668" s="1030"/>
      <c r="O668" s="1030"/>
      <c r="P668" s="1030"/>
      <c r="Q668" s="1030"/>
      <c r="R668" s="1030"/>
      <c r="S668" s="1030"/>
      <c r="T668" s="1030"/>
      <c r="U668" s="1030"/>
      <c r="V668" s="1030"/>
      <c r="W668" s="1030"/>
      <c r="X668" s="1030"/>
      <c r="Y668" s="1030"/>
      <c r="Z668" s="1030"/>
      <c r="AA668" s="1030"/>
      <c r="AB668" s="1030"/>
    </row>
    <row r="669" spans="1:28">
      <c r="A669" s="1030"/>
      <c r="B669" s="1030"/>
      <c r="C669" s="1030"/>
      <c r="D669" s="1030"/>
      <c r="E669" s="1030"/>
      <c r="F669" s="1030"/>
      <c r="G669" s="1030"/>
      <c r="H669" s="1030"/>
      <c r="I669" s="1030"/>
      <c r="J669" s="1097"/>
      <c r="K669" s="1030"/>
      <c r="L669" s="1030"/>
      <c r="M669" s="1030"/>
      <c r="N669" s="1030"/>
      <c r="O669" s="1030"/>
      <c r="P669" s="1030"/>
      <c r="Q669" s="1030"/>
      <c r="R669" s="1030"/>
      <c r="S669" s="1030"/>
      <c r="T669" s="1030"/>
      <c r="U669" s="1030"/>
      <c r="V669" s="1030"/>
      <c r="W669" s="1030"/>
      <c r="X669" s="1030"/>
      <c r="Y669" s="1030"/>
      <c r="Z669" s="1030"/>
      <c r="AA669" s="1030"/>
      <c r="AB669" s="1030"/>
    </row>
    <row r="670" spans="1:28">
      <c r="A670" s="1030"/>
      <c r="B670" s="1030"/>
      <c r="C670" s="1030"/>
      <c r="D670" s="1030"/>
      <c r="E670" s="1030"/>
      <c r="F670" s="1030"/>
      <c r="G670" s="1030"/>
      <c r="H670" s="1030"/>
      <c r="I670" s="1030"/>
      <c r="J670" s="1097"/>
      <c r="K670" s="1030"/>
      <c r="L670" s="1030"/>
      <c r="M670" s="1030"/>
      <c r="N670" s="1030"/>
      <c r="O670" s="1030"/>
      <c r="P670" s="1030"/>
      <c r="Q670" s="1030"/>
      <c r="R670" s="1030"/>
      <c r="S670" s="1030"/>
      <c r="T670" s="1030"/>
      <c r="U670" s="1030"/>
      <c r="V670" s="1030"/>
      <c r="W670" s="1030"/>
      <c r="X670" s="1030"/>
      <c r="Y670" s="1030"/>
      <c r="Z670" s="1030"/>
      <c r="AA670" s="1030"/>
      <c r="AB670" s="1030"/>
    </row>
    <row r="671" spans="1:28">
      <c r="A671" s="1030"/>
      <c r="B671" s="1030"/>
      <c r="C671" s="1030"/>
      <c r="D671" s="1030"/>
      <c r="E671" s="1030"/>
      <c r="F671" s="1030"/>
      <c r="G671" s="1030"/>
      <c r="H671" s="1030"/>
      <c r="I671" s="1030"/>
      <c r="J671" s="1097"/>
      <c r="K671" s="1030"/>
      <c r="L671" s="1030"/>
      <c r="M671" s="1030"/>
      <c r="N671" s="1030"/>
      <c r="O671" s="1030"/>
      <c r="P671" s="1030"/>
      <c r="Q671" s="1030"/>
      <c r="R671" s="1030"/>
      <c r="S671" s="1030"/>
      <c r="T671" s="1030"/>
      <c r="U671" s="1030"/>
      <c r="V671" s="1030"/>
      <c r="W671" s="1030"/>
      <c r="X671" s="1030"/>
      <c r="Y671" s="1030"/>
      <c r="Z671" s="1030"/>
      <c r="AA671" s="1030"/>
      <c r="AB671" s="1030"/>
    </row>
    <row r="672" spans="1:28">
      <c r="A672" s="1030"/>
      <c r="B672" s="1030"/>
      <c r="C672" s="1030"/>
      <c r="D672" s="1030"/>
      <c r="E672" s="1030"/>
      <c r="F672" s="1030"/>
      <c r="G672" s="1030"/>
      <c r="H672" s="1030"/>
      <c r="I672" s="1030"/>
      <c r="J672" s="1097"/>
      <c r="K672" s="1030"/>
      <c r="L672" s="1030"/>
      <c r="M672" s="1030"/>
      <c r="N672" s="1030"/>
      <c r="O672" s="1030"/>
      <c r="P672" s="1030"/>
      <c r="Q672" s="1030"/>
      <c r="R672" s="1030"/>
      <c r="S672" s="1030"/>
      <c r="T672" s="1030"/>
      <c r="U672" s="1030"/>
      <c r="V672" s="1030"/>
      <c r="W672" s="1030"/>
      <c r="X672" s="1030"/>
      <c r="Y672" s="1030"/>
      <c r="Z672" s="1030"/>
      <c r="AA672" s="1030"/>
      <c r="AB672" s="1030"/>
    </row>
    <row r="673" spans="1:28">
      <c r="A673" s="1030"/>
      <c r="B673" s="1030"/>
      <c r="C673" s="1030"/>
      <c r="D673" s="1030"/>
      <c r="E673" s="1030"/>
      <c r="F673" s="1030"/>
      <c r="G673" s="1030"/>
      <c r="H673" s="1030"/>
      <c r="I673" s="1030"/>
      <c r="J673" s="1097"/>
      <c r="K673" s="1030"/>
      <c r="L673" s="1030"/>
      <c r="M673" s="1030"/>
      <c r="N673" s="1030"/>
      <c r="O673" s="1030"/>
      <c r="P673" s="1030"/>
      <c r="Q673" s="1030"/>
      <c r="R673" s="1030"/>
      <c r="S673" s="1030"/>
      <c r="T673" s="1030"/>
      <c r="U673" s="1030"/>
      <c r="V673" s="1030"/>
      <c r="W673" s="1030"/>
      <c r="X673" s="1030"/>
      <c r="Y673" s="1030"/>
      <c r="Z673" s="1030"/>
      <c r="AA673" s="1030"/>
      <c r="AB673" s="1030"/>
    </row>
    <row r="674" spans="1:28">
      <c r="A674" s="1030"/>
      <c r="B674" s="1030"/>
      <c r="C674" s="1030"/>
      <c r="D674" s="1030"/>
      <c r="E674" s="1030"/>
      <c r="F674" s="1030"/>
      <c r="G674" s="1030"/>
      <c r="H674" s="1030"/>
      <c r="I674" s="1030"/>
      <c r="J674" s="1097"/>
      <c r="K674" s="1030"/>
      <c r="L674" s="1030"/>
      <c r="M674" s="1030"/>
      <c r="N674" s="1030"/>
      <c r="O674" s="1030"/>
      <c r="P674" s="1030"/>
      <c r="Q674" s="1030"/>
      <c r="R674" s="1030"/>
      <c r="S674" s="1030"/>
      <c r="T674" s="1030"/>
      <c r="U674" s="1030"/>
      <c r="V674" s="1030"/>
      <c r="W674" s="1030"/>
      <c r="X674" s="1030"/>
      <c r="Y674" s="1030"/>
      <c r="Z674" s="1030"/>
      <c r="AA674" s="1030"/>
      <c r="AB674" s="1030"/>
    </row>
    <row r="675" spans="1:28">
      <c r="A675" s="1030"/>
      <c r="B675" s="1030"/>
      <c r="C675" s="1030"/>
      <c r="D675" s="1030"/>
      <c r="E675" s="1030"/>
      <c r="F675" s="1030"/>
      <c r="G675" s="1030"/>
      <c r="H675" s="1030"/>
      <c r="I675" s="1030"/>
      <c r="J675" s="1097"/>
      <c r="K675" s="1030"/>
      <c r="L675" s="1030"/>
      <c r="M675" s="1030"/>
      <c r="N675" s="1030"/>
      <c r="O675" s="1030"/>
      <c r="P675" s="1030"/>
      <c r="Q675" s="1030"/>
      <c r="R675" s="1030"/>
      <c r="S675" s="1030"/>
      <c r="T675" s="1030"/>
      <c r="U675" s="1030"/>
      <c r="V675" s="1030"/>
      <c r="W675" s="1030"/>
      <c r="X675" s="1030"/>
      <c r="Y675" s="1030"/>
      <c r="Z675" s="1030"/>
      <c r="AA675" s="1030"/>
      <c r="AB675" s="1030"/>
    </row>
    <row r="676" spans="1:28">
      <c r="A676" s="1030"/>
      <c r="B676" s="1030"/>
      <c r="C676" s="1030"/>
      <c r="D676" s="1030"/>
      <c r="E676" s="1030"/>
      <c r="F676" s="1030"/>
      <c r="G676" s="1030"/>
      <c r="H676" s="1030"/>
      <c r="I676" s="1030"/>
      <c r="J676" s="1097"/>
      <c r="K676" s="1030"/>
      <c r="L676" s="1030"/>
      <c r="M676" s="1030"/>
      <c r="N676" s="1030"/>
      <c r="O676" s="1030"/>
      <c r="P676" s="1030"/>
      <c r="Q676" s="1030"/>
      <c r="R676" s="1030"/>
      <c r="S676" s="1030"/>
      <c r="T676" s="1030"/>
      <c r="U676" s="1030"/>
      <c r="V676" s="1030"/>
      <c r="W676" s="1030"/>
      <c r="X676" s="1030"/>
      <c r="Y676" s="1030"/>
      <c r="Z676" s="1030"/>
      <c r="AA676" s="1030"/>
      <c r="AB676" s="1030"/>
    </row>
    <row r="677" spans="1:28">
      <c r="A677" s="1030"/>
      <c r="B677" s="1030"/>
      <c r="C677" s="1030"/>
      <c r="D677" s="1030"/>
      <c r="E677" s="1030"/>
      <c r="F677" s="1030"/>
      <c r="G677" s="1030"/>
      <c r="H677" s="1030"/>
      <c r="I677" s="1030"/>
      <c r="J677" s="1097"/>
      <c r="K677" s="1030"/>
      <c r="L677" s="1030"/>
      <c r="M677" s="1030"/>
      <c r="N677" s="1030"/>
      <c r="O677" s="1030"/>
      <c r="P677" s="1030"/>
      <c r="Q677" s="1030"/>
      <c r="R677" s="1030"/>
      <c r="S677" s="1030"/>
      <c r="T677" s="1030"/>
      <c r="U677" s="1030"/>
      <c r="V677" s="1030"/>
      <c r="W677" s="1030"/>
      <c r="X677" s="1030"/>
      <c r="Y677" s="1030"/>
      <c r="Z677" s="1030"/>
      <c r="AA677" s="1030"/>
      <c r="AB677" s="1030"/>
    </row>
    <row r="678" spans="1:28">
      <c r="A678" s="1030"/>
      <c r="B678" s="1030"/>
      <c r="C678" s="1030"/>
      <c r="D678" s="1030"/>
      <c r="E678" s="1030"/>
      <c r="F678" s="1030"/>
      <c r="G678" s="1030"/>
      <c r="H678" s="1030"/>
      <c r="I678" s="1030"/>
      <c r="J678" s="1097"/>
      <c r="K678" s="1030"/>
      <c r="L678" s="1030"/>
      <c r="M678" s="1030"/>
      <c r="N678" s="1030"/>
      <c r="O678" s="1030"/>
      <c r="P678" s="1030"/>
      <c r="Q678" s="1030"/>
      <c r="R678" s="1030"/>
      <c r="S678" s="1030"/>
      <c r="T678" s="1030"/>
      <c r="U678" s="1030"/>
      <c r="V678" s="1030"/>
      <c r="W678" s="1030"/>
      <c r="X678" s="1030"/>
      <c r="Y678" s="1030"/>
      <c r="Z678" s="1030"/>
      <c r="AA678" s="1030"/>
      <c r="AB678" s="1030"/>
    </row>
    <row r="679" spans="1:28">
      <c r="A679" s="1030"/>
      <c r="B679" s="1030"/>
      <c r="C679" s="1030"/>
      <c r="D679" s="1030"/>
      <c r="E679" s="1030"/>
      <c r="F679" s="1030"/>
      <c r="G679" s="1030"/>
      <c r="H679" s="1030"/>
      <c r="I679" s="1030"/>
      <c r="J679" s="1097"/>
      <c r="K679" s="1030"/>
      <c r="L679" s="1030"/>
      <c r="M679" s="1030"/>
      <c r="N679" s="1030"/>
      <c r="O679" s="1030"/>
      <c r="P679" s="1030"/>
      <c r="Q679" s="1030"/>
      <c r="R679" s="1030"/>
      <c r="S679" s="1030"/>
      <c r="T679" s="1030"/>
      <c r="U679" s="1030"/>
      <c r="V679" s="1030"/>
      <c r="W679" s="1030"/>
      <c r="X679" s="1030"/>
      <c r="Y679" s="1030"/>
      <c r="Z679" s="1030"/>
      <c r="AA679" s="1030"/>
      <c r="AB679" s="1030"/>
    </row>
    <row r="680" spans="1:28">
      <c r="A680" s="1030"/>
      <c r="B680" s="1030"/>
      <c r="C680" s="1030"/>
      <c r="D680" s="1030"/>
      <c r="E680" s="1030"/>
      <c r="F680" s="1030"/>
      <c r="G680" s="1030"/>
      <c r="H680" s="1030"/>
      <c r="I680" s="1030"/>
      <c r="J680" s="1097"/>
      <c r="K680" s="1030"/>
      <c r="L680" s="1030"/>
      <c r="M680" s="1030"/>
      <c r="N680" s="1030"/>
      <c r="O680" s="1030"/>
      <c r="P680" s="1030"/>
      <c r="Q680" s="1030"/>
      <c r="R680" s="1030"/>
      <c r="S680" s="1030"/>
      <c r="T680" s="1030"/>
      <c r="U680" s="1030"/>
      <c r="V680" s="1030"/>
      <c r="W680" s="1030"/>
      <c r="X680" s="1030"/>
      <c r="Y680" s="1030"/>
      <c r="Z680" s="1030"/>
      <c r="AA680" s="1030"/>
      <c r="AB680" s="1030"/>
    </row>
    <row r="681" spans="1:28">
      <c r="A681" s="1030"/>
      <c r="B681" s="1030"/>
      <c r="C681" s="1030"/>
      <c r="D681" s="1030"/>
      <c r="E681" s="1030"/>
      <c r="F681" s="1030"/>
      <c r="G681" s="1030"/>
      <c r="H681" s="1030"/>
      <c r="I681" s="1030"/>
      <c r="J681" s="1097"/>
      <c r="K681" s="1030"/>
      <c r="L681" s="1030"/>
      <c r="M681" s="1030"/>
      <c r="N681" s="1030"/>
      <c r="O681" s="1030"/>
      <c r="P681" s="1030"/>
      <c r="Q681" s="1030"/>
      <c r="R681" s="1030"/>
      <c r="S681" s="1030"/>
      <c r="T681" s="1030"/>
      <c r="U681" s="1030"/>
      <c r="V681" s="1030"/>
      <c r="W681" s="1030"/>
      <c r="X681" s="1030"/>
      <c r="Y681" s="1030"/>
      <c r="Z681" s="1030"/>
      <c r="AA681" s="1030"/>
      <c r="AB681" s="1030"/>
    </row>
    <row r="682" spans="1:28">
      <c r="A682" s="1030"/>
      <c r="B682" s="1030"/>
      <c r="C682" s="1030"/>
      <c r="D682" s="1030"/>
      <c r="E682" s="1030"/>
      <c r="F682" s="1030"/>
      <c r="G682" s="1030"/>
      <c r="H682" s="1030"/>
      <c r="I682" s="1030"/>
      <c r="J682" s="1097"/>
      <c r="K682" s="1030"/>
      <c r="L682" s="1030"/>
      <c r="M682" s="1030"/>
      <c r="N682" s="1030"/>
      <c r="O682" s="1030"/>
      <c r="P682" s="1030"/>
      <c r="Q682" s="1030"/>
      <c r="R682" s="1030"/>
      <c r="S682" s="1030"/>
      <c r="T682" s="1030"/>
      <c r="U682" s="1030"/>
      <c r="V682" s="1030"/>
      <c r="W682" s="1030"/>
      <c r="X682" s="1030"/>
      <c r="Y682" s="1030"/>
      <c r="Z682" s="1030"/>
      <c r="AA682" s="1030"/>
      <c r="AB682" s="1030"/>
    </row>
    <row r="683" spans="1:28">
      <c r="A683" s="1030"/>
      <c r="B683" s="1030"/>
      <c r="C683" s="1030"/>
      <c r="D683" s="1030"/>
      <c r="E683" s="1030"/>
      <c r="F683" s="1030"/>
      <c r="G683" s="1030"/>
      <c r="H683" s="1030"/>
      <c r="I683" s="1030"/>
      <c r="J683" s="1097"/>
      <c r="K683" s="1030"/>
      <c r="L683" s="1030"/>
      <c r="M683" s="1030"/>
      <c r="N683" s="1030"/>
      <c r="O683" s="1030"/>
      <c r="P683" s="1030"/>
      <c r="Q683" s="1030"/>
      <c r="R683" s="1030"/>
      <c r="S683" s="1030"/>
      <c r="T683" s="1030"/>
      <c r="U683" s="1030"/>
      <c r="V683" s="1030"/>
      <c r="W683" s="1030"/>
      <c r="X683" s="1030"/>
      <c r="Y683" s="1030"/>
      <c r="Z683" s="1030"/>
      <c r="AA683" s="1030"/>
      <c r="AB683" s="1030"/>
    </row>
    <row r="684" spans="1:28">
      <c r="A684" s="1030"/>
      <c r="B684" s="1030"/>
      <c r="C684" s="1030"/>
      <c r="D684" s="1030"/>
      <c r="E684" s="1030"/>
      <c r="F684" s="1030"/>
      <c r="G684" s="1030"/>
      <c r="H684" s="1030"/>
      <c r="I684" s="1030"/>
      <c r="J684" s="1097"/>
      <c r="K684" s="1030"/>
      <c r="L684" s="1030"/>
      <c r="M684" s="1030"/>
      <c r="N684" s="1030"/>
      <c r="O684" s="1030"/>
      <c r="P684" s="1030"/>
      <c r="Q684" s="1030"/>
      <c r="R684" s="1030"/>
      <c r="S684" s="1030"/>
      <c r="T684" s="1030"/>
      <c r="U684" s="1030"/>
      <c r="V684" s="1030"/>
      <c r="W684" s="1030"/>
      <c r="X684" s="1030"/>
      <c r="Y684" s="1030"/>
      <c r="Z684" s="1030"/>
      <c r="AA684" s="1030"/>
      <c r="AB684" s="1030"/>
    </row>
    <row r="685" spans="1:28">
      <c r="A685" s="1030"/>
      <c r="B685" s="1030"/>
      <c r="C685" s="1030"/>
      <c r="D685" s="1030"/>
      <c r="E685" s="1030"/>
      <c r="F685" s="1030"/>
      <c r="G685" s="1030"/>
      <c r="H685" s="1030"/>
      <c r="I685" s="1030"/>
      <c r="J685" s="1097"/>
      <c r="K685" s="1030"/>
      <c r="L685" s="1030"/>
      <c r="M685" s="1030"/>
      <c r="N685" s="1030"/>
      <c r="O685" s="1030"/>
      <c r="P685" s="1030"/>
      <c r="Q685" s="1030"/>
      <c r="R685" s="1030"/>
      <c r="S685" s="1030"/>
      <c r="T685" s="1030"/>
      <c r="U685" s="1030"/>
      <c r="V685" s="1030"/>
      <c r="W685" s="1030"/>
      <c r="X685" s="1030"/>
      <c r="Y685" s="1030"/>
      <c r="Z685" s="1030"/>
      <c r="AA685" s="1030"/>
      <c r="AB685" s="1030"/>
    </row>
    <row r="686" spans="1:28">
      <c r="A686" s="1030"/>
      <c r="B686" s="1030"/>
      <c r="C686" s="1030"/>
      <c r="D686" s="1030"/>
      <c r="E686" s="1030"/>
      <c r="F686" s="1030"/>
      <c r="G686" s="1030"/>
      <c r="H686" s="1030"/>
      <c r="I686" s="1030"/>
      <c r="J686" s="1097"/>
      <c r="K686" s="1030"/>
      <c r="L686" s="1030"/>
      <c r="M686" s="1030"/>
      <c r="N686" s="1030"/>
      <c r="O686" s="1030"/>
      <c r="P686" s="1030"/>
      <c r="Q686" s="1030"/>
      <c r="R686" s="1030"/>
      <c r="S686" s="1030"/>
      <c r="T686" s="1030"/>
      <c r="U686" s="1030"/>
      <c r="V686" s="1030"/>
      <c r="W686" s="1030"/>
      <c r="X686" s="1030"/>
      <c r="Y686" s="1030"/>
      <c r="Z686" s="1030"/>
      <c r="AA686" s="1030"/>
      <c r="AB686" s="1030"/>
    </row>
    <row r="687" spans="1:28">
      <c r="A687" s="1030"/>
      <c r="B687" s="1030"/>
      <c r="C687" s="1030"/>
      <c r="D687" s="1030"/>
      <c r="E687" s="1030"/>
      <c r="F687" s="1030"/>
      <c r="G687" s="1030"/>
      <c r="H687" s="1030"/>
      <c r="I687" s="1030"/>
      <c r="J687" s="1097"/>
      <c r="K687" s="1030"/>
      <c r="L687" s="1030"/>
      <c r="M687" s="1030"/>
      <c r="N687" s="1030"/>
      <c r="O687" s="1030"/>
      <c r="P687" s="1030"/>
      <c r="Q687" s="1030"/>
      <c r="R687" s="1030"/>
      <c r="S687" s="1030"/>
      <c r="T687" s="1030"/>
      <c r="U687" s="1030"/>
      <c r="V687" s="1030"/>
      <c r="W687" s="1030"/>
      <c r="X687" s="1030"/>
      <c r="Y687" s="1030"/>
      <c r="Z687" s="1030"/>
      <c r="AA687" s="1030"/>
      <c r="AB687" s="1030"/>
    </row>
    <row r="688" spans="1:28">
      <c r="A688" s="1030"/>
      <c r="B688" s="1030"/>
      <c r="C688" s="1030"/>
      <c r="D688" s="1030"/>
      <c r="E688" s="1030"/>
      <c r="F688" s="1030"/>
      <c r="G688" s="1030"/>
      <c r="H688" s="1030"/>
      <c r="I688" s="1030"/>
      <c r="J688" s="1097"/>
      <c r="K688" s="1030"/>
      <c r="L688" s="1030"/>
      <c r="M688" s="1030"/>
      <c r="N688" s="1030"/>
      <c r="O688" s="1030"/>
      <c r="P688" s="1030"/>
      <c r="Q688" s="1030"/>
      <c r="R688" s="1030"/>
      <c r="S688" s="1030"/>
      <c r="T688" s="1030"/>
      <c r="U688" s="1030"/>
      <c r="V688" s="1030"/>
      <c r="W688" s="1030"/>
      <c r="X688" s="1030"/>
      <c r="Y688" s="1030"/>
      <c r="Z688" s="1030"/>
      <c r="AA688" s="1030"/>
      <c r="AB688" s="1030"/>
    </row>
    <row r="689" spans="1:28">
      <c r="A689" s="1030"/>
      <c r="B689" s="1030"/>
      <c r="C689" s="1030"/>
      <c r="D689" s="1030"/>
      <c r="E689" s="1030"/>
      <c r="F689" s="1030"/>
      <c r="G689" s="1030"/>
      <c r="H689" s="1030"/>
      <c r="I689" s="1030"/>
      <c r="J689" s="1097"/>
      <c r="K689" s="1030"/>
      <c r="L689" s="1030"/>
      <c r="M689" s="1030"/>
      <c r="N689" s="1030"/>
      <c r="O689" s="1030"/>
      <c r="P689" s="1030"/>
      <c r="Q689" s="1030"/>
      <c r="R689" s="1030"/>
      <c r="S689" s="1030"/>
      <c r="T689" s="1030"/>
      <c r="U689" s="1030"/>
      <c r="V689" s="1030"/>
      <c r="W689" s="1030"/>
      <c r="X689" s="1030"/>
      <c r="Y689" s="1030"/>
      <c r="Z689" s="1030"/>
      <c r="AA689" s="1030"/>
      <c r="AB689" s="1030"/>
    </row>
    <row r="690" spans="1:28">
      <c r="A690" s="1030"/>
      <c r="B690" s="1030"/>
      <c r="C690" s="1030"/>
      <c r="D690" s="1030"/>
      <c r="E690" s="1030"/>
      <c r="F690" s="1030"/>
      <c r="G690" s="1030"/>
      <c r="H690" s="1030"/>
      <c r="I690" s="1030"/>
      <c r="J690" s="1097"/>
      <c r="K690" s="1030"/>
      <c r="L690" s="1030"/>
      <c r="M690" s="1030"/>
      <c r="N690" s="1030"/>
      <c r="O690" s="1030"/>
      <c r="P690" s="1030"/>
      <c r="Q690" s="1030"/>
      <c r="R690" s="1030"/>
      <c r="S690" s="1030"/>
      <c r="T690" s="1030"/>
      <c r="U690" s="1030"/>
      <c r="V690" s="1030"/>
      <c r="W690" s="1030"/>
      <c r="X690" s="1030"/>
      <c r="Y690" s="1030"/>
      <c r="Z690" s="1030"/>
      <c r="AA690" s="1030"/>
      <c r="AB690" s="1030"/>
    </row>
    <row r="691" spans="1:28">
      <c r="A691" s="1030"/>
      <c r="B691" s="1030"/>
      <c r="C691" s="1030"/>
      <c r="D691" s="1030"/>
      <c r="E691" s="1030"/>
      <c r="F691" s="1030"/>
      <c r="G691" s="1030"/>
      <c r="H691" s="1030"/>
      <c r="I691" s="1030"/>
      <c r="J691" s="1097"/>
      <c r="K691" s="1030"/>
      <c r="L691" s="1030"/>
      <c r="M691" s="1030"/>
      <c r="N691" s="1030"/>
      <c r="O691" s="1030"/>
      <c r="P691" s="1030"/>
      <c r="Q691" s="1030"/>
      <c r="R691" s="1030"/>
      <c r="S691" s="1030"/>
      <c r="T691" s="1030"/>
      <c r="U691" s="1030"/>
      <c r="V691" s="1030"/>
      <c r="W691" s="1030"/>
      <c r="X691" s="1030"/>
      <c r="Y691" s="1030"/>
      <c r="Z691" s="1030"/>
      <c r="AA691" s="1030"/>
      <c r="AB691" s="1030"/>
    </row>
    <row r="692" spans="1:28">
      <c r="A692" s="1030"/>
      <c r="B692" s="1030"/>
      <c r="C692" s="1030"/>
      <c r="D692" s="1030"/>
      <c r="E692" s="1030"/>
      <c r="F692" s="1030"/>
      <c r="G692" s="1030"/>
      <c r="H692" s="1030"/>
      <c r="I692" s="1030"/>
      <c r="J692" s="1097"/>
      <c r="K692" s="1030"/>
      <c r="L692" s="1030"/>
      <c r="M692" s="1030"/>
      <c r="N692" s="1030"/>
      <c r="O692" s="1030"/>
      <c r="P692" s="1030"/>
      <c r="Q692" s="1030"/>
      <c r="R692" s="1030"/>
      <c r="S692" s="1030"/>
      <c r="T692" s="1030"/>
      <c r="U692" s="1030"/>
      <c r="V692" s="1030"/>
      <c r="W692" s="1030"/>
      <c r="X692" s="1030"/>
      <c r="Y692" s="1030"/>
      <c r="Z692" s="1030"/>
      <c r="AA692" s="1030"/>
      <c r="AB692" s="1030"/>
    </row>
    <row r="693" spans="1:28">
      <c r="A693" s="1030"/>
      <c r="B693" s="1030"/>
      <c r="C693" s="1030"/>
      <c r="D693" s="1030"/>
      <c r="E693" s="1030"/>
      <c r="F693" s="1030"/>
      <c r="G693" s="1030"/>
      <c r="H693" s="1030"/>
      <c r="I693" s="1030"/>
      <c r="J693" s="1097"/>
      <c r="K693" s="1030"/>
      <c r="L693" s="1030"/>
      <c r="M693" s="1030"/>
      <c r="N693" s="1030"/>
      <c r="O693" s="1030"/>
      <c r="P693" s="1030"/>
      <c r="Q693" s="1030"/>
      <c r="R693" s="1030"/>
      <c r="S693" s="1030"/>
      <c r="T693" s="1030"/>
      <c r="U693" s="1030"/>
      <c r="V693" s="1030"/>
      <c r="W693" s="1030"/>
      <c r="X693" s="1030"/>
      <c r="Y693" s="1030"/>
      <c r="Z693" s="1030"/>
      <c r="AA693" s="1030"/>
      <c r="AB693" s="1030"/>
    </row>
    <row r="694" spans="1:28">
      <c r="A694" s="1030"/>
      <c r="B694" s="1030"/>
      <c r="C694" s="1030"/>
      <c r="D694" s="1030"/>
      <c r="E694" s="1030"/>
      <c r="F694" s="1030"/>
      <c r="G694" s="1030"/>
      <c r="H694" s="1030"/>
      <c r="I694" s="1030"/>
      <c r="J694" s="1097"/>
      <c r="K694" s="1030"/>
      <c r="L694" s="1030"/>
      <c r="M694" s="1030"/>
      <c r="N694" s="1030"/>
      <c r="O694" s="1030"/>
      <c r="P694" s="1030"/>
      <c r="Q694" s="1030"/>
      <c r="R694" s="1030"/>
      <c r="S694" s="1030"/>
      <c r="T694" s="1030"/>
      <c r="U694" s="1030"/>
      <c r="V694" s="1030"/>
      <c r="W694" s="1030"/>
      <c r="X694" s="1030"/>
      <c r="Y694" s="1030"/>
      <c r="Z694" s="1030"/>
      <c r="AA694" s="1030"/>
      <c r="AB694" s="1030"/>
    </row>
    <row r="695" spans="1:28">
      <c r="A695" s="1030"/>
      <c r="B695" s="1030"/>
      <c r="C695" s="1030"/>
      <c r="D695" s="1030"/>
      <c r="E695" s="1030"/>
      <c r="F695" s="1030"/>
      <c r="G695" s="1030"/>
      <c r="H695" s="1030"/>
      <c r="I695" s="1030"/>
      <c r="J695" s="1097"/>
      <c r="K695" s="1030"/>
      <c r="L695" s="1030"/>
      <c r="M695" s="1030"/>
      <c r="N695" s="1030"/>
      <c r="O695" s="1030"/>
      <c r="P695" s="1030"/>
      <c r="Q695" s="1030"/>
      <c r="R695" s="1030"/>
      <c r="S695" s="1030"/>
      <c r="T695" s="1030"/>
      <c r="U695" s="1030"/>
      <c r="V695" s="1030"/>
      <c r="W695" s="1030"/>
      <c r="X695" s="1030"/>
      <c r="Y695" s="1030"/>
      <c r="Z695" s="1030"/>
      <c r="AA695" s="1030"/>
      <c r="AB695" s="1030"/>
    </row>
    <row r="696" spans="1:28">
      <c r="A696" s="1030"/>
      <c r="B696" s="1030"/>
      <c r="C696" s="1030"/>
      <c r="D696" s="1030"/>
      <c r="E696" s="1030"/>
      <c r="F696" s="1030"/>
      <c r="G696" s="1030"/>
      <c r="H696" s="1030"/>
      <c r="I696" s="1030"/>
      <c r="J696" s="1097"/>
      <c r="K696" s="1030"/>
      <c r="L696" s="1030"/>
      <c r="M696" s="1030"/>
      <c r="N696" s="1030"/>
      <c r="O696" s="1030"/>
      <c r="P696" s="1030"/>
      <c r="Q696" s="1030"/>
      <c r="R696" s="1030"/>
      <c r="S696" s="1030"/>
      <c r="T696" s="1030"/>
      <c r="U696" s="1030"/>
      <c r="V696" s="1030"/>
      <c r="W696" s="1030"/>
      <c r="X696" s="1030"/>
      <c r="Y696" s="1030"/>
      <c r="Z696" s="1030"/>
      <c r="AA696" s="1030"/>
      <c r="AB696" s="1030"/>
    </row>
    <row r="697" spans="1:28">
      <c r="A697" s="1030"/>
      <c r="B697" s="1030"/>
      <c r="C697" s="1030"/>
      <c r="D697" s="1030"/>
      <c r="E697" s="1030"/>
      <c r="F697" s="1030"/>
      <c r="G697" s="1030"/>
      <c r="H697" s="1030"/>
      <c r="I697" s="1030"/>
      <c r="J697" s="1097"/>
      <c r="K697" s="1030"/>
      <c r="L697" s="1030"/>
      <c r="M697" s="1030"/>
      <c r="N697" s="1030"/>
      <c r="O697" s="1030"/>
      <c r="P697" s="1030"/>
      <c r="Q697" s="1030"/>
      <c r="R697" s="1030"/>
      <c r="S697" s="1030"/>
      <c r="T697" s="1030"/>
      <c r="U697" s="1030"/>
      <c r="V697" s="1030"/>
      <c r="W697" s="1030"/>
      <c r="X697" s="1030"/>
      <c r="Y697" s="1030"/>
      <c r="Z697" s="1030"/>
      <c r="AA697" s="1030"/>
      <c r="AB697" s="1030"/>
    </row>
    <row r="698" spans="1:28">
      <c r="A698" s="1030"/>
      <c r="B698" s="1030"/>
      <c r="C698" s="1030"/>
      <c r="D698" s="1030"/>
      <c r="E698" s="1030"/>
      <c r="F698" s="1030"/>
      <c r="G698" s="1030"/>
      <c r="H698" s="1030"/>
      <c r="I698" s="1030"/>
      <c r="J698" s="1097"/>
      <c r="K698" s="1030"/>
      <c r="L698" s="1030"/>
      <c r="M698" s="1030"/>
      <c r="N698" s="1030"/>
      <c r="O698" s="1030"/>
      <c r="P698" s="1030"/>
      <c r="Q698" s="1030"/>
      <c r="R698" s="1030"/>
      <c r="S698" s="1030"/>
      <c r="T698" s="1030"/>
      <c r="U698" s="1030"/>
      <c r="V698" s="1030"/>
      <c r="W698" s="1030"/>
      <c r="X698" s="1030"/>
      <c r="Y698" s="1030"/>
      <c r="Z698" s="1030"/>
      <c r="AA698" s="1030"/>
      <c r="AB698" s="1030"/>
    </row>
    <row r="699" spans="1:28">
      <c r="A699" s="1030"/>
      <c r="B699" s="1030"/>
      <c r="C699" s="1030"/>
      <c r="D699" s="1030"/>
      <c r="E699" s="1030"/>
      <c r="F699" s="1030"/>
      <c r="G699" s="1030"/>
      <c r="H699" s="1030"/>
      <c r="I699" s="1030"/>
      <c r="J699" s="1097"/>
      <c r="K699" s="1030"/>
      <c r="L699" s="1030"/>
      <c r="M699" s="1030"/>
      <c r="N699" s="1030"/>
      <c r="O699" s="1030"/>
      <c r="P699" s="1030"/>
      <c r="Q699" s="1030"/>
      <c r="R699" s="1030"/>
      <c r="S699" s="1030"/>
      <c r="T699" s="1030"/>
      <c r="U699" s="1030"/>
      <c r="V699" s="1030"/>
      <c r="W699" s="1030"/>
      <c r="X699" s="1030"/>
      <c r="Y699" s="1030"/>
      <c r="Z699" s="1030"/>
      <c r="AA699" s="1030"/>
      <c r="AB699" s="1030"/>
    </row>
    <row r="700" spans="1:28">
      <c r="A700" s="1030"/>
      <c r="B700" s="1030"/>
      <c r="C700" s="1030"/>
      <c r="D700" s="1030"/>
      <c r="E700" s="1030"/>
      <c r="F700" s="1030"/>
      <c r="G700" s="1030"/>
      <c r="H700" s="1030"/>
      <c r="I700" s="1030"/>
      <c r="J700" s="1097"/>
      <c r="K700" s="1030"/>
      <c r="L700" s="1030"/>
      <c r="M700" s="1030"/>
      <c r="N700" s="1030"/>
      <c r="O700" s="1030"/>
      <c r="P700" s="1030"/>
      <c r="Q700" s="1030"/>
      <c r="R700" s="1030"/>
      <c r="S700" s="1030"/>
      <c r="T700" s="1030"/>
      <c r="U700" s="1030"/>
      <c r="V700" s="1030"/>
      <c r="W700" s="1030"/>
      <c r="X700" s="1030"/>
      <c r="Y700" s="1030"/>
      <c r="Z700" s="1030"/>
      <c r="AA700" s="1030"/>
      <c r="AB700" s="1030"/>
    </row>
    <row r="701" spans="1:28">
      <c r="A701" s="1030"/>
      <c r="B701" s="1030"/>
      <c r="C701" s="1030"/>
      <c r="D701" s="1030"/>
      <c r="E701" s="1030"/>
      <c r="F701" s="1030"/>
      <c r="G701" s="1030"/>
      <c r="H701" s="1030"/>
      <c r="I701" s="1030"/>
      <c r="J701" s="1097"/>
      <c r="K701" s="1030"/>
      <c r="L701" s="1030"/>
      <c r="M701" s="1030"/>
      <c r="N701" s="1030"/>
      <c r="O701" s="1030"/>
      <c r="P701" s="1030"/>
      <c r="Q701" s="1030"/>
      <c r="R701" s="1030"/>
      <c r="S701" s="1030"/>
      <c r="T701" s="1030"/>
      <c r="U701" s="1030"/>
      <c r="V701" s="1030"/>
      <c r="W701" s="1030"/>
      <c r="X701" s="1030"/>
      <c r="Y701" s="1030"/>
      <c r="Z701" s="1030"/>
      <c r="AA701" s="1030"/>
      <c r="AB701" s="1030"/>
    </row>
    <row r="702" spans="1:28">
      <c r="A702" s="1030"/>
      <c r="B702" s="1030"/>
      <c r="C702" s="1030"/>
      <c r="D702" s="1030"/>
      <c r="E702" s="1030"/>
      <c r="F702" s="1030"/>
      <c r="G702" s="1030"/>
      <c r="H702" s="1030"/>
      <c r="I702" s="1030"/>
      <c r="J702" s="1097"/>
      <c r="K702" s="1030"/>
      <c r="L702" s="1030"/>
      <c r="M702" s="1030"/>
      <c r="N702" s="1030"/>
      <c r="O702" s="1030"/>
      <c r="P702" s="1030"/>
      <c r="Q702" s="1030"/>
      <c r="R702" s="1030"/>
      <c r="S702" s="1030"/>
      <c r="T702" s="1030"/>
      <c r="U702" s="1030"/>
      <c r="V702" s="1030"/>
      <c r="W702" s="1030"/>
      <c r="X702" s="1030"/>
      <c r="Y702" s="1030"/>
      <c r="Z702" s="1030"/>
      <c r="AA702" s="1030"/>
      <c r="AB702" s="1030"/>
    </row>
    <row r="703" spans="1:28">
      <c r="A703" s="1030"/>
      <c r="B703" s="1030"/>
      <c r="C703" s="1030"/>
      <c r="D703" s="1030"/>
      <c r="E703" s="1030"/>
      <c r="F703" s="1030"/>
      <c r="G703" s="1030"/>
      <c r="H703" s="1030"/>
      <c r="I703" s="1030"/>
      <c r="J703" s="1097"/>
      <c r="K703" s="1030"/>
      <c r="L703" s="1030"/>
      <c r="M703" s="1030"/>
      <c r="N703" s="1030"/>
      <c r="O703" s="1030"/>
      <c r="P703" s="1030"/>
      <c r="Q703" s="1030"/>
      <c r="R703" s="1030"/>
      <c r="S703" s="1030"/>
      <c r="T703" s="1030"/>
      <c r="U703" s="1030"/>
      <c r="V703" s="1030"/>
      <c r="W703" s="1030"/>
      <c r="X703" s="1030"/>
      <c r="Y703" s="1030"/>
      <c r="Z703" s="1030"/>
      <c r="AA703" s="1030"/>
      <c r="AB703" s="1030"/>
    </row>
    <row r="704" spans="1:28">
      <c r="A704" s="1030"/>
      <c r="B704" s="1030"/>
      <c r="C704" s="1030"/>
      <c r="D704" s="1030"/>
      <c r="E704" s="1030"/>
      <c r="F704" s="1030"/>
      <c r="G704" s="1030"/>
      <c r="H704" s="1030"/>
      <c r="I704" s="1030"/>
      <c r="J704" s="1097"/>
      <c r="K704" s="1030"/>
      <c r="L704" s="1030"/>
      <c r="M704" s="1030"/>
      <c r="N704" s="1030"/>
      <c r="O704" s="1030"/>
      <c r="P704" s="1030"/>
      <c r="Q704" s="1030"/>
      <c r="R704" s="1030"/>
      <c r="S704" s="1030"/>
      <c r="T704" s="1030"/>
      <c r="U704" s="1030"/>
      <c r="V704" s="1030"/>
      <c r="W704" s="1030"/>
      <c r="X704" s="1030"/>
      <c r="Y704" s="1030"/>
      <c r="Z704" s="1030"/>
      <c r="AA704" s="1030"/>
      <c r="AB704" s="1030"/>
    </row>
    <row r="705" spans="1:28">
      <c r="A705" s="1030"/>
      <c r="B705" s="1030"/>
      <c r="C705" s="1030"/>
      <c r="D705" s="1030"/>
      <c r="E705" s="1030"/>
      <c r="F705" s="1030"/>
      <c r="G705" s="1030"/>
      <c r="H705" s="1030"/>
      <c r="I705" s="1030"/>
      <c r="J705" s="1097"/>
      <c r="K705" s="1030"/>
      <c r="L705" s="1030"/>
      <c r="M705" s="1030"/>
      <c r="N705" s="1030"/>
      <c r="O705" s="1030"/>
      <c r="P705" s="1030"/>
      <c r="Q705" s="1030"/>
      <c r="R705" s="1030"/>
      <c r="S705" s="1030"/>
      <c r="T705" s="1030"/>
      <c r="U705" s="1030"/>
      <c r="V705" s="1030"/>
      <c r="W705" s="1030"/>
      <c r="X705" s="1030"/>
      <c r="Y705" s="1030"/>
      <c r="Z705" s="1030"/>
      <c r="AA705" s="1030"/>
      <c r="AB705" s="1030"/>
    </row>
    <row r="706" spans="1:28">
      <c r="A706" s="1030"/>
      <c r="B706" s="1030"/>
      <c r="C706" s="1030"/>
      <c r="D706" s="1030"/>
      <c r="E706" s="1030"/>
      <c r="F706" s="1030"/>
      <c r="G706" s="1030"/>
      <c r="H706" s="1030"/>
      <c r="I706" s="1030"/>
      <c r="J706" s="1097"/>
      <c r="K706" s="1030"/>
      <c r="L706" s="1030"/>
      <c r="M706" s="1030"/>
      <c r="N706" s="1030"/>
      <c r="O706" s="1030"/>
      <c r="P706" s="1030"/>
      <c r="Q706" s="1030"/>
      <c r="R706" s="1030"/>
      <c r="S706" s="1030"/>
      <c r="T706" s="1030"/>
      <c r="U706" s="1030"/>
      <c r="V706" s="1030"/>
      <c r="W706" s="1030"/>
      <c r="X706" s="1030"/>
      <c r="Y706" s="1030"/>
      <c r="Z706" s="1030"/>
      <c r="AA706" s="1030"/>
      <c r="AB706" s="1030"/>
    </row>
    <row r="707" spans="1:28">
      <c r="A707" s="1030"/>
      <c r="B707" s="1030"/>
      <c r="C707" s="1030"/>
      <c r="D707" s="1030"/>
      <c r="E707" s="1030"/>
      <c r="F707" s="1030"/>
      <c r="G707" s="1030"/>
      <c r="H707" s="1030"/>
      <c r="I707" s="1030"/>
      <c r="J707" s="1097"/>
      <c r="K707" s="1030"/>
      <c r="L707" s="1030"/>
      <c r="M707" s="1030"/>
      <c r="N707" s="1030"/>
      <c r="O707" s="1030"/>
      <c r="P707" s="1030"/>
      <c r="Q707" s="1030"/>
      <c r="R707" s="1030"/>
      <c r="S707" s="1030"/>
      <c r="T707" s="1030"/>
      <c r="U707" s="1030"/>
      <c r="V707" s="1030"/>
      <c r="W707" s="1030"/>
      <c r="X707" s="1030"/>
      <c r="Y707" s="1030"/>
      <c r="Z707" s="1030"/>
      <c r="AA707" s="1030"/>
      <c r="AB707" s="1030"/>
    </row>
    <row r="708" spans="1:28">
      <c r="A708" s="1030"/>
      <c r="B708" s="1030"/>
      <c r="C708" s="1030"/>
      <c r="D708" s="1030"/>
      <c r="E708" s="1030"/>
      <c r="F708" s="1030"/>
      <c r="G708" s="1030"/>
      <c r="H708" s="1030"/>
      <c r="I708" s="1030"/>
      <c r="J708" s="1097"/>
      <c r="K708" s="1030"/>
      <c r="L708" s="1030"/>
      <c r="M708" s="1030"/>
      <c r="N708" s="1030"/>
      <c r="O708" s="1030"/>
      <c r="P708" s="1030"/>
      <c r="Q708" s="1030"/>
      <c r="R708" s="1030"/>
      <c r="S708" s="1030"/>
      <c r="T708" s="1030"/>
      <c r="U708" s="1030"/>
      <c r="V708" s="1030"/>
      <c r="W708" s="1030"/>
      <c r="X708" s="1030"/>
      <c r="Y708" s="1030"/>
      <c r="Z708" s="1030"/>
      <c r="AA708" s="1030"/>
      <c r="AB708" s="1030"/>
    </row>
    <row r="709" spans="1:28">
      <c r="A709" s="1030"/>
      <c r="B709" s="1030"/>
      <c r="C709" s="1030"/>
      <c r="D709" s="1030"/>
      <c r="E709" s="1030"/>
      <c r="F709" s="1030"/>
      <c r="G709" s="1030"/>
      <c r="H709" s="1030"/>
      <c r="I709" s="1030"/>
      <c r="J709" s="1097"/>
      <c r="K709" s="1030"/>
      <c r="L709" s="1030"/>
      <c r="M709" s="1030"/>
      <c r="N709" s="1030"/>
      <c r="O709" s="1030"/>
      <c r="P709" s="1030"/>
      <c r="Q709" s="1030"/>
      <c r="R709" s="1030"/>
      <c r="S709" s="1030"/>
      <c r="T709" s="1030"/>
      <c r="U709" s="1030"/>
      <c r="V709" s="1030"/>
      <c r="W709" s="1030"/>
      <c r="X709" s="1030"/>
      <c r="Y709" s="1030"/>
      <c r="Z709" s="1030"/>
      <c r="AA709" s="1030"/>
      <c r="AB709" s="1030"/>
    </row>
    <row r="710" spans="1:28">
      <c r="A710" s="1030"/>
      <c r="B710" s="1030"/>
      <c r="C710" s="1030"/>
      <c r="D710" s="1030"/>
      <c r="E710" s="1030"/>
      <c r="F710" s="1030"/>
      <c r="G710" s="1030"/>
      <c r="H710" s="1030"/>
      <c r="I710" s="1030"/>
      <c r="J710" s="1097"/>
      <c r="K710" s="1030"/>
      <c r="L710" s="1030"/>
      <c r="M710" s="1030"/>
      <c r="N710" s="1030"/>
      <c r="O710" s="1030"/>
      <c r="P710" s="1030"/>
      <c r="Q710" s="1030"/>
      <c r="R710" s="1030"/>
      <c r="S710" s="1030"/>
      <c r="T710" s="1030"/>
      <c r="U710" s="1030"/>
      <c r="V710" s="1030"/>
      <c r="W710" s="1030"/>
      <c r="X710" s="1030"/>
      <c r="Y710" s="1030"/>
      <c r="Z710" s="1030"/>
      <c r="AA710" s="1030"/>
      <c r="AB710" s="1030"/>
    </row>
    <row r="711" spans="1:28">
      <c r="A711" s="1030"/>
      <c r="B711" s="1030"/>
      <c r="C711" s="1030"/>
      <c r="D711" s="1030"/>
      <c r="E711" s="1030"/>
      <c r="F711" s="1030"/>
      <c r="G711" s="1030"/>
      <c r="H711" s="1030"/>
      <c r="I711" s="1030"/>
      <c r="J711" s="1097"/>
      <c r="K711" s="1030"/>
      <c r="L711" s="1030"/>
      <c r="M711" s="1030"/>
      <c r="N711" s="1030"/>
      <c r="O711" s="1030"/>
      <c r="P711" s="1030"/>
      <c r="Q711" s="1030"/>
      <c r="R711" s="1030"/>
      <c r="S711" s="1030"/>
      <c r="T711" s="1030"/>
      <c r="U711" s="1030"/>
      <c r="V711" s="1030"/>
      <c r="W711" s="1030"/>
      <c r="X711" s="1030"/>
      <c r="Y711" s="1030"/>
      <c r="Z711" s="1030"/>
      <c r="AA711" s="1030"/>
      <c r="AB711" s="1030"/>
    </row>
    <row r="712" spans="1:28">
      <c r="A712" s="1030"/>
      <c r="B712" s="1030"/>
      <c r="C712" s="1030"/>
      <c r="D712" s="1030"/>
      <c r="E712" s="1030"/>
      <c r="F712" s="1030"/>
      <c r="G712" s="1030"/>
      <c r="H712" s="1030"/>
      <c r="I712" s="1030"/>
      <c r="J712" s="1097"/>
      <c r="K712" s="1030"/>
      <c r="L712" s="1030"/>
      <c r="M712" s="1030"/>
      <c r="N712" s="1030"/>
      <c r="O712" s="1030"/>
      <c r="P712" s="1030"/>
      <c r="Q712" s="1030"/>
      <c r="R712" s="1030"/>
      <c r="S712" s="1030"/>
      <c r="T712" s="1030"/>
      <c r="U712" s="1030"/>
      <c r="V712" s="1030"/>
      <c r="W712" s="1030"/>
      <c r="X712" s="1030"/>
      <c r="Y712" s="1030"/>
      <c r="Z712" s="1030"/>
      <c r="AA712" s="1030"/>
      <c r="AB712" s="1030"/>
    </row>
    <row r="713" spans="1:28">
      <c r="A713" s="1030"/>
      <c r="B713" s="1030"/>
      <c r="C713" s="1030"/>
      <c r="D713" s="1030"/>
      <c r="E713" s="1030"/>
      <c r="F713" s="1030"/>
      <c r="G713" s="1030"/>
      <c r="H713" s="1030"/>
      <c r="I713" s="1030"/>
      <c r="J713" s="1097"/>
      <c r="K713" s="1030"/>
      <c r="L713" s="1030"/>
      <c r="M713" s="1030"/>
      <c r="N713" s="1030"/>
      <c r="O713" s="1030"/>
      <c r="P713" s="1030"/>
      <c r="Q713" s="1030"/>
      <c r="R713" s="1030"/>
      <c r="S713" s="1030"/>
      <c r="T713" s="1030"/>
      <c r="U713" s="1030"/>
      <c r="V713" s="1030"/>
      <c r="W713" s="1030"/>
      <c r="X713" s="1030"/>
      <c r="Y713" s="1030"/>
      <c r="Z713" s="1030"/>
      <c r="AA713" s="1030"/>
      <c r="AB713" s="1030"/>
    </row>
    <row r="714" spans="1:28">
      <c r="A714" s="1030"/>
      <c r="B714" s="1030"/>
      <c r="C714" s="1030"/>
      <c r="D714" s="1030"/>
      <c r="E714" s="1030"/>
      <c r="F714" s="1030"/>
      <c r="G714" s="1030"/>
      <c r="H714" s="1030"/>
      <c r="I714" s="1030"/>
      <c r="J714" s="1097"/>
      <c r="K714" s="1030"/>
      <c r="L714" s="1030"/>
      <c r="M714" s="1030"/>
      <c r="N714" s="1030"/>
      <c r="O714" s="1030"/>
      <c r="P714" s="1030"/>
      <c r="Q714" s="1030"/>
      <c r="R714" s="1030"/>
      <c r="S714" s="1030"/>
      <c r="T714" s="1030"/>
      <c r="U714" s="1030"/>
      <c r="V714" s="1030"/>
      <c r="W714" s="1030"/>
      <c r="X714" s="1030"/>
      <c r="Y714" s="1030"/>
      <c r="Z714" s="1030"/>
      <c r="AA714" s="1030"/>
      <c r="AB714" s="1030"/>
    </row>
    <row r="715" spans="1:28">
      <c r="A715" s="1030"/>
      <c r="B715" s="1030"/>
      <c r="C715" s="1030"/>
      <c r="D715" s="1030"/>
      <c r="E715" s="1030"/>
      <c r="F715" s="1030"/>
      <c r="G715" s="1030"/>
      <c r="H715" s="1030"/>
      <c r="I715" s="1030"/>
      <c r="J715" s="1097"/>
      <c r="K715" s="1030"/>
      <c r="L715" s="1030"/>
      <c r="M715" s="1030"/>
      <c r="N715" s="1030"/>
      <c r="O715" s="1030"/>
      <c r="P715" s="1030"/>
      <c r="Q715" s="1030"/>
      <c r="R715" s="1030"/>
      <c r="S715" s="1030"/>
      <c r="T715" s="1030"/>
      <c r="U715" s="1030"/>
      <c r="V715" s="1030"/>
      <c r="W715" s="1030"/>
      <c r="X715" s="1030"/>
      <c r="Y715" s="1030"/>
      <c r="Z715" s="1030"/>
      <c r="AA715" s="1030"/>
      <c r="AB715" s="1030"/>
    </row>
    <row r="716" spans="1:28">
      <c r="A716" s="1030"/>
      <c r="B716" s="1030"/>
      <c r="C716" s="1030"/>
      <c r="D716" s="1030"/>
      <c r="E716" s="1030"/>
      <c r="F716" s="1030"/>
      <c r="G716" s="1030"/>
      <c r="H716" s="1030"/>
      <c r="I716" s="1030"/>
      <c r="J716" s="1097"/>
      <c r="K716" s="1030"/>
      <c r="L716" s="1030"/>
      <c r="M716" s="1030"/>
      <c r="N716" s="1030"/>
      <c r="O716" s="1030"/>
      <c r="P716" s="1030"/>
      <c r="Q716" s="1030"/>
      <c r="R716" s="1030"/>
      <c r="S716" s="1030"/>
      <c r="T716" s="1030"/>
      <c r="U716" s="1030"/>
      <c r="V716" s="1030"/>
      <c r="W716" s="1030"/>
      <c r="X716" s="1030"/>
      <c r="Y716" s="1030"/>
      <c r="Z716" s="1030"/>
      <c r="AA716" s="1030"/>
      <c r="AB716" s="1030"/>
    </row>
    <row r="717" spans="1:28">
      <c r="A717" s="1030"/>
      <c r="B717" s="1030"/>
      <c r="C717" s="1030"/>
      <c r="D717" s="1030"/>
      <c r="E717" s="1030"/>
      <c r="F717" s="1030"/>
      <c r="G717" s="1030"/>
      <c r="H717" s="1030"/>
      <c r="I717" s="1030"/>
      <c r="J717" s="1097"/>
      <c r="K717" s="1030"/>
      <c r="L717" s="1030"/>
      <c r="M717" s="1030"/>
      <c r="N717" s="1030"/>
      <c r="O717" s="1030"/>
      <c r="P717" s="1030"/>
      <c r="Q717" s="1030"/>
      <c r="R717" s="1030"/>
      <c r="S717" s="1030"/>
      <c r="T717" s="1030"/>
      <c r="U717" s="1030"/>
      <c r="V717" s="1030"/>
      <c r="W717" s="1030"/>
      <c r="X717" s="1030"/>
      <c r="Y717" s="1030"/>
      <c r="Z717" s="1030"/>
      <c r="AA717" s="1030"/>
      <c r="AB717" s="1030"/>
    </row>
    <row r="718" spans="1:28">
      <c r="A718" s="1030"/>
      <c r="B718" s="1030"/>
      <c r="C718" s="1030"/>
      <c r="D718" s="1030"/>
      <c r="E718" s="1030"/>
      <c r="F718" s="1030"/>
      <c r="G718" s="1030"/>
      <c r="H718" s="1030"/>
      <c r="I718" s="1030"/>
      <c r="J718" s="1097"/>
      <c r="K718" s="1030"/>
      <c r="L718" s="1030"/>
      <c r="M718" s="1030"/>
      <c r="N718" s="1030"/>
      <c r="O718" s="1030"/>
      <c r="P718" s="1030"/>
      <c r="Q718" s="1030"/>
      <c r="R718" s="1030"/>
      <c r="S718" s="1030"/>
      <c r="T718" s="1030"/>
      <c r="U718" s="1030"/>
      <c r="V718" s="1030"/>
      <c r="W718" s="1030"/>
      <c r="X718" s="1030"/>
      <c r="Y718" s="1030"/>
      <c r="Z718" s="1030"/>
      <c r="AA718" s="1030"/>
      <c r="AB718" s="1030"/>
    </row>
    <row r="719" spans="1:28">
      <c r="A719" s="1030"/>
      <c r="B719" s="1030"/>
      <c r="C719" s="1030"/>
      <c r="D719" s="1030"/>
      <c r="E719" s="1030"/>
      <c r="F719" s="1030"/>
      <c r="G719" s="1030"/>
      <c r="H719" s="1030"/>
      <c r="I719" s="1030"/>
      <c r="J719" s="1097"/>
      <c r="K719" s="1030"/>
      <c r="L719" s="1030"/>
      <c r="M719" s="1030"/>
      <c r="N719" s="1030"/>
      <c r="O719" s="1030"/>
      <c r="P719" s="1030"/>
      <c r="Q719" s="1030"/>
      <c r="R719" s="1030"/>
      <c r="S719" s="1030"/>
      <c r="T719" s="1030"/>
      <c r="U719" s="1030"/>
      <c r="V719" s="1030"/>
      <c r="W719" s="1030"/>
      <c r="X719" s="1030"/>
      <c r="Y719" s="1030"/>
      <c r="Z719" s="1030"/>
      <c r="AA719" s="1030"/>
      <c r="AB719" s="1030"/>
    </row>
    <row r="720" spans="1:28">
      <c r="A720" s="1030"/>
      <c r="B720" s="1030"/>
      <c r="C720" s="1030"/>
      <c r="D720" s="1030"/>
      <c r="E720" s="1030"/>
      <c r="F720" s="1030"/>
      <c r="G720" s="1030"/>
      <c r="H720" s="1030"/>
      <c r="I720" s="1030"/>
      <c r="J720" s="1097"/>
      <c r="K720" s="1030"/>
      <c r="L720" s="1030"/>
      <c r="M720" s="1030"/>
      <c r="N720" s="1030"/>
      <c r="O720" s="1030"/>
      <c r="P720" s="1030"/>
      <c r="Q720" s="1030"/>
      <c r="R720" s="1030"/>
      <c r="S720" s="1030"/>
      <c r="T720" s="1030"/>
      <c r="U720" s="1030"/>
      <c r="V720" s="1030"/>
      <c r="W720" s="1030"/>
      <c r="X720" s="1030"/>
      <c r="Y720" s="1030"/>
      <c r="Z720" s="1030"/>
      <c r="AA720" s="1030"/>
      <c r="AB720" s="1030"/>
    </row>
    <row r="721" spans="1:28">
      <c r="A721" s="1030"/>
      <c r="B721" s="1030"/>
      <c r="C721" s="1030"/>
      <c r="D721" s="1030"/>
      <c r="E721" s="1030"/>
      <c r="F721" s="1030"/>
      <c r="G721" s="1030"/>
      <c r="H721" s="1030"/>
      <c r="I721" s="1030"/>
      <c r="J721" s="1097"/>
      <c r="K721" s="1030"/>
      <c r="L721" s="1030"/>
      <c r="M721" s="1030"/>
      <c r="N721" s="1030"/>
      <c r="O721" s="1030"/>
      <c r="P721" s="1030"/>
      <c r="Q721" s="1030"/>
      <c r="R721" s="1030"/>
      <c r="S721" s="1030"/>
      <c r="T721" s="1030"/>
      <c r="U721" s="1030"/>
      <c r="V721" s="1030"/>
      <c r="W721" s="1030"/>
      <c r="X721" s="1030"/>
      <c r="Y721" s="1030"/>
      <c r="Z721" s="1030"/>
      <c r="AA721" s="1030"/>
      <c r="AB721" s="1030"/>
    </row>
    <row r="722" spans="1:28">
      <c r="A722" s="1030"/>
      <c r="B722" s="1030"/>
      <c r="C722" s="1030"/>
      <c r="D722" s="1030"/>
      <c r="E722" s="1030"/>
      <c r="F722" s="1030"/>
      <c r="G722" s="1030"/>
      <c r="H722" s="1030"/>
      <c r="I722" s="1030"/>
      <c r="J722" s="1097"/>
      <c r="K722" s="1030"/>
      <c r="L722" s="1030"/>
      <c r="M722" s="1030"/>
      <c r="N722" s="1030"/>
      <c r="O722" s="1030"/>
      <c r="P722" s="1030"/>
      <c r="Q722" s="1030"/>
      <c r="R722" s="1030"/>
      <c r="S722" s="1030"/>
      <c r="T722" s="1030"/>
      <c r="U722" s="1030"/>
      <c r="V722" s="1030"/>
      <c r="W722" s="1030"/>
      <c r="X722" s="1030"/>
      <c r="Y722" s="1030"/>
      <c r="Z722" s="1030"/>
      <c r="AA722" s="1030"/>
      <c r="AB722" s="1030"/>
    </row>
    <row r="723" spans="1:28">
      <c r="A723" s="1030"/>
      <c r="B723" s="1030"/>
      <c r="C723" s="1030"/>
      <c r="D723" s="1030"/>
      <c r="E723" s="1030"/>
      <c r="F723" s="1030"/>
      <c r="G723" s="1030"/>
      <c r="H723" s="1030"/>
      <c r="I723" s="1030"/>
      <c r="J723" s="1097"/>
      <c r="K723" s="1030"/>
      <c r="L723" s="1030"/>
      <c r="M723" s="1030"/>
      <c r="N723" s="1030"/>
      <c r="O723" s="1030"/>
      <c r="P723" s="1030"/>
      <c r="Q723" s="1030"/>
      <c r="R723" s="1030"/>
      <c r="S723" s="1030"/>
      <c r="T723" s="1030"/>
      <c r="U723" s="1030"/>
      <c r="V723" s="1030"/>
      <c r="W723" s="1030"/>
      <c r="X723" s="1030"/>
      <c r="Y723" s="1030"/>
      <c r="Z723" s="1030"/>
      <c r="AA723" s="1030"/>
      <c r="AB723" s="1030"/>
    </row>
    <row r="724" spans="1:28">
      <c r="A724" s="1030"/>
      <c r="B724" s="1030"/>
      <c r="C724" s="1030"/>
      <c r="D724" s="1030"/>
      <c r="E724" s="1030"/>
      <c r="F724" s="1030"/>
      <c r="G724" s="1030"/>
      <c r="H724" s="1030"/>
      <c r="I724" s="1030"/>
      <c r="J724" s="1097"/>
      <c r="K724" s="1030"/>
      <c r="L724" s="1030"/>
      <c r="M724" s="1030"/>
      <c r="N724" s="1030"/>
      <c r="O724" s="1030"/>
      <c r="P724" s="1030"/>
      <c r="Q724" s="1030"/>
      <c r="R724" s="1030"/>
      <c r="S724" s="1030"/>
      <c r="T724" s="1030"/>
      <c r="U724" s="1030"/>
      <c r="V724" s="1030"/>
      <c r="W724" s="1030"/>
      <c r="X724" s="1030"/>
      <c r="Y724" s="1030"/>
      <c r="Z724" s="1030"/>
      <c r="AA724" s="1030"/>
      <c r="AB724" s="1030"/>
    </row>
    <row r="725" spans="1:28">
      <c r="A725" s="1030"/>
      <c r="B725" s="1030"/>
      <c r="C725" s="1030"/>
      <c r="D725" s="1030"/>
      <c r="E725" s="1030"/>
      <c r="F725" s="1030"/>
      <c r="G725" s="1030"/>
      <c r="H725" s="1030"/>
      <c r="I725" s="1030"/>
      <c r="J725" s="1097"/>
      <c r="K725" s="1030"/>
      <c r="L725" s="1030"/>
      <c r="M725" s="1030"/>
      <c r="N725" s="1030"/>
      <c r="O725" s="1030"/>
      <c r="P725" s="1030"/>
      <c r="Q725" s="1030"/>
      <c r="R725" s="1030"/>
      <c r="S725" s="1030"/>
      <c r="T725" s="1030"/>
      <c r="U725" s="1030"/>
      <c r="V725" s="1030"/>
      <c r="W725" s="1030"/>
      <c r="X725" s="1030"/>
      <c r="Y725" s="1030"/>
      <c r="Z725" s="1030"/>
      <c r="AA725" s="1030"/>
      <c r="AB725" s="1030"/>
    </row>
    <row r="726" spans="1:28">
      <c r="A726" s="1030"/>
      <c r="B726" s="1030"/>
      <c r="C726" s="1030"/>
      <c r="D726" s="1030"/>
      <c r="E726" s="1030"/>
      <c r="F726" s="1030"/>
      <c r="G726" s="1030"/>
      <c r="H726" s="1030"/>
      <c r="I726" s="1030"/>
      <c r="J726" s="1097"/>
      <c r="K726" s="1030"/>
      <c r="L726" s="1030"/>
      <c r="M726" s="1030"/>
      <c r="N726" s="1030"/>
      <c r="O726" s="1030"/>
      <c r="P726" s="1030"/>
      <c r="Q726" s="1030"/>
      <c r="R726" s="1030"/>
      <c r="S726" s="1030"/>
      <c r="T726" s="1030"/>
      <c r="U726" s="1030"/>
      <c r="V726" s="1030"/>
      <c r="W726" s="1030"/>
      <c r="X726" s="1030"/>
      <c r="Y726" s="1030"/>
      <c r="Z726" s="1030"/>
      <c r="AA726" s="1030"/>
      <c r="AB726" s="1030"/>
    </row>
    <row r="727" spans="1:28">
      <c r="A727" s="1030"/>
      <c r="B727" s="1030"/>
      <c r="C727" s="1030"/>
      <c r="D727" s="1030"/>
      <c r="E727" s="1030"/>
      <c r="F727" s="1030"/>
      <c r="G727" s="1030"/>
      <c r="H727" s="1030"/>
      <c r="I727" s="1030"/>
      <c r="J727" s="1097"/>
      <c r="K727" s="1030"/>
      <c r="L727" s="1030"/>
      <c r="M727" s="1030"/>
      <c r="N727" s="1030"/>
      <c r="O727" s="1030"/>
      <c r="P727" s="1030"/>
      <c r="Q727" s="1030"/>
      <c r="R727" s="1030"/>
      <c r="S727" s="1030"/>
      <c r="T727" s="1030"/>
      <c r="U727" s="1030"/>
      <c r="V727" s="1030"/>
      <c r="W727" s="1030"/>
      <c r="X727" s="1030"/>
      <c r="Y727" s="1030"/>
      <c r="Z727" s="1030"/>
      <c r="AA727" s="1030"/>
      <c r="AB727" s="1030"/>
    </row>
    <row r="728" spans="1:28">
      <c r="A728" s="1030"/>
      <c r="B728" s="1030"/>
      <c r="C728" s="1030"/>
      <c r="D728" s="1030"/>
      <c r="E728" s="1030"/>
      <c r="F728" s="1030"/>
      <c r="G728" s="1030"/>
      <c r="H728" s="1030"/>
      <c r="I728" s="1030"/>
      <c r="J728" s="1097"/>
      <c r="K728" s="1030"/>
      <c r="L728" s="1030"/>
      <c r="M728" s="1030"/>
      <c r="N728" s="1030"/>
      <c r="O728" s="1030"/>
      <c r="P728" s="1030"/>
      <c r="Q728" s="1030"/>
      <c r="R728" s="1030"/>
      <c r="S728" s="1030"/>
      <c r="T728" s="1030"/>
      <c r="U728" s="1030"/>
      <c r="V728" s="1030"/>
      <c r="W728" s="1030"/>
      <c r="X728" s="1030"/>
      <c r="Y728" s="1030"/>
      <c r="Z728" s="1030"/>
      <c r="AA728" s="1030"/>
      <c r="AB728" s="1030"/>
    </row>
    <row r="729" spans="1:28">
      <c r="A729" s="1030"/>
      <c r="B729" s="1030"/>
      <c r="C729" s="1030"/>
      <c r="D729" s="1030"/>
      <c r="E729" s="1030"/>
      <c r="F729" s="1030"/>
      <c r="G729" s="1030"/>
      <c r="H729" s="1030"/>
      <c r="I729" s="1030"/>
      <c r="J729" s="1097"/>
      <c r="K729" s="1030"/>
      <c r="L729" s="1030"/>
      <c r="M729" s="1030"/>
      <c r="N729" s="1030"/>
      <c r="O729" s="1030"/>
      <c r="P729" s="1030"/>
      <c r="Q729" s="1030"/>
      <c r="R729" s="1030"/>
      <c r="S729" s="1030"/>
      <c r="T729" s="1030"/>
      <c r="U729" s="1030"/>
      <c r="V729" s="1030"/>
      <c r="W729" s="1030"/>
      <c r="X729" s="1030"/>
      <c r="Y729" s="1030"/>
      <c r="Z729" s="1030"/>
      <c r="AA729" s="1030"/>
      <c r="AB729" s="1030"/>
    </row>
    <row r="730" spans="1:28">
      <c r="A730" s="1030"/>
      <c r="B730" s="1030"/>
      <c r="C730" s="1030"/>
      <c r="D730" s="1030"/>
      <c r="E730" s="1030"/>
      <c r="F730" s="1030"/>
      <c r="G730" s="1030"/>
      <c r="H730" s="1030"/>
      <c r="I730" s="1030"/>
      <c r="J730" s="1097"/>
      <c r="K730" s="1030"/>
      <c r="L730" s="1030"/>
      <c r="M730" s="1030"/>
      <c r="N730" s="1030"/>
      <c r="O730" s="1030"/>
      <c r="P730" s="1030"/>
      <c r="Q730" s="1030"/>
      <c r="R730" s="1030"/>
      <c r="S730" s="1030"/>
      <c r="T730" s="1030"/>
      <c r="U730" s="1030"/>
      <c r="V730" s="1030"/>
      <c r="W730" s="1030"/>
      <c r="X730" s="1030"/>
      <c r="Y730" s="1030"/>
      <c r="Z730" s="1030"/>
      <c r="AA730" s="1030"/>
      <c r="AB730" s="1030"/>
    </row>
    <row r="731" spans="1:28">
      <c r="A731" s="1030"/>
      <c r="B731" s="1030"/>
      <c r="C731" s="1030"/>
      <c r="D731" s="1030"/>
      <c r="E731" s="1030"/>
      <c r="F731" s="1030"/>
      <c r="G731" s="1030"/>
      <c r="H731" s="1030"/>
      <c r="I731" s="1030"/>
      <c r="J731" s="1097"/>
      <c r="K731" s="1030"/>
      <c r="L731" s="1030"/>
      <c r="M731" s="1030"/>
      <c r="N731" s="1030"/>
      <c r="O731" s="1030"/>
      <c r="P731" s="1030"/>
      <c r="Q731" s="1030"/>
      <c r="R731" s="1030"/>
      <c r="S731" s="1030"/>
      <c r="T731" s="1030"/>
      <c r="U731" s="1030"/>
      <c r="V731" s="1030"/>
      <c r="W731" s="1030"/>
      <c r="X731" s="1030"/>
      <c r="Y731" s="1030"/>
      <c r="Z731" s="1030"/>
      <c r="AA731" s="1030"/>
      <c r="AB731" s="1030"/>
    </row>
    <row r="732" spans="1:28">
      <c r="A732" s="1030"/>
      <c r="B732" s="1030"/>
      <c r="C732" s="1030"/>
      <c r="D732" s="1030"/>
      <c r="E732" s="1030"/>
      <c r="F732" s="1030"/>
      <c r="G732" s="1030"/>
      <c r="H732" s="1030"/>
      <c r="I732" s="1030"/>
      <c r="J732" s="1097"/>
      <c r="K732" s="1030"/>
      <c r="L732" s="1030"/>
      <c r="M732" s="1030"/>
      <c r="N732" s="1030"/>
      <c r="O732" s="1030"/>
      <c r="P732" s="1030"/>
      <c r="Q732" s="1030"/>
      <c r="R732" s="1030"/>
      <c r="S732" s="1030"/>
      <c r="T732" s="1030"/>
      <c r="U732" s="1030"/>
      <c r="V732" s="1030"/>
      <c r="W732" s="1030"/>
      <c r="X732" s="1030"/>
      <c r="Y732" s="1030"/>
      <c r="Z732" s="1030"/>
      <c r="AA732" s="1030"/>
      <c r="AB732" s="1030"/>
    </row>
    <row r="733" spans="1:28">
      <c r="A733" s="1030"/>
      <c r="B733" s="1030"/>
      <c r="C733" s="1030"/>
      <c r="D733" s="1030"/>
      <c r="E733" s="1030"/>
      <c r="F733" s="1030"/>
      <c r="G733" s="1030"/>
      <c r="H733" s="1030"/>
      <c r="I733" s="1030"/>
      <c r="J733" s="1097"/>
      <c r="K733" s="1030"/>
      <c r="L733" s="1030"/>
      <c r="M733" s="1030"/>
      <c r="N733" s="1030"/>
      <c r="O733" s="1030"/>
      <c r="P733" s="1030"/>
      <c r="Q733" s="1030"/>
      <c r="R733" s="1030"/>
      <c r="S733" s="1030"/>
      <c r="T733" s="1030"/>
      <c r="U733" s="1030"/>
      <c r="V733" s="1030"/>
      <c r="W733" s="1030"/>
      <c r="X733" s="1030"/>
      <c r="Y733" s="1030"/>
      <c r="Z733" s="1030"/>
      <c r="AA733" s="1030"/>
      <c r="AB733" s="1030"/>
    </row>
    <row r="734" spans="1:28">
      <c r="A734" s="1030"/>
      <c r="B734" s="1030"/>
      <c r="C734" s="1030"/>
      <c r="D734" s="1030"/>
      <c r="E734" s="1030"/>
      <c r="F734" s="1030"/>
      <c r="G734" s="1030"/>
      <c r="H734" s="1030"/>
      <c r="I734" s="1030"/>
      <c r="J734" s="1097"/>
      <c r="K734" s="1030"/>
      <c r="L734" s="1030"/>
      <c r="M734" s="1030"/>
      <c r="N734" s="1030"/>
      <c r="O734" s="1030"/>
      <c r="P734" s="1030"/>
      <c r="Q734" s="1030"/>
      <c r="R734" s="1030"/>
      <c r="S734" s="1030"/>
      <c r="T734" s="1030"/>
      <c r="U734" s="1030"/>
      <c r="V734" s="1030"/>
      <c r="W734" s="1030"/>
      <c r="X734" s="1030"/>
      <c r="Y734" s="1030"/>
      <c r="Z734" s="1030"/>
      <c r="AA734" s="1030"/>
      <c r="AB734" s="1030"/>
    </row>
    <row r="735" spans="1:28">
      <c r="A735" s="1030"/>
      <c r="B735" s="1030"/>
      <c r="C735" s="1030"/>
      <c r="D735" s="1030"/>
      <c r="E735" s="1030"/>
      <c r="F735" s="1030"/>
      <c r="G735" s="1030"/>
      <c r="H735" s="1030"/>
      <c r="I735" s="1030"/>
      <c r="J735" s="1097"/>
      <c r="K735" s="1030"/>
      <c r="L735" s="1030"/>
      <c r="M735" s="1030"/>
      <c r="N735" s="1030"/>
      <c r="O735" s="1030"/>
      <c r="P735" s="1030"/>
      <c r="Q735" s="1030"/>
      <c r="R735" s="1030"/>
      <c r="S735" s="1030"/>
      <c r="T735" s="1030"/>
      <c r="U735" s="1030"/>
      <c r="V735" s="1030"/>
      <c r="W735" s="1030"/>
      <c r="X735" s="1030"/>
      <c r="Y735" s="1030"/>
      <c r="Z735" s="1030"/>
      <c r="AA735" s="1030"/>
      <c r="AB735" s="1030"/>
    </row>
    <row r="736" spans="1:28">
      <c r="A736" s="1030"/>
      <c r="B736" s="1030"/>
      <c r="C736" s="1030"/>
      <c r="D736" s="1030"/>
      <c r="E736" s="1030"/>
      <c r="F736" s="1030"/>
      <c r="G736" s="1030"/>
      <c r="H736" s="1030"/>
      <c r="I736" s="1030"/>
      <c r="J736" s="1097"/>
      <c r="K736" s="1030"/>
      <c r="L736" s="1030"/>
      <c r="M736" s="1030"/>
      <c r="N736" s="1030"/>
      <c r="O736" s="1030"/>
      <c r="P736" s="1030"/>
      <c r="Q736" s="1030"/>
      <c r="R736" s="1030"/>
      <c r="S736" s="1030"/>
      <c r="T736" s="1030"/>
      <c r="U736" s="1030"/>
      <c r="V736" s="1030"/>
      <c r="W736" s="1030"/>
      <c r="X736" s="1030"/>
      <c r="Y736" s="1030"/>
      <c r="Z736" s="1030"/>
      <c r="AA736" s="1030"/>
      <c r="AB736" s="1030"/>
    </row>
    <row r="737" spans="1:28">
      <c r="A737" s="1030"/>
      <c r="B737" s="1030"/>
      <c r="C737" s="1030"/>
      <c r="D737" s="1030"/>
      <c r="E737" s="1030"/>
      <c r="F737" s="1030"/>
      <c r="G737" s="1030"/>
      <c r="H737" s="1030"/>
      <c r="I737" s="1030"/>
      <c r="J737" s="1097"/>
      <c r="K737" s="1030"/>
      <c r="L737" s="1030"/>
      <c r="M737" s="1030"/>
      <c r="N737" s="1030"/>
      <c r="O737" s="1030"/>
      <c r="P737" s="1030"/>
      <c r="Q737" s="1030"/>
      <c r="R737" s="1030"/>
      <c r="S737" s="1030"/>
      <c r="T737" s="1030"/>
      <c r="U737" s="1030"/>
      <c r="V737" s="1030"/>
      <c r="W737" s="1030"/>
      <c r="X737" s="1030"/>
      <c r="Y737" s="1030"/>
      <c r="Z737" s="1030"/>
      <c r="AA737" s="1030"/>
      <c r="AB737" s="1030"/>
    </row>
    <row r="738" spans="1:28">
      <c r="A738" s="1030"/>
      <c r="B738" s="1030"/>
      <c r="C738" s="1030"/>
      <c r="D738" s="1030"/>
      <c r="E738" s="1030"/>
      <c r="F738" s="1030"/>
      <c r="G738" s="1030"/>
      <c r="H738" s="1030"/>
      <c r="I738" s="1030"/>
      <c r="J738" s="1097"/>
      <c r="K738" s="1030"/>
      <c r="L738" s="1030"/>
      <c r="M738" s="1030"/>
      <c r="N738" s="1030"/>
      <c r="O738" s="1030"/>
      <c r="P738" s="1030"/>
      <c r="Q738" s="1030"/>
      <c r="R738" s="1030"/>
      <c r="S738" s="1030"/>
      <c r="T738" s="1030"/>
      <c r="U738" s="1030"/>
      <c r="V738" s="1030"/>
      <c r="W738" s="1030"/>
      <c r="X738" s="1030"/>
      <c r="Y738" s="1030"/>
      <c r="Z738" s="1030"/>
      <c r="AA738" s="1030"/>
      <c r="AB738" s="1030"/>
    </row>
    <row r="739" spans="1:28">
      <c r="A739" s="1030"/>
      <c r="B739" s="1030"/>
      <c r="C739" s="1030"/>
      <c r="D739" s="1030"/>
      <c r="E739" s="1030"/>
      <c r="F739" s="1030"/>
      <c r="G739" s="1030"/>
      <c r="H739" s="1030"/>
      <c r="I739" s="1030"/>
      <c r="J739" s="1097"/>
      <c r="K739" s="1030"/>
      <c r="L739" s="1030"/>
      <c r="M739" s="1030"/>
      <c r="N739" s="1030"/>
      <c r="O739" s="1030"/>
      <c r="P739" s="1030"/>
      <c r="Q739" s="1030"/>
      <c r="R739" s="1030"/>
      <c r="S739" s="1030"/>
      <c r="T739" s="1030"/>
      <c r="U739" s="1030"/>
      <c r="V739" s="1030"/>
      <c r="W739" s="1030"/>
      <c r="X739" s="1030"/>
      <c r="Y739" s="1030"/>
      <c r="Z739" s="1030"/>
      <c r="AA739" s="1030"/>
      <c r="AB739" s="1030"/>
    </row>
    <row r="740" spans="1:28">
      <c r="A740" s="1030"/>
      <c r="B740" s="1030"/>
      <c r="C740" s="1030"/>
      <c r="D740" s="1030"/>
      <c r="E740" s="1030"/>
      <c r="F740" s="1030"/>
      <c r="G740" s="1030"/>
      <c r="H740" s="1030"/>
      <c r="I740" s="1030"/>
      <c r="J740" s="1097"/>
      <c r="K740" s="1030"/>
      <c r="L740" s="1030"/>
      <c r="M740" s="1030"/>
      <c r="N740" s="1030"/>
      <c r="O740" s="1030"/>
      <c r="P740" s="1030"/>
      <c r="Q740" s="1030"/>
      <c r="R740" s="1030"/>
      <c r="S740" s="1030"/>
      <c r="T740" s="1030"/>
      <c r="U740" s="1030"/>
      <c r="V740" s="1030"/>
      <c r="W740" s="1030"/>
      <c r="X740" s="1030"/>
      <c r="Y740" s="1030"/>
      <c r="Z740" s="1030"/>
      <c r="AA740" s="1030"/>
      <c r="AB740" s="1030"/>
    </row>
    <row r="741" spans="1:28">
      <c r="A741" s="1030"/>
      <c r="B741" s="1030"/>
      <c r="C741" s="1030"/>
      <c r="D741" s="1030"/>
      <c r="E741" s="1030"/>
      <c r="F741" s="1030"/>
      <c r="G741" s="1030"/>
      <c r="H741" s="1030"/>
      <c r="I741" s="1030"/>
      <c r="J741" s="1097"/>
      <c r="K741" s="1030"/>
      <c r="L741" s="1030"/>
      <c r="M741" s="1030"/>
      <c r="N741" s="1030"/>
      <c r="O741" s="1030"/>
      <c r="P741" s="1030"/>
      <c r="Q741" s="1030"/>
      <c r="R741" s="1030"/>
      <c r="S741" s="1030"/>
      <c r="T741" s="1030"/>
      <c r="U741" s="1030"/>
      <c r="V741" s="1030"/>
      <c r="W741" s="1030"/>
      <c r="X741" s="1030"/>
      <c r="Y741" s="1030"/>
      <c r="Z741" s="1030"/>
      <c r="AA741" s="1030"/>
      <c r="AB741" s="1030"/>
    </row>
    <row r="742" spans="1:28">
      <c r="A742" s="1030"/>
      <c r="B742" s="1030"/>
      <c r="C742" s="1030"/>
      <c r="D742" s="1030"/>
      <c r="E742" s="1030"/>
      <c r="F742" s="1030"/>
      <c r="G742" s="1030"/>
      <c r="H742" s="1030"/>
      <c r="I742" s="1030"/>
      <c r="J742" s="1097"/>
      <c r="K742" s="1030"/>
      <c r="L742" s="1030"/>
      <c r="M742" s="1030"/>
      <c r="N742" s="1030"/>
      <c r="O742" s="1030"/>
      <c r="P742" s="1030"/>
      <c r="Q742" s="1030"/>
      <c r="R742" s="1030"/>
      <c r="S742" s="1030"/>
      <c r="T742" s="1030"/>
      <c r="U742" s="1030"/>
      <c r="V742" s="1030"/>
      <c r="W742" s="1030"/>
      <c r="X742" s="1030"/>
      <c r="Y742" s="1030"/>
      <c r="Z742" s="1030"/>
      <c r="AA742" s="1030"/>
      <c r="AB742" s="1030"/>
    </row>
    <row r="743" spans="1:28">
      <c r="A743" s="1030"/>
      <c r="B743" s="1030"/>
      <c r="C743" s="1030"/>
      <c r="D743" s="1030"/>
      <c r="E743" s="1030"/>
      <c r="F743" s="1030"/>
      <c r="G743" s="1030"/>
      <c r="H743" s="1030"/>
      <c r="I743" s="1030"/>
      <c r="J743" s="1097"/>
      <c r="K743" s="1030"/>
      <c r="L743" s="1030"/>
      <c r="M743" s="1030"/>
      <c r="N743" s="1030"/>
      <c r="O743" s="1030"/>
      <c r="P743" s="1030"/>
      <c r="Q743" s="1030"/>
      <c r="R743" s="1030"/>
      <c r="S743" s="1030"/>
      <c r="T743" s="1030"/>
      <c r="U743" s="1030"/>
      <c r="V743" s="1030"/>
      <c r="W743" s="1030"/>
      <c r="X743" s="1030"/>
      <c r="Y743" s="1030"/>
      <c r="Z743" s="1030"/>
      <c r="AA743" s="1030"/>
      <c r="AB743" s="1030"/>
    </row>
    <row r="744" spans="1:28">
      <c r="A744" s="1030"/>
      <c r="B744" s="1030"/>
      <c r="C744" s="1030"/>
      <c r="D744" s="1030"/>
      <c r="E744" s="1030"/>
      <c r="F744" s="1030"/>
      <c r="G744" s="1030"/>
      <c r="H744" s="1030"/>
      <c r="I744" s="1030"/>
      <c r="J744" s="1097"/>
      <c r="K744" s="1030"/>
      <c r="L744" s="1030"/>
      <c r="M744" s="1030"/>
      <c r="N744" s="1030"/>
      <c r="O744" s="1030"/>
      <c r="P744" s="1030"/>
      <c r="Q744" s="1030"/>
      <c r="R744" s="1030"/>
      <c r="S744" s="1030"/>
      <c r="T744" s="1030"/>
      <c r="U744" s="1030"/>
      <c r="V744" s="1030"/>
      <c r="W744" s="1030"/>
      <c r="X744" s="1030"/>
      <c r="Y744" s="1030"/>
      <c r="Z744" s="1030"/>
      <c r="AA744" s="1030"/>
      <c r="AB744" s="1030"/>
    </row>
    <row r="745" spans="1:28">
      <c r="A745" s="1030"/>
      <c r="B745" s="1030"/>
      <c r="C745" s="1030"/>
      <c r="D745" s="1030"/>
      <c r="E745" s="1030"/>
      <c r="F745" s="1030"/>
      <c r="G745" s="1030"/>
      <c r="H745" s="1030"/>
      <c r="I745" s="1030"/>
      <c r="J745" s="1097"/>
      <c r="K745" s="1030"/>
      <c r="L745" s="1030"/>
      <c r="M745" s="1030"/>
      <c r="N745" s="1030"/>
      <c r="O745" s="1030"/>
      <c r="P745" s="1030"/>
      <c r="Q745" s="1030"/>
      <c r="R745" s="1030"/>
      <c r="S745" s="1030"/>
      <c r="T745" s="1030"/>
      <c r="U745" s="1030"/>
      <c r="V745" s="1030"/>
      <c r="W745" s="1030"/>
      <c r="X745" s="1030"/>
      <c r="Y745" s="1030"/>
      <c r="Z745" s="1030"/>
      <c r="AA745" s="1030"/>
      <c r="AB745" s="1030"/>
    </row>
    <row r="746" spans="1:28">
      <c r="A746" s="1030"/>
      <c r="B746" s="1030"/>
      <c r="C746" s="1030"/>
      <c r="D746" s="1030"/>
      <c r="E746" s="1030"/>
      <c r="F746" s="1030"/>
      <c r="G746" s="1030"/>
      <c r="H746" s="1030"/>
      <c r="I746" s="1030"/>
      <c r="J746" s="1097"/>
      <c r="K746" s="1030"/>
      <c r="L746" s="1030"/>
      <c r="M746" s="1030"/>
      <c r="N746" s="1030"/>
      <c r="O746" s="1030"/>
      <c r="P746" s="1030"/>
      <c r="Q746" s="1030"/>
      <c r="R746" s="1030"/>
      <c r="S746" s="1030"/>
      <c r="T746" s="1030"/>
      <c r="U746" s="1030"/>
      <c r="V746" s="1030"/>
      <c r="W746" s="1030"/>
      <c r="X746" s="1030"/>
      <c r="Y746" s="1030"/>
      <c r="Z746" s="1030"/>
      <c r="AA746" s="1030"/>
      <c r="AB746" s="1030"/>
    </row>
    <row r="747" spans="1:28">
      <c r="A747" s="1030"/>
      <c r="B747" s="1030"/>
      <c r="C747" s="1030"/>
      <c r="D747" s="1030"/>
      <c r="E747" s="1030"/>
      <c r="F747" s="1030"/>
      <c r="G747" s="1030"/>
      <c r="H747" s="1030"/>
      <c r="I747" s="1030"/>
      <c r="J747" s="1097"/>
      <c r="K747" s="1030"/>
      <c r="L747" s="1030"/>
      <c r="M747" s="1030"/>
      <c r="N747" s="1030"/>
      <c r="O747" s="1030"/>
      <c r="P747" s="1030"/>
      <c r="Q747" s="1030"/>
      <c r="R747" s="1030"/>
      <c r="S747" s="1030"/>
      <c r="T747" s="1030"/>
      <c r="U747" s="1030"/>
      <c r="V747" s="1030"/>
      <c r="W747" s="1030"/>
      <c r="X747" s="1030"/>
      <c r="Y747" s="1030"/>
      <c r="Z747" s="1030"/>
      <c r="AA747" s="1030"/>
      <c r="AB747" s="1030"/>
    </row>
    <row r="748" spans="1:28">
      <c r="A748" s="1030"/>
      <c r="B748" s="1030"/>
      <c r="C748" s="1030"/>
      <c r="D748" s="1030"/>
      <c r="E748" s="1030"/>
      <c r="F748" s="1030"/>
      <c r="G748" s="1030"/>
      <c r="H748" s="1030"/>
      <c r="I748" s="1030"/>
      <c r="J748" s="1097"/>
      <c r="K748" s="1030"/>
      <c r="L748" s="1030"/>
      <c r="M748" s="1030"/>
      <c r="N748" s="1030"/>
      <c r="O748" s="1030"/>
      <c r="P748" s="1030"/>
      <c r="Q748" s="1030"/>
      <c r="R748" s="1030"/>
      <c r="S748" s="1030"/>
      <c r="T748" s="1030"/>
      <c r="U748" s="1030"/>
      <c r="V748" s="1030"/>
      <c r="W748" s="1030"/>
      <c r="X748" s="1030"/>
      <c r="Y748" s="1030"/>
      <c r="Z748" s="1030"/>
      <c r="AA748" s="1030"/>
      <c r="AB748" s="1030"/>
    </row>
    <row r="749" spans="1:28">
      <c r="A749" s="1030"/>
      <c r="B749" s="1030"/>
      <c r="C749" s="1030"/>
      <c r="D749" s="1030"/>
      <c r="E749" s="1030"/>
      <c r="F749" s="1030"/>
      <c r="G749" s="1030"/>
      <c r="H749" s="1030"/>
      <c r="I749" s="1030"/>
      <c r="J749" s="1097"/>
      <c r="K749" s="1030"/>
      <c r="L749" s="1030"/>
      <c r="M749" s="1030"/>
      <c r="N749" s="1030"/>
      <c r="O749" s="1030"/>
      <c r="P749" s="1030"/>
      <c r="Q749" s="1030"/>
      <c r="R749" s="1030"/>
      <c r="S749" s="1030"/>
      <c r="T749" s="1030"/>
      <c r="U749" s="1030"/>
      <c r="V749" s="1030"/>
      <c r="W749" s="1030"/>
      <c r="X749" s="1030"/>
      <c r="Y749" s="1030"/>
      <c r="Z749" s="1030"/>
      <c r="AA749" s="1030"/>
      <c r="AB749" s="1030"/>
    </row>
    <row r="750" spans="1:28">
      <c r="A750" s="1030"/>
      <c r="B750" s="1030"/>
      <c r="C750" s="1030"/>
      <c r="D750" s="1030"/>
      <c r="E750" s="1030"/>
      <c r="F750" s="1030"/>
      <c r="G750" s="1030"/>
      <c r="H750" s="1030"/>
      <c r="I750" s="1030"/>
      <c r="J750" s="1097"/>
      <c r="K750" s="1030"/>
      <c r="L750" s="1030"/>
      <c r="M750" s="1030"/>
      <c r="N750" s="1030"/>
      <c r="O750" s="1030"/>
      <c r="P750" s="1030"/>
      <c r="Q750" s="1030"/>
      <c r="R750" s="1030"/>
      <c r="S750" s="1030"/>
      <c r="T750" s="1030"/>
      <c r="U750" s="1030"/>
      <c r="V750" s="1030"/>
      <c r="W750" s="1030"/>
      <c r="X750" s="1030"/>
      <c r="Y750" s="1030"/>
      <c r="Z750" s="1030"/>
      <c r="AA750" s="1030"/>
      <c r="AB750" s="1030"/>
    </row>
    <row r="751" spans="1:28">
      <c r="A751" s="1030"/>
      <c r="B751" s="1030"/>
      <c r="C751" s="1030"/>
      <c r="D751" s="1030"/>
      <c r="E751" s="1030"/>
      <c r="F751" s="1030"/>
      <c r="G751" s="1030"/>
      <c r="H751" s="1030"/>
      <c r="I751" s="1030"/>
      <c r="J751" s="1097"/>
      <c r="K751" s="1030"/>
      <c r="L751" s="1030"/>
      <c r="M751" s="1030"/>
      <c r="N751" s="1030"/>
      <c r="O751" s="1030"/>
      <c r="P751" s="1030"/>
      <c r="Q751" s="1030"/>
      <c r="R751" s="1030"/>
      <c r="S751" s="1030"/>
      <c r="T751" s="1030"/>
      <c r="U751" s="1030"/>
      <c r="V751" s="1030"/>
      <c r="W751" s="1030"/>
      <c r="X751" s="1030"/>
      <c r="Y751" s="1030"/>
      <c r="Z751" s="1030"/>
      <c r="AA751" s="1030"/>
      <c r="AB751" s="1030"/>
    </row>
    <row r="752" spans="1:28">
      <c r="A752" s="1030"/>
      <c r="B752" s="1030"/>
      <c r="C752" s="1030"/>
      <c r="D752" s="1030"/>
      <c r="E752" s="1030"/>
      <c r="F752" s="1030"/>
      <c r="G752" s="1030"/>
      <c r="H752" s="1030"/>
      <c r="I752" s="1030"/>
      <c r="J752" s="1097"/>
      <c r="K752" s="1030"/>
      <c r="L752" s="1030"/>
      <c r="M752" s="1030"/>
      <c r="N752" s="1030"/>
      <c r="O752" s="1030"/>
      <c r="P752" s="1030"/>
      <c r="Q752" s="1030"/>
      <c r="R752" s="1030"/>
      <c r="S752" s="1030"/>
      <c r="T752" s="1030"/>
      <c r="U752" s="1030"/>
      <c r="V752" s="1030"/>
      <c r="W752" s="1030"/>
      <c r="X752" s="1030"/>
      <c r="Y752" s="1030"/>
      <c r="Z752" s="1030"/>
      <c r="AA752" s="1030"/>
      <c r="AB752" s="1030"/>
    </row>
    <row r="753" spans="1:28">
      <c r="A753" s="1030"/>
      <c r="B753" s="1030"/>
      <c r="C753" s="1030"/>
      <c r="D753" s="1030"/>
      <c r="E753" s="1030"/>
      <c r="F753" s="1030"/>
      <c r="G753" s="1030"/>
      <c r="H753" s="1030"/>
      <c r="I753" s="1030"/>
      <c r="J753" s="1097"/>
      <c r="K753" s="1030"/>
      <c r="L753" s="1030"/>
      <c r="M753" s="1030"/>
      <c r="N753" s="1030"/>
      <c r="O753" s="1030"/>
      <c r="P753" s="1030"/>
      <c r="Q753" s="1030"/>
      <c r="R753" s="1030"/>
      <c r="S753" s="1030"/>
      <c r="T753" s="1030"/>
      <c r="U753" s="1030"/>
      <c r="V753" s="1030"/>
      <c r="W753" s="1030"/>
      <c r="X753" s="1030"/>
      <c r="Y753" s="1030"/>
      <c r="Z753" s="1030"/>
      <c r="AA753" s="1030"/>
      <c r="AB753" s="1030"/>
    </row>
    <row r="754" spans="1:28">
      <c r="A754" s="1030"/>
      <c r="B754" s="1030"/>
      <c r="C754" s="1030"/>
      <c r="D754" s="1030"/>
      <c r="E754" s="1030"/>
      <c r="F754" s="1030"/>
      <c r="G754" s="1030"/>
      <c r="H754" s="1030"/>
      <c r="I754" s="1030"/>
      <c r="J754" s="1097"/>
      <c r="K754" s="1030"/>
      <c r="L754" s="1030"/>
      <c r="M754" s="1030"/>
      <c r="N754" s="1030"/>
      <c r="O754" s="1030"/>
      <c r="P754" s="1030"/>
      <c r="Q754" s="1030"/>
      <c r="R754" s="1030"/>
      <c r="S754" s="1030"/>
      <c r="T754" s="1030"/>
      <c r="U754" s="1030"/>
      <c r="V754" s="1030"/>
      <c r="W754" s="1030"/>
      <c r="X754" s="1030"/>
      <c r="Y754" s="1030"/>
      <c r="Z754" s="1030"/>
      <c r="AA754" s="1030"/>
      <c r="AB754" s="1030"/>
    </row>
    <row r="755" spans="1:28">
      <c r="A755" s="1030"/>
      <c r="B755" s="1030"/>
      <c r="C755" s="1030"/>
      <c r="D755" s="1030"/>
      <c r="E755" s="1030"/>
      <c r="F755" s="1030"/>
      <c r="G755" s="1030"/>
      <c r="H755" s="1030"/>
      <c r="I755" s="1030"/>
      <c r="J755" s="1097"/>
      <c r="K755" s="1030"/>
      <c r="L755" s="1030"/>
      <c r="M755" s="1030"/>
      <c r="N755" s="1030"/>
      <c r="O755" s="1030"/>
      <c r="P755" s="1030"/>
      <c r="Q755" s="1030"/>
      <c r="R755" s="1030"/>
      <c r="S755" s="1030"/>
      <c r="T755" s="1030"/>
      <c r="U755" s="1030"/>
      <c r="V755" s="1030"/>
      <c r="W755" s="1030"/>
      <c r="X755" s="1030"/>
      <c r="Y755" s="1030"/>
      <c r="Z755" s="1030"/>
      <c r="AA755" s="1030"/>
      <c r="AB755" s="1030"/>
    </row>
    <row r="756" spans="1:28">
      <c r="A756" s="1030"/>
      <c r="B756" s="1030"/>
      <c r="C756" s="1030"/>
      <c r="D756" s="1030"/>
      <c r="E756" s="1030"/>
      <c r="F756" s="1030"/>
      <c r="G756" s="1030"/>
      <c r="H756" s="1030"/>
      <c r="I756" s="1030"/>
      <c r="J756" s="1097"/>
      <c r="K756" s="1030"/>
      <c r="L756" s="1030"/>
      <c r="M756" s="1030"/>
      <c r="N756" s="1030"/>
      <c r="O756" s="1030"/>
      <c r="P756" s="1030"/>
      <c r="Q756" s="1030"/>
      <c r="R756" s="1030"/>
      <c r="S756" s="1030"/>
      <c r="T756" s="1030"/>
      <c r="U756" s="1030"/>
      <c r="V756" s="1030"/>
      <c r="W756" s="1030"/>
      <c r="X756" s="1030"/>
      <c r="Y756" s="1030"/>
      <c r="Z756" s="1030"/>
      <c r="AA756" s="1030"/>
      <c r="AB756" s="1030"/>
    </row>
    <row r="757" spans="1:28">
      <c r="A757" s="1030"/>
      <c r="B757" s="1030"/>
      <c r="C757" s="1030"/>
      <c r="D757" s="1030"/>
      <c r="E757" s="1030"/>
      <c r="F757" s="1030"/>
      <c r="G757" s="1030"/>
      <c r="H757" s="1030"/>
      <c r="I757" s="1030"/>
      <c r="J757" s="1097"/>
      <c r="K757" s="1030"/>
      <c r="L757" s="1030"/>
      <c r="M757" s="1030"/>
      <c r="N757" s="1030"/>
      <c r="O757" s="1030"/>
      <c r="P757" s="1030"/>
      <c r="Q757" s="1030"/>
      <c r="R757" s="1030"/>
      <c r="S757" s="1030"/>
      <c r="T757" s="1030"/>
      <c r="U757" s="1030"/>
      <c r="V757" s="1030"/>
      <c r="W757" s="1030"/>
      <c r="X757" s="1030"/>
      <c r="Y757" s="1030"/>
      <c r="Z757" s="1030"/>
      <c r="AA757" s="1030"/>
      <c r="AB757" s="1030"/>
    </row>
    <row r="758" spans="1:28">
      <c r="A758" s="1030"/>
      <c r="B758" s="1030"/>
      <c r="C758" s="1030"/>
      <c r="D758" s="1030"/>
      <c r="E758" s="1030"/>
      <c r="F758" s="1030"/>
      <c r="G758" s="1030"/>
      <c r="H758" s="1030"/>
      <c r="I758" s="1030"/>
      <c r="J758" s="1097"/>
      <c r="K758" s="1030"/>
      <c r="L758" s="1030"/>
      <c r="M758" s="1030"/>
      <c r="N758" s="1030"/>
      <c r="O758" s="1030"/>
      <c r="P758" s="1030"/>
      <c r="Q758" s="1030"/>
      <c r="R758" s="1030"/>
      <c r="S758" s="1030"/>
      <c r="T758" s="1030"/>
      <c r="U758" s="1030"/>
      <c r="V758" s="1030"/>
      <c r="W758" s="1030"/>
      <c r="X758" s="1030"/>
      <c r="Y758" s="1030"/>
      <c r="Z758" s="1030"/>
      <c r="AA758" s="1030"/>
      <c r="AB758" s="1030"/>
    </row>
    <row r="759" spans="1:28">
      <c r="A759" s="1030"/>
      <c r="B759" s="1030"/>
      <c r="C759" s="1030"/>
      <c r="D759" s="1030"/>
      <c r="E759" s="1030"/>
      <c r="F759" s="1030"/>
      <c r="G759" s="1030"/>
      <c r="H759" s="1030"/>
      <c r="I759" s="1030"/>
      <c r="J759" s="1097"/>
      <c r="K759" s="1030"/>
      <c r="L759" s="1030"/>
      <c r="M759" s="1030"/>
      <c r="N759" s="1030"/>
      <c r="O759" s="1030"/>
      <c r="P759" s="1030"/>
      <c r="Q759" s="1030"/>
      <c r="R759" s="1030"/>
      <c r="S759" s="1030"/>
      <c r="T759" s="1030"/>
      <c r="U759" s="1030"/>
      <c r="V759" s="1030"/>
      <c r="W759" s="1030"/>
      <c r="X759" s="1030"/>
      <c r="Y759" s="1030"/>
      <c r="Z759" s="1030"/>
      <c r="AA759" s="1030"/>
      <c r="AB759" s="1030"/>
    </row>
    <row r="760" spans="1:28">
      <c r="A760" s="1030"/>
      <c r="B760" s="1030"/>
      <c r="C760" s="1030"/>
      <c r="D760" s="1030"/>
      <c r="E760" s="1030"/>
      <c r="F760" s="1030"/>
      <c r="G760" s="1030"/>
      <c r="H760" s="1030"/>
      <c r="I760" s="1030"/>
      <c r="J760" s="1097"/>
      <c r="K760" s="1030"/>
      <c r="L760" s="1030"/>
      <c r="M760" s="1030"/>
      <c r="N760" s="1030"/>
      <c r="O760" s="1030"/>
      <c r="P760" s="1030"/>
      <c r="Q760" s="1030"/>
      <c r="R760" s="1030"/>
      <c r="S760" s="1030"/>
      <c r="T760" s="1030"/>
      <c r="U760" s="1030"/>
      <c r="V760" s="1030"/>
      <c r="W760" s="1030"/>
      <c r="X760" s="1030"/>
      <c r="Y760" s="1030"/>
      <c r="Z760" s="1030"/>
      <c r="AA760" s="1030"/>
      <c r="AB760" s="1030"/>
    </row>
    <row r="761" spans="1:28">
      <c r="A761" s="1030"/>
      <c r="B761" s="1030"/>
      <c r="C761" s="1030"/>
      <c r="D761" s="1030"/>
      <c r="E761" s="1030"/>
      <c r="F761" s="1030"/>
      <c r="G761" s="1030"/>
      <c r="H761" s="1030"/>
      <c r="I761" s="1030"/>
      <c r="J761" s="1097"/>
      <c r="K761" s="1030"/>
      <c r="L761" s="1030"/>
      <c r="M761" s="1030"/>
      <c r="N761" s="1030"/>
      <c r="O761" s="1030"/>
      <c r="P761" s="1030"/>
      <c r="Q761" s="1030"/>
      <c r="R761" s="1030"/>
      <c r="S761" s="1030"/>
      <c r="T761" s="1030"/>
      <c r="U761" s="1030"/>
      <c r="V761" s="1030"/>
      <c r="W761" s="1030"/>
      <c r="X761" s="1030"/>
      <c r="Y761" s="1030"/>
      <c r="Z761" s="1030"/>
      <c r="AA761" s="1030"/>
      <c r="AB761" s="1030"/>
    </row>
    <row r="762" spans="1:28">
      <c r="A762" s="1030"/>
      <c r="B762" s="1030"/>
      <c r="C762" s="1030"/>
      <c r="D762" s="1030"/>
      <c r="E762" s="1030"/>
      <c r="F762" s="1030"/>
      <c r="G762" s="1030"/>
      <c r="H762" s="1030"/>
      <c r="I762" s="1030"/>
      <c r="J762" s="1097"/>
      <c r="K762" s="1030"/>
      <c r="L762" s="1030"/>
      <c r="M762" s="1030"/>
      <c r="N762" s="1030"/>
      <c r="O762" s="1030"/>
      <c r="P762" s="1030"/>
      <c r="Q762" s="1030"/>
      <c r="R762" s="1030"/>
      <c r="S762" s="1030"/>
      <c r="T762" s="1030"/>
      <c r="U762" s="1030"/>
      <c r="V762" s="1030"/>
      <c r="W762" s="1030"/>
      <c r="X762" s="1030"/>
      <c r="Y762" s="1030"/>
      <c r="Z762" s="1030"/>
      <c r="AA762" s="1030"/>
      <c r="AB762" s="1030"/>
    </row>
    <row r="763" spans="1:28">
      <c r="A763" s="1030"/>
      <c r="B763" s="1030"/>
      <c r="C763" s="1030"/>
      <c r="D763" s="1030"/>
      <c r="E763" s="1030"/>
      <c r="F763" s="1030"/>
      <c r="G763" s="1030"/>
      <c r="H763" s="1030"/>
      <c r="I763" s="1030"/>
      <c r="J763" s="1097"/>
      <c r="K763" s="1030"/>
      <c r="L763" s="1030"/>
      <c r="M763" s="1030"/>
      <c r="N763" s="1030"/>
      <c r="O763" s="1030"/>
      <c r="P763" s="1030"/>
      <c r="Q763" s="1030"/>
      <c r="R763" s="1030"/>
      <c r="S763" s="1030"/>
      <c r="T763" s="1030"/>
      <c r="U763" s="1030"/>
      <c r="V763" s="1030"/>
      <c r="W763" s="1030"/>
      <c r="X763" s="1030"/>
      <c r="Y763" s="1030"/>
      <c r="Z763" s="1030"/>
      <c r="AA763" s="1030"/>
      <c r="AB763" s="1030"/>
    </row>
    <row r="764" spans="1:28">
      <c r="A764" s="1030"/>
      <c r="B764" s="1030"/>
      <c r="C764" s="1030"/>
      <c r="D764" s="1030"/>
      <c r="E764" s="1030"/>
      <c r="F764" s="1030"/>
      <c r="G764" s="1030"/>
      <c r="H764" s="1030"/>
      <c r="I764" s="1030"/>
      <c r="J764" s="1097"/>
      <c r="K764" s="1030"/>
      <c r="L764" s="1030"/>
      <c r="M764" s="1030"/>
      <c r="N764" s="1030"/>
      <c r="O764" s="1030"/>
      <c r="P764" s="1030"/>
      <c r="Q764" s="1030"/>
      <c r="R764" s="1030"/>
      <c r="S764" s="1030"/>
      <c r="T764" s="1030"/>
      <c r="U764" s="1030"/>
      <c r="V764" s="1030"/>
      <c r="W764" s="1030"/>
      <c r="X764" s="1030"/>
      <c r="Y764" s="1030"/>
      <c r="Z764" s="1030"/>
      <c r="AA764" s="1030"/>
      <c r="AB764" s="1030"/>
    </row>
    <row r="765" spans="1:28">
      <c r="A765" s="1030"/>
      <c r="B765" s="1030"/>
      <c r="C765" s="1030"/>
      <c r="D765" s="1030"/>
      <c r="E765" s="1030"/>
      <c r="F765" s="1030"/>
      <c r="G765" s="1030"/>
      <c r="H765" s="1030"/>
      <c r="I765" s="1030"/>
      <c r="J765" s="1097"/>
      <c r="K765" s="1030"/>
      <c r="L765" s="1030"/>
      <c r="M765" s="1030"/>
      <c r="N765" s="1030"/>
      <c r="O765" s="1030"/>
      <c r="P765" s="1030"/>
      <c r="Q765" s="1030"/>
      <c r="R765" s="1030"/>
      <c r="S765" s="1030"/>
      <c r="T765" s="1030"/>
      <c r="U765" s="1030"/>
      <c r="V765" s="1030"/>
      <c r="W765" s="1030"/>
      <c r="X765" s="1030"/>
      <c r="Y765" s="1030"/>
      <c r="Z765" s="1030"/>
      <c r="AA765" s="1030"/>
      <c r="AB765" s="1030"/>
    </row>
    <row r="766" spans="1:28">
      <c r="A766" s="1030"/>
      <c r="B766" s="1030"/>
      <c r="C766" s="1030"/>
      <c r="D766" s="1030"/>
      <c r="E766" s="1030"/>
      <c r="F766" s="1030"/>
      <c r="G766" s="1030"/>
      <c r="H766" s="1030"/>
      <c r="I766" s="1030"/>
      <c r="J766" s="1097"/>
      <c r="K766" s="1030"/>
      <c r="L766" s="1030"/>
      <c r="M766" s="1030"/>
      <c r="N766" s="1030"/>
      <c r="O766" s="1030"/>
      <c r="P766" s="1030"/>
      <c r="Q766" s="1030"/>
      <c r="R766" s="1030"/>
      <c r="S766" s="1030"/>
      <c r="T766" s="1030"/>
      <c r="U766" s="1030"/>
      <c r="V766" s="1030"/>
      <c r="W766" s="1030"/>
      <c r="X766" s="1030"/>
      <c r="Y766" s="1030"/>
      <c r="Z766" s="1030"/>
      <c r="AA766" s="1030"/>
      <c r="AB766" s="1030"/>
    </row>
    <row r="767" spans="1:28">
      <c r="A767" s="1030"/>
      <c r="B767" s="1030"/>
      <c r="C767" s="1030"/>
      <c r="D767" s="1030"/>
      <c r="E767" s="1030"/>
      <c r="F767" s="1030"/>
      <c r="G767" s="1030"/>
      <c r="H767" s="1030"/>
      <c r="I767" s="1030"/>
      <c r="J767" s="1097"/>
      <c r="K767" s="1030"/>
      <c r="L767" s="1030"/>
      <c r="M767" s="1030"/>
      <c r="N767" s="1030"/>
      <c r="O767" s="1030"/>
      <c r="P767" s="1030"/>
      <c r="Q767" s="1030"/>
      <c r="R767" s="1030"/>
      <c r="S767" s="1030"/>
      <c r="T767" s="1030"/>
      <c r="U767" s="1030"/>
      <c r="V767" s="1030"/>
      <c r="W767" s="1030"/>
      <c r="X767" s="1030"/>
      <c r="Y767" s="1030"/>
      <c r="Z767" s="1030"/>
      <c r="AA767" s="1030"/>
      <c r="AB767" s="1030"/>
    </row>
    <row r="768" spans="1:28">
      <c r="A768" s="1030"/>
      <c r="B768" s="1030"/>
      <c r="C768" s="1030"/>
      <c r="D768" s="1030"/>
      <c r="E768" s="1030"/>
      <c r="F768" s="1030"/>
      <c r="G768" s="1030"/>
      <c r="H768" s="1030"/>
      <c r="I768" s="1030"/>
      <c r="J768" s="1097"/>
      <c r="K768" s="1030"/>
      <c r="L768" s="1030"/>
      <c r="M768" s="1030"/>
      <c r="N768" s="1030"/>
      <c r="O768" s="1030"/>
      <c r="P768" s="1030"/>
      <c r="Q768" s="1030"/>
      <c r="R768" s="1030"/>
      <c r="S768" s="1030"/>
      <c r="T768" s="1030"/>
      <c r="U768" s="1030"/>
      <c r="V768" s="1030"/>
      <c r="W768" s="1030"/>
      <c r="X768" s="1030"/>
      <c r="Y768" s="1030"/>
      <c r="Z768" s="1030"/>
      <c r="AA768" s="1030"/>
      <c r="AB768" s="1030"/>
    </row>
    <row r="769" spans="1:28">
      <c r="A769" s="1030"/>
      <c r="B769" s="1030"/>
      <c r="C769" s="1030"/>
      <c r="D769" s="1030"/>
      <c r="E769" s="1030"/>
      <c r="F769" s="1030"/>
      <c r="G769" s="1030"/>
      <c r="H769" s="1030"/>
      <c r="I769" s="1030"/>
      <c r="J769" s="1097"/>
      <c r="K769" s="1030"/>
      <c r="L769" s="1030"/>
      <c r="M769" s="1030"/>
      <c r="N769" s="1030"/>
      <c r="O769" s="1030"/>
      <c r="P769" s="1030"/>
      <c r="Q769" s="1030"/>
      <c r="R769" s="1030"/>
      <c r="S769" s="1030"/>
      <c r="T769" s="1030"/>
      <c r="U769" s="1030"/>
      <c r="V769" s="1030"/>
      <c r="W769" s="1030"/>
      <c r="X769" s="1030"/>
      <c r="Y769" s="1030"/>
      <c r="Z769" s="1030"/>
      <c r="AA769" s="1030"/>
      <c r="AB769" s="1030"/>
    </row>
    <row r="770" spans="1:28">
      <c r="A770" s="1030"/>
      <c r="B770" s="1030"/>
      <c r="C770" s="1030"/>
      <c r="D770" s="1030"/>
      <c r="E770" s="1030"/>
      <c r="F770" s="1030"/>
      <c r="G770" s="1030"/>
      <c r="H770" s="1030"/>
      <c r="I770" s="1030"/>
      <c r="J770" s="1097"/>
      <c r="K770" s="1030"/>
      <c r="L770" s="1030"/>
      <c r="M770" s="1030"/>
      <c r="N770" s="1030"/>
      <c r="O770" s="1030"/>
      <c r="P770" s="1030"/>
      <c r="Q770" s="1030"/>
      <c r="R770" s="1030"/>
      <c r="S770" s="1030"/>
      <c r="T770" s="1030"/>
      <c r="U770" s="1030"/>
      <c r="V770" s="1030"/>
      <c r="W770" s="1030"/>
      <c r="X770" s="1030"/>
      <c r="Y770" s="1030"/>
      <c r="Z770" s="1030"/>
      <c r="AA770" s="1030"/>
      <c r="AB770" s="1030"/>
    </row>
    <row r="771" spans="1:28">
      <c r="A771" s="1030"/>
      <c r="B771" s="1030"/>
      <c r="C771" s="1030"/>
      <c r="D771" s="1030"/>
      <c r="E771" s="1030"/>
      <c r="F771" s="1030"/>
      <c r="G771" s="1030"/>
      <c r="H771" s="1030"/>
      <c r="I771" s="1030"/>
      <c r="J771" s="1097"/>
      <c r="K771" s="1030"/>
      <c r="L771" s="1030"/>
      <c r="M771" s="1030"/>
      <c r="N771" s="1030"/>
      <c r="O771" s="1030"/>
      <c r="P771" s="1030"/>
      <c r="Q771" s="1030"/>
      <c r="R771" s="1030"/>
      <c r="S771" s="1030"/>
      <c r="T771" s="1030"/>
      <c r="U771" s="1030"/>
      <c r="V771" s="1030"/>
      <c r="W771" s="1030"/>
      <c r="X771" s="1030"/>
      <c r="Y771" s="1030"/>
      <c r="Z771" s="1030"/>
      <c r="AA771" s="1030"/>
      <c r="AB771" s="1030"/>
    </row>
    <row r="772" spans="1:28">
      <c r="A772" s="1030"/>
      <c r="B772" s="1030"/>
      <c r="C772" s="1030"/>
      <c r="D772" s="1030"/>
      <c r="E772" s="1030"/>
      <c r="F772" s="1030"/>
      <c r="G772" s="1030"/>
      <c r="H772" s="1030"/>
      <c r="I772" s="1030"/>
      <c r="J772" s="1097"/>
      <c r="K772" s="1030"/>
      <c r="L772" s="1030"/>
      <c r="M772" s="1030"/>
      <c r="N772" s="1030"/>
      <c r="O772" s="1030"/>
      <c r="P772" s="1030"/>
      <c r="Q772" s="1030"/>
      <c r="R772" s="1030"/>
      <c r="S772" s="1030"/>
      <c r="T772" s="1030"/>
      <c r="U772" s="1030"/>
      <c r="V772" s="1030"/>
      <c r="W772" s="1030"/>
      <c r="X772" s="1030"/>
      <c r="Y772" s="1030"/>
      <c r="Z772" s="1030"/>
      <c r="AA772" s="1030"/>
      <c r="AB772" s="1030"/>
    </row>
    <row r="773" spans="1:28">
      <c r="A773" s="1030"/>
      <c r="B773" s="1030"/>
      <c r="C773" s="1030"/>
      <c r="D773" s="1030"/>
      <c r="E773" s="1030"/>
      <c r="F773" s="1030"/>
      <c r="G773" s="1030"/>
      <c r="H773" s="1030"/>
      <c r="I773" s="1030"/>
      <c r="J773" s="1097"/>
      <c r="K773" s="1030"/>
      <c r="L773" s="1030"/>
      <c r="M773" s="1030"/>
      <c r="N773" s="1030"/>
      <c r="O773" s="1030"/>
      <c r="P773" s="1030"/>
      <c r="Q773" s="1030"/>
      <c r="R773" s="1030"/>
      <c r="S773" s="1030"/>
      <c r="T773" s="1030"/>
      <c r="U773" s="1030"/>
      <c r="V773" s="1030"/>
      <c r="W773" s="1030"/>
      <c r="X773" s="1030"/>
      <c r="Y773" s="1030"/>
      <c r="Z773" s="1030"/>
      <c r="AA773" s="1030"/>
      <c r="AB773" s="1030"/>
    </row>
    <row r="774" spans="1:28">
      <c r="A774" s="1030"/>
      <c r="B774" s="1030"/>
      <c r="C774" s="1030"/>
      <c r="D774" s="1030"/>
      <c r="E774" s="1030"/>
      <c r="F774" s="1030"/>
      <c r="G774" s="1030"/>
      <c r="H774" s="1030"/>
      <c r="I774" s="1030"/>
      <c r="J774" s="1097"/>
      <c r="K774" s="1030"/>
      <c r="L774" s="1030"/>
      <c r="M774" s="1030"/>
      <c r="N774" s="1030"/>
      <c r="O774" s="1030"/>
      <c r="P774" s="1030"/>
      <c r="Q774" s="1030"/>
      <c r="R774" s="1030"/>
      <c r="S774" s="1030"/>
      <c r="T774" s="1030"/>
      <c r="U774" s="1030"/>
      <c r="V774" s="1030"/>
      <c r="W774" s="1030"/>
      <c r="X774" s="1030"/>
      <c r="Y774" s="1030"/>
      <c r="Z774" s="1030"/>
      <c r="AA774" s="1030"/>
      <c r="AB774" s="1030"/>
    </row>
    <row r="775" spans="1:28">
      <c r="A775" s="1030"/>
      <c r="B775" s="1030"/>
      <c r="C775" s="1030"/>
      <c r="D775" s="1030"/>
      <c r="E775" s="1030"/>
      <c r="F775" s="1030"/>
      <c r="G775" s="1030"/>
      <c r="H775" s="1030"/>
      <c r="I775" s="1030"/>
      <c r="J775" s="1097"/>
      <c r="K775" s="1030"/>
      <c r="L775" s="1030"/>
      <c r="M775" s="1030"/>
      <c r="N775" s="1030"/>
      <c r="O775" s="1030"/>
      <c r="P775" s="1030"/>
      <c r="Q775" s="1030"/>
      <c r="R775" s="1030"/>
      <c r="S775" s="1030"/>
      <c r="T775" s="1030"/>
      <c r="U775" s="1030"/>
      <c r="V775" s="1030"/>
      <c r="W775" s="1030"/>
      <c r="X775" s="1030"/>
      <c r="Y775" s="1030"/>
      <c r="Z775" s="1030"/>
      <c r="AA775" s="1030"/>
      <c r="AB775" s="1030"/>
    </row>
    <row r="776" spans="1:28">
      <c r="A776" s="1030"/>
      <c r="B776" s="1030"/>
      <c r="C776" s="1030"/>
      <c r="D776" s="1030"/>
      <c r="E776" s="1030"/>
      <c r="F776" s="1030"/>
      <c r="G776" s="1030"/>
      <c r="H776" s="1030"/>
      <c r="I776" s="1030"/>
      <c r="J776" s="1097"/>
      <c r="K776" s="1030"/>
      <c r="L776" s="1030"/>
      <c r="M776" s="1030"/>
      <c r="N776" s="1030"/>
      <c r="O776" s="1030"/>
      <c r="P776" s="1030"/>
      <c r="Q776" s="1030"/>
      <c r="R776" s="1030"/>
      <c r="S776" s="1030"/>
      <c r="T776" s="1030"/>
      <c r="U776" s="1030"/>
      <c r="V776" s="1030"/>
      <c r="W776" s="1030"/>
      <c r="X776" s="1030"/>
      <c r="Y776" s="1030"/>
      <c r="Z776" s="1030"/>
      <c r="AA776" s="1030"/>
      <c r="AB776" s="1030"/>
    </row>
    <row r="777" spans="1:28">
      <c r="A777" s="1030"/>
      <c r="B777" s="1030"/>
      <c r="C777" s="1030"/>
      <c r="D777" s="1030"/>
      <c r="E777" s="1030"/>
      <c r="F777" s="1030"/>
      <c r="G777" s="1030"/>
      <c r="H777" s="1030"/>
      <c r="I777" s="1030"/>
      <c r="J777" s="1097"/>
      <c r="K777" s="1030"/>
      <c r="L777" s="1030"/>
      <c r="M777" s="1030"/>
      <c r="N777" s="1030"/>
      <c r="O777" s="1030"/>
      <c r="P777" s="1030"/>
      <c r="Q777" s="1030"/>
      <c r="R777" s="1030"/>
      <c r="S777" s="1030"/>
      <c r="T777" s="1030"/>
      <c r="U777" s="1030"/>
      <c r="V777" s="1030"/>
      <c r="W777" s="1030"/>
      <c r="X777" s="1030"/>
      <c r="Y777" s="1030"/>
      <c r="Z777" s="1030"/>
      <c r="AA777" s="1030"/>
      <c r="AB777" s="1030"/>
    </row>
    <row r="778" spans="1:28">
      <c r="A778" s="1030"/>
      <c r="B778" s="1030"/>
      <c r="C778" s="1030"/>
      <c r="D778" s="1030"/>
      <c r="E778" s="1030"/>
      <c r="F778" s="1030"/>
      <c r="G778" s="1030"/>
      <c r="H778" s="1030"/>
      <c r="I778" s="1030"/>
      <c r="J778" s="1097"/>
      <c r="K778" s="1030"/>
      <c r="L778" s="1030"/>
      <c r="M778" s="1030"/>
      <c r="N778" s="1030"/>
      <c r="O778" s="1030"/>
      <c r="P778" s="1030"/>
      <c r="Q778" s="1030"/>
      <c r="R778" s="1030"/>
      <c r="S778" s="1030"/>
      <c r="T778" s="1030"/>
      <c r="U778" s="1030"/>
      <c r="V778" s="1030"/>
      <c r="W778" s="1030"/>
      <c r="X778" s="1030"/>
      <c r="Y778" s="1030"/>
      <c r="Z778" s="1030"/>
      <c r="AA778" s="1030"/>
      <c r="AB778" s="1030"/>
    </row>
    <row r="779" spans="1:28">
      <c r="A779" s="1030"/>
      <c r="B779" s="1030"/>
      <c r="C779" s="1030"/>
      <c r="D779" s="1030"/>
      <c r="E779" s="1030"/>
      <c r="F779" s="1030"/>
      <c r="G779" s="1030"/>
      <c r="H779" s="1030"/>
      <c r="I779" s="1030"/>
      <c r="J779" s="1097"/>
      <c r="K779" s="1030"/>
      <c r="L779" s="1030"/>
      <c r="M779" s="1030"/>
      <c r="N779" s="1030"/>
      <c r="O779" s="1030"/>
      <c r="P779" s="1030"/>
      <c r="Q779" s="1030"/>
      <c r="R779" s="1030"/>
      <c r="S779" s="1030"/>
      <c r="T779" s="1030"/>
      <c r="U779" s="1030"/>
      <c r="V779" s="1030"/>
      <c r="W779" s="1030"/>
      <c r="X779" s="1030"/>
      <c r="Y779" s="1030"/>
      <c r="Z779" s="1030"/>
      <c r="AA779" s="1030"/>
      <c r="AB779" s="1030"/>
    </row>
    <row r="780" spans="1:28">
      <c r="A780" s="1030"/>
      <c r="B780" s="1030"/>
      <c r="C780" s="1030"/>
      <c r="D780" s="1030"/>
      <c r="E780" s="1030"/>
      <c r="F780" s="1030"/>
      <c r="G780" s="1030"/>
      <c r="H780" s="1030"/>
      <c r="I780" s="1030"/>
      <c r="J780" s="1097"/>
      <c r="K780" s="1030"/>
      <c r="L780" s="1030"/>
      <c r="M780" s="1030"/>
      <c r="N780" s="1030"/>
      <c r="O780" s="1030"/>
      <c r="P780" s="1030"/>
      <c r="Q780" s="1030"/>
      <c r="R780" s="1030"/>
      <c r="S780" s="1030"/>
      <c r="T780" s="1030"/>
      <c r="U780" s="1030"/>
      <c r="V780" s="1030"/>
      <c r="W780" s="1030"/>
      <c r="X780" s="1030"/>
      <c r="Y780" s="1030"/>
      <c r="Z780" s="1030"/>
      <c r="AA780" s="1030"/>
      <c r="AB780" s="1030"/>
    </row>
    <row r="781" spans="1:28">
      <c r="A781" s="1030"/>
      <c r="B781" s="1030"/>
      <c r="C781" s="1030"/>
      <c r="D781" s="1030"/>
      <c r="E781" s="1030"/>
      <c r="F781" s="1030"/>
      <c r="G781" s="1030"/>
      <c r="H781" s="1030"/>
      <c r="I781" s="1030"/>
      <c r="J781" s="1097"/>
      <c r="K781" s="1030"/>
      <c r="L781" s="1030"/>
      <c r="M781" s="1030"/>
      <c r="N781" s="1030"/>
      <c r="O781" s="1030"/>
      <c r="P781" s="1030"/>
      <c r="Q781" s="1030"/>
      <c r="R781" s="1030"/>
      <c r="S781" s="1030"/>
      <c r="T781" s="1030"/>
      <c r="U781" s="1030"/>
      <c r="V781" s="1030"/>
      <c r="W781" s="1030"/>
      <c r="X781" s="1030"/>
      <c r="Y781" s="1030"/>
      <c r="Z781" s="1030"/>
      <c r="AA781" s="1030"/>
      <c r="AB781" s="1030"/>
    </row>
    <row r="782" spans="1:28">
      <c r="A782" s="1030"/>
      <c r="B782" s="1030"/>
      <c r="C782" s="1030"/>
      <c r="D782" s="1030"/>
      <c r="E782" s="1030"/>
      <c r="F782" s="1030"/>
      <c r="G782" s="1030"/>
      <c r="H782" s="1030"/>
      <c r="I782" s="1030"/>
      <c r="J782" s="1097"/>
      <c r="K782" s="1030"/>
      <c r="L782" s="1030"/>
      <c r="M782" s="1030"/>
      <c r="N782" s="1030"/>
      <c r="O782" s="1030"/>
      <c r="P782" s="1030"/>
      <c r="Q782" s="1030"/>
      <c r="R782" s="1030"/>
      <c r="S782" s="1030"/>
      <c r="T782" s="1030"/>
      <c r="U782" s="1030"/>
      <c r="V782" s="1030"/>
      <c r="W782" s="1030"/>
      <c r="X782" s="1030"/>
      <c r="Y782" s="1030"/>
      <c r="Z782" s="1030"/>
      <c r="AA782" s="1030"/>
      <c r="AB782" s="1030"/>
    </row>
    <row r="783" spans="1:28">
      <c r="A783" s="1030"/>
      <c r="B783" s="1030"/>
      <c r="C783" s="1030"/>
      <c r="D783" s="1030"/>
      <c r="E783" s="1030"/>
      <c r="F783" s="1030"/>
      <c r="G783" s="1030"/>
      <c r="H783" s="1030"/>
      <c r="I783" s="1030"/>
      <c r="J783" s="1097"/>
      <c r="K783" s="1030"/>
      <c r="L783" s="1030"/>
      <c r="M783" s="1030"/>
      <c r="N783" s="1030"/>
      <c r="O783" s="1030"/>
      <c r="P783" s="1030"/>
      <c r="Q783" s="1030"/>
      <c r="R783" s="1030"/>
      <c r="S783" s="1030"/>
      <c r="T783" s="1030"/>
      <c r="U783" s="1030"/>
      <c r="V783" s="1030"/>
      <c r="W783" s="1030"/>
      <c r="X783" s="1030"/>
      <c r="Y783" s="1030"/>
      <c r="Z783" s="1030"/>
      <c r="AA783" s="1030"/>
      <c r="AB783" s="1030"/>
    </row>
    <row r="784" spans="1:28">
      <c r="A784" s="1030"/>
      <c r="B784" s="1030"/>
      <c r="C784" s="1030"/>
      <c r="D784" s="1030"/>
      <c r="E784" s="1030"/>
      <c r="F784" s="1030"/>
      <c r="G784" s="1030"/>
      <c r="H784" s="1030"/>
      <c r="I784" s="1030"/>
      <c r="J784" s="1097"/>
      <c r="K784" s="1030"/>
      <c r="L784" s="1030"/>
      <c r="M784" s="1030"/>
      <c r="N784" s="1030"/>
      <c r="O784" s="1030"/>
      <c r="P784" s="1030"/>
      <c r="Q784" s="1030"/>
      <c r="R784" s="1030"/>
      <c r="S784" s="1030"/>
      <c r="T784" s="1030"/>
      <c r="U784" s="1030"/>
      <c r="V784" s="1030"/>
      <c r="W784" s="1030"/>
      <c r="X784" s="1030"/>
      <c r="Y784" s="1030"/>
      <c r="Z784" s="1030"/>
      <c r="AA784" s="1030"/>
      <c r="AB784" s="1030"/>
    </row>
    <row r="785" spans="1:28">
      <c r="A785" s="1030"/>
      <c r="B785" s="1030"/>
      <c r="C785" s="1030"/>
      <c r="D785" s="1030"/>
      <c r="E785" s="1030"/>
      <c r="F785" s="1030"/>
      <c r="G785" s="1030"/>
      <c r="H785" s="1030"/>
      <c r="I785" s="1030"/>
      <c r="J785" s="1097"/>
      <c r="K785" s="1030"/>
      <c r="L785" s="1030"/>
      <c r="M785" s="1030"/>
      <c r="N785" s="1030"/>
      <c r="O785" s="1030"/>
      <c r="P785" s="1030"/>
      <c r="Q785" s="1030"/>
      <c r="R785" s="1030"/>
      <c r="S785" s="1030"/>
      <c r="T785" s="1030"/>
      <c r="U785" s="1030"/>
      <c r="V785" s="1030"/>
      <c r="W785" s="1030"/>
      <c r="X785" s="1030"/>
      <c r="Y785" s="1030"/>
      <c r="Z785" s="1030"/>
      <c r="AA785" s="1030"/>
      <c r="AB785" s="1030"/>
    </row>
    <row r="786" spans="1:28">
      <c r="A786" s="1030"/>
      <c r="B786" s="1030"/>
      <c r="C786" s="1030"/>
      <c r="D786" s="1030"/>
      <c r="E786" s="1030"/>
      <c r="F786" s="1030"/>
      <c r="G786" s="1030"/>
      <c r="H786" s="1030"/>
      <c r="I786" s="1030"/>
      <c r="J786" s="1097"/>
      <c r="K786" s="1030"/>
      <c r="L786" s="1030"/>
      <c r="M786" s="1030"/>
      <c r="N786" s="1030"/>
      <c r="O786" s="1030"/>
      <c r="P786" s="1030"/>
      <c r="Q786" s="1030"/>
      <c r="R786" s="1030"/>
      <c r="S786" s="1030"/>
      <c r="T786" s="1030"/>
      <c r="U786" s="1030"/>
      <c r="V786" s="1030"/>
      <c r="W786" s="1030"/>
      <c r="X786" s="1030"/>
      <c r="Y786" s="1030"/>
      <c r="Z786" s="1030"/>
      <c r="AA786" s="1030"/>
      <c r="AB786" s="1030"/>
    </row>
    <row r="787" spans="1:28">
      <c r="A787" s="1030"/>
      <c r="B787" s="1030"/>
      <c r="C787" s="1030"/>
      <c r="D787" s="1030"/>
      <c r="E787" s="1030"/>
      <c r="F787" s="1030"/>
      <c r="G787" s="1030"/>
      <c r="H787" s="1030"/>
      <c r="I787" s="1030"/>
      <c r="J787" s="1097"/>
      <c r="K787" s="1030"/>
      <c r="L787" s="1030"/>
      <c r="M787" s="1030"/>
      <c r="N787" s="1030"/>
      <c r="O787" s="1030"/>
      <c r="P787" s="1030"/>
      <c r="Q787" s="1030"/>
      <c r="R787" s="1030"/>
      <c r="S787" s="1030"/>
      <c r="T787" s="1030"/>
      <c r="U787" s="1030"/>
      <c r="V787" s="1030"/>
      <c r="W787" s="1030"/>
      <c r="X787" s="1030"/>
      <c r="Y787" s="1030"/>
      <c r="Z787" s="1030"/>
      <c r="AA787" s="1030"/>
      <c r="AB787" s="1030"/>
    </row>
    <row r="788" spans="1:28">
      <c r="A788" s="1030"/>
      <c r="B788" s="1030"/>
      <c r="C788" s="1030"/>
      <c r="D788" s="1030"/>
      <c r="E788" s="1030"/>
      <c r="F788" s="1030"/>
      <c r="G788" s="1030"/>
      <c r="H788" s="1030"/>
      <c r="I788" s="1030"/>
      <c r="J788" s="1097"/>
      <c r="K788" s="1030"/>
      <c r="L788" s="1030"/>
      <c r="M788" s="1030"/>
      <c r="N788" s="1030"/>
      <c r="O788" s="1030"/>
      <c r="P788" s="1030"/>
      <c r="Q788" s="1030"/>
      <c r="R788" s="1030"/>
      <c r="S788" s="1030"/>
      <c r="T788" s="1030"/>
      <c r="U788" s="1030"/>
      <c r="V788" s="1030"/>
      <c r="W788" s="1030"/>
      <c r="X788" s="1030"/>
      <c r="Y788" s="1030"/>
      <c r="Z788" s="1030"/>
      <c r="AA788" s="1030"/>
      <c r="AB788" s="1030"/>
    </row>
    <row r="789" spans="1:28">
      <c r="A789" s="1030"/>
      <c r="B789" s="1030"/>
      <c r="C789" s="1030"/>
      <c r="D789" s="1030"/>
      <c r="E789" s="1030"/>
      <c r="F789" s="1030"/>
      <c r="G789" s="1030"/>
      <c r="H789" s="1030"/>
      <c r="I789" s="1030"/>
      <c r="J789" s="1097"/>
      <c r="K789" s="1030"/>
      <c r="L789" s="1030"/>
      <c r="M789" s="1030"/>
      <c r="N789" s="1030"/>
      <c r="O789" s="1030"/>
      <c r="P789" s="1030"/>
      <c r="Q789" s="1030"/>
      <c r="R789" s="1030"/>
      <c r="S789" s="1030"/>
      <c r="T789" s="1030"/>
      <c r="U789" s="1030"/>
      <c r="V789" s="1030"/>
      <c r="W789" s="1030"/>
      <c r="X789" s="1030"/>
      <c r="Y789" s="1030"/>
      <c r="Z789" s="1030"/>
      <c r="AA789" s="1030"/>
      <c r="AB789" s="1030"/>
    </row>
    <row r="790" spans="1:28">
      <c r="A790" s="1030"/>
      <c r="B790" s="1030"/>
      <c r="C790" s="1030"/>
      <c r="D790" s="1030"/>
      <c r="E790" s="1030"/>
      <c r="F790" s="1030"/>
      <c r="G790" s="1030"/>
      <c r="H790" s="1030"/>
      <c r="I790" s="1030"/>
      <c r="J790" s="1097"/>
      <c r="K790" s="1030"/>
      <c r="L790" s="1030"/>
      <c r="M790" s="1030"/>
      <c r="N790" s="1030"/>
      <c r="O790" s="1030"/>
      <c r="P790" s="1030"/>
      <c r="Q790" s="1030"/>
      <c r="R790" s="1030"/>
      <c r="S790" s="1030"/>
      <c r="T790" s="1030"/>
      <c r="U790" s="1030"/>
      <c r="V790" s="1030"/>
      <c r="W790" s="1030"/>
      <c r="X790" s="1030"/>
      <c r="Y790" s="1030"/>
      <c r="Z790" s="1030"/>
      <c r="AA790" s="1030"/>
      <c r="AB790" s="1030"/>
    </row>
    <row r="791" spans="1:28">
      <c r="A791" s="1030"/>
      <c r="B791" s="1030"/>
      <c r="C791" s="1030"/>
      <c r="D791" s="1030"/>
      <c r="E791" s="1030"/>
      <c r="F791" s="1030"/>
      <c r="G791" s="1030"/>
      <c r="H791" s="1030"/>
      <c r="I791" s="1030"/>
      <c r="J791" s="1097"/>
      <c r="K791" s="1030"/>
      <c r="L791" s="1030"/>
      <c r="M791" s="1030"/>
      <c r="N791" s="1030"/>
      <c r="O791" s="1030"/>
      <c r="P791" s="1030"/>
      <c r="Q791" s="1030"/>
      <c r="R791" s="1030"/>
      <c r="S791" s="1030"/>
      <c r="T791" s="1030"/>
      <c r="U791" s="1030"/>
      <c r="V791" s="1030"/>
      <c r="W791" s="1030"/>
      <c r="X791" s="1030"/>
      <c r="Y791" s="1030"/>
      <c r="Z791" s="1030"/>
      <c r="AA791" s="1030"/>
      <c r="AB791" s="1030"/>
    </row>
    <row r="792" spans="1:28">
      <c r="A792" s="1030"/>
      <c r="B792" s="1030"/>
      <c r="C792" s="1030"/>
      <c r="D792" s="1030"/>
      <c r="E792" s="1030"/>
      <c r="F792" s="1030"/>
      <c r="G792" s="1030"/>
      <c r="H792" s="1030"/>
      <c r="I792" s="1030"/>
      <c r="J792" s="1097"/>
      <c r="K792" s="1030"/>
      <c r="L792" s="1030"/>
      <c r="M792" s="1030"/>
      <c r="N792" s="1030"/>
      <c r="O792" s="1030"/>
      <c r="P792" s="1030"/>
      <c r="Q792" s="1030"/>
      <c r="R792" s="1030"/>
      <c r="S792" s="1030"/>
      <c r="T792" s="1030"/>
      <c r="U792" s="1030"/>
      <c r="V792" s="1030"/>
      <c r="W792" s="1030"/>
      <c r="X792" s="1030"/>
      <c r="Y792" s="1030"/>
      <c r="Z792" s="1030"/>
      <c r="AA792" s="1030"/>
      <c r="AB792" s="1030"/>
    </row>
    <row r="793" spans="1:28">
      <c r="A793" s="1030"/>
      <c r="B793" s="1030"/>
      <c r="C793" s="1030"/>
      <c r="D793" s="1030"/>
      <c r="E793" s="1030"/>
      <c r="F793" s="1030"/>
      <c r="G793" s="1030"/>
      <c r="H793" s="1030"/>
      <c r="I793" s="1030"/>
      <c r="J793" s="1097"/>
      <c r="K793" s="1030"/>
      <c r="L793" s="1030"/>
      <c r="M793" s="1030"/>
      <c r="N793" s="1030"/>
      <c r="O793" s="1030"/>
      <c r="P793" s="1030"/>
      <c r="Q793" s="1030"/>
      <c r="R793" s="1030"/>
      <c r="S793" s="1030"/>
      <c r="T793" s="1030"/>
      <c r="U793" s="1030"/>
      <c r="V793" s="1030"/>
      <c r="W793" s="1030"/>
      <c r="X793" s="1030"/>
      <c r="Y793" s="1030"/>
      <c r="Z793" s="1030"/>
      <c r="AA793" s="1030"/>
      <c r="AB793" s="1030"/>
    </row>
    <row r="794" spans="1:28">
      <c r="A794" s="1030"/>
      <c r="B794" s="1030"/>
      <c r="C794" s="1030"/>
      <c r="D794" s="1030"/>
      <c r="E794" s="1030"/>
      <c r="F794" s="1030"/>
      <c r="G794" s="1030"/>
      <c r="H794" s="1030"/>
      <c r="I794" s="1030"/>
      <c r="J794" s="1097"/>
      <c r="K794" s="1030"/>
      <c r="L794" s="1030"/>
      <c r="M794" s="1030"/>
      <c r="N794" s="1030"/>
      <c r="O794" s="1030"/>
      <c r="P794" s="1030"/>
      <c r="Q794" s="1030"/>
      <c r="R794" s="1030"/>
      <c r="S794" s="1030"/>
      <c r="T794" s="1030"/>
      <c r="U794" s="1030"/>
      <c r="V794" s="1030"/>
      <c r="W794" s="1030"/>
      <c r="X794" s="1030"/>
      <c r="Y794" s="1030"/>
      <c r="Z794" s="1030"/>
      <c r="AA794" s="1030"/>
      <c r="AB794" s="1030"/>
    </row>
    <row r="795" spans="1:28">
      <c r="A795" s="1030"/>
      <c r="B795" s="1030"/>
      <c r="C795" s="1030"/>
      <c r="D795" s="1030"/>
      <c r="E795" s="1030"/>
      <c r="F795" s="1030"/>
      <c r="G795" s="1030"/>
      <c r="H795" s="1030"/>
      <c r="I795" s="1030"/>
      <c r="J795" s="1097"/>
      <c r="K795" s="1030"/>
      <c r="L795" s="1030"/>
      <c r="M795" s="1030"/>
      <c r="N795" s="1030"/>
      <c r="O795" s="1030"/>
      <c r="P795" s="1030"/>
      <c r="Q795" s="1030"/>
      <c r="R795" s="1030"/>
      <c r="S795" s="1030"/>
      <c r="T795" s="1030"/>
      <c r="U795" s="1030"/>
      <c r="V795" s="1030"/>
      <c r="W795" s="1030"/>
      <c r="X795" s="1030"/>
      <c r="Y795" s="1030"/>
      <c r="Z795" s="1030"/>
      <c r="AA795" s="1030"/>
      <c r="AB795" s="1030"/>
    </row>
    <row r="796" spans="1:28">
      <c r="A796" s="1030"/>
      <c r="B796" s="1030"/>
      <c r="C796" s="1030"/>
      <c r="D796" s="1030"/>
      <c r="E796" s="1030"/>
      <c r="F796" s="1030"/>
      <c r="G796" s="1030"/>
      <c r="H796" s="1030"/>
      <c r="I796" s="1030"/>
      <c r="J796" s="1097"/>
      <c r="K796" s="1030"/>
      <c r="L796" s="1030"/>
      <c r="M796" s="1030"/>
      <c r="N796" s="1030"/>
      <c r="O796" s="1030"/>
      <c r="P796" s="1030"/>
      <c r="Q796" s="1030"/>
      <c r="R796" s="1030"/>
      <c r="S796" s="1030"/>
      <c r="T796" s="1030"/>
      <c r="U796" s="1030"/>
      <c r="V796" s="1030"/>
      <c r="W796" s="1030"/>
      <c r="X796" s="1030"/>
      <c r="Y796" s="1030"/>
      <c r="Z796" s="1030"/>
      <c r="AA796" s="1030"/>
      <c r="AB796" s="1030"/>
    </row>
    <row r="797" spans="1:28">
      <c r="A797" s="1030"/>
      <c r="B797" s="1030"/>
      <c r="C797" s="1030"/>
      <c r="D797" s="1030"/>
      <c r="E797" s="1030"/>
      <c r="F797" s="1030"/>
      <c r="G797" s="1030"/>
      <c r="H797" s="1030"/>
      <c r="I797" s="1030"/>
      <c r="J797" s="1097"/>
      <c r="K797" s="1030"/>
      <c r="L797" s="1030"/>
      <c r="M797" s="1030"/>
      <c r="N797" s="1030"/>
      <c r="O797" s="1030"/>
      <c r="P797" s="1030"/>
      <c r="Q797" s="1030"/>
      <c r="R797" s="1030"/>
      <c r="S797" s="1030"/>
      <c r="T797" s="1030"/>
      <c r="U797" s="1030"/>
      <c r="V797" s="1030"/>
      <c r="W797" s="1030"/>
      <c r="X797" s="1030"/>
      <c r="Y797" s="1030"/>
      <c r="Z797" s="1030"/>
      <c r="AA797" s="1030"/>
      <c r="AB797" s="1030"/>
    </row>
    <row r="798" spans="1:28">
      <c r="A798" s="1030"/>
      <c r="B798" s="1030"/>
      <c r="C798" s="1030"/>
      <c r="D798" s="1030"/>
      <c r="E798" s="1030"/>
      <c r="F798" s="1030"/>
      <c r="G798" s="1030"/>
      <c r="H798" s="1030"/>
      <c r="I798" s="1030"/>
      <c r="J798" s="1097"/>
      <c r="K798" s="1030"/>
      <c r="L798" s="1030"/>
      <c r="M798" s="1030"/>
      <c r="N798" s="1030"/>
      <c r="O798" s="1030"/>
      <c r="P798" s="1030"/>
      <c r="Q798" s="1030"/>
      <c r="R798" s="1030"/>
      <c r="S798" s="1030"/>
      <c r="T798" s="1030"/>
      <c r="U798" s="1030"/>
      <c r="V798" s="1030"/>
      <c r="W798" s="1030"/>
      <c r="X798" s="1030"/>
      <c r="Y798" s="1030"/>
      <c r="Z798" s="1030"/>
      <c r="AA798" s="1030"/>
      <c r="AB798" s="1030"/>
    </row>
    <row r="799" spans="1:28">
      <c r="A799" s="1030"/>
      <c r="B799" s="1030"/>
      <c r="C799" s="1030"/>
      <c r="D799" s="1030"/>
      <c r="E799" s="1030"/>
      <c r="F799" s="1030"/>
      <c r="G799" s="1030"/>
      <c r="H799" s="1030"/>
      <c r="I799" s="1030"/>
      <c r="J799" s="1097"/>
      <c r="K799" s="1030"/>
      <c r="L799" s="1030"/>
      <c r="M799" s="1030"/>
      <c r="N799" s="1030"/>
      <c r="O799" s="1030"/>
      <c r="P799" s="1030"/>
      <c r="Q799" s="1030"/>
      <c r="R799" s="1030"/>
      <c r="S799" s="1030"/>
      <c r="T799" s="1030"/>
      <c r="U799" s="1030"/>
      <c r="V799" s="1030"/>
      <c r="W799" s="1030"/>
      <c r="X799" s="1030"/>
      <c r="Y799" s="1030"/>
      <c r="Z799" s="1030"/>
      <c r="AA799" s="1030"/>
      <c r="AB799" s="1030"/>
    </row>
    <row r="800" spans="1:28">
      <c r="A800" s="1030"/>
      <c r="B800" s="1030"/>
      <c r="C800" s="1030"/>
      <c r="D800" s="1030"/>
      <c r="E800" s="1030"/>
      <c r="F800" s="1030"/>
      <c r="G800" s="1030"/>
      <c r="H800" s="1030"/>
      <c r="I800" s="1030"/>
      <c r="J800" s="1097"/>
      <c r="K800" s="1030"/>
      <c r="L800" s="1030"/>
      <c r="M800" s="1030"/>
      <c r="N800" s="1030"/>
      <c r="O800" s="1030"/>
      <c r="P800" s="1030"/>
      <c r="Q800" s="1030"/>
      <c r="R800" s="1030"/>
      <c r="S800" s="1030"/>
      <c r="T800" s="1030"/>
      <c r="U800" s="1030"/>
      <c r="V800" s="1030"/>
      <c r="W800" s="1030"/>
      <c r="X800" s="1030"/>
      <c r="Y800" s="1030"/>
      <c r="Z800" s="1030"/>
      <c r="AA800" s="1030"/>
      <c r="AB800" s="1030"/>
    </row>
    <row r="801" spans="1:28">
      <c r="A801" s="1030"/>
      <c r="B801" s="1030"/>
      <c r="C801" s="1030"/>
      <c r="D801" s="1030"/>
      <c r="E801" s="1030"/>
      <c r="F801" s="1030"/>
      <c r="G801" s="1030"/>
      <c r="H801" s="1030"/>
      <c r="I801" s="1030"/>
      <c r="J801" s="1097"/>
      <c r="K801" s="1030"/>
      <c r="L801" s="1030"/>
      <c r="M801" s="1030"/>
      <c r="N801" s="1030"/>
      <c r="O801" s="1030"/>
      <c r="P801" s="1030"/>
      <c r="Q801" s="1030"/>
      <c r="R801" s="1030"/>
      <c r="S801" s="1030"/>
      <c r="T801" s="1030"/>
      <c r="U801" s="1030"/>
      <c r="V801" s="1030"/>
      <c r="W801" s="1030"/>
      <c r="X801" s="1030"/>
      <c r="Y801" s="1030"/>
      <c r="Z801" s="1030"/>
      <c r="AA801" s="1030"/>
      <c r="AB801" s="1030"/>
    </row>
    <row r="802" spans="1:28">
      <c r="A802" s="1030"/>
      <c r="B802" s="1030"/>
      <c r="C802" s="1030"/>
      <c r="D802" s="1030"/>
      <c r="E802" s="1030"/>
      <c r="F802" s="1030"/>
      <c r="G802" s="1030"/>
      <c r="H802" s="1030"/>
      <c r="I802" s="1030"/>
      <c r="J802" s="1097"/>
      <c r="K802" s="1030"/>
      <c r="L802" s="1030"/>
      <c r="M802" s="1030"/>
      <c r="N802" s="1030"/>
      <c r="O802" s="1030"/>
      <c r="P802" s="1030"/>
      <c r="Q802" s="1030"/>
      <c r="R802" s="1030"/>
      <c r="S802" s="1030"/>
      <c r="T802" s="1030"/>
      <c r="U802" s="1030"/>
      <c r="V802" s="1030"/>
      <c r="W802" s="1030"/>
      <c r="X802" s="1030"/>
      <c r="Y802" s="1030"/>
      <c r="Z802" s="1030"/>
      <c r="AA802" s="1030"/>
      <c r="AB802" s="1030"/>
    </row>
    <row r="803" spans="1:28">
      <c r="A803" s="1030"/>
      <c r="B803" s="1030"/>
      <c r="C803" s="1030"/>
      <c r="D803" s="1030"/>
      <c r="E803" s="1030"/>
      <c r="F803" s="1030"/>
      <c r="G803" s="1030"/>
      <c r="H803" s="1030"/>
      <c r="I803" s="1030"/>
      <c r="J803" s="1097"/>
      <c r="K803" s="1030"/>
      <c r="L803" s="1030"/>
      <c r="M803" s="1030"/>
      <c r="N803" s="1030"/>
      <c r="O803" s="1030"/>
      <c r="P803" s="1030"/>
      <c r="Q803" s="1030"/>
      <c r="R803" s="1030"/>
      <c r="S803" s="1030"/>
      <c r="T803" s="1030"/>
      <c r="U803" s="1030"/>
      <c r="V803" s="1030"/>
      <c r="W803" s="1030"/>
      <c r="X803" s="1030"/>
      <c r="Y803" s="1030"/>
      <c r="Z803" s="1030"/>
      <c r="AA803" s="1030"/>
      <c r="AB803" s="1030"/>
    </row>
    <row r="804" spans="1:28">
      <c r="A804" s="1030"/>
      <c r="B804" s="1030"/>
      <c r="C804" s="1030"/>
      <c r="D804" s="1030"/>
      <c r="E804" s="1030"/>
      <c r="F804" s="1030"/>
      <c r="G804" s="1030"/>
      <c r="H804" s="1030"/>
      <c r="I804" s="1030"/>
      <c r="J804" s="1097"/>
      <c r="K804" s="1030"/>
      <c r="L804" s="1030"/>
      <c r="M804" s="1030"/>
      <c r="N804" s="1030"/>
      <c r="O804" s="1030"/>
      <c r="P804" s="1030"/>
      <c r="Q804" s="1030"/>
      <c r="R804" s="1030"/>
      <c r="S804" s="1030"/>
      <c r="T804" s="1030"/>
      <c r="U804" s="1030"/>
      <c r="V804" s="1030"/>
      <c r="W804" s="1030"/>
      <c r="X804" s="1030"/>
      <c r="Y804" s="1030"/>
      <c r="Z804" s="1030"/>
      <c r="AA804" s="1030"/>
      <c r="AB804" s="1030"/>
    </row>
    <row r="805" spans="1:28">
      <c r="A805" s="1030"/>
      <c r="B805" s="1030"/>
      <c r="C805" s="1030"/>
      <c r="D805" s="1030"/>
      <c r="E805" s="1030"/>
      <c r="F805" s="1030"/>
      <c r="G805" s="1030"/>
      <c r="H805" s="1030"/>
      <c r="I805" s="1030"/>
      <c r="J805" s="1097"/>
      <c r="K805" s="1030"/>
      <c r="L805" s="1030"/>
      <c r="M805" s="1030"/>
      <c r="N805" s="1030"/>
      <c r="O805" s="1030"/>
      <c r="P805" s="1030"/>
      <c r="Q805" s="1030"/>
      <c r="R805" s="1030"/>
      <c r="S805" s="1030"/>
      <c r="T805" s="1030"/>
      <c r="U805" s="1030"/>
      <c r="V805" s="1030"/>
      <c r="W805" s="1030"/>
      <c r="X805" s="1030"/>
      <c r="Y805" s="1030"/>
      <c r="Z805" s="1030"/>
      <c r="AA805" s="1030"/>
      <c r="AB805" s="1030"/>
    </row>
    <row r="806" spans="1:28">
      <c r="A806" s="1030"/>
      <c r="B806" s="1030"/>
      <c r="C806" s="1030"/>
      <c r="D806" s="1030"/>
      <c r="E806" s="1030"/>
      <c r="F806" s="1030"/>
      <c r="G806" s="1030"/>
      <c r="H806" s="1030"/>
      <c r="I806" s="1030"/>
      <c r="J806" s="1097"/>
      <c r="K806" s="1030"/>
      <c r="L806" s="1030"/>
      <c r="M806" s="1030"/>
      <c r="N806" s="1030"/>
      <c r="O806" s="1030"/>
      <c r="P806" s="1030"/>
      <c r="Q806" s="1030"/>
      <c r="R806" s="1030"/>
      <c r="S806" s="1030"/>
      <c r="T806" s="1030"/>
      <c r="U806" s="1030"/>
      <c r="V806" s="1030"/>
      <c r="W806" s="1030"/>
      <c r="X806" s="1030"/>
      <c r="Y806" s="1030"/>
      <c r="Z806" s="1030"/>
      <c r="AA806" s="1030"/>
      <c r="AB806" s="1030"/>
    </row>
    <row r="807" spans="1:28">
      <c r="A807" s="1030"/>
      <c r="B807" s="1030"/>
      <c r="C807" s="1030"/>
      <c r="D807" s="1030"/>
      <c r="E807" s="1030"/>
      <c r="F807" s="1030"/>
      <c r="G807" s="1030"/>
      <c r="H807" s="1030"/>
      <c r="I807" s="1030"/>
      <c r="J807" s="1097"/>
      <c r="K807" s="1030"/>
      <c r="L807" s="1030"/>
      <c r="M807" s="1030"/>
      <c r="N807" s="1030"/>
      <c r="O807" s="1030"/>
      <c r="P807" s="1030"/>
      <c r="Q807" s="1030"/>
      <c r="R807" s="1030"/>
      <c r="S807" s="1030"/>
      <c r="T807" s="1030"/>
      <c r="U807" s="1030"/>
      <c r="V807" s="1030"/>
      <c r="W807" s="1030"/>
      <c r="X807" s="1030"/>
      <c r="Y807" s="1030"/>
      <c r="Z807" s="1030"/>
      <c r="AA807" s="1030"/>
      <c r="AB807" s="1030"/>
    </row>
    <row r="808" spans="1:28">
      <c r="A808" s="1030"/>
      <c r="B808" s="1030"/>
      <c r="C808" s="1030"/>
      <c r="D808" s="1030"/>
      <c r="E808" s="1030"/>
      <c r="F808" s="1030"/>
      <c r="G808" s="1030"/>
      <c r="H808" s="1030"/>
      <c r="I808" s="1030"/>
      <c r="J808" s="1097"/>
      <c r="K808" s="1030"/>
      <c r="L808" s="1030"/>
      <c r="M808" s="1030"/>
      <c r="N808" s="1030"/>
      <c r="O808" s="1030"/>
      <c r="P808" s="1030"/>
      <c r="Q808" s="1030"/>
      <c r="R808" s="1030"/>
      <c r="S808" s="1030"/>
      <c r="T808" s="1030"/>
      <c r="U808" s="1030"/>
      <c r="V808" s="1030"/>
      <c r="W808" s="1030"/>
      <c r="X808" s="1030"/>
      <c r="Y808" s="1030"/>
      <c r="Z808" s="1030"/>
      <c r="AA808" s="1030"/>
      <c r="AB808" s="1030"/>
    </row>
    <row r="809" spans="1:28">
      <c r="A809" s="1030"/>
      <c r="B809" s="1030"/>
      <c r="C809" s="1030"/>
      <c r="D809" s="1030"/>
      <c r="E809" s="1030"/>
      <c r="F809" s="1030"/>
      <c r="G809" s="1030"/>
      <c r="H809" s="1030"/>
      <c r="I809" s="1030"/>
      <c r="J809" s="1097"/>
      <c r="K809" s="1030"/>
      <c r="L809" s="1030"/>
      <c r="M809" s="1030"/>
      <c r="N809" s="1030"/>
      <c r="O809" s="1030"/>
      <c r="P809" s="1030"/>
      <c r="Q809" s="1030"/>
      <c r="R809" s="1030"/>
      <c r="S809" s="1030"/>
      <c r="T809" s="1030"/>
      <c r="U809" s="1030"/>
      <c r="V809" s="1030"/>
      <c r="W809" s="1030"/>
      <c r="X809" s="1030"/>
      <c r="Y809" s="1030"/>
      <c r="Z809" s="1030"/>
      <c r="AA809" s="1030"/>
      <c r="AB809" s="1030"/>
    </row>
    <row r="810" spans="1:28">
      <c r="A810" s="1030"/>
      <c r="B810" s="1030"/>
      <c r="C810" s="1030"/>
      <c r="D810" s="1030"/>
      <c r="E810" s="1030"/>
      <c r="F810" s="1030"/>
      <c r="G810" s="1030"/>
      <c r="H810" s="1030"/>
      <c r="I810" s="1030"/>
      <c r="J810" s="1097"/>
      <c r="K810" s="1030"/>
      <c r="L810" s="1030"/>
      <c r="M810" s="1030"/>
      <c r="N810" s="1030"/>
      <c r="O810" s="1030"/>
      <c r="P810" s="1030"/>
      <c r="Q810" s="1030"/>
      <c r="R810" s="1030"/>
      <c r="S810" s="1030"/>
      <c r="T810" s="1030"/>
      <c r="U810" s="1030"/>
      <c r="V810" s="1030"/>
      <c r="W810" s="1030"/>
      <c r="X810" s="1030"/>
      <c r="Y810" s="1030"/>
      <c r="Z810" s="1030"/>
      <c r="AA810" s="1030"/>
      <c r="AB810" s="1030"/>
    </row>
    <row r="811" spans="1:28">
      <c r="A811" s="1030"/>
      <c r="B811" s="1030"/>
      <c r="C811" s="1030"/>
      <c r="D811" s="1030"/>
      <c r="E811" s="1030"/>
      <c r="F811" s="1030"/>
      <c r="G811" s="1030"/>
      <c r="H811" s="1030"/>
      <c r="I811" s="1030"/>
      <c r="J811" s="1097"/>
      <c r="K811" s="1030"/>
      <c r="L811" s="1030"/>
      <c r="M811" s="1030"/>
      <c r="N811" s="1030"/>
      <c r="O811" s="1030"/>
      <c r="P811" s="1030"/>
      <c r="Q811" s="1030"/>
      <c r="R811" s="1030"/>
      <c r="S811" s="1030"/>
      <c r="T811" s="1030"/>
      <c r="U811" s="1030"/>
      <c r="V811" s="1030"/>
      <c r="W811" s="1030"/>
      <c r="X811" s="1030"/>
      <c r="Y811" s="1030"/>
      <c r="Z811" s="1030"/>
      <c r="AA811" s="1030"/>
      <c r="AB811" s="1030"/>
    </row>
    <row r="812" spans="1:28">
      <c r="A812" s="1030"/>
      <c r="B812" s="1030"/>
      <c r="C812" s="1030"/>
      <c r="D812" s="1030"/>
      <c r="E812" s="1030"/>
      <c r="F812" s="1030"/>
      <c r="G812" s="1030"/>
      <c r="H812" s="1030"/>
      <c r="I812" s="1030"/>
      <c r="J812" s="1097"/>
      <c r="K812" s="1030"/>
      <c r="L812" s="1030"/>
      <c r="M812" s="1030"/>
      <c r="N812" s="1030"/>
      <c r="O812" s="1030"/>
      <c r="P812" s="1030"/>
      <c r="Q812" s="1030"/>
      <c r="R812" s="1030"/>
      <c r="S812" s="1030"/>
      <c r="T812" s="1030"/>
      <c r="U812" s="1030"/>
      <c r="V812" s="1030"/>
      <c r="W812" s="1030"/>
      <c r="X812" s="1030"/>
      <c r="Y812" s="1030"/>
      <c r="Z812" s="1030"/>
      <c r="AA812" s="1030"/>
      <c r="AB812" s="1030"/>
    </row>
    <row r="813" spans="1:28">
      <c r="A813" s="1030"/>
      <c r="B813" s="1030"/>
      <c r="C813" s="1030"/>
      <c r="D813" s="1030"/>
      <c r="E813" s="1030"/>
      <c r="F813" s="1030"/>
      <c r="G813" s="1030"/>
      <c r="H813" s="1030"/>
      <c r="I813" s="1030"/>
      <c r="J813" s="1097"/>
      <c r="K813" s="1030"/>
      <c r="L813" s="1030"/>
      <c r="M813" s="1030"/>
      <c r="N813" s="1030"/>
      <c r="O813" s="1030"/>
      <c r="P813" s="1030"/>
      <c r="Q813" s="1030"/>
      <c r="R813" s="1030"/>
      <c r="S813" s="1030"/>
      <c r="T813" s="1030"/>
      <c r="U813" s="1030"/>
      <c r="V813" s="1030"/>
      <c r="W813" s="1030"/>
      <c r="X813" s="1030"/>
      <c r="Y813" s="1030"/>
      <c r="Z813" s="1030"/>
      <c r="AA813" s="1030"/>
      <c r="AB813" s="1030"/>
    </row>
    <row r="814" spans="1:28">
      <c r="A814" s="1030"/>
      <c r="B814" s="1030"/>
      <c r="C814" s="1030"/>
      <c r="D814" s="1030"/>
      <c r="E814" s="1030"/>
      <c r="F814" s="1030"/>
      <c r="G814" s="1030"/>
      <c r="H814" s="1030"/>
      <c r="I814" s="1030"/>
      <c r="J814" s="1097"/>
      <c r="K814" s="1030"/>
      <c r="L814" s="1030"/>
      <c r="M814" s="1030"/>
      <c r="N814" s="1030"/>
      <c r="O814" s="1030"/>
      <c r="P814" s="1030"/>
      <c r="Q814" s="1030"/>
      <c r="R814" s="1030"/>
      <c r="S814" s="1030"/>
      <c r="T814" s="1030"/>
      <c r="U814" s="1030"/>
      <c r="V814" s="1030"/>
      <c r="W814" s="1030"/>
      <c r="X814" s="1030"/>
      <c r="Y814" s="1030"/>
      <c r="Z814" s="1030"/>
      <c r="AA814" s="1030"/>
      <c r="AB814" s="1030"/>
    </row>
    <row r="815" spans="1:28">
      <c r="A815" s="1030"/>
      <c r="B815" s="1030"/>
      <c r="C815" s="1030"/>
      <c r="D815" s="1030"/>
      <c r="E815" s="1030"/>
      <c r="F815" s="1030"/>
      <c r="G815" s="1030"/>
      <c r="H815" s="1030"/>
      <c r="I815" s="1030"/>
      <c r="J815" s="1097"/>
      <c r="K815" s="1030"/>
      <c r="L815" s="1030"/>
      <c r="M815" s="1030"/>
      <c r="N815" s="1030"/>
      <c r="O815" s="1030"/>
      <c r="P815" s="1030"/>
      <c r="Q815" s="1030"/>
      <c r="R815" s="1030"/>
      <c r="S815" s="1030"/>
      <c r="T815" s="1030"/>
      <c r="U815" s="1030"/>
      <c r="V815" s="1030"/>
      <c r="W815" s="1030"/>
      <c r="X815" s="1030"/>
      <c r="Y815" s="1030"/>
      <c r="Z815" s="1030"/>
      <c r="AA815" s="1030"/>
      <c r="AB815" s="1030"/>
    </row>
    <row r="816" spans="1:28">
      <c r="A816" s="1030"/>
      <c r="B816" s="1030"/>
      <c r="C816" s="1030"/>
      <c r="D816" s="1030"/>
      <c r="E816" s="1030"/>
      <c r="F816" s="1030"/>
      <c r="G816" s="1030"/>
      <c r="H816" s="1030"/>
      <c r="I816" s="1030"/>
      <c r="J816" s="1097"/>
      <c r="K816" s="1030"/>
      <c r="L816" s="1030"/>
      <c r="M816" s="1030"/>
      <c r="N816" s="1030"/>
      <c r="O816" s="1030"/>
      <c r="P816" s="1030"/>
      <c r="Q816" s="1030"/>
      <c r="R816" s="1030"/>
      <c r="S816" s="1030"/>
      <c r="T816" s="1030"/>
      <c r="U816" s="1030"/>
      <c r="V816" s="1030"/>
      <c r="W816" s="1030"/>
      <c r="X816" s="1030"/>
      <c r="Y816" s="1030"/>
      <c r="Z816" s="1030"/>
      <c r="AA816" s="1030"/>
      <c r="AB816" s="1030"/>
    </row>
    <row r="817" spans="1:28">
      <c r="A817" s="1030"/>
      <c r="B817" s="1030"/>
      <c r="C817" s="1030"/>
      <c r="D817" s="1030"/>
      <c r="E817" s="1030"/>
      <c r="F817" s="1030"/>
      <c r="G817" s="1030"/>
      <c r="H817" s="1030"/>
      <c r="I817" s="1030"/>
      <c r="J817" s="1097"/>
      <c r="K817" s="1030"/>
      <c r="L817" s="1030"/>
      <c r="M817" s="1030"/>
      <c r="N817" s="1030"/>
      <c r="O817" s="1030"/>
      <c r="P817" s="1030"/>
      <c r="Q817" s="1030"/>
      <c r="R817" s="1030"/>
      <c r="S817" s="1030"/>
      <c r="T817" s="1030"/>
      <c r="U817" s="1030"/>
      <c r="V817" s="1030"/>
      <c r="W817" s="1030"/>
      <c r="X817" s="1030"/>
      <c r="Y817" s="1030"/>
      <c r="Z817" s="1030"/>
      <c r="AA817" s="1030"/>
      <c r="AB817" s="1030"/>
    </row>
    <row r="818" spans="1:28">
      <c r="A818" s="1030"/>
      <c r="B818" s="1030"/>
      <c r="C818" s="1030"/>
      <c r="D818" s="1030"/>
      <c r="E818" s="1030"/>
      <c r="F818" s="1030"/>
      <c r="G818" s="1030"/>
      <c r="H818" s="1030"/>
      <c r="I818" s="1030"/>
      <c r="J818" s="1097"/>
      <c r="K818" s="1030"/>
      <c r="L818" s="1030"/>
      <c r="M818" s="1030"/>
      <c r="N818" s="1030"/>
      <c r="O818" s="1030"/>
      <c r="P818" s="1030"/>
      <c r="Q818" s="1030"/>
      <c r="R818" s="1030"/>
      <c r="S818" s="1030"/>
      <c r="T818" s="1030"/>
      <c r="U818" s="1030"/>
      <c r="V818" s="1030"/>
      <c r="W818" s="1030"/>
      <c r="X818" s="1030"/>
      <c r="Y818" s="1030"/>
      <c r="Z818" s="1030"/>
      <c r="AA818" s="1030"/>
      <c r="AB818" s="1030"/>
    </row>
    <row r="819" spans="1:28">
      <c r="A819" s="1030"/>
      <c r="B819" s="1030"/>
      <c r="C819" s="1030"/>
      <c r="D819" s="1030"/>
      <c r="E819" s="1030"/>
      <c r="F819" s="1030"/>
      <c r="G819" s="1030"/>
      <c r="H819" s="1030"/>
      <c r="I819" s="1030"/>
      <c r="J819" s="1097"/>
      <c r="K819" s="1030"/>
      <c r="L819" s="1030"/>
      <c r="M819" s="1030"/>
      <c r="N819" s="1030"/>
      <c r="O819" s="1030"/>
      <c r="P819" s="1030"/>
      <c r="Q819" s="1030"/>
      <c r="R819" s="1030"/>
      <c r="S819" s="1030"/>
      <c r="T819" s="1030"/>
      <c r="U819" s="1030"/>
      <c r="V819" s="1030"/>
      <c r="W819" s="1030"/>
      <c r="X819" s="1030"/>
      <c r="Y819" s="1030"/>
      <c r="Z819" s="1030"/>
      <c r="AA819" s="1030"/>
      <c r="AB819" s="1030"/>
    </row>
    <row r="820" spans="1:28">
      <c r="A820" s="1030"/>
      <c r="B820" s="1030"/>
      <c r="C820" s="1030"/>
      <c r="D820" s="1030"/>
      <c r="E820" s="1030"/>
      <c r="F820" s="1030"/>
      <c r="G820" s="1030"/>
      <c r="H820" s="1030"/>
      <c r="I820" s="1030"/>
      <c r="J820" s="1097"/>
      <c r="K820" s="1030"/>
      <c r="L820" s="1030"/>
      <c r="M820" s="1030"/>
      <c r="N820" s="1030"/>
      <c r="O820" s="1030"/>
      <c r="P820" s="1030"/>
      <c r="Q820" s="1030"/>
      <c r="R820" s="1030"/>
      <c r="S820" s="1030"/>
      <c r="T820" s="1030"/>
      <c r="U820" s="1030"/>
      <c r="V820" s="1030"/>
      <c r="W820" s="1030"/>
      <c r="X820" s="1030"/>
      <c r="Y820" s="1030"/>
      <c r="Z820" s="1030"/>
      <c r="AA820" s="1030"/>
      <c r="AB820" s="1030"/>
    </row>
    <row r="821" spans="1:28">
      <c r="A821" s="1030"/>
      <c r="B821" s="1030"/>
      <c r="C821" s="1030"/>
      <c r="D821" s="1030"/>
      <c r="E821" s="1030"/>
      <c r="F821" s="1030"/>
      <c r="G821" s="1030"/>
      <c r="H821" s="1030"/>
      <c r="I821" s="1030"/>
      <c r="J821" s="1097"/>
      <c r="K821" s="1030"/>
      <c r="L821" s="1030"/>
      <c r="M821" s="1030"/>
      <c r="N821" s="1030"/>
      <c r="O821" s="1030"/>
      <c r="P821" s="1030"/>
      <c r="Q821" s="1030"/>
      <c r="R821" s="1030"/>
      <c r="S821" s="1030"/>
      <c r="T821" s="1030"/>
      <c r="U821" s="1030"/>
      <c r="V821" s="1030"/>
      <c r="W821" s="1030"/>
      <c r="X821" s="1030"/>
      <c r="Y821" s="1030"/>
      <c r="Z821" s="1030"/>
      <c r="AA821" s="1030"/>
      <c r="AB821" s="1030"/>
    </row>
    <row r="822" spans="1:28">
      <c r="A822" s="1030"/>
      <c r="B822" s="1030"/>
      <c r="C822" s="1030"/>
      <c r="D822" s="1030"/>
      <c r="E822" s="1030"/>
      <c r="F822" s="1030"/>
      <c r="G822" s="1030"/>
      <c r="H822" s="1030"/>
      <c r="I822" s="1030"/>
      <c r="J822" s="1097"/>
      <c r="K822" s="1030"/>
      <c r="L822" s="1030"/>
      <c r="M822" s="1030"/>
      <c r="N822" s="1030"/>
      <c r="O822" s="1030"/>
      <c r="P822" s="1030"/>
      <c r="Q822" s="1030"/>
      <c r="R822" s="1030"/>
      <c r="S822" s="1030"/>
      <c r="T822" s="1030"/>
      <c r="U822" s="1030"/>
      <c r="V822" s="1030"/>
      <c r="W822" s="1030"/>
      <c r="X822" s="1030"/>
      <c r="Y822" s="1030"/>
      <c r="Z822" s="1030"/>
      <c r="AA822" s="1030"/>
      <c r="AB822" s="1030"/>
    </row>
    <row r="823" spans="1:28">
      <c r="A823" s="1030"/>
      <c r="B823" s="1030"/>
      <c r="C823" s="1030"/>
      <c r="D823" s="1030"/>
      <c r="E823" s="1030"/>
      <c r="F823" s="1030"/>
      <c r="G823" s="1030"/>
      <c r="H823" s="1030"/>
      <c r="I823" s="1030"/>
      <c r="J823" s="1097"/>
      <c r="K823" s="1030"/>
      <c r="L823" s="1030"/>
      <c r="M823" s="1030"/>
      <c r="N823" s="1030"/>
      <c r="O823" s="1030"/>
      <c r="P823" s="1030"/>
      <c r="Q823" s="1030"/>
      <c r="R823" s="1030"/>
      <c r="S823" s="1030"/>
      <c r="T823" s="1030"/>
      <c r="U823" s="1030"/>
      <c r="V823" s="1030"/>
      <c r="W823" s="1030"/>
      <c r="X823" s="1030"/>
      <c r="Y823" s="1030"/>
      <c r="Z823" s="1030"/>
      <c r="AA823" s="1030"/>
      <c r="AB823" s="1030"/>
    </row>
    <row r="824" spans="1:28">
      <c r="A824" s="1030"/>
      <c r="B824" s="1030"/>
      <c r="C824" s="1030"/>
      <c r="D824" s="1030"/>
      <c r="E824" s="1030"/>
      <c r="F824" s="1030"/>
      <c r="G824" s="1030"/>
      <c r="H824" s="1030"/>
      <c r="I824" s="1030"/>
      <c r="J824" s="1097"/>
      <c r="K824" s="1030"/>
      <c r="L824" s="1030"/>
      <c r="M824" s="1030"/>
      <c r="N824" s="1030"/>
      <c r="O824" s="1030"/>
      <c r="P824" s="1030"/>
      <c r="Q824" s="1030"/>
      <c r="R824" s="1030"/>
      <c r="S824" s="1030"/>
      <c r="T824" s="1030"/>
      <c r="U824" s="1030"/>
      <c r="V824" s="1030"/>
      <c r="W824" s="1030"/>
      <c r="X824" s="1030"/>
      <c r="Y824" s="1030"/>
      <c r="Z824" s="1030"/>
      <c r="AA824" s="1030"/>
      <c r="AB824" s="1030"/>
    </row>
    <row r="825" spans="1:28">
      <c r="A825" s="1030"/>
      <c r="B825" s="1030"/>
      <c r="C825" s="1030"/>
      <c r="D825" s="1030"/>
      <c r="E825" s="1030"/>
      <c r="F825" s="1030"/>
      <c r="G825" s="1030"/>
      <c r="H825" s="1030"/>
      <c r="I825" s="1030"/>
      <c r="J825" s="1097"/>
      <c r="K825" s="1030"/>
      <c r="L825" s="1030"/>
      <c r="M825" s="1030"/>
      <c r="N825" s="1030"/>
      <c r="O825" s="1030"/>
      <c r="P825" s="1030"/>
      <c r="Q825" s="1030"/>
      <c r="R825" s="1030"/>
      <c r="S825" s="1030"/>
      <c r="T825" s="1030"/>
      <c r="U825" s="1030"/>
      <c r="V825" s="1030"/>
      <c r="W825" s="1030"/>
      <c r="X825" s="1030"/>
      <c r="Y825" s="1030"/>
      <c r="Z825" s="1030"/>
      <c r="AA825" s="1030"/>
      <c r="AB825" s="1030"/>
    </row>
    <row r="826" spans="1:28">
      <c r="A826" s="1030"/>
      <c r="B826" s="1030"/>
      <c r="C826" s="1030"/>
      <c r="D826" s="1030"/>
      <c r="E826" s="1030"/>
      <c r="F826" s="1030"/>
      <c r="G826" s="1030"/>
      <c r="H826" s="1030"/>
      <c r="I826" s="1030"/>
      <c r="J826" s="1097"/>
      <c r="K826" s="1030"/>
      <c r="L826" s="1030"/>
      <c r="M826" s="1030"/>
      <c r="N826" s="1030"/>
      <c r="O826" s="1030"/>
      <c r="P826" s="1030"/>
      <c r="Q826" s="1030"/>
      <c r="R826" s="1030"/>
      <c r="S826" s="1030"/>
      <c r="T826" s="1030"/>
      <c r="U826" s="1030"/>
      <c r="V826" s="1030"/>
      <c r="W826" s="1030"/>
      <c r="X826" s="1030"/>
      <c r="Y826" s="1030"/>
      <c r="Z826" s="1030"/>
      <c r="AA826" s="1030"/>
      <c r="AB826" s="1030"/>
    </row>
    <row r="827" spans="1:28">
      <c r="A827" s="1030"/>
      <c r="B827" s="1030"/>
      <c r="C827" s="1030"/>
      <c r="D827" s="1030"/>
      <c r="E827" s="1030"/>
      <c r="F827" s="1030"/>
      <c r="G827" s="1030"/>
      <c r="H827" s="1030"/>
      <c r="I827" s="1030"/>
      <c r="J827" s="1097"/>
      <c r="K827" s="1030"/>
      <c r="L827" s="1030"/>
      <c r="M827" s="1030"/>
      <c r="N827" s="1030"/>
      <c r="O827" s="1030"/>
      <c r="P827" s="1030"/>
      <c r="Q827" s="1030"/>
      <c r="R827" s="1030"/>
      <c r="S827" s="1030"/>
      <c r="T827" s="1030"/>
      <c r="U827" s="1030"/>
      <c r="V827" s="1030"/>
      <c r="W827" s="1030"/>
      <c r="X827" s="1030"/>
      <c r="Y827" s="1030"/>
      <c r="Z827" s="1030"/>
      <c r="AA827" s="1030"/>
      <c r="AB827" s="1030"/>
    </row>
    <row r="828" spans="1:28">
      <c r="A828" s="1030"/>
      <c r="B828" s="1030"/>
      <c r="C828" s="1030"/>
      <c r="D828" s="1030"/>
      <c r="E828" s="1030"/>
      <c r="F828" s="1030"/>
      <c r="G828" s="1030"/>
      <c r="H828" s="1030"/>
      <c r="I828" s="1030"/>
      <c r="J828" s="1097"/>
      <c r="K828" s="1030"/>
      <c r="L828" s="1030"/>
      <c r="M828" s="1030"/>
      <c r="N828" s="1030"/>
      <c r="O828" s="1030"/>
      <c r="P828" s="1030"/>
      <c r="Q828" s="1030"/>
      <c r="R828" s="1030"/>
      <c r="S828" s="1030"/>
      <c r="T828" s="1030"/>
      <c r="U828" s="1030"/>
      <c r="V828" s="1030"/>
      <c r="W828" s="1030"/>
      <c r="X828" s="1030"/>
      <c r="Y828" s="1030"/>
      <c r="Z828" s="1030"/>
      <c r="AA828" s="1030"/>
      <c r="AB828" s="1030"/>
    </row>
    <row r="829" spans="1:28">
      <c r="A829" s="1030"/>
      <c r="B829" s="1030"/>
      <c r="C829" s="1030"/>
      <c r="D829" s="1030"/>
      <c r="E829" s="1030"/>
      <c r="F829" s="1030"/>
      <c r="G829" s="1030"/>
      <c r="H829" s="1030"/>
      <c r="I829" s="1030"/>
      <c r="J829" s="1097"/>
      <c r="K829" s="1030"/>
      <c r="L829" s="1030"/>
      <c r="M829" s="1030"/>
      <c r="N829" s="1030"/>
      <c r="O829" s="1030"/>
      <c r="P829" s="1030"/>
      <c r="Q829" s="1030"/>
      <c r="R829" s="1030"/>
      <c r="S829" s="1030"/>
      <c r="T829" s="1030"/>
      <c r="U829" s="1030"/>
      <c r="V829" s="1030"/>
      <c r="W829" s="1030"/>
      <c r="X829" s="1030"/>
      <c r="Y829" s="1030"/>
      <c r="Z829" s="1030"/>
      <c r="AA829" s="1030"/>
      <c r="AB829" s="1030"/>
    </row>
    <row r="830" spans="1:28">
      <c r="A830" s="1030"/>
      <c r="B830" s="1030"/>
      <c r="C830" s="1030"/>
      <c r="D830" s="1030"/>
      <c r="E830" s="1030"/>
      <c r="F830" s="1030"/>
      <c r="G830" s="1030"/>
      <c r="H830" s="1030"/>
      <c r="I830" s="1030"/>
      <c r="J830" s="1097"/>
      <c r="K830" s="1030"/>
      <c r="L830" s="1030"/>
      <c r="M830" s="1030"/>
      <c r="N830" s="1030"/>
      <c r="O830" s="1030"/>
      <c r="P830" s="1030"/>
      <c r="Q830" s="1030"/>
      <c r="R830" s="1030"/>
      <c r="S830" s="1030"/>
      <c r="T830" s="1030"/>
      <c r="U830" s="1030"/>
      <c r="V830" s="1030"/>
      <c r="W830" s="1030"/>
      <c r="X830" s="1030"/>
      <c r="Y830" s="1030"/>
      <c r="Z830" s="1030"/>
      <c r="AA830" s="1030"/>
      <c r="AB830" s="1030"/>
    </row>
    <row r="831" spans="1:28">
      <c r="A831" s="1030"/>
      <c r="B831" s="1030"/>
      <c r="C831" s="1030"/>
      <c r="D831" s="1030"/>
      <c r="E831" s="1030"/>
      <c r="F831" s="1030"/>
      <c r="G831" s="1030"/>
      <c r="H831" s="1030"/>
      <c r="I831" s="1030"/>
      <c r="J831" s="1097"/>
      <c r="K831" s="1030"/>
      <c r="L831" s="1030"/>
      <c r="M831" s="1030"/>
      <c r="N831" s="1030"/>
      <c r="O831" s="1030"/>
      <c r="P831" s="1030"/>
      <c r="Q831" s="1030"/>
      <c r="R831" s="1030"/>
      <c r="S831" s="1030"/>
      <c r="T831" s="1030"/>
      <c r="U831" s="1030"/>
      <c r="V831" s="1030"/>
      <c r="W831" s="1030"/>
      <c r="X831" s="1030"/>
      <c r="Y831" s="1030"/>
      <c r="Z831" s="1030"/>
      <c r="AA831" s="1030"/>
      <c r="AB831" s="1030"/>
    </row>
    <row r="832" spans="1:28">
      <c r="A832" s="1030"/>
      <c r="B832" s="1030"/>
      <c r="C832" s="1030"/>
      <c r="D832" s="1030"/>
      <c r="E832" s="1030"/>
      <c r="F832" s="1030"/>
      <c r="G832" s="1030"/>
      <c r="H832" s="1030"/>
      <c r="I832" s="1030"/>
      <c r="J832" s="1097"/>
      <c r="K832" s="1030"/>
      <c r="L832" s="1030"/>
      <c r="M832" s="1030"/>
      <c r="N832" s="1030"/>
      <c r="O832" s="1030"/>
      <c r="P832" s="1030"/>
      <c r="Q832" s="1030"/>
      <c r="R832" s="1030"/>
      <c r="S832" s="1030"/>
      <c r="T832" s="1030"/>
      <c r="U832" s="1030"/>
      <c r="V832" s="1030"/>
      <c r="W832" s="1030"/>
      <c r="X832" s="1030"/>
      <c r="Y832" s="1030"/>
      <c r="Z832" s="1030"/>
      <c r="AA832" s="1030"/>
      <c r="AB832" s="1030"/>
    </row>
    <row r="833" spans="1:28">
      <c r="A833" s="1030"/>
      <c r="B833" s="1030"/>
      <c r="C833" s="1030"/>
      <c r="D833" s="1030"/>
      <c r="E833" s="1030"/>
      <c r="F833" s="1030"/>
      <c r="G833" s="1030"/>
      <c r="H833" s="1030"/>
      <c r="I833" s="1030"/>
      <c r="J833" s="1097"/>
      <c r="K833" s="1030"/>
      <c r="L833" s="1030"/>
      <c r="M833" s="1030"/>
      <c r="N833" s="1030"/>
      <c r="O833" s="1030"/>
      <c r="P833" s="1030"/>
      <c r="Q833" s="1030"/>
      <c r="R833" s="1030"/>
      <c r="S833" s="1030"/>
      <c r="T833" s="1030"/>
      <c r="U833" s="1030"/>
      <c r="V833" s="1030"/>
      <c r="W833" s="1030"/>
      <c r="X833" s="1030"/>
      <c r="Y833" s="1030"/>
      <c r="Z833" s="1030"/>
      <c r="AA833" s="1030"/>
      <c r="AB833" s="1030"/>
    </row>
    <row r="834" spans="1:28">
      <c r="A834" s="1030"/>
      <c r="B834" s="1030"/>
      <c r="C834" s="1030"/>
      <c r="D834" s="1030"/>
      <c r="E834" s="1030"/>
      <c r="F834" s="1030"/>
      <c r="G834" s="1030"/>
      <c r="H834" s="1030"/>
      <c r="I834" s="1030"/>
      <c r="J834" s="1097"/>
      <c r="K834" s="1030"/>
      <c r="L834" s="1030"/>
      <c r="M834" s="1030"/>
      <c r="N834" s="1030"/>
      <c r="O834" s="1030"/>
      <c r="P834" s="1030"/>
      <c r="Q834" s="1030"/>
      <c r="R834" s="1030"/>
      <c r="S834" s="1030"/>
      <c r="T834" s="1030"/>
      <c r="U834" s="1030"/>
      <c r="V834" s="1030"/>
      <c r="W834" s="1030"/>
      <c r="X834" s="1030"/>
      <c r="Y834" s="1030"/>
      <c r="Z834" s="1030"/>
      <c r="AA834" s="1030"/>
      <c r="AB834" s="1030"/>
    </row>
    <row r="835" spans="1:28">
      <c r="A835" s="1030"/>
      <c r="B835" s="1030"/>
      <c r="C835" s="1030"/>
      <c r="D835" s="1030"/>
      <c r="E835" s="1030"/>
      <c r="F835" s="1030"/>
      <c r="G835" s="1030"/>
      <c r="H835" s="1030"/>
      <c r="I835" s="1030"/>
      <c r="J835" s="1097"/>
      <c r="K835" s="1030"/>
      <c r="L835" s="1030"/>
      <c r="M835" s="1030"/>
      <c r="N835" s="1030"/>
      <c r="O835" s="1030"/>
      <c r="P835" s="1030"/>
      <c r="Q835" s="1030"/>
      <c r="R835" s="1030"/>
      <c r="S835" s="1030"/>
      <c r="T835" s="1030"/>
      <c r="U835" s="1030"/>
      <c r="V835" s="1030"/>
      <c r="W835" s="1030"/>
      <c r="X835" s="1030"/>
      <c r="Y835" s="1030"/>
      <c r="Z835" s="1030"/>
      <c r="AA835" s="1030"/>
      <c r="AB835" s="1030"/>
    </row>
    <row r="836" spans="1:28">
      <c r="A836" s="1030"/>
      <c r="B836" s="1030"/>
      <c r="C836" s="1030"/>
      <c r="D836" s="1030"/>
      <c r="E836" s="1030"/>
      <c r="F836" s="1030"/>
      <c r="G836" s="1030"/>
      <c r="H836" s="1030"/>
      <c r="I836" s="1030"/>
      <c r="J836" s="1097"/>
      <c r="K836" s="1030"/>
      <c r="L836" s="1030"/>
      <c r="M836" s="1030"/>
      <c r="N836" s="1030"/>
      <c r="O836" s="1030"/>
      <c r="P836" s="1030"/>
      <c r="Q836" s="1030"/>
      <c r="R836" s="1030"/>
      <c r="S836" s="1030"/>
      <c r="T836" s="1030"/>
      <c r="U836" s="1030"/>
      <c r="V836" s="1030"/>
      <c r="W836" s="1030"/>
      <c r="X836" s="1030"/>
      <c r="Y836" s="1030"/>
      <c r="Z836" s="1030"/>
      <c r="AA836" s="1030"/>
      <c r="AB836" s="1030"/>
    </row>
    <row r="837" spans="1:28">
      <c r="A837" s="1030"/>
      <c r="B837" s="1030"/>
      <c r="C837" s="1030"/>
      <c r="D837" s="1030"/>
      <c r="E837" s="1030"/>
      <c r="F837" s="1030"/>
      <c r="G837" s="1030"/>
      <c r="H837" s="1030"/>
      <c r="I837" s="1030"/>
      <c r="J837" s="1097"/>
      <c r="K837" s="1030"/>
      <c r="L837" s="1030"/>
      <c r="M837" s="1030"/>
      <c r="N837" s="1030"/>
      <c r="O837" s="1030"/>
      <c r="P837" s="1030"/>
      <c r="Q837" s="1030"/>
      <c r="R837" s="1030"/>
      <c r="S837" s="1030"/>
      <c r="T837" s="1030"/>
      <c r="U837" s="1030"/>
      <c r="V837" s="1030"/>
      <c r="W837" s="1030"/>
      <c r="X837" s="1030"/>
      <c r="Y837" s="1030"/>
      <c r="Z837" s="1030"/>
      <c r="AA837" s="1030"/>
      <c r="AB837" s="1030"/>
    </row>
    <row r="838" spans="1:28">
      <c r="A838" s="1030"/>
      <c r="B838" s="1030"/>
      <c r="C838" s="1030"/>
      <c r="D838" s="1030"/>
      <c r="E838" s="1030"/>
      <c r="F838" s="1030"/>
      <c r="G838" s="1030"/>
      <c r="H838" s="1030"/>
      <c r="I838" s="1030"/>
      <c r="J838" s="1097"/>
      <c r="K838" s="1030"/>
      <c r="L838" s="1030"/>
      <c r="M838" s="1030"/>
      <c r="N838" s="1030"/>
      <c r="O838" s="1030"/>
      <c r="P838" s="1030"/>
      <c r="Q838" s="1030"/>
      <c r="R838" s="1030"/>
      <c r="S838" s="1030"/>
      <c r="T838" s="1030"/>
      <c r="U838" s="1030"/>
      <c r="V838" s="1030"/>
      <c r="W838" s="1030"/>
      <c r="X838" s="1030"/>
      <c r="Y838" s="1030"/>
      <c r="Z838" s="1030"/>
      <c r="AA838" s="1030"/>
      <c r="AB838" s="1030"/>
    </row>
    <row r="839" spans="1:28">
      <c r="A839" s="1030"/>
      <c r="B839" s="1030"/>
      <c r="C839" s="1030"/>
      <c r="D839" s="1030"/>
      <c r="E839" s="1030"/>
      <c r="F839" s="1030"/>
      <c r="G839" s="1030"/>
      <c r="H839" s="1030"/>
      <c r="I839" s="1030"/>
      <c r="J839" s="1097"/>
      <c r="K839" s="1030"/>
      <c r="L839" s="1030"/>
      <c r="M839" s="1030"/>
      <c r="N839" s="1030"/>
      <c r="O839" s="1030"/>
      <c r="P839" s="1030"/>
      <c r="Q839" s="1030"/>
      <c r="R839" s="1030"/>
      <c r="S839" s="1030"/>
      <c r="T839" s="1030"/>
      <c r="U839" s="1030"/>
      <c r="V839" s="1030"/>
      <c r="W839" s="1030"/>
      <c r="X839" s="1030"/>
      <c r="Y839" s="1030"/>
      <c r="Z839" s="1030"/>
      <c r="AA839" s="1030"/>
      <c r="AB839" s="1030"/>
    </row>
    <row r="840" spans="1:28">
      <c r="A840" s="1030"/>
      <c r="B840" s="1030"/>
      <c r="C840" s="1030"/>
      <c r="D840" s="1030"/>
      <c r="E840" s="1030"/>
      <c r="F840" s="1030"/>
      <c r="G840" s="1030"/>
      <c r="H840" s="1030"/>
      <c r="I840" s="1030"/>
      <c r="J840" s="1097"/>
      <c r="K840" s="1030"/>
      <c r="L840" s="1030"/>
      <c r="M840" s="1030"/>
      <c r="N840" s="1030"/>
      <c r="O840" s="1030"/>
      <c r="P840" s="1030"/>
      <c r="Q840" s="1030"/>
      <c r="R840" s="1030"/>
      <c r="S840" s="1030"/>
      <c r="T840" s="1030"/>
      <c r="U840" s="1030"/>
      <c r="V840" s="1030"/>
      <c r="W840" s="1030"/>
      <c r="X840" s="1030"/>
      <c r="Y840" s="1030"/>
      <c r="Z840" s="1030"/>
      <c r="AA840" s="1030"/>
      <c r="AB840" s="1030"/>
    </row>
    <row r="841" spans="1:28">
      <c r="A841" s="1030"/>
      <c r="B841" s="1030"/>
      <c r="C841" s="1030"/>
      <c r="D841" s="1030"/>
      <c r="E841" s="1030"/>
      <c r="F841" s="1030"/>
      <c r="G841" s="1030"/>
      <c r="H841" s="1030"/>
      <c r="I841" s="1030"/>
      <c r="J841" s="1097"/>
      <c r="K841" s="1030"/>
      <c r="L841" s="1030"/>
      <c r="M841" s="1030"/>
      <c r="N841" s="1030"/>
      <c r="O841" s="1030"/>
      <c r="P841" s="1030"/>
      <c r="Q841" s="1030"/>
      <c r="R841" s="1030"/>
      <c r="S841" s="1030"/>
      <c r="T841" s="1030"/>
      <c r="U841" s="1030"/>
      <c r="V841" s="1030"/>
      <c r="W841" s="1030"/>
      <c r="X841" s="1030"/>
      <c r="Y841" s="1030"/>
      <c r="Z841" s="1030"/>
      <c r="AA841" s="1030"/>
      <c r="AB841" s="1030"/>
    </row>
    <row r="842" spans="1:28">
      <c r="A842" s="1030"/>
      <c r="B842" s="1030"/>
      <c r="C842" s="1030"/>
      <c r="D842" s="1030"/>
      <c r="E842" s="1030"/>
      <c r="F842" s="1030"/>
      <c r="G842" s="1030"/>
      <c r="H842" s="1030"/>
      <c r="I842" s="1030"/>
      <c r="J842" s="1097"/>
      <c r="K842" s="1030"/>
      <c r="L842" s="1030"/>
      <c r="M842" s="1030"/>
      <c r="N842" s="1030"/>
      <c r="O842" s="1030"/>
      <c r="P842" s="1030"/>
      <c r="Q842" s="1030"/>
      <c r="R842" s="1030"/>
      <c r="S842" s="1030"/>
      <c r="T842" s="1030"/>
      <c r="U842" s="1030"/>
      <c r="V842" s="1030"/>
      <c r="W842" s="1030"/>
      <c r="X842" s="1030"/>
      <c r="Y842" s="1030"/>
      <c r="Z842" s="1030"/>
      <c r="AA842" s="1030"/>
      <c r="AB842" s="1030"/>
    </row>
    <row r="843" spans="1:28">
      <c r="A843" s="1030"/>
      <c r="B843" s="1030"/>
      <c r="C843" s="1030"/>
      <c r="D843" s="1030"/>
      <c r="E843" s="1030"/>
      <c r="F843" s="1030"/>
      <c r="G843" s="1030"/>
      <c r="H843" s="1030"/>
      <c r="I843" s="1030"/>
      <c r="J843" s="1097"/>
      <c r="K843" s="1030"/>
      <c r="L843" s="1030"/>
      <c r="M843" s="1030"/>
      <c r="N843" s="1030"/>
      <c r="O843" s="1030"/>
      <c r="P843" s="1030"/>
      <c r="Q843" s="1030"/>
      <c r="R843" s="1030"/>
      <c r="S843" s="1030"/>
      <c r="T843" s="1030"/>
      <c r="U843" s="1030"/>
      <c r="V843" s="1030"/>
      <c r="W843" s="1030"/>
      <c r="X843" s="1030"/>
      <c r="Y843" s="1030"/>
      <c r="Z843" s="1030"/>
      <c r="AA843" s="1030"/>
      <c r="AB843" s="1030"/>
    </row>
    <row r="844" spans="1:28">
      <c r="A844" s="1030"/>
      <c r="B844" s="1030"/>
      <c r="C844" s="1030"/>
      <c r="D844" s="1030"/>
      <c r="E844" s="1030"/>
      <c r="F844" s="1030"/>
      <c r="G844" s="1030"/>
      <c r="H844" s="1030"/>
      <c r="I844" s="1030"/>
      <c r="J844" s="1097"/>
      <c r="K844" s="1030"/>
      <c r="L844" s="1030"/>
      <c r="M844" s="1030"/>
      <c r="N844" s="1030"/>
      <c r="O844" s="1030"/>
      <c r="P844" s="1030"/>
      <c r="Q844" s="1030"/>
      <c r="R844" s="1030"/>
      <c r="S844" s="1030"/>
      <c r="T844" s="1030"/>
      <c r="U844" s="1030"/>
      <c r="V844" s="1030"/>
      <c r="W844" s="1030"/>
      <c r="X844" s="1030"/>
      <c r="Y844" s="1030"/>
      <c r="Z844" s="1030"/>
      <c r="AA844" s="1030"/>
      <c r="AB844" s="1030"/>
    </row>
    <row r="845" spans="1:28">
      <c r="A845" s="1030"/>
      <c r="B845" s="1030"/>
      <c r="C845" s="1030"/>
      <c r="D845" s="1030"/>
      <c r="E845" s="1030"/>
      <c r="F845" s="1030"/>
      <c r="G845" s="1030"/>
      <c r="H845" s="1030"/>
      <c r="I845" s="1030"/>
      <c r="J845" s="1097"/>
      <c r="K845" s="1030"/>
      <c r="L845" s="1030"/>
      <c r="M845" s="1030"/>
      <c r="N845" s="1030"/>
      <c r="O845" s="1030"/>
      <c r="P845" s="1030"/>
      <c r="Q845" s="1030"/>
      <c r="R845" s="1030"/>
      <c r="S845" s="1030"/>
      <c r="T845" s="1030"/>
      <c r="U845" s="1030"/>
      <c r="V845" s="1030"/>
      <c r="W845" s="1030"/>
      <c r="X845" s="1030"/>
      <c r="Y845" s="1030"/>
      <c r="Z845" s="1030"/>
      <c r="AA845" s="1030"/>
      <c r="AB845" s="1030"/>
    </row>
    <row r="846" spans="1:28">
      <c r="A846" s="1030"/>
      <c r="B846" s="1030"/>
      <c r="C846" s="1030"/>
      <c r="D846" s="1030"/>
      <c r="E846" s="1030"/>
      <c r="F846" s="1030"/>
      <c r="G846" s="1030"/>
      <c r="H846" s="1030"/>
      <c r="I846" s="1030"/>
      <c r="J846" s="1097"/>
      <c r="K846" s="1030"/>
      <c r="L846" s="1030"/>
      <c r="M846" s="1030"/>
      <c r="N846" s="1030"/>
      <c r="O846" s="1030"/>
      <c r="P846" s="1030"/>
      <c r="Q846" s="1030"/>
      <c r="R846" s="1030"/>
      <c r="S846" s="1030"/>
      <c r="T846" s="1030"/>
      <c r="U846" s="1030"/>
      <c r="V846" s="1030"/>
      <c r="W846" s="1030"/>
      <c r="X846" s="1030"/>
      <c r="Y846" s="1030"/>
      <c r="Z846" s="1030"/>
      <c r="AA846" s="1030"/>
      <c r="AB846" s="1030"/>
    </row>
    <row r="847" spans="1:28">
      <c r="A847" s="1030"/>
      <c r="B847" s="1030"/>
      <c r="C847" s="1030"/>
      <c r="D847" s="1030"/>
      <c r="E847" s="1030"/>
      <c r="F847" s="1030"/>
      <c r="G847" s="1030"/>
      <c r="H847" s="1030"/>
      <c r="I847" s="1030"/>
      <c r="J847" s="1097"/>
      <c r="K847" s="1030"/>
      <c r="L847" s="1030"/>
      <c r="M847" s="1030"/>
      <c r="N847" s="1030"/>
      <c r="O847" s="1030"/>
      <c r="P847" s="1030"/>
      <c r="Q847" s="1030"/>
      <c r="R847" s="1030"/>
      <c r="S847" s="1030"/>
      <c r="T847" s="1030"/>
      <c r="U847" s="1030"/>
      <c r="V847" s="1030"/>
      <c r="W847" s="1030"/>
      <c r="X847" s="1030"/>
      <c r="Y847" s="1030"/>
      <c r="Z847" s="1030"/>
      <c r="AA847" s="1030"/>
      <c r="AB847" s="1030"/>
    </row>
    <row r="848" spans="1:28">
      <c r="A848" s="1030"/>
      <c r="B848" s="1030"/>
      <c r="C848" s="1030"/>
      <c r="D848" s="1030"/>
      <c r="E848" s="1030"/>
      <c r="F848" s="1030"/>
      <c r="G848" s="1030"/>
      <c r="H848" s="1030"/>
      <c r="I848" s="1030"/>
      <c r="J848" s="1097"/>
      <c r="K848" s="1030"/>
      <c r="L848" s="1030"/>
      <c r="M848" s="1030"/>
      <c r="N848" s="1030"/>
      <c r="O848" s="1030"/>
      <c r="P848" s="1030"/>
      <c r="Q848" s="1030"/>
      <c r="R848" s="1030"/>
      <c r="S848" s="1030"/>
      <c r="T848" s="1030"/>
      <c r="U848" s="1030"/>
      <c r="V848" s="1030"/>
      <c r="W848" s="1030"/>
      <c r="X848" s="1030"/>
      <c r="Y848" s="1030"/>
      <c r="Z848" s="1030"/>
      <c r="AA848" s="1030"/>
      <c r="AB848" s="1030"/>
    </row>
    <row r="849" spans="1:28">
      <c r="A849" s="1030"/>
      <c r="B849" s="1030"/>
      <c r="C849" s="1030"/>
      <c r="D849" s="1030"/>
      <c r="E849" s="1030"/>
      <c r="F849" s="1030"/>
      <c r="G849" s="1030"/>
      <c r="H849" s="1030"/>
      <c r="I849" s="1030"/>
      <c r="J849" s="1097"/>
      <c r="K849" s="1030"/>
      <c r="L849" s="1030"/>
      <c r="M849" s="1030"/>
      <c r="N849" s="1030"/>
      <c r="O849" s="1030"/>
      <c r="P849" s="1030"/>
      <c r="Q849" s="1030"/>
      <c r="R849" s="1030"/>
      <c r="S849" s="1030"/>
      <c r="T849" s="1030"/>
      <c r="U849" s="1030"/>
      <c r="V849" s="1030"/>
      <c r="W849" s="1030"/>
      <c r="X849" s="1030"/>
      <c r="Y849" s="1030"/>
      <c r="Z849" s="1030"/>
      <c r="AA849" s="1030"/>
      <c r="AB849" s="1030"/>
    </row>
    <row r="850" spans="1:28">
      <c r="A850" s="1030"/>
      <c r="B850" s="1030"/>
      <c r="C850" s="1030"/>
      <c r="D850" s="1030"/>
      <c r="E850" s="1030"/>
      <c r="F850" s="1030"/>
      <c r="G850" s="1030"/>
      <c r="H850" s="1030"/>
      <c r="I850" s="1030"/>
      <c r="J850" s="1097"/>
      <c r="K850" s="1030"/>
      <c r="L850" s="1030"/>
      <c r="M850" s="1030"/>
      <c r="N850" s="1030"/>
      <c r="O850" s="1030"/>
      <c r="P850" s="1030"/>
      <c r="Q850" s="1030"/>
      <c r="R850" s="1030"/>
      <c r="S850" s="1030"/>
      <c r="T850" s="1030"/>
      <c r="U850" s="1030"/>
      <c r="V850" s="1030"/>
      <c r="W850" s="1030"/>
      <c r="X850" s="1030"/>
      <c r="Y850" s="1030"/>
      <c r="Z850" s="1030"/>
      <c r="AA850" s="1030"/>
      <c r="AB850" s="1030"/>
    </row>
    <row r="851" spans="1:28">
      <c r="A851" s="1030"/>
      <c r="B851" s="1030"/>
      <c r="C851" s="1030"/>
      <c r="D851" s="1030"/>
      <c r="E851" s="1030"/>
      <c r="F851" s="1030"/>
      <c r="G851" s="1030"/>
      <c r="H851" s="1030"/>
      <c r="I851" s="1030"/>
      <c r="J851" s="1097"/>
      <c r="K851" s="1030"/>
      <c r="L851" s="1030"/>
      <c r="M851" s="1030"/>
      <c r="N851" s="1030"/>
      <c r="O851" s="1030"/>
      <c r="P851" s="1030"/>
      <c r="Q851" s="1030"/>
      <c r="R851" s="1030"/>
      <c r="S851" s="1030"/>
      <c r="T851" s="1030"/>
      <c r="U851" s="1030"/>
      <c r="V851" s="1030"/>
      <c r="W851" s="1030"/>
      <c r="X851" s="1030"/>
      <c r="Y851" s="1030"/>
      <c r="Z851" s="1030"/>
      <c r="AA851" s="1030"/>
      <c r="AB851" s="1030"/>
    </row>
    <row r="852" spans="1:28">
      <c r="A852" s="1030"/>
      <c r="B852" s="1030"/>
      <c r="C852" s="1030"/>
      <c r="D852" s="1030"/>
      <c r="E852" s="1030"/>
      <c r="F852" s="1030"/>
      <c r="G852" s="1030"/>
      <c r="H852" s="1030"/>
      <c r="I852" s="1030"/>
      <c r="J852" s="1097"/>
      <c r="K852" s="1030"/>
      <c r="L852" s="1030"/>
      <c r="M852" s="1030"/>
      <c r="N852" s="1030"/>
      <c r="O852" s="1030"/>
      <c r="P852" s="1030"/>
      <c r="Q852" s="1030"/>
      <c r="R852" s="1030"/>
      <c r="S852" s="1030"/>
      <c r="T852" s="1030"/>
      <c r="U852" s="1030"/>
      <c r="V852" s="1030"/>
      <c r="W852" s="1030"/>
      <c r="X852" s="1030"/>
      <c r="Y852" s="1030"/>
      <c r="Z852" s="1030"/>
      <c r="AA852" s="1030"/>
      <c r="AB852" s="1030"/>
    </row>
    <row r="853" spans="1:28">
      <c r="A853" s="1030"/>
      <c r="B853" s="1030"/>
      <c r="C853" s="1030"/>
      <c r="D853" s="1030"/>
      <c r="E853" s="1030"/>
      <c r="F853" s="1030"/>
      <c r="G853" s="1030"/>
      <c r="H853" s="1030"/>
      <c r="I853" s="1030"/>
      <c r="J853" s="1097"/>
      <c r="K853" s="1030"/>
      <c r="L853" s="1030"/>
      <c r="M853" s="1030"/>
      <c r="N853" s="1030"/>
      <c r="O853" s="1030"/>
      <c r="P853" s="1030"/>
      <c r="Q853" s="1030"/>
      <c r="R853" s="1030"/>
      <c r="S853" s="1030"/>
      <c r="T853" s="1030"/>
      <c r="U853" s="1030"/>
      <c r="V853" s="1030"/>
      <c r="W853" s="1030"/>
      <c r="X853" s="1030"/>
      <c r="Y853" s="1030"/>
      <c r="Z853" s="1030"/>
      <c r="AA853" s="1030"/>
      <c r="AB853" s="1030"/>
    </row>
    <row r="854" spans="1:28">
      <c r="A854" s="1030"/>
      <c r="B854" s="1030"/>
      <c r="C854" s="1030"/>
      <c r="D854" s="1030"/>
      <c r="E854" s="1030"/>
      <c r="F854" s="1030"/>
      <c r="G854" s="1030"/>
      <c r="H854" s="1030"/>
      <c r="I854" s="1030"/>
      <c r="J854" s="1097"/>
      <c r="K854" s="1030"/>
      <c r="L854" s="1030"/>
      <c r="M854" s="1030"/>
      <c r="N854" s="1030"/>
      <c r="O854" s="1030"/>
      <c r="P854" s="1030"/>
      <c r="Q854" s="1030"/>
      <c r="R854" s="1030"/>
      <c r="S854" s="1030"/>
      <c r="T854" s="1030"/>
      <c r="U854" s="1030"/>
      <c r="V854" s="1030"/>
      <c r="W854" s="1030"/>
      <c r="X854" s="1030"/>
      <c r="Y854" s="1030"/>
      <c r="Z854" s="1030"/>
      <c r="AA854" s="1030"/>
      <c r="AB854" s="1030"/>
    </row>
    <row r="855" spans="1:28">
      <c r="A855" s="1030"/>
      <c r="B855" s="1030"/>
      <c r="C855" s="1030"/>
      <c r="D855" s="1030"/>
      <c r="E855" s="1030"/>
      <c r="F855" s="1030"/>
      <c r="G855" s="1030"/>
      <c r="H855" s="1030"/>
      <c r="I855" s="1030"/>
      <c r="J855" s="1097"/>
      <c r="K855" s="1030"/>
      <c r="L855" s="1030"/>
      <c r="M855" s="1030"/>
      <c r="N855" s="1030"/>
      <c r="O855" s="1030"/>
      <c r="P855" s="1030"/>
      <c r="Q855" s="1030"/>
      <c r="R855" s="1030"/>
      <c r="S855" s="1030"/>
      <c r="T855" s="1030"/>
      <c r="U855" s="1030"/>
      <c r="V855" s="1030"/>
      <c r="W855" s="1030"/>
      <c r="X855" s="1030"/>
      <c r="Y855" s="1030"/>
      <c r="Z855" s="1030"/>
      <c r="AA855" s="1030"/>
      <c r="AB855" s="1030"/>
    </row>
    <row r="856" spans="1:28">
      <c r="A856" s="1030"/>
      <c r="B856" s="1030"/>
      <c r="C856" s="1030"/>
      <c r="D856" s="1030"/>
      <c r="E856" s="1030"/>
      <c r="F856" s="1030"/>
      <c r="G856" s="1030"/>
      <c r="H856" s="1030"/>
      <c r="I856" s="1030"/>
      <c r="J856" s="1097"/>
      <c r="K856" s="1030"/>
      <c r="L856" s="1030"/>
      <c r="M856" s="1030"/>
      <c r="N856" s="1030"/>
      <c r="O856" s="1030"/>
      <c r="P856" s="1030"/>
      <c r="Q856" s="1030"/>
      <c r="R856" s="1030"/>
      <c r="S856" s="1030"/>
      <c r="T856" s="1030"/>
      <c r="U856" s="1030"/>
      <c r="V856" s="1030"/>
      <c r="W856" s="1030"/>
      <c r="X856" s="1030"/>
      <c r="Y856" s="1030"/>
      <c r="Z856" s="1030"/>
      <c r="AA856" s="1030"/>
      <c r="AB856" s="1030"/>
    </row>
    <row r="857" spans="1:28">
      <c r="A857" s="1030"/>
      <c r="B857" s="1030"/>
      <c r="C857" s="1030"/>
      <c r="D857" s="1030"/>
      <c r="E857" s="1030"/>
      <c r="F857" s="1030"/>
      <c r="G857" s="1030"/>
      <c r="H857" s="1030"/>
      <c r="I857" s="1030"/>
      <c r="J857" s="1097"/>
      <c r="K857" s="1030"/>
      <c r="L857" s="1030"/>
      <c r="M857" s="1030"/>
      <c r="N857" s="1030"/>
      <c r="O857" s="1030"/>
      <c r="P857" s="1030"/>
      <c r="Q857" s="1030"/>
      <c r="R857" s="1030"/>
      <c r="S857" s="1030"/>
      <c r="T857" s="1030"/>
      <c r="U857" s="1030"/>
      <c r="V857" s="1030"/>
      <c r="W857" s="1030"/>
      <c r="X857" s="1030"/>
      <c r="Y857" s="1030"/>
      <c r="Z857" s="1030"/>
      <c r="AA857" s="1030"/>
      <c r="AB857" s="1030"/>
    </row>
    <row r="858" spans="1:28">
      <c r="A858" s="1030"/>
      <c r="B858" s="1030"/>
      <c r="C858" s="1030"/>
      <c r="D858" s="1030"/>
      <c r="E858" s="1030"/>
      <c r="F858" s="1030"/>
      <c r="G858" s="1030"/>
      <c r="H858" s="1030"/>
      <c r="I858" s="1030"/>
      <c r="J858" s="1097"/>
      <c r="K858" s="1030"/>
      <c r="L858" s="1030"/>
      <c r="M858" s="1030"/>
      <c r="N858" s="1030"/>
      <c r="O858" s="1030"/>
      <c r="P858" s="1030"/>
      <c r="Q858" s="1030"/>
      <c r="R858" s="1030"/>
      <c r="S858" s="1030"/>
      <c r="T858" s="1030"/>
      <c r="U858" s="1030"/>
      <c r="V858" s="1030"/>
      <c r="W858" s="1030"/>
      <c r="X858" s="1030"/>
      <c r="Y858" s="1030"/>
      <c r="Z858" s="1030"/>
      <c r="AA858" s="1030"/>
      <c r="AB858" s="1030"/>
    </row>
    <row r="859" spans="1:28">
      <c r="A859" s="1030"/>
      <c r="B859" s="1030"/>
      <c r="C859" s="1030"/>
      <c r="D859" s="1030"/>
      <c r="E859" s="1030"/>
      <c r="F859" s="1030"/>
      <c r="G859" s="1030"/>
      <c r="H859" s="1030"/>
      <c r="I859" s="1030"/>
      <c r="J859" s="1097"/>
      <c r="K859" s="1030"/>
      <c r="L859" s="1030"/>
      <c r="M859" s="1030"/>
      <c r="N859" s="1030"/>
      <c r="O859" s="1030"/>
      <c r="P859" s="1030"/>
      <c r="Q859" s="1030"/>
      <c r="R859" s="1030"/>
      <c r="S859" s="1030"/>
      <c r="T859" s="1030"/>
      <c r="U859" s="1030"/>
      <c r="V859" s="1030"/>
      <c r="W859" s="1030"/>
      <c r="X859" s="1030"/>
      <c r="Y859" s="1030"/>
      <c r="Z859" s="1030"/>
      <c r="AA859" s="1030"/>
      <c r="AB859" s="1030"/>
    </row>
    <row r="860" spans="1:28">
      <c r="A860" s="1030"/>
      <c r="B860" s="1030"/>
      <c r="C860" s="1030"/>
      <c r="D860" s="1030"/>
      <c r="E860" s="1030"/>
      <c r="F860" s="1030"/>
      <c r="G860" s="1030"/>
      <c r="H860" s="1030"/>
      <c r="I860" s="1030"/>
      <c r="J860" s="1097"/>
      <c r="K860" s="1030"/>
      <c r="L860" s="1030"/>
      <c r="M860" s="1030"/>
      <c r="N860" s="1030"/>
      <c r="O860" s="1030"/>
      <c r="P860" s="1030"/>
      <c r="Q860" s="1030"/>
      <c r="R860" s="1030"/>
      <c r="S860" s="1030"/>
      <c r="T860" s="1030"/>
      <c r="U860" s="1030"/>
      <c r="V860" s="1030"/>
      <c r="W860" s="1030"/>
      <c r="X860" s="1030"/>
      <c r="Y860" s="1030"/>
      <c r="Z860" s="1030"/>
      <c r="AA860" s="1030"/>
      <c r="AB860" s="1030"/>
    </row>
    <row r="861" spans="1:28">
      <c r="A861" s="1030"/>
      <c r="B861" s="1030"/>
      <c r="C861" s="1030"/>
      <c r="D861" s="1030"/>
      <c r="E861" s="1030"/>
      <c r="F861" s="1030"/>
      <c r="G861" s="1030"/>
      <c r="H861" s="1030"/>
      <c r="I861" s="1030"/>
      <c r="J861" s="1097"/>
      <c r="K861" s="1030"/>
      <c r="L861" s="1030"/>
      <c r="M861" s="1030"/>
      <c r="N861" s="1030"/>
      <c r="O861" s="1030"/>
      <c r="P861" s="1030"/>
      <c r="Q861" s="1030"/>
      <c r="R861" s="1030"/>
      <c r="S861" s="1030"/>
      <c r="T861" s="1030"/>
      <c r="U861" s="1030"/>
      <c r="V861" s="1030"/>
      <c r="W861" s="1030"/>
      <c r="X861" s="1030"/>
      <c r="Y861" s="1030"/>
      <c r="Z861" s="1030"/>
      <c r="AA861" s="1030"/>
      <c r="AB861" s="1030"/>
    </row>
    <row r="862" spans="1:28">
      <c r="A862" s="1030"/>
      <c r="B862" s="1030"/>
      <c r="C862" s="1030"/>
      <c r="D862" s="1030"/>
      <c r="E862" s="1030"/>
      <c r="F862" s="1030"/>
      <c r="G862" s="1030"/>
      <c r="H862" s="1030"/>
      <c r="I862" s="1030"/>
      <c r="J862" s="1097"/>
      <c r="K862" s="1030"/>
      <c r="L862" s="1030"/>
      <c r="M862" s="1030"/>
      <c r="N862" s="1030"/>
      <c r="O862" s="1030"/>
      <c r="P862" s="1030"/>
      <c r="Q862" s="1030"/>
      <c r="R862" s="1030"/>
      <c r="S862" s="1030"/>
      <c r="T862" s="1030"/>
      <c r="U862" s="1030"/>
      <c r="V862" s="1030"/>
      <c r="W862" s="1030"/>
      <c r="X862" s="1030"/>
      <c r="Y862" s="1030"/>
      <c r="Z862" s="1030"/>
      <c r="AA862" s="1030"/>
      <c r="AB862" s="1030"/>
    </row>
    <row r="863" spans="1:28">
      <c r="A863" s="1030"/>
      <c r="B863" s="1030"/>
      <c r="C863" s="1030"/>
      <c r="D863" s="1030"/>
      <c r="E863" s="1030"/>
      <c r="F863" s="1030"/>
      <c r="G863" s="1030"/>
      <c r="H863" s="1030"/>
      <c r="I863" s="1030"/>
      <c r="J863" s="1097"/>
      <c r="K863" s="1030"/>
      <c r="L863" s="1030"/>
      <c r="M863" s="1030"/>
      <c r="N863" s="1030"/>
      <c r="O863" s="1030"/>
      <c r="P863" s="1030"/>
      <c r="Q863" s="1030"/>
      <c r="R863" s="1030"/>
      <c r="S863" s="1030"/>
      <c r="T863" s="1030"/>
      <c r="U863" s="1030"/>
      <c r="V863" s="1030"/>
      <c r="W863" s="1030"/>
      <c r="X863" s="1030"/>
      <c r="Y863" s="1030"/>
      <c r="Z863" s="1030"/>
      <c r="AA863" s="1030"/>
      <c r="AB863" s="1030"/>
    </row>
    <row r="864" spans="1:28">
      <c r="A864" s="1030"/>
      <c r="B864" s="1030"/>
      <c r="C864" s="1030"/>
      <c r="D864" s="1030"/>
      <c r="E864" s="1030"/>
      <c r="F864" s="1030"/>
      <c r="G864" s="1030"/>
      <c r="H864" s="1030"/>
      <c r="I864" s="1030"/>
      <c r="J864" s="1097"/>
      <c r="K864" s="1030"/>
      <c r="L864" s="1030"/>
      <c r="M864" s="1030"/>
      <c r="N864" s="1030"/>
      <c r="O864" s="1030"/>
      <c r="P864" s="1030"/>
      <c r="Q864" s="1030"/>
      <c r="R864" s="1030"/>
      <c r="S864" s="1030"/>
      <c r="T864" s="1030"/>
      <c r="U864" s="1030"/>
      <c r="V864" s="1030"/>
      <c r="W864" s="1030"/>
      <c r="X864" s="1030"/>
      <c r="Y864" s="1030"/>
      <c r="Z864" s="1030"/>
      <c r="AA864" s="1030"/>
      <c r="AB864" s="1030"/>
    </row>
    <row r="865" spans="1:28">
      <c r="A865" s="1030"/>
      <c r="B865" s="1030"/>
      <c r="C865" s="1030"/>
      <c r="D865" s="1030"/>
      <c r="E865" s="1030"/>
      <c r="F865" s="1030"/>
      <c r="G865" s="1030"/>
      <c r="H865" s="1030"/>
      <c r="I865" s="1030"/>
      <c r="J865" s="1097"/>
      <c r="K865" s="1030"/>
      <c r="L865" s="1030"/>
      <c r="M865" s="1030"/>
      <c r="N865" s="1030"/>
      <c r="O865" s="1030"/>
      <c r="P865" s="1030"/>
      <c r="Q865" s="1030"/>
      <c r="R865" s="1030"/>
      <c r="S865" s="1030"/>
      <c r="T865" s="1030"/>
      <c r="U865" s="1030"/>
      <c r="V865" s="1030"/>
      <c r="W865" s="1030"/>
      <c r="X865" s="1030"/>
      <c r="Y865" s="1030"/>
      <c r="Z865" s="1030"/>
      <c r="AA865" s="1030"/>
      <c r="AB865" s="1030"/>
    </row>
    <row r="866" spans="1:28">
      <c r="A866" s="1030"/>
      <c r="B866" s="1030"/>
      <c r="C866" s="1030"/>
      <c r="D866" s="1030"/>
      <c r="E866" s="1030"/>
      <c r="F866" s="1030"/>
      <c r="G866" s="1030"/>
      <c r="H866" s="1030"/>
      <c r="I866" s="1030"/>
      <c r="J866" s="1097"/>
      <c r="K866" s="1030"/>
      <c r="L866" s="1030"/>
      <c r="M866" s="1030"/>
      <c r="N866" s="1030"/>
      <c r="O866" s="1030"/>
      <c r="P866" s="1030"/>
      <c r="Q866" s="1030"/>
      <c r="R866" s="1030"/>
      <c r="S866" s="1030"/>
      <c r="T866" s="1030"/>
      <c r="U866" s="1030"/>
      <c r="V866" s="1030"/>
      <c r="W866" s="1030"/>
      <c r="X866" s="1030"/>
      <c r="Y866" s="1030"/>
      <c r="Z866" s="1030"/>
      <c r="AA866" s="1030"/>
      <c r="AB866" s="1030"/>
    </row>
    <row r="867" spans="1:28">
      <c r="A867" s="1030"/>
      <c r="B867" s="1030"/>
      <c r="C867" s="1030"/>
      <c r="D867" s="1030"/>
      <c r="E867" s="1030"/>
      <c r="F867" s="1030"/>
      <c r="G867" s="1030"/>
      <c r="H867" s="1030"/>
      <c r="I867" s="1030"/>
      <c r="J867" s="1097"/>
      <c r="K867" s="1030"/>
      <c r="L867" s="1030"/>
      <c r="M867" s="1030"/>
      <c r="N867" s="1030"/>
      <c r="O867" s="1030"/>
      <c r="P867" s="1030"/>
      <c r="Q867" s="1030"/>
      <c r="R867" s="1030"/>
      <c r="S867" s="1030"/>
      <c r="T867" s="1030"/>
      <c r="U867" s="1030"/>
      <c r="V867" s="1030"/>
      <c r="W867" s="1030"/>
      <c r="X867" s="1030"/>
      <c r="Y867" s="1030"/>
      <c r="Z867" s="1030"/>
      <c r="AA867" s="1030"/>
      <c r="AB867" s="1030"/>
    </row>
    <row r="868" spans="1:28">
      <c r="A868" s="1030"/>
      <c r="B868" s="1030"/>
      <c r="C868" s="1030"/>
      <c r="D868" s="1030"/>
      <c r="E868" s="1030"/>
      <c r="F868" s="1030"/>
      <c r="G868" s="1030"/>
      <c r="H868" s="1030"/>
      <c r="I868" s="1030"/>
      <c r="J868" s="1097"/>
      <c r="K868" s="1030"/>
      <c r="L868" s="1030"/>
      <c r="M868" s="1030"/>
      <c r="N868" s="1030"/>
      <c r="O868" s="1030"/>
      <c r="P868" s="1030"/>
      <c r="Q868" s="1030"/>
      <c r="R868" s="1030"/>
      <c r="S868" s="1030"/>
      <c r="T868" s="1030"/>
      <c r="U868" s="1030"/>
      <c r="V868" s="1030"/>
      <c r="W868" s="1030"/>
      <c r="X868" s="1030"/>
      <c r="Y868" s="1030"/>
      <c r="Z868" s="1030"/>
      <c r="AA868" s="1030"/>
      <c r="AB868" s="1030"/>
    </row>
    <row r="869" spans="1:28">
      <c r="A869" s="1030"/>
      <c r="B869" s="1030"/>
      <c r="C869" s="1030"/>
      <c r="D869" s="1030"/>
      <c r="E869" s="1030"/>
      <c r="F869" s="1030"/>
      <c r="G869" s="1030"/>
      <c r="H869" s="1030"/>
      <c r="I869" s="1030"/>
      <c r="J869" s="1097"/>
      <c r="K869" s="1030"/>
      <c r="L869" s="1030"/>
      <c r="M869" s="1030"/>
      <c r="N869" s="1030"/>
      <c r="O869" s="1030"/>
      <c r="P869" s="1030"/>
      <c r="Q869" s="1030"/>
      <c r="R869" s="1030"/>
      <c r="S869" s="1030"/>
      <c r="T869" s="1030"/>
      <c r="U869" s="1030"/>
      <c r="V869" s="1030"/>
      <c r="W869" s="1030"/>
      <c r="X869" s="1030"/>
      <c r="Y869" s="1030"/>
      <c r="Z869" s="1030"/>
      <c r="AA869" s="1030"/>
      <c r="AB869" s="1030"/>
    </row>
    <row r="870" spans="1:28">
      <c r="A870" s="1030"/>
      <c r="B870" s="1030"/>
      <c r="C870" s="1030"/>
      <c r="D870" s="1030"/>
      <c r="E870" s="1030"/>
      <c r="F870" s="1030"/>
      <c r="G870" s="1030"/>
      <c r="H870" s="1030"/>
      <c r="I870" s="1030"/>
      <c r="J870" s="1097"/>
      <c r="K870" s="1030"/>
      <c r="L870" s="1030"/>
      <c r="M870" s="1030"/>
      <c r="N870" s="1030"/>
      <c r="O870" s="1030"/>
      <c r="P870" s="1030"/>
      <c r="Q870" s="1030"/>
      <c r="R870" s="1030"/>
      <c r="S870" s="1030"/>
      <c r="T870" s="1030"/>
      <c r="U870" s="1030"/>
      <c r="V870" s="1030"/>
      <c r="W870" s="1030"/>
      <c r="X870" s="1030"/>
      <c r="Y870" s="1030"/>
      <c r="Z870" s="1030"/>
      <c r="AA870" s="1030"/>
      <c r="AB870" s="1030"/>
    </row>
    <row r="871" spans="1:28">
      <c r="A871" s="1030"/>
      <c r="B871" s="1030"/>
      <c r="C871" s="1030"/>
      <c r="D871" s="1030"/>
      <c r="E871" s="1030"/>
      <c r="F871" s="1030"/>
      <c r="G871" s="1030"/>
      <c r="H871" s="1030"/>
      <c r="I871" s="1030"/>
      <c r="J871" s="1097"/>
      <c r="K871" s="1030"/>
      <c r="L871" s="1030"/>
      <c r="M871" s="1030"/>
      <c r="N871" s="1030"/>
      <c r="O871" s="1030"/>
      <c r="P871" s="1030"/>
      <c r="Q871" s="1030"/>
      <c r="R871" s="1030"/>
      <c r="S871" s="1030"/>
      <c r="T871" s="1030"/>
      <c r="U871" s="1030"/>
      <c r="V871" s="1030"/>
      <c r="W871" s="1030"/>
      <c r="X871" s="1030"/>
      <c r="Y871" s="1030"/>
      <c r="Z871" s="1030"/>
      <c r="AA871" s="1030"/>
      <c r="AB871" s="1030"/>
    </row>
    <row r="872" spans="1:28">
      <c r="A872" s="1030"/>
      <c r="B872" s="1030"/>
      <c r="C872" s="1030"/>
      <c r="D872" s="1030"/>
      <c r="E872" s="1030"/>
      <c r="F872" s="1030"/>
      <c r="G872" s="1030"/>
      <c r="H872" s="1030"/>
      <c r="I872" s="1030"/>
      <c r="J872" s="1097"/>
      <c r="K872" s="1030"/>
      <c r="L872" s="1030"/>
      <c r="M872" s="1030"/>
      <c r="N872" s="1030"/>
      <c r="O872" s="1030"/>
      <c r="P872" s="1030"/>
      <c r="Q872" s="1030"/>
      <c r="R872" s="1030"/>
      <c r="S872" s="1030"/>
      <c r="T872" s="1030"/>
      <c r="U872" s="1030"/>
      <c r="V872" s="1030"/>
      <c r="W872" s="1030"/>
      <c r="X872" s="1030"/>
      <c r="Y872" s="1030"/>
      <c r="Z872" s="1030"/>
      <c r="AA872" s="1030"/>
      <c r="AB872" s="1030"/>
    </row>
    <row r="873" spans="1:28">
      <c r="A873" s="1030"/>
      <c r="B873" s="1030"/>
      <c r="C873" s="1030"/>
      <c r="D873" s="1030"/>
      <c r="E873" s="1030"/>
      <c r="F873" s="1030"/>
      <c r="G873" s="1030"/>
      <c r="H873" s="1030"/>
      <c r="I873" s="1030"/>
      <c r="J873" s="1097"/>
      <c r="K873" s="1030"/>
      <c r="L873" s="1030"/>
      <c r="M873" s="1030"/>
      <c r="N873" s="1030"/>
      <c r="O873" s="1030"/>
      <c r="P873" s="1030"/>
      <c r="Q873" s="1030"/>
      <c r="R873" s="1030"/>
      <c r="S873" s="1030"/>
      <c r="T873" s="1030"/>
      <c r="U873" s="1030"/>
      <c r="V873" s="1030"/>
      <c r="W873" s="1030"/>
      <c r="X873" s="1030"/>
      <c r="Y873" s="1030"/>
      <c r="Z873" s="1030"/>
      <c r="AA873" s="1030"/>
      <c r="AB873" s="1030"/>
    </row>
    <row r="874" spans="1:28">
      <c r="A874" s="1030"/>
      <c r="B874" s="1030"/>
      <c r="C874" s="1030"/>
      <c r="D874" s="1030"/>
      <c r="E874" s="1030"/>
      <c r="F874" s="1030"/>
      <c r="G874" s="1030"/>
      <c r="H874" s="1030"/>
      <c r="I874" s="1030"/>
      <c r="J874" s="1097"/>
      <c r="K874" s="1030"/>
      <c r="L874" s="1030"/>
      <c r="M874" s="1030"/>
      <c r="N874" s="1030"/>
      <c r="O874" s="1030"/>
      <c r="P874" s="1030"/>
      <c r="Q874" s="1030"/>
      <c r="R874" s="1030"/>
      <c r="S874" s="1030"/>
      <c r="T874" s="1030"/>
      <c r="U874" s="1030"/>
      <c r="V874" s="1030"/>
      <c r="W874" s="1030"/>
      <c r="X874" s="1030"/>
      <c r="Y874" s="1030"/>
      <c r="Z874" s="1030"/>
      <c r="AA874" s="1030"/>
      <c r="AB874" s="1030"/>
    </row>
    <row r="875" spans="1:28">
      <c r="A875" s="1030"/>
      <c r="B875" s="1030"/>
      <c r="C875" s="1030"/>
      <c r="D875" s="1030"/>
      <c r="E875" s="1030"/>
      <c r="F875" s="1030"/>
      <c r="G875" s="1030"/>
      <c r="H875" s="1030"/>
      <c r="I875" s="1030"/>
      <c r="J875" s="1097"/>
      <c r="K875" s="1030"/>
      <c r="L875" s="1030"/>
      <c r="M875" s="1030"/>
      <c r="N875" s="1030"/>
      <c r="O875" s="1030"/>
      <c r="P875" s="1030"/>
      <c r="Q875" s="1030"/>
      <c r="R875" s="1030"/>
      <c r="S875" s="1030"/>
      <c r="T875" s="1030"/>
      <c r="U875" s="1030"/>
      <c r="V875" s="1030"/>
      <c r="W875" s="1030"/>
      <c r="X875" s="1030"/>
      <c r="Y875" s="1030"/>
      <c r="Z875" s="1030"/>
      <c r="AA875" s="1030"/>
      <c r="AB875" s="1030"/>
    </row>
    <row r="876" spans="1:28">
      <c r="A876" s="1030"/>
      <c r="B876" s="1030"/>
      <c r="C876" s="1030"/>
      <c r="D876" s="1030"/>
      <c r="E876" s="1030"/>
      <c r="F876" s="1030"/>
      <c r="G876" s="1030"/>
      <c r="H876" s="1030"/>
      <c r="I876" s="1030"/>
      <c r="J876" s="1097"/>
      <c r="K876" s="1030"/>
      <c r="L876" s="1030"/>
      <c r="M876" s="1030"/>
      <c r="N876" s="1030"/>
      <c r="O876" s="1030"/>
      <c r="P876" s="1030"/>
      <c r="Q876" s="1030"/>
      <c r="R876" s="1030"/>
      <c r="S876" s="1030"/>
      <c r="T876" s="1030"/>
      <c r="U876" s="1030"/>
      <c r="V876" s="1030"/>
      <c r="W876" s="1030"/>
      <c r="X876" s="1030"/>
      <c r="Y876" s="1030"/>
      <c r="Z876" s="1030"/>
      <c r="AA876" s="1030"/>
      <c r="AB876" s="1030"/>
    </row>
    <row r="877" spans="1:28">
      <c r="A877" s="1030"/>
      <c r="B877" s="1030"/>
      <c r="C877" s="1030"/>
      <c r="D877" s="1030"/>
      <c r="E877" s="1030"/>
      <c r="F877" s="1030"/>
      <c r="G877" s="1030"/>
      <c r="H877" s="1030"/>
      <c r="I877" s="1030"/>
      <c r="J877" s="1097"/>
      <c r="K877" s="1030"/>
      <c r="L877" s="1030"/>
      <c r="M877" s="1030"/>
      <c r="N877" s="1030"/>
      <c r="O877" s="1030"/>
      <c r="P877" s="1030"/>
      <c r="Q877" s="1030"/>
      <c r="R877" s="1030"/>
      <c r="S877" s="1030"/>
      <c r="T877" s="1030"/>
      <c r="U877" s="1030"/>
      <c r="V877" s="1030"/>
      <c r="W877" s="1030"/>
      <c r="X877" s="1030"/>
      <c r="Y877" s="1030"/>
      <c r="Z877" s="1030"/>
      <c r="AA877" s="1030"/>
      <c r="AB877" s="1030"/>
    </row>
    <row r="878" spans="1:28">
      <c r="A878" s="1030"/>
      <c r="B878" s="1030"/>
      <c r="C878" s="1030"/>
      <c r="D878" s="1030"/>
      <c r="E878" s="1030"/>
      <c r="F878" s="1030"/>
      <c r="G878" s="1030"/>
      <c r="H878" s="1030"/>
      <c r="I878" s="1030"/>
      <c r="J878" s="1097"/>
      <c r="K878" s="1030"/>
      <c r="L878" s="1030"/>
      <c r="M878" s="1030"/>
      <c r="N878" s="1030"/>
      <c r="O878" s="1030"/>
      <c r="P878" s="1030"/>
      <c r="Q878" s="1030"/>
      <c r="R878" s="1030"/>
      <c r="S878" s="1030"/>
      <c r="T878" s="1030"/>
      <c r="U878" s="1030"/>
      <c r="V878" s="1030"/>
      <c r="W878" s="1030"/>
      <c r="X878" s="1030"/>
      <c r="Y878" s="1030"/>
      <c r="Z878" s="1030"/>
      <c r="AA878" s="1030"/>
      <c r="AB878" s="1030"/>
    </row>
    <row r="879" spans="1:28">
      <c r="A879" s="1030"/>
      <c r="B879" s="1030"/>
      <c r="C879" s="1030"/>
      <c r="D879" s="1030"/>
      <c r="E879" s="1030"/>
      <c r="F879" s="1030"/>
      <c r="G879" s="1030"/>
      <c r="H879" s="1030"/>
      <c r="I879" s="1030"/>
      <c r="J879" s="1097"/>
      <c r="K879" s="1030"/>
      <c r="L879" s="1030"/>
      <c r="M879" s="1030"/>
      <c r="N879" s="1030"/>
      <c r="O879" s="1030"/>
      <c r="P879" s="1030"/>
      <c r="Q879" s="1030"/>
      <c r="R879" s="1030"/>
      <c r="S879" s="1030"/>
      <c r="T879" s="1030"/>
      <c r="U879" s="1030"/>
      <c r="V879" s="1030"/>
      <c r="W879" s="1030"/>
      <c r="X879" s="1030"/>
      <c r="Y879" s="1030"/>
      <c r="Z879" s="1030"/>
      <c r="AA879" s="1030"/>
      <c r="AB879" s="1030"/>
    </row>
    <row r="880" spans="1:28">
      <c r="A880" s="1030"/>
      <c r="B880" s="1030"/>
      <c r="C880" s="1030"/>
      <c r="D880" s="1030"/>
      <c r="E880" s="1030"/>
      <c r="F880" s="1030"/>
      <c r="G880" s="1030"/>
      <c r="H880" s="1030"/>
      <c r="I880" s="1030"/>
      <c r="J880" s="1097"/>
      <c r="K880" s="1030"/>
      <c r="L880" s="1030"/>
      <c r="M880" s="1030"/>
      <c r="N880" s="1030"/>
      <c r="O880" s="1030"/>
      <c r="P880" s="1030"/>
      <c r="Q880" s="1030"/>
      <c r="R880" s="1030"/>
      <c r="S880" s="1030"/>
      <c r="T880" s="1030"/>
      <c r="U880" s="1030"/>
      <c r="V880" s="1030"/>
      <c r="W880" s="1030"/>
      <c r="X880" s="1030"/>
      <c r="Y880" s="1030"/>
      <c r="Z880" s="1030"/>
      <c r="AA880" s="1030"/>
      <c r="AB880" s="1030"/>
    </row>
    <row r="881" spans="1:28">
      <c r="A881" s="1030"/>
      <c r="B881" s="1030"/>
      <c r="C881" s="1030"/>
      <c r="D881" s="1030"/>
      <c r="E881" s="1030"/>
      <c r="F881" s="1030"/>
      <c r="G881" s="1030"/>
      <c r="H881" s="1030"/>
      <c r="I881" s="1030"/>
      <c r="J881" s="1097"/>
      <c r="K881" s="1030"/>
      <c r="L881" s="1030"/>
      <c r="M881" s="1030"/>
      <c r="N881" s="1030"/>
      <c r="O881" s="1030"/>
      <c r="P881" s="1030"/>
      <c r="Q881" s="1030"/>
      <c r="R881" s="1030"/>
      <c r="S881" s="1030"/>
      <c r="T881" s="1030"/>
      <c r="U881" s="1030"/>
      <c r="V881" s="1030"/>
      <c r="W881" s="1030"/>
      <c r="X881" s="1030"/>
      <c r="Y881" s="1030"/>
      <c r="Z881" s="1030"/>
      <c r="AA881" s="1030"/>
      <c r="AB881" s="1030"/>
    </row>
    <row r="882" spans="1:28">
      <c r="A882" s="1030"/>
      <c r="B882" s="1030"/>
      <c r="C882" s="1030"/>
      <c r="D882" s="1030"/>
      <c r="E882" s="1030"/>
      <c r="F882" s="1030"/>
      <c r="G882" s="1030"/>
      <c r="H882" s="1030"/>
      <c r="I882" s="1030"/>
      <c r="J882" s="1097"/>
      <c r="K882" s="1030"/>
      <c r="L882" s="1030"/>
      <c r="M882" s="1030"/>
      <c r="N882" s="1030"/>
      <c r="O882" s="1030"/>
      <c r="P882" s="1030"/>
      <c r="Q882" s="1030"/>
      <c r="R882" s="1030"/>
      <c r="S882" s="1030"/>
      <c r="T882" s="1030"/>
      <c r="U882" s="1030"/>
      <c r="V882" s="1030"/>
      <c r="W882" s="1030"/>
      <c r="X882" s="1030"/>
      <c r="Y882" s="1030"/>
      <c r="Z882" s="1030"/>
      <c r="AA882" s="1030"/>
      <c r="AB882" s="1030"/>
    </row>
    <row r="883" spans="1:28">
      <c r="A883" s="1030"/>
      <c r="B883" s="1030"/>
      <c r="C883" s="1030"/>
      <c r="D883" s="1030"/>
      <c r="E883" s="1030"/>
      <c r="F883" s="1030"/>
      <c r="G883" s="1030"/>
      <c r="H883" s="1030"/>
      <c r="I883" s="1030"/>
      <c r="J883" s="1097"/>
      <c r="K883" s="1030"/>
      <c r="L883" s="1030"/>
      <c r="M883" s="1030"/>
      <c r="N883" s="1030"/>
      <c r="O883" s="1030"/>
      <c r="P883" s="1030"/>
      <c r="Q883" s="1030"/>
      <c r="R883" s="1030"/>
      <c r="S883" s="1030"/>
      <c r="T883" s="1030"/>
      <c r="U883" s="1030"/>
      <c r="V883" s="1030"/>
      <c r="W883" s="1030"/>
      <c r="X883" s="1030"/>
      <c r="Y883" s="1030"/>
      <c r="Z883" s="1030"/>
      <c r="AA883" s="1030"/>
      <c r="AB883" s="1030"/>
    </row>
    <row r="884" spans="1:28">
      <c r="A884" s="1030"/>
      <c r="B884" s="1030"/>
      <c r="C884" s="1030"/>
      <c r="D884" s="1030"/>
      <c r="E884" s="1030"/>
      <c r="F884" s="1030"/>
      <c r="G884" s="1030"/>
      <c r="H884" s="1030"/>
      <c r="I884" s="1030"/>
      <c r="J884" s="1097"/>
      <c r="K884" s="1030"/>
      <c r="L884" s="1030"/>
      <c r="M884" s="1030"/>
      <c r="N884" s="1030"/>
      <c r="O884" s="1030"/>
      <c r="P884" s="1030"/>
      <c r="Q884" s="1030"/>
      <c r="R884" s="1030"/>
      <c r="S884" s="1030"/>
      <c r="T884" s="1030"/>
      <c r="U884" s="1030"/>
      <c r="V884" s="1030"/>
      <c r="W884" s="1030"/>
      <c r="X884" s="1030"/>
      <c r="Y884" s="1030"/>
      <c r="Z884" s="1030"/>
      <c r="AA884" s="1030"/>
      <c r="AB884" s="1030"/>
    </row>
    <row r="885" spans="1:28">
      <c r="A885" s="1030"/>
      <c r="B885" s="1030"/>
      <c r="C885" s="1030"/>
      <c r="D885" s="1030"/>
      <c r="E885" s="1030"/>
      <c r="F885" s="1030"/>
      <c r="G885" s="1030"/>
      <c r="H885" s="1030"/>
      <c r="I885" s="1030"/>
      <c r="J885" s="1097"/>
      <c r="K885" s="1030"/>
      <c r="L885" s="1030"/>
      <c r="M885" s="1030"/>
      <c r="N885" s="1030"/>
      <c r="O885" s="1030"/>
      <c r="P885" s="1030"/>
      <c r="Q885" s="1030"/>
      <c r="R885" s="1030"/>
      <c r="S885" s="1030"/>
      <c r="T885" s="1030"/>
      <c r="U885" s="1030"/>
      <c r="V885" s="1030"/>
      <c r="W885" s="1030"/>
      <c r="X885" s="1030"/>
      <c r="Y885" s="1030"/>
      <c r="Z885" s="1030"/>
      <c r="AA885" s="1030"/>
      <c r="AB885" s="1030"/>
    </row>
    <row r="886" spans="1:28">
      <c r="A886" s="1030"/>
      <c r="B886" s="1030"/>
      <c r="C886" s="1030"/>
      <c r="D886" s="1030"/>
      <c r="E886" s="1030"/>
      <c r="F886" s="1030"/>
      <c r="G886" s="1030"/>
      <c r="H886" s="1030"/>
      <c r="I886" s="1030"/>
      <c r="J886" s="1097"/>
      <c r="K886" s="1030"/>
      <c r="L886" s="1030"/>
      <c r="M886" s="1030"/>
      <c r="N886" s="1030"/>
      <c r="O886" s="1030"/>
      <c r="P886" s="1030"/>
      <c r="Q886" s="1030"/>
      <c r="R886" s="1030"/>
      <c r="S886" s="1030"/>
      <c r="T886" s="1030"/>
      <c r="U886" s="1030"/>
      <c r="V886" s="1030"/>
      <c r="W886" s="1030"/>
      <c r="X886" s="1030"/>
      <c r="Y886" s="1030"/>
      <c r="Z886" s="1030"/>
      <c r="AA886" s="1030"/>
      <c r="AB886" s="1030"/>
    </row>
    <row r="887" spans="1:28">
      <c r="A887" s="1030"/>
      <c r="B887" s="1030"/>
      <c r="C887" s="1030"/>
      <c r="D887" s="1030"/>
      <c r="E887" s="1030"/>
      <c r="F887" s="1030"/>
      <c r="G887" s="1030"/>
      <c r="H887" s="1030"/>
      <c r="I887" s="1030"/>
      <c r="J887" s="1097"/>
      <c r="K887" s="1030"/>
      <c r="L887" s="1030"/>
      <c r="M887" s="1030"/>
      <c r="N887" s="1030"/>
      <c r="O887" s="1030"/>
      <c r="P887" s="1030"/>
      <c r="Q887" s="1030"/>
      <c r="R887" s="1030"/>
      <c r="S887" s="1030"/>
      <c r="T887" s="1030"/>
      <c r="U887" s="1030"/>
      <c r="V887" s="1030"/>
      <c r="W887" s="1030"/>
      <c r="X887" s="1030"/>
      <c r="Y887" s="1030"/>
      <c r="Z887" s="1030"/>
      <c r="AA887" s="1030"/>
      <c r="AB887" s="1030"/>
    </row>
    <row r="888" spans="1:28">
      <c r="A888" s="1030"/>
      <c r="B888" s="1030"/>
      <c r="C888" s="1030"/>
      <c r="D888" s="1030"/>
      <c r="E888" s="1030"/>
      <c r="F888" s="1030"/>
      <c r="G888" s="1030"/>
      <c r="H888" s="1030"/>
      <c r="I888" s="1030"/>
      <c r="J888" s="1097"/>
      <c r="K888" s="1030"/>
      <c r="L888" s="1030"/>
      <c r="M888" s="1030"/>
      <c r="N888" s="1030"/>
      <c r="O888" s="1030"/>
      <c r="P888" s="1030"/>
      <c r="Q888" s="1030"/>
      <c r="R888" s="1030"/>
      <c r="S888" s="1030"/>
      <c r="T888" s="1030"/>
      <c r="U888" s="1030"/>
      <c r="V888" s="1030"/>
      <c r="W888" s="1030"/>
      <c r="X888" s="1030"/>
      <c r="Y888" s="1030"/>
      <c r="Z888" s="1030"/>
      <c r="AA888" s="1030"/>
      <c r="AB888" s="1030"/>
    </row>
    <row r="889" spans="1:28">
      <c r="A889" s="1030"/>
      <c r="B889" s="1030"/>
      <c r="C889" s="1030"/>
      <c r="D889" s="1030"/>
      <c r="E889" s="1030"/>
      <c r="F889" s="1030"/>
      <c r="G889" s="1030"/>
      <c r="H889" s="1030"/>
      <c r="I889" s="1030"/>
      <c r="J889" s="1097"/>
      <c r="K889" s="1030"/>
      <c r="L889" s="1030"/>
      <c r="M889" s="1030"/>
      <c r="N889" s="1030"/>
      <c r="O889" s="1030"/>
      <c r="P889" s="1030"/>
      <c r="Q889" s="1030"/>
      <c r="R889" s="1030"/>
      <c r="S889" s="1030"/>
      <c r="T889" s="1030"/>
      <c r="U889" s="1030"/>
      <c r="V889" s="1030"/>
      <c r="W889" s="1030"/>
      <c r="X889" s="1030"/>
      <c r="Y889" s="1030"/>
      <c r="Z889" s="1030"/>
      <c r="AA889" s="1030"/>
      <c r="AB889" s="1030"/>
    </row>
    <row r="890" spans="1:28">
      <c r="A890" s="1030"/>
      <c r="B890" s="1030"/>
      <c r="C890" s="1030"/>
      <c r="D890" s="1030"/>
      <c r="E890" s="1030"/>
      <c r="F890" s="1030"/>
      <c r="G890" s="1030"/>
      <c r="H890" s="1030"/>
      <c r="I890" s="1030"/>
      <c r="J890" s="1097"/>
      <c r="K890" s="1030"/>
      <c r="L890" s="1030"/>
      <c r="M890" s="1030"/>
      <c r="N890" s="1030"/>
      <c r="O890" s="1030"/>
      <c r="P890" s="1030"/>
      <c r="Q890" s="1030"/>
      <c r="R890" s="1030"/>
      <c r="S890" s="1030"/>
      <c r="T890" s="1030"/>
      <c r="U890" s="1030"/>
      <c r="V890" s="1030"/>
      <c r="W890" s="1030"/>
      <c r="X890" s="1030"/>
      <c r="Y890" s="1030"/>
      <c r="Z890" s="1030"/>
      <c r="AA890" s="1030"/>
      <c r="AB890" s="1030"/>
    </row>
    <row r="891" spans="1:28">
      <c r="A891" s="1030"/>
      <c r="B891" s="1030"/>
      <c r="C891" s="1030"/>
      <c r="D891" s="1030"/>
      <c r="E891" s="1030"/>
      <c r="F891" s="1030"/>
      <c r="G891" s="1030"/>
      <c r="H891" s="1030"/>
      <c r="I891" s="1030"/>
      <c r="J891" s="1097"/>
      <c r="K891" s="1030"/>
      <c r="L891" s="1030"/>
      <c r="M891" s="1030"/>
      <c r="N891" s="1030"/>
      <c r="O891" s="1030"/>
      <c r="P891" s="1030"/>
      <c r="Q891" s="1030"/>
      <c r="R891" s="1030"/>
      <c r="S891" s="1030"/>
      <c r="T891" s="1030"/>
      <c r="U891" s="1030"/>
      <c r="V891" s="1030"/>
      <c r="W891" s="1030"/>
      <c r="X891" s="1030"/>
      <c r="Y891" s="1030"/>
      <c r="Z891" s="1030"/>
      <c r="AA891" s="1030"/>
      <c r="AB891" s="1030"/>
    </row>
    <row r="892" spans="1:28">
      <c r="A892" s="1030"/>
      <c r="B892" s="1030"/>
      <c r="C892" s="1030"/>
      <c r="D892" s="1030"/>
      <c r="E892" s="1030"/>
      <c r="F892" s="1030"/>
      <c r="G892" s="1030"/>
      <c r="H892" s="1030"/>
      <c r="I892" s="1030"/>
      <c r="J892" s="1097"/>
      <c r="K892" s="1030"/>
      <c r="L892" s="1030"/>
      <c r="M892" s="1030"/>
      <c r="N892" s="1030"/>
      <c r="O892" s="1030"/>
      <c r="P892" s="1030"/>
      <c r="Q892" s="1030"/>
      <c r="R892" s="1030"/>
      <c r="S892" s="1030"/>
      <c r="T892" s="1030"/>
      <c r="U892" s="1030"/>
      <c r="V892" s="1030"/>
      <c r="W892" s="1030"/>
      <c r="X892" s="1030"/>
      <c r="Y892" s="1030"/>
      <c r="Z892" s="1030"/>
      <c r="AA892" s="1030"/>
      <c r="AB892" s="1030"/>
    </row>
    <row r="893" spans="1:28">
      <c r="A893" s="1030"/>
      <c r="B893" s="1030"/>
      <c r="C893" s="1030"/>
      <c r="D893" s="1030"/>
      <c r="E893" s="1030"/>
      <c r="F893" s="1030"/>
      <c r="G893" s="1030"/>
      <c r="H893" s="1030"/>
      <c r="I893" s="1030"/>
      <c r="J893" s="1097"/>
      <c r="K893" s="1030"/>
      <c r="L893" s="1030"/>
      <c r="M893" s="1030"/>
      <c r="N893" s="1030"/>
      <c r="O893" s="1030"/>
      <c r="P893" s="1030"/>
      <c r="Q893" s="1030"/>
      <c r="R893" s="1030"/>
      <c r="S893" s="1030"/>
      <c r="T893" s="1030"/>
      <c r="U893" s="1030"/>
      <c r="V893" s="1030"/>
      <c r="W893" s="1030"/>
      <c r="X893" s="1030"/>
      <c r="Y893" s="1030"/>
      <c r="Z893" s="1030"/>
      <c r="AA893" s="1030"/>
      <c r="AB893" s="1030"/>
    </row>
    <row r="894" spans="1:28">
      <c r="A894" s="1030"/>
      <c r="B894" s="1030"/>
      <c r="C894" s="1030"/>
      <c r="D894" s="1030"/>
      <c r="E894" s="1030"/>
      <c r="F894" s="1030"/>
      <c r="G894" s="1030"/>
      <c r="H894" s="1030"/>
      <c r="I894" s="1030"/>
      <c r="J894" s="1097"/>
      <c r="K894" s="1030"/>
      <c r="L894" s="1030"/>
      <c r="M894" s="1030"/>
      <c r="N894" s="1030"/>
      <c r="O894" s="1030"/>
      <c r="P894" s="1030"/>
      <c r="Q894" s="1030"/>
      <c r="R894" s="1030"/>
      <c r="S894" s="1030"/>
      <c r="T894" s="1030"/>
      <c r="U894" s="1030"/>
      <c r="V894" s="1030"/>
      <c r="W894" s="1030"/>
      <c r="X894" s="1030"/>
      <c r="Y894" s="1030"/>
      <c r="Z894" s="1030"/>
      <c r="AA894" s="1030"/>
      <c r="AB894" s="1030"/>
    </row>
    <row r="895" spans="1:28">
      <c r="A895" s="1030"/>
      <c r="B895" s="1030"/>
      <c r="C895" s="1030"/>
      <c r="D895" s="1030"/>
      <c r="E895" s="1030"/>
      <c r="F895" s="1030"/>
      <c r="G895" s="1030"/>
      <c r="H895" s="1030"/>
      <c r="I895" s="1030"/>
      <c r="J895" s="1097"/>
      <c r="K895" s="1030"/>
      <c r="L895" s="1030"/>
      <c r="M895" s="1030"/>
      <c r="N895" s="1030"/>
      <c r="O895" s="1030"/>
      <c r="P895" s="1030"/>
      <c r="Q895" s="1030"/>
      <c r="R895" s="1030"/>
      <c r="S895" s="1030"/>
      <c r="T895" s="1030"/>
      <c r="U895" s="1030"/>
      <c r="V895" s="1030"/>
      <c r="W895" s="1030"/>
      <c r="X895" s="1030"/>
      <c r="Y895" s="1030"/>
      <c r="Z895" s="1030"/>
      <c r="AA895" s="1030"/>
      <c r="AB895" s="1030"/>
    </row>
    <row r="896" spans="1:28">
      <c r="A896" s="1030"/>
      <c r="B896" s="1030"/>
      <c r="C896" s="1030"/>
      <c r="D896" s="1030"/>
      <c r="E896" s="1030"/>
      <c r="F896" s="1030"/>
      <c r="G896" s="1030"/>
      <c r="H896" s="1030"/>
      <c r="I896" s="1030"/>
      <c r="J896" s="1097"/>
      <c r="K896" s="1030"/>
      <c r="L896" s="1030"/>
      <c r="M896" s="1030"/>
      <c r="N896" s="1030"/>
      <c r="O896" s="1030"/>
      <c r="P896" s="1030"/>
      <c r="Q896" s="1030"/>
      <c r="R896" s="1030"/>
      <c r="S896" s="1030"/>
      <c r="T896" s="1030"/>
      <c r="U896" s="1030"/>
      <c r="V896" s="1030"/>
      <c r="W896" s="1030"/>
      <c r="X896" s="1030"/>
      <c r="Y896" s="1030"/>
      <c r="Z896" s="1030"/>
      <c r="AA896" s="1030"/>
      <c r="AB896" s="1030"/>
    </row>
    <row r="897" spans="1:28">
      <c r="A897" s="1030"/>
      <c r="B897" s="1030"/>
      <c r="C897" s="1030"/>
      <c r="D897" s="1030"/>
      <c r="E897" s="1030"/>
      <c r="F897" s="1030"/>
      <c r="G897" s="1030"/>
      <c r="H897" s="1030"/>
      <c r="I897" s="1030"/>
      <c r="J897" s="1097"/>
      <c r="K897" s="1030"/>
      <c r="L897" s="1030"/>
      <c r="M897" s="1030"/>
      <c r="N897" s="1030"/>
      <c r="O897" s="1030"/>
      <c r="P897" s="1030"/>
      <c r="Q897" s="1030"/>
      <c r="R897" s="1030"/>
      <c r="S897" s="1030"/>
      <c r="T897" s="1030"/>
      <c r="U897" s="1030"/>
      <c r="V897" s="1030"/>
      <c r="W897" s="1030"/>
      <c r="X897" s="1030"/>
      <c r="Y897" s="1030"/>
      <c r="Z897" s="1030"/>
      <c r="AA897" s="1030"/>
      <c r="AB897" s="1030"/>
    </row>
    <row r="898" spans="1:28">
      <c r="A898" s="1030"/>
      <c r="B898" s="1030"/>
      <c r="C898" s="1030"/>
      <c r="D898" s="1030"/>
      <c r="E898" s="1030"/>
      <c r="F898" s="1030"/>
      <c r="G898" s="1030"/>
      <c r="H898" s="1030"/>
      <c r="I898" s="1030"/>
      <c r="J898" s="1097"/>
      <c r="K898" s="1030"/>
      <c r="L898" s="1030"/>
      <c r="M898" s="1030"/>
      <c r="N898" s="1030"/>
      <c r="O898" s="1030"/>
      <c r="P898" s="1030"/>
      <c r="Q898" s="1030"/>
      <c r="R898" s="1030"/>
      <c r="S898" s="1030"/>
      <c r="T898" s="1030"/>
      <c r="U898" s="1030"/>
      <c r="V898" s="1030"/>
      <c r="W898" s="1030"/>
      <c r="X898" s="1030"/>
      <c r="Y898" s="1030"/>
      <c r="Z898" s="1030"/>
      <c r="AA898" s="1030"/>
      <c r="AB898" s="1030"/>
    </row>
    <row r="899" spans="1:28">
      <c r="A899" s="1030"/>
      <c r="B899" s="1030"/>
      <c r="C899" s="1030"/>
      <c r="D899" s="1030"/>
      <c r="E899" s="1030"/>
      <c r="F899" s="1030"/>
      <c r="G899" s="1030"/>
      <c r="H899" s="1030"/>
      <c r="I899" s="1030"/>
      <c r="J899" s="1097"/>
      <c r="K899" s="1030"/>
      <c r="L899" s="1030"/>
      <c r="M899" s="1030"/>
      <c r="N899" s="1030"/>
      <c r="O899" s="1030"/>
      <c r="P899" s="1030"/>
      <c r="Q899" s="1030"/>
      <c r="R899" s="1030"/>
      <c r="S899" s="1030"/>
      <c r="T899" s="1030"/>
      <c r="U899" s="1030"/>
      <c r="V899" s="1030"/>
      <c r="W899" s="1030"/>
      <c r="X899" s="1030"/>
      <c r="Y899" s="1030"/>
      <c r="Z899" s="1030"/>
      <c r="AA899" s="1030"/>
      <c r="AB899" s="1030"/>
    </row>
    <row r="900" spans="1:28">
      <c r="A900" s="1030"/>
      <c r="B900" s="1030"/>
      <c r="C900" s="1030"/>
      <c r="D900" s="1030"/>
      <c r="E900" s="1030"/>
      <c r="F900" s="1030"/>
      <c r="G900" s="1030"/>
      <c r="H900" s="1030"/>
      <c r="I900" s="1030"/>
      <c r="J900" s="1097"/>
      <c r="K900" s="1030"/>
      <c r="L900" s="1030"/>
      <c r="M900" s="1030"/>
      <c r="N900" s="1030"/>
      <c r="O900" s="1030"/>
      <c r="P900" s="1030"/>
      <c r="Q900" s="1030"/>
      <c r="R900" s="1030"/>
      <c r="S900" s="1030"/>
      <c r="T900" s="1030"/>
      <c r="U900" s="1030"/>
      <c r="V900" s="1030"/>
      <c r="W900" s="1030"/>
      <c r="X900" s="1030"/>
      <c r="Y900" s="1030"/>
      <c r="Z900" s="1030"/>
      <c r="AA900" s="1030"/>
      <c r="AB900" s="1030"/>
    </row>
    <row r="901" spans="1:28">
      <c r="A901" s="1030"/>
      <c r="B901" s="1030"/>
      <c r="C901" s="1030"/>
      <c r="D901" s="1030"/>
      <c r="E901" s="1030"/>
      <c r="F901" s="1030"/>
      <c r="G901" s="1030"/>
      <c r="H901" s="1030"/>
      <c r="I901" s="1030"/>
      <c r="J901" s="1097"/>
      <c r="K901" s="1030"/>
      <c r="L901" s="1030"/>
      <c r="M901" s="1030"/>
      <c r="N901" s="1030"/>
      <c r="O901" s="1030"/>
      <c r="P901" s="1030"/>
      <c r="Q901" s="1030"/>
      <c r="R901" s="1030"/>
      <c r="S901" s="1030"/>
      <c r="T901" s="1030"/>
      <c r="U901" s="1030"/>
      <c r="V901" s="1030"/>
      <c r="W901" s="1030"/>
      <c r="X901" s="1030"/>
      <c r="Y901" s="1030"/>
      <c r="Z901" s="1030"/>
      <c r="AA901" s="1030"/>
      <c r="AB901" s="1030"/>
    </row>
    <row r="902" spans="1:28">
      <c r="A902" s="1030"/>
      <c r="B902" s="1030"/>
      <c r="C902" s="1030"/>
      <c r="D902" s="1030"/>
      <c r="E902" s="1030"/>
      <c r="F902" s="1030"/>
      <c r="G902" s="1030"/>
      <c r="H902" s="1030"/>
      <c r="I902" s="1030"/>
      <c r="J902" s="1097"/>
      <c r="K902" s="1030"/>
      <c r="L902" s="1030"/>
      <c r="M902" s="1030"/>
      <c r="N902" s="1030"/>
      <c r="O902" s="1030"/>
      <c r="P902" s="1030"/>
      <c r="Q902" s="1030"/>
      <c r="R902" s="1030"/>
      <c r="S902" s="1030"/>
      <c r="T902" s="1030"/>
      <c r="U902" s="1030"/>
      <c r="V902" s="1030"/>
      <c r="W902" s="1030"/>
      <c r="X902" s="1030"/>
      <c r="Y902" s="1030"/>
      <c r="Z902" s="1030"/>
      <c r="AA902" s="1030"/>
      <c r="AB902" s="1030"/>
    </row>
    <row r="903" spans="1:28">
      <c r="A903" s="1030"/>
      <c r="B903" s="1030"/>
      <c r="C903" s="1030"/>
      <c r="D903" s="1030"/>
      <c r="E903" s="1030"/>
      <c r="F903" s="1030"/>
      <c r="G903" s="1030"/>
      <c r="H903" s="1030"/>
      <c r="I903" s="1030"/>
      <c r="J903" s="1097"/>
      <c r="K903" s="1030"/>
      <c r="L903" s="1030"/>
      <c r="M903" s="1030"/>
      <c r="N903" s="1030"/>
      <c r="O903" s="1030"/>
      <c r="P903" s="1030"/>
      <c r="Q903" s="1030"/>
      <c r="R903" s="1030"/>
      <c r="S903" s="1030"/>
      <c r="T903" s="1030"/>
      <c r="U903" s="1030"/>
      <c r="V903" s="1030"/>
      <c r="W903" s="1030"/>
      <c r="X903" s="1030"/>
      <c r="Y903" s="1030"/>
      <c r="Z903" s="1030"/>
      <c r="AA903" s="1030"/>
      <c r="AB903" s="1030"/>
    </row>
    <row r="904" spans="1:28">
      <c r="A904" s="1030"/>
      <c r="B904" s="1030"/>
      <c r="C904" s="1030"/>
      <c r="D904" s="1030"/>
      <c r="E904" s="1030"/>
      <c r="F904" s="1030"/>
      <c r="G904" s="1030"/>
      <c r="H904" s="1030"/>
      <c r="I904" s="1030"/>
      <c r="J904" s="1097"/>
      <c r="K904" s="1030"/>
      <c r="L904" s="1030"/>
      <c r="M904" s="1030"/>
      <c r="N904" s="1030"/>
      <c r="O904" s="1030"/>
      <c r="P904" s="1030"/>
      <c r="Q904" s="1030"/>
      <c r="R904" s="1030"/>
      <c r="S904" s="1030"/>
      <c r="T904" s="1030"/>
      <c r="U904" s="1030"/>
      <c r="V904" s="1030"/>
      <c r="W904" s="1030"/>
      <c r="X904" s="1030"/>
      <c r="Y904" s="1030"/>
      <c r="Z904" s="1030"/>
      <c r="AA904" s="1030"/>
      <c r="AB904" s="1030"/>
    </row>
    <row r="905" spans="1:28">
      <c r="A905" s="1030"/>
      <c r="B905" s="1030"/>
      <c r="C905" s="1030"/>
      <c r="D905" s="1030"/>
      <c r="E905" s="1030"/>
      <c r="F905" s="1030"/>
      <c r="G905" s="1030"/>
      <c r="H905" s="1030"/>
      <c r="I905" s="1030"/>
      <c r="J905" s="1097"/>
      <c r="K905" s="1030"/>
      <c r="L905" s="1030"/>
      <c r="M905" s="1030"/>
      <c r="N905" s="1030"/>
      <c r="O905" s="1030"/>
      <c r="P905" s="1030"/>
      <c r="Q905" s="1030"/>
      <c r="R905" s="1030"/>
      <c r="S905" s="1030"/>
      <c r="T905" s="1030"/>
      <c r="U905" s="1030"/>
      <c r="V905" s="1030"/>
      <c r="W905" s="1030"/>
      <c r="X905" s="1030"/>
      <c r="Y905" s="1030"/>
      <c r="Z905" s="1030"/>
      <c r="AA905" s="1030"/>
      <c r="AB905" s="1030"/>
    </row>
    <row r="906" spans="1:28">
      <c r="A906" s="1030"/>
      <c r="B906" s="1030"/>
      <c r="C906" s="1030"/>
      <c r="D906" s="1030"/>
      <c r="E906" s="1030"/>
      <c r="F906" s="1030"/>
      <c r="G906" s="1030"/>
      <c r="H906" s="1030"/>
      <c r="I906" s="1030"/>
      <c r="J906" s="1097"/>
      <c r="K906" s="1030"/>
      <c r="L906" s="1030"/>
      <c r="M906" s="1030"/>
      <c r="N906" s="1030"/>
      <c r="O906" s="1030"/>
      <c r="P906" s="1030"/>
      <c r="Q906" s="1030"/>
      <c r="R906" s="1030"/>
      <c r="S906" s="1030"/>
      <c r="T906" s="1030"/>
      <c r="U906" s="1030"/>
      <c r="V906" s="1030"/>
      <c r="W906" s="1030"/>
      <c r="X906" s="1030"/>
      <c r="Y906" s="1030"/>
      <c r="Z906" s="1030"/>
      <c r="AA906" s="1030"/>
      <c r="AB906" s="1030"/>
    </row>
    <row r="907" spans="1:28">
      <c r="A907" s="1030"/>
      <c r="B907" s="1030"/>
      <c r="C907" s="1030"/>
      <c r="D907" s="1030"/>
      <c r="E907" s="1030"/>
      <c r="F907" s="1030"/>
      <c r="G907" s="1030"/>
      <c r="H907" s="1030"/>
      <c r="I907" s="1030"/>
      <c r="J907" s="1097"/>
      <c r="K907" s="1030"/>
      <c r="L907" s="1030"/>
      <c r="M907" s="1030"/>
      <c r="N907" s="1030"/>
      <c r="O907" s="1030"/>
      <c r="P907" s="1030"/>
      <c r="Q907" s="1030"/>
      <c r="R907" s="1030"/>
      <c r="S907" s="1030"/>
      <c r="T907" s="1030"/>
      <c r="U907" s="1030"/>
      <c r="V907" s="1030"/>
      <c r="W907" s="1030"/>
      <c r="X907" s="1030"/>
      <c r="Y907" s="1030"/>
      <c r="Z907" s="1030"/>
      <c r="AA907" s="1030"/>
      <c r="AB907" s="1030"/>
    </row>
    <row r="908" spans="1:28">
      <c r="A908" s="1030"/>
      <c r="B908" s="1030"/>
      <c r="C908" s="1030"/>
      <c r="D908" s="1030"/>
      <c r="E908" s="1030"/>
      <c r="F908" s="1030"/>
      <c r="G908" s="1030"/>
      <c r="H908" s="1030"/>
      <c r="I908" s="1030"/>
      <c r="J908" s="1097"/>
      <c r="K908" s="1030"/>
      <c r="L908" s="1030"/>
      <c r="M908" s="1030"/>
      <c r="N908" s="1030"/>
      <c r="O908" s="1030"/>
      <c r="P908" s="1030"/>
      <c r="Q908" s="1030"/>
      <c r="R908" s="1030"/>
      <c r="S908" s="1030"/>
      <c r="T908" s="1030"/>
      <c r="U908" s="1030"/>
      <c r="V908" s="1030"/>
      <c r="W908" s="1030"/>
      <c r="X908" s="1030"/>
      <c r="Y908" s="1030"/>
      <c r="Z908" s="1030"/>
      <c r="AA908" s="1030"/>
      <c r="AB908" s="1030"/>
    </row>
    <row r="909" spans="1:28">
      <c r="A909" s="1030"/>
      <c r="B909" s="1030"/>
      <c r="C909" s="1030"/>
      <c r="D909" s="1030"/>
      <c r="E909" s="1030"/>
      <c r="F909" s="1030"/>
      <c r="G909" s="1030"/>
      <c r="H909" s="1030"/>
      <c r="I909" s="1030"/>
      <c r="J909" s="1097"/>
      <c r="K909" s="1030"/>
      <c r="L909" s="1030"/>
      <c r="M909" s="1030"/>
      <c r="N909" s="1030"/>
      <c r="O909" s="1030"/>
      <c r="P909" s="1030"/>
      <c r="Q909" s="1030"/>
      <c r="R909" s="1030"/>
      <c r="S909" s="1030"/>
      <c r="T909" s="1030"/>
      <c r="U909" s="1030"/>
      <c r="V909" s="1030"/>
      <c r="W909" s="1030"/>
      <c r="X909" s="1030"/>
      <c r="Y909" s="1030"/>
      <c r="Z909" s="1030"/>
      <c r="AA909" s="1030"/>
      <c r="AB909" s="1030"/>
    </row>
    <row r="910" spans="1:28">
      <c r="A910" s="1030"/>
      <c r="B910" s="1030"/>
      <c r="C910" s="1030"/>
      <c r="D910" s="1030"/>
      <c r="E910" s="1030"/>
      <c r="F910" s="1030"/>
      <c r="G910" s="1030"/>
      <c r="H910" s="1030"/>
      <c r="I910" s="1030"/>
      <c r="J910" s="1097"/>
      <c r="K910" s="1030"/>
      <c r="L910" s="1030"/>
      <c r="M910" s="1030"/>
      <c r="N910" s="1030"/>
      <c r="O910" s="1030"/>
      <c r="P910" s="1030"/>
      <c r="Q910" s="1030"/>
      <c r="R910" s="1030"/>
      <c r="S910" s="1030"/>
      <c r="T910" s="1030"/>
      <c r="U910" s="1030"/>
      <c r="V910" s="1030"/>
      <c r="W910" s="1030"/>
      <c r="X910" s="1030"/>
      <c r="Y910" s="1030"/>
      <c r="Z910" s="1030"/>
      <c r="AA910" s="1030"/>
      <c r="AB910" s="1030"/>
    </row>
    <row r="911" spans="1:28">
      <c r="A911" s="1030"/>
      <c r="B911" s="1030"/>
      <c r="C911" s="1030"/>
      <c r="D911" s="1030"/>
      <c r="E911" s="1030"/>
      <c r="F911" s="1030"/>
      <c r="G911" s="1030"/>
      <c r="H911" s="1030"/>
      <c r="I911" s="1030"/>
      <c r="J911" s="1097"/>
      <c r="K911" s="1030"/>
      <c r="L911" s="1030"/>
      <c r="M911" s="1030"/>
      <c r="N911" s="1030"/>
      <c r="O911" s="1030"/>
      <c r="P911" s="1030"/>
      <c r="Q911" s="1030"/>
      <c r="R911" s="1030"/>
      <c r="S911" s="1030"/>
      <c r="T911" s="1030"/>
      <c r="U911" s="1030"/>
      <c r="V911" s="1030"/>
      <c r="W911" s="1030"/>
      <c r="X911" s="1030"/>
      <c r="Y911" s="1030"/>
      <c r="Z911" s="1030"/>
      <c r="AA911" s="1030"/>
      <c r="AB911" s="1030"/>
    </row>
    <row r="912" spans="1:28">
      <c r="A912" s="1030"/>
      <c r="B912" s="1030"/>
      <c r="C912" s="1030"/>
      <c r="D912" s="1030"/>
      <c r="E912" s="1030"/>
      <c r="F912" s="1030"/>
      <c r="G912" s="1030"/>
      <c r="H912" s="1030"/>
      <c r="I912" s="1030"/>
      <c r="J912" s="1097"/>
      <c r="K912" s="1030"/>
      <c r="L912" s="1030"/>
      <c r="M912" s="1030"/>
      <c r="N912" s="1030"/>
      <c r="O912" s="1030"/>
      <c r="P912" s="1030"/>
      <c r="Q912" s="1030"/>
      <c r="R912" s="1030"/>
      <c r="S912" s="1030"/>
      <c r="T912" s="1030"/>
      <c r="U912" s="1030"/>
      <c r="V912" s="1030"/>
      <c r="W912" s="1030"/>
      <c r="X912" s="1030"/>
      <c r="Y912" s="1030"/>
      <c r="Z912" s="1030"/>
      <c r="AA912" s="1030"/>
      <c r="AB912" s="1030"/>
    </row>
    <row r="913" spans="1:28">
      <c r="A913" s="1030"/>
      <c r="B913" s="1030"/>
      <c r="C913" s="1030"/>
      <c r="D913" s="1030"/>
      <c r="E913" s="1030"/>
      <c r="F913" s="1030"/>
      <c r="G913" s="1030"/>
      <c r="H913" s="1030"/>
      <c r="I913" s="1030"/>
      <c r="J913" s="1097"/>
      <c r="K913" s="1030"/>
      <c r="L913" s="1030"/>
      <c r="M913" s="1030"/>
      <c r="N913" s="1030"/>
      <c r="O913" s="1030"/>
      <c r="P913" s="1030"/>
      <c r="Q913" s="1030"/>
      <c r="R913" s="1030"/>
      <c r="S913" s="1030"/>
      <c r="T913" s="1030"/>
      <c r="U913" s="1030"/>
      <c r="V913" s="1030"/>
      <c r="W913" s="1030"/>
      <c r="X913" s="1030"/>
      <c r="Y913" s="1030"/>
      <c r="Z913" s="1030"/>
      <c r="AA913" s="1030"/>
      <c r="AB913" s="1030"/>
    </row>
    <row r="914" spans="1:28">
      <c r="A914" s="1030"/>
      <c r="B914" s="1030"/>
      <c r="C914" s="1030"/>
      <c r="D914" s="1030"/>
      <c r="E914" s="1030"/>
      <c r="F914" s="1030"/>
      <c r="G914" s="1030"/>
      <c r="H914" s="1030"/>
      <c r="I914" s="1030"/>
      <c r="J914" s="1097"/>
      <c r="K914" s="1030"/>
      <c r="L914" s="1030"/>
      <c r="M914" s="1030"/>
      <c r="N914" s="1030"/>
      <c r="O914" s="1030"/>
      <c r="P914" s="1030"/>
      <c r="Q914" s="1030"/>
      <c r="R914" s="1030"/>
      <c r="S914" s="1030"/>
      <c r="T914" s="1030"/>
      <c r="U914" s="1030"/>
      <c r="V914" s="1030"/>
      <c r="W914" s="1030"/>
      <c r="X914" s="1030"/>
      <c r="Y914" s="1030"/>
      <c r="Z914" s="1030"/>
      <c r="AA914" s="1030"/>
      <c r="AB914" s="1030"/>
    </row>
    <row r="915" spans="1:28">
      <c r="A915" s="1030"/>
      <c r="B915" s="1030"/>
      <c r="C915" s="1030"/>
      <c r="D915" s="1030"/>
      <c r="E915" s="1030"/>
      <c r="F915" s="1030"/>
      <c r="G915" s="1030"/>
      <c r="H915" s="1030"/>
      <c r="I915" s="1030"/>
      <c r="J915" s="1097"/>
      <c r="K915" s="1030"/>
      <c r="L915" s="1030"/>
      <c r="M915" s="1030"/>
      <c r="N915" s="1030"/>
      <c r="O915" s="1030"/>
      <c r="P915" s="1030"/>
      <c r="Q915" s="1030"/>
      <c r="R915" s="1030"/>
      <c r="S915" s="1030"/>
      <c r="T915" s="1030"/>
      <c r="U915" s="1030"/>
      <c r="V915" s="1030"/>
      <c r="W915" s="1030"/>
      <c r="X915" s="1030"/>
      <c r="Y915" s="1030"/>
      <c r="Z915" s="1030"/>
      <c r="AA915" s="1030"/>
      <c r="AB915" s="1030"/>
    </row>
    <row r="916" spans="1:28">
      <c r="A916" s="1030"/>
      <c r="B916" s="1030"/>
      <c r="C916" s="1030"/>
      <c r="D916" s="1030"/>
      <c r="E916" s="1030"/>
      <c r="F916" s="1030"/>
      <c r="G916" s="1030"/>
      <c r="H916" s="1030"/>
      <c r="I916" s="1030"/>
      <c r="J916" s="1097"/>
      <c r="K916" s="1030"/>
      <c r="L916" s="1030"/>
      <c r="M916" s="1030"/>
      <c r="N916" s="1030"/>
      <c r="O916" s="1030"/>
      <c r="P916" s="1030"/>
      <c r="Q916" s="1030"/>
      <c r="R916" s="1030"/>
      <c r="S916" s="1030"/>
      <c r="T916" s="1030"/>
      <c r="U916" s="1030"/>
      <c r="V916" s="1030"/>
      <c r="W916" s="1030"/>
      <c r="X916" s="1030"/>
      <c r="Y916" s="1030"/>
      <c r="Z916" s="1030"/>
      <c r="AA916" s="1030"/>
      <c r="AB916" s="1030"/>
    </row>
    <row r="917" spans="1:28">
      <c r="A917" s="1030"/>
      <c r="B917" s="1030"/>
      <c r="C917" s="1030"/>
      <c r="D917" s="1030"/>
      <c r="E917" s="1030"/>
      <c r="F917" s="1030"/>
      <c r="G917" s="1030"/>
      <c r="H917" s="1030"/>
      <c r="I917" s="1030"/>
      <c r="J917" s="1097"/>
      <c r="K917" s="1030"/>
      <c r="L917" s="1030"/>
      <c r="M917" s="1030"/>
      <c r="N917" s="1030"/>
      <c r="O917" s="1030"/>
      <c r="P917" s="1030"/>
      <c r="Q917" s="1030"/>
      <c r="R917" s="1030"/>
      <c r="S917" s="1030"/>
      <c r="T917" s="1030"/>
      <c r="U917" s="1030"/>
      <c r="V917" s="1030"/>
      <c r="W917" s="1030"/>
      <c r="X917" s="1030"/>
      <c r="Y917" s="1030"/>
      <c r="Z917" s="1030"/>
      <c r="AA917" s="1030"/>
      <c r="AB917" s="1030"/>
    </row>
    <row r="918" spans="1:28">
      <c r="A918" s="1030"/>
      <c r="B918" s="1030"/>
      <c r="C918" s="1030"/>
      <c r="D918" s="1030"/>
      <c r="E918" s="1030"/>
      <c r="F918" s="1030"/>
      <c r="G918" s="1030"/>
      <c r="H918" s="1030"/>
      <c r="I918" s="1030"/>
      <c r="J918" s="1097"/>
      <c r="K918" s="1030"/>
      <c r="L918" s="1030"/>
      <c r="M918" s="1030"/>
      <c r="N918" s="1030"/>
      <c r="O918" s="1030"/>
      <c r="P918" s="1030"/>
      <c r="Q918" s="1030"/>
      <c r="R918" s="1030"/>
      <c r="S918" s="1030"/>
      <c r="T918" s="1030"/>
      <c r="U918" s="1030"/>
      <c r="V918" s="1030"/>
      <c r="W918" s="1030"/>
      <c r="X918" s="1030"/>
      <c r="Y918" s="1030"/>
      <c r="Z918" s="1030"/>
      <c r="AA918" s="1030"/>
      <c r="AB918" s="1030"/>
    </row>
    <row r="919" spans="1:28">
      <c r="A919" s="1030"/>
      <c r="B919" s="1030"/>
      <c r="C919" s="1030"/>
      <c r="D919" s="1030"/>
      <c r="E919" s="1030"/>
      <c r="F919" s="1030"/>
      <c r="G919" s="1030"/>
      <c r="H919" s="1030"/>
      <c r="I919" s="1030"/>
      <c r="J919" s="1097"/>
      <c r="K919" s="1030"/>
      <c r="L919" s="1030"/>
      <c r="M919" s="1030"/>
      <c r="N919" s="1030"/>
      <c r="O919" s="1030"/>
      <c r="P919" s="1030"/>
      <c r="Q919" s="1030"/>
      <c r="R919" s="1030"/>
      <c r="S919" s="1030"/>
      <c r="T919" s="1030"/>
      <c r="U919" s="1030"/>
      <c r="V919" s="1030"/>
      <c r="W919" s="1030"/>
      <c r="X919" s="1030"/>
      <c r="Y919" s="1030"/>
      <c r="Z919" s="1030"/>
      <c r="AA919" s="1030"/>
      <c r="AB919" s="1030"/>
    </row>
    <row r="920" spans="1:28">
      <c r="A920" s="1030"/>
      <c r="B920" s="1030"/>
      <c r="C920" s="1030"/>
      <c r="D920" s="1030"/>
      <c r="E920" s="1030"/>
      <c r="F920" s="1030"/>
      <c r="G920" s="1030"/>
      <c r="H920" s="1030"/>
      <c r="I920" s="1030"/>
      <c r="J920" s="1097"/>
      <c r="K920" s="1030"/>
      <c r="L920" s="1030"/>
      <c r="M920" s="1030"/>
      <c r="N920" s="1030"/>
      <c r="O920" s="1030"/>
      <c r="P920" s="1030"/>
      <c r="Q920" s="1030"/>
      <c r="R920" s="1030"/>
      <c r="S920" s="1030"/>
      <c r="T920" s="1030"/>
      <c r="U920" s="1030"/>
      <c r="V920" s="1030"/>
      <c r="W920" s="1030"/>
      <c r="X920" s="1030"/>
      <c r="Y920" s="1030"/>
      <c r="Z920" s="1030"/>
      <c r="AA920" s="1030"/>
      <c r="AB920" s="1030"/>
    </row>
    <row r="921" spans="1:28">
      <c r="A921" s="1030"/>
      <c r="B921" s="1030"/>
      <c r="C921" s="1030"/>
      <c r="D921" s="1030"/>
      <c r="E921" s="1030"/>
      <c r="F921" s="1030"/>
      <c r="G921" s="1030"/>
      <c r="H921" s="1030"/>
      <c r="I921" s="1030"/>
      <c r="J921" s="1097"/>
      <c r="K921" s="1030"/>
      <c r="L921" s="1030"/>
      <c r="M921" s="1030"/>
      <c r="N921" s="1030"/>
      <c r="O921" s="1030"/>
      <c r="P921" s="1030"/>
      <c r="Q921" s="1030"/>
      <c r="R921" s="1030"/>
      <c r="S921" s="1030"/>
      <c r="T921" s="1030"/>
      <c r="U921" s="1030"/>
      <c r="V921" s="1030"/>
      <c r="W921" s="1030"/>
      <c r="X921" s="1030"/>
      <c r="Y921" s="1030"/>
      <c r="Z921" s="1030"/>
      <c r="AA921" s="1030"/>
      <c r="AB921" s="1030"/>
    </row>
    <row r="922" spans="1:28">
      <c r="A922" s="1030"/>
      <c r="B922" s="1030"/>
      <c r="C922" s="1030"/>
      <c r="D922" s="1030"/>
      <c r="E922" s="1030"/>
      <c r="F922" s="1030"/>
      <c r="G922" s="1030"/>
      <c r="H922" s="1030"/>
      <c r="I922" s="1030"/>
      <c r="J922" s="1097"/>
      <c r="K922" s="1030"/>
      <c r="L922" s="1030"/>
      <c r="M922" s="1030"/>
      <c r="N922" s="1030"/>
      <c r="O922" s="1030"/>
      <c r="P922" s="1030"/>
      <c r="Q922" s="1030"/>
      <c r="R922" s="1030"/>
      <c r="S922" s="1030"/>
      <c r="T922" s="1030"/>
      <c r="U922" s="1030"/>
      <c r="V922" s="1030"/>
      <c r="W922" s="1030"/>
      <c r="X922" s="1030"/>
      <c r="Y922" s="1030"/>
      <c r="Z922" s="1030"/>
      <c r="AA922" s="1030"/>
      <c r="AB922" s="1030"/>
    </row>
    <row r="923" spans="1:28">
      <c r="A923" s="1030"/>
      <c r="B923" s="1030"/>
      <c r="C923" s="1030"/>
      <c r="D923" s="1030"/>
      <c r="E923" s="1030"/>
      <c r="F923" s="1030"/>
      <c r="G923" s="1030"/>
      <c r="H923" s="1030"/>
      <c r="I923" s="1030"/>
      <c r="J923" s="1097"/>
      <c r="K923" s="1030"/>
      <c r="L923" s="1030"/>
      <c r="M923" s="1030"/>
      <c r="N923" s="1030"/>
      <c r="O923" s="1030"/>
      <c r="P923" s="1030"/>
      <c r="Q923" s="1030"/>
      <c r="R923" s="1030"/>
      <c r="S923" s="1030"/>
      <c r="T923" s="1030"/>
      <c r="U923" s="1030"/>
      <c r="V923" s="1030"/>
      <c r="W923" s="1030"/>
      <c r="X923" s="1030"/>
      <c r="Y923" s="1030"/>
      <c r="Z923" s="1030"/>
      <c r="AA923" s="1030"/>
      <c r="AB923" s="1030"/>
    </row>
    <row r="924" spans="1:28">
      <c r="A924" s="1030"/>
      <c r="B924" s="1030"/>
      <c r="C924" s="1030"/>
      <c r="D924" s="1030"/>
      <c r="E924" s="1030"/>
      <c r="F924" s="1030"/>
      <c r="G924" s="1030"/>
      <c r="H924" s="1030"/>
      <c r="I924" s="1030"/>
      <c r="J924" s="1097"/>
      <c r="K924" s="1030"/>
      <c r="L924" s="1030"/>
      <c r="M924" s="1030"/>
      <c r="N924" s="1030"/>
      <c r="O924" s="1030"/>
      <c r="P924" s="1030"/>
      <c r="Q924" s="1030"/>
      <c r="R924" s="1030"/>
      <c r="S924" s="1030"/>
      <c r="T924" s="1030"/>
      <c r="U924" s="1030"/>
      <c r="V924" s="1030"/>
      <c r="W924" s="1030"/>
      <c r="X924" s="1030"/>
      <c r="Y924" s="1030"/>
      <c r="Z924" s="1030"/>
      <c r="AA924" s="1030"/>
      <c r="AB924" s="1030"/>
    </row>
    <row r="925" spans="1:28">
      <c r="A925" s="1030"/>
      <c r="B925" s="1030"/>
      <c r="C925" s="1030"/>
      <c r="D925" s="1030"/>
      <c r="E925" s="1030"/>
      <c r="F925" s="1030"/>
      <c r="G925" s="1030"/>
      <c r="H925" s="1030"/>
      <c r="I925" s="1030"/>
      <c r="J925" s="1097"/>
      <c r="K925" s="1030"/>
      <c r="L925" s="1030"/>
      <c r="M925" s="1030"/>
      <c r="N925" s="1030"/>
      <c r="O925" s="1030"/>
      <c r="P925" s="1030"/>
      <c r="Q925" s="1030"/>
      <c r="R925" s="1030"/>
      <c r="S925" s="1030"/>
      <c r="T925" s="1030"/>
      <c r="U925" s="1030"/>
      <c r="V925" s="1030"/>
      <c r="W925" s="1030"/>
      <c r="X925" s="1030"/>
      <c r="Y925" s="1030"/>
      <c r="Z925" s="1030"/>
      <c r="AA925" s="1030"/>
      <c r="AB925" s="1030"/>
    </row>
    <row r="926" spans="1:28">
      <c r="A926" s="1030"/>
      <c r="B926" s="1030"/>
      <c r="C926" s="1030"/>
      <c r="D926" s="1030"/>
      <c r="E926" s="1030"/>
      <c r="F926" s="1030"/>
      <c r="G926" s="1030"/>
      <c r="H926" s="1030"/>
      <c r="I926" s="1030"/>
      <c r="J926" s="1097"/>
      <c r="K926" s="1030"/>
      <c r="L926" s="1030"/>
      <c r="M926" s="1030"/>
      <c r="N926" s="1030"/>
      <c r="O926" s="1030"/>
      <c r="P926" s="1030"/>
      <c r="Q926" s="1030"/>
      <c r="R926" s="1030"/>
      <c r="S926" s="1030"/>
      <c r="T926" s="1030"/>
      <c r="U926" s="1030"/>
      <c r="V926" s="1030"/>
      <c r="W926" s="1030"/>
      <c r="X926" s="1030"/>
      <c r="Y926" s="1030"/>
      <c r="Z926" s="1030"/>
      <c r="AA926" s="1030"/>
      <c r="AB926" s="1030"/>
    </row>
    <row r="927" spans="1:28">
      <c r="A927" s="1030"/>
      <c r="B927" s="1030"/>
      <c r="C927" s="1030"/>
      <c r="D927" s="1030"/>
      <c r="E927" s="1030"/>
      <c r="F927" s="1030"/>
      <c r="G927" s="1030"/>
      <c r="H927" s="1030"/>
      <c r="I927" s="1030"/>
      <c r="J927" s="1097"/>
      <c r="K927" s="1030"/>
      <c r="L927" s="1030"/>
      <c r="M927" s="1030"/>
      <c r="N927" s="1030"/>
      <c r="O927" s="1030"/>
      <c r="P927" s="1030"/>
      <c r="Q927" s="1030"/>
      <c r="R927" s="1030"/>
      <c r="S927" s="1030"/>
      <c r="T927" s="1030"/>
      <c r="U927" s="1030"/>
      <c r="V927" s="1030"/>
      <c r="W927" s="1030"/>
      <c r="X927" s="1030"/>
      <c r="Y927" s="1030"/>
      <c r="Z927" s="1030"/>
      <c r="AA927" s="1030"/>
      <c r="AB927" s="1030"/>
    </row>
    <row r="928" spans="1:28">
      <c r="A928" s="1030"/>
      <c r="B928" s="1030"/>
      <c r="C928" s="1030"/>
      <c r="D928" s="1030"/>
      <c r="E928" s="1030"/>
      <c r="F928" s="1030"/>
      <c r="G928" s="1030"/>
      <c r="H928" s="1030"/>
      <c r="I928" s="1030"/>
      <c r="J928" s="1097"/>
      <c r="K928" s="1030"/>
      <c r="L928" s="1030"/>
      <c r="M928" s="1030"/>
      <c r="N928" s="1030"/>
      <c r="O928" s="1030"/>
      <c r="P928" s="1030"/>
      <c r="Q928" s="1030"/>
      <c r="R928" s="1030"/>
      <c r="S928" s="1030"/>
      <c r="T928" s="1030"/>
      <c r="U928" s="1030"/>
      <c r="V928" s="1030"/>
      <c r="W928" s="1030"/>
      <c r="X928" s="1030"/>
      <c r="Y928" s="1030"/>
      <c r="Z928" s="1030"/>
      <c r="AA928" s="1030"/>
      <c r="AB928" s="1030"/>
    </row>
    <row r="929" spans="1:28">
      <c r="A929" s="1030"/>
      <c r="B929" s="1030"/>
      <c r="C929" s="1030"/>
      <c r="D929" s="1030"/>
      <c r="E929" s="1030"/>
      <c r="F929" s="1030"/>
      <c r="G929" s="1030"/>
      <c r="H929" s="1030"/>
      <c r="I929" s="1030"/>
      <c r="J929" s="1097"/>
      <c r="K929" s="1030"/>
      <c r="L929" s="1030"/>
      <c r="M929" s="1030"/>
      <c r="N929" s="1030"/>
      <c r="O929" s="1030"/>
      <c r="P929" s="1030"/>
      <c r="Q929" s="1030"/>
      <c r="R929" s="1030"/>
      <c r="S929" s="1030"/>
      <c r="T929" s="1030"/>
      <c r="U929" s="1030"/>
      <c r="V929" s="1030"/>
      <c r="W929" s="1030"/>
      <c r="X929" s="1030"/>
      <c r="Y929" s="1030"/>
      <c r="Z929" s="1030"/>
      <c r="AA929" s="1030"/>
      <c r="AB929" s="1030"/>
    </row>
    <row r="930" spans="1:28">
      <c r="A930" s="1030"/>
      <c r="B930" s="1030"/>
      <c r="C930" s="1030"/>
      <c r="D930" s="1030"/>
      <c r="E930" s="1030"/>
      <c r="F930" s="1030"/>
      <c r="G930" s="1030"/>
      <c r="H930" s="1030"/>
      <c r="I930" s="1030"/>
      <c r="J930" s="1097"/>
      <c r="K930" s="1030"/>
      <c r="L930" s="1030"/>
      <c r="M930" s="1030"/>
      <c r="N930" s="1030"/>
      <c r="O930" s="1030"/>
      <c r="P930" s="1030"/>
      <c r="Q930" s="1030"/>
      <c r="R930" s="1030"/>
      <c r="S930" s="1030"/>
      <c r="T930" s="1030"/>
      <c r="U930" s="1030"/>
      <c r="V930" s="1030"/>
      <c r="W930" s="1030"/>
      <c r="X930" s="1030"/>
      <c r="Y930" s="1030"/>
      <c r="Z930" s="1030"/>
      <c r="AA930" s="1030"/>
      <c r="AB930" s="1030"/>
    </row>
    <row r="931" spans="1:28">
      <c r="A931" s="1030"/>
      <c r="B931" s="1030"/>
      <c r="C931" s="1030"/>
      <c r="D931" s="1030"/>
      <c r="E931" s="1030"/>
      <c r="F931" s="1030"/>
      <c r="G931" s="1030"/>
      <c r="H931" s="1030"/>
      <c r="I931" s="1030"/>
      <c r="J931" s="1097"/>
      <c r="K931" s="1030"/>
      <c r="L931" s="1030"/>
      <c r="M931" s="1030"/>
      <c r="N931" s="1030"/>
      <c r="O931" s="1030"/>
      <c r="P931" s="1030"/>
      <c r="Q931" s="1030"/>
      <c r="R931" s="1030"/>
      <c r="S931" s="1030"/>
      <c r="T931" s="1030"/>
      <c r="U931" s="1030"/>
      <c r="V931" s="1030"/>
      <c r="W931" s="1030"/>
      <c r="X931" s="1030"/>
      <c r="Y931" s="1030"/>
      <c r="Z931" s="1030"/>
      <c r="AA931" s="1030"/>
      <c r="AB931" s="1030"/>
    </row>
    <row r="932" spans="1:28">
      <c r="A932" s="1030"/>
      <c r="B932" s="1030"/>
      <c r="C932" s="1030"/>
      <c r="D932" s="1030"/>
      <c r="E932" s="1030"/>
      <c r="F932" s="1030"/>
      <c r="G932" s="1030"/>
      <c r="H932" s="1030"/>
      <c r="I932" s="1030"/>
      <c r="J932" s="1097"/>
      <c r="K932" s="1030"/>
      <c r="L932" s="1030"/>
      <c r="M932" s="1030"/>
      <c r="N932" s="1030"/>
      <c r="O932" s="1030"/>
      <c r="P932" s="1030"/>
      <c r="Q932" s="1030"/>
      <c r="R932" s="1030"/>
      <c r="S932" s="1030"/>
      <c r="T932" s="1030"/>
      <c r="U932" s="1030"/>
      <c r="V932" s="1030"/>
      <c r="W932" s="1030"/>
      <c r="X932" s="1030"/>
      <c r="Y932" s="1030"/>
      <c r="Z932" s="1030"/>
      <c r="AA932" s="1030"/>
      <c r="AB932" s="1030"/>
    </row>
    <row r="933" spans="1:28">
      <c r="A933" s="1030"/>
      <c r="B933" s="1030"/>
      <c r="C933" s="1030"/>
      <c r="D933" s="1030"/>
      <c r="E933" s="1030"/>
      <c r="F933" s="1030"/>
      <c r="G933" s="1030"/>
      <c r="H933" s="1030"/>
      <c r="I933" s="1030"/>
      <c r="J933" s="1097"/>
      <c r="K933" s="1030"/>
      <c r="L933" s="1030"/>
      <c r="M933" s="1030"/>
      <c r="N933" s="1030"/>
      <c r="O933" s="1030"/>
      <c r="P933" s="1030"/>
      <c r="Q933" s="1030"/>
      <c r="R933" s="1030"/>
      <c r="S933" s="1030"/>
      <c r="T933" s="1030"/>
      <c r="U933" s="1030"/>
      <c r="V933" s="1030"/>
      <c r="W933" s="1030"/>
      <c r="X933" s="1030"/>
      <c r="Y933" s="1030"/>
      <c r="Z933" s="1030"/>
      <c r="AA933" s="1030"/>
      <c r="AB933" s="1030"/>
    </row>
    <row r="934" spans="1:28">
      <c r="A934" s="1030"/>
      <c r="B934" s="1030"/>
      <c r="C934" s="1030"/>
      <c r="D934" s="1030"/>
      <c r="E934" s="1030"/>
      <c r="F934" s="1030"/>
      <c r="G934" s="1030"/>
      <c r="H934" s="1030"/>
      <c r="I934" s="1030"/>
      <c r="J934" s="1097"/>
      <c r="K934" s="1030"/>
      <c r="L934" s="1030"/>
      <c r="M934" s="1030"/>
      <c r="N934" s="1030"/>
      <c r="O934" s="1030"/>
      <c r="P934" s="1030"/>
      <c r="Q934" s="1030"/>
      <c r="R934" s="1030"/>
      <c r="S934" s="1030"/>
      <c r="T934" s="1030"/>
      <c r="U934" s="1030"/>
      <c r="V934" s="1030"/>
      <c r="W934" s="1030"/>
      <c r="X934" s="1030"/>
      <c r="Y934" s="1030"/>
      <c r="Z934" s="1030"/>
      <c r="AA934" s="1030"/>
      <c r="AB934" s="1030"/>
    </row>
    <row r="935" spans="1:28">
      <c r="A935" s="1030"/>
      <c r="B935" s="1030"/>
      <c r="C935" s="1030"/>
      <c r="D935" s="1030"/>
      <c r="E935" s="1030"/>
      <c r="F935" s="1030"/>
      <c r="G935" s="1030"/>
      <c r="H935" s="1030"/>
      <c r="I935" s="1030"/>
      <c r="J935" s="1097"/>
      <c r="K935" s="1030"/>
      <c r="L935" s="1030"/>
      <c r="M935" s="1030"/>
      <c r="N935" s="1030"/>
      <c r="O935" s="1030"/>
      <c r="P935" s="1030"/>
      <c r="Q935" s="1030"/>
      <c r="R935" s="1030"/>
      <c r="S935" s="1030"/>
      <c r="T935" s="1030"/>
      <c r="U935" s="1030"/>
      <c r="V935" s="1030"/>
      <c r="W935" s="1030"/>
      <c r="X935" s="1030"/>
      <c r="Y935" s="1030"/>
      <c r="Z935" s="1030"/>
      <c r="AA935" s="1030"/>
      <c r="AB935" s="1030"/>
    </row>
    <row r="936" spans="1:28">
      <c r="A936" s="1030"/>
      <c r="B936" s="1030"/>
      <c r="C936" s="1030"/>
      <c r="D936" s="1030"/>
      <c r="E936" s="1030"/>
      <c r="F936" s="1030"/>
      <c r="G936" s="1030"/>
      <c r="H936" s="1030"/>
      <c r="I936" s="1030"/>
      <c r="J936" s="1097"/>
      <c r="K936" s="1030"/>
      <c r="L936" s="1030"/>
      <c r="M936" s="1030"/>
      <c r="N936" s="1030"/>
      <c r="O936" s="1030"/>
      <c r="P936" s="1030"/>
      <c r="Q936" s="1030"/>
      <c r="R936" s="1030"/>
      <c r="S936" s="1030"/>
      <c r="T936" s="1030"/>
      <c r="U936" s="1030"/>
      <c r="V936" s="1030"/>
      <c r="W936" s="1030"/>
      <c r="X936" s="1030"/>
      <c r="Y936" s="1030"/>
      <c r="Z936" s="1030"/>
      <c r="AA936" s="1030"/>
      <c r="AB936" s="1030"/>
    </row>
    <row r="937" spans="1:28">
      <c r="A937" s="1030"/>
      <c r="B937" s="1030"/>
      <c r="C937" s="1030"/>
      <c r="D937" s="1030"/>
      <c r="E937" s="1030"/>
      <c r="F937" s="1030"/>
      <c r="G937" s="1030"/>
      <c r="H937" s="1030"/>
      <c r="I937" s="1030"/>
      <c r="J937" s="1097"/>
      <c r="K937" s="1030"/>
      <c r="L937" s="1030"/>
      <c r="M937" s="1030"/>
      <c r="N937" s="1030"/>
      <c r="O937" s="1030"/>
      <c r="P937" s="1030"/>
      <c r="Q937" s="1030"/>
      <c r="R937" s="1030"/>
      <c r="S937" s="1030"/>
      <c r="T937" s="1030"/>
      <c r="U937" s="1030"/>
      <c r="V937" s="1030"/>
      <c r="W937" s="1030"/>
      <c r="X937" s="1030"/>
      <c r="Y937" s="1030"/>
      <c r="Z937" s="1030"/>
      <c r="AA937" s="1030"/>
      <c r="AB937" s="1030"/>
    </row>
    <row r="938" spans="1:28">
      <c r="A938" s="1030"/>
      <c r="B938" s="1030"/>
      <c r="C938" s="1030"/>
      <c r="D938" s="1030"/>
      <c r="E938" s="1030"/>
      <c r="F938" s="1030"/>
      <c r="G938" s="1030"/>
      <c r="H938" s="1030"/>
      <c r="I938" s="1030"/>
      <c r="J938" s="1097"/>
      <c r="K938" s="1030"/>
      <c r="L938" s="1030"/>
      <c r="M938" s="1030"/>
      <c r="N938" s="1030"/>
      <c r="O938" s="1030"/>
      <c r="P938" s="1030"/>
      <c r="Q938" s="1030"/>
      <c r="R938" s="1030"/>
      <c r="S938" s="1030"/>
      <c r="T938" s="1030"/>
      <c r="U938" s="1030"/>
      <c r="V938" s="1030"/>
      <c r="W938" s="1030"/>
      <c r="X938" s="1030"/>
      <c r="Y938" s="1030"/>
      <c r="Z938" s="1030"/>
      <c r="AA938" s="1030"/>
      <c r="AB938" s="1030"/>
    </row>
    <row r="939" spans="1:28">
      <c r="A939" s="1030"/>
      <c r="B939" s="1030"/>
      <c r="C939" s="1030"/>
      <c r="D939" s="1030"/>
      <c r="E939" s="1030"/>
      <c r="F939" s="1030"/>
      <c r="G939" s="1030"/>
      <c r="H939" s="1030"/>
      <c r="I939" s="1030"/>
      <c r="J939" s="1097"/>
      <c r="K939" s="1030"/>
      <c r="L939" s="1030"/>
      <c r="M939" s="1030"/>
      <c r="N939" s="1030"/>
      <c r="O939" s="1030"/>
      <c r="P939" s="1030"/>
      <c r="Q939" s="1030"/>
      <c r="R939" s="1030"/>
      <c r="S939" s="1030"/>
      <c r="T939" s="1030"/>
      <c r="U939" s="1030"/>
      <c r="V939" s="1030"/>
      <c r="W939" s="1030"/>
      <c r="X939" s="1030"/>
      <c r="Y939" s="1030"/>
      <c r="Z939" s="1030"/>
      <c r="AA939" s="1030"/>
      <c r="AB939" s="1030"/>
    </row>
    <row r="940" spans="1:28">
      <c r="A940" s="1030"/>
      <c r="B940" s="1030"/>
      <c r="C940" s="1030"/>
      <c r="D940" s="1030"/>
      <c r="E940" s="1030"/>
      <c r="F940" s="1030"/>
      <c r="G940" s="1030"/>
      <c r="H940" s="1030"/>
      <c r="I940" s="1030"/>
      <c r="J940" s="1097"/>
      <c r="K940" s="1030"/>
      <c r="L940" s="1030"/>
      <c r="M940" s="1030"/>
      <c r="N940" s="1030"/>
      <c r="O940" s="1030"/>
      <c r="P940" s="1030"/>
      <c r="Q940" s="1030"/>
      <c r="R940" s="1030"/>
      <c r="S940" s="1030"/>
      <c r="T940" s="1030"/>
      <c r="U940" s="1030"/>
      <c r="V940" s="1030"/>
      <c r="W940" s="1030"/>
      <c r="X940" s="1030"/>
      <c r="Y940" s="1030"/>
      <c r="Z940" s="1030"/>
      <c r="AA940" s="1030"/>
      <c r="AB940" s="1030"/>
    </row>
    <row r="941" spans="1:28">
      <c r="A941" s="1030"/>
      <c r="B941" s="1030"/>
      <c r="C941" s="1030"/>
      <c r="D941" s="1030"/>
      <c r="E941" s="1030"/>
      <c r="F941" s="1030"/>
      <c r="G941" s="1030"/>
      <c r="H941" s="1030"/>
      <c r="I941" s="1030"/>
      <c r="J941" s="1097"/>
      <c r="K941" s="1030"/>
      <c r="L941" s="1030"/>
      <c r="M941" s="1030"/>
      <c r="N941" s="1030"/>
      <c r="O941" s="1030"/>
      <c r="P941" s="1030"/>
      <c r="Q941" s="1030"/>
      <c r="R941" s="1030"/>
      <c r="S941" s="1030"/>
      <c r="T941" s="1030"/>
      <c r="U941" s="1030"/>
      <c r="V941" s="1030"/>
      <c r="W941" s="1030"/>
      <c r="X941" s="1030"/>
      <c r="Y941" s="1030"/>
      <c r="Z941" s="1030"/>
      <c r="AA941" s="1030"/>
      <c r="AB941" s="1030"/>
    </row>
    <row r="942" spans="1:28">
      <c r="A942" s="1030"/>
      <c r="B942" s="1030"/>
      <c r="C942" s="1030"/>
      <c r="D942" s="1030"/>
      <c r="E942" s="1030"/>
      <c r="F942" s="1030"/>
      <c r="G942" s="1030"/>
      <c r="H942" s="1030"/>
      <c r="I942" s="1030"/>
      <c r="J942" s="1097"/>
      <c r="K942" s="1030"/>
      <c r="L942" s="1030"/>
      <c r="M942" s="1030"/>
      <c r="N942" s="1030"/>
      <c r="O942" s="1030"/>
      <c r="P942" s="1030"/>
      <c r="Q942" s="1030"/>
      <c r="R942" s="1030"/>
      <c r="S942" s="1030"/>
      <c r="T942" s="1030"/>
      <c r="U942" s="1030"/>
      <c r="V942" s="1030"/>
      <c r="W942" s="1030"/>
      <c r="X942" s="1030"/>
      <c r="Y942" s="1030"/>
      <c r="Z942" s="1030"/>
      <c r="AA942" s="1030"/>
      <c r="AB942" s="1030"/>
    </row>
    <row r="943" spans="1:28">
      <c r="A943" s="1030"/>
      <c r="B943" s="1030"/>
      <c r="C943" s="1030"/>
      <c r="D943" s="1030"/>
      <c r="E943" s="1030"/>
      <c r="F943" s="1030"/>
      <c r="G943" s="1030"/>
      <c r="H943" s="1030"/>
      <c r="I943" s="1030"/>
      <c r="J943" s="1097"/>
      <c r="K943" s="1030"/>
      <c r="L943" s="1030"/>
      <c r="M943" s="1030"/>
      <c r="N943" s="1030"/>
      <c r="O943" s="1030"/>
      <c r="P943" s="1030"/>
      <c r="Q943" s="1030"/>
      <c r="R943" s="1030"/>
      <c r="S943" s="1030"/>
      <c r="T943" s="1030"/>
      <c r="U943" s="1030"/>
      <c r="V943" s="1030"/>
      <c r="W943" s="1030"/>
      <c r="X943" s="1030"/>
      <c r="Y943" s="1030"/>
      <c r="Z943" s="1030"/>
      <c r="AA943" s="1030"/>
      <c r="AB943" s="1030"/>
    </row>
    <row r="944" spans="1:28">
      <c r="A944" s="1030"/>
      <c r="B944" s="1030"/>
      <c r="C944" s="1030"/>
      <c r="D944" s="1030"/>
      <c r="E944" s="1030"/>
      <c r="F944" s="1030"/>
      <c r="G944" s="1030"/>
      <c r="H944" s="1030"/>
      <c r="I944" s="1030"/>
      <c r="J944" s="1097"/>
      <c r="K944" s="1030"/>
      <c r="L944" s="1030"/>
      <c r="M944" s="1030"/>
      <c r="N944" s="1030"/>
      <c r="O944" s="1030"/>
      <c r="P944" s="1030"/>
      <c r="Q944" s="1030"/>
      <c r="R944" s="1030"/>
      <c r="S944" s="1030"/>
      <c r="T944" s="1030"/>
      <c r="U944" s="1030"/>
      <c r="V944" s="1030"/>
      <c r="W944" s="1030"/>
      <c r="X944" s="1030"/>
      <c r="Y944" s="1030"/>
      <c r="Z944" s="1030"/>
      <c r="AA944" s="1030"/>
      <c r="AB944" s="1030"/>
    </row>
    <row r="945" spans="1:28">
      <c r="A945" s="1030"/>
      <c r="B945" s="1030"/>
      <c r="C945" s="1030"/>
      <c r="D945" s="1030"/>
      <c r="E945" s="1030"/>
      <c r="F945" s="1030"/>
      <c r="G945" s="1030"/>
      <c r="H945" s="1030"/>
      <c r="I945" s="1030"/>
      <c r="J945" s="1097"/>
      <c r="K945" s="1030"/>
      <c r="L945" s="1030"/>
      <c r="M945" s="1030"/>
      <c r="N945" s="1030"/>
      <c r="O945" s="1030"/>
      <c r="P945" s="1030"/>
      <c r="Q945" s="1030"/>
      <c r="R945" s="1030"/>
      <c r="S945" s="1030"/>
      <c r="T945" s="1030"/>
      <c r="U945" s="1030"/>
      <c r="V945" s="1030"/>
      <c r="W945" s="1030"/>
      <c r="X945" s="1030"/>
      <c r="Y945" s="1030"/>
      <c r="Z945" s="1030"/>
      <c r="AA945" s="1030"/>
      <c r="AB945" s="1030"/>
    </row>
    <row r="946" spans="1:28">
      <c r="A946" s="1030"/>
      <c r="B946" s="1030"/>
      <c r="C946" s="1030"/>
      <c r="D946" s="1030"/>
      <c r="E946" s="1030"/>
      <c r="F946" s="1030"/>
      <c r="G946" s="1030"/>
      <c r="H946" s="1030"/>
      <c r="I946" s="1030"/>
      <c r="J946" s="1097"/>
      <c r="K946" s="1030"/>
      <c r="L946" s="1030"/>
      <c r="M946" s="1030"/>
      <c r="N946" s="1030"/>
      <c r="O946" s="1030"/>
      <c r="P946" s="1030"/>
      <c r="Q946" s="1030"/>
      <c r="R946" s="1030"/>
      <c r="S946" s="1030"/>
      <c r="T946" s="1030"/>
      <c r="U946" s="1030"/>
      <c r="V946" s="1030"/>
      <c r="W946" s="1030"/>
      <c r="X946" s="1030"/>
      <c r="Y946" s="1030"/>
      <c r="Z946" s="1030"/>
      <c r="AA946" s="1030"/>
      <c r="AB946" s="1030"/>
    </row>
    <row r="947" spans="1:28">
      <c r="A947" s="1030"/>
      <c r="B947" s="1030"/>
      <c r="C947" s="1030"/>
      <c r="D947" s="1030"/>
      <c r="E947" s="1030"/>
      <c r="F947" s="1030"/>
      <c r="G947" s="1030"/>
      <c r="H947" s="1030"/>
      <c r="I947" s="1030"/>
      <c r="J947" s="1097"/>
      <c r="K947" s="1030"/>
      <c r="L947" s="1030"/>
      <c r="M947" s="1030"/>
      <c r="N947" s="1030"/>
      <c r="O947" s="1030"/>
      <c r="P947" s="1030"/>
      <c r="Q947" s="1030"/>
      <c r="R947" s="1030"/>
      <c r="S947" s="1030"/>
      <c r="T947" s="1030"/>
      <c r="U947" s="1030"/>
      <c r="V947" s="1030"/>
      <c r="W947" s="1030"/>
      <c r="X947" s="1030"/>
      <c r="Y947" s="1030"/>
      <c r="Z947" s="1030"/>
      <c r="AA947" s="1030"/>
      <c r="AB947" s="1030"/>
    </row>
    <row r="948" spans="1:28">
      <c r="A948" s="1030"/>
      <c r="B948" s="1030"/>
      <c r="C948" s="1030"/>
      <c r="D948" s="1030"/>
      <c r="E948" s="1030"/>
      <c r="F948" s="1030"/>
      <c r="G948" s="1030"/>
      <c r="H948" s="1030"/>
      <c r="I948" s="1030"/>
      <c r="J948" s="1097"/>
      <c r="K948" s="1030"/>
      <c r="L948" s="1030"/>
      <c r="M948" s="1030"/>
      <c r="N948" s="1030"/>
      <c r="O948" s="1030"/>
      <c r="P948" s="1030"/>
      <c r="Q948" s="1030"/>
      <c r="R948" s="1030"/>
      <c r="S948" s="1030"/>
      <c r="T948" s="1030"/>
      <c r="U948" s="1030"/>
      <c r="V948" s="1030"/>
      <c r="W948" s="1030"/>
      <c r="X948" s="1030"/>
      <c r="Y948" s="1030"/>
      <c r="Z948" s="1030"/>
      <c r="AA948" s="1030"/>
      <c r="AB948" s="1030"/>
    </row>
    <row r="949" spans="1:28">
      <c r="A949" s="1030"/>
      <c r="B949" s="1030"/>
      <c r="C949" s="1030"/>
      <c r="D949" s="1030"/>
      <c r="E949" s="1030"/>
      <c r="F949" s="1030"/>
      <c r="G949" s="1030"/>
      <c r="H949" s="1030"/>
      <c r="I949" s="1030"/>
      <c r="J949" s="1097"/>
      <c r="K949" s="1030"/>
      <c r="L949" s="1030"/>
      <c r="M949" s="1030"/>
      <c r="N949" s="1030"/>
      <c r="O949" s="1030"/>
      <c r="P949" s="1030"/>
      <c r="Q949" s="1030"/>
      <c r="R949" s="1030"/>
      <c r="S949" s="1030"/>
      <c r="T949" s="1030"/>
      <c r="U949" s="1030"/>
      <c r="V949" s="1030"/>
      <c r="W949" s="1030"/>
      <c r="X949" s="1030"/>
      <c r="Y949" s="1030"/>
      <c r="Z949" s="1030"/>
      <c r="AA949" s="1030"/>
      <c r="AB949" s="1030"/>
    </row>
    <row r="950" spans="1:28">
      <c r="A950" s="1030"/>
      <c r="B950" s="1030"/>
      <c r="C950" s="1030"/>
      <c r="D950" s="1030"/>
      <c r="E950" s="1030"/>
      <c r="F950" s="1030"/>
      <c r="G950" s="1030"/>
      <c r="H950" s="1030"/>
      <c r="I950" s="1030"/>
      <c r="J950" s="1097"/>
      <c r="K950" s="1030"/>
      <c r="L950" s="1030"/>
      <c r="M950" s="1030"/>
      <c r="N950" s="1030"/>
      <c r="O950" s="1030"/>
      <c r="P950" s="1030"/>
      <c r="Q950" s="1030"/>
      <c r="R950" s="1030"/>
      <c r="S950" s="1030"/>
      <c r="T950" s="1030"/>
      <c r="U950" s="1030"/>
      <c r="V950" s="1030"/>
      <c r="W950" s="1030"/>
      <c r="X950" s="1030"/>
      <c r="Y950" s="1030"/>
      <c r="Z950" s="1030"/>
      <c r="AA950" s="1030"/>
      <c r="AB950" s="1030"/>
    </row>
    <row r="951" spans="1:28">
      <c r="A951" s="1030"/>
      <c r="B951" s="1030"/>
      <c r="C951" s="1030"/>
      <c r="D951" s="1030"/>
      <c r="E951" s="1030"/>
      <c r="F951" s="1030"/>
      <c r="G951" s="1030"/>
      <c r="H951" s="1030"/>
      <c r="I951" s="1030"/>
      <c r="J951" s="1097"/>
      <c r="K951" s="1030"/>
      <c r="L951" s="1030"/>
      <c r="M951" s="1030"/>
      <c r="N951" s="1030"/>
      <c r="O951" s="1030"/>
      <c r="P951" s="1030"/>
      <c r="Q951" s="1030"/>
      <c r="R951" s="1030"/>
      <c r="S951" s="1030"/>
      <c r="T951" s="1030"/>
      <c r="U951" s="1030"/>
      <c r="V951" s="1030"/>
      <c r="W951" s="1030"/>
      <c r="X951" s="1030"/>
      <c r="Y951" s="1030"/>
      <c r="Z951" s="1030"/>
      <c r="AA951" s="1030"/>
      <c r="AB951" s="1030"/>
    </row>
    <row r="952" spans="1:28">
      <c r="A952" s="1030"/>
      <c r="B952" s="1030"/>
      <c r="C952" s="1030"/>
      <c r="D952" s="1030"/>
      <c r="E952" s="1030"/>
      <c r="F952" s="1030"/>
      <c r="G952" s="1030"/>
      <c r="H952" s="1030"/>
      <c r="I952" s="1030"/>
      <c r="J952" s="1097"/>
      <c r="K952" s="1030"/>
      <c r="L952" s="1030"/>
      <c r="M952" s="1030"/>
      <c r="N952" s="1030"/>
      <c r="O952" s="1030"/>
      <c r="P952" s="1030"/>
      <c r="Q952" s="1030"/>
      <c r="R952" s="1030"/>
      <c r="S952" s="1030"/>
      <c r="T952" s="1030"/>
      <c r="U952" s="1030"/>
      <c r="V952" s="1030"/>
      <c r="W952" s="1030"/>
      <c r="X952" s="1030"/>
      <c r="Y952" s="1030"/>
      <c r="Z952" s="1030"/>
      <c r="AA952" s="1030"/>
      <c r="AB952" s="1030"/>
    </row>
    <row r="953" spans="1:28">
      <c r="A953" s="1030"/>
      <c r="B953" s="1030"/>
      <c r="C953" s="1030"/>
      <c r="D953" s="1030"/>
      <c r="E953" s="1030"/>
      <c r="F953" s="1030"/>
      <c r="G953" s="1030"/>
      <c r="H953" s="1030"/>
      <c r="I953" s="1030"/>
      <c r="J953" s="1097"/>
      <c r="K953" s="1030"/>
      <c r="L953" s="1030"/>
      <c r="M953" s="1030"/>
      <c r="N953" s="1030"/>
      <c r="O953" s="1030"/>
      <c r="P953" s="1030"/>
      <c r="Q953" s="1030"/>
      <c r="R953" s="1030"/>
      <c r="S953" s="1030"/>
      <c r="T953" s="1030"/>
      <c r="U953" s="1030"/>
      <c r="V953" s="1030"/>
      <c r="W953" s="1030"/>
      <c r="X953" s="1030"/>
      <c r="Y953" s="1030"/>
      <c r="Z953" s="1030"/>
      <c r="AA953" s="1030"/>
      <c r="AB953" s="1030"/>
    </row>
    <row r="954" spans="1:28">
      <c r="A954" s="1030"/>
      <c r="B954" s="1030"/>
      <c r="C954" s="1030"/>
      <c r="D954" s="1030"/>
      <c r="E954" s="1030"/>
      <c r="F954" s="1030"/>
      <c r="G954" s="1030"/>
      <c r="H954" s="1030"/>
      <c r="I954" s="1030"/>
      <c r="J954" s="1097"/>
      <c r="K954" s="1030"/>
      <c r="L954" s="1030"/>
      <c r="M954" s="1030"/>
      <c r="N954" s="1030"/>
      <c r="O954" s="1030"/>
      <c r="P954" s="1030"/>
      <c r="Q954" s="1030"/>
      <c r="R954" s="1030"/>
      <c r="S954" s="1030"/>
      <c r="T954" s="1030"/>
      <c r="U954" s="1030"/>
      <c r="V954" s="1030"/>
      <c r="W954" s="1030"/>
      <c r="X954" s="1030"/>
      <c r="Y954" s="1030"/>
      <c r="Z954" s="1030"/>
      <c r="AA954" s="1030"/>
      <c r="AB954" s="1030"/>
    </row>
    <row r="955" spans="1:28">
      <c r="A955" s="1030"/>
      <c r="B955" s="1030"/>
      <c r="C955" s="1030"/>
      <c r="D955" s="1030"/>
      <c r="E955" s="1030"/>
      <c r="F955" s="1030"/>
      <c r="G955" s="1030"/>
      <c r="H955" s="1030"/>
      <c r="I955" s="1030"/>
      <c r="J955" s="1097"/>
      <c r="K955" s="1030"/>
      <c r="L955" s="1030"/>
      <c r="M955" s="1030"/>
      <c r="N955" s="1030"/>
      <c r="O955" s="1030"/>
      <c r="P955" s="1030"/>
      <c r="Q955" s="1030"/>
      <c r="R955" s="1030"/>
      <c r="S955" s="1030"/>
      <c r="T955" s="1030"/>
      <c r="U955" s="1030"/>
      <c r="V955" s="1030"/>
      <c r="W955" s="1030"/>
      <c r="X955" s="1030"/>
      <c r="Y955" s="1030"/>
      <c r="Z955" s="1030"/>
      <c r="AA955" s="1030"/>
      <c r="AB955" s="1030"/>
    </row>
    <row r="956" spans="1:28">
      <c r="A956" s="1030"/>
      <c r="B956" s="1030"/>
      <c r="C956" s="1030"/>
      <c r="D956" s="1030"/>
      <c r="E956" s="1030"/>
      <c r="F956" s="1030"/>
      <c r="G956" s="1030"/>
      <c r="H956" s="1030"/>
      <c r="I956" s="1030"/>
      <c r="J956" s="1097"/>
      <c r="K956" s="1030"/>
      <c r="L956" s="1030"/>
      <c r="M956" s="1030"/>
      <c r="N956" s="1030"/>
      <c r="O956" s="1030"/>
      <c r="P956" s="1030"/>
      <c r="Q956" s="1030"/>
      <c r="R956" s="1030"/>
      <c r="S956" s="1030"/>
      <c r="T956" s="1030"/>
      <c r="U956" s="1030"/>
      <c r="V956" s="1030"/>
      <c r="W956" s="1030"/>
      <c r="X956" s="1030"/>
      <c r="Y956" s="1030"/>
      <c r="Z956" s="1030"/>
      <c r="AA956" s="1030"/>
      <c r="AB956" s="1030"/>
    </row>
    <row r="957" spans="1:28">
      <c r="A957" s="1030"/>
      <c r="B957" s="1030"/>
      <c r="C957" s="1030"/>
      <c r="D957" s="1030"/>
      <c r="E957" s="1030"/>
      <c r="F957" s="1030"/>
      <c r="G957" s="1030"/>
      <c r="H957" s="1030"/>
      <c r="I957" s="1030"/>
      <c r="J957" s="1097"/>
      <c r="K957" s="1030"/>
      <c r="L957" s="1030"/>
      <c r="M957" s="1030"/>
      <c r="N957" s="1030"/>
      <c r="O957" s="1030"/>
      <c r="P957" s="1030"/>
      <c r="Q957" s="1030"/>
      <c r="R957" s="1030"/>
      <c r="S957" s="1030"/>
      <c r="T957" s="1030"/>
      <c r="U957" s="1030"/>
      <c r="V957" s="1030"/>
      <c r="W957" s="1030"/>
      <c r="X957" s="1030"/>
      <c r="Y957" s="1030"/>
      <c r="Z957" s="1030"/>
      <c r="AA957" s="1030"/>
      <c r="AB957" s="1030"/>
    </row>
    <row r="958" spans="1:28">
      <c r="A958" s="1030"/>
      <c r="B958" s="1030"/>
      <c r="C958" s="1030"/>
      <c r="D958" s="1030"/>
      <c r="E958" s="1030"/>
      <c r="F958" s="1030"/>
      <c r="G958" s="1030"/>
      <c r="H958" s="1030"/>
      <c r="I958" s="1030"/>
      <c r="J958" s="1097"/>
      <c r="K958" s="1030"/>
      <c r="L958" s="1030"/>
      <c r="M958" s="1030"/>
      <c r="N958" s="1030"/>
      <c r="O958" s="1030"/>
      <c r="P958" s="1030"/>
      <c r="Q958" s="1030"/>
      <c r="R958" s="1030"/>
      <c r="S958" s="1030"/>
      <c r="T958" s="1030"/>
      <c r="U958" s="1030"/>
      <c r="V958" s="1030"/>
      <c r="W958" s="1030"/>
      <c r="X958" s="1030"/>
      <c r="Y958" s="1030"/>
      <c r="Z958" s="1030"/>
      <c r="AA958" s="1030"/>
      <c r="AB958" s="1030"/>
    </row>
    <row r="959" spans="1:28">
      <c r="A959" s="1030"/>
      <c r="B959" s="1030"/>
      <c r="C959" s="1030"/>
      <c r="D959" s="1030"/>
      <c r="E959" s="1030"/>
      <c r="F959" s="1030"/>
      <c r="G959" s="1030"/>
      <c r="H959" s="1030"/>
      <c r="I959" s="1030"/>
      <c r="J959" s="1097"/>
      <c r="K959" s="1030"/>
      <c r="L959" s="1030"/>
      <c r="M959" s="1030"/>
      <c r="N959" s="1030"/>
      <c r="O959" s="1030"/>
      <c r="P959" s="1030"/>
      <c r="Q959" s="1030"/>
      <c r="R959" s="1030"/>
      <c r="S959" s="1030"/>
      <c r="T959" s="1030"/>
      <c r="U959" s="1030"/>
      <c r="V959" s="1030"/>
      <c r="W959" s="1030"/>
      <c r="X959" s="1030"/>
      <c r="Y959" s="1030"/>
      <c r="Z959" s="1030"/>
      <c r="AA959" s="1030"/>
      <c r="AB959" s="1030"/>
    </row>
    <row r="960" spans="1:28">
      <c r="A960" s="1030"/>
      <c r="B960" s="1030"/>
      <c r="C960" s="1030"/>
      <c r="D960" s="1030"/>
      <c r="E960" s="1030"/>
      <c r="F960" s="1030"/>
      <c r="G960" s="1030"/>
      <c r="H960" s="1030"/>
      <c r="I960" s="1030"/>
      <c r="J960" s="1097"/>
      <c r="K960" s="1030"/>
      <c r="L960" s="1030"/>
      <c r="M960" s="1030"/>
      <c r="N960" s="1030"/>
      <c r="O960" s="1030"/>
      <c r="P960" s="1030"/>
      <c r="Q960" s="1030"/>
      <c r="R960" s="1030"/>
      <c r="S960" s="1030"/>
      <c r="T960" s="1030"/>
      <c r="U960" s="1030"/>
      <c r="V960" s="1030"/>
      <c r="W960" s="1030"/>
      <c r="X960" s="1030"/>
      <c r="Y960" s="1030"/>
      <c r="Z960" s="1030"/>
      <c r="AA960" s="1030"/>
      <c r="AB960" s="1030"/>
    </row>
    <row r="961" spans="1:28">
      <c r="A961" s="1030"/>
      <c r="B961" s="1030"/>
      <c r="C961" s="1030"/>
      <c r="D961" s="1030"/>
      <c r="E961" s="1030"/>
      <c r="F961" s="1030"/>
      <c r="G961" s="1030"/>
      <c r="H961" s="1030"/>
      <c r="I961" s="1030"/>
      <c r="J961" s="1097"/>
      <c r="K961" s="1030"/>
      <c r="L961" s="1030"/>
      <c r="M961" s="1030"/>
      <c r="N961" s="1030"/>
      <c r="O961" s="1030"/>
      <c r="P961" s="1030"/>
      <c r="Q961" s="1030"/>
      <c r="R961" s="1030"/>
      <c r="S961" s="1030"/>
      <c r="T961" s="1030"/>
      <c r="U961" s="1030"/>
      <c r="V961" s="1030"/>
      <c r="W961" s="1030"/>
      <c r="X961" s="1030"/>
      <c r="Y961" s="1030"/>
      <c r="Z961" s="1030"/>
      <c r="AA961" s="1030"/>
      <c r="AB961" s="1030"/>
    </row>
    <row r="962" spans="1:28">
      <c r="A962" s="1030"/>
      <c r="B962" s="1030"/>
      <c r="C962" s="1030"/>
      <c r="D962" s="1030"/>
      <c r="E962" s="1030"/>
      <c r="F962" s="1030"/>
      <c r="G962" s="1030"/>
      <c r="H962" s="1030"/>
      <c r="I962" s="1030"/>
      <c r="J962" s="1097"/>
      <c r="K962" s="1030"/>
      <c r="L962" s="1030"/>
      <c r="M962" s="1030"/>
      <c r="N962" s="1030"/>
      <c r="O962" s="1030"/>
      <c r="P962" s="1030"/>
      <c r="Q962" s="1030"/>
      <c r="R962" s="1030"/>
      <c r="S962" s="1030"/>
      <c r="T962" s="1030"/>
      <c r="U962" s="1030"/>
      <c r="V962" s="1030"/>
      <c r="W962" s="1030"/>
      <c r="X962" s="1030"/>
      <c r="Y962" s="1030"/>
      <c r="Z962" s="1030"/>
      <c r="AA962" s="1030"/>
      <c r="AB962" s="1030"/>
    </row>
    <row r="963" spans="1:28">
      <c r="A963" s="1030"/>
      <c r="B963" s="1030"/>
      <c r="C963" s="1030"/>
      <c r="D963" s="1030"/>
      <c r="E963" s="1030"/>
      <c r="F963" s="1030"/>
      <c r="G963" s="1030"/>
      <c r="H963" s="1030"/>
      <c r="I963" s="1030"/>
      <c r="J963" s="1097"/>
      <c r="K963" s="1030"/>
      <c r="L963" s="1030"/>
      <c r="M963" s="1030"/>
      <c r="N963" s="1030"/>
      <c r="O963" s="1030"/>
      <c r="P963" s="1030"/>
      <c r="Q963" s="1030"/>
      <c r="R963" s="1030"/>
      <c r="S963" s="1030"/>
      <c r="T963" s="1030"/>
      <c r="U963" s="1030"/>
      <c r="V963" s="1030"/>
      <c r="W963" s="1030"/>
      <c r="X963" s="1030"/>
      <c r="Y963" s="1030"/>
      <c r="Z963" s="1030"/>
      <c r="AA963" s="1030"/>
      <c r="AB963" s="1030"/>
    </row>
    <row r="964" spans="1:28">
      <c r="A964" s="1030"/>
      <c r="B964" s="1030"/>
      <c r="C964" s="1030"/>
      <c r="D964" s="1030"/>
      <c r="E964" s="1030"/>
      <c r="F964" s="1030"/>
      <c r="G964" s="1030"/>
      <c r="H964" s="1030"/>
      <c r="I964" s="1030"/>
      <c r="J964" s="1097"/>
      <c r="K964" s="1030"/>
      <c r="L964" s="1030"/>
      <c r="M964" s="1030"/>
      <c r="N964" s="1030"/>
      <c r="O964" s="1030"/>
      <c r="P964" s="1030"/>
      <c r="Q964" s="1030"/>
      <c r="R964" s="1030"/>
      <c r="S964" s="1030"/>
      <c r="T964" s="1030"/>
      <c r="U964" s="1030"/>
      <c r="V964" s="1030"/>
      <c r="W964" s="1030"/>
      <c r="X964" s="1030"/>
      <c r="Y964" s="1030"/>
      <c r="Z964" s="1030"/>
      <c r="AA964" s="1030"/>
      <c r="AB964" s="1030"/>
    </row>
    <row r="965" spans="1:28">
      <c r="A965" s="1030"/>
      <c r="B965" s="1030"/>
      <c r="C965" s="1030"/>
      <c r="D965" s="1030"/>
      <c r="E965" s="1030"/>
      <c r="F965" s="1030"/>
      <c r="G965" s="1030"/>
      <c r="H965" s="1030"/>
      <c r="I965" s="1030"/>
      <c r="J965" s="1097"/>
      <c r="K965" s="1030"/>
      <c r="L965" s="1030"/>
      <c r="M965" s="1030"/>
      <c r="N965" s="1030"/>
      <c r="O965" s="1030"/>
      <c r="P965" s="1030"/>
      <c r="Q965" s="1030"/>
      <c r="R965" s="1030"/>
      <c r="S965" s="1030"/>
      <c r="T965" s="1030"/>
      <c r="U965" s="1030"/>
      <c r="V965" s="1030"/>
      <c r="W965" s="1030"/>
      <c r="X965" s="1030"/>
      <c r="Y965" s="1030"/>
      <c r="Z965" s="1030"/>
      <c r="AA965" s="1030"/>
      <c r="AB965" s="1030"/>
    </row>
    <row r="966" spans="1:28">
      <c r="A966" s="1030"/>
      <c r="B966" s="1030"/>
      <c r="C966" s="1030"/>
      <c r="D966" s="1030"/>
      <c r="E966" s="1030"/>
      <c r="F966" s="1030"/>
      <c r="G966" s="1030"/>
      <c r="H966" s="1030"/>
      <c r="I966" s="1030"/>
      <c r="J966" s="1097"/>
      <c r="K966" s="1030"/>
      <c r="L966" s="1030"/>
      <c r="M966" s="1030"/>
      <c r="N966" s="1030"/>
      <c r="O966" s="1030"/>
      <c r="P966" s="1030"/>
      <c r="Q966" s="1030"/>
      <c r="R966" s="1030"/>
      <c r="S966" s="1030"/>
      <c r="T966" s="1030"/>
      <c r="U966" s="1030"/>
      <c r="V966" s="1030"/>
      <c r="W966" s="1030"/>
      <c r="X966" s="1030"/>
      <c r="Y966" s="1030"/>
      <c r="Z966" s="1030"/>
      <c r="AA966" s="1030"/>
      <c r="AB966" s="1030"/>
    </row>
    <row r="967" spans="1:28">
      <c r="A967" s="1030"/>
      <c r="B967" s="1030"/>
      <c r="C967" s="1030"/>
      <c r="D967" s="1030"/>
      <c r="E967" s="1030"/>
      <c r="F967" s="1030"/>
      <c r="G967" s="1030"/>
      <c r="H967" s="1030"/>
      <c r="I967" s="1030"/>
      <c r="J967" s="1097"/>
      <c r="K967" s="1030"/>
      <c r="L967" s="1030"/>
      <c r="M967" s="1030"/>
      <c r="N967" s="1030"/>
      <c r="O967" s="1030"/>
      <c r="P967" s="1030"/>
      <c r="Q967" s="1030"/>
      <c r="R967" s="1030"/>
      <c r="S967" s="1030"/>
      <c r="T967" s="1030"/>
      <c r="U967" s="1030"/>
      <c r="V967" s="1030"/>
      <c r="W967" s="1030"/>
      <c r="X967" s="1030"/>
      <c r="Y967" s="1030"/>
      <c r="Z967" s="1030"/>
      <c r="AA967" s="1030"/>
      <c r="AB967" s="1030"/>
    </row>
    <row r="968" spans="1:28">
      <c r="A968" s="1030"/>
      <c r="B968" s="1030"/>
      <c r="C968" s="1030"/>
      <c r="D968" s="1030"/>
      <c r="E968" s="1030"/>
      <c r="F968" s="1030"/>
      <c r="G968" s="1030"/>
      <c r="H968" s="1030"/>
      <c r="I968" s="1030"/>
      <c r="J968" s="1097"/>
      <c r="K968" s="1030"/>
      <c r="L968" s="1030"/>
      <c r="M968" s="1030"/>
      <c r="N968" s="1030"/>
      <c r="O968" s="1030"/>
      <c r="P968" s="1030"/>
      <c r="Q968" s="1030"/>
      <c r="R968" s="1030"/>
      <c r="S968" s="1030"/>
      <c r="T968" s="1030"/>
      <c r="U968" s="1030"/>
      <c r="V968" s="1030"/>
      <c r="W968" s="1030"/>
      <c r="X968" s="1030"/>
      <c r="Y968" s="1030"/>
      <c r="Z968" s="1030"/>
      <c r="AA968" s="1030"/>
      <c r="AB968" s="1030"/>
    </row>
    <row r="969" spans="1:28">
      <c r="A969" s="1030"/>
      <c r="B969" s="1030"/>
      <c r="C969" s="1030"/>
      <c r="D969" s="1030"/>
      <c r="E969" s="1030"/>
      <c r="F969" s="1030"/>
      <c r="G969" s="1030"/>
      <c r="H969" s="1030"/>
      <c r="I969" s="1030"/>
      <c r="J969" s="1097"/>
      <c r="K969" s="1030"/>
      <c r="L969" s="1030"/>
      <c r="M969" s="1030"/>
      <c r="N969" s="1030"/>
      <c r="O969" s="1030"/>
      <c r="P969" s="1030"/>
      <c r="Q969" s="1030"/>
      <c r="R969" s="1030"/>
      <c r="S969" s="1030"/>
      <c r="T969" s="1030"/>
      <c r="U969" s="1030"/>
      <c r="V969" s="1030"/>
      <c r="W969" s="1030"/>
      <c r="X969" s="1030"/>
      <c r="Y969" s="1030"/>
      <c r="Z969" s="1030"/>
      <c r="AA969" s="1030"/>
      <c r="AB969" s="1030"/>
    </row>
    <row r="970" spans="1:28">
      <c r="A970" s="1030"/>
      <c r="B970" s="1030"/>
      <c r="C970" s="1030"/>
      <c r="D970" s="1030"/>
      <c r="E970" s="1030"/>
      <c r="F970" s="1030"/>
      <c r="G970" s="1030"/>
      <c r="H970" s="1030"/>
      <c r="I970" s="1030"/>
      <c r="J970" s="1097"/>
      <c r="K970" s="1030"/>
      <c r="L970" s="1030"/>
      <c r="M970" s="1030"/>
      <c r="N970" s="1030"/>
      <c r="O970" s="1030"/>
      <c r="P970" s="1030"/>
      <c r="Q970" s="1030"/>
      <c r="R970" s="1030"/>
      <c r="S970" s="1030"/>
      <c r="T970" s="1030"/>
      <c r="U970" s="1030"/>
      <c r="V970" s="1030"/>
      <c r="W970" s="1030"/>
      <c r="X970" s="1030"/>
      <c r="Y970" s="1030"/>
      <c r="Z970" s="1030"/>
      <c r="AA970" s="1030"/>
      <c r="AB970" s="1030"/>
    </row>
    <row r="971" spans="1:28">
      <c r="A971" s="1030"/>
      <c r="B971" s="1030"/>
      <c r="C971" s="1030"/>
      <c r="D971" s="1030"/>
      <c r="E971" s="1030"/>
      <c r="F971" s="1030"/>
      <c r="G971" s="1030"/>
      <c r="H971" s="1030"/>
      <c r="I971" s="1030"/>
      <c r="J971" s="1097"/>
      <c r="K971" s="1030"/>
      <c r="L971" s="1030"/>
      <c r="M971" s="1030"/>
      <c r="N971" s="1030"/>
      <c r="O971" s="1030"/>
      <c r="P971" s="1030"/>
      <c r="Q971" s="1030"/>
      <c r="R971" s="1030"/>
      <c r="S971" s="1030"/>
      <c r="T971" s="1030"/>
      <c r="U971" s="1030"/>
      <c r="V971" s="1030"/>
      <c r="W971" s="1030"/>
      <c r="X971" s="1030"/>
      <c r="Y971" s="1030"/>
      <c r="Z971" s="1030"/>
      <c r="AA971" s="1030"/>
      <c r="AB971" s="1030"/>
    </row>
    <row r="972" spans="1:28">
      <c r="A972" s="1030"/>
      <c r="B972" s="1030"/>
      <c r="C972" s="1030"/>
      <c r="D972" s="1030"/>
      <c r="E972" s="1030"/>
      <c r="F972" s="1030"/>
      <c r="G972" s="1030"/>
      <c r="H972" s="1030"/>
      <c r="I972" s="1030"/>
      <c r="J972" s="1097"/>
      <c r="K972" s="1030"/>
      <c r="L972" s="1030"/>
      <c r="M972" s="1030"/>
      <c r="N972" s="1030"/>
      <c r="O972" s="1030"/>
      <c r="P972" s="1030"/>
      <c r="Q972" s="1030"/>
      <c r="R972" s="1030"/>
      <c r="S972" s="1030"/>
      <c r="T972" s="1030"/>
      <c r="U972" s="1030"/>
      <c r="V972" s="1030"/>
      <c r="W972" s="1030"/>
      <c r="X972" s="1030"/>
      <c r="Y972" s="1030"/>
      <c r="Z972" s="1030"/>
      <c r="AA972" s="1030"/>
      <c r="AB972" s="1030"/>
    </row>
    <row r="973" spans="1:28">
      <c r="A973" s="1030"/>
      <c r="B973" s="1030"/>
      <c r="C973" s="1030"/>
      <c r="D973" s="1030"/>
      <c r="E973" s="1030"/>
      <c r="F973" s="1030"/>
      <c r="G973" s="1030"/>
      <c r="H973" s="1030"/>
      <c r="I973" s="1030"/>
      <c r="J973" s="1097"/>
      <c r="K973" s="1030"/>
      <c r="L973" s="1030"/>
      <c r="M973" s="1030"/>
      <c r="N973" s="1030"/>
      <c r="O973" s="1030"/>
      <c r="P973" s="1030"/>
      <c r="Q973" s="1030"/>
      <c r="R973" s="1030"/>
      <c r="S973" s="1030"/>
      <c r="T973" s="1030"/>
      <c r="U973" s="1030"/>
      <c r="V973" s="1030"/>
      <c r="W973" s="1030"/>
      <c r="X973" s="1030"/>
      <c r="Y973" s="1030"/>
      <c r="Z973" s="1030"/>
      <c r="AA973" s="1030"/>
      <c r="AB973" s="1030"/>
    </row>
    <row r="974" spans="1:28">
      <c r="A974" s="1030"/>
      <c r="B974" s="1030"/>
      <c r="C974" s="1030"/>
      <c r="D974" s="1030"/>
      <c r="E974" s="1030"/>
      <c r="F974" s="1030"/>
      <c r="G974" s="1030"/>
      <c r="H974" s="1030"/>
      <c r="I974" s="1030"/>
      <c r="J974" s="1097"/>
      <c r="K974" s="1030"/>
      <c r="L974" s="1030"/>
      <c r="M974" s="1030"/>
      <c r="N974" s="1030"/>
      <c r="O974" s="1030"/>
      <c r="P974" s="1030"/>
      <c r="Q974" s="1030"/>
      <c r="R974" s="1030"/>
      <c r="S974" s="1030"/>
      <c r="T974" s="1030"/>
      <c r="U974" s="1030"/>
      <c r="V974" s="1030"/>
      <c r="W974" s="1030"/>
      <c r="X974" s="1030"/>
      <c r="Y974" s="1030"/>
      <c r="Z974" s="1030"/>
      <c r="AA974" s="1030"/>
      <c r="AB974" s="1030"/>
    </row>
    <row r="975" spans="1:28">
      <c r="A975" s="1030"/>
      <c r="B975" s="1030"/>
      <c r="C975" s="1030"/>
      <c r="D975" s="1030"/>
      <c r="E975" s="1030"/>
      <c r="F975" s="1030"/>
      <c r="G975" s="1030"/>
      <c r="H975" s="1030"/>
      <c r="I975" s="1030"/>
      <c r="J975" s="1097"/>
      <c r="K975" s="1030"/>
      <c r="L975" s="1030"/>
      <c r="M975" s="1030"/>
      <c r="N975" s="1030"/>
      <c r="O975" s="1030"/>
      <c r="P975" s="1030"/>
      <c r="Q975" s="1030"/>
      <c r="R975" s="1030"/>
      <c r="S975" s="1030"/>
      <c r="T975" s="1030"/>
      <c r="U975" s="1030"/>
      <c r="V975" s="1030"/>
      <c r="W975" s="1030"/>
      <c r="X975" s="1030"/>
      <c r="Y975" s="1030"/>
      <c r="Z975" s="1030"/>
      <c r="AA975" s="1030"/>
      <c r="AB975" s="1030"/>
    </row>
    <row r="976" spans="1:28">
      <c r="A976" s="1030"/>
      <c r="B976" s="1030"/>
      <c r="C976" s="1030"/>
      <c r="D976" s="1030"/>
      <c r="E976" s="1030"/>
      <c r="F976" s="1030"/>
      <c r="G976" s="1030"/>
      <c r="H976" s="1030"/>
      <c r="I976" s="1030"/>
      <c r="J976" s="1097"/>
      <c r="K976" s="1030"/>
      <c r="L976" s="1030"/>
      <c r="M976" s="1030"/>
      <c r="N976" s="1030"/>
      <c r="O976" s="1030"/>
      <c r="P976" s="1030"/>
      <c r="Q976" s="1030"/>
      <c r="R976" s="1030"/>
      <c r="S976" s="1030"/>
      <c r="T976" s="1030"/>
      <c r="U976" s="1030"/>
      <c r="V976" s="1030"/>
      <c r="W976" s="1030"/>
      <c r="X976" s="1030"/>
      <c r="Y976" s="1030"/>
      <c r="Z976" s="1030"/>
      <c r="AA976" s="1030"/>
      <c r="AB976" s="1030"/>
    </row>
    <row r="977" spans="1:28">
      <c r="A977" s="1030"/>
      <c r="B977" s="1030"/>
      <c r="C977" s="1030"/>
      <c r="D977" s="1030"/>
      <c r="E977" s="1030"/>
      <c r="F977" s="1030"/>
      <c r="G977" s="1030"/>
      <c r="H977" s="1030"/>
      <c r="I977" s="1030"/>
      <c r="J977" s="1097"/>
      <c r="K977" s="1030"/>
      <c r="L977" s="1030"/>
      <c r="M977" s="1030"/>
      <c r="N977" s="1030"/>
      <c r="O977" s="1030"/>
      <c r="P977" s="1030"/>
      <c r="Q977" s="1030"/>
      <c r="R977" s="1030"/>
      <c r="S977" s="1030"/>
      <c r="T977" s="1030"/>
      <c r="U977" s="1030"/>
      <c r="V977" s="1030"/>
      <c r="W977" s="1030"/>
      <c r="X977" s="1030"/>
      <c r="Y977" s="1030"/>
      <c r="Z977" s="1030"/>
      <c r="AA977" s="1030"/>
      <c r="AB977" s="1030"/>
    </row>
    <row r="978" spans="1:28">
      <c r="A978" s="1030"/>
      <c r="B978" s="1030"/>
      <c r="C978" s="1030"/>
      <c r="D978" s="1030"/>
      <c r="E978" s="1030"/>
      <c r="F978" s="1030"/>
      <c r="G978" s="1030"/>
      <c r="H978" s="1030"/>
      <c r="I978" s="1030"/>
      <c r="J978" s="1097"/>
      <c r="K978" s="1030"/>
      <c r="L978" s="1030"/>
      <c r="M978" s="1030"/>
      <c r="N978" s="1030"/>
      <c r="O978" s="1030"/>
      <c r="P978" s="1030"/>
      <c r="Q978" s="1030"/>
      <c r="R978" s="1030"/>
      <c r="S978" s="1030"/>
      <c r="T978" s="1030"/>
      <c r="U978" s="1030"/>
      <c r="V978" s="1030"/>
      <c r="W978" s="1030"/>
      <c r="X978" s="1030"/>
      <c r="Y978" s="1030"/>
      <c r="Z978" s="1030"/>
      <c r="AA978" s="1030"/>
      <c r="AB978" s="1030"/>
    </row>
    <row r="979" spans="1:28">
      <c r="A979" s="1030"/>
      <c r="B979" s="1030"/>
      <c r="C979" s="1030"/>
      <c r="D979" s="1030"/>
      <c r="E979" s="1030"/>
      <c r="F979" s="1030"/>
      <c r="G979" s="1030"/>
      <c r="H979" s="1030"/>
      <c r="I979" s="1030"/>
      <c r="J979" s="1097"/>
      <c r="K979" s="1030"/>
      <c r="L979" s="1030"/>
      <c r="M979" s="1030"/>
      <c r="N979" s="1030"/>
      <c r="O979" s="1030"/>
      <c r="P979" s="1030"/>
      <c r="Q979" s="1030"/>
      <c r="R979" s="1030"/>
      <c r="S979" s="1030"/>
      <c r="T979" s="1030"/>
      <c r="U979" s="1030"/>
      <c r="V979" s="1030"/>
      <c r="W979" s="1030"/>
      <c r="X979" s="1030"/>
      <c r="Y979" s="1030"/>
      <c r="Z979" s="1030"/>
      <c r="AA979" s="1030"/>
      <c r="AB979" s="1030"/>
    </row>
    <row r="980" spans="1:28">
      <c r="A980" s="1030"/>
      <c r="B980" s="1030"/>
      <c r="C980" s="1030"/>
      <c r="D980" s="1030"/>
      <c r="E980" s="1030"/>
      <c r="F980" s="1030"/>
      <c r="G980" s="1030"/>
      <c r="H980" s="1030"/>
      <c r="I980" s="1030"/>
      <c r="J980" s="1097"/>
      <c r="K980" s="1030"/>
      <c r="L980" s="1030"/>
      <c r="M980" s="1030"/>
      <c r="N980" s="1030"/>
      <c r="O980" s="1030"/>
      <c r="P980" s="1030"/>
      <c r="Q980" s="1030"/>
      <c r="R980" s="1030"/>
      <c r="S980" s="1030"/>
      <c r="T980" s="1030"/>
      <c r="U980" s="1030"/>
      <c r="V980" s="1030"/>
      <c r="W980" s="1030"/>
      <c r="X980" s="1030"/>
      <c r="Y980" s="1030"/>
      <c r="Z980" s="1030"/>
      <c r="AA980" s="1030"/>
      <c r="AB980" s="1030"/>
    </row>
    <row r="981" spans="1:28">
      <c r="A981" s="1030"/>
      <c r="B981" s="1030"/>
      <c r="C981" s="1030"/>
      <c r="D981" s="1030"/>
      <c r="E981" s="1030"/>
      <c r="F981" s="1030"/>
      <c r="G981" s="1030"/>
      <c r="H981" s="1030"/>
      <c r="I981" s="1030"/>
      <c r="J981" s="1097"/>
      <c r="K981" s="1030"/>
      <c r="L981" s="1030"/>
      <c r="M981" s="1030"/>
      <c r="N981" s="1030"/>
      <c r="O981" s="1030"/>
      <c r="P981" s="1030"/>
      <c r="Q981" s="1030"/>
      <c r="R981" s="1030"/>
      <c r="S981" s="1030"/>
      <c r="T981" s="1030"/>
      <c r="U981" s="1030"/>
      <c r="V981" s="1030"/>
      <c r="W981" s="1030"/>
      <c r="X981" s="1030"/>
      <c r="Y981" s="1030"/>
      <c r="Z981" s="1030"/>
      <c r="AA981" s="1030"/>
      <c r="AB981" s="1030"/>
    </row>
    <row r="982" spans="1:28">
      <c r="A982" s="1030"/>
      <c r="B982" s="1030"/>
      <c r="C982" s="1030"/>
      <c r="D982" s="1030"/>
      <c r="E982" s="1030"/>
      <c r="F982" s="1030"/>
      <c r="G982" s="1030"/>
      <c r="H982" s="1030"/>
      <c r="I982" s="1030"/>
      <c r="J982" s="1097"/>
      <c r="K982" s="1030"/>
      <c r="L982" s="1030"/>
      <c r="M982" s="1030"/>
      <c r="N982" s="1030"/>
      <c r="O982" s="1030"/>
      <c r="P982" s="1030"/>
      <c r="Q982" s="1030"/>
      <c r="R982" s="1030"/>
      <c r="S982" s="1030"/>
      <c r="T982" s="1030"/>
      <c r="U982" s="1030"/>
      <c r="V982" s="1030"/>
      <c r="W982" s="1030"/>
      <c r="X982" s="1030"/>
      <c r="Y982" s="1030"/>
      <c r="Z982" s="1030"/>
      <c r="AA982" s="1030"/>
      <c r="AB982" s="1030"/>
    </row>
    <row r="983" spans="1:28">
      <c r="A983" s="1030"/>
      <c r="B983" s="1030"/>
      <c r="C983" s="1030"/>
      <c r="D983" s="1030"/>
      <c r="E983" s="1030"/>
      <c r="F983" s="1030"/>
      <c r="G983" s="1030"/>
      <c r="H983" s="1030"/>
      <c r="I983" s="1030"/>
      <c r="J983" s="1097"/>
      <c r="K983" s="1030"/>
      <c r="L983" s="1030"/>
      <c r="M983" s="1030"/>
      <c r="N983" s="1030"/>
      <c r="O983" s="1030"/>
      <c r="P983" s="1030"/>
      <c r="Q983" s="1030"/>
      <c r="R983" s="1030"/>
      <c r="S983" s="1030"/>
      <c r="T983" s="1030"/>
      <c r="U983" s="1030"/>
      <c r="V983" s="1030"/>
      <c r="W983" s="1030"/>
      <c r="X983" s="1030"/>
      <c r="Y983" s="1030"/>
      <c r="Z983" s="1030"/>
      <c r="AA983" s="1030"/>
      <c r="AB983" s="1030"/>
    </row>
    <row r="984" spans="1:28">
      <c r="A984" s="1030"/>
      <c r="B984" s="1030"/>
      <c r="C984" s="1030"/>
      <c r="D984" s="1030"/>
      <c r="E984" s="1030"/>
      <c r="F984" s="1030"/>
      <c r="G984" s="1030"/>
      <c r="H984" s="1030"/>
      <c r="I984" s="1030"/>
      <c r="J984" s="1097"/>
      <c r="K984" s="1030"/>
      <c r="L984" s="1030"/>
      <c r="M984" s="1030"/>
      <c r="N984" s="1030"/>
      <c r="O984" s="1030"/>
      <c r="P984" s="1030"/>
      <c r="Q984" s="1030"/>
      <c r="R984" s="1030"/>
      <c r="S984" s="1030"/>
      <c r="T984" s="1030"/>
      <c r="U984" s="1030"/>
      <c r="V984" s="1030"/>
      <c r="W984" s="1030"/>
      <c r="X984" s="1030"/>
      <c r="Y984" s="1030"/>
      <c r="Z984" s="1030"/>
      <c r="AA984" s="1030"/>
      <c r="AB984" s="1030"/>
    </row>
  </sheetData>
  <mergeCells count="22">
    <mergeCell ref="N55:N57"/>
    <mergeCell ref="N58:N60"/>
    <mergeCell ref="N61:N63"/>
    <mergeCell ref="N64:N66"/>
    <mergeCell ref="N70:N72"/>
    <mergeCell ref="N19:N21"/>
    <mergeCell ref="N22:N24"/>
    <mergeCell ref="N46:N48"/>
    <mergeCell ref="N49:N51"/>
    <mergeCell ref="N52:N54"/>
    <mergeCell ref="N25:N27"/>
    <mergeCell ref="N28:N30"/>
    <mergeCell ref="N31:N33"/>
    <mergeCell ref="N34:N36"/>
    <mergeCell ref="N37:N39"/>
    <mergeCell ref="N40:N42"/>
    <mergeCell ref="N43:N45"/>
    <mergeCell ref="N4:N6"/>
    <mergeCell ref="N7:N9"/>
    <mergeCell ref="N10:N12"/>
    <mergeCell ref="N13:N15"/>
    <mergeCell ref="N16:N18"/>
  </mergeCells>
  <phoneticPr fontId="135"/>
  <conditionalFormatting sqref="A1">
    <cfRule type="expression" dxfId="14" priority="1">
      <formula>$T1="退職"</formula>
    </cfRule>
  </conditionalFormatting>
  <printOptions horizontalCentered="1" gridLines="1"/>
  <pageMargins left="0.25" right="0.25" top="0.75" bottom="0.75" header="0" footer="0"/>
  <pageSetup paperSize="9" pageOrder="overThenDown" orientation="portrait"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AC778"/>
  <sheetViews>
    <sheetView workbookViewId="0">
      <selection activeCell="G27" sqref="G27"/>
    </sheetView>
  </sheetViews>
  <sheetFormatPr defaultColWidth="12.6328125" defaultRowHeight="15" customHeight="1"/>
  <cols>
    <col min="1" max="1" width="6.453125" customWidth="1"/>
    <col min="2" max="2" width="4" customWidth="1"/>
    <col min="3" max="3" width="6.453125" customWidth="1"/>
    <col min="4" max="4" width="13.453125" customWidth="1"/>
    <col min="5" max="5" width="33.6328125" customWidth="1"/>
    <col min="6" max="6" width="4.6328125" customWidth="1"/>
    <col min="7" max="7" width="9.90625" customWidth="1"/>
    <col min="8" max="8" width="4.6328125" customWidth="1"/>
    <col min="9" max="9" width="12" customWidth="1"/>
    <col min="10" max="10" width="9.90625" customWidth="1"/>
    <col min="11" max="11" width="12" customWidth="1"/>
    <col min="12" max="12" width="8.36328125" customWidth="1"/>
    <col min="13" max="13" width="8.36328125" hidden="1" customWidth="1"/>
    <col min="14" max="14" width="15.36328125" customWidth="1"/>
    <col min="15" max="15" width="18" customWidth="1"/>
    <col min="16" max="16" width="9.90625" customWidth="1"/>
    <col min="17" max="18" width="8.36328125" customWidth="1"/>
    <col min="19" max="19" width="12" customWidth="1"/>
    <col min="20" max="29" width="11.6328125" customWidth="1"/>
  </cols>
  <sheetData>
    <row r="1" spans="1:29">
      <c r="A1" s="907"/>
      <c r="B1" s="906"/>
      <c r="C1" s="907"/>
      <c r="D1" s="35" t="s">
        <v>1686</v>
      </c>
      <c r="E1" s="907"/>
      <c r="F1" s="907"/>
      <c r="G1" s="907"/>
      <c r="H1" s="907"/>
      <c r="I1" s="907"/>
      <c r="J1" s="907"/>
      <c r="K1" s="907">
        <f>COUNTA(C4:C22)</f>
        <v>0</v>
      </c>
      <c r="L1" s="907" t="s">
        <v>4414</v>
      </c>
      <c r="M1" s="907"/>
      <c r="N1" s="907" t="s">
        <v>4415</v>
      </c>
      <c r="O1" s="907"/>
      <c r="W1" s="907"/>
      <c r="X1" s="907"/>
      <c r="Y1" s="907"/>
      <c r="Z1" s="907"/>
      <c r="AA1" s="907"/>
      <c r="AB1" s="907"/>
      <c r="AC1" s="907"/>
    </row>
    <row r="2" spans="1:29">
      <c r="A2" s="907"/>
      <c r="B2" s="906"/>
      <c r="C2" s="907"/>
      <c r="D2" s="907" t="s">
        <v>4416</v>
      </c>
      <c r="E2" s="907"/>
      <c r="F2" s="907"/>
      <c r="G2" s="907"/>
      <c r="H2" s="907"/>
      <c r="I2" s="907"/>
      <c r="J2" s="907"/>
      <c r="K2" s="907"/>
      <c r="L2" s="907"/>
      <c r="M2" s="907"/>
      <c r="N2" s="907"/>
      <c r="O2" s="907"/>
      <c r="W2" s="1249"/>
      <c r="X2" s="1250"/>
      <c r="Y2" s="1249"/>
      <c r="Z2" s="1250"/>
      <c r="AA2" s="907"/>
      <c r="AB2" s="907"/>
      <c r="AC2" s="907"/>
    </row>
    <row r="3" spans="1:29">
      <c r="A3" s="1251" t="s">
        <v>4261</v>
      </c>
      <c r="B3" s="1252" t="str">
        <f ca="1">IFERROR(__xludf.DUMMYFUNCTION("QUERY('管理表'!A:AP,""select B,C,D,G,J,K,L,N,O,Q,T where ((C = '津吉' and R = '""&amp;$D$1&amp;$N4&amp;""'and S = '""&amp;$A4&amp;""')) and not(AH = '退職')"",1)"),"No")</f>
        <v>No</v>
      </c>
      <c r="C3" s="1252" t="str">
        <f ca="1">IFERROR(__xludf.DUMMYFUNCTION("""COMPUTED_VALUE"""),"勤務地")</f>
        <v>勤務地</v>
      </c>
      <c r="D3" s="1252" t="str">
        <f ca="1">IFERROR(__xludf.DUMMYFUNCTION("""COMPUTED_VALUE"""),"国籍")</f>
        <v>国籍</v>
      </c>
      <c r="E3" s="1252" t="str">
        <f ca="1">IFERROR(__xludf.DUMMYFUNCTION("""COMPUTED_VALUE"""),"フリガナ")</f>
        <v>フリガナ</v>
      </c>
      <c r="F3" s="1252" t="str">
        <f ca="1">IFERROR(__xludf.DUMMYFUNCTION("""COMPUTED_VALUE"""),"性別")</f>
        <v>性別</v>
      </c>
      <c r="G3" s="1252" t="str">
        <f ca="1">IFERROR(__xludf.DUMMYFUNCTION("""COMPUTED_VALUE"""),"生年月日")</f>
        <v>生年月日</v>
      </c>
      <c r="H3" s="1252" t="str">
        <f ca="1">IFERROR(__xludf.DUMMYFUNCTION("""COMPUTED_VALUE"""),"年齢")</f>
        <v>年齢</v>
      </c>
      <c r="I3" s="1252" t="str">
        <f ca="1">IFERROR(__xludf.DUMMYFUNCTION("""COMPUTED_VALUE"""),"登録支援機関")</f>
        <v>登録支援機関</v>
      </c>
      <c r="J3" s="1252" t="str">
        <f ca="1">IFERROR(__xludf.DUMMYFUNCTION("""COMPUTED_VALUE"""),"入社日")</f>
        <v>入社日</v>
      </c>
      <c r="K3" s="1252" t="str">
        <f ca="1">IFERROR(__xludf.DUMMYFUNCTION("""COMPUTED_VALUE"""),"実習区分")</f>
        <v>実習区分</v>
      </c>
      <c r="L3" s="1253" t="str">
        <f ca="1">IFERROR(__xludf.DUMMYFUNCTION("""COMPUTED_VALUE"""),"家賃負担")</f>
        <v>家賃負担</v>
      </c>
      <c r="M3" s="1252"/>
      <c r="N3" s="1254" t="s">
        <v>4262</v>
      </c>
      <c r="O3" s="907"/>
      <c r="P3" s="1037" t="s">
        <v>4263</v>
      </c>
      <c r="Q3" s="1037"/>
      <c r="R3" s="1255"/>
      <c r="W3" s="1256"/>
      <c r="X3" s="1257"/>
      <c r="Y3" s="1256"/>
      <c r="Z3" s="1257"/>
      <c r="AA3" s="907"/>
      <c r="AB3" s="907"/>
      <c r="AC3" s="907"/>
    </row>
    <row r="4" spans="1:29">
      <c r="A4" s="1673" t="s">
        <v>4417</v>
      </c>
      <c r="B4" s="1258" t="str">
        <f ca="1">IFERROR(__xludf.DUMMYFUNCTION("QUERY('管理表'!A:AP,""select B,C,D,G,J,K,L,N,O,Q,T where ((C = '津吉' and R = '""&amp;$D$1&amp;""' and S = '""&amp;$N$4&amp;""')) and not(AH = '退職')"",0)"),"#N/A")</f>
        <v>#N/A</v>
      </c>
      <c r="C4" s="1258"/>
      <c r="D4" s="1258"/>
      <c r="E4" s="1258"/>
      <c r="F4" s="1258"/>
      <c r="G4" s="1258"/>
      <c r="H4" s="1258"/>
      <c r="I4" s="1258"/>
      <c r="J4" s="1258"/>
      <c r="K4" s="1258"/>
      <c r="L4" s="1259"/>
      <c r="M4" s="1260"/>
      <c r="N4" s="1675" t="s">
        <v>1687</v>
      </c>
      <c r="O4" s="918"/>
      <c r="P4" s="1261">
        <v>100000</v>
      </c>
      <c r="Q4" s="1261"/>
      <c r="R4" s="1262"/>
      <c r="W4" s="1263"/>
      <c r="X4" s="1257"/>
      <c r="Y4" s="1264"/>
      <c r="Z4" s="1257"/>
      <c r="AA4" s="907"/>
      <c r="AB4" s="907"/>
      <c r="AC4" s="907"/>
    </row>
    <row r="5" spans="1:29">
      <c r="A5" s="1674"/>
      <c r="B5" s="1264"/>
      <c r="C5" s="1264"/>
      <c r="D5" s="1264"/>
      <c r="E5" s="1265"/>
      <c r="F5" s="1264"/>
      <c r="G5" s="1264"/>
      <c r="H5" s="1264"/>
      <c r="I5" s="1264"/>
      <c r="J5" s="1264"/>
      <c r="K5" s="1264"/>
      <c r="L5" s="1266"/>
      <c r="M5" s="1267"/>
      <c r="N5" s="1667"/>
      <c r="O5" s="918"/>
      <c r="W5" s="1263"/>
      <c r="X5" s="1257"/>
      <c r="Y5" s="923"/>
      <c r="Z5" s="1257"/>
      <c r="AA5" s="907"/>
      <c r="AB5" s="907"/>
      <c r="AC5" s="907"/>
    </row>
    <row r="6" spans="1:29">
      <c r="A6" s="1268" t="s">
        <v>4418</v>
      </c>
      <c r="B6" s="923"/>
      <c r="C6" s="923"/>
      <c r="D6" s="923"/>
      <c r="E6" s="923"/>
      <c r="F6" s="923"/>
      <c r="G6" s="923"/>
      <c r="H6" s="923"/>
      <c r="I6" s="923"/>
      <c r="J6" s="923"/>
      <c r="K6" s="923"/>
      <c r="L6" s="1269"/>
      <c r="M6" s="1267"/>
      <c r="N6" s="1270"/>
      <c r="O6" s="918" t="s">
        <v>4419</v>
      </c>
      <c r="W6" s="1256"/>
      <c r="X6" s="1257"/>
      <c r="Y6" s="1256"/>
      <c r="Z6" s="1257"/>
      <c r="AA6" s="907"/>
      <c r="AB6" s="907"/>
      <c r="AC6" s="907"/>
    </row>
    <row r="7" spans="1:29">
      <c r="A7" s="1676" t="s">
        <v>4417</v>
      </c>
      <c r="B7" s="923"/>
      <c r="C7" s="923"/>
      <c r="D7" s="923"/>
      <c r="E7" s="923"/>
      <c r="F7" s="923"/>
      <c r="G7" s="923"/>
      <c r="H7" s="923"/>
      <c r="I7" s="923"/>
      <c r="J7" s="923"/>
      <c r="K7" s="923"/>
      <c r="L7" s="1269"/>
      <c r="M7" s="1267"/>
      <c r="N7" s="1665"/>
      <c r="O7" s="594"/>
      <c r="W7" s="1256"/>
      <c r="X7" s="1257"/>
      <c r="Y7" s="1256"/>
      <c r="Z7" s="1257"/>
      <c r="AA7" s="907"/>
      <c r="AB7" s="907"/>
      <c r="AC7" s="907"/>
    </row>
    <row r="8" spans="1:29">
      <c r="A8" s="1674"/>
      <c r="B8" s="923"/>
      <c r="C8" s="923"/>
      <c r="D8" s="923"/>
      <c r="E8" s="1207"/>
      <c r="F8" s="923"/>
      <c r="G8" s="923"/>
      <c r="H8" s="923"/>
      <c r="I8" s="923"/>
      <c r="J8" s="923"/>
      <c r="K8" s="923"/>
      <c r="L8" s="1269"/>
      <c r="M8" s="1267"/>
      <c r="N8" s="1667"/>
      <c r="O8" s="918"/>
      <c r="W8" s="1271"/>
      <c r="X8" s="1257"/>
      <c r="Y8" s="1272"/>
      <c r="Z8" s="1257"/>
      <c r="AA8" s="907"/>
      <c r="AB8" s="907"/>
      <c r="AC8" s="907"/>
    </row>
    <row r="9" spans="1:29">
      <c r="A9" s="1676" t="s">
        <v>4417</v>
      </c>
      <c r="B9" s="923"/>
      <c r="C9" s="923"/>
      <c r="D9" s="923"/>
      <c r="E9" s="923"/>
      <c r="F9" s="923"/>
      <c r="G9" s="923"/>
      <c r="H9" s="923"/>
      <c r="I9" s="923"/>
      <c r="J9" s="923"/>
      <c r="K9" s="923"/>
      <c r="L9" s="1269"/>
      <c r="M9" s="1267"/>
      <c r="N9" s="1665"/>
      <c r="O9" s="918"/>
      <c r="S9" s="1249"/>
      <c r="T9" s="1273"/>
      <c r="U9" s="1273"/>
      <c r="V9" s="1274"/>
      <c r="X9" s="1275"/>
      <c r="Y9" s="1272"/>
      <c r="Z9" s="1275"/>
      <c r="AA9" s="907"/>
      <c r="AB9" s="907"/>
      <c r="AC9" s="907"/>
    </row>
    <row r="10" spans="1:29">
      <c r="A10" s="1674"/>
      <c r="B10" s="1128"/>
      <c r="C10" s="923"/>
      <c r="D10" s="923"/>
      <c r="E10" s="923"/>
      <c r="F10" s="923"/>
      <c r="G10" s="923"/>
      <c r="H10" s="923"/>
      <c r="I10" s="923"/>
      <c r="J10" s="923"/>
      <c r="K10" s="923"/>
      <c r="L10" s="1276"/>
      <c r="M10" s="1277"/>
      <c r="N10" s="1667"/>
      <c r="O10" s="907"/>
      <c r="S10" s="1256"/>
      <c r="T10" s="907"/>
      <c r="U10" s="907"/>
      <c r="V10" s="1278"/>
      <c r="X10" s="1275"/>
      <c r="Y10" s="1272"/>
      <c r="Z10" s="1275"/>
      <c r="AA10" s="907"/>
      <c r="AB10" s="907"/>
      <c r="AC10" s="907"/>
    </row>
    <row r="11" spans="1:29">
      <c r="A11" s="1676"/>
      <c r="B11" s="923"/>
      <c r="C11" s="923"/>
      <c r="D11" s="923"/>
      <c r="E11" s="923"/>
      <c r="F11" s="923"/>
      <c r="G11" s="923"/>
      <c r="H11" s="923"/>
      <c r="I11" s="923"/>
      <c r="J11" s="923"/>
      <c r="K11" s="923"/>
      <c r="L11" s="1276"/>
      <c r="M11" s="1277"/>
      <c r="N11" s="1665"/>
      <c r="O11" s="907"/>
      <c r="S11" s="1256"/>
      <c r="T11" s="907"/>
      <c r="U11" s="907"/>
      <c r="V11" s="1278"/>
      <c r="X11" s="1275"/>
      <c r="Y11" s="1272"/>
      <c r="Z11" s="1275"/>
      <c r="AA11" s="907"/>
      <c r="AB11" s="907"/>
      <c r="AC11" s="907"/>
    </row>
    <row r="12" spans="1:29">
      <c r="A12" s="1677"/>
      <c r="B12" s="923"/>
      <c r="C12" s="923"/>
      <c r="D12" s="923"/>
      <c r="E12" s="923"/>
      <c r="F12" s="923"/>
      <c r="G12" s="923"/>
      <c r="H12" s="923"/>
      <c r="I12" s="923"/>
      <c r="J12" s="923"/>
      <c r="K12" s="923"/>
      <c r="L12" s="1276"/>
      <c r="M12" s="1277"/>
      <c r="N12" s="1666"/>
      <c r="O12" s="907"/>
      <c r="S12" s="1256"/>
      <c r="T12" s="907"/>
      <c r="V12" s="1278"/>
      <c r="W12" s="1668">
        <v>6</v>
      </c>
      <c r="X12" s="1666"/>
      <c r="Y12" s="1671">
        <v>6</v>
      </c>
      <c r="Z12" s="1666"/>
      <c r="AA12" s="907"/>
      <c r="AB12" s="907"/>
      <c r="AC12" s="907"/>
    </row>
    <row r="13" spans="1:29">
      <c r="A13" s="1677"/>
      <c r="B13" s="923"/>
      <c r="C13" s="923"/>
      <c r="D13" s="923"/>
      <c r="E13" s="923"/>
      <c r="F13" s="923"/>
      <c r="G13" s="923"/>
      <c r="H13" s="923"/>
      <c r="I13" s="923"/>
      <c r="J13" s="923"/>
      <c r="K13" s="923"/>
      <c r="L13" s="1276"/>
      <c r="M13" s="1277"/>
      <c r="N13" s="1666"/>
      <c r="O13" s="918"/>
      <c r="S13" s="1256"/>
      <c r="T13" s="1271"/>
      <c r="V13" s="1278"/>
      <c r="W13" s="1669"/>
      <c r="X13" s="1670"/>
      <c r="Y13" s="1672"/>
      <c r="Z13" s="1670"/>
      <c r="AA13" s="907"/>
      <c r="AB13" s="907"/>
      <c r="AC13" s="907"/>
    </row>
    <row r="14" spans="1:29">
      <c r="A14" s="1677"/>
      <c r="B14" s="923"/>
      <c r="C14" s="923"/>
      <c r="D14" s="923"/>
      <c r="E14" s="1207"/>
      <c r="F14" s="923"/>
      <c r="G14" s="923"/>
      <c r="H14" s="923"/>
      <c r="I14" s="923"/>
      <c r="J14" s="923"/>
      <c r="K14" s="923"/>
      <c r="L14" s="1276"/>
      <c r="M14" s="1277"/>
      <c r="N14" s="1666"/>
      <c r="O14" s="907"/>
      <c r="S14" s="1256"/>
      <c r="T14" s="907"/>
      <c r="V14" s="1278"/>
      <c r="W14" s="1273"/>
      <c r="X14" s="1279"/>
      <c r="Y14" s="1279"/>
      <c r="Z14" s="1250"/>
      <c r="AA14" s="907"/>
      <c r="AB14" s="907"/>
      <c r="AC14" s="907"/>
    </row>
    <row r="15" spans="1:29">
      <c r="A15" s="1674"/>
      <c r="B15" s="923"/>
      <c r="C15" s="923"/>
      <c r="D15" s="923"/>
      <c r="E15" s="1207"/>
      <c r="F15" s="923"/>
      <c r="G15" s="923"/>
      <c r="H15" s="923"/>
      <c r="I15" s="923"/>
      <c r="J15" s="923"/>
      <c r="K15" s="923"/>
      <c r="L15" s="1276"/>
      <c r="M15" s="1277"/>
      <c r="N15" s="1667"/>
      <c r="O15" s="907"/>
      <c r="S15" s="1256"/>
      <c r="T15" s="1668">
        <v>6</v>
      </c>
      <c r="V15" s="1278"/>
      <c r="W15" s="907"/>
      <c r="Z15" s="1257"/>
      <c r="AC15" s="907"/>
    </row>
    <row r="16" spans="1:29">
      <c r="A16" s="1676"/>
      <c r="B16" s="923"/>
      <c r="C16" s="923"/>
      <c r="D16" s="923"/>
      <c r="E16" s="923"/>
      <c r="F16" s="923"/>
      <c r="G16" s="923"/>
      <c r="H16" s="923"/>
      <c r="I16" s="923"/>
      <c r="J16" s="923"/>
      <c r="K16" s="923"/>
      <c r="L16" s="1276"/>
      <c r="M16" s="1277"/>
      <c r="N16" s="1665"/>
      <c r="O16" s="907"/>
      <c r="S16" s="1280"/>
      <c r="T16" s="1669"/>
      <c r="U16" s="1281"/>
      <c r="V16" s="1278"/>
      <c r="Z16" s="1257"/>
      <c r="AA16" s="907"/>
      <c r="AB16" s="907"/>
      <c r="AC16" s="907"/>
    </row>
    <row r="17" spans="1:29">
      <c r="A17" s="1677"/>
      <c r="B17" s="923"/>
      <c r="C17" s="923"/>
      <c r="D17" s="923"/>
      <c r="E17" s="923"/>
      <c r="F17" s="923"/>
      <c r="G17" s="923"/>
      <c r="H17" s="923"/>
      <c r="I17" s="923"/>
      <c r="J17" s="923"/>
      <c r="K17" s="923"/>
      <c r="L17" s="1276"/>
      <c r="M17" s="1277"/>
      <c r="N17" s="1666"/>
      <c r="O17" s="907"/>
      <c r="S17" s="1249"/>
      <c r="T17" s="1273"/>
      <c r="U17" s="1273"/>
      <c r="V17" s="1278"/>
      <c r="Z17" s="1257"/>
      <c r="AA17" s="907"/>
      <c r="AB17" s="907"/>
      <c r="AC17" s="907"/>
    </row>
    <row r="18" spans="1:29">
      <c r="A18" s="1672"/>
      <c r="B18" s="1282"/>
      <c r="C18" s="1282"/>
      <c r="D18" s="1282"/>
      <c r="E18" s="1282"/>
      <c r="F18" s="1282"/>
      <c r="G18" s="1282"/>
      <c r="H18" s="1282"/>
      <c r="I18" s="1282"/>
      <c r="J18" s="1282"/>
      <c r="K18" s="1282"/>
      <c r="L18" s="1283"/>
      <c r="M18" s="1284"/>
      <c r="N18" s="1670"/>
      <c r="O18" s="907"/>
      <c r="S18" s="1256"/>
      <c r="T18" s="907"/>
      <c r="U18" s="907"/>
      <c r="V18" s="1278"/>
      <c r="X18" s="907"/>
      <c r="Y18" s="907"/>
      <c r="Z18" s="1257"/>
      <c r="AA18" s="907"/>
      <c r="AB18" s="907"/>
      <c r="AC18" s="907"/>
    </row>
    <row r="19" spans="1:29">
      <c r="A19" s="1678"/>
      <c r="B19" s="1285" t="str">
        <f ca="1">IFERROR(__xludf.DUMMYFUNCTION("QUERY('管理表'!A:AP,""select B,C,D,G,J,K,L,N,O,Q,T where ((C = '津吉' and R = '""&amp;$D$1&amp;""' and S = '""&amp;$N$19&amp;""')) and not(AH = '退職')"",0)"),"#N/A")</f>
        <v>#N/A</v>
      </c>
      <c r="C19" s="1285"/>
      <c r="D19" s="1285"/>
      <c r="E19" s="1285"/>
      <c r="F19" s="1285"/>
      <c r="G19" s="1285"/>
      <c r="H19" s="1285"/>
      <c r="I19" s="1285"/>
      <c r="J19" s="1285"/>
      <c r="K19" s="1285"/>
      <c r="L19" s="1286"/>
      <c r="M19" s="1285"/>
      <c r="N19" s="1287"/>
      <c r="O19" s="907"/>
      <c r="S19" s="1256"/>
      <c r="T19" s="923"/>
      <c r="U19" s="907"/>
      <c r="V19" s="1278"/>
      <c r="X19" s="907" t="s">
        <v>4420</v>
      </c>
      <c r="Y19" s="907"/>
      <c r="Z19" s="1257"/>
      <c r="AC19" s="907"/>
    </row>
    <row r="20" spans="1:29">
      <c r="A20" s="1677"/>
      <c r="B20" s="1288" t="str">
        <f ca="1">IFERROR(__xludf.DUMMYFUNCTION("QUERY('管理表'!A:AP,""select B,C,D,G,J,K,L,N,O,Q,T where ((C = '津吉' and R = '""&amp;$D$1&amp;""' and S = '""&amp;$N$20&amp;""')) and not(AH = '退職')"",0)"),"#N/A")</f>
        <v>#N/A</v>
      </c>
      <c r="C20" s="1288"/>
      <c r="D20" s="1288"/>
      <c r="E20" s="1289"/>
      <c r="F20" s="1288"/>
      <c r="G20" s="1288"/>
      <c r="H20" s="1288"/>
      <c r="I20" s="1288"/>
      <c r="J20" s="1288"/>
      <c r="K20" s="1288"/>
      <c r="L20" s="1288"/>
      <c r="M20" s="1288"/>
      <c r="N20" s="1290"/>
      <c r="O20" s="918"/>
      <c r="P20" s="907"/>
      <c r="Q20" s="907"/>
      <c r="R20" s="907"/>
      <c r="S20" s="1256"/>
      <c r="T20" s="923"/>
      <c r="V20" s="1278"/>
      <c r="X20" s="907"/>
      <c r="Y20" s="907"/>
      <c r="Z20" s="1257"/>
      <c r="AC20" s="907"/>
    </row>
    <row r="21" spans="1:29">
      <c r="A21" s="1677"/>
      <c r="B21" s="1288" t="str">
        <f ca="1">IFERROR(__xludf.DUMMYFUNCTION("QUERY('管理表'!A:AP,""select B,C,D,G,J,K,L,N,O,Q,T where ((C = '津吉' and R = '""&amp;$D$1&amp;""' and S = '""&amp;$N$21&amp;""')) and not(AH = '退職')"",0)"),"#N/A")</f>
        <v>#N/A</v>
      </c>
      <c r="C21" s="1288"/>
      <c r="D21" s="1288"/>
      <c r="E21" s="1288"/>
      <c r="F21" s="1288"/>
      <c r="G21" s="1288"/>
      <c r="H21" s="1288"/>
      <c r="I21" s="1288"/>
      <c r="J21" s="1288"/>
      <c r="K21" s="1288"/>
      <c r="L21" s="1288"/>
      <c r="M21" s="1288"/>
      <c r="N21" s="1291"/>
      <c r="O21" s="907"/>
      <c r="P21" s="907"/>
      <c r="Q21" s="907"/>
      <c r="R21" s="907"/>
      <c r="S21" s="1256"/>
      <c r="T21" s="1271"/>
      <c r="V21" s="1278"/>
      <c r="X21" s="907"/>
      <c r="Y21" s="907"/>
      <c r="Z21" s="1257"/>
      <c r="AC21" s="907"/>
    </row>
    <row r="22" spans="1:29">
      <c r="A22" s="1672"/>
      <c r="B22" s="1292" t="str">
        <f ca="1">IFERROR(__xludf.DUMMYFUNCTION("QUERY('管理表'!A:AP,""select B,C,D,G,J,K,L,N,O,Q,T where ((C = '津吉' and R = '""&amp;$D$1&amp;""' and S = '""&amp;$N$22&amp;""')) and not(AH = '退職')"",0)"),"#N/A")</f>
        <v>#N/A</v>
      </c>
      <c r="C22" s="1292"/>
      <c r="D22" s="1292"/>
      <c r="E22" s="1293"/>
      <c r="F22" s="1292"/>
      <c r="G22" s="1292"/>
      <c r="H22" s="1292"/>
      <c r="I22" s="1292"/>
      <c r="J22" s="1292"/>
      <c r="K22" s="1292"/>
      <c r="L22" s="1292"/>
      <c r="M22" s="1292"/>
      <c r="N22" s="1294"/>
      <c r="O22" s="918"/>
      <c r="S22" s="1256"/>
      <c r="T22" s="1668">
        <v>6</v>
      </c>
      <c r="V22" s="1278"/>
      <c r="X22" s="907"/>
      <c r="Y22" s="907"/>
      <c r="Z22" s="1257"/>
      <c r="AC22" s="907"/>
    </row>
    <row r="23" spans="1:29">
      <c r="A23" s="907"/>
      <c r="B23" s="907"/>
      <c r="C23" s="907"/>
      <c r="D23" s="907"/>
      <c r="E23" s="907"/>
      <c r="F23" s="907"/>
      <c r="G23" s="907"/>
      <c r="H23" s="907"/>
      <c r="I23" s="907"/>
      <c r="J23" s="907"/>
      <c r="K23" s="907"/>
      <c r="L23" s="907"/>
      <c r="M23" s="907"/>
      <c r="N23" s="907"/>
      <c r="O23" s="907"/>
      <c r="S23" s="1280"/>
      <c r="T23" s="1669"/>
      <c r="U23" s="1281"/>
      <c r="V23" s="1295"/>
      <c r="W23" s="1281"/>
      <c r="X23" s="1296"/>
      <c r="Y23" s="1296"/>
      <c r="Z23" s="1297"/>
      <c r="AC23" s="907"/>
    </row>
    <row r="24" spans="1:29">
      <c r="A24" s="907"/>
      <c r="B24" s="907"/>
      <c r="C24" s="907"/>
      <c r="D24" s="907"/>
      <c r="E24" s="907"/>
      <c r="F24" s="907"/>
      <c r="G24" s="907"/>
      <c r="H24" s="907"/>
      <c r="I24" s="907"/>
      <c r="J24" s="907"/>
      <c r="K24" s="907"/>
      <c r="L24" s="907"/>
      <c r="M24" s="907"/>
      <c r="N24" s="907"/>
      <c r="O24" s="907"/>
      <c r="AC24" s="907"/>
    </row>
    <row r="25" spans="1:29">
      <c r="A25" s="907"/>
      <c r="B25" s="907"/>
      <c r="C25" s="907"/>
      <c r="D25" s="907"/>
      <c r="E25" s="907"/>
      <c r="F25" s="907"/>
      <c r="G25" s="907"/>
      <c r="H25" s="907"/>
      <c r="I25" s="907"/>
      <c r="J25" s="907"/>
      <c r="K25" s="907"/>
      <c r="L25" s="907"/>
      <c r="M25" s="907"/>
      <c r="N25" s="907"/>
      <c r="O25" s="907"/>
      <c r="AC25" s="907"/>
    </row>
    <row r="26" spans="1:29">
      <c r="A26" s="907"/>
      <c r="B26" s="907"/>
      <c r="C26" s="907"/>
      <c r="D26" s="907"/>
      <c r="E26" s="907"/>
      <c r="F26" s="907"/>
      <c r="O26" s="907"/>
      <c r="S26" s="1298"/>
      <c r="T26" s="1279"/>
      <c r="U26" s="1299"/>
      <c r="AC26" s="907"/>
    </row>
    <row r="27" spans="1:29">
      <c r="A27" s="907"/>
      <c r="B27" s="907"/>
      <c r="C27" s="907"/>
      <c r="D27" s="907"/>
      <c r="E27" s="907"/>
      <c r="F27" s="907"/>
      <c r="O27" s="907"/>
      <c r="S27" s="1272"/>
      <c r="U27" s="1275"/>
      <c r="AC27" s="907"/>
    </row>
    <row r="28" spans="1:29">
      <c r="A28" s="907"/>
      <c r="B28" s="907"/>
      <c r="C28" s="907"/>
      <c r="D28" s="907"/>
      <c r="E28" s="907"/>
      <c r="F28" s="907"/>
      <c r="S28" s="1272"/>
      <c r="U28" s="1275"/>
      <c r="AC28" s="907"/>
    </row>
    <row r="29" spans="1:29">
      <c r="A29" s="907"/>
      <c r="B29" s="907"/>
      <c r="C29" s="907"/>
      <c r="D29" s="907"/>
      <c r="E29" s="907"/>
      <c r="F29" s="907"/>
      <c r="S29" s="1272"/>
      <c r="U29" s="1275"/>
      <c r="AC29" s="907"/>
    </row>
    <row r="30" spans="1:29">
      <c r="A30" s="907"/>
      <c r="B30" s="907"/>
      <c r="C30" s="907"/>
      <c r="D30" s="907"/>
      <c r="E30" s="907"/>
      <c r="F30" s="907"/>
      <c r="Q30" s="907"/>
      <c r="R30" s="907"/>
      <c r="S30" s="1256"/>
      <c r="T30" s="907"/>
      <c r="U30" s="1257"/>
      <c r="AC30" s="907"/>
    </row>
    <row r="31" spans="1:29">
      <c r="A31" s="907"/>
      <c r="B31" s="907"/>
      <c r="C31" s="907"/>
      <c r="D31" s="907"/>
      <c r="E31" s="907"/>
      <c r="F31" s="907"/>
      <c r="Q31" s="907"/>
      <c r="R31" s="907"/>
      <c r="S31" s="1256"/>
      <c r="T31" s="907"/>
      <c r="U31" s="1257"/>
      <c r="AC31" s="907"/>
    </row>
    <row r="32" spans="1:29">
      <c r="A32" s="907"/>
      <c r="B32" s="907"/>
      <c r="C32" s="907"/>
      <c r="D32" s="907"/>
      <c r="E32" s="907"/>
      <c r="F32" s="907"/>
      <c r="Q32" s="907"/>
      <c r="R32" s="907"/>
      <c r="S32" s="1256"/>
      <c r="T32" s="907"/>
      <c r="U32" s="1257"/>
      <c r="V32" s="907"/>
      <c r="W32" s="907"/>
      <c r="AC32" s="907"/>
    </row>
    <row r="33" spans="1:29">
      <c r="A33" s="907"/>
      <c r="B33" s="907"/>
      <c r="C33" s="907"/>
      <c r="D33" s="907"/>
      <c r="E33" s="907"/>
      <c r="F33" s="907"/>
      <c r="S33" s="1272"/>
      <c r="U33" s="1257"/>
      <c r="V33" s="907"/>
      <c r="W33" s="907"/>
      <c r="AC33" s="907"/>
    </row>
    <row r="34" spans="1:29">
      <c r="A34" s="907"/>
      <c r="B34" s="907"/>
      <c r="C34" s="907"/>
      <c r="D34" s="907"/>
      <c r="E34" s="907"/>
      <c r="F34" s="907"/>
      <c r="S34" s="1272"/>
      <c r="U34" s="1275"/>
      <c r="V34" s="907"/>
      <c r="W34" s="907"/>
      <c r="AC34" s="907"/>
    </row>
    <row r="35" spans="1:29">
      <c r="A35" s="907"/>
      <c r="B35" s="907"/>
      <c r="C35" s="907"/>
      <c r="D35" s="907"/>
      <c r="E35" s="907"/>
      <c r="F35" s="907"/>
      <c r="S35" s="1272"/>
      <c r="U35" s="1275"/>
      <c r="V35" s="907"/>
      <c r="W35" s="907"/>
      <c r="AC35" s="907"/>
    </row>
    <row r="36" spans="1:29">
      <c r="A36" s="907"/>
      <c r="B36" s="907"/>
      <c r="C36" s="907"/>
      <c r="D36" s="907"/>
      <c r="E36" s="907"/>
      <c r="F36" s="907"/>
      <c r="S36" s="1256"/>
      <c r="T36" s="907"/>
      <c r="U36" s="1257"/>
      <c r="V36" s="907"/>
      <c r="W36" s="907"/>
      <c r="AC36" s="907"/>
    </row>
    <row r="37" spans="1:29">
      <c r="A37" s="907"/>
      <c r="B37" s="907"/>
      <c r="C37" s="907"/>
      <c r="D37" s="907"/>
      <c r="E37" s="907"/>
      <c r="F37" s="907"/>
      <c r="S37" s="1256"/>
      <c r="T37" s="907"/>
      <c r="U37" s="1257"/>
      <c r="V37" s="907"/>
      <c r="W37" s="907"/>
      <c r="AC37" s="907"/>
    </row>
    <row r="38" spans="1:29">
      <c r="A38" s="907"/>
      <c r="B38" s="907"/>
      <c r="C38" s="907"/>
      <c r="D38" s="907"/>
      <c r="E38" s="907"/>
      <c r="F38" s="907"/>
      <c r="S38" s="1256"/>
      <c r="T38" s="907"/>
      <c r="U38" s="1257"/>
      <c r="V38" s="907"/>
      <c r="W38" s="907"/>
      <c r="AC38" s="907"/>
    </row>
    <row r="39" spans="1:29">
      <c r="A39" s="907"/>
      <c r="B39" s="907"/>
      <c r="C39" s="907"/>
      <c r="D39" s="907"/>
      <c r="E39" s="907"/>
      <c r="F39" s="907"/>
      <c r="S39" s="1272"/>
      <c r="U39" s="1257"/>
      <c r="V39" s="907"/>
      <c r="W39" s="907"/>
    </row>
    <row r="40" spans="1:29">
      <c r="A40" s="907"/>
      <c r="B40" s="907"/>
      <c r="C40" s="907"/>
      <c r="D40" s="907"/>
      <c r="E40" s="907"/>
      <c r="F40" s="907"/>
      <c r="G40" s="907"/>
      <c r="H40" s="907"/>
      <c r="I40" s="907"/>
      <c r="J40" s="907"/>
      <c r="K40" s="907"/>
      <c r="L40" s="907"/>
      <c r="M40" s="907"/>
      <c r="N40" s="907"/>
      <c r="S40" s="1300"/>
      <c r="T40" s="1281"/>
      <c r="U40" s="1297"/>
      <c r="V40" s="907"/>
      <c r="W40" s="907"/>
      <c r="X40" s="907"/>
      <c r="Y40" s="907"/>
    </row>
    <row r="41" spans="1:29">
      <c r="A41" s="907"/>
      <c r="B41" s="907"/>
      <c r="C41" s="907"/>
      <c r="D41" s="907"/>
      <c r="E41" s="907"/>
      <c r="F41" s="907"/>
      <c r="G41" s="907"/>
      <c r="H41" s="907"/>
      <c r="I41" s="907"/>
      <c r="J41" s="907"/>
      <c r="K41" s="907"/>
      <c r="L41" s="907"/>
      <c r="M41" s="907"/>
      <c r="N41" s="907"/>
      <c r="U41" s="907"/>
      <c r="V41" s="907"/>
      <c r="W41" s="907"/>
      <c r="X41" s="907"/>
      <c r="Y41" s="907"/>
    </row>
    <row r="42" spans="1:29">
      <c r="A42" s="907"/>
      <c r="B42" s="907"/>
      <c r="T42" s="907"/>
      <c r="U42" s="907"/>
      <c r="V42" s="907"/>
      <c r="W42" s="907"/>
      <c r="X42" s="907"/>
      <c r="Y42" s="907"/>
      <c r="Z42" s="907"/>
      <c r="AA42" s="907"/>
      <c r="AB42" s="907"/>
    </row>
    <row r="43" spans="1:29">
      <c r="A43" s="907"/>
      <c r="B43" s="907"/>
      <c r="T43" s="907"/>
      <c r="U43" s="907"/>
      <c r="V43" s="907"/>
      <c r="W43" s="907"/>
      <c r="X43" s="907"/>
      <c r="Y43" s="907"/>
      <c r="Z43" s="907"/>
      <c r="AA43" s="907"/>
      <c r="AB43" s="907"/>
    </row>
    <row r="44" spans="1:29">
      <c r="A44" s="907"/>
      <c r="B44" s="907"/>
      <c r="T44" s="907"/>
      <c r="U44" s="907"/>
      <c r="V44" s="907"/>
      <c r="W44" s="907"/>
      <c r="X44" s="907"/>
      <c r="Y44" s="907"/>
      <c r="Z44" s="907"/>
      <c r="AA44" s="907"/>
      <c r="AB44" s="907"/>
    </row>
    <row r="45" spans="1:29">
      <c r="A45" s="907"/>
      <c r="B45" s="907"/>
      <c r="T45" s="907"/>
      <c r="U45" s="907"/>
      <c r="V45" s="907"/>
      <c r="W45" s="907"/>
      <c r="X45" s="907"/>
      <c r="Y45" s="907"/>
      <c r="Z45" s="907"/>
      <c r="AA45" s="907"/>
      <c r="AB45" s="907"/>
    </row>
    <row r="46" spans="1:29">
      <c r="A46" s="907"/>
      <c r="B46" s="907"/>
      <c r="T46" s="907"/>
      <c r="U46" s="907"/>
      <c r="V46" s="907"/>
      <c r="W46" s="907"/>
      <c r="X46" s="907"/>
      <c r="Y46" s="907"/>
      <c r="Z46" s="907"/>
      <c r="AA46" s="907"/>
      <c r="AB46" s="907"/>
    </row>
    <row r="47" spans="1:29">
      <c r="A47" s="907"/>
      <c r="B47" s="907"/>
      <c r="Q47" s="907"/>
      <c r="R47" s="907"/>
      <c r="S47" s="907"/>
      <c r="T47" s="907"/>
      <c r="U47" s="907"/>
      <c r="V47" s="907"/>
      <c r="W47" s="907"/>
      <c r="X47" s="907"/>
      <c r="Y47" s="907"/>
      <c r="Z47" s="907"/>
      <c r="AA47" s="907"/>
      <c r="AB47" s="907"/>
    </row>
    <row r="48" spans="1:29">
      <c r="A48" s="907"/>
      <c r="B48" s="907"/>
      <c r="Q48" s="907"/>
      <c r="R48" s="907"/>
      <c r="S48" s="907"/>
      <c r="T48" s="907"/>
      <c r="U48" s="907"/>
      <c r="V48" s="907"/>
      <c r="W48" s="907"/>
      <c r="X48" s="907"/>
      <c r="Y48" s="907"/>
      <c r="Z48" s="907"/>
      <c r="AA48" s="907"/>
      <c r="AB48" s="907"/>
    </row>
    <row r="49" spans="1:29">
      <c r="A49" s="907"/>
      <c r="B49" s="907"/>
      <c r="Q49" s="907"/>
      <c r="R49" s="907"/>
      <c r="S49" s="907"/>
      <c r="T49" s="907"/>
      <c r="U49" s="907"/>
      <c r="V49" s="907"/>
      <c r="W49" s="907"/>
      <c r="X49" s="907"/>
      <c r="Y49" s="907"/>
      <c r="Z49" s="907"/>
      <c r="AA49" s="907"/>
      <c r="AB49" s="907"/>
    </row>
    <row r="50" spans="1:29">
      <c r="A50" s="907"/>
      <c r="B50" s="907"/>
      <c r="P50" s="907"/>
      <c r="Q50" s="907"/>
      <c r="R50" s="907"/>
      <c r="S50" s="907"/>
      <c r="T50" s="907"/>
      <c r="U50" s="907"/>
      <c r="V50" s="907"/>
      <c r="W50" s="907"/>
      <c r="X50" s="907"/>
      <c r="Y50" s="907"/>
      <c r="Z50" s="907"/>
      <c r="AA50" s="907"/>
      <c r="AB50" s="907"/>
    </row>
    <row r="51" spans="1:29">
      <c r="A51" s="907"/>
      <c r="B51" s="907"/>
      <c r="P51" s="907"/>
      <c r="Q51" s="907"/>
      <c r="R51" s="907"/>
      <c r="S51" s="907"/>
      <c r="T51" s="907"/>
      <c r="U51" s="907"/>
      <c r="V51" s="907"/>
      <c r="W51" s="907"/>
      <c r="X51" s="907"/>
      <c r="Y51" s="907"/>
      <c r="Z51" s="907"/>
      <c r="AA51" s="907"/>
      <c r="AB51" s="907"/>
    </row>
    <row r="52" spans="1:29">
      <c r="A52" s="907"/>
      <c r="B52" s="907"/>
      <c r="C52" s="907"/>
      <c r="D52" s="907"/>
      <c r="E52" s="907"/>
      <c r="F52" s="907"/>
      <c r="G52" s="907"/>
      <c r="H52" s="907"/>
      <c r="I52" s="907"/>
      <c r="J52" s="907"/>
      <c r="K52" s="907"/>
      <c r="L52" s="907"/>
      <c r="M52" s="907"/>
      <c r="N52" s="907"/>
      <c r="O52" s="907"/>
      <c r="P52" s="907"/>
      <c r="Q52" s="907"/>
      <c r="R52" s="907"/>
      <c r="S52" s="907"/>
      <c r="T52" s="907"/>
      <c r="U52" s="907"/>
      <c r="V52" s="907"/>
      <c r="W52" s="907"/>
      <c r="X52" s="907"/>
      <c r="Y52" s="907"/>
      <c r="Z52" s="907"/>
      <c r="AA52" s="907"/>
      <c r="AB52" s="907"/>
    </row>
    <row r="53" spans="1:29">
      <c r="A53" s="907"/>
      <c r="B53" s="907"/>
      <c r="C53" s="907"/>
      <c r="D53" s="907"/>
      <c r="E53" s="907"/>
      <c r="F53" s="907"/>
      <c r="G53" s="907"/>
      <c r="H53" s="907"/>
      <c r="I53" s="907"/>
      <c r="J53" s="907"/>
      <c r="K53" s="907"/>
      <c r="L53" s="907"/>
      <c r="M53" s="907"/>
      <c r="N53" s="907"/>
      <c r="O53" s="907"/>
      <c r="P53" s="907"/>
      <c r="Q53" s="907"/>
      <c r="R53" s="907"/>
      <c r="S53" s="907"/>
      <c r="T53" s="907"/>
      <c r="U53" s="907"/>
      <c r="V53" s="907"/>
      <c r="W53" s="907"/>
      <c r="X53" s="907"/>
      <c r="Y53" s="907"/>
      <c r="Z53" s="907"/>
      <c r="AA53" s="907"/>
      <c r="AB53" s="907"/>
    </row>
    <row r="54" spans="1:29">
      <c r="A54" s="907"/>
      <c r="B54" s="907"/>
      <c r="C54" s="907"/>
      <c r="D54" s="907"/>
      <c r="E54" s="907"/>
      <c r="F54" s="907"/>
      <c r="G54" s="907"/>
      <c r="H54" s="907"/>
      <c r="I54" s="907"/>
      <c r="J54" s="907"/>
      <c r="K54" s="907"/>
      <c r="L54" s="907"/>
      <c r="M54" s="907"/>
      <c r="N54" s="907"/>
      <c r="O54" s="907"/>
      <c r="P54" s="907"/>
      <c r="Q54" s="907"/>
      <c r="R54" s="907"/>
      <c r="S54" s="907"/>
      <c r="T54" s="907"/>
      <c r="U54" s="907"/>
      <c r="V54" s="907"/>
      <c r="W54" s="907"/>
      <c r="X54" s="907"/>
      <c r="Y54" s="907"/>
      <c r="Z54" s="907"/>
      <c r="AA54" s="907"/>
      <c r="AB54" s="907"/>
    </row>
    <row r="55" spans="1:29">
      <c r="A55" s="907"/>
      <c r="B55" s="907"/>
      <c r="C55" s="907"/>
      <c r="D55" s="907"/>
      <c r="E55" s="907"/>
      <c r="F55" s="907"/>
      <c r="G55" s="907"/>
      <c r="Q55" s="907"/>
      <c r="R55" s="907"/>
      <c r="S55" s="907"/>
      <c r="T55" s="907"/>
      <c r="U55" s="907"/>
      <c r="V55" s="907"/>
      <c r="W55" s="907"/>
      <c r="X55" s="907"/>
      <c r="Y55" s="907"/>
      <c r="Z55" s="907"/>
      <c r="AA55" s="907"/>
      <c r="AB55" s="907"/>
    </row>
    <row r="56" spans="1:29">
      <c r="A56" s="907"/>
      <c r="B56" s="907"/>
      <c r="C56" s="907"/>
      <c r="D56" s="907"/>
      <c r="E56" s="907"/>
      <c r="F56" s="907"/>
      <c r="G56" s="907"/>
      <c r="Q56" s="907"/>
      <c r="R56" s="907"/>
      <c r="S56" s="907"/>
      <c r="T56" s="907"/>
      <c r="U56" s="907"/>
      <c r="V56" s="907"/>
      <c r="W56" s="907"/>
      <c r="X56" s="907"/>
      <c r="Y56" s="907"/>
      <c r="Z56" s="907"/>
      <c r="AA56" s="907"/>
      <c r="AB56" s="907"/>
    </row>
    <row r="57" spans="1:29">
      <c r="A57" s="907"/>
      <c r="B57" s="907"/>
      <c r="C57" s="907"/>
      <c r="D57" s="907"/>
      <c r="E57" s="907"/>
      <c r="F57" s="907"/>
      <c r="G57" s="907"/>
      <c r="Q57" s="907"/>
      <c r="R57" s="907"/>
      <c r="S57" s="907"/>
      <c r="T57" s="907"/>
      <c r="U57" s="907"/>
      <c r="V57" s="907"/>
      <c r="W57" s="907"/>
      <c r="X57" s="907"/>
      <c r="Y57" s="907"/>
      <c r="Z57" s="907"/>
      <c r="AA57" s="907"/>
      <c r="AB57" s="907"/>
    </row>
    <row r="58" spans="1:29">
      <c r="A58" s="907"/>
      <c r="B58" s="907"/>
      <c r="C58" s="907"/>
      <c r="D58" s="907"/>
      <c r="E58" s="907"/>
      <c r="F58" s="907"/>
      <c r="G58" s="907"/>
      <c r="Q58" s="907"/>
      <c r="R58" s="907"/>
      <c r="S58" s="907"/>
      <c r="T58" s="907"/>
      <c r="U58" s="907"/>
      <c r="V58" s="907"/>
      <c r="W58" s="907"/>
      <c r="X58" s="907"/>
      <c r="Y58" s="907"/>
      <c r="Z58" s="907"/>
      <c r="AA58" s="907"/>
      <c r="AB58" s="907"/>
    </row>
    <row r="59" spans="1:29">
      <c r="A59" s="907"/>
      <c r="B59" s="907"/>
      <c r="C59" s="907"/>
      <c r="D59" s="907"/>
      <c r="E59" s="907"/>
      <c r="F59" s="907"/>
      <c r="G59" s="907"/>
      <c r="Q59" s="907"/>
      <c r="R59" s="907"/>
      <c r="S59" s="907"/>
      <c r="T59" s="907"/>
      <c r="U59" s="907"/>
      <c r="V59" s="907"/>
      <c r="W59" s="907"/>
      <c r="X59" s="907"/>
      <c r="Y59" s="907"/>
      <c r="Z59" s="907"/>
      <c r="AA59" s="907"/>
      <c r="AB59" s="907"/>
      <c r="AC59" s="907"/>
    </row>
    <row r="60" spans="1:29">
      <c r="A60" s="907"/>
      <c r="B60" s="907"/>
      <c r="C60" s="907"/>
      <c r="D60" s="907"/>
      <c r="E60" s="907"/>
      <c r="F60" s="907"/>
      <c r="G60" s="907"/>
      <c r="Q60" s="907"/>
      <c r="R60" s="907"/>
      <c r="S60" s="907"/>
      <c r="T60" s="907"/>
      <c r="U60" s="907"/>
      <c r="V60" s="907"/>
      <c r="W60" s="907"/>
      <c r="X60" s="907"/>
      <c r="Y60" s="907"/>
      <c r="Z60" s="907"/>
      <c r="AA60" s="907"/>
      <c r="AB60" s="907"/>
      <c r="AC60" s="907"/>
    </row>
    <row r="61" spans="1:29">
      <c r="A61" s="907"/>
      <c r="B61" s="907"/>
      <c r="C61" s="907"/>
      <c r="D61" s="907"/>
      <c r="E61" s="907"/>
      <c r="F61" s="907"/>
      <c r="G61" s="907"/>
      <c r="Q61" s="907"/>
      <c r="R61" s="907"/>
      <c r="S61" s="907"/>
      <c r="T61" s="907"/>
      <c r="U61" s="907"/>
      <c r="V61" s="907"/>
      <c r="W61" s="907"/>
      <c r="X61" s="907"/>
      <c r="Y61" s="907"/>
      <c r="Z61" s="907"/>
      <c r="AA61" s="907"/>
      <c r="AB61" s="907"/>
      <c r="AC61" s="907"/>
    </row>
    <row r="62" spans="1:29">
      <c r="A62" s="907"/>
      <c r="B62" s="907"/>
      <c r="C62" s="907"/>
      <c r="D62" s="907"/>
      <c r="E62" s="907"/>
      <c r="F62" s="907"/>
      <c r="G62" s="907"/>
      <c r="Q62" s="907"/>
      <c r="R62" s="907"/>
      <c r="S62" s="907"/>
      <c r="T62" s="907"/>
      <c r="U62" s="907"/>
      <c r="V62" s="907"/>
      <c r="W62" s="907"/>
      <c r="X62" s="907"/>
      <c r="Y62" s="907"/>
      <c r="Z62" s="907"/>
      <c r="AA62" s="907"/>
      <c r="AB62" s="907"/>
      <c r="AC62" s="907"/>
    </row>
    <row r="63" spans="1:29">
      <c r="A63" s="907"/>
      <c r="B63" s="907"/>
      <c r="C63" s="907"/>
      <c r="D63" s="907"/>
      <c r="E63" s="907"/>
      <c r="F63" s="907"/>
      <c r="G63" s="907"/>
      <c r="Q63" s="907"/>
      <c r="R63" s="907"/>
      <c r="S63" s="907"/>
      <c r="T63" s="907"/>
      <c r="U63" s="907"/>
      <c r="V63" s="907"/>
      <c r="W63" s="907"/>
      <c r="X63" s="907"/>
      <c r="Y63" s="907"/>
      <c r="Z63" s="907"/>
      <c r="AA63" s="907"/>
      <c r="AB63" s="907"/>
      <c r="AC63" s="907"/>
    </row>
    <row r="64" spans="1:29">
      <c r="A64" s="907"/>
      <c r="B64" s="907"/>
      <c r="C64" s="907"/>
      <c r="D64" s="907"/>
      <c r="E64" s="907"/>
      <c r="F64" s="907"/>
      <c r="G64" s="907"/>
      <c r="Q64" s="907"/>
      <c r="R64" s="907"/>
      <c r="S64" s="907"/>
      <c r="T64" s="907"/>
      <c r="U64" s="907"/>
      <c r="V64" s="907"/>
      <c r="W64" s="907"/>
      <c r="X64" s="907"/>
      <c r="Y64" s="907"/>
      <c r="Z64" s="907"/>
      <c r="AA64" s="907"/>
      <c r="AB64" s="907"/>
      <c r="AC64" s="907"/>
    </row>
    <row r="65" spans="1:29">
      <c r="A65" s="907"/>
      <c r="B65" s="907"/>
      <c r="C65" s="907"/>
      <c r="D65" s="907"/>
      <c r="E65" s="907"/>
      <c r="F65" s="907"/>
      <c r="G65" s="907"/>
      <c r="Q65" s="907"/>
      <c r="R65" s="907"/>
      <c r="S65" s="907"/>
      <c r="T65" s="907"/>
      <c r="U65" s="907"/>
      <c r="V65" s="907"/>
      <c r="W65" s="907"/>
      <c r="X65" s="907"/>
      <c r="Y65" s="907"/>
      <c r="Z65" s="907"/>
      <c r="AA65" s="907"/>
      <c r="AB65" s="907"/>
      <c r="AC65" s="907"/>
    </row>
    <row r="66" spans="1:29">
      <c r="A66" s="907"/>
      <c r="B66" s="907"/>
      <c r="C66" s="907"/>
      <c r="D66" s="907"/>
      <c r="E66" s="907"/>
      <c r="F66" s="907"/>
      <c r="G66" s="907"/>
      <c r="Q66" s="907"/>
      <c r="R66" s="907"/>
      <c r="S66" s="907"/>
      <c r="T66" s="907"/>
      <c r="U66" s="907"/>
      <c r="V66" s="907"/>
      <c r="W66" s="907"/>
      <c r="X66" s="907"/>
      <c r="Y66" s="907"/>
      <c r="Z66" s="907"/>
      <c r="AA66" s="907"/>
      <c r="AB66" s="907"/>
      <c r="AC66" s="907"/>
    </row>
    <row r="67" spans="1:29">
      <c r="A67" s="907"/>
      <c r="B67" s="907"/>
      <c r="C67" s="907"/>
      <c r="D67" s="907"/>
      <c r="E67" s="907"/>
      <c r="F67" s="907"/>
      <c r="G67" s="907"/>
      <c r="Q67" s="907"/>
      <c r="R67" s="907"/>
      <c r="S67" s="907"/>
      <c r="T67" s="907"/>
      <c r="U67" s="907"/>
      <c r="V67" s="907"/>
      <c r="W67" s="907"/>
      <c r="X67" s="907"/>
      <c r="Y67" s="907"/>
      <c r="Z67" s="907"/>
      <c r="AA67" s="907"/>
      <c r="AB67" s="907"/>
      <c r="AC67" s="907"/>
    </row>
    <row r="68" spans="1:29">
      <c r="A68" s="907"/>
      <c r="B68" s="907"/>
      <c r="C68" s="907"/>
      <c r="D68" s="907"/>
      <c r="E68" s="907"/>
      <c r="F68" s="907"/>
      <c r="G68" s="907"/>
      <c r="Q68" s="907"/>
      <c r="R68" s="907"/>
      <c r="S68" s="907"/>
      <c r="T68" s="907"/>
      <c r="U68" s="907"/>
      <c r="V68" s="907"/>
      <c r="W68" s="907"/>
      <c r="X68" s="907"/>
      <c r="Y68" s="907"/>
      <c r="Z68" s="907"/>
      <c r="AA68" s="907"/>
      <c r="AB68" s="907"/>
      <c r="AC68" s="907"/>
    </row>
    <row r="69" spans="1:29">
      <c r="A69" s="907"/>
      <c r="B69" s="907"/>
      <c r="C69" s="907"/>
      <c r="D69" s="907"/>
      <c r="E69" s="907"/>
      <c r="F69" s="907"/>
      <c r="G69" s="907"/>
      <c r="Q69" s="907"/>
      <c r="R69" s="907"/>
      <c r="S69" s="907"/>
      <c r="T69" s="907"/>
      <c r="U69" s="907"/>
      <c r="V69" s="907"/>
      <c r="W69" s="907"/>
      <c r="X69" s="907"/>
      <c r="Y69" s="907"/>
      <c r="Z69" s="907"/>
      <c r="AA69" s="907"/>
      <c r="AB69" s="907"/>
      <c r="AC69" s="907"/>
    </row>
    <row r="70" spans="1:29">
      <c r="A70" s="907"/>
      <c r="B70" s="907"/>
      <c r="C70" s="907"/>
      <c r="D70" s="907"/>
      <c r="E70" s="907"/>
      <c r="F70" s="907"/>
      <c r="G70" s="907"/>
      <c r="Q70" s="907"/>
      <c r="R70" s="907"/>
      <c r="S70" s="907"/>
      <c r="T70" s="907"/>
      <c r="U70" s="907"/>
      <c r="V70" s="907"/>
      <c r="W70" s="907"/>
      <c r="X70" s="907"/>
      <c r="Y70" s="907"/>
      <c r="Z70" s="907"/>
      <c r="AA70" s="907"/>
      <c r="AB70" s="907"/>
      <c r="AC70" s="907"/>
    </row>
    <row r="71" spans="1:29">
      <c r="A71" s="907"/>
      <c r="B71" s="907"/>
      <c r="C71" s="907"/>
      <c r="D71" s="907"/>
      <c r="E71" s="907"/>
      <c r="F71" s="907"/>
      <c r="G71" s="907"/>
      <c r="Q71" s="907"/>
      <c r="R71" s="907"/>
      <c r="S71" s="907"/>
      <c r="T71" s="907"/>
      <c r="U71" s="907"/>
      <c r="V71" s="907"/>
      <c r="W71" s="907"/>
      <c r="X71" s="907"/>
      <c r="Y71" s="907"/>
      <c r="Z71" s="907"/>
      <c r="AA71" s="907"/>
      <c r="AB71" s="907"/>
      <c r="AC71" s="907"/>
    </row>
    <row r="72" spans="1:29">
      <c r="A72" s="907"/>
      <c r="B72" s="907"/>
      <c r="C72" s="907"/>
      <c r="D72" s="907"/>
      <c r="E72" s="907"/>
      <c r="F72" s="907"/>
      <c r="G72" s="907"/>
      <c r="Q72" s="907"/>
      <c r="R72" s="907"/>
      <c r="S72" s="907"/>
      <c r="T72" s="907"/>
      <c r="U72" s="907"/>
      <c r="V72" s="907"/>
      <c r="W72" s="907"/>
      <c r="X72" s="907"/>
      <c r="Y72" s="907"/>
      <c r="Z72" s="907"/>
      <c r="AA72" s="907"/>
      <c r="AB72" s="907"/>
      <c r="AC72" s="907"/>
    </row>
    <row r="73" spans="1:29">
      <c r="A73" s="907"/>
      <c r="B73" s="907"/>
      <c r="C73" s="907"/>
      <c r="D73" s="907"/>
      <c r="E73" s="907"/>
      <c r="F73" s="907"/>
      <c r="G73" s="907"/>
      <c r="Q73" s="907"/>
      <c r="R73" s="907"/>
      <c r="S73" s="907"/>
      <c r="T73" s="907"/>
      <c r="U73" s="907"/>
      <c r="V73" s="907"/>
      <c r="W73" s="907"/>
      <c r="X73" s="907"/>
      <c r="Y73" s="907"/>
      <c r="Z73" s="907"/>
      <c r="AA73" s="907"/>
      <c r="AB73" s="907"/>
      <c r="AC73" s="907"/>
    </row>
    <row r="74" spans="1:29">
      <c r="A74" s="907"/>
      <c r="B74" s="907"/>
      <c r="C74" s="907"/>
      <c r="D74" s="907"/>
      <c r="E74" s="907"/>
      <c r="F74" s="907"/>
      <c r="G74" s="907"/>
      <c r="Q74" s="907"/>
      <c r="R74" s="907"/>
      <c r="S74" s="907"/>
      <c r="T74" s="907"/>
      <c r="U74" s="907"/>
      <c r="V74" s="907"/>
      <c r="W74" s="907"/>
      <c r="X74" s="907"/>
      <c r="Y74" s="907"/>
      <c r="Z74" s="907"/>
      <c r="AA74" s="907"/>
      <c r="AB74" s="907"/>
      <c r="AC74" s="907"/>
    </row>
    <row r="75" spans="1:29">
      <c r="A75" s="907"/>
      <c r="B75" s="907"/>
      <c r="C75" s="907"/>
      <c r="D75" s="907"/>
      <c r="E75" s="907"/>
      <c r="F75" s="907"/>
      <c r="G75" s="907"/>
      <c r="Q75" s="907"/>
      <c r="R75" s="907"/>
      <c r="S75" s="907"/>
      <c r="T75" s="907"/>
      <c r="U75" s="907"/>
      <c r="V75" s="907"/>
      <c r="W75" s="907"/>
      <c r="X75" s="907"/>
      <c r="Y75" s="907"/>
      <c r="Z75" s="907"/>
      <c r="AA75" s="907"/>
      <c r="AB75" s="907"/>
      <c r="AC75" s="907"/>
    </row>
    <row r="76" spans="1:29">
      <c r="A76" s="907"/>
      <c r="B76" s="907"/>
      <c r="C76" s="907"/>
      <c r="D76" s="907"/>
      <c r="E76" s="907"/>
      <c r="F76" s="907"/>
      <c r="G76" s="907"/>
      <c r="Q76" s="907"/>
      <c r="R76" s="907"/>
      <c r="S76" s="907"/>
      <c r="T76" s="907"/>
      <c r="U76" s="907"/>
      <c r="V76" s="907"/>
      <c r="W76" s="907"/>
      <c r="X76" s="907"/>
      <c r="Y76" s="907"/>
      <c r="Z76" s="907"/>
      <c r="AA76" s="907"/>
      <c r="AB76" s="907"/>
      <c r="AC76" s="907"/>
    </row>
    <row r="77" spans="1:29">
      <c r="A77" s="907"/>
      <c r="B77" s="907"/>
      <c r="C77" s="907"/>
      <c r="D77" s="907"/>
      <c r="E77" s="907"/>
      <c r="F77" s="907"/>
      <c r="G77" s="907"/>
      <c r="H77" s="907"/>
      <c r="I77" s="907"/>
      <c r="J77" s="907"/>
      <c r="K77" s="907"/>
      <c r="L77" s="907"/>
      <c r="M77" s="907"/>
      <c r="N77" s="907"/>
      <c r="O77" s="907"/>
      <c r="P77" s="907"/>
      <c r="Q77" s="907"/>
      <c r="R77" s="907"/>
      <c r="S77" s="907"/>
      <c r="T77" s="907"/>
      <c r="U77" s="907"/>
      <c r="V77" s="907"/>
      <c r="W77" s="907"/>
      <c r="X77" s="907"/>
      <c r="Y77" s="907"/>
      <c r="Z77" s="907"/>
      <c r="AA77" s="907"/>
      <c r="AB77" s="907"/>
      <c r="AC77" s="907"/>
    </row>
    <row r="78" spans="1:29">
      <c r="A78" s="907"/>
      <c r="B78" s="907"/>
      <c r="C78" s="907"/>
      <c r="D78" s="907"/>
      <c r="E78" s="907"/>
      <c r="F78" s="907"/>
      <c r="G78" s="907"/>
      <c r="H78" s="907"/>
      <c r="I78" s="907"/>
      <c r="J78" s="907"/>
      <c r="K78" s="907"/>
      <c r="L78" s="907"/>
      <c r="M78" s="907"/>
      <c r="N78" s="907"/>
      <c r="O78" s="907"/>
      <c r="P78" s="907"/>
      <c r="Q78" s="907"/>
      <c r="R78" s="907"/>
      <c r="S78" s="907"/>
      <c r="T78" s="907"/>
      <c r="U78" s="907"/>
      <c r="V78" s="907"/>
      <c r="W78" s="907"/>
      <c r="X78" s="907"/>
      <c r="Y78" s="907"/>
      <c r="Z78" s="907"/>
      <c r="AA78" s="907"/>
      <c r="AB78" s="907"/>
      <c r="AC78" s="907"/>
    </row>
    <row r="79" spans="1:29">
      <c r="A79" s="907"/>
      <c r="B79" s="907"/>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c r="AB79" s="907"/>
      <c r="AC79" s="907"/>
    </row>
    <row r="80" spans="1:29">
      <c r="A80" s="907"/>
      <c r="B80" s="907"/>
      <c r="C80" s="907"/>
      <c r="D80" s="907"/>
      <c r="E80" s="907"/>
      <c r="F80" s="907"/>
      <c r="G80" s="907"/>
      <c r="H80" s="907"/>
      <c r="I80" s="907"/>
      <c r="J80" s="907"/>
      <c r="K80" s="907"/>
      <c r="L80" s="907"/>
      <c r="M80" s="907"/>
      <c r="N80" s="907"/>
      <c r="O80" s="907"/>
      <c r="P80" s="907"/>
      <c r="Q80" s="907"/>
      <c r="R80" s="907"/>
      <c r="S80" s="907"/>
      <c r="T80" s="907"/>
      <c r="U80" s="907"/>
      <c r="V80" s="907"/>
      <c r="W80" s="907"/>
      <c r="X80" s="907"/>
      <c r="Y80" s="907"/>
      <c r="Z80" s="907"/>
      <c r="AA80" s="907"/>
      <c r="AB80" s="907"/>
      <c r="AC80" s="907"/>
    </row>
    <row r="81" spans="1:29">
      <c r="A81" s="907"/>
      <c r="B81" s="907"/>
      <c r="C81" s="907"/>
      <c r="D81" s="907"/>
      <c r="E81" s="907"/>
      <c r="F81" s="907"/>
      <c r="G81" s="907"/>
      <c r="H81" s="907"/>
      <c r="I81" s="907"/>
      <c r="J81" s="907"/>
      <c r="K81" s="907"/>
      <c r="L81" s="907"/>
      <c r="M81" s="907"/>
      <c r="N81" s="907"/>
      <c r="O81" s="907"/>
      <c r="P81" s="907"/>
      <c r="Q81" s="907"/>
      <c r="R81" s="907"/>
      <c r="S81" s="907"/>
      <c r="T81" s="907"/>
      <c r="U81" s="907"/>
      <c r="V81" s="907"/>
      <c r="W81" s="907"/>
      <c r="X81" s="907"/>
      <c r="Y81" s="907"/>
      <c r="Z81" s="907"/>
      <c r="AA81" s="907"/>
      <c r="AB81" s="907"/>
      <c r="AC81" s="907"/>
    </row>
    <row r="82" spans="1:29">
      <c r="A82" s="907"/>
      <c r="B82" s="907"/>
      <c r="C82" s="907"/>
      <c r="D82" s="907"/>
      <c r="E82" s="907"/>
      <c r="F82" s="907"/>
      <c r="G82" s="907"/>
      <c r="H82" s="907"/>
      <c r="I82" s="907"/>
      <c r="J82" s="907"/>
      <c r="K82" s="907"/>
      <c r="L82" s="907"/>
      <c r="M82" s="907"/>
      <c r="N82" s="907"/>
      <c r="O82" s="907"/>
      <c r="P82" s="907"/>
      <c r="Q82" s="907"/>
      <c r="R82" s="907"/>
      <c r="S82" s="907"/>
      <c r="T82" s="907"/>
      <c r="U82" s="907"/>
      <c r="V82" s="907"/>
      <c r="W82" s="907"/>
      <c r="X82" s="907"/>
      <c r="Y82" s="907"/>
      <c r="Z82" s="907"/>
      <c r="AA82" s="907"/>
      <c r="AB82" s="907"/>
      <c r="AC82" s="907"/>
    </row>
    <row r="83" spans="1:29">
      <c r="A83" s="907"/>
      <c r="B83" s="907"/>
      <c r="C83" s="907"/>
      <c r="D83" s="907"/>
      <c r="E83" s="907"/>
      <c r="F83" s="907"/>
      <c r="G83" s="907"/>
      <c r="H83" s="907"/>
      <c r="I83" s="907"/>
      <c r="J83" s="907"/>
      <c r="K83" s="907"/>
      <c r="L83" s="907"/>
      <c r="M83" s="907"/>
      <c r="N83" s="907"/>
      <c r="O83" s="907"/>
      <c r="P83" s="907"/>
      <c r="Q83" s="907"/>
      <c r="R83" s="907"/>
      <c r="S83" s="907"/>
      <c r="T83" s="907"/>
      <c r="U83" s="907"/>
      <c r="V83" s="907"/>
      <c r="W83" s="907"/>
      <c r="X83" s="907"/>
      <c r="Y83" s="907"/>
      <c r="Z83" s="907"/>
      <c r="AA83" s="907"/>
      <c r="AB83" s="907"/>
      <c r="AC83" s="907"/>
    </row>
    <row r="84" spans="1:29">
      <c r="A84" s="907"/>
      <c r="B84" s="907"/>
      <c r="C84" s="907"/>
      <c r="D84" s="907"/>
      <c r="E84" s="907"/>
      <c r="F84" s="907"/>
      <c r="G84" s="907"/>
      <c r="H84" s="907"/>
      <c r="I84" s="907"/>
      <c r="J84" s="907"/>
      <c r="K84" s="907"/>
      <c r="L84" s="907"/>
      <c r="M84" s="907"/>
      <c r="N84" s="907"/>
      <c r="O84" s="907"/>
      <c r="P84" s="907"/>
      <c r="Q84" s="907"/>
      <c r="R84" s="907"/>
      <c r="S84" s="907"/>
      <c r="T84" s="907"/>
      <c r="U84" s="907"/>
      <c r="V84" s="907"/>
      <c r="W84" s="907"/>
      <c r="X84" s="907"/>
      <c r="Y84" s="907"/>
      <c r="Z84" s="907"/>
      <c r="AA84" s="907"/>
      <c r="AB84" s="907"/>
      <c r="AC84" s="907"/>
    </row>
    <row r="85" spans="1:29">
      <c r="A85" s="907"/>
      <c r="B85" s="907"/>
      <c r="C85" s="907"/>
      <c r="D85" s="907"/>
      <c r="E85" s="907"/>
      <c r="F85" s="907"/>
      <c r="G85" s="907"/>
      <c r="H85" s="907"/>
      <c r="I85" s="907"/>
      <c r="J85" s="907"/>
      <c r="K85" s="907"/>
      <c r="L85" s="907"/>
      <c r="M85" s="907"/>
      <c r="N85" s="907"/>
      <c r="O85" s="907"/>
      <c r="P85" s="907"/>
      <c r="Q85" s="907"/>
      <c r="R85" s="907"/>
      <c r="S85" s="907"/>
      <c r="T85" s="907"/>
      <c r="U85" s="907"/>
      <c r="V85" s="907"/>
      <c r="W85" s="907"/>
      <c r="X85" s="907"/>
      <c r="Y85" s="907"/>
      <c r="Z85" s="907"/>
      <c r="AA85" s="907"/>
      <c r="AB85" s="907"/>
      <c r="AC85" s="907"/>
    </row>
    <row r="86" spans="1:29">
      <c r="A86" s="907"/>
      <c r="B86" s="907"/>
      <c r="C86" s="907"/>
      <c r="D86" s="907"/>
      <c r="E86" s="907"/>
      <c r="F86" s="907"/>
      <c r="G86" s="907"/>
      <c r="H86" s="907"/>
      <c r="I86" s="907"/>
      <c r="J86" s="907"/>
      <c r="K86" s="907"/>
      <c r="L86" s="907"/>
      <c r="M86" s="907"/>
      <c r="N86" s="907"/>
      <c r="O86" s="907"/>
      <c r="P86" s="907"/>
      <c r="Q86" s="907"/>
      <c r="R86" s="907"/>
      <c r="S86" s="907"/>
      <c r="T86" s="907"/>
      <c r="U86" s="907"/>
      <c r="V86" s="907"/>
      <c r="W86" s="907"/>
      <c r="X86" s="907"/>
      <c r="Y86" s="907"/>
      <c r="Z86" s="907"/>
      <c r="AA86" s="907"/>
      <c r="AB86" s="907"/>
      <c r="AC86" s="907"/>
    </row>
    <row r="87" spans="1:29">
      <c r="A87" s="907"/>
      <c r="B87" s="907"/>
      <c r="C87" s="907"/>
      <c r="D87" s="907"/>
      <c r="E87" s="907"/>
      <c r="F87" s="907"/>
      <c r="G87" s="907"/>
      <c r="H87" s="907"/>
      <c r="I87" s="907"/>
      <c r="J87" s="907"/>
      <c r="K87" s="907"/>
      <c r="L87" s="907"/>
      <c r="M87" s="907"/>
      <c r="N87" s="907"/>
      <c r="O87" s="907"/>
      <c r="P87" s="907"/>
      <c r="Q87" s="907"/>
      <c r="R87" s="907"/>
      <c r="S87" s="907"/>
      <c r="T87" s="907"/>
      <c r="U87" s="907"/>
      <c r="V87" s="907"/>
      <c r="W87" s="907"/>
      <c r="X87" s="907"/>
      <c r="Y87" s="907"/>
      <c r="Z87" s="907"/>
      <c r="AA87" s="907"/>
      <c r="AB87" s="907"/>
      <c r="AC87" s="907"/>
    </row>
    <row r="88" spans="1:29">
      <c r="A88" s="907"/>
      <c r="B88" s="907"/>
      <c r="C88" s="907"/>
      <c r="D88" s="907"/>
      <c r="E88" s="907"/>
      <c r="F88" s="907"/>
      <c r="G88" s="907"/>
      <c r="H88" s="907"/>
      <c r="I88" s="907"/>
      <c r="J88" s="907"/>
      <c r="K88" s="907"/>
      <c r="L88" s="907"/>
      <c r="M88" s="907"/>
      <c r="N88" s="907"/>
      <c r="O88" s="907"/>
      <c r="P88" s="907"/>
      <c r="Q88" s="907"/>
      <c r="R88" s="907"/>
      <c r="S88" s="907"/>
      <c r="T88" s="907"/>
      <c r="U88" s="907"/>
      <c r="V88" s="907"/>
      <c r="W88" s="907"/>
      <c r="X88" s="907"/>
      <c r="Y88" s="907"/>
      <c r="Z88" s="907"/>
      <c r="AA88" s="907"/>
      <c r="AB88" s="907"/>
      <c r="AC88" s="907"/>
    </row>
    <row r="89" spans="1:29">
      <c r="A89" s="907"/>
      <c r="B89" s="907"/>
      <c r="C89" s="907"/>
      <c r="D89" s="907"/>
      <c r="E89" s="907"/>
      <c r="F89" s="907"/>
      <c r="G89" s="907"/>
      <c r="H89" s="907"/>
      <c r="I89" s="907"/>
      <c r="J89" s="907"/>
      <c r="K89" s="907"/>
      <c r="L89" s="907"/>
      <c r="M89" s="907"/>
      <c r="N89" s="907"/>
      <c r="O89" s="907"/>
      <c r="P89" s="907"/>
      <c r="Q89" s="907"/>
      <c r="R89" s="907"/>
      <c r="S89" s="907"/>
      <c r="T89" s="907"/>
      <c r="U89" s="907"/>
      <c r="V89" s="907"/>
      <c r="W89" s="907"/>
      <c r="X89" s="907"/>
      <c r="Y89" s="907"/>
      <c r="Z89" s="907"/>
      <c r="AA89" s="907"/>
      <c r="AB89" s="907"/>
      <c r="AC89" s="907"/>
    </row>
    <row r="90" spans="1:29">
      <c r="A90" s="907"/>
      <c r="B90" s="907"/>
      <c r="C90" s="907"/>
      <c r="D90" s="907"/>
      <c r="E90" s="907"/>
      <c r="F90" s="907"/>
      <c r="G90" s="907"/>
      <c r="H90" s="907"/>
      <c r="I90" s="907"/>
      <c r="J90" s="907"/>
      <c r="K90" s="907"/>
      <c r="L90" s="907"/>
      <c r="M90" s="907"/>
      <c r="N90" s="907"/>
      <c r="O90" s="907"/>
      <c r="P90" s="907"/>
      <c r="Q90" s="907"/>
      <c r="R90" s="907"/>
      <c r="S90" s="907"/>
      <c r="T90" s="907"/>
      <c r="U90" s="907"/>
      <c r="V90" s="907"/>
      <c r="W90" s="907"/>
      <c r="X90" s="907"/>
      <c r="Y90" s="907"/>
      <c r="Z90" s="907"/>
      <c r="AA90" s="907"/>
      <c r="AB90" s="907"/>
      <c r="AC90" s="907"/>
    </row>
    <row r="91" spans="1:29">
      <c r="A91" s="907"/>
      <c r="B91" s="907"/>
      <c r="C91" s="907"/>
      <c r="D91" s="907"/>
      <c r="E91" s="907"/>
      <c r="F91" s="907"/>
      <c r="G91" s="907"/>
      <c r="H91" s="907"/>
      <c r="I91" s="907"/>
      <c r="J91" s="907"/>
      <c r="K91" s="907"/>
      <c r="L91" s="907"/>
      <c r="M91" s="907"/>
      <c r="N91" s="907"/>
      <c r="O91" s="907"/>
      <c r="P91" s="907"/>
      <c r="Q91" s="907"/>
      <c r="R91" s="907"/>
      <c r="S91" s="907"/>
      <c r="T91" s="907"/>
      <c r="U91" s="907"/>
      <c r="V91" s="907"/>
      <c r="W91" s="907"/>
      <c r="X91" s="907"/>
      <c r="Y91" s="907"/>
      <c r="Z91" s="907"/>
      <c r="AA91" s="907"/>
      <c r="AB91" s="907"/>
      <c r="AC91" s="907"/>
    </row>
    <row r="92" spans="1:29">
      <c r="A92" s="907"/>
      <c r="B92" s="907"/>
      <c r="C92" s="907"/>
      <c r="D92" s="907"/>
      <c r="E92" s="907"/>
      <c r="F92" s="907"/>
      <c r="G92" s="907"/>
      <c r="H92" s="907"/>
      <c r="I92" s="907"/>
      <c r="J92" s="907"/>
      <c r="K92" s="907"/>
      <c r="L92" s="907"/>
      <c r="M92" s="907"/>
      <c r="N92" s="907"/>
      <c r="O92" s="907"/>
      <c r="P92" s="907"/>
      <c r="Q92" s="907"/>
      <c r="R92" s="907"/>
      <c r="S92" s="907"/>
      <c r="T92" s="907"/>
      <c r="U92" s="907"/>
      <c r="V92" s="907"/>
      <c r="W92" s="907"/>
      <c r="X92" s="907"/>
      <c r="Y92" s="907"/>
      <c r="Z92" s="907"/>
      <c r="AA92" s="907"/>
      <c r="AB92" s="907"/>
      <c r="AC92" s="907"/>
    </row>
    <row r="93" spans="1:29">
      <c r="A93" s="907"/>
      <c r="B93" s="907"/>
      <c r="C93" s="907"/>
      <c r="D93" s="907"/>
      <c r="E93" s="907"/>
      <c r="F93" s="907"/>
      <c r="G93" s="907"/>
      <c r="H93" s="907"/>
      <c r="I93" s="907"/>
      <c r="J93" s="907"/>
      <c r="K93" s="907"/>
      <c r="L93" s="907"/>
      <c r="M93" s="907"/>
      <c r="N93" s="907"/>
      <c r="O93" s="907"/>
      <c r="P93" s="907"/>
      <c r="Q93" s="907"/>
      <c r="R93" s="907"/>
      <c r="S93" s="907"/>
      <c r="T93" s="907"/>
      <c r="U93" s="907"/>
      <c r="V93" s="907"/>
      <c r="W93" s="907"/>
      <c r="X93" s="907"/>
      <c r="Y93" s="907"/>
      <c r="Z93" s="907"/>
      <c r="AA93" s="907"/>
      <c r="AB93" s="907"/>
      <c r="AC93" s="907"/>
    </row>
    <row r="94" spans="1:29">
      <c r="A94" s="907"/>
      <c r="B94" s="907"/>
      <c r="C94" s="907"/>
      <c r="D94" s="907"/>
      <c r="E94" s="907"/>
      <c r="F94" s="907"/>
      <c r="G94" s="907"/>
      <c r="H94" s="907"/>
      <c r="I94" s="907"/>
      <c r="J94" s="907"/>
      <c r="K94" s="907"/>
      <c r="L94" s="907"/>
      <c r="M94" s="907"/>
      <c r="N94" s="907"/>
      <c r="O94" s="907"/>
      <c r="P94" s="907"/>
      <c r="Q94" s="907"/>
      <c r="R94" s="907"/>
      <c r="S94" s="907"/>
      <c r="T94" s="907"/>
      <c r="U94" s="907"/>
      <c r="V94" s="907"/>
      <c r="W94" s="907"/>
      <c r="X94" s="907"/>
      <c r="Y94" s="907"/>
      <c r="Z94" s="907"/>
      <c r="AA94" s="907"/>
      <c r="AB94" s="907"/>
      <c r="AC94" s="907"/>
    </row>
    <row r="95" spans="1:29">
      <c r="A95" s="907"/>
      <c r="B95" s="907"/>
      <c r="C95" s="907"/>
      <c r="D95" s="907"/>
      <c r="E95" s="907"/>
      <c r="F95" s="907"/>
      <c r="G95" s="907"/>
      <c r="H95" s="907"/>
      <c r="I95" s="907"/>
      <c r="J95" s="907"/>
      <c r="K95" s="907"/>
      <c r="L95" s="907"/>
      <c r="M95" s="907"/>
      <c r="N95" s="907"/>
      <c r="O95" s="907"/>
      <c r="P95" s="907"/>
      <c r="Q95" s="907"/>
      <c r="R95" s="907"/>
      <c r="S95" s="907"/>
      <c r="T95" s="907"/>
      <c r="U95" s="907"/>
      <c r="V95" s="907"/>
      <c r="W95" s="907"/>
      <c r="X95" s="907"/>
      <c r="Y95" s="907"/>
      <c r="Z95" s="907"/>
      <c r="AA95" s="907"/>
      <c r="AB95" s="907"/>
      <c r="AC95" s="907"/>
    </row>
    <row r="96" spans="1:29">
      <c r="A96" s="907"/>
      <c r="B96" s="907"/>
      <c r="C96" s="907"/>
      <c r="D96" s="907"/>
      <c r="E96" s="907"/>
      <c r="F96" s="907"/>
      <c r="G96" s="907"/>
      <c r="H96" s="907"/>
      <c r="I96" s="907"/>
      <c r="J96" s="907"/>
      <c r="K96" s="907"/>
      <c r="L96" s="907"/>
      <c r="M96" s="907"/>
      <c r="N96" s="907"/>
      <c r="O96" s="907"/>
      <c r="P96" s="907"/>
      <c r="Q96" s="907"/>
      <c r="R96" s="907"/>
      <c r="S96" s="907"/>
      <c r="T96" s="907"/>
      <c r="U96" s="907"/>
      <c r="V96" s="907"/>
      <c r="W96" s="907"/>
      <c r="X96" s="907"/>
      <c r="Y96" s="907"/>
      <c r="Z96" s="907"/>
      <c r="AA96" s="907"/>
      <c r="AB96" s="907"/>
      <c r="AC96" s="907"/>
    </row>
    <row r="97" spans="1:29">
      <c r="A97" s="907"/>
      <c r="B97" s="907"/>
      <c r="C97" s="907"/>
      <c r="D97" s="907"/>
      <c r="E97" s="907"/>
      <c r="F97" s="907"/>
      <c r="G97" s="907"/>
      <c r="H97" s="907"/>
      <c r="I97" s="907"/>
      <c r="J97" s="907"/>
      <c r="K97" s="907"/>
      <c r="L97" s="907"/>
      <c r="M97" s="907"/>
      <c r="N97" s="907"/>
      <c r="O97" s="907"/>
      <c r="P97" s="907"/>
      <c r="Q97" s="907"/>
      <c r="R97" s="907"/>
      <c r="S97" s="907"/>
      <c r="T97" s="907"/>
      <c r="U97" s="907"/>
      <c r="V97" s="907"/>
      <c r="W97" s="907"/>
      <c r="X97" s="907"/>
      <c r="Y97" s="907"/>
      <c r="Z97" s="907"/>
      <c r="AA97" s="907"/>
      <c r="AB97" s="907"/>
      <c r="AC97" s="907"/>
    </row>
    <row r="98" spans="1:29">
      <c r="A98" s="907"/>
      <c r="B98" s="907"/>
      <c r="C98" s="907"/>
      <c r="D98" s="907"/>
      <c r="E98" s="907"/>
      <c r="F98" s="907"/>
      <c r="G98" s="907"/>
      <c r="H98" s="907"/>
      <c r="I98" s="907"/>
      <c r="J98" s="907"/>
      <c r="K98" s="907"/>
      <c r="L98" s="907"/>
      <c r="M98" s="907"/>
      <c r="N98" s="907"/>
      <c r="O98" s="907"/>
      <c r="P98" s="907"/>
      <c r="Q98" s="907"/>
      <c r="R98" s="907"/>
      <c r="S98" s="907"/>
      <c r="T98" s="907"/>
      <c r="U98" s="907"/>
      <c r="V98" s="907"/>
      <c r="W98" s="907"/>
      <c r="X98" s="907"/>
      <c r="Y98" s="907"/>
      <c r="Z98" s="907"/>
      <c r="AA98" s="907"/>
      <c r="AB98" s="907"/>
      <c r="AC98" s="907"/>
    </row>
    <row r="99" spans="1:29">
      <c r="A99" s="907"/>
      <c r="B99" s="907"/>
      <c r="C99" s="907"/>
      <c r="D99" s="907"/>
      <c r="E99" s="907"/>
      <c r="F99" s="907"/>
      <c r="G99" s="907"/>
      <c r="H99" s="907"/>
      <c r="I99" s="907"/>
      <c r="J99" s="907"/>
      <c r="K99" s="907"/>
      <c r="L99" s="907"/>
      <c r="M99" s="907"/>
      <c r="N99" s="907"/>
      <c r="O99" s="907"/>
      <c r="P99" s="907"/>
      <c r="Q99" s="907"/>
      <c r="R99" s="907"/>
      <c r="S99" s="907"/>
      <c r="T99" s="907"/>
      <c r="U99" s="907"/>
      <c r="V99" s="907"/>
      <c r="W99" s="907"/>
      <c r="X99" s="907"/>
      <c r="Y99" s="907"/>
      <c r="Z99" s="907"/>
      <c r="AA99" s="907"/>
      <c r="AB99" s="907"/>
      <c r="AC99" s="907"/>
    </row>
    <row r="100" spans="1:29">
      <c r="A100" s="907"/>
      <c r="B100" s="907"/>
      <c r="C100" s="907"/>
      <c r="D100" s="907"/>
      <c r="E100" s="907"/>
      <c r="F100" s="907"/>
      <c r="G100" s="907"/>
      <c r="H100" s="907"/>
      <c r="I100" s="907"/>
      <c r="J100" s="907"/>
      <c r="K100" s="907"/>
      <c r="L100" s="907"/>
      <c r="M100" s="907"/>
      <c r="N100" s="907"/>
      <c r="O100" s="907"/>
      <c r="P100" s="907"/>
      <c r="Q100" s="907"/>
      <c r="R100" s="907"/>
      <c r="S100" s="907"/>
      <c r="T100" s="907"/>
      <c r="U100" s="907"/>
      <c r="V100" s="907"/>
      <c r="W100" s="907"/>
      <c r="X100" s="907"/>
      <c r="Y100" s="907"/>
      <c r="Z100" s="907"/>
      <c r="AA100" s="907"/>
      <c r="AB100" s="907"/>
      <c r="AC100" s="907"/>
    </row>
    <row r="101" spans="1:29">
      <c r="A101" s="907"/>
      <c r="B101" s="907"/>
      <c r="C101" s="907"/>
      <c r="D101" s="907"/>
      <c r="E101" s="907"/>
      <c r="F101" s="907"/>
      <c r="G101" s="907"/>
      <c r="H101" s="907"/>
      <c r="I101" s="907"/>
      <c r="J101" s="907"/>
      <c r="K101" s="907"/>
      <c r="L101" s="907"/>
      <c r="M101" s="907"/>
      <c r="N101" s="907"/>
      <c r="O101" s="907"/>
      <c r="P101" s="907"/>
      <c r="Q101" s="907"/>
      <c r="R101" s="907"/>
      <c r="S101" s="907"/>
      <c r="T101" s="907"/>
      <c r="U101" s="907"/>
      <c r="V101" s="907"/>
      <c r="W101" s="907"/>
      <c r="X101" s="907"/>
      <c r="Y101" s="907"/>
      <c r="Z101" s="907"/>
      <c r="AA101" s="907"/>
      <c r="AB101" s="907"/>
      <c r="AC101" s="907"/>
    </row>
    <row r="102" spans="1:29">
      <c r="A102" s="907"/>
      <c r="B102" s="907"/>
      <c r="C102" s="907"/>
      <c r="D102" s="907"/>
      <c r="E102" s="907"/>
      <c r="F102" s="907"/>
      <c r="G102" s="907"/>
      <c r="H102" s="907"/>
      <c r="I102" s="907"/>
      <c r="J102" s="907"/>
      <c r="K102" s="907"/>
      <c r="L102" s="907"/>
      <c r="M102" s="907"/>
      <c r="N102" s="907"/>
      <c r="O102" s="907"/>
      <c r="P102" s="907"/>
      <c r="Q102" s="907"/>
      <c r="R102" s="907"/>
      <c r="S102" s="907"/>
      <c r="T102" s="907"/>
      <c r="U102" s="907"/>
      <c r="V102" s="907"/>
      <c r="W102" s="907"/>
      <c r="X102" s="907"/>
      <c r="Y102" s="907"/>
      <c r="Z102" s="907"/>
      <c r="AA102" s="907"/>
      <c r="AB102" s="907"/>
      <c r="AC102" s="907"/>
    </row>
    <row r="103" spans="1:29">
      <c r="A103" s="907"/>
      <c r="B103" s="907"/>
      <c r="C103" s="907"/>
      <c r="D103" s="907"/>
      <c r="E103" s="907"/>
      <c r="F103" s="907"/>
      <c r="G103" s="907"/>
      <c r="H103" s="907"/>
      <c r="I103" s="907"/>
      <c r="J103" s="907"/>
      <c r="K103" s="907"/>
      <c r="L103" s="907"/>
      <c r="M103" s="907"/>
      <c r="N103" s="907"/>
      <c r="O103" s="907"/>
      <c r="P103" s="907"/>
      <c r="Q103" s="907"/>
      <c r="R103" s="907"/>
      <c r="S103" s="907"/>
      <c r="T103" s="907"/>
      <c r="U103" s="907"/>
      <c r="V103" s="907"/>
      <c r="W103" s="907"/>
      <c r="X103" s="907"/>
      <c r="Y103" s="907"/>
      <c r="Z103" s="907"/>
      <c r="AA103" s="907"/>
      <c r="AB103" s="907"/>
      <c r="AC103" s="907"/>
    </row>
    <row r="104" spans="1:29">
      <c r="A104" s="907"/>
      <c r="B104" s="907"/>
      <c r="C104" s="907"/>
      <c r="D104" s="907"/>
      <c r="E104" s="907"/>
      <c r="F104" s="907"/>
      <c r="G104" s="907"/>
      <c r="H104" s="907"/>
      <c r="I104" s="907"/>
      <c r="J104" s="907"/>
      <c r="K104" s="907"/>
      <c r="L104" s="907"/>
      <c r="M104" s="907"/>
      <c r="N104" s="907"/>
      <c r="O104" s="907"/>
      <c r="P104" s="907"/>
      <c r="Q104" s="907"/>
      <c r="R104" s="907"/>
      <c r="S104" s="907"/>
      <c r="T104" s="907"/>
      <c r="U104" s="907"/>
      <c r="V104" s="907"/>
      <c r="W104" s="907"/>
      <c r="X104" s="907"/>
      <c r="Y104" s="907"/>
      <c r="Z104" s="907"/>
      <c r="AA104" s="907"/>
      <c r="AB104" s="907"/>
      <c r="AC104" s="907"/>
    </row>
    <row r="105" spans="1:29">
      <c r="A105" s="907"/>
      <c r="B105" s="907"/>
      <c r="C105" s="907"/>
      <c r="D105" s="907"/>
      <c r="E105" s="907"/>
      <c r="F105" s="907"/>
      <c r="G105" s="907"/>
      <c r="H105" s="907"/>
      <c r="I105" s="907"/>
      <c r="J105" s="907"/>
      <c r="K105" s="907"/>
      <c r="L105" s="907"/>
      <c r="M105" s="907"/>
      <c r="N105" s="907"/>
      <c r="O105" s="907"/>
      <c r="P105" s="907"/>
      <c r="Q105" s="907"/>
      <c r="R105" s="907"/>
      <c r="S105" s="907"/>
      <c r="T105" s="907"/>
      <c r="U105" s="907"/>
      <c r="V105" s="907"/>
      <c r="W105" s="907"/>
      <c r="X105" s="907"/>
      <c r="Y105" s="907"/>
      <c r="Z105" s="907"/>
      <c r="AA105" s="907"/>
      <c r="AB105" s="907"/>
      <c r="AC105" s="907"/>
    </row>
    <row r="106" spans="1:29">
      <c r="A106" s="907"/>
      <c r="B106" s="907"/>
      <c r="C106" s="907"/>
      <c r="D106" s="907"/>
      <c r="E106" s="907"/>
      <c r="F106" s="907"/>
      <c r="G106" s="907"/>
      <c r="H106" s="907"/>
      <c r="I106" s="907"/>
      <c r="J106" s="907"/>
      <c r="K106" s="907"/>
      <c r="L106" s="907"/>
      <c r="M106" s="907"/>
      <c r="N106" s="907"/>
      <c r="O106" s="907"/>
      <c r="P106" s="907"/>
      <c r="Q106" s="907"/>
      <c r="R106" s="907"/>
      <c r="S106" s="907"/>
      <c r="T106" s="907"/>
      <c r="U106" s="907"/>
      <c r="V106" s="907"/>
      <c r="W106" s="907"/>
      <c r="X106" s="907"/>
      <c r="Y106" s="907"/>
      <c r="Z106" s="907"/>
      <c r="AA106" s="907"/>
      <c r="AB106" s="907"/>
      <c r="AC106" s="907"/>
    </row>
    <row r="107" spans="1:29">
      <c r="A107" s="907"/>
      <c r="B107" s="907"/>
      <c r="C107" s="907"/>
      <c r="D107" s="907"/>
      <c r="E107" s="907"/>
      <c r="F107" s="907"/>
      <c r="G107" s="907"/>
      <c r="H107" s="907"/>
      <c r="I107" s="907"/>
      <c r="J107" s="907"/>
      <c r="K107" s="907"/>
      <c r="L107" s="907"/>
      <c r="M107" s="907"/>
      <c r="N107" s="907"/>
      <c r="O107" s="907"/>
      <c r="P107" s="907"/>
      <c r="Q107" s="907"/>
      <c r="R107" s="907"/>
      <c r="S107" s="907"/>
      <c r="T107" s="907"/>
      <c r="U107" s="907"/>
      <c r="V107" s="907"/>
      <c r="W107" s="907"/>
      <c r="X107" s="907"/>
      <c r="Y107" s="907"/>
      <c r="Z107" s="907"/>
      <c r="AA107" s="907"/>
      <c r="AB107" s="907"/>
      <c r="AC107" s="907"/>
    </row>
    <row r="108" spans="1:29">
      <c r="A108" s="907"/>
      <c r="B108" s="907"/>
      <c r="C108" s="907"/>
      <c r="D108" s="907"/>
      <c r="E108" s="907"/>
      <c r="F108" s="907"/>
      <c r="G108" s="907"/>
      <c r="H108" s="907"/>
      <c r="I108" s="907"/>
      <c r="J108" s="907"/>
      <c r="K108" s="907"/>
      <c r="L108" s="907"/>
      <c r="M108" s="907"/>
      <c r="N108" s="907"/>
      <c r="O108" s="907"/>
      <c r="P108" s="907"/>
      <c r="Q108" s="907"/>
      <c r="R108" s="907"/>
      <c r="S108" s="907"/>
      <c r="T108" s="907"/>
      <c r="U108" s="907"/>
      <c r="V108" s="907"/>
      <c r="W108" s="907"/>
      <c r="X108" s="907"/>
      <c r="Y108" s="907"/>
      <c r="Z108" s="907"/>
      <c r="AA108" s="907"/>
      <c r="AB108" s="907"/>
      <c r="AC108" s="907"/>
    </row>
    <row r="109" spans="1:29">
      <c r="A109" s="907"/>
      <c r="B109" s="907"/>
      <c r="C109" s="907"/>
      <c r="D109" s="907"/>
      <c r="E109" s="907"/>
      <c r="F109" s="907"/>
      <c r="G109" s="907"/>
      <c r="H109" s="907"/>
      <c r="I109" s="907"/>
      <c r="J109" s="907"/>
      <c r="K109" s="907"/>
      <c r="L109" s="907"/>
      <c r="M109" s="907"/>
      <c r="N109" s="907"/>
      <c r="O109" s="907"/>
      <c r="P109" s="907"/>
      <c r="Q109" s="907"/>
      <c r="R109" s="907"/>
      <c r="S109" s="907"/>
      <c r="T109" s="907"/>
      <c r="U109" s="907"/>
      <c r="V109" s="907"/>
      <c r="W109" s="907"/>
      <c r="X109" s="907"/>
      <c r="Y109" s="907"/>
      <c r="Z109" s="907"/>
      <c r="AA109" s="907"/>
      <c r="AB109" s="907"/>
      <c r="AC109" s="907"/>
    </row>
    <row r="110" spans="1:29">
      <c r="A110" s="907"/>
      <c r="B110" s="907"/>
      <c r="C110" s="907"/>
      <c r="D110" s="907"/>
      <c r="E110" s="907"/>
      <c r="F110" s="907"/>
      <c r="G110" s="907"/>
      <c r="H110" s="907"/>
      <c r="I110" s="907"/>
      <c r="J110" s="907"/>
      <c r="K110" s="907"/>
      <c r="L110" s="907"/>
      <c r="M110" s="907"/>
      <c r="N110" s="907"/>
      <c r="O110" s="907"/>
      <c r="P110" s="907"/>
      <c r="Q110" s="907"/>
      <c r="R110" s="907"/>
      <c r="S110" s="907"/>
      <c r="T110" s="907"/>
      <c r="U110" s="907"/>
      <c r="V110" s="907"/>
      <c r="W110" s="907"/>
      <c r="X110" s="907"/>
      <c r="Y110" s="907"/>
      <c r="Z110" s="907"/>
      <c r="AA110" s="907"/>
      <c r="AB110" s="907"/>
      <c r="AC110" s="907"/>
    </row>
    <row r="111" spans="1:29">
      <c r="A111" s="907"/>
      <c r="B111" s="907"/>
      <c r="C111" s="907"/>
      <c r="D111" s="907"/>
      <c r="E111" s="907"/>
      <c r="F111" s="907"/>
      <c r="G111" s="907"/>
      <c r="H111" s="907"/>
      <c r="I111" s="907"/>
      <c r="J111" s="907"/>
      <c r="K111" s="907"/>
      <c r="L111" s="907"/>
      <c r="M111" s="907"/>
      <c r="N111" s="907"/>
      <c r="O111" s="907"/>
      <c r="P111" s="907"/>
      <c r="Q111" s="907"/>
      <c r="R111" s="907"/>
      <c r="S111" s="907"/>
      <c r="T111" s="907"/>
      <c r="U111" s="907"/>
      <c r="V111" s="907"/>
      <c r="W111" s="907"/>
      <c r="X111" s="907"/>
      <c r="Y111" s="907"/>
      <c r="Z111" s="907"/>
      <c r="AA111" s="907"/>
      <c r="AB111" s="907"/>
      <c r="AC111" s="907"/>
    </row>
    <row r="112" spans="1:29">
      <c r="A112" s="907"/>
      <c r="B112" s="907"/>
      <c r="C112" s="907"/>
      <c r="D112" s="907"/>
      <c r="E112" s="907"/>
      <c r="F112" s="907"/>
      <c r="G112" s="907"/>
      <c r="H112" s="907"/>
      <c r="I112" s="907"/>
      <c r="J112" s="907"/>
      <c r="K112" s="907"/>
      <c r="L112" s="907"/>
      <c r="M112" s="907"/>
      <c r="N112" s="907"/>
      <c r="O112" s="907"/>
      <c r="P112" s="907"/>
      <c r="Q112" s="907"/>
      <c r="R112" s="907"/>
      <c r="S112" s="907"/>
      <c r="T112" s="907"/>
      <c r="U112" s="907"/>
      <c r="V112" s="907"/>
      <c r="W112" s="907"/>
      <c r="X112" s="907"/>
      <c r="Y112" s="907"/>
      <c r="Z112" s="907"/>
      <c r="AA112" s="907"/>
      <c r="AB112" s="907"/>
      <c r="AC112" s="907"/>
    </row>
    <row r="113" spans="1:29">
      <c r="A113" s="907"/>
      <c r="B113" s="907"/>
      <c r="C113" s="907"/>
      <c r="D113" s="907"/>
      <c r="E113" s="907"/>
      <c r="F113" s="907"/>
      <c r="G113" s="907"/>
      <c r="H113" s="907"/>
      <c r="I113" s="907"/>
      <c r="J113" s="907"/>
      <c r="K113" s="907"/>
      <c r="L113" s="907"/>
      <c r="M113" s="907"/>
      <c r="N113" s="907"/>
      <c r="O113" s="907"/>
      <c r="P113" s="907"/>
      <c r="Q113" s="907"/>
      <c r="R113" s="907"/>
      <c r="S113" s="907"/>
      <c r="T113" s="907"/>
      <c r="U113" s="907"/>
      <c r="V113" s="907"/>
      <c r="W113" s="907"/>
      <c r="X113" s="907"/>
      <c r="Y113" s="907"/>
      <c r="Z113" s="907"/>
      <c r="AA113" s="907"/>
      <c r="AB113" s="907"/>
      <c r="AC113" s="907"/>
    </row>
    <row r="114" spans="1:29">
      <c r="A114" s="907"/>
      <c r="B114" s="907"/>
      <c r="C114" s="907"/>
      <c r="D114" s="907"/>
      <c r="E114" s="907"/>
      <c r="F114" s="907"/>
      <c r="G114" s="907"/>
      <c r="H114" s="907"/>
      <c r="I114" s="907"/>
      <c r="J114" s="907"/>
      <c r="K114" s="907"/>
      <c r="L114" s="907"/>
      <c r="M114" s="907"/>
      <c r="N114" s="907"/>
      <c r="O114" s="907"/>
      <c r="P114" s="907"/>
      <c r="Q114" s="907"/>
      <c r="R114" s="907"/>
      <c r="S114" s="907"/>
      <c r="T114" s="907"/>
      <c r="U114" s="907"/>
      <c r="V114" s="907"/>
      <c r="W114" s="907"/>
      <c r="X114" s="907"/>
      <c r="Y114" s="907"/>
      <c r="Z114" s="907"/>
      <c r="AA114" s="907"/>
      <c r="AB114" s="907"/>
      <c r="AC114" s="907"/>
    </row>
    <row r="115" spans="1:29">
      <c r="A115" s="907"/>
      <c r="B115" s="907"/>
      <c r="C115" s="907"/>
      <c r="D115" s="907"/>
      <c r="E115" s="907"/>
      <c r="F115" s="907"/>
      <c r="G115" s="907"/>
      <c r="H115" s="907"/>
      <c r="I115" s="907"/>
      <c r="J115" s="907"/>
      <c r="K115" s="907"/>
      <c r="L115" s="907"/>
      <c r="M115" s="907"/>
      <c r="N115" s="907"/>
      <c r="O115" s="907"/>
      <c r="P115" s="907"/>
      <c r="Q115" s="907"/>
      <c r="R115" s="907"/>
      <c r="S115" s="907"/>
      <c r="T115" s="907"/>
      <c r="U115" s="907"/>
      <c r="V115" s="907"/>
      <c r="W115" s="907"/>
      <c r="X115" s="907"/>
      <c r="Y115" s="907"/>
      <c r="Z115" s="907"/>
      <c r="AA115" s="907"/>
      <c r="AB115" s="907"/>
      <c r="AC115" s="907"/>
    </row>
    <row r="116" spans="1:29">
      <c r="A116" s="907"/>
      <c r="B116" s="907"/>
      <c r="C116" s="907"/>
      <c r="D116" s="907"/>
      <c r="E116" s="907"/>
      <c r="F116" s="907"/>
      <c r="G116" s="907"/>
      <c r="H116" s="907"/>
      <c r="I116" s="907"/>
      <c r="J116" s="907"/>
      <c r="K116" s="907"/>
      <c r="L116" s="907"/>
      <c r="M116" s="907"/>
      <c r="N116" s="907"/>
      <c r="O116" s="907"/>
      <c r="P116" s="907"/>
      <c r="Q116" s="907"/>
      <c r="R116" s="907"/>
      <c r="S116" s="907"/>
      <c r="T116" s="907"/>
      <c r="U116" s="907"/>
      <c r="V116" s="907"/>
      <c r="W116" s="907"/>
      <c r="X116" s="907"/>
      <c r="Y116" s="907"/>
      <c r="Z116" s="907"/>
      <c r="AA116" s="907"/>
      <c r="AB116" s="907"/>
      <c r="AC116" s="907"/>
    </row>
    <row r="117" spans="1:29">
      <c r="A117" s="907"/>
      <c r="B117" s="907"/>
      <c r="C117" s="907"/>
      <c r="D117" s="907"/>
      <c r="E117" s="907"/>
      <c r="F117" s="907"/>
      <c r="G117" s="907"/>
      <c r="H117" s="907"/>
      <c r="I117" s="907"/>
      <c r="J117" s="907"/>
      <c r="K117" s="907"/>
      <c r="L117" s="907"/>
      <c r="M117" s="907"/>
      <c r="N117" s="907"/>
      <c r="O117" s="907"/>
      <c r="P117" s="907"/>
      <c r="Q117" s="907"/>
      <c r="R117" s="907"/>
      <c r="S117" s="907"/>
      <c r="T117" s="907"/>
      <c r="U117" s="907"/>
      <c r="V117" s="907"/>
      <c r="W117" s="907"/>
      <c r="X117" s="907"/>
      <c r="Y117" s="907"/>
      <c r="Z117" s="907"/>
      <c r="AA117" s="907"/>
      <c r="AB117" s="907"/>
      <c r="AC117" s="907"/>
    </row>
    <row r="118" spans="1:29">
      <c r="A118" s="907"/>
      <c r="B118" s="907"/>
      <c r="C118" s="907"/>
      <c r="D118" s="907"/>
      <c r="E118" s="907"/>
      <c r="F118" s="907"/>
      <c r="G118" s="907"/>
      <c r="H118" s="907"/>
      <c r="I118" s="907"/>
      <c r="J118" s="907"/>
      <c r="K118" s="907"/>
      <c r="L118" s="907"/>
      <c r="M118" s="907"/>
      <c r="N118" s="907"/>
      <c r="O118" s="907"/>
      <c r="P118" s="907"/>
      <c r="Q118" s="907"/>
      <c r="R118" s="907"/>
      <c r="S118" s="907"/>
      <c r="T118" s="907"/>
      <c r="U118" s="907"/>
      <c r="V118" s="907"/>
      <c r="W118" s="907"/>
      <c r="X118" s="907"/>
      <c r="Y118" s="907"/>
      <c r="Z118" s="907"/>
      <c r="AA118" s="907"/>
      <c r="AB118" s="907"/>
      <c r="AC118" s="907"/>
    </row>
    <row r="119" spans="1:29">
      <c r="A119" s="907"/>
      <c r="B119" s="907"/>
      <c r="C119" s="907"/>
      <c r="D119" s="907"/>
      <c r="E119" s="907"/>
      <c r="F119" s="907"/>
      <c r="G119" s="907"/>
      <c r="H119" s="907"/>
      <c r="I119" s="907"/>
      <c r="J119" s="907"/>
      <c r="K119" s="907"/>
      <c r="L119" s="907"/>
      <c r="M119" s="907"/>
      <c r="N119" s="907"/>
      <c r="O119" s="907"/>
      <c r="P119" s="907"/>
      <c r="Q119" s="907"/>
      <c r="R119" s="907"/>
      <c r="S119" s="907"/>
      <c r="T119" s="907"/>
      <c r="U119" s="907"/>
      <c r="V119" s="907"/>
      <c r="W119" s="907"/>
      <c r="X119" s="907"/>
      <c r="Y119" s="907"/>
      <c r="Z119" s="907"/>
      <c r="AA119" s="907"/>
      <c r="AB119" s="907"/>
      <c r="AC119" s="907"/>
    </row>
    <row r="120" spans="1:29">
      <c r="A120" s="907"/>
      <c r="B120" s="907"/>
      <c r="C120" s="907"/>
      <c r="D120" s="907"/>
      <c r="E120" s="907"/>
      <c r="F120" s="907"/>
      <c r="G120" s="907"/>
      <c r="H120" s="907"/>
      <c r="I120" s="907"/>
      <c r="J120" s="907"/>
      <c r="K120" s="907"/>
      <c r="L120" s="907"/>
      <c r="M120" s="907"/>
      <c r="N120" s="907"/>
      <c r="O120" s="907"/>
      <c r="P120" s="907"/>
      <c r="Q120" s="907"/>
      <c r="R120" s="907"/>
      <c r="S120" s="907"/>
      <c r="T120" s="907"/>
      <c r="U120" s="907"/>
      <c r="V120" s="907"/>
      <c r="W120" s="907"/>
      <c r="X120" s="907"/>
      <c r="Y120" s="907"/>
      <c r="Z120" s="907"/>
      <c r="AA120" s="907"/>
      <c r="AB120" s="907"/>
      <c r="AC120" s="907"/>
    </row>
    <row r="121" spans="1:29">
      <c r="A121" s="907"/>
      <c r="B121" s="907"/>
      <c r="C121" s="907"/>
      <c r="D121" s="907"/>
      <c r="E121" s="907"/>
      <c r="F121" s="907"/>
      <c r="G121" s="907"/>
      <c r="H121" s="907"/>
      <c r="I121" s="907"/>
      <c r="J121" s="907"/>
      <c r="K121" s="907"/>
      <c r="L121" s="907"/>
      <c r="M121" s="907"/>
      <c r="N121" s="907"/>
      <c r="O121" s="907"/>
      <c r="P121" s="907"/>
      <c r="Q121" s="907"/>
      <c r="R121" s="907"/>
      <c r="S121" s="907"/>
      <c r="T121" s="907"/>
      <c r="U121" s="907"/>
      <c r="V121" s="907"/>
      <c r="W121" s="907"/>
      <c r="X121" s="907"/>
      <c r="Y121" s="907"/>
      <c r="Z121" s="907"/>
      <c r="AA121" s="907"/>
      <c r="AB121" s="907"/>
      <c r="AC121" s="907"/>
    </row>
    <row r="122" spans="1:29">
      <c r="A122" s="907"/>
      <c r="B122" s="907"/>
      <c r="C122" s="907"/>
      <c r="D122" s="907"/>
      <c r="E122" s="907"/>
      <c r="F122" s="907"/>
      <c r="G122" s="907"/>
      <c r="H122" s="907"/>
      <c r="I122" s="907"/>
      <c r="J122" s="907"/>
      <c r="K122" s="907"/>
      <c r="L122" s="907"/>
      <c r="M122" s="907"/>
      <c r="N122" s="907"/>
      <c r="O122" s="907"/>
      <c r="P122" s="907"/>
      <c r="Q122" s="907"/>
      <c r="R122" s="907"/>
      <c r="S122" s="907"/>
      <c r="T122" s="907"/>
      <c r="U122" s="907"/>
      <c r="V122" s="907"/>
      <c r="W122" s="907"/>
      <c r="X122" s="907"/>
      <c r="Y122" s="907"/>
      <c r="Z122" s="907"/>
      <c r="AA122" s="907"/>
      <c r="AB122" s="907"/>
      <c r="AC122" s="907"/>
    </row>
    <row r="123" spans="1:29">
      <c r="A123" s="907"/>
      <c r="B123" s="907"/>
      <c r="C123" s="907"/>
      <c r="D123" s="907"/>
      <c r="E123" s="907"/>
      <c r="F123" s="907"/>
      <c r="G123" s="907"/>
      <c r="H123" s="907"/>
      <c r="I123" s="907"/>
      <c r="J123" s="907"/>
      <c r="K123" s="907"/>
      <c r="L123" s="907"/>
      <c r="M123" s="907"/>
      <c r="N123" s="907"/>
      <c r="O123" s="907"/>
      <c r="P123" s="907"/>
      <c r="Q123" s="907"/>
      <c r="R123" s="907"/>
      <c r="S123" s="907"/>
      <c r="T123" s="907"/>
      <c r="U123" s="907"/>
      <c r="V123" s="907"/>
      <c r="W123" s="907"/>
      <c r="X123" s="907"/>
      <c r="Y123" s="907"/>
      <c r="Z123" s="907"/>
      <c r="AA123" s="907"/>
      <c r="AB123" s="907"/>
      <c r="AC123" s="907"/>
    </row>
    <row r="124" spans="1:29">
      <c r="A124" s="907"/>
      <c r="B124" s="907"/>
      <c r="C124" s="907"/>
      <c r="D124" s="907"/>
      <c r="E124" s="907"/>
      <c r="F124" s="907"/>
      <c r="G124" s="907"/>
      <c r="H124" s="907"/>
      <c r="I124" s="907"/>
      <c r="J124" s="907"/>
      <c r="K124" s="907"/>
      <c r="L124" s="907"/>
      <c r="M124" s="907"/>
      <c r="N124" s="907"/>
      <c r="O124" s="907"/>
      <c r="P124" s="907"/>
      <c r="Q124" s="907"/>
      <c r="R124" s="907"/>
      <c r="S124" s="907"/>
      <c r="T124" s="907"/>
      <c r="U124" s="907"/>
      <c r="V124" s="907"/>
      <c r="W124" s="907"/>
      <c r="X124" s="907"/>
      <c r="Y124" s="907"/>
      <c r="Z124" s="907"/>
      <c r="AA124" s="907"/>
      <c r="AB124" s="907"/>
      <c r="AC124" s="907"/>
    </row>
    <row r="125" spans="1:29">
      <c r="A125" s="907"/>
      <c r="B125" s="907"/>
      <c r="C125" s="907"/>
      <c r="D125" s="907"/>
      <c r="E125" s="907"/>
      <c r="F125" s="907"/>
      <c r="G125" s="907"/>
      <c r="H125" s="907"/>
      <c r="I125" s="907"/>
      <c r="J125" s="907"/>
      <c r="K125" s="907"/>
      <c r="L125" s="907"/>
      <c r="M125" s="907"/>
      <c r="N125" s="907"/>
      <c r="O125" s="907"/>
      <c r="P125" s="907"/>
      <c r="Q125" s="907"/>
      <c r="R125" s="907"/>
      <c r="S125" s="907"/>
      <c r="T125" s="907"/>
      <c r="U125" s="907"/>
      <c r="V125" s="907"/>
      <c r="W125" s="907"/>
      <c r="X125" s="907"/>
      <c r="Y125" s="907"/>
      <c r="Z125" s="907"/>
      <c r="AA125" s="907"/>
      <c r="AB125" s="907"/>
      <c r="AC125" s="907"/>
    </row>
    <row r="126" spans="1:29">
      <c r="A126" s="907"/>
      <c r="B126" s="907"/>
      <c r="C126" s="907"/>
      <c r="D126" s="907"/>
      <c r="E126" s="907"/>
      <c r="F126" s="907"/>
      <c r="G126" s="907"/>
      <c r="H126" s="907"/>
      <c r="I126" s="907"/>
      <c r="J126" s="907"/>
      <c r="K126" s="907"/>
      <c r="L126" s="907"/>
      <c r="M126" s="907"/>
      <c r="N126" s="907"/>
      <c r="O126" s="907"/>
      <c r="P126" s="907"/>
      <c r="Q126" s="907"/>
      <c r="R126" s="907"/>
      <c r="S126" s="907"/>
      <c r="T126" s="907"/>
      <c r="U126" s="907"/>
      <c r="V126" s="907"/>
      <c r="W126" s="907"/>
      <c r="X126" s="907"/>
      <c r="Y126" s="907"/>
      <c r="Z126" s="907"/>
      <c r="AA126" s="907"/>
      <c r="AB126" s="907"/>
      <c r="AC126" s="907"/>
    </row>
    <row r="127" spans="1:29">
      <c r="A127" s="907"/>
      <c r="B127" s="907"/>
      <c r="C127" s="907"/>
      <c r="D127" s="907"/>
      <c r="E127" s="907"/>
      <c r="F127" s="907"/>
      <c r="G127" s="907"/>
      <c r="H127" s="907"/>
      <c r="I127" s="907"/>
      <c r="J127" s="907"/>
      <c r="K127" s="907"/>
      <c r="L127" s="907"/>
      <c r="M127" s="907"/>
      <c r="N127" s="907"/>
      <c r="O127" s="907"/>
      <c r="P127" s="907"/>
      <c r="Q127" s="907"/>
      <c r="R127" s="907"/>
      <c r="S127" s="907"/>
      <c r="T127" s="907"/>
      <c r="U127" s="907"/>
      <c r="V127" s="907"/>
      <c r="W127" s="907"/>
      <c r="X127" s="907"/>
      <c r="Y127" s="907"/>
      <c r="Z127" s="907"/>
      <c r="AA127" s="907"/>
      <c r="AB127" s="907"/>
      <c r="AC127" s="907"/>
    </row>
    <row r="128" spans="1:29">
      <c r="A128" s="907"/>
      <c r="B128" s="907"/>
      <c r="C128" s="907"/>
      <c r="D128" s="907"/>
      <c r="E128" s="907"/>
      <c r="F128" s="907"/>
      <c r="G128" s="907"/>
      <c r="H128" s="907"/>
      <c r="I128" s="907"/>
      <c r="J128" s="907"/>
      <c r="K128" s="907"/>
      <c r="L128" s="907"/>
      <c r="M128" s="907"/>
      <c r="N128" s="907"/>
      <c r="O128" s="907"/>
      <c r="P128" s="907"/>
      <c r="Q128" s="907"/>
      <c r="R128" s="907"/>
      <c r="S128" s="907"/>
      <c r="T128" s="907"/>
      <c r="U128" s="907"/>
      <c r="V128" s="907"/>
      <c r="W128" s="907"/>
      <c r="X128" s="907"/>
      <c r="Y128" s="907"/>
      <c r="Z128" s="907"/>
      <c r="AA128" s="907"/>
      <c r="AB128" s="907"/>
      <c r="AC128" s="907"/>
    </row>
    <row r="129" spans="1:29">
      <c r="A129" s="907"/>
      <c r="B129" s="907"/>
      <c r="C129" s="907"/>
      <c r="D129" s="907"/>
      <c r="E129" s="907"/>
      <c r="F129" s="907"/>
      <c r="G129" s="907"/>
      <c r="H129" s="907"/>
      <c r="I129" s="907"/>
      <c r="J129" s="907"/>
      <c r="K129" s="907"/>
      <c r="L129" s="907"/>
      <c r="M129" s="907"/>
      <c r="N129" s="907"/>
      <c r="O129" s="907"/>
      <c r="P129" s="907"/>
      <c r="Q129" s="907"/>
      <c r="R129" s="907"/>
      <c r="S129" s="907"/>
      <c r="T129" s="907"/>
      <c r="U129" s="907"/>
      <c r="V129" s="907"/>
      <c r="W129" s="907"/>
      <c r="X129" s="907"/>
      <c r="Y129" s="907"/>
      <c r="Z129" s="907"/>
      <c r="AA129" s="907"/>
      <c r="AB129" s="907"/>
      <c r="AC129" s="907"/>
    </row>
    <row r="130" spans="1:29">
      <c r="A130" s="907"/>
      <c r="B130" s="907"/>
      <c r="C130" s="907"/>
      <c r="D130" s="907"/>
      <c r="E130" s="907"/>
      <c r="F130" s="907"/>
      <c r="G130" s="907"/>
      <c r="H130" s="907"/>
      <c r="I130" s="907"/>
      <c r="J130" s="907"/>
      <c r="K130" s="907"/>
      <c r="L130" s="907"/>
      <c r="M130" s="907"/>
      <c r="N130" s="907"/>
      <c r="O130" s="907"/>
      <c r="P130" s="907"/>
      <c r="Q130" s="907"/>
      <c r="R130" s="907"/>
      <c r="S130" s="907"/>
      <c r="T130" s="907"/>
      <c r="U130" s="907"/>
      <c r="V130" s="907"/>
      <c r="W130" s="907"/>
      <c r="X130" s="907"/>
      <c r="Y130" s="907"/>
      <c r="Z130" s="907"/>
      <c r="AA130" s="907"/>
      <c r="AB130" s="907"/>
      <c r="AC130" s="907"/>
    </row>
    <row r="131" spans="1:29">
      <c r="A131" s="907"/>
      <c r="B131" s="907"/>
      <c r="C131" s="907"/>
      <c r="D131" s="907"/>
      <c r="E131" s="907"/>
      <c r="F131" s="907"/>
      <c r="G131" s="907"/>
      <c r="H131" s="907"/>
      <c r="I131" s="907"/>
      <c r="J131" s="907"/>
      <c r="K131" s="907"/>
      <c r="L131" s="907"/>
      <c r="M131" s="907"/>
      <c r="N131" s="907"/>
      <c r="O131" s="907"/>
      <c r="P131" s="907"/>
      <c r="Q131" s="907"/>
      <c r="R131" s="907"/>
      <c r="S131" s="907"/>
      <c r="T131" s="907"/>
      <c r="U131" s="907"/>
      <c r="V131" s="907"/>
      <c r="W131" s="907"/>
      <c r="X131" s="907"/>
      <c r="Y131" s="907"/>
      <c r="Z131" s="907"/>
      <c r="AA131" s="907"/>
      <c r="AB131" s="907"/>
      <c r="AC131" s="907"/>
    </row>
    <row r="132" spans="1:29">
      <c r="A132" s="907"/>
      <c r="B132" s="907"/>
      <c r="C132" s="907"/>
      <c r="D132" s="907"/>
      <c r="E132" s="907"/>
      <c r="F132" s="907"/>
      <c r="G132" s="907"/>
      <c r="H132" s="907"/>
      <c r="I132" s="907"/>
      <c r="J132" s="907"/>
      <c r="K132" s="907"/>
      <c r="L132" s="907"/>
      <c r="M132" s="907"/>
      <c r="N132" s="907"/>
      <c r="O132" s="907"/>
      <c r="P132" s="907"/>
      <c r="Q132" s="907"/>
      <c r="R132" s="907"/>
      <c r="S132" s="907"/>
      <c r="T132" s="907"/>
      <c r="U132" s="907"/>
      <c r="V132" s="907"/>
      <c r="W132" s="907"/>
      <c r="X132" s="907"/>
      <c r="Y132" s="907"/>
      <c r="Z132" s="907"/>
      <c r="AA132" s="907"/>
      <c r="AB132" s="907"/>
      <c r="AC132" s="907"/>
    </row>
    <row r="133" spans="1:29">
      <c r="A133" s="907"/>
      <c r="B133" s="907"/>
      <c r="C133" s="907"/>
      <c r="D133" s="907"/>
      <c r="E133" s="907"/>
      <c r="F133" s="907"/>
      <c r="G133" s="907"/>
      <c r="H133" s="907"/>
      <c r="I133" s="907"/>
      <c r="J133" s="907"/>
      <c r="K133" s="907"/>
      <c r="L133" s="907"/>
      <c r="M133" s="907"/>
      <c r="N133" s="907"/>
      <c r="O133" s="907"/>
      <c r="P133" s="907"/>
      <c r="Q133" s="907"/>
      <c r="R133" s="907"/>
      <c r="S133" s="907"/>
      <c r="T133" s="907"/>
      <c r="U133" s="907"/>
      <c r="V133" s="907"/>
      <c r="W133" s="907"/>
      <c r="X133" s="907"/>
      <c r="Y133" s="907"/>
      <c r="Z133" s="907"/>
      <c r="AA133" s="907"/>
      <c r="AB133" s="907"/>
      <c r="AC133" s="907"/>
    </row>
    <row r="134" spans="1:29">
      <c r="A134" s="907"/>
      <c r="B134" s="907"/>
      <c r="C134" s="907"/>
      <c r="D134" s="907"/>
      <c r="E134" s="907"/>
      <c r="F134" s="907"/>
      <c r="G134" s="907"/>
      <c r="H134" s="907"/>
      <c r="I134" s="907"/>
      <c r="J134" s="907"/>
      <c r="K134" s="907"/>
      <c r="L134" s="907"/>
      <c r="M134" s="907"/>
      <c r="N134" s="907"/>
      <c r="O134" s="907"/>
      <c r="P134" s="907"/>
      <c r="Q134" s="907"/>
      <c r="R134" s="907"/>
      <c r="S134" s="907"/>
      <c r="T134" s="907"/>
      <c r="U134" s="907"/>
      <c r="V134" s="907"/>
      <c r="W134" s="907"/>
      <c r="X134" s="907"/>
      <c r="Y134" s="907"/>
      <c r="Z134" s="907"/>
      <c r="AA134" s="907"/>
      <c r="AB134" s="907"/>
      <c r="AC134" s="907"/>
    </row>
    <row r="135" spans="1:29">
      <c r="A135" s="907"/>
      <c r="B135" s="907"/>
      <c r="C135" s="907"/>
      <c r="D135" s="907"/>
      <c r="E135" s="907"/>
      <c r="F135" s="907"/>
      <c r="G135" s="907"/>
      <c r="H135" s="907"/>
      <c r="I135" s="907"/>
      <c r="J135" s="907"/>
      <c r="K135" s="907"/>
      <c r="L135" s="907"/>
      <c r="M135" s="907"/>
      <c r="N135" s="907"/>
      <c r="O135" s="907"/>
      <c r="P135" s="907"/>
      <c r="Q135" s="907"/>
      <c r="R135" s="907"/>
      <c r="S135" s="907"/>
      <c r="T135" s="907"/>
      <c r="U135" s="907"/>
      <c r="V135" s="907"/>
      <c r="W135" s="907"/>
      <c r="X135" s="907"/>
      <c r="Y135" s="907"/>
      <c r="Z135" s="907"/>
      <c r="AA135" s="907"/>
      <c r="AB135" s="907"/>
      <c r="AC135" s="907"/>
    </row>
    <row r="136" spans="1:29">
      <c r="A136" s="907"/>
      <c r="B136" s="907"/>
      <c r="C136" s="907"/>
      <c r="D136" s="907"/>
      <c r="E136" s="907"/>
      <c r="F136" s="907"/>
      <c r="G136" s="907"/>
      <c r="H136" s="907"/>
      <c r="I136" s="907"/>
      <c r="J136" s="907"/>
      <c r="K136" s="907"/>
      <c r="L136" s="907"/>
      <c r="M136" s="907"/>
      <c r="N136" s="907"/>
      <c r="O136" s="907"/>
      <c r="P136" s="907"/>
      <c r="Q136" s="907"/>
      <c r="R136" s="907"/>
      <c r="S136" s="907"/>
      <c r="T136" s="907"/>
      <c r="U136" s="907"/>
      <c r="V136" s="907"/>
      <c r="W136" s="907"/>
      <c r="X136" s="907"/>
      <c r="Y136" s="907"/>
      <c r="Z136" s="907"/>
      <c r="AA136" s="907"/>
      <c r="AB136" s="907"/>
      <c r="AC136" s="907"/>
    </row>
    <row r="137" spans="1:29">
      <c r="A137" s="907"/>
      <c r="B137" s="907"/>
      <c r="C137" s="907"/>
      <c r="D137" s="907"/>
      <c r="E137" s="907"/>
      <c r="F137" s="907"/>
      <c r="G137" s="907"/>
      <c r="H137" s="907"/>
      <c r="I137" s="907"/>
      <c r="J137" s="907"/>
      <c r="K137" s="907"/>
      <c r="L137" s="907"/>
      <c r="M137" s="907"/>
      <c r="N137" s="907"/>
      <c r="O137" s="907"/>
      <c r="P137" s="907"/>
      <c r="Q137" s="907"/>
      <c r="R137" s="907"/>
      <c r="S137" s="907"/>
      <c r="T137" s="907"/>
      <c r="U137" s="907"/>
      <c r="V137" s="907"/>
      <c r="W137" s="907"/>
      <c r="X137" s="907"/>
      <c r="Y137" s="907"/>
      <c r="Z137" s="907"/>
      <c r="AA137" s="907"/>
      <c r="AB137" s="907"/>
      <c r="AC137" s="907"/>
    </row>
    <row r="138" spans="1:29">
      <c r="A138" s="907"/>
      <c r="B138" s="907"/>
      <c r="C138" s="907"/>
      <c r="D138" s="907"/>
      <c r="E138" s="907"/>
      <c r="F138" s="907"/>
      <c r="G138" s="907"/>
      <c r="H138" s="907"/>
      <c r="I138" s="907"/>
      <c r="J138" s="907"/>
      <c r="K138" s="907"/>
      <c r="L138" s="907"/>
      <c r="M138" s="907"/>
      <c r="N138" s="907"/>
      <c r="O138" s="907"/>
      <c r="P138" s="907"/>
      <c r="Q138" s="907"/>
      <c r="R138" s="907"/>
      <c r="S138" s="907"/>
      <c r="T138" s="907"/>
      <c r="U138" s="907"/>
      <c r="V138" s="907"/>
      <c r="W138" s="907"/>
      <c r="X138" s="907"/>
      <c r="Y138" s="907"/>
      <c r="Z138" s="907"/>
      <c r="AA138" s="907"/>
      <c r="AB138" s="907"/>
      <c r="AC138" s="907"/>
    </row>
    <row r="139" spans="1:29">
      <c r="A139" s="907"/>
      <c r="B139" s="907"/>
      <c r="C139" s="907"/>
      <c r="D139" s="907"/>
      <c r="E139" s="907"/>
      <c r="F139" s="907"/>
      <c r="G139" s="907"/>
      <c r="H139" s="907"/>
      <c r="I139" s="907"/>
      <c r="J139" s="907"/>
      <c r="K139" s="907"/>
      <c r="L139" s="907"/>
      <c r="M139" s="907"/>
      <c r="N139" s="907"/>
      <c r="O139" s="907"/>
      <c r="P139" s="907"/>
      <c r="Q139" s="907"/>
      <c r="R139" s="907"/>
      <c r="S139" s="907"/>
      <c r="T139" s="907"/>
      <c r="U139" s="907"/>
      <c r="V139" s="907"/>
      <c r="W139" s="907"/>
      <c r="X139" s="907"/>
      <c r="Y139" s="907"/>
      <c r="Z139" s="907"/>
      <c r="AA139" s="907"/>
      <c r="AB139" s="907"/>
      <c r="AC139" s="907"/>
    </row>
    <row r="140" spans="1:29">
      <c r="A140" s="907"/>
      <c r="B140" s="907"/>
      <c r="C140" s="907"/>
      <c r="D140" s="907"/>
      <c r="E140" s="907"/>
      <c r="F140" s="907"/>
      <c r="G140" s="907"/>
      <c r="H140" s="907"/>
      <c r="I140" s="907"/>
      <c r="J140" s="907"/>
      <c r="K140" s="907"/>
      <c r="L140" s="907"/>
      <c r="M140" s="907"/>
      <c r="N140" s="907"/>
      <c r="O140" s="907"/>
      <c r="P140" s="907"/>
      <c r="Q140" s="907"/>
      <c r="R140" s="907"/>
      <c r="S140" s="907"/>
      <c r="T140" s="907"/>
      <c r="U140" s="907"/>
      <c r="V140" s="907"/>
      <c r="W140" s="907"/>
      <c r="X140" s="907"/>
      <c r="Y140" s="907"/>
      <c r="Z140" s="907"/>
      <c r="AA140" s="907"/>
      <c r="AB140" s="907"/>
      <c r="AC140" s="907"/>
    </row>
    <row r="141" spans="1:29">
      <c r="A141" s="907"/>
      <c r="B141" s="907"/>
      <c r="C141" s="907"/>
      <c r="D141" s="907"/>
      <c r="E141" s="907"/>
      <c r="F141" s="907"/>
      <c r="G141" s="907"/>
      <c r="H141" s="907"/>
      <c r="I141" s="907"/>
      <c r="J141" s="907"/>
      <c r="K141" s="907"/>
      <c r="L141" s="907"/>
      <c r="M141" s="907"/>
      <c r="N141" s="907"/>
      <c r="O141" s="907"/>
      <c r="P141" s="907"/>
      <c r="Q141" s="907"/>
      <c r="R141" s="907"/>
      <c r="S141" s="907"/>
      <c r="T141" s="907"/>
      <c r="U141" s="907"/>
      <c r="V141" s="907"/>
      <c r="W141" s="907"/>
      <c r="X141" s="907"/>
      <c r="Y141" s="907"/>
      <c r="Z141" s="907"/>
      <c r="AA141" s="907"/>
      <c r="AB141" s="907"/>
      <c r="AC141" s="907"/>
    </row>
    <row r="142" spans="1:29">
      <c r="A142" s="907"/>
      <c r="B142" s="907"/>
      <c r="C142" s="907"/>
      <c r="D142" s="907"/>
      <c r="E142" s="907"/>
      <c r="F142" s="907"/>
      <c r="G142" s="907"/>
      <c r="H142" s="907"/>
      <c r="I142" s="907"/>
      <c r="J142" s="907"/>
      <c r="K142" s="907"/>
      <c r="L142" s="907"/>
      <c r="M142" s="907"/>
      <c r="N142" s="907"/>
      <c r="O142" s="907"/>
      <c r="P142" s="907"/>
      <c r="Q142" s="907"/>
      <c r="R142" s="907"/>
      <c r="S142" s="907"/>
      <c r="T142" s="907"/>
      <c r="U142" s="907"/>
      <c r="V142" s="907"/>
      <c r="W142" s="907"/>
      <c r="X142" s="907"/>
      <c r="Y142" s="907"/>
      <c r="Z142" s="907"/>
      <c r="AA142" s="907"/>
      <c r="AB142" s="907"/>
      <c r="AC142" s="907"/>
    </row>
    <row r="143" spans="1:29">
      <c r="A143" s="907"/>
      <c r="B143" s="907"/>
      <c r="C143" s="907"/>
      <c r="D143" s="907"/>
      <c r="E143" s="907"/>
      <c r="F143" s="907"/>
      <c r="G143" s="907"/>
      <c r="H143" s="907"/>
      <c r="I143" s="907"/>
      <c r="J143" s="907"/>
      <c r="K143" s="907"/>
      <c r="L143" s="907"/>
      <c r="M143" s="907"/>
      <c r="N143" s="907"/>
      <c r="O143" s="907"/>
      <c r="P143" s="907"/>
      <c r="Q143" s="907"/>
      <c r="R143" s="907"/>
      <c r="S143" s="907"/>
      <c r="T143" s="907"/>
      <c r="U143" s="907"/>
      <c r="V143" s="907"/>
      <c r="W143" s="907"/>
      <c r="X143" s="907"/>
      <c r="Y143" s="907"/>
      <c r="Z143" s="907"/>
      <c r="AA143" s="907"/>
      <c r="AB143" s="907"/>
      <c r="AC143" s="907"/>
    </row>
    <row r="144" spans="1:29">
      <c r="A144" s="907"/>
      <c r="B144" s="907"/>
      <c r="C144" s="907"/>
      <c r="D144" s="907"/>
      <c r="E144" s="907"/>
      <c r="F144" s="907"/>
      <c r="G144" s="907"/>
      <c r="H144" s="907"/>
      <c r="I144" s="907"/>
      <c r="J144" s="907"/>
      <c r="K144" s="907"/>
      <c r="L144" s="907"/>
      <c r="M144" s="907"/>
      <c r="N144" s="907"/>
      <c r="O144" s="907"/>
      <c r="P144" s="907"/>
      <c r="Q144" s="907"/>
      <c r="R144" s="907"/>
      <c r="S144" s="907"/>
      <c r="T144" s="907"/>
      <c r="U144" s="907"/>
      <c r="V144" s="907"/>
      <c r="W144" s="907"/>
      <c r="X144" s="907"/>
      <c r="Y144" s="907"/>
      <c r="Z144" s="907"/>
      <c r="AA144" s="907"/>
      <c r="AB144" s="907"/>
      <c r="AC144" s="907"/>
    </row>
    <row r="145" spans="1:29">
      <c r="A145" s="907"/>
      <c r="B145" s="907"/>
      <c r="C145" s="907"/>
      <c r="D145" s="907"/>
      <c r="E145" s="907"/>
      <c r="F145" s="907"/>
      <c r="G145" s="907"/>
      <c r="H145" s="907"/>
      <c r="I145" s="907"/>
      <c r="J145" s="907"/>
      <c r="K145" s="907"/>
      <c r="L145" s="907"/>
      <c r="M145" s="907"/>
      <c r="N145" s="907"/>
      <c r="O145" s="907"/>
      <c r="P145" s="907"/>
      <c r="Q145" s="907"/>
      <c r="R145" s="907"/>
      <c r="S145" s="907"/>
      <c r="T145" s="907"/>
      <c r="U145" s="907"/>
      <c r="V145" s="907"/>
      <c r="W145" s="907"/>
      <c r="X145" s="907"/>
      <c r="Y145" s="907"/>
      <c r="Z145" s="907"/>
      <c r="AA145" s="907"/>
      <c r="AB145" s="907"/>
      <c r="AC145" s="907"/>
    </row>
    <row r="146" spans="1:29">
      <c r="A146" s="907"/>
      <c r="B146" s="907"/>
      <c r="C146" s="907"/>
      <c r="D146" s="907"/>
      <c r="E146" s="907"/>
      <c r="F146" s="907"/>
      <c r="G146" s="907"/>
      <c r="H146" s="907"/>
      <c r="I146" s="907"/>
      <c r="J146" s="907"/>
      <c r="K146" s="907"/>
      <c r="L146" s="907"/>
      <c r="M146" s="907"/>
      <c r="N146" s="907"/>
      <c r="O146" s="907"/>
      <c r="P146" s="907"/>
      <c r="Q146" s="907"/>
      <c r="R146" s="907"/>
      <c r="S146" s="907"/>
      <c r="T146" s="907"/>
      <c r="U146" s="907"/>
      <c r="V146" s="907"/>
      <c r="W146" s="907"/>
      <c r="X146" s="907"/>
      <c r="Y146" s="907"/>
      <c r="Z146" s="907"/>
      <c r="AA146" s="907"/>
      <c r="AB146" s="907"/>
      <c r="AC146" s="907"/>
    </row>
    <row r="147" spans="1:29">
      <c r="A147" s="907"/>
      <c r="B147" s="907"/>
      <c r="C147" s="907"/>
      <c r="D147" s="907"/>
      <c r="E147" s="907"/>
      <c r="F147" s="907"/>
      <c r="G147" s="907"/>
      <c r="H147" s="907"/>
      <c r="I147" s="907"/>
      <c r="J147" s="907"/>
      <c r="K147" s="907"/>
      <c r="L147" s="907"/>
      <c r="M147" s="907"/>
      <c r="N147" s="907"/>
      <c r="O147" s="907"/>
      <c r="P147" s="907"/>
      <c r="Q147" s="907"/>
      <c r="R147" s="907"/>
      <c r="S147" s="907"/>
      <c r="T147" s="907"/>
      <c r="U147" s="907"/>
      <c r="V147" s="907"/>
      <c r="W147" s="907"/>
      <c r="X147" s="907"/>
      <c r="Y147" s="907"/>
      <c r="Z147" s="907"/>
      <c r="AA147" s="907"/>
      <c r="AB147" s="907"/>
      <c r="AC147" s="907"/>
    </row>
    <row r="148" spans="1:29">
      <c r="A148" s="907"/>
      <c r="B148" s="907"/>
      <c r="C148" s="907"/>
      <c r="D148" s="907"/>
      <c r="E148" s="907"/>
      <c r="F148" s="907"/>
      <c r="G148" s="907"/>
      <c r="H148" s="907"/>
      <c r="I148" s="907"/>
      <c r="J148" s="907"/>
      <c r="K148" s="907"/>
      <c r="L148" s="907"/>
      <c r="M148" s="907"/>
      <c r="N148" s="907"/>
      <c r="O148" s="907"/>
      <c r="P148" s="907"/>
      <c r="Q148" s="907"/>
      <c r="R148" s="907"/>
      <c r="S148" s="907"/>
      <c r="T148" s="907"/>
      <c r="U148" s="907"/>
      <c r="V148" s="907"/>
      <c r="W148" s="907"/>
      <c r="X148" s="907"/>
      <c r="Y148" s="907"/>
      <c r="Z148" s="907"/>
      <c r="AA148" s="907"/>
      <c r="AB148" s="907"/>
      <c r="AC148" s="907"/>
    </row>
    <row r="149" spans="1:29">
      <c r="A149" s="907"/>
      <c r="B149" s="907"/>
      <c r="C149" s="907"/>
      <c r="D149" s="907"/>
      <c r="E149" s="907"/>
      <c r="F149" s="907"/>
      <c r="G149" s="907"/>
      <c r="H149" s="907"/>
      <c r="I149" s="907"/>
      <c r="J149" s="907"/>
      <c r="K149" s="907"/>
      <c r="L149" s="907"/>
      <c r="M149" s="907"/>
      <c r="N149" s="907"/>
      <c r="O149" s="907"/>
      <c r="P149" s="907"/>
      <c r="Q149" s="907"/>
      <c r="R149" s="907"/>
      <c r="S149" s="907"/>
      <c r="T149" s="907"/>
      <c r="U149" s="907"/>
      <c r="V149" s="907"/>
      <c r="W149" s="907"/>
      <c r="X149" s="907"/>
      <c r="Y149" s="907"/>
      <c r="Z149" s="907"/>
      <c r="AA149" s="907"/>
      <c r="AB149" s="907"/>
      <c r="AC149" s="907"/>
    </row>
    <row r="150" spans="1:29">
      <c r="A150" s="907"/>
      <c r="B150" s="907"/>
      <c r="C150" s="907"/>
      <c r="D150" s="907"/>
      <c r="E150" s="907"/>
      <c r="F150" s="907"/>
      <c r="G150" s="907"/>
      <c r="H150" s="907"/>
      <c r="I150" s="907"/>
      <c r="J150" s="907"/>
      <c r="K150" s="907"/>
      <c r="L150" s="907"/>
      <c r="M150" s="907"/>
      <c r="N150" s="907"/>
      <c r="O150" s="907"/>
      <c r="P150" s="907"/>
      <c r="Q150" s="907"/>
      <c r="R150" s="907"/>
      <c r="S150" s="907"/>
      <c r="T150" s="907"/>
      <c r="U150" s="907"/>
      <c r="V150" s="907"/>
      <c r="W150" s="907"/>
      <c r="X150" s="907"/>
      <c r="Y150" s="907"/>
      <c r="Z150" s="907"/>
      <c r="AA150" s="907"/>
      <c r="AB150" s="907"/>
      <c r="AC150" s="907"/>
    </row>
    <row r="151" spans="1:29">
      <c r="A151" s="907"/>
      <c r="B151" s="907"/>
      <c r="C151" s="907"/>
      <c r="D151" s="907"/>
      <c r="E151" s="907"/>
      <c r="F151" s="907"/>
      <c r="G151" s="907"/>
      <c r="H151" s="907"/>
      <c r="I151" s="907"/>
      <c r="J151" s="907"/>
      <c r="K151" s="907"/>
      <c r="L151" s="907"/>
      <c r="M151" s="907"/>
      <c r="N151" s="907"/>
      <c r="O151" s="907"/>
      <c r="P151" s="907"/>
      <c r="Q151" s="907"/>
      <c r="R151" s="907"/>
      <c r="S151" s="907"/>
      <c r="T151" s="907"/>
      <c r="U151" s="907"/>
      <c r="V151" s="907"/>
      <c r="W151" s="907"/>
      <c r="X151" s="907"/>
      <c r="Y151" s="907"/>
      <c r="Z151" s="907"/>
      <c r="AA151" s="907"/>
      <c r="AB151" s="907"/>
      <c r="AC151" s="907"/>
    </row>
    <row r="152" spans="1:29">
      <c r="A152" s="907"/>
      <c r="B152" s="907"/>
      <c r="C152" s="907"/>
      <c r="D152" s="907"/>
      <c r="E152" s="907"/>
      <c r="F152" s="907"/>
      <c r="G152" s="907"/>
      <c r="H152" s="907"/>
      <c r="I152" s="907"/>
      <c r="J152" s="907"/>
      <c r="K152" s="907"/>
      <c r="L152" s="907"/>
      <c r="M152" s="907"/>
      <c r="N152" s="907"/>
      <c r="O152" s="907"/>
      <c r="P152" s="907"/>
      <c r="Q152" s="907"/>
      <c r="R152" s="907"/>
      <c r="S152" s="907"/>
      <c r="T152" s="907"/>
      <c r="U152" s="907"/>
      <c r="V152" s="907"/>
      <c r="W152" s="907"/>
      <c r="X152" s="907"/>
      <c r="Y152" s="907"/>
      <c r="Z152" s="907"/>
      <c r="AA152" s="907"/>
      <c r="AB152" s="907"/>
      <c r="AC152" s="907"/>
    </row>
    <row r="153" spans="1:29">
      <c r="A153" s="907"/>
      <c r="B153" s="907"/>
      <c r="C153" s="907"/>
      <c r="D153" s="907"/>
      <c r="E153" s="907"/>
      <c r="F153" s="907"/>
      <c r="G153" s="907"/>
      <c r="H153" s="907"/>
      <c r="I153" s="907"/>
      <c r="J153" s="907"/>
      <c r="K153" s="907"/>
      <c r="L153" s="907"/>
      <c r="M153" s="907"/>
      <c r="N153" s="907"/>
      <c r="O153" s="907"/>
      <c r="P153" s="907"/>
      <c r="Q153" s="907"/>
      <c r="R153" s="907"/>
      <c r="S153" s="907"/>
      <c r="T153" s="907"/>
      <c r="U153" s="907"/>
      <c r="V153" s="907"/>
      <c r="W153" s="907"/>
      <c r="X153" s="907"/>
      <c r="Y153" s="907"/>
      <c r="Z153" s="907"/>
      <c r="AA153" s="907"/>
      <c r="AB153" s="907"/>
      <c r="AC153" s="907"/>
    </row>
    <row r="154" spans="1:29">
      <c r="A154" s="907"/>
      <c r="B154" s="907"/>
      <c r="C154" s="907"/>
      <c r="D154" s="907"/>
      <c r="E154" s="907"/>
      <c r="F154" s="907"/>
      <c r="G154" s="907"/>
      <c r="H154" s="907"/>
      <c r="I154" s="907"/>
      <c r="J154" s="907"/>
      <c r="K154" s="907"/>
      <c r="L154" s="907"/>
      <c r="M154" s="907"/>
      <c r="N154" s="907"/>
      <c r="O154" s="907"/>
      <c r="P154" s="907"/>
      <c r="Q154" s="907"/>
      <c r="R154" s="907"/>
      <c r="S154" s="907"/>
      <c r="T154" s="907"/>
      <c r="U154" s="907"/>
      <c r="V154" s="907"/>
      <c r="W154" s="907"/>
      <c r="X154" s="907"/>
      <c r="Y154" s="907"/>
      <c r="Z154" s="907"/>
      <c r="AA154" s="907"/>
      <c r="AB154" s="907"/>
      <c r="AC154" s="907"/>
    </row>
    <row r="155" spans="1:29">
      <c r="A155" s="907"/>
      <c r="B155" s="907"/>
      <c r="C155" s="907"/>
      <c r="D155" s="907"/>
      <c r="E155" s="907"/>
      <c r="F155" s="907"/>
      <c r="G155" s="907"/>
      <c r="H155" s="907"/>
      <c r="I155" s="907"/>
      <c r="J155" s="907"/>
      <c r="K155" s="907"/>
      <c r="L155" s="907"/>
      <c r="M155" s="907"/>
      <c r="N155" s="907"/>
      <c r="O155" s="907"/>
      <c r="P155" s="907"/>
      <c r="Q155" s="907"/>
      <c r="R155" s="907"/>
      <c r="S155" s="907"/>
      <c r="T155" s="907"/>
      <c r="U155" s="907"/>
      <c r="V155" s="907"/>
      <c r="W155" s="907"/>
      <c r="X155" s="907"/>
      <c r="Y155" s="907"/>
      <c r="Z155" s="907"/>
      <c r="AA155" s="907"/>
      <c r="AB155" s="907"/>
      <c r="AC155" s="907"/>
    </row>
    <row r="156" spans="1:29">
      <c r="A156" s="907"/>
      <c r="B156" s="907"/>
      <c r="C156" s="907"/>
      <c r="D156" s="907"/>
      <c r="E156" s="907"/>
      <c r="F156" s="907"/>
      <c r="G156" s="907"/>
      <c r="H156" s="907"/>
      <c r="I156" s="907"/>
      <c r="J156" s="907"/>
      <c r="K156" s="907"/>
      <c r="L156" s="907"/>
      <c r="M156" s="907"/>
      <c r="N156" s="907"/>
      <c r="O156" s="907"/>
      <c r="P156" s="907"/>
      <c r="Q156" s="907"/>
      <c r="R156" s="907"/>
      <c r="S156" s="907"/>
      <c r="T156" s="907"/>
      <c r="U156" s="907"/>
      <c r="V156" s="907"/>
      <c r="W156" s="907"/>
      <c r="X156" s="907"/>
      <c r="Y156" s="907"/>
      <c r="Z156" s="907"/>
      <c r="AA156" s="907"/>
      <c r="AB156" s="907"/>
      <c r="AC156" s="907"/>
    </row>
    <row r="157" spans="1:29">
      <c r="A157" s="907"/>
      <c r="B157" s="907"/>
      <c r="C157" s="907"/>
      <c r="D157" s="907"/>
      <c r="E157" s="907"/>
      <c r="F157" s="907"/>
      <c r="G157" s="907"/>
      <c r="H157" s="907"/>
      <c r="I157" s="907"/>
      <c r="J157" s="907"/>
      <c r="K157" s="907"/>
      <c r="L157" s="907"/>
      <c r="M157" s="907"/>
      <c r="N157" s="907"/>
      <c r="O157" s="907"/>
      <c r="P157" s="907"/>
      <c r="Q157" s="907"/>
      <c r="R157" s="907"/>
      <c r="S157" s="907"/>
      <c r="T157" s="907"/>
      <c r="U157" s="907"/>
      <c r="V157" s="907"/>
      <c r="W157" s="907"/>
      <c r="X157" s="907"/>
      <c r="Y157" s="907"/>
      <c r="Z157" s="907"/>
      <c r="AA157" s="907"/>
      <c r="AB157" s="907"/>
      <c r="AC157" s="907"/>
    </row>
    <row r="158" spans="1:29">
      <c r="A158" s="907"/>
      <c r="B158" s="907"/>
      <c r="C158" s="907"/>
      <c r="D158" s="907"/>
      <c r="E158" s="907"/>
      <c r="F158" s="907"/>
      <c r="G158" s="907"/>
      <c r="H158" s="907"/>
      <c r="I158" s="907"/>
      <c r="J158" s="907"/>
      <c r="K158" s="907"/>
      <c r="L158" s="907"/>
      <c r="M158" s="907"/>
      <c r="N158" s="907"/>
      <c r="O158" s="907"/>
      <c r="P158" s="907"/>
      <c r="Q158" s="907"/>
      <c r="R158" s="907"/>
      <c r="S158" s="907"/>
      <c r="T158" s="907"/>
      <c r="U158" s="907"/>
      <c r="V158" s="907"/>
      <c r="W158" s="907"/>
      <c r="X158" s="907"/>
      <c r="Y158" s="907"/>
      <c r="Z158" s="907"/>
      <c r="AA158" s="907"/>
      <c r="AB158" s="907"/>
      <c r="AC158" s="907"/>
    </row>
    <row r="159" spans="1:29">
      <c r="A159" s="907"/>
      <c r="B159" s="907"/>
      <c r="C159" s="907"/>
      <c r="D159" s="907"/>
      <c r="E159" s="907"/>
      <c r="F159" s="907"/>
      <c r="G159" s="907"/>
      <c r="H159" s="907"/>
      <c r="I159" s="907"/>
      <c r="J159" s="907"/>
      <c r="K159" s="907"/>
      <c r="L159" s="907"/>
      <c r="M159" s="907"/>
      <c r="N159" s="907"/>
      <c r="O159" s="907"/>
      <c r="P159" s="907"/>
      <c r="Q159" s="907"/>
      <c r="R159" s="907"/>
      <c r="S159" s="907"/>
      <c r="T159" s="907"/>
      <c r="U159" s="907"/>
      <c r="V159" s="907"/>
      <c r="W159" s="907"/>
      <c r="X159" s="907"/>
      <c r="Y159" s="907"/>
      <c r="Z159" s="907"/>
      <c r="AA159" s="907"/>
      <c r="AB159" s="907"/>
      <c r="AC159" s="907"/>
    </row>
    <row r="160" spans="1:29">
      <c r="A160" s="907"/>
      <c r="B160" s="907"/>
      <c r="C160" s="907"/>
      <c r="D160" s="907"/>
      <c r="E160" s="907"/>
      <c r="F160" s="907"/>
      <c r="G160" s="907"/>
      <c r="H160" s="907"/>
      <c r="I160" s="907"/>
      <c r="J160" s="907"/>
      <c r="K160" s="907"/>
      <c r="L160" s="907"/>
      <c r="M160" s="907"/>
      <c r="N160" s="907"/>
      <c r="O160" s="907"/>
      <c r="P160" s="907"/>
      <c r="Q160" s="907"/>
      <c r="R160" s="907"/>
      <c r="S160" s="907"/>
      <c r="T160" s="907"/>
      <c r="U160" s="907"/>
      <c r="V160" s="907"/>
      <c r="W160" s="907"/>
      <c r="X160" s="907"/>
      <c r="Y160" s="907"/>
      <c r="Z160" s="907"/>
      <c r="AA160" s="907"/>
      <c r="AB160" s="907"/>
      <c r="AC160" s="907"/>
    </row>
    <row r="161" spans="1:29">
      <c r="A161" s="907"/>
      <c r="B161" s="907"/>
      <c r="C161" s="907"/>
      <c r="D161" s="907"/>
      <c r="E161" s="907"/>
      <c r="F161" s="907"/>
      <c r="G161" s="907"/>
      <c r="H161" s="907"/>
      <c r="I161" s="907"/>
      <c r="J161" s="907"/>
      <c r="K161" s="907"/>
      <c r="L161" s="907"/>
      <c r="M161" s="907"/>
      <c r="N161" s="907"/>
      <c r="O161" s="907"/>
      <c r="P161" s="907"/>
      <c r="Q161" s="907"/>
      <c r="R161" s="907"/>
      <c r="S161" s="907"/>
      <c r="T161" s="907"/>
      <c r="U161" s="907"/>
      <c r="V161" s="907"/>
      <c r="W161" s="907"/>
      <c r="X161" s="907"/>
      <c r="Y161" s="907"/>
      <c r="Z161" s="907"/>
      <c r="AA161" s="907"/>
      <c r="AB161" s="907"/>
      <c r="AC161" s="907"/>
    </row>
    <row r="162" spans="1:29">
      <c r="A162" s="907"/>
      <c r="B162" s="907"/>
      <c r="C162" s="907"/>
      <c r="D162" s="907"/>
      <c r="E162" s="907"/>
      <c r="F162" s="907"/>
      <c r="G162" s="907"/>
      <c r="H162" s="907"/>
      <c r="I162" s="907"/>
      <c r="J162" s="907"/>
      <c r="K162" s="907"/>
      <c r="L162" s="907"/>
      <c r="M162" s="907"/>
      <c r="N162" s="907"/>
      <c r="O162" s="907"/>
      <c r="P162" s="907"/>
      <c r="Q162" s="907"/>
      <c r="R162" s="907"/>
      <c r="S162" s="907"/>
      <c r="T162" s="907"/>
      <c r="U162" s="907"/>
      <c r="V162" s="907"/>
      <c r="W162" s="907"/>
      <c r="X162" s="907"/>
      <c r="Y162" s="907"/>
      <c r="Z162" s="907"/>
      <c r="AA162" s="907"/>
      <c r="AB162" s="907"/>
      <c r="AC162" s="907"/>
    </row>
    <row r="163" spans="1:29">
      <c r="A163" s="907"/>
      <c r="B163" s="907"/>
      <c r="C163" s="907"/>
      <c r="D163" s="907"/>
      <c r="E163" s="907"/>
      <c r="F163" s="907"/>
      <c r="G163" s="907"/>
      <c r="H163" s="907"/>
      <c r="I163" s="907"/>
      <c r="J163" s="907"/>
      <c r="K163" s="907"/>
      <c r="L163" s="907"/>
      <c r="M163" s="907"/>
      <c r="N163" s="907"/>
      <c r="O163" s="907"/>
      <c r="P163" s="907"/>
      <c r="Q163" s="907"/>
      <c r="R163" s="907"/>
      <c r="S163" s="907"/>
      <c r="T163" s="907"/>
      <c r="U163" s="907"/>
      <c r="V163" s="907"/>
      <c r="W163" s="907"/>
      <c r="X163" s="907"/>
      <c r="Y163" s="907"/>
      <c r="Z163" s="907"/>
      <c r="AA163" s="907"/>
      <c r="AB163" s="907"/>
      <c r="AC163" s="907"/>
    </row>
    <row r="164" spans="1:29">
      <c r="A164" s="907"/>
      <c r="B164" s="907"/>
      <c r="C164" s="907"/>
      <c r="D164" s="907"/>
      <c r="E164" s="907"/>
      <c r="F164" s="907"/>
      <c r="G164" s="907"/>
      <c r="H164" s="907"/>
      <c r="I164" s="907"/>
      <c r="J164" s="907"/>
      <c r="K164" s="907"/>
      <c r="L164" s="907"/>
      <c r="M164" s="907"/>
      <c r="N164" s="907"/>
      <c r="O164" s="907"/>
      <c r="P164" s="907"/>
      <c r="Q164" s="907"/>
      <c r="R164" s="907"/>
      <c r="S164" s="907"/>
      <c r="T164" s="907"/>
      <c r="U164" s="907"/>
      <c r="V164" s="907"/>
      <c r="W164" s="907"/>
      <c r="X164" s="907"/>
      <c r="Y164" s="907"/>
      <c r="Z164" s="907"/>
      <c r="AA164" s="907"/>
      <c r="AB164" s="907"/>
      <c r="AC164" s="907"/>
    </row>
    <row r="165" spans="1:29">
      <c r="A165" s="907"/>
      <c r="B165" s="907"/>
      <c r="C165" s="907"/>
      <c r="D165" s="907"/>
      <c r="E165" s="907"/>
      <c r="F165" s="907"/>
      <c r="G165" s="907"/>
      <c r="H165" s="907"/>
      <c r="I165" s="907"/>
      <c r="J165" s="907"/>
      <c r="K165" s="907"/>
      <c r="L165" s="907"/>
      <c r="M165" s="907"/>
      <c r="N165" s="907"/>
      <c r="O165" s="907"/>
      <c r="P165" s="907"/>
      <c r="Q165" s="907"/>
      <c r="R165" s="907"/>
      <c r="S165" s="907"/>
      <c r="T165" s="907"/>
      <c r="U165" s="907"/>
      <c r="V165" s="907"/>
      <c r="W165" s="907"/>
      <c r="X165" s="907"/>
      <c r="Y165" s="907"/>
      <c r="Z165" s="907"/>
      <c r="AA165" s="907"/>
      <c r="AB165" s="907"/>
      <c r="AC165" s="907"/>
    </row>
    <row r="166" spans="1:29">
      <c r="A166" s="907"/>
      <c r="B166" s="907"/>
      <c r="C166" s="907"/>
      <c r="D166" s="907"/>
      <c r="E166" s="907"/>
      <c r="F166" s="907"/>
      <c r="G166" s="907"/>
      <c r="H166" s="907"/>
      <c r="I166" s="907"/>
      <c r="J166" s="907"/>
      <c r="K166" s="907"/>
      <c r="L166" s="907"/>
      <c r="M166" s="907"/>
      <c r="N166" s="907"/>
      <c r="O166" s="907"/>
      <c r="P166" s="907"/>
      <c r="Q166" s="907"/>
      <c r="R166" s="907"/>
      <c r="S166" s="907"/>
      <c r="T166" s="907"/>
      <c r="U166" s="907"/>
      <c r="V166" s="907"/>
      <c r="W166" s="907"/>
      <c r="X166" s="907"/>
      <c r="Y166" s="907"/>
      <c r="Z166" s="907"/>
      <c r="AA166" s="907"/>
      <c r="AB166" s="907"/>
      <c r="AC166" s="907"/>
    </row>
    <row r="167" spans="1:29">
      <c r="A167" s="907"/>
      <c r="B167" s="907"/>
      <c r="C167" s="907"/>
      <c r="D167" s="907"/>
      <c r="E167" s="907"/>
      <c r="F167" s="907"/>
      <c r="G167" s="907"/>
      <c r="H167" s="907"/>
      <c r="I167" s="907"/>
      <c r="J167" s="907"/>
      <c r="K167" s="907"/>
      <c r="L167" s="907"/>
      <c r="M167" s="907"/>
      <c r="N167" s="907"/>
      <c r="O167" s="907"/>
      <c r="P167" s="907"/>
      <c r="Q167" s="907"/>
      <c r="R167" s="907"/>
      <c r="S167" s="907"/>
      <c r="T167" s="907"/>
      <c r="U167" s="907"/>
      <c r="V167" s="907"/>
      <c r="W167" s="907"/>
      <c r="X167" s="907"/>
      <c r="Y167" s="907"/>
      <c r="Z167" s="907"/>
      <c r="AA167" s="907"/>
      <c r="AB167" s="907"/>
      <c r="AC167" s="907"/>
    </row>
    <row r="168" spans="1:29">
      <c r="A168" s="907"/>
      <c r="B168" s="907"/>
      <c r="C168" s="907"/>
      <c r="D168" s="907"/>
      <c r="E168" s="907"/>
      <c r="F168" s="907"/>
      <c r="G168" s="907"/>
      <c r="H168" s="907"/>
      <c r="I168" s="907"/>
      <c r="J168" s="907"/>
      <c r="K168" s="907"/>
      <c r="L168" s="907"/>
      <c r="M168" s="907"/>
      <c r="N168" s="907"/>
      <c r="O168" s="907"/>
      <c r="P168" s="907"/>
      <c r="Q168" s="907"/>
      <c r="R168" s="907"/>
      <c r="S168" s="907"/>
      <c r="T168" s="907"/>
      <c r="U168" s="907"/>
      <c r="V168" s="907"/>
      <c r="W168" s="907"/>
      <c r="X168" s="907"/>
      <c r="Y168" s="907"/>
      <c r="Z168" s="907"/>
      <c r="AA168" s="907"/>
      <c r="AB168" s="907"/>
      <c r="AC168" s="907"/>
    </row>
    <row r="169" spans="1:29">
      <c r="A169" s="907"/>
      <c r="B169" s="907"/>
      <c r="C169" s="907"/>
      <c r="D169" s="907"/>
      <c r="E169" s="907"/>
      <c r="F169" s="907"/>
      <c r="G169" s="907"/>
      <c r="H169" s="907"/>
      <c r="I169" s="907"/>
      <c r="J169" s="907"/>
      <c r="K169" s="907"/>
      <c r="L169" s="907"/>
      <c r="M169" s="907"/>
      <c r="N169" s="907"/>
      <c r="O169" s="907"/>
      <c r="P169" s="907"/>
      <c r="Q169" s="907"/>
      <c r="R169" s="907"/>
      <c r="S169" s="907"/>
      <c r="T169" s="907"/>
      <c r="U169" s="907"/>
      <c r="V169" s="907"/>
      <c r="W169" s="907"/>
      <c r="X169" s="907"/>
      <c r="Y169" s="907"/>
      <c r="Z169" s="907"/>
      <c r="AA169" s="907"/>
      <c r="AB169" s="907"/>
      <c r="AC169" s="907"/>
    </row>
    <row r="170" spans="1:29">
      <c r="A170" s="907"/>
      <c r="B170" s="907"/>
      <c r="C170" s="907"/>
      <c r="D170" s="907"/>
      <c r="E170" s="907"/>
      <c r="F170" s="907"/>
      <c r="G170" s="907"/>
      <c r="H170" s="907"/>
      <c r="I170" s="907"/>
      <c r="J170" s="907"/>
      <c r="K170" s="907"/>
      <c r="L170" s="907"/>
      <c r="M170" s="907"/>
      <c r="N170" s="907"/>
      <c r="O170" s="907"/>
      <c r="P170" s="907"/>
      <c r="Q170" s="907"/>
      <c r="R170" s="907"/>
      <c r="S170" s="907"/>
      <c r="T170" s="907"/>
      <c r="U170" s="907"/>
      <c r="V170" s="907"/>
      <c r="W170" s="907"/>
      <c r="X170" s="907"/>
      <c r="Y170" s="907"/>
      <c r="Z170" s="907"/>
      <c r="AA170" s="907"/>
      <c r="AB170" s="907"/>
      <c r="AC170" s="907"/>
    </row>
    <row r="171" spans="1:29">
      <c r="A171" s="907"/>
      <c r="B171" s="907"/>
      <c r="C171" s="907"/>
      <c r="D171" s="907"/>
      <c r="E171" s="907"/>
      <c r="F171" s="907"/>
      <c r="G171" s="907"/>
      <c r="H171" s="907"/>
      <c r="I171" s="907"/>
      <c r="J171" s="907"/>
      <c r="K171" s="907"/>
      <c r="L171" s="907"/>
      <c r="M171" s="907"/>
      <c r="N171" s="907"/>
      <c r="O171" s="907"/>
      <c r="P171" s="907"/>
      <c r="Q171" s="907"/>
      <c r="R171" s="907"/>
      <c r="S171" s="907"/>
      <c r="T171" s="907"/>
      <c r="U171" s="907"/>
      <c r="V171" s="907"/>
      <c r="W171" s="907"/>
      <c r="X171" s="907"/>
      <c r="Y171" s="907"/>
      <c r="Z171" s="907"/>
      <c r="AA171" s="907"/>
      <c r="AB171" s="907"/>
      <c r="AC171" s="907"/>
    </row>
    <row r="172" spans="1:29">
      <c r="A172" s="907"/>
      <c r="B172" s="907"/>
      <c r="C172" s="907"/>
      <c r="D172" s="907"/>
      <c r="E172" s="907"/>
      <c r="F172" s="907"/>
      <c r="G172" s="907"/>
      <c r="H172" s="907"/>
      <c r="I172" s="907"/>
      <c r="J172" s="907"/>
      <c r="K172" s="907"/>
      <c r="L172" s="907"/>
      <c r="M172" s="907"/>
      <c r="N172" s="907"/>
      <c r="O172" s="907"/>
      <c r="P172" s="907"/>
      <c r="Q172" s="907"/>
      <c r="R172" s="907"/>
      <c r="S172" s="907"/>
      <c r="T172" s="907"/>
      <c r="U172" s="907"/>
      <c r="V172" s="907"/>
      <c r="W172" s="907"/>
      <c r="X172" s="907"/>
      <c r="Y172" s="907"/>
      <c r="Z172" s="907"/>
      <c r="AA172" s="907"/>
      <c r="AB172" s="907"/>
      <c r="AC172" s="907"/>
    </row>
    <row r="173" spans="1:29">
      <c r="A173" s="907"/>
      <c r="B173" s="907"/>
      <c r="C173" s="907"/>
      <c r="D173" s="907"/>
      <c r="E173" s="907"/>
      <c r="F173" s="907"/>
      <c r="G173" s="907"/>
      <c r="H173" s="907"/>
      <c r="I173" s="907"/>
      <c r="J173" s="907"/>
      <c r="K173" s="907"/>
      <c r="L173" s="907"/>
      <c r="M173" s="907"/>
      <c r="N173" s="907"/>
      <c r="O173" s="907"/>
      <c r="P173" s="907"/>
      <c r="Q173" s="907"/>
      <c r="R173" s="907"/>
      <c r="S173" s="907"/>
      <c r="T173" s="907"/>
      <c r="U173" s="907"/>
      <c r="V173" s="907"/>
      <c r="W173" s="907"/>
      <c r="X173" s="907"/>
      <c r="Y173" s="907"/>
      <c r="Z173" s="907"/>
      <c r="AA173" s="907"/>
      <c r="AB173" s="907"/>
      <c r="AC173" s="907"/>
    </row>
    <row r="174" spans="1:29">
      <c r="A174" s="907"/>
      <c r="B174" s="907"/>
      <c r="C174" s="907"/>
      <c r="D174" s="907"/>
      <c r="E174" s="907"/>
      <c r="F174" s="907"/>
      <c r="G174" s="907"/>
      <c r="H174" s="907"/>
      <c r="I174" s="907"/>
      <c r="J174" s="907"/>
      <c r="K174" s="907"/>
      <c r="L174" s="907"/>
      <c r="M174" s="907"/>
      <c r="N174" s="907"/>
      <c r="O174" s="907"/>
      <c r="P174" s="907"/>
      <c r="Q174" s="907"/>
      <c r="R174" s="907"/>
      <c r="S174" s="907"/>
      <c r="T174" s="907"/>
      <c r="U174" s="907"/>
      <c r="V174" s="907"/>
      <c r="W174" s="907"/>
      <c r="X174" s="907"/>
      <c r="Y174" s="907"/>
      <c r="Z174" s="907"/>
      <c r="AA174" s="907"/>
      <c r="AB174" s="907"/>
      <c r="AC174" s="907"/>
    </row>
    <row r="175" spans="1:29">
      <c r="A175" s="907"/>
      <c r="B175" s="907"/>
      <c r="C175" s="907"/>
      <c r="D175" s="907"/>
      <c r="E175" s="907"/>
      <c r="F175" s="907"/>
      <c r="G175" s="907"/>
      <c r="H175" s="907"/>
      <c r="I175" s="907"/>
      <c r="J175" s="907"/>
      <c r="K175" s="907"/>
      <c r="L175" s="907"/>
      <c r="M175" s="907"/>
      <c r="N175" s="907"/>
      <c r="O175" s="907"/>
      <c r="P175" s="907"/>
      <c r="Q175" s="907"/>
      <c r="R175" s="907"/>
      <c r="S175" s="907"/>
      <c r="T175" s="907"/>
      <c r="U175" s="907"/>
      <c r="V175" s="907"/>
      <c r="W175" s="907"/>
      <c r="X175" s="907"/>
      <c r="Y175" s="907"/>
      <c r="Z175" s="907"/>
      <c r="AA175" s="907"/>
      <c r="AB175" s="907"/>
      <c r="AC175" s="907"/>
    </row>
    <row r="176" spans="1:29">
      <c r="A176" s="907"/>
      <c r="B176" s="907"/>
      <c r="C176" s="907"/>
      <c r="D176" s="907"/>
      <c r="E176" s="907"/>
      <c r="F176" s="907"/>
      <c r="G176" s="907"/>
      <c r="H176" s="907"/>
      <c r="I176" s="907"/>
      <c r="J176" s="907"/>
      <c r="K176" s="907"/>
      <c r="L176" s="907"/>
      <c r="M176" s="907"/>
      <c r="N176" s="907"/>
      <c r="O176" s="907"/>
      <c r="P176" s="907"/>
      <c r="Q176" s="907"/>
      <c r="R176" s="907"/>
      <c r="S176" s="907"/>
      <c r="T176" s="907"/>
      <c r="U176" s="907"/>
      <c r="V176" s="907"/>
      <c r="W176" s="907"/>
      <c r="X176" s="907"/>
      <c r="Y176" s="907"/>
      <c r="Z176" s="907"/>
      <c r="AA176" s="907"/>
      <c r="AB176" s="907"/>
      <c r="AC176" s="907"/>
    </row>
    <row r="177" spans="1:29">
      <c r="A177" s="907"/>
      <c r="B177" s="907"/>
      <c r="C177" s="907"/>
      <c r="D177" s="907"/>
      <c r="E177" s="907"/>
      <c r="F177" s="907"/>
      <c r="G177" s="907"/>
      <c r="H177" s="907"/>
      <c r="I177" s="907"/>
      <c r="J177" s="907"/>
      <c r="K177" s="907"/>
      <c r="L177" s="907"/>
      <c r="M177" s="907"/>
      <c r="N177" s="907"/>
      <c r="O177" s="907"/>
      <c r="P177" s="907"/>
      <c r="Q177" s="907"/>
      <c r="R177" s="907"/>
      <c r="S177" s="907"/>
      <c r="T177" s="907"/>
      <c r="U177" s="907"/>
      <c r="V177" s="907"/>
      <c r="W177" s="907"/>
      <c r="X177" s="907"/>
      <c r="Y177" s="907"/>
      <c r="Z177" s="907"/>
      <c r="AA177" s="907"/>
      <c r="AB177" s="907"/>
      <c r="AC177" s="907"/>
    </row>
    <row r="178" spans="1:29">
      <c r="A178" s="907"/>
      <c r="B178" s="907"/>
      <c r="C178" s="907"/>
      <c r="D178" s="907"/>
      <c r="E178" s="907"/>
      <c r="F178" s="907"/>
      <c r="G178" s="907"/>
      <c r="H178" s="907"/>
      <c r="I178" s="907"/>
      <c r="J178" s="907"/>
      <c r="K178" s="907"/>
      <c r="L178" s="907"/>
      <c r="M178" s="907"/>
      <c r="N178" s="907"/>
      <c r="O178" s="907"/>
      <c r="P178" s="907"/>
      <c r="Q178" s="907"/>
      <c r="R178" s="907"/>
      <c r="S178" s="907"/>
      <c r="T178" s="907"/>
      <c r="U178" s="907"/>
      <c r="V178" s="907"/>
      <c r="W178" s="907"/>
      <c r="X178" s="907"/>
      <c r="Y178" s="907"/>
      <c r="Z178" s="907"/>
      <c r="AA178" s="907"/>
      <c r="AB178" s="907"/>
      <c r="AC178" s="907"/>
    </row>
    <row r="179" spans="1:29">
      <c r="A179" s="907"/>
      <c r="B179" s="907"/>
      <c r="C179" s="907"/>
      <c r="D179" s="907"/>
      <c r="E179" s="907"/>
      <c r="F179" s="907"/>
      <c r="G179" s="907"/>
      <c r="H179" s="907"/>
      <c r="I179" s="907"/>
      <c r="J179" s="907"/>
      <c r="K179" s="907"/>
      <c r="L179" s="907"/>
      <c r="M179" s="907"/>
      <c r="N179" s="907"/>
      <c r="O179" s="907"/>
      <c r="P179" s="907"/>
      <c r="Q179" s="907"/>
      <c r="R179" s="907"/>
      <c r="S179" s="907"/>
      <c r="T179" s="907"/>
      <c r="U179" s="907"/>
      <c r="V179" s="907"/>
      <c r="W179" s="907"/>
      <c r="X179" s="907"/>
      <c r="Y179" s="907"/>
      <c r="Z179" s="907"/>
      <c r="AA179" s="907"/>
      <c r="AB179" s="907"/>
      <c r="AC179" s="907"/>
    </row>
    <row r="180" spans="1:29">
      <c r="A180" s="907"/>
      <c r="B180" s="907"/>
      <c r="C180" s="907"/>
      <c r="D180" s="907"/>
      <c r="E180" s="907"/>
      <c r="F180" s="907"/>
      <c r="G180" s="907"/>
      <c r="H180" s="907"/>
      <c r="I180" s="907"/>
      <c r="J180" s="907"/>
      <c r="K180" s="907"/>
      <c r="L180" s="907"/>
      <c r="M180" s="907"/>
      <c r="N180" s="907"/>
      <c r="O180" s="907"/>
      <c r="P180" s="907"/>
      <c r="Q180" s="907"/>
      <c r="R180" s="907"/>
      <c r="S180" s="907"/>
      <c r="T180" s="907"/>
      <c r="U180" s="907"/>
      <c r="V180" s="907"/>
      <c r="W180" s="907"/>
      <c r="X180" s="907"/>
      <c r="Y180" s="907"/>
      <c r="Z180" s="907"/>
      <c r="AA180" s="907"/>
      <c r="AB180" s="907"/>
      <c r="AC180" s="907"/>
    </row>
    <row r="181" spans="1:29">
      <c r="A181" s="907"/>
      <c r="B181" s="907"/>
      <c r="C181" s="907"/>
      <c r="D181" s="907"/>
      <c r="E181" s="907"/>
      <c r="F181" s="907"/>
      <c r="G181" s="907"/>
      <c r="H181" s="907"/>
      <c r="I181" s="907"/>
      <c r="J181" s="907"/>
      <c r="K181" s="907"/>
      <c r="L181" s="907"/>
      <c r="M181" s="907"/>
      <c r="N181" s="907"/>
      <c r="O181" s="907"/>
      <c r="P181" s="907"/>
      <c r="Q181" s="907"/>
      <c r="R181" s="907"/>
      <c r="S181" s="907"/>
      <c r="T181" s="907"/>
      <c r="U181" s="907"/>
      <c r="V181" s="907"/>
      <c r="W181" s="907"/>
      <c r="X181" s="907"/>
      <c r="Y181" s="907"/>
      <c r="Z181" s="907"/>
      <c r="AA181" s="907"/>
      <c r="AB181" s="907"/>
      <c r="AC181" s="907"/>
    </row>
    <row r="182" spans="1:29">
      <c r="A182" s="907"/>
      <c r="B182" s="907"/>
      <c r="C182" s="907"/>
      <c r="D182" s="907"/>
      <c r="E182" s="907"/>
      <c r="F182" s="907"/>
      <c r="G182" s="907"/>
      <c r="H182" s="907"/>
      <c r="I182" s="907"/>
      <c r="J182" s="907"/>
      <c r="K182" s="907"/>
      <c r="L182" s="907"/>
      <c r="M182" s="907"/>
      <c r="N182" s="907"/>
      <c r="O182" s="907"/>
      <c r="P182" s="907"/>
      <c r="Q182" s="907"/>
      <c r="R182" s="907"/>
      <c r="S182" s="907"/>
      <c r="T182" s="907"/>
      <c r="U182" s="907"/>
      <c r="V182" s="907"/>
      <c r="W182" s="907"/>
      <c r="X182" s="907"/>
      <c r="Y182" s="907"/>
      <c r="Z182" s="907"/>
      <c r="AA182" s="907"/>
      <c r="AB182" s="907"/>
      <c r="AC182" s="907"/>
    </row>
    <row r="183" spans="1:29">
      <c r="A183" s="907"/>
      <c r="B183" s="907"/>
      <c r="C183" s="907"/>
      <c r="D183" s="907"/>
      <c r="E183" s="907"/>
      <c r="F183" s="907"/>
      <c r="G183" s="907"/>
      <c r="H183" s="907"/>
      <c r="I183" s="907"/>
      <c r="J183" s="907"/>
      <c r="K183" s="907"/>
      <c r="L183" s="907"/>
      <c r="M183" s="907"/>
      <c r="N183" s="907"/>
      <c r="O183" s="907"/>
      <c r="P183" s="907"/>
      <c r="Q183" s="907"/>
      <c r="R183" s="907"/>
      <c r="S183" s="907"/>
      <c r="T183" s="907"/>
      <c r="U183" s="907"/>
      <c r="V183" s="907"/>
      <c r="W183" s="907"/>
      <c r="X183" s="907"/>
      <c r="Y183" s="907"/>
      <c r="Z183" s="907"/>
      <c r="AA183" s="907"/>
      <c r="AB183" s="907"/>
      <c r="AC183" s="907"/>
    </row>
    <row r="184" spans="1:29">
      <c r="A184" s="907"/>
      <c r="B184" s="907"/>
      <c r="C184" s="907"/>
      <c r="D184" s="907"/>
      <c r="E184" s="907"/>
      <c r="F184" s="907"/>
      <c r="G184" s="907"/>
      <c r="H184" s="907"/>
      <c r="I184" s="907"/>
      <c r="J184" s="907"/>
      <c r="K184" s="907"/>
      <c r="L184" s="907"/>
      <c r="M184" s="907"/>
      <c r="N184" s="907"/>
      <c r="O184" s="907"/>
      <c r="P184" s="907"/>
      <c r="Q184" s="907"/>
      <c r="R184" s="907"/>
      <c r="S184" s="907"/>
      <c r="T184" s="907"/>
      <c r="U184" s="907"/>
      <c r="V184" s="907"/>
      <c r="W184" s="907"/>
      <c r="X184" s="907"/>
      <c r="Y184" s="907"/>
      <c r="Z184" s="907"/>
      <c r="AA184" s="907"/>
      <c r="AB184" s="907"/>
      <c r="AC184" s="907"/>
    </row>
    <row r="185" spans="1:29">
      <c r="A185" s="907"/>
      <c r="B185" s="907"/>
      <c r="C185" s="907"/>
      <c r="D185" s="907"/>
      <c r="E185" s="907"/>
      <c r="F185" s="907"/>
      <c r="G185" s="907"/>
      <c r="H185" s="907"/>
      <c r="I185" s="907"/>
      <c r="J185" s="907"/>
      <c r="K185" s="907"/>
      <c r="L185" s="907"/>
      <c r="M185" s="907"/>
      <c r="N185" s="907"/>
      <c r="O185" s="907"/>
      <c r="P185" s="907"/>
      <c r="Q185" s="907"/>
      <c r="R185" s="907"/>
      <c r="S185" s="907"/>
      <c r="T185" s="907"/>
      <c r="U185" s="907"/>
      <c r="V185" s="907"/>
      <c r="W185" s="907"/>
      <c r="X185" s="907"/>
      <c r="Y185" s="907"/>
      <c r="Z185" s="907"/>
      <c r="AA185" s="907"/>
      <c r="AB185" s="907"/>
      <c r="AC185" s="907"/>
    </row>
    <row r="186" spans="1:29">
      <c r="A186" s="907"/>
      <c r="B186" s="907"/>
      <c r="C186" s="907"/>
      <c r="D186" s="907"/>
      <c r="E186" s="907"/>
      <c r="F186" s="907"/>
      <c r="G186" s="907"/>
      <c r="H186" s="907"/>
      <c r="I186" s="907"/>
      <c r="J186" s="907"/>
      <c r="K186" s="907"/>
      <c r="L186" s="907"/>
      <c r="M186" s="907"/>
      <c r="N186" s="907"/>
      <c r="O186" s="907"/>
      <c r="P186" s="907"/>
      <c r="Q186" s="907"/>
      <c r="R186" s="907"/>
      <c r="S186" s="907"/>
      <c r="T186" s="907"/>
      <c r="U186" s="907"/>
      <c r="V186" s="907"/>
      <c r="W186" s="907"/>
      <c r="X186" s="907"/>
      <c r="Y186" s="907"/>
      <c r="Z186" s="907"/>
      <c r="AA186" s="907"/>
      <c r="AB186" s="907"/>
      <c r="AC186" s="907"/>
    </row>
    <row r="187" spans="1:29">
      <c r="A187" s="907"/>
      <c r="B187" s="907"/>
      <c r="C187" s="907"/>
      <c r="D187" s="907"/>
      <c r="E187" s="907"/>
      <c r="F187" s="907"/>
      <c r="G187" s="907"/>
      <c r="H187" s="907"/>
      <c r="I187" s="907"/>
      <c r="J187" s="907"/>
      <c r="K187" s="907"/>
      <c r="L187" s="907"/>
      <c r="M187" s="907"/>
      <c r="N187" s="907"/>
      <c r="O187" s="907"/>
      <c r="P187" s="907"/>
      <c r="Q187" s="907"/>
      <c r="R187" s="907"/>
      <c r="S187" s="907"/>
      <c r="T187" s="907"/>
      <c r="U187" s="907"/>
      <c r="V187" s="907"/>
      <c r="W187" s="907"/>
      <c r="X187" s="907"/>
      <c r="Y187" s="907"/>
      <c r="Z187" s="907"/>
      <c r="AA187" s="907"/>
      <c r="AB187" s="907"/>
      <c r="AC187" s="907"/>
    </row>
    <row r="188" spans="1:29">
      <c r="A188" s="907"/>
      <c r="B188" s="907"/>
      <c r="C188" s="907"/>
      <c r="D188" s="907"/>
      <c r="E188" s="907"/>
      <c r="F188" s="907"/>
      <c r="G188" s="907"/>
      <c r="H188" s="907"/>
      <c r="I188" s="907"/>
      <c r="J188" s="907"/>
      <c r="K188" s="907"/>
      <c r="L188" s="907"/>
      <c r="M188" s="907"/>
      <c r="N188" s="907"/>
      <c r="O188" s="907"/>
      <c r="P188" s="907"/>
      <c r="Q188" s="907"/>
      <c r="R188" s="907"/>
      <c r="S188" s="907"/>
      <c r="T188" s="907"/>
      <c r="U188" s="907"/>
      <c r="V188" s="907"/>
      <c r="W188" s="907"/>
      <c r="X188" s="907"/>
      <c r="Y188" s="907"/>
      <c r="Z188" s="907"/>
      <c r="AA188" s="907"/>
      <c r="AB188" s="907"/>
      <c r="AC188" s="907"/>
    </row>
    <row r="189" spans="1:29">
      <c r="A189" s="907"/>
      <c r="B189" s="907"/>
      <c r="C189" s="907"/>
      <c r="D189" s="907"/>
      <c r="E189" s="907"/>
      <c r="F189" s="907"/>
      <c r="G189" s="907"/>
      <c r="H189" s="907"/>
      <c r="I189" s="907"/>
      <c r="J189" s="907"/>
      <c r="K189" s="907"/>
      <c r="L189" s="907"/>
      <c r="M189" s="907"/>
      <c r="N189" s="907"/>
      <c r="O189" s="907"/>
      <c r="P189" s="907"/>
      <c r="Q189" s="907"/>
      <c r="R189" s="907"/>
      <c r="S189" s="907"/>
      <c r="T189" s="907"/>
      <c r="U189" s="907"/>
      <c r="V189" s="907"/>
      <c r="W189" s="907"/>
      <c r="X189" s="907"/>
      <c r="Y189" s="907"/>
      <c r="Z189" s="907"/>
      <c r="AA189" s="907"/>
      <c r="AB189" s="907"/>
      <c r="AC189" s="907"/>
    </row>
    <row r="190" spans="1:29">
      <c r="A190" s="907"/>
      <c r="B190" s="907"/>
      <c r="C190" s="907"/>
      <c r="D190" s="907"/>
      <c r="E190" s="907"/>
      <c r="F190" s="907"/>
      <c r="G190" s="907"/>
      <c r="H190" s="907"/>
      <c r="I190" s="907"/>
      <c r="J190" s="907"/>
      <c r="K190" s="907"/>
      <c r="L190" s="907"/>
      <c r="M190" s="907"/>
      <c r="N190" s="907"/>
      <c r="O190" s="907"/>
      <c r="P190" s="907"/>
      <c r="Q190" s="907"/>
      <c r="R190" s="907"/>
      <c r="S190" s="907"/>
      <c r="T190" s="907"/>
      <c r="U190" s="907"/>
      <c r="V190" s="907"/>
      <c r="W190" s="907"/>
      <c r="X190" s="907"/>
      <c r="Y190" s="907"/>
      <c r="Z190" s="907"/>
      <c r="AA190" s="907"/>
      <c r="AB190" s="907"/>
      <c r="AC190" s="907"/>
    </row>
    <row r="191" spans="1:29">
      <c r="A191" s="907"/>
      <c r="B191" s="907"/>
      <c r="C191" s="907"/>
      <c r="D191" s="907"/>
      <c r="E191" s="907"/>
      <c r="F191" s="907"/>
      <c r="G191" s="907"/>
      <c r="H191" s="907"/>
      <c r="I191" s="907"/>
      <c r="J191" s="907"/>
      <c r="K191" s="907"/>
      <c r="L191" s="907"/>
      <c r="M191" s="907"/>
      <c r="N191" s="907"/>
      <c r="O191" s="907"/>
      <c r="P191" s="907"/>
      <c r="Q191" s="907"/>
      <c r="R191" s="907"/>
      <c r="S191" s="907"/>
      <c r="T191" s="907"/>
      <c r="U191" s="907"/>
      <c r="V191" s="907"/>
      <c r="W191" s="907"/>
      <c r="X191" s="907"/>
      <c r="Y191" s="907"/>
      <c r="Z191" s="907"/>
      <c r="AA191" s="907"/>
      <c r="AB191" s="907"/>
      <c r="AC191" s="907"/>
    </row>
    <row r="192" spans="1:29">
      <c r="A192" s="907"/>
      <c r="B192" s="907"/>
      <c r="C192" s="907"/>
      <c r="D192" s="907"/>
      <c r="E192" s="907"/>
      <c r="F192" s="907"/>
      <c r="G192" s="907"/>
      <c r="H192" s="907"/>
      <c r="I192" s="907"/>
      <c r="J192" s="907"/>
      <c r="K192" s="907"/>
      <c r="L192" s="907"/>
      <c r="M192" s="907"/>
      <c r="N192" s="907"/>
      <c r="O192" s="907"/>
      <c r="P192" s="907"/>
      <c r="Q192" s="907"/>
      <c r="R192" s="907"/>
      <c r="S192" s="907"/>
      <c r="T192" s="907"/>
      <c r="U192" s="907"/>
      <c r="V192" s="907"/>
      <c r="W192" s="907"/>
      <c r="X192" s="907"/>
      <c r="Y192" s="907"/>
      <c r="Z192" s="907"/>
      <c r="AA192" s="907"/>
      <c r="AB192" s="907"/>
      <c r="AC192" s="907"/>
    </row>
    <row r="193" spans="1:29">
      <c r="A193" s="907"/>
      <c r="B193" s="907"/>
      <c r="C193" s="907"/>
      <c r="D193" s="907"/>
      <c r="E193" s="907"/>
      <c r="F193" s="907"/>
      <c r="G193" s="907"/>
      <c r="H193" s="907"/>
      <c r="I193" s="907"/>
      <c r="J193" s="907"/>
      <c r="K193" s="907"/>
      <c r="L193" s="907"/>
      <c r="M193" s="907"/>
      <c r="N193" s="907"/>
      <c r="O193" s="907"/>
      <c r="P193" s="907"/>
      <c r="Q193" s="907"/>
      <c r="R193" s="907"/>
      <c r="S193" s="907"/>
      <c r="T193" s="907"/>
      <c r="U193" s="907"/>
      <c r="V193" s="907"/>
      <c r="W193" s="907"/>
      <c r="X193" s="907"/>
      <c r="Y193" s="907"/>
      <c r="Z193" s="907"/>
      <c r="AA193" s="907"/>
      <c r="AB193" s="907"/>
      <c r="AC193" s="907"/>
    </row>
    <row r="194" spans="1:29">
      <c r="A194" s="907"/>
      <c r="B194" s="907"/>
      <c r="C194" s="907"/>
      <c r="D194" s="907"/>
      <c r="E194" s="907"/>
      <c r="F194" s="907"/>
      <c r="G194" s="907"/>
      <c r="H194" s="907"/>
      <c r="I194" s="907"/>
      <c r="J194" s="907"/>
      <c r="K194" s="907"/>
      <c r="L194" s="907"/>
      <c r="M194" s="907"/>
      <c r="N194" s="907"/>
      <c r="O194" s="907"/>
      <c r="P194" s="907"/>
      <c r="Q194" s="907"/>
      <c r="R194" s="907"/>
      <c r="S194" s="907"/>
      <c r="T194" s="907"/>
      <c r="U194" s="907"/>
      <c r="V194" s="907"/>
      <c r="W194" s="907"/>
      <c r="X194" s="907"/>
      <c r="Y194" s="907"/>
      <c r="Z194" s="907"/>
      <c r="AA194" s="907"/>
      <c r="AB194" s="907"/>
      <c r="AC194" s="907"/>
    </row>
    <row r="195" spans="1:29">
      <c r="A195" s="907"/>
      <c r="B195" s="907"/>
      <c r="C195" s="907"/>
      <c r="D195" s="907"/>
      <c r="E195" s="907"/>
      <c r="F195" s="907"/>
      <c r="G195" s="907"/>
      <c r="H195" s="907"/>
      <c r="I195" s="907"/>
      <c r="J195" s="907"/>
      <c r="K195" s="907"/>
      <c r="L195" s="907"/>
      <c r="M195" s="907"/>
      <c r="N195" s="907"/>
      <c r="O195" s="907"/>
      <c r="P195" s="907"/>
      <c r="Q195" s="907"/>
      <c r="R195" s="907"/>
      <c r="S195" s="907"/>
      <c r="T195" s="907"/>
      <c r="U195" s="907"/>
      <c r="V195" s="907"/>
      <c r="W195" s="907"/>
      <c r="X195" s="907"/>
      <c r="Y195" s="907"/>
      <c r="Z195" s="907"/>
      <c r="AA195" s="907"/>
      <c r="AB195" s="907"/>
      <c r="AC195" s="907"/>
    </row>
    <row r="196" spans="1:29">
      <c r="A196" s="907"/>
      <c r="B196" s="907"/>
      <c r="C196" s="907"/>
      <c r="D196" s="907"/>
      <c r="E196" s="907"/>
      <c r="F196" s="907"/>
      <c r="G196" s="907"/>
      <c r="H196" s="907"/>
      <c r="I196" s="907"/>
      <c r="J196" s="907"/>
      <c r="K196" s="907"/>
      <c r="L196" s="907"/>
      <c r="M196" s="907"/>
      <c r="N196" s="907"/>
      <c r="O196" s="907"/>
      <c r="P196" s="907"/>
      <c r="Q196" s="907"/>
      <c r="R196" s="907"/>
      <c r="S196" s="907"/>
      <c r="T196" s="907"/>
      <c r="U196" s="907"/>
      <c r="V196" s="907"/>
      <c r="W196" s="907"/>
      <c r="X196" s="907"/>
      <c r="Y196" s="907"/>
      <c r="Z196" s="907"/>
      <c r="AA196" s="907"/>
      <c r="AB196" s="907"/>
      <c r="AC196" s="907"/>
    </row>
    <row r="197" spans="1:29">
      <c r="A197" s="907"/>
      <c r="B197" s="907"/>
      <c r="C197" s="907"/>
      <c r="D197" s="907"/>
      <c r="E197" s="907"/>
      <c r="F197" s="907"/>
      <c r="G197" s="907"/>
      <c r="H197" s="907"/>
      <c r="I197" s="907"/>
      <c r="J197" s="907"/>
      <c r="K197" s="907"/>
      <c r="L197" s="907"/>
      <c r="M197" s="907"/>
      <c r="N197" s="907"/>
      <c r="O197" s="907"/>
      <c r="P197" s="907"/>
      <c r="Q197" s="907"/>
      <c r="R197" s="907"/>
      <c r="S197" s="907"/>
      <c r="T197" s="907"/>
      <c r="U197" s="907"/>
      <c r="V197" s="907"/>
      <c r="W197" s="907"/>
      <c r="X197" s="907"/>
      <c r="Y197" s="907"/>
      <c r="Z197" s="907"/>
      <c r="AA197" s="907"/>
      <c r="AB197" s="907"/>
      <c r="AC197" s="907"/>
    </row>
    <row r="198" spans="1:29">
      <c r="A198" s="907"/>
      <c r="B198" s="907"/>
      <c r="C198" s="907"/>
      <c r="D198" s="907"/>
      <c r="E198" s="907"/>
      <c r="F198" s="907"/>
      <c r="G198" s="907"/>
      <c r="H198" s="907"/>
      <c r="I198" s="907"/>
      <c r="J198" s="907"/>
      <c r="K198" s="907"/>
      <c r="L198" s="907"/>
      <c r="M198" s="907"/>
      <c r="N198" s="907"/>
      <c r="O198" s="907"/>
      <c r="P198" s="907"/>
      <c r="Q198" s="907"/>
      <c r="R198" s="907"/>
      <c r="S198" s="907"/>
      <c r="T198" s="907"/>
      <c r="U198" s="907"/>
      <c r="V198" s="907"/>
      <c r="W198" s="907"/>
      <c r="X198" s="907"/>
      <c r="Y198" s="907"/>
      <c r="Z198" s="907"/>
      <c r="AA198" s="907"/>
      <c r="AB198" s="907"/>
      <c r="AC198" s="907"/>
    </row>
    <row r="199" spans="1:29">
      <c r="A199" s="907"/>
      <c r="B199" s="907"/>
      <c r="C199" s="907"/>
      <c r="D199" s="907"/>
      <c r="E199" s="907"/>
      <c r="F199" s="907"/>
      <c r="G199" s="907"/>
      <c r="H199" s="907"/>
      <c r="I199" s="907"/>
      <c r="J199" s="907"/>
      <c r="K199" s="907"/>
      <c r="L199" s="907"/>
      <c r="M199" s="907"/>
      <c r="N199" s="907"/>
      <c r="O199" s="907"/>
      <c r="P199" s="907"/>
      <c r="Q199" s="907"/>
      <c r="R199" s="907"/>
      <c r="S199" s="907"/>
      <c r="T199" s="907"/>
      <c r="U199" s="907"/>
      <c r="V199" s="907"/>
      <c r="W199" s="907"/>
      <c r="X199" s="907"/>
      <c r="Y199" s="907"/>
      <c r="Z199" s="907"/>
      <c r="AA199" s="907"/>
      <c r="AB199" s="907"/>
      <c r="AC199" s="907"/>
    </row>
    <row r="200" spans="1:29">
      <c r="A200" s="907"/>
      <c r="B200" s="907"/>
      <c r="C200" s="907"/>
      <c r="D200" s="907"/>
      <c r="E200" s="907"/>
      <c r="F200" s="907"/>
      <c r="G200" s="907"/>
      <c r="H200" s="907"/>
      <c r="I200" s="907"/>
      <c r="J200" s="907"/>
      <c r="K200" s="907"/>
      <c r="L200" s="907"/>
      <c r="M200" s="907"/>
      <c r="N200" s="907"/>
      <c r="O200" s="907"/>
      <c r="P200" s="907"/>
      <c r="Q200" s="907"/>
      <c r="R200" s="907"/>
      <c r="S200" s="907"/>
      <c r="T200" s="907"/>
      <c r="U200" s="907"/>
      <c r="V200" s="907"/>
      <c r="W200" s="907"/>
      <c r="X200" s="907"/>
      <c r="Y200" s="907"/>
      <c r="Z200" s="907"/>
      <c r="AA200" s="907"/>
      <c r="AB200" s="907"/>
      <c r="AC200" s="907"/>
    </row>
    <row r="201" spans="1:29">
      <c r="A201" s="907"/>
      <c r="B201" s="907"/>
      <c r="C201" s="907"/>
      <c r="D201" s="907"/>
      <c r="E201" s="907"/>
      <c r="F201" s="907"/>
      <c r="G201" s="907"/>
      <c r="H201" s="907"/>
      <c r="I201" s="907"/>
      <c r="J201" s="907"/>
      <c r="K201" s="907"/>
      <c r="L201" s="907"/>
      <c r="M201" s="907"/>
      <c r="N201" s="907"/>
      <c r="O201" s="907"/>
      <c r="P201" s="907"/>
      <c r="Q201" s="907"/>
      <c r="R201" s="907"/>
      <c r="S201" s="907"/>
      <c r="T201" s="907"/>
      <c r="U201" s="907"/>
      <c r="V201" s="907"/>
      <c r="W201" s="907"/>
      <c r="X201" s="907"/>
      <c r="Y201" s="907"/>
      <c r="Z201" s="907"/>
      <c r="AA201" s="907"/>
      <c r="AB201" s="907"/>
      <c r="AC201" s="907"/>
    </row>
    <row r="202" spans="1:29">
      <c r="A202" s="907"/>
      <c r="B202" s="907"/>
      <c r="C202" s="907"/>
      <c r="D202" s="907"/>
      <c r="E202" s="907"/>
      <c r="F202" s="907"/>
      <c r="G202" s="907"/>
      <c r="H202" s="907"/>
      <c r="I202" s="907"/>
      <c r="J202" s="907"/>
      <c r="K202" s="907"/>
      <c r="L202" s="907"/>
      <c r="M202" s="907"/>
      <c r="N202" s="907"/>
      <c r="O202" s="907"/>
      <c r="P202" s="907"/>
      <c r="Q202" s="907"/>
      <c r="R202" s="907"/>
      <c r="S202" s="907"/>
      <c r="T202" s="907"/>
      <c r="U202" s="907"/>
      <c r="V202" s="907"/>
      <c r="W202" s="907"/>
      <c r="X202" s="907"/>
      <c r="Y202" s="907"/>
      <c r="Z202" s="907"/>
      <c r="AA202" s="907"/>
      <c r="AB202" s="907"/>
      <c r="AC202" s="907"/>
    </row>
    <row r="203" spans="1:29">
      <c r="A203" s="907"/>
      <c r="B203" s="907"/>
      <c r="C203" s="907"/>
      <c r="D203" s="907"/>
      <c r="E203" s="907"/>
      <c r="F203" s="907"/>
      <c r="G203" s="907"/>
      <c r="H203" s="907"/>
      <c r="I203" s="907"/>
      <c r="J203" s="907"/>
      <c r="K203" s="907"/>
      <c r="L203" s="907"/>
      <c r="M203" s="907"/>
      <c r="N203" s="907"/>
      <c r="O203" s="907"/>
      <c r="P203" s="907"/>
      <c r="Q203" s="907"/>
      <c r="R203" s="907"/>
      <c r="S203" s="907"/>
      <c r="T203" s="907"/>
      <c r="U203" s="907"/>
      <c r="V203" s="907"/>
      <c r="W203" s="907"/>
      <c r="X203" s="907"/>
      <c r="Y203" s="907"/>
      <c r="Z203" s="907"/>
      <c r="AA203" s="907"/>
      <c r="AB203" s="907"/>
      <c r="AC203" s="907"/>
    </row>
    <row r="204" spans="1:29">
      <c r="A204" s="907"/>
      <c r="B204" s="907"/>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c r="AB204" s="907"/>
      <c r="AC204" s="907"/>
    </row>
    <row r="205" spans="1:29">
      <c r="A205" s="907"/>
      <c r="B205" s="907"/>
      <c r="C205" s="907"/>
      <c r="D205" s="907"/>
      <c r="E205" s="907"/>
      <c r="F205" s="907"/>
      <c r="G205" s="907"/>
      <c r="H205" s="907"/>
      <c r="I205" s="907"/>
      <c r="J205" s="907"/>
      <c r="K205" s="907"/>
      <c r="L205" s="907"/>
      <c r="M205" s="907"/>
      <c r="N205" s="907"/>
      <c r="O205" s="907"/>
      <c r="P205" s="907"/>
      <c r="Q205" s="907"/>
      <c r="R205" s="907"/>
      <c r="S205" s="907"/>
      <c r="T205" s="907"/>
      <c r="U205" s="907"/>
      <c r="V205" s="907"/>
      <c r="W205" s="907"/>
      <c r="X205" s="907"/>
      <c r="Y205" s="907"/>
      <c r="Z205" s="907"/>
      <c r="AA205" s="907"/>
      <c r="AB205" s="907"/>
      <c r="AC205" s="907"/>
    </row>
    <row r="206" spans="1:29">
      <c r="A206" s="907"/>
      <c r="B206" s="907"/>
      <c r="C206" s="907"/>
      <c r="D206" s="907"/>
      <c r="E206" s="907"/>
      <c r="F206" s="907"/>
      <c r="G206" s="907"/>
      <c r="H206" s="907"/>
      <c r="I206" s="907"/>
      <c r="J206" s="907"/>
      <c r="K206" s="907"/>
      <c r="L206" s="907"/>
      <c r="M206" s="907"/>
      <c r="N206" s="907"/>
      <c r="O206" s="907"/>
      <c r="P206" s="907"/>
      <c r="Q206" s="907"/>
      <c r="R206" s="907"/>
      <c r="S206" s="907"/>
      <c r="T206" s="907"/>
      <c r="U206" s="907"/>
      <c r="V206" s="907"/>
      <c r="W206" s="907"/>
      <c r="X206" s="907"/>
      <c r="Y206" s="907"/>
      <c r="Z206" s="907"/>
      <c r="AA206" s="907"/>
      <c r="AB206" s="907"/>
      <c r="AC206" s="907"/>
    </row>
    <row r="207" spans="1:29">
      <c r="A207" s="907"/>
      <c r="B207" s="907"/>
      <c r="C207" s="907"/>
      <c r="D207" s="907"/>
      <c r="E207" s="907"/>
      <c r="F207" s="907"/>
      <c r="G207" s="907"/>
      <c r="H207" s="907"/>
      <c r="I207" s="907"/>
      <c r="J207" s="907"/>
      <c r="K207" s="907"/>
      <c r="L207" s="907"/>
      <c r="M207" s="907"/>
      <c r="N207" s="907"/>
      <c r="O207" s="907"/>
      <c r="P207" s="907"/>
      <c r="Q207" s="907"/>
      <c r="R207" s="907"/>
      <c r="S207" s="907"/>
      <c r="T207" s="907"/>
      <c r="U207" s="907"/>
      <c r="V207" s="907"/>
      <c r="W207" s="907"/>
      <c r="X207" s="907"/>
      <c r="Y207" s="907"/>
      <c r="Z207" s="907"/>
      <c r="AA207" s="907"/>
      <c r="AB207" s="907"/>
      <c r="AC207" s="907"/>
    </row>
    <row r="208" spans="1:29">
      <c r="A208" s="907"/>
      <c r="B208" s="907"/>
      <c r="C208" s="907"/>
      <c r="D208" s="907"/>
      <c r="E208" s="907"/>
      <c r="F208" s="907"/>
      <c r="G208" s="907"/>
      <c r="H208" s="907"/>
      <c r="I208" s="907"/>
      <c r="J208" s="907"/>
      <c r="K208" s="907"/>
      <c r="L208" s="907"/>
      <c r="M208" s="907"/>
      <c r="N208" s="907"/>
      <c r="O208" s="907"/>
      <c r="P208" s="907"/>
      <c r="Q208" s="907"/>
      <c r="R208" s="907"/>
      <c r="S208" s="907"/>
      <c r="T208" s="907"/>
      <c r="U208" s="907"/>
      <c r="V208" s="907"/>
      <c r="W208" s="907"/>
      <c r="X208" s="907"/>
      <c r="Y208" s="907"/>
      <c r="Z208" s="907"/>
      <c r="AA208" s="907"/>
      <c r="AB208" s="907"/>
      <c r="AC208" s="907"/>
    </row>
    <row r="209" spans="1:29">
      <c r="A209" s="907"/>
      <c r="B209" s="907"/>
      <c r="C209" s="907"/>
      <c r="D209" s="907"/>
      <c r="E209" s="907"/>
      <c r="F209" s="907"/>
      <c r="G209" s="907"/>
      <c r="H209" s="907"/>
      <c r="I209" s="907"/>
      <c r="J209" s="907"/>
      <c r="K209" s="907"/>
      <c r="L209" s="907"/>
      <c r="M209" s="907"/>
      <c r="N209" s="907"/>
      <c r="O209" s="907"/>
      <c r="P209" s="907"/>
      <c r="Q209" s="907"/>
      <c r="R209" s="907"/>
      <c r="S209" s="907"/>
      <c r="T209" s="907"/>
      <c r="U209" s="907"/>
      <c r="V209" s="907"/>
      <c r="W209" s="907"/>
      <c r="X209" s="907"/>
      <c r="Y209" s="907"/>
      <c r="Z209" s="907"/>
      <c r="AA209" s="907"/>
      <c r="AB209" s="907"/>
      <c r="AC209" s="907"/>
    </row>
    <row r="210" spans="1:29">
      <c r="A210" s="907"/>
      <c r="B210" s="907"/>
      <c r="C210" s="907"/>
      <c r="D210" s="907"/>
      <c r="E210" s="907"/>
      <c r="F210" s="907"/>
      <c r="G210" s="907"/>
      <c r="H210" s="907"/>
      <c r="I210" s="907"/>
      <c r="J210" s="907"/>
      <c r="K210" s="907"/>
      <c r="L210" s="907"/>
      <c r="M210" s="907"/>
      <c r="N210" s="907"/>
      <c r="O210" s="907"/>
      <c r="P210" s="907"/>
      <c r="Q210" s="907"/>
      <c r="R210" s="907"/>
      <c r="S210" s="907"/>
      <c r="T210" s="907"/>
      <c r="U210" s="907"/>
      <c r="V210" s="907"/>
      <c r="W210" s="907"/>
      <c r="X210" s="907"/>
      <c r="Y210" s="907"/>
      <c r="Z210" s="907"/>
      <c r="AA210" s="907"/>
      <c r="AB210" s="907"/>
      <c r="AC210" s="907"/>
    </row>
    <row r="211" spans="1:29">
      <c r="A211" s="907"/>
      <c r="B211" s="907"/>
      <c r="C211" s="907"/>
      <c r="D211" s="907"/>
      <c r="E211" s="907"/>
      <c r="F211" s="907"/>
      <c r="G211" s="907"/>
      <c r="H211" s="907"/>
      <c r="I211" s="907"/>
      <c r="J211" s="907"/>
      <c r="K211" s="907"/>
      <c r="L211" s="907"/>
      <c r="M211" s="907"/>
      <c r="N211" s="907"/>
      <c r="O211" s="907"/>
      <c r="P211" s="907"/>
      <c r="Q211" s="907"/>
      <c r="R211" s="907"/>
      <c r="S211" s="907"/>
      <c r="T211" s="907"/>
      <c r="U211" s="907"/>
      <c r="V211" s="907"/>
      <c r="W211" s="907"/>
      <c r="X211" s="907"/>
      <c r="Y211" s="907"/>
      <c r="Z211" s="907"/>
      <c r="AA211" s="907"/>
      <c r="AB211" s="907"/>
      <c r="AC211" s="907"/>
    </row>
    <row r="212" spans="1:29">
      <c r="A212" s="907"/>
      <c r="B212" s="907"/>
      <c r="C212" s="907"/>
      <c r="D212" s="907"/>
      <c r="E212" s="907"/>
      <c r="F212" s="907"/>
      <c r="G212" s="907"/>
      <c r="H212" s="907"/>
      <c r="I212" s="907"/>
      <c r="J212" s="907"/>
      <c r="K212" s="907"/>
      <c r="L212" s="907"/>
      <c r="M212" s="907"/>
      <c r="N212" s="907"/>
      <c r="O212" s="907"/>
      <c r="P212" s="907"/>
      <c r="Q212" s="907"/>
      <c r="R212" s="907"/>
      <c r="S212" s="907"/>
      <c r="T212" s="907"/>
      <c r="U212" s="907"/>
      <c r="V212" s="907"/>
      <c r="W212" s="907"/>
      <c r="X212" s="907"/>
      <c r="Y212" s="907"/>
      <c r="Z212" s="907"/>
      <c r="AA212" s="907"/>
      <c r="AB212" s="907"/>
      <c r="AC212" s="907"/>
    </row>
    <row r="213" spans="1:29">
      <c r="A213" s="907"/>
      <c r="B213" s="907"/>
      <c r="C213" s="907"/>
      <c r="D213" s="907"/>
      <c r="E213" s="907"/>
      <c r="F213" s="907"/>
      <c r="G213" s="907"/>
      <c r="H213" s="907"/>
      <c r="I213" s="907"/>
      <c r="J213" s="907"/>
      <c r="K213" s="907"/>
      <c r="L213" s="907"/>
      <c r="M213" s="907"/>
      <c r="N213" s="907"/>
      <c r="O213" s="907"/>
      <c r="P213" s="907"/>
      <c r="Q213" s="907"/>
      <c r="R213" s="907"/>
      <c r="S213" s="907"/>
      <c r="T213" s="907"/>
      <c r="U213" s="907"/>
      <c r="V213" s="907"/>
      <c r="W213" s="907"/>
      <c r="X213" s="907"/>
      <c r="Y213" s="907"/>
      <c r="Z213" s="907"/>
      <c r="AA213" s="907"/>
      <c r="AB213" s="907"/>
      <c r="AC213" s="907"/>
    </row>
    <row r="214" spans="1:29">
      <c r="A214" s="907"/>
      <c r="B214" s="907"/>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c r="AB214" s="907"/>
      <c r="AC214" s="907"/>
    </row>
    <row r="215" spans="1:29">
      <c r="A215" s="907"/>
      <c r="B215" s="907"/>
      <c r="C215" s="907"/>
      <c r="D215" s="907"/>
      <c r="E215" s="907"/>
      <c r="F215" s="907"/>
      <c r="G215" s="907"/>
      <c r="H215" s="907"/>
      <c r="I215" s="907"/>
      <c r="J215" s="907"/>
      <c r="K215" s="907"/>
      <c r="L215" s="907"/>
      <c r="M215" s="907"/>
      <c r="N215" s="907"/>
      <c r="O215" s="907"/>
      <c r="P215" s="907"/>
      <c r="Q215" s="907"/>
      <c r="R215" s="907"/>
      <c r="S215" s="907"/>
      <c r="T215" s="907"/>
      <c r="U215" s="907"/>
      <c r="V215" s="907"/>
      <c r="W215" s="907"/>
      <c r="X215" s="907"/>
      <c r="Y215" s="907"/>
      <c r="Z215" s="907"/>
      <c r="AA215" s="907"/>
      <c r="AB215" s="907"/>
      <c r="AC215" s="907"/>
    </row>
    <row r="216" spans="1:29">
      <c r="A216" s="907"/>
      <c r="B216" s="907"/>
      <c r="C216" s="907"/>
      <c r="D216" s="907"/>
      <c r="E216" s="907"/>
      <c r="F216" s="907"/>
      <c r="G216" s="907"/>
      <c r="H216" s="907"/>
      <c r="I216" s="907"/>
      <c r="J216" s="907"/>
      <c r="K216" s="907"/>
      <c r="L216" s="907"/>
      <c r="M216" s="907"/>
      <c r="N216" s="907"/>
      <c r="O216" s="907"/>
      <c r="P216" s="907"/>
      <c r="Q216" s="907"/>
      <c r="R216" s="907"/>
      <c r="S216" s="907"/>
      <c r="T216" s="907"/>
      <c r="U216" s="907"/>
      <c r="V216" s="907"/>
      <c r="W216" s="907"/>
      <c r="X216" s="907"/>
      <c r="Y216" s="907"/>
      <c r="Z216" s="907"/>
      <c r="AA216" s="907"/>
      <c r="AB216" s="907"/>
      <c r="AC216" s="907"/>
    </row>
    <row r="217" spans="1:29">
      <c r="A217" s="907"/>
      <c r="B217" s="907"/>
      <c r="C217" s="907"/>
      <c r="D217" s="907"/>
      <c r="E217" s="907"/>
      <c r="F217" s="907"/>
      <c r="G217" s="907"/>
      <c r="H217" s="907"/>
      <c r="I217" s="907"/>
      <c r="J217" s="907"/>
      <c r="K217" s="907"/>
      <c r="L217" s="907"/>
      <c r="M217" s="907"/>
      <c r="N217" s="907"/>
      <c r="O217" s="907"/>
      <c r="P217" s="907"/>
      <c r="Q217" s="907"/>
      <c r="R217" s="907"/>
      <c r="S217" s="907"/>
      <c r="T217" s="907"/>
      <c r="U217" s="907"/>
      <c r="V217" s="907"/>
      <c r="W217" s="907"/>
      <c r="X217" s="907"/>
      <c r="Y217" s="907"/>
      <c r="Z217" s="907"/>
      <c r="AA217" s="907"/>
      <c r="AB217" s="907"/>
      <c r="AC217" s="907"/>
    </row>
    <row r="218" spans="1:29">
      <c r="A218" s="907"/>
      <c r="B218" s="907"/>
      <c r="C218" s="907"/>
      <c r="D218" s="907"/>
      <c r="E218" s="907"/>
      <c r="F218" s="907"/>
      <c r="G218" s="907"/>
      <c r="H218" s="907"/>
      <c r="I218" s="907"/>
      <c r="J218" s="907"/>
      <c r="K218" s="907"/>
      <c r="L218" s="907"/>
      <c r="M218" s="907"/>
      <c r="N218" s="907"/>
      <c r="O218" s="907"/>
      <c r="P218" s="907"/>
      <c r="Q218" s="907"/>
      <c r="R218" s="907"/>
      <c r="S218" s="907"/>
      <c r="T218" s="907"/>
      <c r="U218" s="907"/>
      <c r="V218" s="907"/>
      <c r="W218" s="907"/>
      <c r="X218" s="907"/>
      <c r="Y218" s="907"/>
      <c r="Z218" s="907"/>
      <c r="AA218" s="907"/>
      <c r="AB218" s="907"/>
      <c r="AC218" s="907"/>
    </row>
    <row r="219" spans="1:29">
      <c r="A219" s="907"/>
      <c r="B219" s="907"/>
      <c r="C219" s="907"/>
      <c r="D219" s="907"/>
      <c r="E219" s="907"/>
      <c r="F219" s="907"/>
      <c r="G219" s="907"/>
      <c r="H219" s="907"/>
      <c r="I219" s="907"/>
      <c r="J219" s="907"/>
      <c r="K219" s="907"/>
      <c r="L219" s="907"/>
      <c r="M219" s="907"/>
      <c r="N219" s="907"/>
      <c r="O219" s="907"/>
      <c r="P219" s="907"/>
      <c r="Q219" s="907"/>
      <c r="R219" s="907"/>
      <c r="S219" s="907"/>
      <c r="T219" s="907"/>
      <c r="U219" s="907"/>
      <c r="V219" s="907"/>
      <c r="W219" s="907"/>
      <c r="X219" s="907"/>
      <c r="Y219" s="907"/>
      <c r="Z219" s="907"/>
      <c r="AA219" s="907"/>
      <c r="AB219" s="907"/>
      <c r="AC219" s="907"/>
    </row>
    <row r="220" spans="1:29">
      <c r="A220" s="907"/>
      <c r="B220" s="907"/>
      <c r="C220" s="907"/>
      <c r="D220" s="907"/>
      <c r="E220" s="907"/>
      <c r="F220" s="907"/>
      <c r="G220" s="907"/>
      <c r="H220" s="907"/>
      <c r="I220" s="907"/>
      <c r="J220" s="907"/>
      <c r="K220" s="907"/>
      <c r="L220" s="907"/>
      <c r="M220" s="907"/>
      <c r="N220" s="907"/>
      <c r="O220" s="907"/>
      <c r="P220" s="907"/>
      <c r="Q220" s="907"/>
      <c r="R220" s="907"/>
      <c r="S220" s="907"/>
      <c r="T220" s="907"/>
      <c r="U220" s="907"/>
      <c r="V220" s="907"/>
      <c r="W220" s="907"/>
      <c r="X220" s="907"/>
      <c r="Y220" s="907"/>
      <c r="Z220" s="907"/>
      <c r="AA220" s="907"/>
      <c r="AB220" s="907"/>
      <c r="AC220" s="907"/>
    </row>
    <row r="221" spans="1:29">
      <c r="A221" s="907"/>
      <c r="B221" s="907"/>
      <c r="C221" s="907"/>
      <c r="D221" s="907"/>
      <c r="E221" s="907"/>
      <c r="F221" s="907"/>
      <c r="G221" s="907"/>
      <c r="H221" s="907"/>
      <c r="I221" s="907"/>
      <c r="J221" s="907"/>
      <c r="K221" s="907"/>
      <c r="L221" s="907"/>
      <c r="M221" s="907"/>
      <c r="N221" s="907"/>
      <c r="O221" s="907"/>
      <c r="P221" s="907"/>
      <c r="Q221" s="907"/>
      <c r="R221" s="907"/>
      <c r="S221" s="907"/>
      <c r="T221" s="907"/>
      <c r="U221" s="907"/>
      <c r="V221" s="907"/>
      <c r="W221" s="907"/>
      <c r="X221" s="907"/>
      <c r="Y221" s="907"/>
      <c r="Z221" s="907"/>
      <c r="AA221" s="907"/>
      <c r="AB221" s="907"/>
      <c r="AC221" s="907"/>
    </row>
    <row r="222" spans="1:29">
      <c r="A222" s="907"/>
      <c r="B222" s="907"/>
      <c r="C222" s="907"/>
      <c r="D222" s="907"/>
      <c r="E222" s="907"/>
      <c r="F222" s="907"/>
      <c r="G222" s="907"/>
      <c r="H222" s="907"/>
      <c r="I222" s="907"/>
      <c r="J222" s="907"/>
      <c r="K222" s="907"/>
      <c r="L222" s="907"/>
      <c r="M222" s="907"/>
      <c r="N222" s="907"/>
      <c r="O222" s="907"/>
      <c r="P222" s="907"/>
      <c r="Q222" s="907"/>
      <c r="R222" s="907"/>
      <c r="S222" s="907"/>
      <c r="T222" s="907"/>
      <c r="U222" s="907"/>
      <c r="V222" s="907"/>
      <c r="W222" s="907"/>
      <c r="X222" s="907"/>
      <c r="Y222" s="907"/>
      <c r="Z222" s="907"/>
      <c r="AA222" s="907"/>
      <c r="AB222" s="907"/>
      <c r="AC222" s="907"/>
    </row>
    <row r="223" spans="1:29">
      <c r="A223" s="907"/>
      <c r="B223" s="907"/>
      <c r="C223" s="907"/>
      <c r="D223" s="907"/>
      <c r="E223" s="907"/>
      <c r="F223" s="907"/>
      <c r="G223" s="907"/>
      <c r="H223" s="907"/>
      <c r="I223" s="907"/>
      <c r="J223" s="907"/>
      <c r="K223" s="907"/>
      <c r="L223" s="907"/>
      <c r="M223" s="907"/>
      <c r="N223" s="907"/>
      <c r="O223" s="907"/>
      <c r="P223" s="907"/>
      <c r="Q223" s="907"/>
      <c r="R223" s="907"/>
      <c r="S223" s="907"/>
      <c r="T223" s="907"/>
      <c r="U223" s="907"/>
      <c r="V223" s="907"/>
      <c r="W223" s="907"/>
      <c r="X223" s="907"/>
      <c r="Y223" s="907"/>
      <c r="Z223" s="907"/>
      <c r="AA223" s="907"/>
      <c r="AB223" s="907"/>
      <c r="AC223" s="907"/>
    </row>
    <row r="224" spans="1:29">
      <c r="A224" s="907"/>
      <c r="B224" s="907"/>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c r="AB224" s="907"/>
      <c r="AC224" s="907"/>
    </row>
    <row r="225" spans="1:29">
      <c r="A225" s="907"/>
      <c r="B225" s="907"/>
      <c r="C225" s="907"/>
      <c r="D225" s="907"/>
      <c r="E225" s="907"/>
      <c r="F225" s="907"/>
      <c r="G225" s="907"/>
      <c r="H225" s="907"/>
      <c r="I225" s="907"/>
      <c r="J225" s="907"/>
      <c r="K225" s="907"/>
      <c r="L225" s="907"/>
      <c r="M225" s="907"/>
      <c r="N225" s="907"/>
      <c r="O225" s="907"/>
      <c r="P225" s="907"/>
      <c r="Q225" s="907"/>
      <c r="R225" s="907"/>
      <c r="S225" s="907"/>
      <c r="T225" s="907"/>
      <c r="U225" s="907"/>
      <c r="V225" s="907"/>
      <c r="W225" s="907"/>
      <c r="X225" s="907"/>
      <c r="Y225" s="907"/>
      <c r="Z225" s="907"/>
      <c r="AA225" s="907"/>
      <c r="AB225" s="907"/>
      <c r="AC225" s="907"/>
    </row>
    <row r="226" spans="1:29">
      <c r="A226" s="907"/>
      <c r="B226" s="907"/>
      <c r="C226" s="907"/>
      <c r="D226" s="907"/>
      <c r="E226" s="907"/>
      <c r="F226" s="907"/>
      <c r="G226" s="907"/>
      <c r="H226" s="907"/>
      <c r="I226" s="907"/>
      <c r="J226" s="907"/>
      <c r="K226" s="907"/>
      <c r="L226" s="907"/>
      <c r="M226" s="907"/>
      <c r="N226" s="907"/>
      <c r="O226" s="907"/>
      <c r="P226" s="907"/>
      <c r="Q226" s="907"/>
      <c r="R226" s="907"/>
      <c r="S226" s="907"/>
      <c r="T226" s="907"/>
      <c r="U226" s="907"/>
      <c r="V226" s="907"/>
      <c r="W226" s="907"/>
      <c r="X226" s="907"/>
      <c r="Y226" s="907"/>
      <c r="Z226" s="907"/>
      <c r="AA226" s="907"/>
      <c r="AB226" s="907"/>
      <c r="AC226" s="907"/>
    </row>
    <row r="227" spans="1:29">
      <c r="A227" s="907"/>
      <c r="B227" s="907"/>
      <c r="C227" s="907"/>
      <c r="D227" s="907"/>
      <c r="E227" s="907"/>
      <c r="F227" s="907"/>
      <c r="G227" s="907"/>
      <c r="H227" s="907"/>
      <c r="I227" s="907"/>
      <c r="J227" s="907"/>
      <c r="K227" s="907"/>
      <c r="L227" s="907"/>
      <c r="M227" s="907"/>
      <c r="N227" s="907"/>
      <c r="O227" s="907"/>
      <c r="P227" s="907"/>
      <c r="Q227" s="907"/>
      <c r="R227" s="907"/>
      <c r="S227" s="907"/>
      <c r="T227" s="907"/>
      <c r="U227" s="907"/>
      <c r="V227" s="907"/>
      <c r="W227" s="907"/>
      <c r="X227" s="907"/>
      <c r="Y227" s="907"/>
      <c r="Z227" s="907"/>
      <c r="AA227" s="907"/>
      <c r="AB227" s="907"/>
      <c r="AC227" s="907"/>
    </row>
    <row r="228" spans="1:29">
      <c r="A228" s="907"/>
      <c r="B228" s="907"/>
      <c r="C228" s="907"/>
      <c r="D228" s="907"/>
      <c r="E228" s="907"/>
      <c r="F228" s="907"/>
      <c r="G228" s="907"/>
      <c r="H228" s="907"/>
      <c r="I228" s="907"/>
      <c r="J228" s="907"/>
      <c r="K228" s="907"/>
      <c r="L228" s="907"/>
      <c r="M228" s="907"/>
      <c r="N228" s="907"/>
      <c r="O228" s="907"/>
      <c r="P228" s="907"/>
      <c r="Q228" s="907"/>
      <c r="R228" s="907"/>
      <c r="S228" s="907"/>
      <c r="T228" s="907"/>
      <c r="U228" s="907"/>
      <c r="V228" s="907"/>
      <c r="W228" s="907"/>
      <c r="X228" s="907"/>
      <c r="Y228" s="907"/>
      <c r="Z228" s="907"/>
      <c r="AA228" s="907"/>
      <c r="AB228" s="907"/>
      <c r="AC228" s="907"/>
    </row>
    <row r="229" spans="1:29">
      <c r="A229" s="907"/>
      <c r="B229" s="907"/>
      <c r="C229" s="907"/>
      <c r="D229" s="907"/>
      <c r="E229" s="907"/>
      <c r="F229" s="907"/>
      <c r="G229" s="907"/>
      <c r="H229" s="907"/>
      <c r="I229" s="907"/>
      <c r="J229" s="907"/>
      <c r="K229" s="907"/>
      <c r="L229" s="907"/>
      <c r="M229" s="907"/>
      <c r="N229" s="907"/>
      <c r="O229" s="907"/>
      <c r="P229" s="907"/>
      <c r="Q229" s="907"/>
      <c r="R229" s="907"/>
      <c r="S229" s="907"/>
      <c r="T229" s="907"/>
      <c r="U229" s="907"/>
      <c r="V229" s="907"/>
      <c r="W229" s="907"/>
      <c r="X229" s="907"/>
      <c r="Y229" s="907"/>
      <c r="Z229" s="907"/>
      <c r="AA229" s="907"/>
      <c r="AB229" s="907"/>
      <c r="AC229" s="907"/>
    </row>
    <row r="230" spans="1:29">
      <c r="A230" s="907"/>
      <c r="B230" s="907"/>
      <c r="C230" s="907"/>
      <c r="D230" s="907"/>
      <c r="E230" s="907"/>
      <c r="F230" s="907"/>
      <c r="G230" s="907"/>
      <c r="H230" s="907"/>
      <c r="I230" s="907"/>
      <c r="J230" s="907"/>
      <c r="K230" s="907"/>
      <c r="L230" s="907"/>
      <c r="M230" s="907"/>
      <c r="N230" s="907"/>
      <c r="O230" s="907"/>
      <c r="P230" s="907"/>
      <c r="Q230" s="907"/>
      <c r="R230" s="907"/>
      <c r="S230" s="907"/>
      <c r="T230" s="907"/>
      <c r="U230" s="907"/>
      <c r="V230" s="907"/>
      <c r="W230" s="907"/>
      <c r="X230" s="907"/>
      <c r="Y230" s="907"/>
      <c r="Z230" s="907"/>
      <c r="AA230" s="907"/>
      <c r="AB230" s="907"/>
      <c r="AC230" s="907"/>
    </row>
    <row r="231" spans="1:29">
      <c r="A231" s="907"/>
      <c r="B231" s="907"/>
      <c r="C231" s="907"/>
      <c r="D231" s="907"/>
      <c r="E231" s="907"/>
      <c r="F231" s="907"/>
      <c r="G231" s="907"/>
      <c r="H231" s="907"/>
      <c r="I231" s="907"/>
      <c r="J231" s="907"/>
      <c r="K231" s="907"/>
      <c r="L231" s="907"/>
      <c r="M231" s="907"/>
      <c r="N231" s="907"/>
      <c r="O231" s="907"/>
      <c r="P231" s="907"/>
      <c r="Q231" s="907"/>
      <c r="R231" s="907"/>
      <c r="S231" s="907"/>
      <c r="T231" s="907"/>
      <c r="U231" s="907"/>
      <c r="V231" s="907"/>
      <c r="W231" s="907"/>
      <c r="X231" s="907"/>
      <c r="Y231" s="907"/>
      <c r="Z231" s="907"/>
      <c r="AA231" s="907"/>
      <c r="AB231" s="907"/>
      <c r="AC231" s="907"/>
    </row>
    <row r="232" spans="1:29">
      <c r="A232" s="907"/>
      <c r="B232" s="907"/>
      <c r="C232" s="907"/>
      <c r="D232" s="907"/>
      <c r="E232" s="907"/>
      <c r="F232" s="907"/>
      <c r="G232" s="907"/>
      <c r="H232" s="907"/>
      <c r="I232" s="907"/>
      <c r="J232" s="907"/>
      <c r="K232" s="907"/>
      <c r="L232" s="907"/>
      <c r="M232" s="907"/>
      <c r="N232" s="907"/>
      <c r="O232" s="907"/>
      <c r="P232" s="907"/>
      <c r="Q232" s="907"/>
      <c r="R232" s="907"/>
      <c r="S232" s="907"/>
      <c r="T232" s="907"/>
      <c r="U232" s="907"/>
      <c r="V232" s="907"/>
      <c r="W232" s="907"/>
      <c r="X232" s="907"/>
      <c r="Y232" s="907"/>
      <c r="Z232" s="907"/>
      <c r="AA232" s="907"/>
      <c r="AB232" s="907"/>
      <c r="AC232" s="907"/>
    </row>
    <row r="233" spans="1:29">
      <c r="A233" s="907"/>
      <c r="B233" s="907"/>
      <c r="C233" s="907"/>
      <c r="D233" s="907"/>
      <c r="E233" s="907"/>
      <c r="F233" s="907"/>
      <c r="G233" s="907"/>
      <c r="H233" s="907"/>
      <c r="I233" s="907"/>
      <c r="J233" s="907"/>
      <c r="K233" s="907"/>
      <c r="L233" s="907"/>
      <c r="M233" s="907"/>
      <c r="N233" s="907"/>
      <c r="O233" s="907"/>
      <c r="P233" s="907"/>
      <c r="Q233" s="907"/>
      <c r="R233" s="907"/>
      <c r="S233" s="907"/>
      <c r="T233" s="907"/>
      <c r="U233" s="907"/>
      <c r="V233" s="907"/>
      <c r="W233" s="907"/>
      <c r="X233" s="907"/>
      <c r="Y233" s="907"/>
      <c r="Z233" s="907"/>
      <c r="AA233" s="907"/>
      <c r="AB233" s="907"/>
      <c r="AC233" s="907"/>
    </row>
    <row r="234" spans="1:29">
      <c r="A234" s="907"/>
      <c r="B234" s="907"/>
      <c r="C234" s="907"/>
      <c r="D234" s="907"/>
      <c r="E234" s="907"/>
      <c r="F234" s="907"/>
      <c r="G234" s="907"/>
      <c r="H234" s="907"/>
      <c r="I234" s="907"/>
      <c r="J234" s="907"/>
      <c r="K234" s="907"/>
      <c r="L234" s="907"/>
      <c r="M234" s="907"/>
      <c r="N234" s="907"/>
      <c r="O234" s="907"/>
      <c r="P234" s="907"/>
      <c r="Q234" s="907"/>
      <c r="R234" s="907"/>
      <c r="S234" s="907"/>
      <c r="T234" s="907"/>
      <c r="U234" s="907"/>
      <c r="V234" s="907"/>
      <c r="W234" s="907"/>
      <c r="X234" s="907"/>
      <c r="Y234" s="907"/>
      <c r="Z234" s="907"/>
      <c r="AA234" s="907"/>
      <c r="AB234" s="907"/>
      <c r="AC234" s="907"/>
    </row>
    <row r="235" spans="1:29">
      <c r="A235" s="907"/>
      <c r="B235" s="907"/>
      <c r="C235" s="907"/>
      <c r="D235" s="907"/>
      <c r="E235" s="907"/>
      <c r="F235" s="907"/>
      <c r="G235" s="907"/>
      <c r="H235" s="907"/>
      <c r="I235" s="907"/>
      <c r="J235" s="907"/>
      <c r="K235" s="907"/>
      <c r="L235" s="907"/>
      <c r="M235" s="907"/>
      <c r="N235" s="907"/>
      <c r="O235" s="907"/>
      <c r="P235" s="907"/>
      <c r="Q235" s="907"/>
      <c r="R235" s="907"/>
      <c r="S235" s="907"/>
      <c r="T235" s="907"/>
      <c r="U235" s="907"/>
      <c r="V235" s="907"/>
      <c r="W235" s="907"/>
      <c r="X235" s="907"/>
      <c r="Y235" s="907"/>
      <c r="Z235" s="907"/>
      <c r="AA235" s="907"/>
      <c r="AB235" s="907"/>
      <c r="AC235" s="907"/>
    </row>
    <row r="236" spans="1:29">
      <c r="A236" s="907"/>
      <c r="B236" s="907"/>
      <c r="C236" s="907"/>
      <c r="D236" s="907"/>
      <c r="E236" s="907"/>
      <c r="F236" s="907"/>
      <c r="G236" s="907"/>
      <c r="H236" s="907"/>
      <c r="I236" s="907"/>
      <c r="J236" s="907"/>
      <c r="K236" s="907"/>
      <c r="L236" s="907"/>
      <c r="M236" s="907"/>
      <c r="N236" s="907"/>
      <c r="O236" s="907"/>
      <c r="P236" s="907"/>
      <c r="Q236" s="907"/>
      <c r="R236" s="907"/>
      <c r="S236" s="907"/>
      <c r="T236" s="907"/>
      <c r="U236" s="907"/>
      <c r="V236" s="907"/>
      <c r="W236" s="907"/>
      <c r="X236" s="907"/>
      <c r="Y236" s="907"/>
      <c r="Z236" s="907"/>
      <c r="AA236" s="907"/>
      <c r="AB236" s="907"/>
      <c r="AC236" s="907"/>
    </row>
    <row r="237" spans="1:29">
      <c r="A237" s="907"/>
      <c r="B237" s="907"/>
      <c r="C237" s="907"/>
      <c r="D237" s="907"/>
      <c r="E237" s="907"/>
      <c r="F237" s="907"/>
      <c r="G237" s="907"/>
      <c r="H237" s="907"/>
      <c r="I237" s="907"/>
      <c r="J237" s="907"/>
      <c r="K237" s="907"/>
      <c r="L237" s="907"/>
      <c r="M237" s="907"/>
      <c r="N237" s="907"/>
      <c r="O237" s="907"/>
      <c r="P237" s="907"/>
      <c r="Q237" s="907"/>
      <c r="R237" s="907"/>
      <c r="S237" s="907"/>
      <c r="T237" s="907"/>
      <c r="U237" s="907"/>
      <c r="V237" s="907"/>
      <c r="W237" s="907"/>
      <c r="X237" s="907"/>
      <c r="Y237" s="907"/>
      <c r="Z237" s="907"/>
      <c r="AA237" s="907"/>
      <c r="AB237" s="907"/>
      <c r="AC237" s="907"/>
    </row>
    <row r="238" spans="1:29">
      <c r="A238" s="907"/>
      <c r="B238" s="907"/>
      <c r="C238" s="907"/>
      <c r="D238" s="907"/>
      <c r="E238" s="907"/>
      <c r="F238" s="907"/>
      <c r="G238" s="907"/>
      <c r="H238" s="907"/>
      <c r="I238" s="907"/>
      <c r="J238" s="907"/>
      <c r="K238" s="907"/>
      <c r="L238" s="907"/>
      <c r="M238" s="907"/>
      <c r="N238" s="907"/>
      <c r="O238" s="907"/>
      <c r="P238" s="907"/>
      <c r="Q238" s="907"/>
      <c r="R238" s="907"/>
      <c r="S238" s="907"/>
      <c r="T238" s="907"/>
      <c r="U238" s="907"/>
      <c r="V238" s="907"/>
      <c r="W238" s="907"/>
      <c r="X238" s="907"/>
      <c r="Y238" s="907"/>
      <c r="Z238" s="907"/>
      <c r="AA238" s="907"/>
      <c r="AB238" s="907"/>
      <c r="AC238" s="907"/>
    </row>
    <row r="239" spans="1:29">
      <c r="A239" s="907"/>
      <c r="B239" s="907"/>
      <c r="C239" s="907"/>
      <c r="D239" s="907"/>
      <c r="E239" s="907"/>
      <c r="F239" s="907"/>
      <c r="G239" s="907"/>
      <c r="H239" s="907"/>
      <c r="I239" s="907"/>
      <c r="J239" s="907"/>
      <c r="K239" s="907"/>
      <c r="L239" s="907"/>
      <c r="M239" s="907"/>
      <c r="N239" s="907"/>
      <c r="O239" s="907"/>
      <c r="P239" s="907"/>
      <c r="Q239" s="907"/>
      <c r="R239" s="907"/>
      <c r="S239" s="907"/>
      <c r="T239" s="907"/>
      <c r="U239" s="907"/>
      <c r="V239" s="907"/>
      <c r="W239" s="907"/>
      <c r="X239" s="907"/>
      <c r="Y239" s="907"/>
      <c r="Z239" s="907"/>
      <c r="AA239" s="907"/>
      <c r="AB239" s="907"/>
      <c r="AC239" s="907"/>
    </row>
    <row r="240" spans="1:29">
      <c r="A240" s="907"/>
      <c r="B240" s="907"/>
      <c r="C240" s="907"/>
      <c r="D240" s="907"/>
      <c r="E240" s="907"/>
      <c r="F240" s="907"/>
      <c r="G240" s="907"/>
      <c r="H240" s="907"/>
      <c r="I240" s="907"/>
      <c r="J240" s="907"/>
      <c r="K240" s="907"/>
      <c r="L240" s="907"/>
      <c r="M240" s="907"/>
      <c r="N240" s="907"/>
      <c r="O240" s="907"/>
      <c r="P240" s="907"/>
      <c r="Q240" s="907"/>
      <c r="R240" s="907"/>
      <c r="S240" s="907"/>
      <c r="T240" s="907"/>
      <c r="U240" s="907"/>
      <c r="V240" s="907"/>
      <c r="W240" s="907"/>
      <c r="X240" s="907"/>
      <c r="Y240" s="907"/>
      <c r="Z240" s="907"/>
      <c r="AA240" s="907"/>
      <c r="AB240" s="907"/>
      <c r="AC240" s="907"/>
    </row>
    <row r="241" spans="1:29">
      <c r="A241" s="907"/>
      <c r="B241" s="907"/>
      <c r="C241" s="907"/>
      <c r="D241" s="907"/>
      <c r="E241" s="907"/>
      <c r="F241" s="907"/>
      <c r="G241" s="907"/>
      <c r="H241" s="907"/>
      <c r="I241" s="907"/>
      <c r="J241" s="907"/>
      <c r="K241" s="907"/>
      <c r="L241" s="907"/>
      <c r="M241" s="907"/>
      <c r="N241" s="907"/>
      <c r="O241" s="907"/>
      <c r="P241" s="907"/>
      <c r="Q241" s="907"/>
      <c r="R241" s="907"/>
      <c r="S241" s="907"/>
      <c r="T241" s="907"/>
      <c r="U241" s="907"/>
      <c r="V241" s="907"/>
      <c r="W241" s="907"/>
      <c r="X241" s="907"/>
      <c r="Y241" s="907"/>
      <c r="Z241" s="907"/>
      <c r="AA241" s="907"/>
      <c r="AB241" s="907"/>
      <c r="AC241" s="907"/>
    </row>
    <row r="242" spans="1:29">
      <c r="A242" s="907"/>
      <c r="B242" s="907"/>
      <c r="C242" s="907"/>
      <c r="D242" s="907"/>
      <c r="E242" s="907"/>
      <c r="F242" s="907"/>
      <c r="G242" s="907"/>
      <c r="H242" s="907"/>
      <c r="I242" s="907"/>
      <c r="J242" s="907"/>
      <c r="K242" s="907"/>
      <c r="L242" s="907"/>
      <c r="M242" s="907"/>
      <c r="N242" s="907"/>
      <c r="O242" s="907"/>
      <c r="P242" s="907"/>
      <c r="Q242" s="907"/>
      <c r="R242" s="907"/>
      <c r="S242" s="907"/>
      <c r="T242" s="907"/>
      <c r="U242" s="907"/>
      <c r="V242" s="907"/>
      <c r="W242" s="907"/>
      <c r="X242" s="907"/>
      <c r="Y242" s="907"/>
      <c r="Z242" s="907"/>
      <c r="AA242" s="907"/>
      <c r="AB242" s="907"/>
      <c r="AC242" s="907"/>
    </row>
    <row r="243" spans="1:29">
      <c r="A243" s="907"/>
      <c r="B243" s="907"/>
      <c r="C243" s="907"/>
      <c r="D243" s="907"/>
      <c r="E243" s="907"/>
      <c r="F243" s="907"/>
      <c r="G243" s="907"/>
      <c r="H243" s="907"/>
      <c r="I243" s="907"/>
      <c r="J243" s="907"/>
      <c r="K243" s="907"/>
      <c r="L243" s="907"/>
      <c r="M243" s="907"/>
      <c r="N243" s="907"/>
      <c r="O243" s="907"/>
      <c r="P243" s="907"/>
      <c r="Q243" s="907"/>
      <c r="R243" s="907"/>
      <c r="S243" s="907"/>
      <c r="T243" s="907"/>
      <c r="U243" s="907"/>
      <c r="V243" s="907"/>
      <c r="W243" s="907"/>
      <c r="X243" s="907"/>
      <c r="Y243" s="907"/>
      <c r="Z243" s="907"/>
      <c r="AA243" s="907"/>
      <c r="AB243" s="907"/>
      <c r="AC243" s="907"/>
    </row>
    <row r="244" spans="1:29">
      <c r="A244" s="907"/>
      <c r="B244" s="907"/>
      <c r="C244" s="907"/>
      <c r="D244" s="907"/>
      <c r="E244" s="907"/>
      <c r="F244" s="907"/>
      <c r="G244" s="907"/>
      <c r="H244" s="907"/>
      <c r="I244" s="907"/>
      <c r="J244" s="907"/>
      <c r="K244" s="907"/>
      <c r="L244" s="907"/>
      <c r="M244" s="907"/>
      <c r="N244" s="907"/>
      <c r="O244" s="907"/>
      <c r="P244" s="907"/>
      <c r="Q244" s="907"/>
      <c r="R244" s="907"/>
      <c r="S244" s="907"/>
      <c r="T244" s="907"/>
      <c r="U244" s="907"/>
      <c r="V244" s="907"/>
      <c r="W244" s="907"/>
      <c r="X244" s="907"/>
      <c r="Y244" s="907"/>
      <c r="Z244" s="907"/>
      <c r="AA244" s="907"/>
      <c r="AB244" s="907"/>
      <c r="AC244" s="907"/>
    </row>
    <row r="245" spans="1:29">
      <c r="A245" s="907"/>
      <c r="B245" s="907"/>
      <c r="C245" s="907"/>
      <c r="D245" s="907"/>
      <c r="E245" s="907"/>
      <c r="F245" s="907"/>
      <c r="G245" s="907"/>
      <c r="H245" s="907"/>
      <c r="I245" s="907"/>
      <c r="J245" s="907"/>
      <c r="K245" s="907"/>
      <c r="L245" s="907"/>
      <c r="M245" s="907"/>
      <c r="N245" s="907"/>
      <c r="O245" s="907"/>
      <c r="P245" s="907"/>
      <c r="Q245" s="907"/>
      <c r="R245" s="907"/>
      <c r="S245" s="907"/>
      <c r="T245" s="907"/>
      <c r="U245" s="907"/>
      <c r="V245" s="907"/>
      <c r="W245" s="907"/>
      <c r="X245" s="907"/>
      <c r="Y245" s="907"/>
      <c r="Z245" s="907"/>
      <c r="AA245" s="907"/>
      <c r="AB245" s="907"/>
      <c r="AC245" s="907"/>
    </row>
    <row r="246" spans="1:29">
      <c r="A246" s="907"/>
      <c r="B246" s="907"/>
      <c r="C246" s="907"/>
      <c r="D246" s="907"/>
      <c r="E246" s="907"/>
      <c r="F246" s="907"/>
      <c r="G246" s="907"/>
      <c r="H246" s="907"/>
      <c r="I246" s="907"/>
      <c r="J246" s="907"/>
      <c r="K246" s="907"/>
      <c r="L246" s="907"/>
      <c r="M246" s="907"/>
      <c r="N246" s="907"/>
      <c r="O246" s="907"/>
      <c r="P246" s="907"/>
      <c r="Q246" s="907"/>
      <c r="R246" s="907"/>
      <c r="S246" s="907"/>
      <c r="T246" s="907"/>
      <c r="U246" s="907"/>
      <c r="V246" s="907"/>
      <c r="W246" s="907"/>
      <c r="X246" s="907"/>
      <c r="Y246" s="907"/>
      <c r="Z246" s="907"/>
      <c r="AA246" s="907"/>
      <c r="AB246" s="907"/>
      <c r="AC246" s="907"/>
    </row>
    <row r="247" spans="1:29">
      <c r="A247" s="907"/>
      <c r="B247" s="907"/>
      <c r="C247" s="907"/>
      <c r="D247" s="907"/>
      <c r="E247" s="907"/>
      <c r="F247" s="907"/>
      <c r="G247" s="907"/>
      <c r="H247" s="907"/>
      <c r="I247" s="907"/>
      <c r="J247" s="907"/>
      <c r="K247" s="907"/>
      <c r="L247" s="907"/>
      <c r="M247" s="907"/>
      <c r="N247" s="907"/>
      <c r="O247" s="907"/>
      <c r="P247" s="907"/>
      <c r="Q247" s="907"/>
      <c r="R247" s="907"/>
      <c r="S247" s="907"/>
      <c r="T247" s="907"/>
      <c r="U247" s="907"/>
      <c r="V247" s="907"/>
      <c r="W247" s="907"/>
      <c r="X247" s="907"/>
      <c r="Y247" s="907"/>
      <c r="Z247" s="907"/>
      <c r="AA247" s="907"/>
      <c r="AB247" s="907"/>
      <c r="AC247" s="907"/>
    </row>
    <row r="248" spans="1:29">
      <c r="A248" s="907"/>
      <c r="B248" s="907"/>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c r="AB248" s="907"/>
      <c r="AC248" s="907"/>
    </row>
    <row r="249" spans="1:29">
      <c r="A249" s="907"/>
      <c r="B249" s="907"/>
      <c r="C249" s="907"/>
      <c r="D249" s="907"/>
      <c r="E249" s="907"/>
      <c r="F249" s="907"/>
      <c r="G249" s="907"/>
      <c r="H249" s="907"/>
      <c r="I249" s="907"/>
      <c r="J249" s="907"/>
      <c r="K249" s="907"/>
      <c r="L249" s="907"/>
      <c r="M249" s="907"/>
      <c r="N249" s="907"/>
      <c r="O249" s="907"/>
      <c r="P249" s="907"/>
      <c r="Q249" s="907"/>
      <c r="R249" s="907"/>
      <c r="S249" s="907"/>
      <c r="T249" s="907"/>
      <c r="U249" s="907"/>
      <c r="V249" s="907"/>
      <c r="W249" s="907"/>
      <c r="X249" s="907"/>
      <c r="Y249" s="907"/>
      <c r="Z249" s="907"/>
      <c r="AA249" s="907"/>
      <c r="AB249" s="907"/>
      <c r="AC249" s="907"/>
    </row>
    <row r="250" spans="1:29">
      <c r="A250" s="907"/>
      <c r="B250" s="907"/>
      <c r="C250" s="907"/>
      <c r="D250" s="907"/>
      <c r="E250" s="907"/>
      <c r="F250" s="907"/>
      <c r="G250" s="907"/>
      <c r="H250" s="907"/>
      <c r="I250" s="907"/>
      <c r="J250" s="907"/>
      <c r="K250" s="907"/>
      <c r="L250" s="907"/>
      <c r="M250" s="907"/>
      <c r="N250" s="907"/>
      <c r="O250" s="907"/>
      <c r="P250" s="907"/>
      <c r="Q250" s="907"/>
      <c r="R250" s="907"/>
      <c r="S250" s="907"/>
      <c r="T250" s="907"/>
      <c r="U250" s="907"/>
      <c r="V250" s="907"/>
      <c r="W250" s="907"/>
      <c r="X250" s="907"/>
      <c r="Y250" s="907"/>
      <c r="Z250" s="907"/>
      <c r="AA250" s="907"/>
      <c r="AB250" s="907"/>
      <c r="AC250" s="907"/>
    </row>
    <row r="251" spans="1:29">
      <c r="A251" s="907"/>
      <c r="B251" s="907"/>
      <c r="C251" s="907"/>
      <c r="D251" s="907"/>
      <c r="E251" s="907"/>
      <c r="F251" s="907"/>
      <c r="G251" s="907"/>
      <c r="H251" s="907"/>
      <c r="I251" s="907"/>
      <c r="J251" s="907"/>
      <c r="K251" s="907"/>
      <c r="L251" s="907"/>
      <c r="M251" s="907"/>
      <c r="N251" s="907"/>
      <c r="O251" s="907"/>
      <c r="P251" s="907"/>
      <c r="Q251" s="907"/>
      <c r="R251" s="907"/>
      <c r="S251" s="907"/>
      <c r="T251" s="907"/>
      <c r="U251" s="907"/>
      <c r="V251" s="907"/>
      <c r="W251" s="907"/>
      <c r="X251" s="907"/>
      <c r="Y251" s="907"/>
      <c r="Z251" s="907"/>
      <c r="AA251" s="907"/>
      <c r="AB251" s="907"/>
      <c r="AC251" s="907"/>
    </row>
    <row r="252" spans="1:29">
      <c r="A252" s="907"/>
      <c r="B252" s="907"/>
      <c r="C252" s="907"/>
      <c r="D252" s="907"/>
      <c r="E252" s="907"/>
      <c r="F252" s="907"/>
      <c r="G252" s="907"/>
      <c r="H252" s="907"/>
      <c r="I252" s="907"/>
      <c r="J252" s="907"/>
      <c r="K252" s="907"/>
      <c r="L252" s="907"/>
      <c r="M252" s="907"/>
      <c r="N252" s="907"/>
      <c r="O252" s="907"/>
      <c r="P252" s="907"/>
      <c r="Q252" s="907"/>
      <c r="R252" s="907"/>
      <c r="S252" s="907"/>
      <c r="T252" s="907"/>
      <c r="U252" s="907"/>
      <c r="V252" s="907"/>
      <c r="W252" s="907"/>
      <c r="X252" s="907"/>
      <c r="Y252" s="907"/>
      <c r="Z252" s="907"/>
      <c r="AA252" s="907"/>
      <c r="AB252" s="907"/>
      <c r="AC252" s="907"/>
    </row>
    <row r="253" spans="1:29">
      <c r="A253" s="907"/>
      <c r="B253" s="907"/>
      <c r="C253" s="907"/>
      <c r="D253" s="907"/>
      <c r="E253" s="907"/>
      <c r="F253" s="907"/>
      <c r="G253" s="907"/>
      <c r="H253" s="907"/>
      <c r="I253" s="907"/>
      <c r="J253" s="907"/>
      <c r="K253" s="907"/>
      <c r="L253" s="907"/>
      <c r="M253" s="907"/>
      <c r="N253" s="907"/>
      <c r="O253" s="907"/>
      <c r="P253" s="907"/>
      <c r="Q253" s="907"/>
      <c r="R253" s="907"/>
      <c r="S253" s="907"/>
      <c r="T253" s="907"/>
      <c r="U253" s="907"/>
      <c r="V253" s="907"/>
      <c r="W253" s="907"/>
      <c r="X253" s="907"/>
      <c r="Y253" s="907"/>
      <c r="Z253" s="907"/>
      <c r="AA253" s="907"/>
      <c r="AB253" s="907"/>
      <c r="AC253" s="907"/>
    </row>
    <row r="254" spans="1:29">
      <c r="A254" s="907"/>
      <c r="B254" s="907"/>
      <c r="C254" s="907"/>
      <c r="D254" s="907"/>
      <c r="E254" s="907"/>
      <c r="F254" s="907"/>
      <c r="G254" s="907"/>
      <c r="H254" s="907"/>
      <c r="I254" s="907"/>
      <c r="J254" s="907"/>
      <c r="K254" s="907"/>
      <c r="L254" s="907"/>
      <c r="M254" s="907"/>
      <c r="N254" s="907"/>
      <c r="O254" s="907"/>
      <c r="P254" s="907"/>
      <c r="Q254" s="907"/>
      <c r="R254" s="907"/>
      <c r="S254" s="907"/>
      <c r="T254" s="907"/>
      <c r="U254" s="907"/>
      <c r="V254" s="907"/>
      <c r="W254" s="907"/>
      <c r="X254" s="907"/>
      <c r="Y254" s="907"/>
      <c r="Z254" s="907"/>
      <c r="AA254" s="907"/>
      <c r="AB254" s="907"/>
      <c r="AC254" s="907"/>
    </row>
    <row r="255" spans="1:29">
      <c r="A255" s="907"/>
      <c r="B255" s="907"/>
      <c r="C255" s="907"/>
      <c r="D255" s="907"/>
      <c r="E255" s="907"/>
      <c r="F255" s="907"/>
      <c r="G255" s="907"/>
      <c r="H255" s="907"/>
      <c r="I255" s="907"/>
      <c r="J255" s="907"/>
      <c r="K255" s="907"/>
      <c r="L255" s="907"/>
      <c r="M255" s="907"/>
      <c r="N255" s="907"/>
      <c r="O255" s="907"/>
      <c r="P255" s="907"/>
      <c r="Q255" s="907"/>
      <c r="R255" s="907"/>
      <c r="S255" s="907"/>
      <c r="T255" s="907"/>
      <c r="U255" s="907"/>
      <c r="V255" s="907"/>
      <c r="W255" s="907"/>
      <c r="X255" s="907"/>
      <c r="Y255" s="907"/>
      <c r="Z255" s="907"/>
      <c r="AA255" s="907"/>
      <c r="AB255" s="907"/>
      <c r="AC255" s="907"/>
    </row>
    <row r="256" spans="1:29">
      <c r="A256" s="907"/>
      <c r="B256" s="907"/>
      <c r="C256" s="907"/>
      <c r="D256" s="907"/>
      <c r="E256" s="907"/>
      <c r="F256" s="907"/>
      <c r="G256" s="907"/>
      <c r="H256" s="907"/>
      <c r="I256" s="907"/>
      <c r="J256" s="907"/>
      <c r="K256" s="907"/>
      <c r="L256" s="907"/>
      <c r="M256" s="907"/>
      <c r="N256" s="907"/>
      <c r="O256" s="907"/>
      <c r="P256" s="907"/>
      <c r="Q256" s="907"/>
      <c r="R256" s="907"/>
      <c r="S256" s="907"/>
      <c r="T256" s="907"/>
      <c r="U256" s="907"/>
      <c r="V256" s="907"/>
      <c r="W256" s="907"/>
      <c r="X256" s="907"/>
      <c r="Y256" s="907"/>
      <c r="Z256" s="907"/>
      <c r="AA256" s="907"/>
      <c r="AB256" s="907"/>
      <c r="AC256" s="907"/>
    </row>
    <row r="257" spans="1:29">
      <c r="A257" s="907"/>
      <c r="B257" s="907"/>
      <c r="C257" s="907"/>
      <c r="D257" s="907"/>
      <c r="E257" s="907"/>
      <c r="F257" s="907"/>
      <c r="G257" s="907"/>
      <c r="H257" s="907"/>
      <c r="I257" s="907"/>
      <c r="J257" s="907"/>
      <c r="K257" s="907"/>
      <c r="L257" s="907"/>
      <c r="M257" s="907"/>
      <c r="N257" s="907"/>
      <c r="O257" s="907"/>
      <c r="P257" s="907"/>
      <c r="Q257" s="907"/>
      <c r="R257" s="907"/>
      <c r="S257" s="907"/>
      <c r="T257" s="907"/>
      <c r="U257" s="907"/>
      <c r="V257" s="907"/>
      <c r="W257" s="907"/>
      <c r="X257" s="907"/>
      <c r="Y257" s="907"/>
      <c r="Z257" s="907"/>
      <c r="AA257" s="907"/>
      <c r="AB257" s="907"/>
      <c r="AC257" s="907"/>
    </row>
    <row r="258" spans="1:29">
      <c r="A258" s="907"/>
      <c r="B258" s="907"/>
      <c r="C258" s="907"/>
      <c r="D258" s="907"/>
      <c r="E258" s="907"/>
      <c r="F258" s="907"/>
      <c r="G258" s="907"/>
      <c r="H258" s="907"/>
      <c r="I258" s="907"/>
      <c r="J258" s="907"/>
      <c r="K258" s="907"/>
      <c r="L258" s="907"/>
      <c r="M258" s="907"/>
      <c r="N258" s="907"/>
      <c r="O258" s="907"/>
      <c r="P258" s="907"/>
      <c r="Q258" s="907"/>
      <c r="R258" s="907"/>
      <c r="S258" s="907"/>
      <c r="T258" s="907"/>
      <c r="U258" s="907"/>
      <c r="V258" s="907"/>
      <c r="W258" s="907"/>
      <c r="X258" s="907"/>
      <c r="Y258" s="907"/>
      <c r="Z258" s="907"/>
      <c r="AA258" s="907"/>
      <c r="AB258" s="907"/>
      <c r="AC258" s="907"/>
    </row>
    <row r="259" spans="1:29">
      <c r="A259" s="907"/>
      <c r="B259" s="907"/>
      <c r="C259" s="907"/>
      <c r="D259" s="907"/>
      <c r="E259" s="907"/>
      <c r="F259" s="907"/>
      <c r="G259" s="907"/>
      <c r="H259" s="907"/>
      <c r="I259" s="907"/>
      <c r="J259" s="907"/>
      <c r="K259" s="907"/>
      <c r="L259" s="907"/>
      <c r="M259" s="907"/>
      <c r="N259" s="907"/>
      <c r="O259" s="907"/>
      <c r="P259" s="907"/>
      <c r="Q259" s="907"/>
      <c r="R259" s="907"/>
      <c r="S259" s="907"/>
      <c r="T259" s="907"/>
      <c r="U259" s="907"/>
      <c r="V259" s="907"/>
      <c r="W259" s="907"/>
      <c r="X259" s="907"/>
      <c r="Y259" s="907"/>
      <c r="Z259" s="907"/>
      <c r="AA259" s="907"/>
      <c r="AB259" s="907"/>
      <c r="AC259" s="907"/>
    </row>
    <row r="260" spans="1:29">
      <c r="A260" s="907"/>
      <c r="B260" s="907"/>
      <c r="C260" s="907"/>
      <c r="D260" s="907"/>
      <c r="E260" s="907"/>
      <c r="F260" s="907"/>
      <c r="G260" s="907"/>
      <c r="H260" s="907"/>
      <c r="I260" s="907"/>
      <c r="J260" s="907"/>
      <c r="K260" s="907"/>
      <c r="L260" s="907"/>
      <c r="M260" s="907"/>
      <c r="N260" s="907"/>
      <c r="O260" s="907"/>
      <c r="P260" s="907"/>
      <c r="Q260" s="907"/>
      <c r="R260" s="907"/>
      <c r="S260" s="907"/>
      <c r="T260" s="907"/>
      <c r="U260" s="907"/>
      <c r="V260" s="907"/>
      <c r="W260" s="907"/>
      <c r="X260" s="907"/>
      <c r="Y260" s="907"/>
      <c r="Z260" s="907"/>
      <c r="AA260" s="907"/>
      <c r="AB260" s="907"/>
      <c r="AC260" s="907"/>
    </row>
    <row r="261" spans="1:29">
      <c r="A261" s="907"/>
      <c r="B261" s="907"/>
      <c r="C261" s="907"/>
      <c r="D261" s="907"/>
      <c r="E261" s="907"/>
      <c r="F261" s="907"/>
      <c r="G261" s="907"/>
      <c r="H261" s="907"/>
      <c r="I261" s="907"/>
      <c r="J261" s="907"/>
      <c r="K261" s="907"/>
      <c r="L261" s="907"/>
      <c r="M261" s="907"/>
      <c r="N261" s="907"/>
      <c r="O261" s="907"/>
      <c r="P261" s="907"/>
      <c r="Q261" s="907"/>
      <c r="R261" s="907"/>
      <c r="S261" s="907"/>
      <c r="T261" s="907"/>
      <c r="U261" s="907"/>
      <c r="V261" s="907"/>
      <c r="W261" s="907"/>
      <c r="X261" s="907"/>
      <c r="Y261" s="907"/>
      <c r="Z261" s="907"/>
      <c r="AA261" s="907"/>
      <c r="AB261" s="907"/>
      <c r="AC261" s="907"/>
    </row>
    <row r="262" spans="1:29">
      <c r="A262" s="907"/>
      <c r="B262" s="907"/>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c r="AB262" s="907"/>
      <c r="AC262" s="907"/>
    </row>
    <row r="263" spans="1:29">
      <c r="A263" s="907"/>
      <c r="B263" s="907"/>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c r="AB263" s="907"/>
      <c r="AC263" s="907"/>
    </row>
    <row r="264" spans="1:29">
      <c r="A264" s="907"/>
      <c r="B264" s="907"/>
      <c r="C264" s="907"/>
      <c r="D264" s="907"/>
      <c r="E264" s="907"/>
      <c r="F264" s="907"/>
      <c r="G264" s="907"/>
      <c r="H264" s="907"/>
      <c r="I264" s="907"/>
      <c r="J264" s="907"/>
      <c r="K264" s="907"/>
      <c r="L264" s="907"/>
      <c r="M264" s="907"/>
      <c r="N264" s="907"/>
      <c r="O264" s="907"/>
      <c r="P264" s="907"/>
      <c r="Q264" s="907"/>
      <c r="R264" s="907"/>
      <c r="S264" s="907"/>
      <c r="T264" s="907"/>
      <c r="U264" s="907"/>
      <c r="V264" s="907"/>
      <c r="W264" s="907"/>
      <c r="X264" s="907"/>
      <c r="Y264" s="907"/>
      <c r="Z264" s="907"/>
      <c r="AA264" s="907"/>
      <c r="AB264" s="907"/>
      <c r="AC264" s="907"/>
    </row>
    <row r="265" spans="1:29">
      <c r="A265" s="907"/>
      <c r="B265" s="907"/>
      <c r="C265" s="907"/>
      <c r="D265" s="907"/>
      <c r="E265" s="907"/>
      <c r="F265" s="907"/>
      <c r="G265" s="907"/>
      <c r="H265" s="907"/>
      <c r="I265" s="907"/>
      <c r="J265" s="907"/>
      <c r="K265" s="907"/>
      <c r="L265" s="907"/>
      <c r="M265" s="907"/>
      <c r="N265" s="907"/>
      <c r="O265" s="907"/>
      <c r="P265" s="907"/>
      <c r="Q265" s="907"/>
      <c r="R265" s="907"/>
      <c r="S265" s="907"/>
      <c r="T265" s="907"/>
      <c r="U265" s="907"/>
      <c r="V265" s="907"/>
      <c r="W265" s="907"/>
      <c r="X265" s="907"/>
      <c r="Y265" s="907"/>
      <c r="Z265" s="907"/>
      <c r="AA265" s="907"/>
      <c r="AB265" s="907"/>
      <c r="AC265" s="907"/>
    </row>
    <row r="266" spans="1:29">
      <c r="A266" s="907"/>
      <c r="B266" s="907"/>
      <c r="C266" s="907"/>
      <c r="D266" s="907"/>
      <c r="E266" s="907"/>
      <c r="F266" s="907"/>
      <c r="G266" s="907"/>
      <c r="H266" s="907"/>
      <c r="I266" s="907"/>
      <c r="J266" s="907"/>
      <c r="K266" s="907"/>
      <c r="L266" s="907"/>
      <c r="M266" s="907"/>
      <c r="N266" s="907"/>
      <c r="O266" s="907"/>
      <c r="P266" s="907"/>
      <c r="Q266" s="907"/>
      <c r="R266" s="907"/>
      <c r="S266" s="907"/>
      <c r="T266" s="907"/>
      <c r="U266" s="907"/>
      <c r="V266" s="907"/>
      <c r="W266" s="907"/>
      <c r="X266" s="907"/>
      <c r="Y266" s="907"/>
      <c r="Z266" s="907"/>
      <c r="AA266" s="907"/>
      <c r="AB266" s="907"/>
      <c r="AC266" s="907"/>
    </row>
    <row r="267" spans="1:29">
      <c r="A267" s="907"/>
      <c r="B267" s="907"/>
      <c r="C267" s="907"/>
      <c r="D267" s="907"/>
      <c r="E267" s="907"/>
      <c r="F267" s="907"/>
      <c r="G267" s="907"/>
      <c r="H267" s="907"/>
      <c r="I267" s="907"/>
      <c r="J267" s="907"/>
      <c r="K267" s="907"/>
      <c r="L267" s="907"/>
      <c r="M267" s="907"/>
      <c r="N267" s="907"/>
      <c r="O267" s="907"/>
      <c r="P267" s="907"/>
      <c r="Q267" s="907"/>
      <c r="R267" s="907"/>
      <c r="S267" s="907"/>
      <c r="T267" s="907"/>
      <c r="U267" s="907"/>
      <c r="V267" s="907"/>
      <c r="W267" s="907"/>
      <c r="X267" s="907"/>
      <c r="Y267" s="907"/>
      <c r="Z267" s="907"/>
      <c r="AA267" s="907"/>
      <c r="AB267" s="907"/>
      <c r="AC267" s="907"/>
    </row>
    <row r="268" spans="1:29">
      <c r="A268" s="907"/>
      <c r="B268" s="907"/>
      <c r="C268" s="907"/>
      <c r="D268" s="907"/>
      <c r="E268" s="907"/>
      <c r="F268" s="907"/>
      <c r="G268" s="907"/>
      <c r="H268" s="907"/>
      <c r="I268" s="907"/>
      <c r="J268" s="907"/>
      <c r="K268" s="907"/>
      <c r="L268" s="907"/>
      <c r="M268" s="907"/>
      <c r="N268" s="907"/>
      <c r="O268" s="907"/>
      <c r="P268" s="907"/>
      <c r="Q268" s="907"/>
      <c r="R268" s="907"/>
      <c r="S268" s="907"/>
      <c r="T268" s="907"/>
      <c r="U268" s="907"/>
      <c r="V268" s="907"/>
      <c r="W268" s="907"/>
      <c r="X268" s="907"/>
      <c r="Y268" s="907"/>
      <c r="Z268" s="907"/>
      <c r="AA268" s="907"/>
      <c r="AB268" s="907"/>
      <c r="AC268" s="907"/>
    </row>
    <row r="269" spans="1:29">
      <c r="A269" s="907"/>
      <c r="B269" s="907"/>
      <c r="C269" s="907"/>
      <c r="D269" s="907"/>
      <c r="E269" s="907"/>
      <c r="F269" s="907"/>
      <c r="G269" s="907"/>
      <c r="H269" s="907"/>
      <c r="I269" s="907"/>
      <c r="J269" s="907"/>
      <c r="K269" s="907"/>
      <c r="L269" s="907"/>
      <c r="M269" s="907"/>
      <c r="N269" s="907"/>
      <c r="O269" s="907"/>
      <c r="P269" s="907"/>
      <c r="Q269" s="907"/>
      <c r="R269" s="907"/>
      <c r="S269" s="907"/>
      <c r="T269" s="907"/>
      <c r="U269" s="907"/>
      <c r="V269" s="907"/>
      <c r="W269" s="907"/>
      <c r="X269" s="907"/>
      <c r="Y269" s="907"/>
      <c r="Z269" s="907"/>
      <c r="AA269" s="907"/>
      <c r="AB269" s="907"/>
      <c r="AC269" s="907"/>
    </row>
    <row r="270" spans="1:29">
      <c r="A270" s="907"/>
      <c r="B270" s="907"/>
      <c r="C270" s="907"/>
      <c r="D270" s="907"/>
      <c r="E270" s="907"/>
      <c r="F270" s="907"/>
      <c r="G270" s="907"/>
      <c r="H270" s="907"/>
      <c r="I270" s="907"/>
      <c r="J270" s="907"/>
      <c r="K270" s="907"/>
      <c r="L270" s="907"/>
      <c r="M270" s="907"/>
      <c r="N270" s="907"/>
      <c r="O270" s="907"/>
      <c r="P270" s="907"/>
      <c r="Q270" s="907"/>
      <c r="R270" s="907"/>
      <c r="S270" s="907"/>
      <c r="T270" s="907"/>
      <c r="U270" s="907"/>
      <c r="V270" s="907"/>
      <c r="W270" s="907"/>
      <c r="X270" s="907"/>
      <c r="Y270" s="907"/>
      <c r="Z270" s="907"/>
      <c r="AA270" s="907"/>
      <c r="AB270" s="907"/>
      <c r="AC270" s="907"/>
    </row>
    <row r="271" spans="1:29">
      <c r="A271" s="907"/>
      <c r="B271" s="907"/>
      <c r="C271" s="907"/>
      <c r="D271" s="907"/>
      <c r="E271" s="907"/>
      <c r="F271" s="907"/>
      <c r="G271" s="907"/>
      <c r="H271" s="907"/>
      <c r="I271" s="907"/>
      <c r="J271" s="907"/>
      <c r="K271" s="907"/>
      <c r="L271" s="907"/>
      <c r="M271" s="907"/>
      <c r="N271" s="907"/>
      <c r="O271" s="907"/>
      <c r="P271" s="907"/>
      <c r="Q271" s="907"/>
      <c r="R271" s="907"/>
      <c r="S271" s="907"/>
      <c r="T271" s="907"/>
      <c r="U271" s="907"/>
      <c r="V271" s="907"/>
      <c r="W271" s="907"/>
      <c r="X271" s="907"/>
      <c r="Y271" s="907"/>
      <c r="Z271" s="907"/>
      <c r="AA271" s="907"/>
      <c r="AB271" s="907"/>
      <c r="AC271" s="907"/>
    </row>
    <row r="272" spans="1:29">
      <c r="A272" s="907"/>
      <c r="B272" s="907"/>
      <c r="C272" s="907"/>
      <c r="D272" s="907"/>
      <c r="E272" s="907"/>
      <c r="F272" s="907"/>
      <c r="G272" s="907"/>
      <c r="H272" s="907"/>
      <c r="I272" s="907"/>
      <c r="J272" s="907"/>
      <c r="K272" s="907"/>
      <c r="L272" s="907"/>
      <c r="M272" s="907"/>
      <c r="N272" s="907"/>
      <c r="O272" s="907"/>
      <c r="P272" s="907"/>
      <c r="Q272" s="907"/>
      <c r="R272" s="907"/>
      <c r="S272" s="907"/>
      <c r="T272" s="907"/>
      <c r="U272" s="907"/>
      <c r="V272" s="907"/>
      <c r="W272" s="907"/>
      <c r="X272" s="907"/>
      <c r="Y272" s="907"/>
      <c r="Z272" s="907"/>
      <c r="AA272" s="907"/>
      <c r="AB272" s="907"/>
      <c r="AC272" s="907"/>
    </row>
    <row r="273" spans="1:29">
      <c r="A273" s="907"/>
      <c r="B273" s="907"/>
      <c r="C273" s="907"/>
      <c r="D273" s="907"/>
      <c r="E273" s="907"/>
      <c r="F273" s="907"/>
      <c r="G273" s="907"/>
      <c r="H273" s="907"/>
      <c r="I273" s="907"/>
      <c r="J273" s="907"/>
      <c r="K273" s="907"/>
      <c r="L273" s="907"/>
      <c r="M273" s="907"/>
      <c r="N273" s="907"/>
      <c r="O273" s="907"/>
      <c r="P273" s="907"/>
      <c r="Q273" s="907"/>
      <c r="R273" s="907"/>
      <c r="S273" s="907"/>
      <c r="T273" s="907"/>
      <c r="U273" s="907"/>
      <c r="V273" s="907"/>
      <c r="W273" s="907"/>
      <c r="X273" s="907"/>
      <c r="Y273" s="907"/>
      <c r="Z273" s="907"/>
      <c r="AA273" s="907"/>
      <c r="AB273" s="907"/>
      <c r="AC273" s="907"/>
    </row>
    <row r="274" spans="1:29">
      <c r="A274" s="907"/>
      <c r="B274" s="907"/>
      <c r="C274" s="907"/>
      <c r="D274" s="907"/>
      <c r="E274" s="907"/>
      <c r="F274" s="907"/>
      <c r="G274" s="907"/>
      <c r="H274" s="907"/>
      <c r="I274" s="907"/>
      <c r="J274" s="907"/>
      <c r="K274" s="907"/>
      <c r="L274" s="907"/>
      <c r="M274" s="907"/>
      <c r="N274" s="907"/>
      <c r="O274" s="907"/>
      <c r="P274" s="907"/>
      <c r="Q274" s="907"/>
      <c r="R274" s="907"/>
      <c r="S274" s="907"/>
      <c r="T274" s="907"/>
      <c r="U274" s="907"/>
      <c r="V274" s="907"/>
      <c r="W274" s="907"/>
      <c r="X274" s="907"/>
      <c r="Y274" s="907"/>
      <c r="Z274" s="907"/>
      <c r="AA274" s="907"/>
      <c r="AB274" s="907"/>
      <c r="AC274" s="907"/>
    </row>
    <row r="275" spans="1:29">
      <c r="A275" s="907"/>
      <c r="B275" s="907"/>
      <c r="C275" s="907"/>
      <c r="D275" s="907"/>
      <c r="E275" s="907"/>
      <c r="F275" s="907"/>
      <c r="G275" s="907"/>
      <c r="H275" s="907"/>
      <c r="I275" s="907"/>
      <c r="J275" s="907"/>
      <c r="K275" s="907"/>
      <c r="L275" s="907"/>
      <c r="M275" s="907"/>
      <c r="N275" s="907"/>
      <c r="O275" s="907"/>
      <c r="P275" s="907"/>
      <c r="Q275" s="907"/>
      <c r="R275" s="907"/>
      <c r="S275" s="907"/>
      <c r="T275" s="907"/>
      <c r="U275" s="907"/>
      <c r="V275" s="907"/>
      <c r="W275" s="907"/>
      <c r="X275" s="907"/>
      <c r="Y275" s="907"/>
      <c r="Z275" s="907"/>
      <c r="AA275" s="907"/>
      <c r="AB275" s="907"/>
      <c r="AC275" s="907"/>
    </row>
    <row r="276" spans="1:29">
      <c r="A276" s="907"/>
      <c r="B276" s="907"/>
      <c r="C276" s="907"/>
      <c r="D276" s="907"/>
      <c r="E276" s="907"/>
      <c r="F276" s="907"/>
      <c r="G276" s="907"/>
      <c r="H276" s="907"/>
      <c r="I276" s="907"/>
      <c r="J276" s="907"/>
      <c r="K276" s="907"/>
      <c r="L276" s="907"/>
      <c r="M276" s="907"/>
      <c r="N276" s="907"/>
      <c r="O276" s="907"/>
      <c r="P276" s="907"/>
      <c r="Q276" s="907"/>
      <c r="R276" s="907"/>
      <c r="S276" s="907"/>
      <c r="T276" s="907"/>
      <c r="U276" s="907"/>
      <c r="V276" s="907"/>
      <c r="W276" s="907"/>
      <c r="X276" s="907"/>
      <c r="Y276" s="907"/>
      <c r="Z276" s="907"/>
      <c r="AA276" s="907"/>
      <c r="AB276" s="907"/>
      <c r="AC276" s="907"/>
    </row>
    <row r="277" spans="1:29">
      <c r="A277" s="907"/>
      <c r="B277" s="907"/>
      <c r="C277" s="907"/>
      <c r="D277" s="907"/>
      <c r="E277" s="907"/>
      <c r="F277" s="907"/>
      <c r="G277" s="907"/>
      <c r="H277" s="907"/>
      <c r="I277" s="907"/>
      <c r="J277" s="907"/>
      <c r="K277" s="907"/>
      <c r="L277" s="907"/>
      <c r="M277" s="907"/>
      <c r="N277" s="907"/>
      <c r="O277" s="907"/>
      <c r="P277" s="907"/>
      <c r="Q277" s="907"/>
      <c r="R277" s="907"/>
      <c r="S277" s="907"/>
      <c r="T277" s="907"/>
      <c r="U277" s="907"/>
      <c r="V277" s="907"/>
      <c r="W277" s="907"/>
      <c r="X277" s="907"/>
      <c r="Y277" s="907"/>
      <c r="Z277" s="907"/>
      <c r="AA277" s="907"/>
      <c r="AB277" s="907"/>
      <c r="AC277" s="907"/>
    </row>
    <row r="278" spans="1:29">
      <c r="A278" s="907"/>
      <c r="B278" s="907"/>
      <c r="C278" s="907"/>
      <c r="D278" s="907"/>
      <c r="E278" s="907"/>
      <c r="F278" s="907"/>
      <c r="G278" s="907"/>
      <c r="H278" s="907"/>
      <c r="I278" s="907"/>
      <c r="J278" s="907"/>
      <c r="K278" s="907"/>
      <c r="L278" s="907"/>
      <c r="M278" s="907"/>
      <c r="N278" s="907"/>
      <c r="O278" s="907"/>
      <c r="P278" s="907"/>
      <c r="Q278" s="907"/>
      <c r="R278" s="907"/>
      <c r="S278" s="907"/>
      <c r="T278" s="907"/>
      <c r="U278" s="907"/>
      <c r="V278" s="907"/>
      <c r="W278" s="907"/>
      <c r="X278" s="907"/>
      <c r="Y278" s="907"/>
      <c r="Z278" s="907"/>
      <c r="AA278" s="907"/>
      <c r="AB278" s="907"/>
      <c r="AC278" s="907"/>
    </row>
    <row r="279" spans="1:29">
      <c r="A279" s="907"/>
      <c r="B279" s="907"/>
      <c r="C279" s="907"/>
      <c r="D279" s="907"/>
      <c r="E279" s="907"/>
      <c r="F279" s="907"/>
      <c r="G279" s="907"/>
      <c r="H279" s="907"/>
      <c r="I279" s="907"/>
      <c r="J279" s="907"/>
      <c r="K279" s="907"/>
      <c r="L279" s="907"/>
      <c r="M279" s="907"/>
      <c r="N279" s="907"/>
      <c r="O279" s="907"/>
      <c r="P279" s="907"/>
      <c r="Q279" s="907"/>
      <c r="R279" s="907"/>
      <c r="S279" s="907"/>
      <c r="T279" s="907"/>
      <c r="U279" s="907"/>
      <c r="V279" s="907"/>
      <c r="W279" s="907"/>
      <c r="X279" s="907"/>
      <c r="Y279" s="907"/>
      <c r="Z279" s="907"/>
      <c r="AA279" s="907"/>
      <c r="AB279" s="907"/>
      <c r="AC279" s="907"/>
    </row>
    <row r="280" spans="1:29">
      <c r="A280" s="907"/>
      <c r="B280" s="907"/>
      <c r="C280" s="907"/>
      <c r="D280" s="907"/>
      <c r="E280" s="907"/>
      <c r="F280" s="907"/>
      <c r="G280" s="907"/>
      <c r="H280" s="907"/>
      <c r="I280" s="907"/>
      <c r="J280" s="907"/>
      <c r="K280" s="907"/>
      <c r="L280" s="907"/>
      <c r="M280" s="907"/>
      <c r="N280" s="907"/>
      <c r="O280" s="907"/>
      <c r="P280" s="907"/>
      <c r="Q280" s="907"/>
      <c r="R280" s="907"/>
      <c r="S280" s="907"/>
      <c r="T280" s="907"/>
      <c r="U280" s="907"/>
      <c r="V280" s="907"/>
      <c r="W280" s="907"/>
      <c r="X280" s="907"/>
      <c r="Y280" s="907"/>
      <c r="Z280" s="907"/>
      <c r="AA280" s="907"/>
      <c r="AB280" s="907"/>
      <c r="AC280" s="907"/>
    </row>
    <row r="281" spans="1:29">
      <c r="A281" s="907"/>
      <c r="B281" s="907"/>
      <c r="C281" s="907"/>
      <c r="D281" s="907"/>
      <c r="E281" s="907"/>
      <c r="F281" s="907"/>
      <c r="G281" s="907"/>
      <c r="H281" s="907"/>
      <c r="I281" s="907"/>
      <c r="J281" s="907"/>
      <c r="K281" s="907"/>
      <c r="L281" s="907"/>
      <c r="M281" s="907"/>
      <c r="N281" s="907"/>
      <c r="O281" s="907"/>
      <c r="P281" s="907"/>
      <c r="Q281" s="907"/>
      <c r="R281" s="907"/>
      <c r="S281" s="907"/>
      <c r="T281" s="907"/>
      <c r="U281" s="907"/>
      <c r="V281" s="907"/>
      <c r="W281" s="907"/>
      <c r="X281" s="907"/>
      <c r="Y281" s="907"/>
      <c r="Z281" s="907"/>
      <c r="AA281" s="907"/>
      <c r="AB281" s="907"/>
      <c r="AC281" s="907"/>
    </row>
    <row r="282" spans="1:29">
      <c r="A282" s="907"/>
      <c r="B282" s="907"/>
      <c r="C282" s="907"/>
      <c r="D282" s="907"/>
      <c r="E282" s="907"/>
      <c r="F282" s="907"/>
      <c r="G282" s="907"/>
      <c r="H282" s="907"/>
      <c r="I282" s="907"/>
      <c r="J282" s="907"/>
      <c r="K282" s="907"/>
      <c r="L282" s="907"/>
      <c r="M282" s="907"/>
      <c r="N282" s="907"/>
      <c r="O282" s="907"/>
      <c r="P282" s="907"/>
      <c r="Q282" s="907"/>
      <c r="R282" s="907"/>
      <c r="S282" s="907"/>
      <c r="T282" s="907"/>
      <c r="U282" s="907"/>
      <c r="V282" s="907"/>
      <c r="W282" s="907"/>
      <c r="X282" s="907"/>
      <c r="Y282" s="907"/>
      <c r="Z282" s="907"/>
      <c r="AA282" s="907"/>
      <c r="AB282" s="907"/>
      <c r="AC282" s="907"/>
    </row>
    <row r="283" spans="1:29">
      <c r="A283" s="907"/>
      <c r="B283" s="907"/>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c r="AB283" s="907"/>
      <c r="AC283" s="907"/>
    </row>
    <row r="284" spans="1:29">
      <c r="A284" s="907"/>
      <c r="B284" s="907"/>
      <c r="C284" s="907"/>
      <c r="D284" s="907"/>
      <c r="E284" s="907"/>
      <c r="F284" s="907"/>
      <c r="G284" s="907"/>
      <c r="H284" s="907"/>
      <c r="I284" s="907"/>
      <c r="J284" s="907"/>
      <c r="K284" s="907"/>
      <c r="L284" s="907"/>
      <c r="M284" s="907"/>
      <c r="N284" s="907"/>
      <c r="O284" s="907"/>
      <c r="P284" s="907"/>
      <c r="Q284" s="907"/>
      <c r="R284" s="907"/>
      <c r="S284" s="907"/>
      <c r="T284" s="907"/>
      <c r="U284" s="907"/>
      <c r="V284" s="907"/>
      <c r="W284" s="907"/>
      <c r="X284" s="907"/>
      <c r="Y284" s="907"/>
      <c r="Z284" s="907"/>
      <c r="AA284" s="907"/>
      <c r="AB284" s="907"/>
      <c r="AC284" s="907"/>
    </row>
    <row r="285" spans="1:29">
      <c r="A285" s="907"/>
      <c r="B285" s="907"/>
      <c r="C285" s="907"/>
      <c r="D285" s="907"/>
      <c r="E285" s="907"/>
      <c r="F285" s="907"/>
      <c r="G285" s="907"/>
      <c r="H285" s="907"/>
      <c r="I285" s="907"/>
      <c r="J285" s="907"/>
      <c r="K285" s="907"/>
      <c r="L285" s="907"/>
      <c r="M285" s="907"/>
      <c r="N285" s="907"/>
      <c r="O285" s="907"/>
      <c r="P285" s="907"/>
      <c r="Q285" s="907"/>
      <c r="R285" s="907"/>
      <c r="S285" s="907"/>
      <c r="T285" s="907"/>
      <c r="U285" s="907"/>
      <c r="V285" s="907"/>
      <c r="W285" s="907"/>
      <c r="X285" s="907"/>
      <c r="Y285" s="907"/>
      <c r="Z285" s="907"/>
      <c r="AA285" s="907"/>
      <c r="AB285" s="907"/>
      <c r="AC285" s="907"/>
    </row>
    <row r="286" spans="1:29">
      <c r="A286" s="907"/>
      <c r="B286" s="907"/>
      <c r="C286" s="907"/>
      <c r="D286" s="907"/>
      <c r="E286" s="907"/>
      <c r="F286" s="907"/>
      <c r="G286" s="907"/>
      <c r="H286" s="907"/>
      <c r="I286" s="907"/>
      <c r="J286" s="907"/>
      <c r="K286" s="907"/>
      <c r="L286" s="907"/>
      <c r="M286" s="907"/>
      <c r="N286" s="907"/>
      <c r="O286" s="907"/>
      <c r="P286" s="907"/>
      <c r="Q286" s="907"/>
      <c r="R286" s="907"/>
      <c r="S286" s="907"/>
      <c r="T286" s="907"/>
      <c r="U286" s="907"/>
      <c r="V286" s="907"/>
      <c r="W286" s="907"/>
      <c r="X286" s="907"/>
      <c r="Y286" s="907"/>
      <c r="Z286" s="907"/>
      <c r="AA286" s="907"/>
      <c r="AB286" s="907"/>
      <c r="AC286" s="907"/>
    </row>
    <row r="287" spans="1:29">
      <c r="A287" s="907"/>
      <c r="B287" s="907"/>
      <c r="C287" s="907"/>
      <c r="D287" s="907"/>
      <c r="E287" s="907"/>
      <c r="F287" s="907"/>
      <c r="G287" s="907"/>
      <c r="H287" s="907"/>
      <c r="I287" s="907"/>
      <c r="J287" s="907"/>
      <c r="K287" s="907"/>
      <c r="L287" s="907"/>
      <c r="M287" s="907"/>
      <c r="N287" s="907"/>
      <c r="O287" s="907"/>
      <c r="P287" s="907"/>
      <c r="Q287" s="907"/>
      <c r="R287" s="907"/>
      <c r="S287" s="907"/>
      <c r="T287" s="907"/>
      <c r="U287" s="907"/>
      <c r="V287" s="907"/>
      <c r="W287" s="907"/>
      <c r="X287" s="907"/>
      <c r="Y287" s="907"/>
      <c r="Z287" s="907"/>
      <c r="AA287" s="907"/>
      <c r="AB287" s="907"/>
      <c r="AC287" s="907"/>
    </row>
    <row r="288" spans="1:29">
      <c r="A288" s="907"/>
      <c r="B288" s="907"/>
      <c r="C288" s="907"/>
      <c r="D288" s="907"/>
      <c r="E288" s="907"/>
      <c r="F288" s="907"/>
      <c r="G288" s="907"/>
      <c r="H288" s="907"/>
      <c r="I288" s="907"/>
      <c r="J288" s="907"/>
      <c r="K288" s="907"/>
      <c r="L288" s="907"/>
      <c r="M288" s="907"/>
      <c r="N288" s="907"/>
      <c r="O288" s="907"/>
      <c r="P288" s="907"/>
      <c r="Q288" s="907"/>
      <c r="R288" s="907"/>
      <c r="S288" s="907"/>
      <c r="T288" s="907"/>
      <c r="U288" s="907"/>
      <c r="V288" s="907"/>
      <c r="W288" s="907"/>
      <c r="X288" s="907"/>
      <c r="Y288" s="907"/>
      <c r="Z288" s="907"/>
      <c r="AA288" s="907"/>
      <c r="AB288" s="907"/>
      <c r="AC288" s="907"/>
    </row>
    <row r="289" spans="1:29">
      <c r="A289" s="907"/>
      <c r="B289" s="907"/>
      <c r="C289" s="907"/>
      <c r="D289" s="907"/>
      <c r="E289" s="907"/>
      <c r="F289" s="907"/>
      <c r="G289" s="907"/>
      <c r="H289" s="907"/>
      <c r="I289" s="907"/>
      <c r="J289" s="907"/>
      <c r="K289" s="907"/>
      <c r="L289" s="907"/>
      <c r="M289" s="907"/>
      <c r="N289" s="907"/>
      <c r="O289" s="907"/>
      <c r="P289" s="907"/>
      <c r="Q289" s="907"/>
      <c r="R289" s="907"/>
      <c r="S289" s="907"/>
      <c r="T289" s="907"/>
      <c r="U289" s="907"/>
      <c r="V289" s="907"/>
      <c r="W289" s="907"/>
      <c r="X289" s="907"/>
      <c r="Y289" s="907"/>
      <c r="Z289" s="907"/>
      <c r="AA289" s="907"/>
      <c r="AB289" s="907"/>
      <c r="AC289" s="907"/>
    </row>
    <row r="290" spans="1:29">
      <c r="A290" s="907"/>
      <c r="B290" s="907"/>
      <c r="C290" s="907"/>
      <c r="D290" s="907"/>
      <c r="E290" s="907"/>
      <c r="F290" s="907"/>
      <c r="G290" s="907"/>
      <c r="H290" s="907"/>
      <c r="I290" s="907"/>
      <c r="J290" s="907"/>
      <c r="K290" s="907"/>
      <c r="L290" s="907"/>
      <c r="M290" s="907"/>
      <c r="N290" s="907"/>
      <c r="O290" s="907"/>
      <c r="P290" s="907"/>
      <c r="Q290" s="907"/>
      <c r="R290" s="907"/>
      <c r="S290" s="907"/>
      <c r="T290" s="907"/>
      <c r="U290" s="907"/>
      <c r="V290" s="907"/>
      <c r="W290" s="907"/>
      <c r="X290" s="907"/>
      <c r="Y290" s="907"/>
      <c r="Z290" s="907"/>
      <c r="AA290" s="907"/>
      <c r="AB290" s="907"/>
      <c r="AC290" s="907"/>
    </row>
    <row r="291" spans="1:29">
      <c r="A291" s="907"/>
      <c r="B291" s="907"/>
      <c r="C291" s="907"/>
      <c r="D291" s="907"/>
      <c r="E291" s="907"/>
      <c r="F291" s="907"/>
      <c r="G291" s="907"/>
      <c r="H291" s="907"/>
      <c r="I291" s="907"/>
      <c r="J291" s="907"/>
      <c r="K291" s="907"/>
      <c r="L291" s="907"/>
      <c r="M291" s="907"/>
      <c r="N291" s="907"/>
      <c r="O291" s="907"/>
      <c r="P291" s="907"/>
      <c r="Q291" s="907"/>
      <c r="R291" s="907"/>
      <c r="S291" s="907"/>
      <c r="T291" s="907"/>
      <c r="U291" s="907"/>
      <c r="V291" s="907"/>
      <c r="W291" s="907"/>
      <c r="X291" s="907"/>
      <c r="Y291" s="907"/>
      <c r="Z291" s="907"/>
      <c r="AA291" s="907"/>
      <c r="AB291" s="907"/>
      <c r="AC291" s="907"/>
    </row>
    <row r="292" spans="1:29">
      <c r="A292" s="907"/>
      <c r="B292" s="907"/>
      <c r="C292" s="907"/>
      <c r="D292" s="907"/>
      <c r="E292" s="907"/>
      <c r="F292" s="907"/>
      <c r="G292" s="907"/>
      <c r="H292" s="907"/>
      <c r="I292" s="907"/>
      <c r="J292" s="907"/>
      <c r="K292" s="907"/>
      <c r="L292" s="907"/>
      <c r="M292" s="907"/>
      <c r="N292" s="907"/>
      <c r="O292" s="907"/>
      <c r="P292" s="907"/>
      <c r="Q292" s="907"/>
      <c r="R292" s="907"/>
      <c r="S292" s="907"/>
      <c r="T292" s="907"/>
      <c r="U292" s="907"/>
      <c r="V292" s="907"/>
      <c r="W292" s="907"/>
      <c r="X292" s="907"/>
      <c r="Y292" s="907"/>
      <c r="Z292" s="907"/>
      <c r="AA292" s="907"/>
      <c r="AB292" s="907"/>
      <c r="AC292" s="907"/>
    </row>
    <row r="293" spans="1:29">
      <c r="A293" s="907"/>
      <c r="B293" s="907"/>
      <c r="C293" s="907"/>
      <c r="D293" s="907"/>
      <c r="E293" s="907"/>
      <c r="F293" s="907"/>
      <c r="G293" s="907"/>
      <c r="H293" s="907"/>
      <c r="I293" s="907"/>
      <c r="J293" s="907"/>
      <c r="K293" s="907"/>
      <c r="L293" s="907"/>
      <c r="M293" s="907"/>
      <c r="N293" s="907"/>
      <c r="O293" s="907"/>
      <c r="P293" s="907"/>
      <c r="Q293" s="907"/>
      <c r="R293" s="907"/>
      <c r="S293" s="907"/>
      <c r="T293" s="907"/>
      <c r="U293" s="907"/>
      <c r="V293" s="907"/>
      <c r="W293" s="907"/>
      <c r="X293" s="907"/>
      <c r="Y293" s="907"/>
      <c r="Z293" s="907"/>
      <c r="AA293" s="907"/>
      <c r="AB293" s="907"/>
      <c r="AC293" s="907"/>
    </row>
    <row r="294" spans="1:29">
      <c r="A294" s="907"/>
      <c r="B294" s="907"/>
      <c r="C294" s="907"/>
      <c r="D294" s="907"/>
      <c r="E294" s="907"/>
      <c r="F294" s="907"/>
      <c r="G294" s="907"/>
      <c r="H294" s="907"/>
      <c r="I294" s="907"/>
      <c r="J294" s="907"/>
      <c r="K294" s="907"/>
      <c r="L294" s="907"/>
      <c r="M294" s="907"/>
      <c r="N294" s="907"/>
      <c r="O294" s="907"/>
      <c r="P294" s="907"/>
      <c r="Q294" s="907"/>
      <c r="R294" s="907"/>
      <c r="S294" s="907"/>
      <c r="T294" s="907"/>
      <c r="U294" s="907"/>
      <c r="V294" s="907"/>
      <c r="W294" s="907"/>
      <c r="X294" s="907"/>
      <c r="Y294" s="907"/>
      <c r="Z294" s="907"/>
      <c r="AA294" s="907"/>
      <c r="AB294" s="907"/>
      <c r="AC294" s="907"/>
    </row>
    <row r="295" spans="1:29">
      <c r="A295" s="907"/>
      <c r="B295" s="907"/>
      <c r="C295" s="907"/>
      <c r="D295" s="907"/>
      <c r="E295" s="907"/>
      <c r="F295" s="907"/>
      <c r="G295" s="907"/>
      <c r="H295" s="907"/>
      <c r="I295" s="907"/>
      <c r="J295" s="907"/>
      <c r="K295" s="907"/>
      <c r="L295" s="907"/>
      <c r="M295" s="907"/>
      <c r="N295" s="907"/>
      <c r="O295" s="907"/>
      <c r="P295" s="907"/>
      <c r="Q295" s="907"/>
      <c r="R295" s="907"/>
      <c r="S295" s="907"/>
      <c r="T295" s="907"/>
      <c r="U295" s="907"/>
      <c r="V295" s="907"/>
      <c r="W295" s="907"/>
      <c r="X295" s="907"/>
      <c r="Y295" s="907"/>
      <c r="Z295" s="907"/>
      <c r="AA295" s="907"/>
      <c r="AB295" s="907"/>
      <c r="AC295" s="907"/>
    </row>
    <row r="296" spans="1:29">
      <c r="A296" s="907"/>
      <c r="B296" s="907"/>
      <c r="C296" s="907"/>
      <c r="D296" s="907"/>
      <c r="E296" s="907"/>
      <c r="F296" s="907"/>
      <c r="G296" s="907"/>
      <c r="H296" s="907"/>
      <c r="I296" s="907"/>
      <c r="J296" s="907"/>
      <c r="K296" s="907"/>
      <c r="L296" s="907"/>
      <c r="M296" s="907"/>
      <c r="N296" s="907"/>
      <c r="O296" s="907"/>
      <c r="P296" s="907"/>
      <c r="Q296" s="907"/>
      <c r="R296" s="907"/>
      <c r="S296" s="907"/>
      <c r="T296" s="907"/>
      <c r="U296" s="907"/>
      <c r="V296" s="907"/>
      <c r="W296" s="907"/>
      <c r="X296" s="907"/>
      <c r="Y296" s="907"/>
      <c r="Z296" s="907"/>
      <c r="AA296" s="907"/>
      <c r="AB296" s="907"/>
      <c r="AC296" s="907"/>
    </row>
    <row r="297" spans="1:29">
      <c r="A297" s="907"/>
      <c r="B297" s="907"/>
      <c r="C297" s="907"/>
      <c r="D297" s="907"/>
      <c r="E297" s="907"/>
      <c r="F297" s="907"/>
      <c r="G297" s="907"/>
      <c r="H297" s="907"/>
      <c r="I297" s="907"/>
      <c r="J297" s="907"/>
      <c r="K297" s="907"/>
      <c r="L297" s="907"/>
      <c r="M297" s="907"/>
      <c r="N297" s="907"/>
      <c r="O297" s="907"/>
      <c r="P297" s="907"/>
      <c r="Q297" s="907"/>
      <c r="R297" s="907"/>
      <c r="S297" s="907"/>
      <c r="T297" s="907"/>
      <c r="U297" s="907"/>
      <c r="V297" s="907"/>
      <c r="W297" s="907"/>
      <c r="X297" s="907"/>
      <c r="Y297" s="907"/>
      <c r="Z297" s="907"/>
      <c r="AA297" s="907"/>
      <c r="AB297" s="907"/>
      <c r="AC297" s="907"/>
    </row>
    <row r="298" spans="1:29">
      <c r="A298" s="907"/>
      <c r="B298" s="907"/>
      <c r="C298" s="907"/>
      <c r="D298" s="907"/>
      <c r="E298" s="907"/>
      <c r="F298" s="907"/>
      <c r="G298" s="907"/>
      <c r="H298" s="907"/>
      <c r="I298" s="907"/>
      <c r="J298" s="907"/>
      <c r="K298" s="907"/>
      <c r="L298" s="907"/>
      <c r="M298" s="907"/>
      <c r="N298" s="907"/>
      <c r="O298" s="907"/>
      <c r="P298" s="907"/>
      <c r="Q298" s="907"/>
      <c r="R298" s="907"/>
      <c r="S298" s="907"/>
      <c r="T298" s="907"/>
      <c r="U298" s="907"/>
      <c r="V298" s="907"/>
      <c r="W298" s="907"/>
      <c r="X298" s="907"/>
      <c r="Y298" s="907"/>
      <c r="Z298" s="907"/>
      <c r="AA298" s="907"/>
      <c r="AB298" s="907"/>
      <c r="AC298" s="907"/>
    </row>
    <row r="299" spans="1:29">
      <c r="A299" s="907"/>
      <c r="B299" s="907"/>
      <c r="C299" s="907"/>
      <c r="D299" s="907"/>
      <c r="E299" s="907"/>
      <c r="F299" s="907"/>
      <c r="G299" s="907"/>
      <c r="H299" s="907"/>
      <c r="I299" s="907"/>
      <c r="J299" s="907"/>
      <c r="K299" s="907"/>
      <c r="L299" s="907"/>
      <c r="M299" s="907"/>
      <c r="N299" s="907"/>
      <c r="O299" s="907"/>
      <c r="P299" s="907"/>
      <c r="Q299" s="907"/>
      <c r="R299" s="907"/>
      <c r="S299" s="907"/>
      <c r="T299" s="907"/>
      <c r="U299" s="907"/>
      <c r="V299" s="907"/>
      <c r="W299" s="907"/>
      <c r="X299" s="907"/>
      <c r="Y299" s="907"/>
      <c r="Z299" s="907"/>
      <c r="AA299" s="907"/>
      <c r="AB299" s="907"/>
      <c r="AC299" s="907"/>
    </row>
    <row r="300" spans="1:29">
      <c r="A300" s="907"/>
      <c r="B300" s="907"/>
      <c r="C300" s="907"/>
      <c r="D300" s="907"/>
      <c r="E300" s="907"/>
      <c r="F300" s="907"/>
      <c r="G300" s="907"/>
      <c r="H300" s="907"/>
      <c r="I300" s="907"/>
      <c r="J300" s="907"/>
      <c r="K300" s="907"/>
      <c r="L300" s="907"/>
      <c r="M300" s="907"/>
      <c r="N300" s="907"/>
      <c r="O300" s="907"/>
      <c r="P300" s="907"/>
      <c r="Q300" s="907"/>
      <c r="R300" s="907"/>
      <c r="S300" s="907"/>
      <c r="T300" s="907"/>
      <c r="U300" s="907"/>
      <c r="V300" s="907"/>
      <c r="W300" s="907"/>
      <c r="X300" s="907"/>
      <c r="Y300" s="907"/>
      <c r="Z300" s="907"/>
      <c r="AA300" s="907"/>
      <c r="AB300" s="907"/>
      <c r="AC300" s="907"/>
    </row>
    <row r="301" spans="1:29">
      <c r="A301" s="907"/>
      <c r="B301" s="907"/>
      <c r="C301" s="907"/>
      <c r="D301" s="907"/>
      <c r="E301" s="907"/>
      <c r="F301" s="907"/>
      <c r="G301" s="907"/>
      <c r="H301" s="907"/>
      <c r="I301" s="907"/>
      <c r="J301" s="907"/>
      <c r="K301" s="907"/>
      <c r="L301" s="907"/>
      <c r="M301" s="907"/>
      <c r="N301" s="907"/>
      <c r="O301" s="907"/>
      <c r="P301" s="907"/>
      <c r="Q301" s="907"/>
      <c r="R301" s="907"/>
      <c r="S301" s="907"/>
      <c r="T301" s="907"/>
      <c r="U301" s="907"/>
      <c r="V301" s="907"/>
      <c r="W301" s="907"/>
      <c r="X301" s="907"/>
      <c r="Y301" s="907"/>
      <c r="Z301" s="907"/>
      <c r="AA301" s="907"/>
      <c r="AB301" s="907"/>
      <c r="AC301" s="907"/>
    </row>
    <row r="302" spans="1:29">
      <c r="A302" s="907"/>
      <c r="B302" s="907"/>
      <c r="C302" s="907"/>
      <c r="D302" s="907"/>
      <c r="E302" s="907"/>
      <c r="F302" s="907"/>
      <c r="G302" s="907"/>
      <c r="H302" s="907"/>
      <c r="I302" s="907"/>
      <c r="J302" s="907"/>
      <c r="K302" s="907"/>
      <c r="L302" s="907"/>
      <c r="M302" s="907"/>
      <c r="N302" s="907"/>
      <c r="O302" s="907"/>
      <c r="P302" s="907"/>
      <c r="Q302" s="907"/>
      <c r="R302" s="907"/>
      <c r="S302" s="907"/>
      <c r="T302" s="907"/>
      <c r="U302" s="907"/>
      <c r="V302" s="907"/>
      <c r="W302" s="907"/>
      <c r="X302" s="907"/>
      <c r="Y302" s="907"/>
      <c r="Z302" s="907"/>
      <c r="AA302" s="907"/>
      <c r="AB302" s="907"/>
      <c r="AC302" s="907"/>
    </row>
    <row r="303" spans="1:29">
      <c r="A303" s="907"/>
      <c r="B303" s="907"/>
      <c r="C303" s="907"/>
      <c r="D303" s="907"/>
      <c r="E303" s="907"/>
      <c r="F303" s="907"/>
      <c r="G303" s="907"/>
      <c r="H303" s="907"/>
      <c r="I303" s="907"/>
      <c r="J303" s="907"/>
      <c r="K303" s="907"/>
      <c r="L303" s="907"/>
      <c r="M303" s="907"/>
      <c r="N303" s="907"/>
      <c r="O303" s="907"/>
      <c r="P303" s="907"/>
      <c r="Q303" s="907"/>
      <c r="R303" s="907"/>
      <c r="S303" s="907"/>
      <c r="T303" s="907"/>
      <c r="U303" s="907"/>
      <c r="V303" s="907"/>
      <c r="W303" s="907"/>
      <c r="X303" s="907"/>
      <c r="Y303" s="907"/>
      <c r="Z303" s="907"/>
      <c r="AA303" s="907"/>
      <c r="AB303" s="907"/>
      <c r="AC303" s="907"/>
    </row>
    <row r="304" spans="1:29">
      <c r="A304" s="907"/>
      <c r="B304" s="907"/>
      <c r="C304" s="907"/>
      <c r="D304" s="907"/>
      <c r="E304" s="907"/>
      <c r="F304" s="907"/>
      <c r="G304" s="907"/>
      <c r="H304" s="907"/>
      <c r="I304" s="907"/>
      <c r="J304" s="907"/>
      <c r="K304" s="907"/>
      <c r="L304" s="907"/>
      <c r="M304" s="907"/>
      <c r="N304" s="907"/>
      <c r="O304" s="907"/>
      <c r="P304" s="907"/>
      <c r="Q304" s="907"/>
      <c r="R304" s="907"/>
      <c r="S304" s="907"/>
      <c r="T304" s="907"/>
      <c r="U304" s="907"/>
      <c r="V304" s="907"/>
      <c r="W304" s="907"/>
      <c r="X304" s="907"/>
      <c r="Y304" s="907"/>
      <c r="Z304" s="907"/>
      <c r="AA304" s="907"/>
      <c r="AB304" s="907"/>
      <c r="AC304" s="907"/>
    </row>
    <row r="305" spans="1:29">
      <c r="A305" s="907"/>
      <c r="B305" s="907"/>
      <c r="C305" s="907"/>
      <c r="D305" s="907"/>
      <c r="E305" s="907"/>
      <c r="F305" s="907"/>
      <c r="G305" s="907"/>
      <c r="H305" s="907"/>
      <c r="I305" s="907"/>
      <c r="J305" s="907"/>
      <c r="K305" s="907"/>
      <c r="L305" s="907"/>
      <c r="M305" s="907"/>
      <c r="N305" s="907"/>
      <c r="O305" s="907"/>
      <c r="P305" s="907"/>
      <c r="Q305" s="907"/>
      <c r="R305" s="907"/>
      <c r="S305" s="907"/>
      <c r="T305" s="907"/>
      <c r="U305" s="907"/>
      <c r="V305" s="907"/>
      <c r="W305" s="907"/>
      <c r="X305" s="907"/>
      <c r="Y305" s="907"/>
      <c r="Z305" s="907"/>
      <c r="AA305" s="907"/>
      <c r="AB305" s="907"/>
      <c r="AC305" s="907"/>
    </row>
    <row r="306" spans="1:29">
      <c r="A306" s="907"/>
      <c r="B306" s="907"/>
      <c r="C306" s="907"/>
      <c r="D306" s="907"/>
      <c r="E306" s="907"/>
      <c r="F306" s="907"/>
      <c r="G306" s="907"/>
      <c r="H306" s="907"/>
      <c r="I306" s="907"/>
      <c r="J306" s="907"/>
      <c r="K306" s="907"/>
      <c r="L306" s="907"/>
      <c r="M306" s="907"/>
      <c r="N306" s="907"/>
      <c r="O306" s="907"/>
      <c r="P306" s="907"/>
      <c r="Q306" s="907"/>
      <c r="R306" s="907"/>
      <c r="S306" s="907"/>
      <c r="T306" s="907"/>
      <c r="U306" s="907"/>
      <c r="V306" s="907"/>
      <c r="W306" s="907"/>
      <c r="X306" s="907"/>
      <c r="Y306" s="907"/>
      <c r="Z306" s="907"/>
      <c r="AA306" s="907"/>
      <c r="AB306" s="907"/>
      <c r="AC306" s="907"/>
    </row>
    <row r="307" spans="1:29">
      <c r="A307" s="907"/>
      <c r="B307" s="907"/>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c r="AB307" s="907"/>
      <c r="AC307" s="907"/>
    </row>
    <row r="308" spans="1:29">
      <c r="A308" s="907"/>
      <c r="B308" s="907"/>
      <c r="C308" s="907"/>
      <c r="D308" s="907"/>
      <c r="E308" s="907"/>
      <c r="F308" s="907"/>
      <c r="G308" s="907"/>
      <c r="H308" s="907"/>
      <c r="I308" s="907"/>
      <c r="J308" s="907"/>
      <c r="K308" s="907"/>
      <c r="L308" s="907"/>
      <c r="M308" s="907"/>
      <c r="N308" s="907"/>
      <c r="O308" s="907"/>
      <c r="P308" s="907"/>
      <c r="Q308" s="907"/>
      <c r="R308" s="907"/>
      <c r="S308" s="907"/>
      <c r="T308" s="907"/>
      <c r="U308" s="907"/>
      <c r="V308" s="907"/>
      <c r="W308" s="907"/>
      <c r="X308" s="907"/>
      <c r="Y308" s="907"/>
      <c r="Z308" s="907"/>
      <c r="AA308" s="907"/>
      <c r="AB308" s="907"/>
      <c r="AC308" s="907"/>
    </row>
    <row r="309" spans="1:29">
      <c r="A309" s="907"/>
      <c r="B309" s="907"/>
      <c r="C309" s="907"/>
      <c r="D309" s="907"/>
      <c r="E309" s="907"/>
      <c r="F309" s="907"/>
      <c r="G309" s="907"/>
      <c r="H309" s="907"/>
      <c r="I309" s="907"/>
      <c r="J309" s="907"/>
      <c r="K309" s="907"/>
      <c r="L309" s="907"/>
      <c r="M309" s="907"/>
      <c r="N309" s="907"/>
      <c r="O309" s="907"/>
      <c r="P309" s="907"/>
      <c r="Q309" s="907"/>
      <c r="R309" s="907"/>
      <c r="S309" s="907"/>
      <c r="T309" s="907"/>
      <c r="U309" s="907"/>
      <c r="V309" s="907"/>
      <c r="W309" s="907"/>
      <c r="X309" s="907"/>
      <c r="Y309" s="907"/>
      <c r="Z309" s="907"/>
      <c r="AA309" s="907"/>
      <c r="AB309" s="907"/>
      <c r="AC309" s="907"/>
    </row>
    <row r="310" spans="1:29">
      <c r="A310" s="907"/>
      <c r="B310" s="907"/>
      <c r="C310" s="907"/>
      <c r="D310" s="907"/>
      <c r="E310" s="907"/>
      <c r="F310" s="907"/>
      <c r="G310" s="907"/>
      <c r="H310" s="907"/>
      <c r="I310" s="907"/>
      <c r="J310" s="907"/>
      <c r="K310" s="907"/>
      <c r="L310" s="907"/>
      <c r="M310" s="907"/>
      <c r="N310" s="907"/>
      <c r="O310" s="907"/>
      <c r="P310" s="907"/>
      <c r="Q310" s="907"/>
      <c r="R310" s="907"/>
      <c r="S310" s="907"/>
      <c r="T310" s="907"/>
      <c r="U310" s="907"/>
      <c r="V310" s="907"/>
      <c r="W310" s="907"/>
      <c r="X310" s="907"/>
      <c r="Y310" s="907"/>
      <c r="Z310" s="907"/>
      <c r="AA310" s="907"/>
      <c r="AB310" s="907"/>
      <c r="AC310" s="907"/>
    </row>
    <row r="311" spans="1:29">
      <c r="A311" s="907"/>
      <c r="B311" s="907"/>
      <c r="C311" s="907"/>
      <c r="D311" s="907"/>
      <c r="E311" s="907"/>
      <c r="F311" s="907"/>
      <c r="G311" s="907"/>
      <c r="H311" s="907"/>
      <c r="I311" s="907"/>
      <c r="J311" s="907"/>
      <c r="K311" s="907"/>
      <c r="L311" s="907"/>
      <c r="M311" s="907"/>
      <c r="N311" s="907"/>
      <c r="O311" s="907"/>
      <c r="P311" s="907"/>
      <c r="Q311" s="907"/>
      <c r="R311" s="907"/>
      <c r="S311" s="907"/>
      <c r="T311" s="907"/>
      <c r="U311" s="907"/>
      <c r="V311" s="907"/>
      <c r="W311" s="907"/>
      <c r="X311" s="907"/>
      <c r="Y311" s="907"/>
      <c r="Z311" s="907"/>
      <c r="AA311" s="907"/>
      <c r="AB311" s="907"/>
      <c r="AC311" s="907"/>
    </row>
    <row r="312" spans="1:29">
      <c r="A312" s="907"/>
      <c r="B312" s="907"/>
      <c r="C312" s="907"/>
      <c r="D312" s="907"/>
      <c r="E312" s="907"/>
      <c r="F312" s="907"/>
      <c r="G312" s="907"/>
      <c r="H312" s="907"/>
      <c r="I312" s="907"/>
      <c r="J312" s="907"/>
      <c r="K312" s="907"/>
      <c r="L312" s="907"/>
      <c r="M312" s="907"/>
      <c r="N312" s="907"/>
      <c r="O312" s="907"/>
      <c r="P312" s="907"/>
      <c r="Q312" s="907"/>
      <c r="R312" s="907"/>
      <c r="S312" s="907"/>
      <c r="T312" s="907"/>
      <c r="U312" s="907"/>
      <c r="V312" s="907"/>
      <c r="W312" s="907"/>
      <c r="X312" s="907"/>
      <c r="Y312" s="907"/>
      <c r="Z312" s="907"/>
      <c r="AA312" s="907"/>
      <c r="AB312" s="907"/>
      <c r="AC312" s="907"/>
    </row>
    <row r="313" spans="1:29">
      <c r="A313" s="907"/>
      <c r="B313" s="907"/>
      <c r="C313" s="907"/>
      <c r="D313" s="907"/>
      <c r="E313" s="907"/>
      <c r="F313" s="907"/>
      <c r="G313" s="907"/>
      <c r="H313" s="907"/>
      <c r="I313" s="907"/>
      <c r="J313" s="907"/>
      <c r="K313" s="907"/>
      <c r="L313" s="907"/>
      <c r="M313" s="907"/>
      <c r="N313" s="907"/>
      <c r="O313" s="907"/>
      <c r="P313" s="907"/>
      <c r="Q313" s="907"/>
      <c r="R313" s="907"/>
      <c r="S313" s="907"/>
      <c r="T313" s="907"/>
      <c r="U313" s="907"/>
      <c r="V313" s="907"/>
      <c r="W313" s="907"/>
      <c r="X313" s="907"/>
      <c r="Y313" s="907"/>
      <c r="Z313" s="907"/>
      <c r="AA313" s="907"/>
      <c r="AB313" s="907"/>
      <c r="AC313" s="907"/>
    </row>
    <row r="314" spans="1:29">
      <c r="A314" s="907"/>
      <c r="B314" s="907"/>
      <c r="C314" s="907"/>
      <c r="D314" s="907"/>
      <c r="E314" s="907"/>
      <c r="F314" s="907"/>
      <c r="G314" s="907"/>
      <c r="H314" s="907"/>
      <c r="I314" s="907"/>
      <c r="J314" s="907"/>
      <c r="K314" s="907"/>
      <c r="L314" s="907"/>
      <c r="M314" s="907"/>
      <c r="N314" s="907"/>
      <c r="O314" s="907"/>
      <c r="P314" s="907"/>
      <c r="Q314" s="907"/>
      <c r="R314" s="907"/>
      <c r="S314" s="907"/>
      <c r="T314" s="907"/>
      <c r="U314" s="907"/>
      <c r="V314" s="907"/>
      <c r="W314" s="907"/>
      <c r="X314" s="907"/>
      <c r="Y314" s="907"/>
      <c r="Z314" s="907"/>
      <c r="AA314" s="907"/>
      <c r="AB314" s="907"/>
      <c r="AC314" s="907"/>
    </row>
    <row r="315" spans="1:29">
      <c r="A315" s="907"/>
      <c r="B315" s="907"/>
      <c r="C315" s="907"/>
      <c r="D315" s="907"/>
      <c r="E315" s="907"/>
      <c r="F315" s="907"/>
      <c r="G315" s="907"/>
      <c r="H315" s="907"/>
      <c r="I315" s="907"/>
      <c r="J315" s="907"/>
      <c r="K315" s="907"/>
      <c r="L315" s="907"/>
      <c r="M315" s="907"/>
      <c r="N315" s="907"/>
      <c r="O315" s="907"/>
      <c r="P315" s="907"/>
      <c r="Q315" s="907"/>
      <c r="R315" s="907"/>
      <c r="S315" s="907"/>
      <c r="T315" s="907"/>
      <c r="U315" s="907"/>
      <c r="V315" s="907"/>
      <c r="W315" s="907"/>
      <c r="X315" s="907"/>
      <c r="Y315" s="907"/>
      <c r="Z315" s="907"/>
      <c r="AA315" s="907"/>
      <c r="AB315" s="907"/>
      <c r="AC315" s="907"/>
    </row>
    <row r="316" spans="1:29">
      <c r="A316" s="907"/>
      <c r="B316" s="907"/>
      <c r="C316" s="907"/>
      <c r="D316" s="907"/>
      <c r="E316" s="907"/>
      <c r="F316" s="907"/>
      <c r="G316" s="907"/>
      <c r="H316" s="907"/>
      <c r="I316" s="907"/>
      <c r="J316" s="907"/>
      <c r="K316" s="907"/>
      <c r="L316" s="907"/>
      <c r="M316" s="907"/>
      <c r="N316" s="907"/>
      <c r="O316" s="907"/>
      <c r="P316" s="907"/>
      <c r="Q316" s="907"/>
      <c r="R316" s="907"/>
      <c r="S316" s="907"/>
      <c r="T316" s="907"/>
      <c r="U316" s="907"/>
      <c r="V316" s="907"/>
      <c r="W316" s="907"/>
      <c r="X316" s="907"/>
      <c r="Y316" s="907"/>
      <c r="Z316" s="907"/>
      <c r="AA316" s="907"/>
      <c r="AB316" s="907"/>
      <c r="AC316" s="907"/>
    </row>
    <row r="317" spans="1:29">
      <c r="A317" s="907"/>
      <c r="B317" s="907"/>
      <c r="C317" s="907"/>
      <c r="D317" s="907"/>
      <c r="E317" s="907"/>
      <c r="F317" s="907"/>
      <c r="G317" s="907"/>
      <c r="H317" s="907"/>
      <c r="I317" s="907"/>
      <c r="J317" s="907"/>
      <c r="K317" s="907"/>
      <c r="L317" s="907"/>
      <c r="M317" s="907"/>
      <c r="N317" s="907"/>
      <c r="O317" s="907"/>
      <c r="P317" s="907"/>
      <c r="Q317" s="907"/>
      <c r="R317" s="907"/>
      <c r="S317" s="907"/>
      <c r="T317" s="907"/>
      <c r="U317" s="907"/>
      <c r="V317" s="907"/>
      <c r="W317" s="907"/>
      <c r="X317" s="907"/>
      <c r="Y317" s="907"/>
      <c r="Z317" s="907"/>
      <c r="AA317" s="907"/>
      <c r="AB317" s="907"/>
      <c r="AC317" s="907"/>
    </row>
    <row r="318" spans="1:29">
      <c r="A318" s="907"/>
      <c r="B318" s="907"/>
      <c r="C318" s="907"/>
      <c r="D318" s="907"/>
      <c r="E318" s="907"/>
      <c r="F318" s="907"/>
      <c r="G318" s="907"/>
      <c r="H318" s="907"/>
      <c r="I318" s="907"/>
      <c r="J318" s="907"/>
      <c r="K318" s="907"/>
      <c r="L318" s="907"/>
      <c r="M318" s="907"/>
      <c r="N318" s="907"/>
      <c r="O318" s="907"/>
      <c r="P318" s="907"/>
      <c r="Q318" s="907"/>
      <c r="R318" s="907"/>
      <c r="S318" s="907"/>
      <c r="T318" s="907"/>
      <c r="U318" s="907"/>
      <c r="V318" s="907"/>
      <c r="W318" s="907"/>
      <c r="X318" s="907"/>
      <c r="Y318" s="907"/>
      <c r="Z318" s="907"/>
      <c r="AA318" s="907"/>
      <c r="AB318" s="907"/>
      <c r="AC318" s="907"/>
    </row>
    <row r="319" spans="1:29">
      <c r="A319" s="907"/>
      <c r="B319" s="907"/>
      <c r="C319" s="907"/>
      <c r="D319" s="907"/>
      <c r="E319" s="907"/>
      <c r="F319" s="907"/>
      <c r="G319" s="907"/>
      <c r="H319" s="907"/>
      <c r="I319" s="907"/>
      <c r="J319" s="907"/>
      <c r="K319" s="907"/>
      <c r="L319" s="907"/>
      <c r="M319" s="907"/>
      <c r="N319" s="907"/>
      <c r="O319" s="907"/>
      <c r="P319" s="907"/>
      <c r="Q319" s="907"/>
      <c r="R319" s="907"/>
      <c r="S319" s="907"/>
      <c r="T319" s="907"/>
      <c r="U319" s="907"/>
      <c r="V319" s="907"/>
      <c r="W319" s="907"/>
      <c r="X319" s="907"/>
      <c r="Y319" s="907"/>
      <c r="Z319" s="907"/>
      <c r="AA319" s="907"/>
      <c r="AB319" s="907"/>
      <c r="AC319" s="907"/>
    </row>
    <row r="320" spans="1:29">
      <c r="A320" s="907"/>
      <c r="B320" s="907"/>
      <c r="C320" s="907"/>
      <c r="D320" s="907"/>
      <c r="E320" s="907"/>
      <c r="F320" s="907"/>
      <c r="G320" s="907"/>
      <c r="H320" s="907"/>
      <c r="I320" s="907"/>
      <c r="J320" s="907"/>
      <c r="K320" s="907"/>
      <c r="L320" s="907"/>
      <c r="M320" s="907"/>
      <c r="N320" s="907"/>
      <c r="O320" s="907"/>
      <c r="P320" s="907"/>
      <c r="Q320" s="907"/>
      <c r="R320" s="907"/>
      <c r="S320" s="907"/>
      <c r="T320" s="907"/>
      <c r="U320" s="907"/>
      <c r="V320" s="907"/>
      <c r="W320" s="907"/>
      <c r="X320" s="907"/>
      <c r="Y320" s="907"/>
      <c r="Z320" s="907"/>
      <c r="AA320" s="907"/>
      <c r="AB320" s="907"/>
      <c r="AC320" s="907"/>
    </row>
    <row r="321" spans="1:29">
      <c r="A321" s="907"/>
      <c r="B321" s="907"/>
      <c r="C321" s="907"/>
      <c r="D321" s="907"/>
      <c r="E321" s="907"/>
      <c r="F321" s="907"/>
      <c r="G321" s="907"/>
      <c r="H321" s="907"/>
      <c r="I321" s="907"/>
      <c r="J321" s="907"/>
      <c r="K321" s="907"/>
      <c r="L321" s="907"/>
      <c r="M321" s="907"/>
      <c r="N321" s="907"/>
      <c r="O321" s="907"/>
      <c r="P321" s="907"/>
      <c r="Q321" s="907"/>
      <c r="R321" s="907"/>
      <c r="S321" s="907"/>
      <c r="T321" s="907"/>
      <c r="U321" s="907"/>
      <c r="V321" s="907"/>
      <c r="W321" s="907"/>
      <c r="X321" s="907"/>
      <c r="Y321" s="907"/>
      <c r="Z321" s="907"/>
      <c r="AA321" s="907"/>
      <c r="AB321" s="907"/>
      <c r="AC321" s="907"/>
    </row>
    <row r="322" spans="1:29">
      <c r="A322" s="907"/>
      <c r="B322" s="907"/>
      <c r="C322" s="907"/>
      <c r="D322" s="907"/>
      <c r="E322" s="907"/>
      <c r="F322" s="907"/>
      <c r="G322" s="907"/>
      <c r="H322" s="907"/>
      <c r="I322" s="907"/>
      <c r="J322" s="907"/>
      <c r="K322" s="907"/>
      <c r="L322" s="907"/>
      <c r="M322" s="907"/>
      <c r="N322" s="907"/>
      <c r="O322" s="907"/>
      <c r="P322" s="907"/>
      <c r="Q322" s="907"/>
      <c r="R322" s="907"/>
      <c r="S322" s="907"/>
      <c r="T322" s="907"/>
      <c r="U322" s="907"/>
      <c r="V322" s="907"/>
      <c r="W322" s="907"/>
      <c r="X322" s="907"/>
      <c r="Y322" s="907"/>
      <c r="Z322" s="907"/>
      <c r="AA322" s="907"/>
      <c r="AB322" s="907"/>
      <c r="AC322" s="907"/>
    </row>
    <row r="323" spans="1:29">
      <c r="A323" s="907"/>
      <c r="B323" s="907"/>
      <c r="C323" s="907"/>
      <c r="D323" s="907"/>
      <c r="E323" s="907"/>
      <c r="F323" s="907"/>
      <c r="G323" s="907"/>
      <c r="H323" s="907"/>
      <c r="I323" s="907"/>
      <c r="J323" s="907"/>
      <c r="K323" s="907"/>
      <c r="L323" s="907"/>
      <c r="M323" s="907"/>
      <c r="N323" s="907"/>
      <c r="O323" s="907"/>
      <c r="P323" s="907"/>
      <c r="Q323" s="907"/>
      <c r="R323" s="907"/>
      <c r="S323" s="907"/>
      <c r="T323" s="907"/>
      <c r="U323" s="907"/>
      <c r="V323" s="907"/>
      <c r="W323" s="907"/>
      <c r="X323" s="907"/>
      <c r="Y323" s="907"/>
      <c r="Z323" s="907"/>
      <c r="AA323" s="907"/>
      <c r="AB323" s="907"/>
      <c r="AC323" s="907"/>
    </row>
    <row r="324" spans="1:29">
      <c r="A324" s="907"/>
      <c r="B324" s="907"/>
      <c r="C324" s="907"/>
      <c r="D324" s="907"/>
      <c r="E324" s="907"/>
      <c r="F324" s="907"/>
      <c r="G324" s="907"/>
      <c r="H324" s="907"/>
      <c r="I324" s="907"/>
      <c r="J324" s="907"/>
      <c r="K324" s="907"/>
      <c r="L324" s="907"/>
      <c r="M324" s="907"/>
      <c r="N324" s="907"/>
      <c r="O324" s="907"/>
      <c r="P324" s="907"/>
      <c r="Q324" s="907"/>
      <c r="R324" s="907"/>
      <c r="S324" s="907"/>
      <c r="T324" s="907"/>
      <c r="U324" s="907"/>
      <c r="V324" s="907"/>
      <c r="W324" s="907"/>
      <c r="X324" s="907"/>
      <c r="Y324" s="907"/>
      <c r="Z324" s="907"/>
      <c r="AA324" s="907"/>
      <c r="AB324" s="907"/>
      <c r="AC324" s="907"/>
    </row>
    <row r="325" spans="1:29">
      <c r="A325" s="907"/>
      <c r="B325" s="907"/>
      <c r="C325" s="907"/>
      <c r="D325" s="907"/>
      <c r="E325" s="907"/>
      <c r="F325" s="907"/>
      <c r="G325" s="907"/>
      <c r="H325" s="907"/>
      <c r="I325" s="907"/>
      <c r="J325" s="907"/>
      <c r="K325" s="907"/>
      <c r="L325" s="907"/>
      <c r="M325" s="907"/>
      <c r="N325" s="907"/>
      <c r="O325" s="907"/>
      <c r="P325" s="907"/>
      <c r="Q325" s="907"/>
      <c r="R325" s="907"/>
      <c r="S325" s="907"/>
      <c r="T325" s="907"/>
      <c r="U325" s="907"/>
      <c r="V325" s="907"/>
      <c r="W325" s="907"/>
      <c r="X325" s="907"/>
      <c r="Y325" s="907"/>
      <c r="Z325" s="907"/>
      <c r="AA325" s="907"/>
      <c r="AB325" s="907"/>
      <c r="AC325" s="907"/>
    </row>
    <row r="326" spans="1:29">
      <c r="A326" s="907"/>
      <c r="B326" s="907"/>
      <c r="C326" s="907"/>
      <c r="D326" s="907"/>
      <c r="E326" s="907"/>
      <c r="F326" s="907"/>
      <c r="G326" s="907"/>
      <c r="H326" s="907"/>
      <c r="I326" s="907"/>
      <c r="J326" s="907"/>
      <c r="K326" s="907"/>
      <c r="L326" s="907"/>
      <c r="M326" s="907"/>
      <c r="N326" s="907"/>
      <c r="O326" s="907"/>
      <c r="P326" s="907"/>
      <c r="Q326" s="907"/>
      <c r="R326" s="907"/>
      <c r="S326" s="907"/>
      <c r="T326" s="907"/>
      <c r="U326" s="907"/>
      <c r="V326" s="907"/>
      <c r="W326" s="907"/>
      <c r="X326" s="907"/>
      <c r="Y326" s="907"/>
      <c r="Z326" s="907"/>
      <c r="AA326" s="907"/>
      <c r="AB326" s="907"/>
      <c r="AC326" s="907"/>
    </row>
    <row r="327" spans="1:29">
      <c r="A327" s="907"/>
      <c r="B327" s="907"/>
      <c r="C327" s="907"/>
      <c r="D327" s="907"/>
      <c r="E327" s="907"/>
      <c r="F327" s="907"/>
      <c r="G327" s="907"/>
      <c r="H327" s="907"/>
      <c r="I327" s="907"/>
      <c r="J327" s="907"/>
      <c r="K327" s="907"/>
      <c r="L327" s="907"/>
      <c r="M327" s="907"/>
      <c r="N327" s="907"/>
      <c r="O327" s="907"/>
      <c r="P327" s="907"/>
      <c r="Q327" s="907"/>
      <c r="R327" s="907"/>
      <c r="S327" s="907"/>
      <c r="T327" s="907"/>
      <c r="U327" s="907"/>
      <c r="V327" s="907"/>
      <c r="W327" s="907"/>
      <c r="X327" s="907"/>
      <c r="Y327" s="907"/>
      <c r="Z327" s="907"/>
      <c r="AA327" s="907"/>
      <c r="AB327" s="907"/>
      <c r="AC327" s="907"/>
    </row>
    <row r="328" spans="1:29">
      <c r="A328" s="907"/>
      <c r="B328" s="907"/>
      <c r="C328" s="907"/>
      <c r="D328" s="907"/>
      <c r="E328" s="907"/>
      <c r="F328" s="907"/>
      <c r="G328" s="907"/>
      <c r="H328" s="907"/>
      <c r="I328" s="907"/>
      <c r="J328" s="907"/>
      <c r="K328" s="907"/>
      <c r="L328" s="907"/>
      <c r="M328" s="907"/>
      <c r="N328" s="907"/>
      <c r="O328" s="907"/>
      <c r="P328" s="907"/>
      <c r="Q328" s="907"/>
      <c r="R328" s="907"/>
      <c r="S328" s="907"/>
      <c r="T328" s="907"/>
      <c r="U328" s="907"/>
      <c r="V328" s="907"/>
      <c r="W328" s="907"/>
      <c r="X328" s="907"/>
      <c r="Y328" s="907"/>
      <c r="Z328" s="907"/>
      <c r="AA328" s="907"/>
      <c r="AB328" s="907"/>
      <c r="AC328" s="907"/>
    </row>
    <row r="329" spans="1:29">
      <c r="A329" s="907"/>
      <c r="B329" s="907"/>
      <c r="C329" s="907"/>
      <c r="D329" s="907"/>
      <c r="E329" s="907"/>
      <c r="F329" s="907"/>
      <c r="G329" s="907"/>
      <c r="H329" s="907"/>
      <c r="I329" s="907"/>
      <c r="J329" s="907"/>
      <c r="K329" s="907"/>
      <c r="L329" s="907"/>
      <c r="M329" s="907"/>
      <c r="N329" s="907"/>
      <c r="O329" s="907"/>
      <c r="P329" s="907"/>
      <c r="Q329" s="907"/>
      <c r="R329" s="907"/>
      <c r="S329" s="907"/>
      <c r="T329" s="907"/>
      <c r="U329" s="907"/>
      <c r="V329" s="907"/>
      <c r="W329" s="907"/>
      <c r="X329" s="907"/>
      <c r="Y329" s="907"/>
      <c r="Z329" s="907"/>
      <c r="AA329" s="907"/>
      <c r="AB329" s="907"/>
      <c r="AC329" s="907"/>
    </row>
    <row r="330" spans="1:29">
      <c r="A330" s="907"/>
      <c r="B330" s="907"/>
      <c r="C330" s="907"/>
      <c r="D330" s="907"/>
      <c r="E330" s="907"/>
      <c r="F330" s="907"/>
      <c r="G330" s="907"/>
      <c r="H330" s="907"/>
      <c r="I330" s="907"/>
      <c r="J330" s="907"/>
      <c r="K330" s="907"/>
      <c r="L330" s="907"/>
      <c r="M330" s="907"/>
      <c r="N330" s="907"/>
      <c r="O330" s="907"/>
      <c r="P330" s="907"/>
      <c r="Q330" s="907"/>
      <c r="R330" s="907"/>
      <c r="S330" s="907"/>
      <c r="T330" s="907"/>
      <c r="U330" s="907"/>
      <c r="V330" s="907"/>
      <c r="W330" s="907"/>
      <c r="X330" s="907"/>
      <c r="Y330" s="907"/>
      <c r="Z330" s="907"/>
      <c r="AA330" s="907"/>
      <c r="AB330" s="907"/>
      <c r="AC330" s="907"/>
    </row>
    <row r="331" spans="1:29">
      <c r="A331" s="907"/>
      <c r="B331" s="907"/>
      <c r="C331" s="907"/>
      <c r="D331" s="907"/>
      <c r="E331" s="907"/>
      <c r="F331" s="907"/>
      <c r="G331" s="907"/>
      <c r="H331" s="907"/>
      <c r="I331" s="907"/>
      <c r="J331" s="907"/>
      <c r="K331" s="907"/>
      <c r="L331" s="907"/>
      <c r="M331" s="907"/>
      <c r="N331" s="907"/>
      <c r="O331" s="907"/>
      <c r="P331" s="907"/>
      <c r="Q331" s="907"/>
      <c r="R331" s="907"/>
      <c r="S331" s="907"/>
      <c r="T331" s="907"/>
      <c r="U331" s="907"/>
      <c r="V331" s="907"/>
      <c r="W331" s="907"/>
      <c r="X331" s="907"/>
      <c r="Y331" s="907"/>
      <c r="Z331" s="907"/>
      <c r="AA331" s="907"/>
      <c r="AB331" s="907"/>
      <c r="AC331" s="907"/>
    </row>
    <row r="332" spans="1:29">
      <c r="A332" s="907"/>
      <c r="B332" s="907"/>
      <c r="C332" s="907"/>
      <c r="D332" s="907"/>
      <c r="E332" s="907"/>
      <c r="F332" s="907"/>
      <c r="G332" s="907"/>
      <c r="H332" s="907"/>
      <c r="I332" s="907"/>
      <c r="J332" s="907"/>
      <c r="K332" s="907"/>
      <c r="L332" s="907"/>
      <c r="M332" s="907"/>
      <c r="N332" s="907"/>
      <c r="O332" s="907"/>
      <c r="P332" s="907"/>
      <c r="Q332" s="907"/>
      <c r="R332" s="907"/>
      <c r="S332" s="907"/>
      <c r="T332" s="907"/>
      <c r="U332" s="907"/>
      <c r="V332" s="907"/>
      <c r="W332" s="907"/>
      <c r="X332" s="907"/>
      <c r="Y332" s="907"/>
      <c r="Z332" s="907"/>
      <c r="AA332" s="907"/>
      <c r="AB332" s="907"/>
      <c r="AC332" s="907"/>
    </row>
    <row r="333" spans="1:29">
      <c r="A333" s="907"/>
      <c r="B333" s="907"/>
      <c r="C333" s="907"/>
      <c r="D333" s="907"/>
      <c r="E333" s="907"/>
      <c r="F333" s="907"/>
      <c r="G333" s="907"/>
      <c r="H333" s="907"/>
      <c r="I333" s="907"/>
      <c r="J333" s="907"/>
      <c r="K333" s="907"/>
      <c r="L333" s="907"/>
      <c r="M333" s="907"/>
      <c r="N333" s="907"/>
      <c r="O333" s="907"/>
      <c r="P333" s="907"/>
      <c r="Q333" s="907"/>
      <c r="R333" s="907"/>
      <c r="S333" s="907"/>
      <c r="T333" s="907"/>
      <c r="U333" s="907"/>
      <c r="V333" s="907"/>
      <c r="W333" s="907"/>
      <c r="X333" s="907"/>
      <c r="Y333" s="907"/>
      <c r="Z333" s="907"/>
      <c r="AA333" s="907"/>
      <c r="AB333" s="907"/>
      <c r="AC333" s="907"/>
    </row>
    <row r="334" spans="1:29">
      <c r="A334" s="907"/>
      <c r="B334" s="907"/>
      <c r="C334" s="907"/>
      <c r="D334" s="907"/>
      <c r="E334" s="907"/>
      <c r="F334" s="907"/>
      <c r="G334" s="907"/>
      <c r="H334" s="907"/>
      <c r="I334" s="907"/>
      <c r="J334" s="907"/>
      <c r="K334" s="907"/>
      <c r="L334" s="907"/>
      <c r="M334" s="907"/>
      <c r="N334" s="907"/>
      <c r="O334" s="907"/>
      <c r="P334" s="907"/>
      <c r="Q334" s="907"/>
      <c r="R334" s="907"/>
      <c r="S334" s="907"/>
      <c r="T334" s="907"/>
      <c r="U334" s="907"/>
      <c r="V334" s="907"/>
      <c r="W334" s="907"/>
      <c r="X334" s="907"/>
      <c r="Y334" s="907"/>
      <c r="Z334" s="907"/>
      <c r="AA334" s="907"/>
      <c r="AB334" s="907"/>
      <c r="AC334" s="907"/>
    </row>
    <row r="335" spans="1:29">
      <c r="A335" s="907"/>
      <c r="B335" s="907"/>
      <c r="C335" s="907"/>
      <c r="D335" s="907"/>
      <c r="E335" s="907"/>
      <c r="F335" s="907"/>
      <c r="G335" s="907"/>
      <c r="H335" s="907"/>
      <c r="I335" s="907"/>
      <c r="J335" s="907"/>
      <c r="K335" s="907"/>
      <c r="L335" s="907"/>
      <c r="M335" s="907"/>
      <c r="N335" s="907"/>
      <c r="O335" s="907"/>
      <c r="P335" s="907"/>
      <c r="Q335" s="907"/>
      <c r="R335" s="907"/>
      <c r="S335" s="907"/>
      <c r="T335" s="907"/>
      <c r="U335" s="907"/>
      <c r="V335" s="907"/>
      <c r="W335" s="907"/>
      <c r="X335" s="907"/>
      <c r="Y335" s="907"/>
      <c r="Z335" s="907"/>
      <c r="AA335" s="907"/>
      <c r="AB335" s="907"/>
      <c r="AC335" s="907"/>
    </row>
    <row r="336" spans="1:29">
      <c r="A336" s="907"/>
      <c r="B336" s="907"/>
      <c r="C336" s="907"/>
      <c r="D336" s="907"/>
      <c r="E336" s="907"/>
      <c r="F336" s="907"/>
      <c r="G336" s="907"/>
      <c r="H336" s="907"/>
      <c r="I336" s="907"/>
      <c r="J336" s="907"/>
      <c r="K336" s="907"/>
      <c r="L336" s="907"/>
      <c r="M336" s="907"/>
      <c r="N336" s="907"/>
      <c r="O336" s="907"/>
      <c r="P336" s="907"/>
      <c r="Q336" s="907"/>
      <c r="R336" s="907"/>
      <c r="S336" s="907"/>
      <c r="T336" s="907"/>
      <c r="U336" s="907"/>
      <c r="V336" s="907"/>
      <c r="W336" s="907"/>
      <c r="X336" s="907"/>
      <c r="Y336" s="907"/>
      <c r="Z336" s="907"/>
      <c r="AA336" s="907"/>
      <c r="AB336" s="907"/>
      <c r="AC336" s="907"/>
    </row>
    <row r="337" spans="1:29">
      <c r="A337" s="907"/>
      <c r="B337" s="907"/>
      <c r="C337" s="907"/>
      <c r="D337" s="907"/>
      <c r="E337" s="907"/>
      <c r="F337" s="907"/>
      <c r="G337" s="907"/>
      <c r="H337" s="907"/>
      <c r="I337" s="907"/>
      <c r="J337" s="907"/>
      <c r="K337" s="907"/>
      <c r="L337" s="907"/>
      <c r="M337" s="907"/>
      <c r="N337" s="907"/>
      <c r="O337" s="907"/>
      <c r="P337" s="907"/>
      <c r="Q337" s="907"/>
      <c r="R337" s="907"/>
      <c r="S337" s="907"/>
      <c r="T337" s="907"/>
      <c r="U337" s="907"/>
      <c r="V337" s="907"/>
      <c r="W337" s="907"/>
      <c r="X337" s="907"/>
      <c r="Y337" s="907"/>
      <c r="Z337" s="907"/>
      <c r="AA337" s="907"/>
      <c r="AB337" s="907"/>
      <c r="AC337" s="907"/>
    </row>
    <row r="338" spans="1:29">
      <c r="A338" s="907"/>
      <c r="B338" s="907"/>
      <c r="C338" s="907"/>
      <c r="D338" s="907"/>
      <c r="E338" s="907"/>
      <c r="F338" s="907"/>
      <c r="G338" s="907"/>
      <c r="H338" s="907"/>
      <c r="I338" s="907"/>
      <c r="J338" s="907"/>
      <c r="K338" s="907"/>
      <c r="L338" s="907"/>
      <c r="M338" s="907"/>
      <c r="N338" s="907"/>
      <c r="O338" s="907"/>
      <c r="P338" s="907"/>
      <c r="Q338" s="907"/>
      <c r="R338" s="907"/>
      <c r="S338" s="907"/>
      <c r="T338" s="907"/>
      <c r="U338" s="907"/>
      <c r="V338" s="907"/>
      <c r="W338" s="907"/>
      <c r="X338" s="907"/>
      <c r="Y338" s="907"/>
      <c r="Z338" s="907"/>
      <c r="AA338" s="907"/>
      <c r="AB338" s="907"/>
      <c r="AC338" s="907"/>
    </row>
    <row r="339" spans="1:29">
      <c r="A339" s="907"/>
      <c r="B339" s="907"/>
      <c r="C339" s="907"/>
      <c r="D339" s="907"/>
      <c r="E339" s="907"/>
      <c r="F339" s="907"/>
      <c r="G339" s="907"/>
      <c r="H339" s="907"/>
      <c r="I339" s="907"/>
      <c r="J339" s="907"/>
      <c r="K339" s="907"/>
      <c r="L339" s="907"/>
      <c r="M339" s="907"/>
      <c r="N339" s="907"/>
      <c r="O339" s="907"/>
      <c r="P339" s="907"/>
      <c r="Q339" s="907"/>
      <c r="R339" s="907"/>
      <c r="S339" s="907"/>
      <c r="T339" s="907"/>
      <c r="U339" s="907"/>
      <c r="V339" s="907"/>
      <c r="W339" s="907"/>
      <c r="X339" s="907"/>
      <c r="Y339" s="907"/>
      <c r="Z339" s="907"/>
      <c r="AA339" s="907"/>
      <c r="AB339" s="907"/>
      <c r="AC339" s="907"/>
    </row>
    <row r="340" spans="1:29">
      <c r="A340" s="907"/>
      <c r="B340" s="907"/>
      <c r="C340" s="907"/>
      <c r="D340" s="907"/>
      <c r="E340" s="907"/>
      <c r="F340" s="907"/>
      <c r="G340" s="907"/>
      <c r="H340" s="907"/>
      <c r="I340" s="907"/>
      <c r="J340" s="907"/>
      <c r="K340" s="907"/>
      <c r="L340" s="907"/>
      <c r="M340" s="907"/>
      <c r="N340" s="907"/>
      <c r="O340" s="907"/>
      <c r="P340" s="907"/>
      <c r="Q340" s="907"/>
      <c r="R340" s="907"/>
      <c r="S340" s="907"/>
      <c r="T340" s="907"/>
      <c r="U340" s="907"/>
      <c r="V340" s="907"/>
      <c r="W340" s="907"/>
      <c r="X340" s="907"/>
      <c r="Y340" s="907"/>
      <c r="Z340" s="907"/>
      <c r="AA340" s="907"/>
      <c r="AB340" s="907"/>
      <c r="AC340" s="907"/>
    </row>
    <row r="341" spans="1:29">
      <c r="A341" s="907"/>
      <c r="B341" s="907"/>
      <c r="C341" s="907"/>
      <c r="D341" s="907"/>
      <c r="E341" s="907"/>
      <c r="F341" s="907"/>
      <c r="G341" s="907"/>
      <c r="H341" s="907"/>
      <c r="I341" s="907"/>
      <c r="J341" s="907"/>
      <c r="K341" s="907"/>
      <c r="L341" s="907"/>
      <c r="M341" s="907"/>
      <c r="N341" s="907"/>
      <c r="O341" s="907"/>
      <c r="P341" s="907"/>
      <c r="Q341" s="907"/>
      <c r="R341" s="907"/>
      <c r="S341" s="907"/>
      <c r="T341" s="907"/>
      <c r="U341" s="907"/>
      <c r="V341" s="907"/>
      <c r="W341" s="907"/>
      <c r="X341" s="907"/>
      <c r="Y341" s="907"/>
      <c r="Z341" s="907"/>
      <c r="AA341" s="907"/>
      <c r="AB341" s="907"/>
      <c r="AC341" s="907"/>
    </row>
    <row r="342" spans="1:29">
      <c r="A342" s="907"/>
      <c r="B342" s="907"/>
      <c r="C342" s="907"/>
      <c r="D342" s="907"/>
      <c r="E342" s="907"/>
      <c r="F342" s="907"/>
      <c r="G342" s="907"/>
      <c r="H342" s="907"/>
      <c r="I342" s="907"/>
      <c r="J342" s="907"/>
      <c r="K342" s="907"/>
      <c r="L342" s="907"/>
      <c r="M342" s="907"/>
      <c r="N342" s="907"/>
      <c r="O342" s="907"/>
      <c r="P342" s="907"/>
      <c r="Q342" s="907"/>
      <c r="R342" s="907"/>
      <c r="S342" s="907"/>
      <c r="T342" s="907"/>
      <c r="U342" s="907"/>
      <c r="V342" s="907"/>
      <c r="W342" s="907"/>
      <c r="X342" s="907"/>
      <c r="Y342" s="907"/>
      <c r="Z342" s="907"/>
      <c r="AA342" s="907"/>
      <c r="AB342" s="907"/>
      <c r="AC342" s="907"/>
    </row>
    <row r="343" spans="1:29">
      <c r="A343" s="907"/>
      <c r="B343" s="907"/>
      <c r="C343" s="907"/>
      <c r="D343" s="907"/>
      <c r="E343" s="907"/>
      <c r="F343" s="907"/>
      <c r="G343" s="907"/>
      <c r="H343" s="907"/>
      <c r="I343" s="907"/>
      <c r="J343" s="907"/>
      <c r="K343" s="907"/>
      <c r="L343" s="907"/>
      <c r="M343" s="907"/>
      <c r="N343" s="907"/>
      <c r="O343" s="907"/>
      <c r="P343" s="907"/>
      <c r="Q343" s="907"/>
      <c r="R343" s="907"/>
      <c r="S343" s="907"/>
      <c r="T343" s="907"/>
      <c r="U343" s="907"/>
      <c r="V343" s="907"/>
      <c r="W343" s="907"/>
      <c r="X343" s="907"/>
      <c r="Y343" s="907"/>
      <c r="Z343" s="907"/>
      <c r="AA343" s="907"/>
      <c r="AB343" s="907"/>
      <c r="AC343" s="907"/>
    </row>
    <row r="344" spans="1:29">
      <c r="A344" s="907"/>
      <c r="B344" s="907"/>
      <c r="C344" s="907"/>
      <c r="D344" s="907"/>
      <c r="E344" s="907"/>
      <c r="F344" s="907"/>
      <c r="G344" s="907"/>
      <c r="H344" s="907"/>
      <c r="I344" s="907"/>
      <c r="J344" s="907"/>
      <c r="K344" s="907"/>
      <c r="L344" s="907"/>
      <c r="M344" s="907"/>
      <c r="N344" s="907"/>
      <c r="O344" s="907"/>
      <c r="P344" s="907"/>
      <c r="Q344" s="907"/>
      <c r="R344" s="907"/>
      <c r="S344" s="907"/>
      <c r="T344" s="907"/>
      <c r="U344" s="907"/>
      <c r="V344" s="907"/>
      <c r="W344" s="907"/>
      <c r="X344" s="907"/>
      <c r="Y344" s="907"/>
      <c r="Z344" s="907"/>
      <c r="AA344" s="907"/>
      <c r="AB344" s="907"/>
      <c r="AC344" s="907"/>
    </row>
    <row r="345" spans="1:29">
      <c r="A345" s="907"/>
      <c r="B345" s="907"/>
      <c r="C345" s="907"/>
      <c r="D345" s="907"/>
      <c r="E345" s="907"/>
      <c r="F345" s="907"/>
      <c r="G345" s="907"/>
      <c r="H345" s="907"/>
      <c r="I345" s="907"/>
      <c r="J345" s="907"/>
      <c r="K345" s="907"/>
      <c r="L345" s="907"/>
      <c r="M345" s="907"/>
      <c r="N345" s="907"/>
      <c r="O345" s="907"/>
      <c r="P345" s="907"/>
      <c r="Q345" s="907"/>
      <c r="R345" s="907"/>
      <c r="S345" s="907"/>
      <c r="T345" s="907"/>
      <c r="U345" s="907"/>
      <c r="V345" s="907"/>
      <c r="W345" s="907"/>
      <c r="X345" s="907"/>
      <c r="Y345" s="907"/>
      <c r="Z345" s="907"/>
      <c r="AA345" s="907"/>
      <c r="AB345" s="907"/>
      <c r="AC345" s="907"/>
    </row>
    <row r="346" spans="1:29">
      <c r="A346" s="907"/>
      <c r="B346" s="907"/>
      <c r="C346" s="907"/>
      <c r="D346" s="907"/>
      <c r="E346" s="907"/>
      <c r="F346" s="907"/>
      <c r="G346" s="907"/>
      <c r="H346" s="907"/>
      <c r="I346" s="907"/>
      <c r="J346" s="907"/>
      <c r="K346" s="907"/>
      <c r="L346" s="907"/>
      <c r="M346" s="907"/>
      <c r="N346" s="907"/>
      <c r="O346" s="907"/>
      <c r="P346" s="907"/>
      <c r="Q346" s="907"/>
      <c r="R346" s="907"/>
      <c r="S346" s="907"/>
      <c r="T346" s="907"/>
      <c r="U346" s="907"/>
      <c r="V346" s="907"/>
      <c r="W346" s="907"/>
      <c r="X346" s="907"/>
      <c r="Y346" s="907"/>
      <c r="Z346" s="907"/>
      <c r="AA346" s="907"/>
      <c r="AB346" s="907"/>
      <c r="AC346" s="907"/>
    </row>
    <row r="347" spans="1:29">
      <c r="A347" s="907"/>
      <c r="B347" s="907"/>
      <c r="C347" s="907"/>
      <c r="D347" s="907"/>
      <c r="E347" s="907"/>
      <c r="F347" s="907"/>
      <c r="G347" s="907"/>
      <c r="H347" s="907"/>
      <c r="I347" s="907"/>
      <c r="J347" s="907"/>
      <c r="K347" s="907"/>
      <c r="L347" s="907"/>
      <c r="M347" s="907"/>
      <c r="N347" s="907"/>
      <c r="O347" s="907"/>
      <c r="P347" s="907"/>
      <c r="Q347" s="907"/>
      <c r="R347" s="907"/>
      <c r="S347" s="907"/>
      <c r="T347" s="907"/>
      <c r="U347" s="907"/>
      <c r="V347" s="907"/>
      <c r="W347" s="907"/>
      <c r="X347" s="907"/>
      <c r="Y347" s="907"/>
      <c r="Z347" s="907"/>
      <c r="AA347" s="907"/>
      <c r="AB347" s="907"/>
      <c r="AC347" s="907"/>
    </row>
    <row r="348" spans="1:29">
      <c r="A348" s="907"/>
      <c r="B348" s="907"/>
      <c r="C348" s="907"/>
      <c r="D348" s="907"/>
      <c r="E348" s="907"/>
      <c r="F348" s="907"/>
      <c r="G348" s="907"/>
      <c r="H348" s="907"/>
      <c r="I348" s="907"/>
      <c r="J348" s="907"/>
      <c r="K348" s="907"/>
      <c r="L348" s="907"/>
      <c r="M348" s="907"/>
      <c r="N348" s="907"/>
      <c r="O348" s="907"/>
      <c r="P348" s="907"/>
      <c r="Q348" s="907"/>
      <c r="R348" s="907"/>
      <c r="S348" s="907"/>
      <c r="T348" s="907"/>
      <c r="U348" s="907"/>
      <c r="V348" s="907"/>
      <c r="W348" s="907"/>
      <c r="X348" s="907"/>
      <c r="Y348" s="907"/>
      <c r="Z348" s="907"/>
      <c r="AA348" s="907"/>
      <c r="AB348" s="907"/>
      <c r="AC348" s="907"/>
    </row>
    <row r="349" spans="1:29">
      <c r="A349" s="907"/>
      <c r="B349" s="907"/>
      <c r="C349" s="907"/>
      <c r="D349" s="907"/>
      <c r="E349" s="907"/>
      <c r="F349" s="907"/>
      <c r="G349" s="907"/>
      <c r="H349" s="907"/>
      <c r="I349" s="907"/>
      <c r="J349" s="907"/>
      <c r="K349" s="907"/>
      <c r="L349" s="907"/>
      <c r="M349" s="907"/>
      <c r="N349" s="907"/>
      <c r="O349" s="907"/>
      <c r="P349" s="907"/>
      <c r="Q349" s="907"/>
      <c r="R349" s="907"/>
      <c r="S349" s="907"/>
      <c r="T349" s="907"/>
      <c r="U349" s="907"/>
      <c r="V349" s="907"/>
      <c r="W349" s="907"/>
      <c r="X349" s="907"/>
      <c r="Y349" s="907"/>
      <c r="Z349" s="907"/>
      <c r="AA349" s="907"/>
      <c r="AB349" s="907"/>
      <c r="AC349" s="907"/>
    </row>
    <row r="350" spans="1:29">
      <c r="A350" s="907"/>
      <c r="B350" s="907"/>
      <c r="C350" s="907"/>
      <c r="D350" s="907"/>
      <c r="E350" s="907"/>
      <c r="F350" s="907"/>
      <c r="G350" s="907"/>
      <c r="H350" s="907"/>
      <c r="I350" s="907"/>
      <c r="J350" s="907"/>
      <c r="K350" s="907"/>
      <c r="L350" s="907"/>
      <c r="M350" s="907"/>
      <c r="N350" s="907"/>
      <c r="O350" s="907"/>
      <c r="P350" s="907"/>
      <c r="Q350" s="907"/>
      <c r="R350" s="907"/>
      <c r="S350" s="907"/>
      <c r="T350" s="907"/>
      <c r="U350" s="907"/>
      <c r="V350" s="907"/>
      <c r="W350" s="907"/>
      <c r="X350" s="907"/>
      <c r="Y350" s="907"/>
      <c r="Z350" s="907"/>
      <c r="AA350" s="907"/>
      <c r="AB350" s="907"/>
      <c r="AC350" s="907"/>
    </row>
    <row r="351" spans="1:29">
      <c r="A351" s="907"/>
      <c r="B351" s="907"/>
      <c r="C351" s="907"/>
      <c r="D351" s="907"/>
      <c r="E351" s="907"/>
      <c r="F351" s="907"/>
      <c r="G351" s="907"/>
      <c r="H351" s="907"/>
      <c r="I351" s="907"/>
      <c r="J351" s="907"/>
      <c r="K351" s="907"/>
      <c r="L351" s="907"/>
      <c r="M351" s="907"/>
      <c r="N351" s="907"/>
      <c r="O351" s="907"/>
      <c r="P351" s="907"/>
      <c r="Q351" s="907"/>
      <c r="R351" s="907"/>
      <c r="S351" s="907"/>
      <c r="T351" s="907"/>
      <c r="U351" s="907"/>
      <c r="V351" s="907"/>
      <c r="W351" s="907"/>
      <c r="X351" s="907"/>
      <c r="Y351" s="907"/>
      <c r="Z351" s="907"/>
      <c r="AA351" s="907"/>
      <c r="AB351" s="907"/>
      <c r="AC351" s="907"/>
    </row>
    <row r="352" spans="1:29">
      <c r="A352" s="907"/>
      <c r="B352" s="907"/>
      <c r="C352" s="907"/>
      <c r="D352" s="907"/>
      <c r="E352" s="907"/>
      <c r="F352" s="907"/>
      <c r="G352" s="907"/>
      <c r="H352" s="907"/>
      <c r="I352" s="907"/>
      <c r="J352" s="907"/>
      <c r="K352" s="907"/>
      <c r="L352" s="907"/>
      <c r="M352" s="907"/>
      <c r="N352" s="907"/>
      <c r="O352" s="907"/>
      <c r="P352" s="907"/>
      <c r="Q352" s="907"/>
      <c r="R352" s="907"/>
      <c r="S352" s="907"/>
      <c r="T352" s="907"/>
      <c r="U352" s="907"/>
      <c r="V352" s="907"/>
      <c r="W352" s="907"/>
      <c r="X352" s="907"/>
      <c r="Y352" s="907"/>
      <c r="Z352" s="907"/>
      <c r="AA352" s="907"/>
      <c r="AB352" s="907"/>
      <c r="AC352" s="907"/>
    </row>
    <row r="353" spans="1:29">
      <c r="A353" s="907"/>
      <c r="B353" s="907"/>
      <c r="C353" s="907"/>
      <c r="D353" s="907"/>
      <c r="E353" s="907"/>
      <c r="F353" s="907"/>
      <c r="G353" s="907"/>
      <c r="H353" s="907"/>
      <c r="I353" s="907"/>
      <c r="J353" s="907"/>
      <c r="K353" s="907"/>
      <c r="L353" s="907"/>
      <c r="M353" s="907"/>
      <c r="N353" s="907"/>
      <c r="O353" s="907"/>
      <c r="P353" s="907"/>
      <c r="Q353" s="907"/>
      <c r="R353" s="907"/>
      <c r="S353" s="907"/>
      <c r="T353" s="907"/>
      <c r="U353" s="907"/>
      <c r="V353" s="907"/>
      <c r="W353" s="907"/>
      <c r="X353" s="907"/>
      <c r="Y353" s="907"/>
      <c r="Z353" s="907"/>
      <c r="AA353" s="907"/>
      <c r="AB353" s="907"/>
      <c r="AC353" s="907"/>
    </row>
    <row r="354" spans="1:29">
      <c r="A354" s="907"/>
      <c r="B354" s="907"/>
      <c r="C354" s="907"/>
      <c r="D354" s="907"/>
      <c r="E354" s="907"/>
      <c r="F354" s="907"/>
      <c r="G354" s="907"/>
      <c r="H354" s="907"/>
      <c r="I354" s="907"/>
      <c r="J354" s="907"/>
      <c r="K354" s="907"/>
      <c r="L354" s="907"/>
      <c r="M354" s="907"/>
      <c r="N354" s="907"/>
      <c r="O354" s="907"/>
      <c r="P354" s="907"/>
      <c r="Q354" s="907"/>
      <c r="R354" s="907"/>
      <c r="S354" s="907"/>
      <c r="T354" s="907"/>
      <c r="U354" s="907"/>
      <c r="V354" s="907"/>
      <c r="W354" s="907"/>
      <c r="X354" s="907"/>
      <c r="Y354" s="907"/>
      <c r="Z354" s="907"/>
      <c r="AA354" s="907"/>
      <c r="AB354" s="907"/>
      <c r="AC354" s="907"/>
    </row>
    <row r="355" spans="1:29">
      <c r="A355" s="907"/>
      <c r="B355" s="907"/>
      <c r="C355" s="907"/>
      <c r="D355" s="907"/>
      <c r="E355" s="907"/>
      <c r="F355" s="907"/>
      <c r="G355" s="907"/>
      <c r="H355" s="907"/>
      <c r="I355" s="907"/>
      <c r="J355" s="907"/>
      <c r="K355" s="907"/>
      <c r="L355" s="907"/>
      <c r="M355" s="907"/>
      <c r="N355" s="907"/>
      <c r="O355" s="907"/>
      <c r="P355" s="907"/>
      <c r="Q355" s="907"/>
      <c r="R355" s="907"/>
      <c r="S355" s="907"/>
      <c r="T355" s="907"/>
      <c r="U355" s="907"/>
      <c r="V355" s="907"/>
      <c r="W355" s="907"/>
      <c r="X355" s="907"/>
      <c r="Y355" s="907"/>
      <c r="Z355" s="907"/>
      <c r="AA355" s="907"/>
      <c r="AB355" s="907"/>
      <c r="AC355" s="907"/>
    </row>
    <row r="356" spans="1:29">
      <c r="A356" s="907"/>
      <c r="B356" s="907"/>
      <c r="C356" s="907"/>
      <c r="D356" s="907"/>
      <c r="E356" s="907"/>
      <c r="F356" s="907"/>
      <c r="G356" s="907"/>
      <c r="H356" s="907"/>
      <c r="I356" s="907"/>
      <c r="J356" s="907"/>
      <c r="K356" s="907"/>
      <c r="L356" s="907"/>
      <c r="M356" s="907"/>
      <c r="N356" s="907"/>
      <c r="O356" s="907"/>
      <c r="P356" s="907"/>
      <c r="Q356" s="907"/>
      <c r="R356" s="907"/>
      <c r="S356" s="907"/>
      <c r="T356" s="907"/>
      <c r="U356" s="907"/>
      <c r="V356" s="907"/>
      <c r="W356" s="907"/>
      <c r="X356" s="907"/>
      <c r="Y356" s="907"/>
      <c r="Z356" s="907"/>
      <c r="AA356" s="907"/>
      <c r="AB356" s="907"/>
      <c r="AC356" s="907"/>
    </row>
    <row r="357" spans="1:29">
      <c r="A357" s="907"/>
      <c r="B357" s="907"/>
      <c r="C357" s="907"/>
      <c r="D357" s="907"/>
      <c r="E357" s="907"/>
      <c r="F357" s="907"/>
      <c r="G357" s="907"/>
      <c r="H357" s="907"/>
      <c r="I357" s="907"/>
      <c r="J357" s="907"/>
      <c r="K357" s="907"/>
      <c r="L357" s="907"/>
      <c r="M357" s="907"/>
      <c r="N357" s="907"/>
      <c r="O357" s="907"/>
      <c r="P357" s="907"/>
      <c r="Q357" s="907"/>
      <c r="R357" s="907"/>
      <c r="S357" s="907"/>
      <c r="T357" s="907"/>
      <c r="U357" s="907"/>
      <c r="V357" s="907"/>
      <c r="W357" s="907"/>
      <c r="X357" s="907"/>
      <c r="Y357" s="907"/>
      <c r="Z357" s="907"/>
      <c r="AA357" s="907"/>
      <c r="AB357" s="907"/>
      <c r="AC357" s="907"/>
    </row>
    <row r="358" spans="1:29">
      <c r="A358" s="907"/>
      <c r="B358" s="907"/>
      <c r="C358" s="907"/>
      <c r="D358" s="907"/>
      <c r="E358" s="907"/>
      <c r="F358" s="907"/>
      <c r="G358" s="907"/>
      <c r="H358" s="907"/>
      <c r="I358" s="907"/>
      <c r="J358" s="907"/>
      <c r="K358" s="907"/>
      <c r="L358" s="907"/>
      <c r="M358" s="907"/>
      <c r="N358" s="907"/>
      <c r="O358" s="907"/>
      <c r="P358" s="907"/>
      <c r="Q358" s="907"/>
      <c r="R358" s="907"/>
      <c r="S358" s="907"/>
      <c r="T358" s="907"/>
      <c r="U358" s="907"/>
      <c r="V358" s="907"/>
      <c r="W358" s="907"/>
      <c r="X358" s="907"/>
      <c r="Y358" s="907"/>
      <c r="Z358" s="907"/>
      <c r="AA358" s="907"/>
      <c r="AB358" s="907"/>
      <c r="AC358" s="907"/>
    </row>
    <row r="359" spans="1:29">
      <c r="A359" s="907"/>
      <c r="B359" s="907"/>
      <c r="C359" s="907"/>
      <c r="D359" s="907"/>
      <c r="E359" s="907"/>
      <c r="F359" s="907"/>
      <c r="G359" s="907"/>
      <c r="H359" s="907"/>
      <c r="I359" s="907"/>
      <c r="J359" s="907"/>
      <c r="K359" s="907"/>
      <c r="L359" s="907"/>
      <c r="M359" s="907"/>
      <c r="N359" s="907"/>
      <c r="O359" s="907"/>
      <c r="P359" s="907"/>
      <c r="Q359" s="907"/>
      <c r="R359" s="907"/>
      <c r="S359" s="907"/>
      <c r="T359" s="907"/>
      <c r="U359" s="907"/>
      <c r="V359" s="907"/>
      <c r="W359" s="907"/>
      <c r="X359" s="907"/>
      <c r="Y359" s="907"/>
      <c r="Z359" s="907"/>
      <c r="AA359" s="907"/>
      <c r="AB359" s="907"/>
      <c r="AC359" s="907"/>
    </row>
    <row r="360" spans="1:29">
      <c r="A360" s="907"/>
      <c r="B360" s="907"/>
      <c r="C360" s="907"/>
      <c r="D360" s="907"/>
      <c r="E360" s="907"/>
      <c r="F360" s="907"/>
      <c r="G360" s="907"/>
      <c r="H360" s="907"/>
      <c r="I360" s="907"/>
      <c r="J360" s="907"/>
      <c r="K360" s="907"/>
      <c r="L360" s="907"/>
      <c r="M360" s="907"/>
      <c r="N360" s="907"/>
      <c r="O360" s="907"/>
      <c r="P360" s="907"/>
      <c r="Q360" s="907"/>
      <c r="R360" s="907"/>
      <c r="S360" s="907"/>
      <c r="T360" s="907"/>
      <c r="U360" s="907"/>
      <c r="V360" s="907"/>
      <c r="W360" s="907"/>
      <c r="X360" s="907"/>
      <c r="Y360" s="907"/>
      <c r="Z360" s="907"/>
      <c r="AA360" s="907"/>
      <c r="AB360" s="907"/>
      <c r="AC360" s="907"/>
    </row>
    <row r="361" spans="1:29">
      <c r="A361" s="907"/>
      <c r="B361" s="907"/>
      <c r="C361" s="907"/>
      <c r="D361" s="907"/>
      <c r="E361" s="907"/>
      <c r="F361" s="907"/>
      <c r="G361" s="907"/>
      <c r="H361" s="907"/>
      <c r="I361" s="907"/>
      <c r="J361" s="907"/>
      <c r="K361" s="907"/>
      <c r="L361" s="907"/>
      <c r="M361" s="907"/>
      <c r="N361" s="907"/>
      <c r="O361" s="907"/>
      <c r="P361" s="907"/>
      <c r="Q361" s="907"/>
      <c r="R361" s="907"/>
      <c r="S361" s="907"/>
      <c r="T361" s="907"/>
      <c r="U361" s="907"/>
      <c r="V361" s="907"/>
      <c r="W361" s="907"/>
      <c r="X361" s="907"/>
      <c r="Y361" s="907"/>
      <c r="Z361" s="907"/>
      <c r="AA361" s="907"/>
      <c r="AB361" s="907"/>
      <c r="AC361" s="907"/>
    </row>
    <row r="362" spans="1:29">
      <c r="A362" s="907"/>
      <c r="B362" s="907"/>
      <c r="C362" s="907"/>
      <c r="D362" s="907"/>
      <c r="E362" s="907"/>
      <c r="F362" s="907"/>
      <c r="G362" s="907"/>
      <c r="H362" s="907"/>
      <c r="I362" s="907"/>
      <c r="J362" s="907"/>
      <c r="K362" s="907"/>
      <c r="L362" s="907"/>
      <c r="M362" s="907"/>
      <c r="N362" s="907"/>
      <c r="O362" s="907"/>
      <c r="P362" s="907"/>
      <c r="Q362" s="907"/>
      <c r="R362" s="907"/>
      <c r="S362" s="907"/>
      <c r="T362" s="907"/>
      <c r="U362" s="907"/>
      <c r="V362" s="907"/>
      <c r="W362" s="907"/>
      <c r="X362" s="907"/>
      <c r="Y362" s="907"/>
      <c r="Z362" s="907"/>
      <c r="AA362" s="907"/>
      <c r="AB362" s="907"/>
      <c r="AC362" s="907"/>
    </row>
    <row r="363" spans="1:29">
      <c r="A363" s="907"/>
      <c r="B363" s="907"/>
      <c r="C363" s="907"/>
      <c r="D363" s="907"/>
      <c r="E363" s="907"/>
      <c r="F363" s="907"/>
      <c r="G363" s="907"/>
      <c r="H363" s="907"/>
      <c r="I363" s="907"/>
      <c r="J363" s="907"/>
      <c r="K363" s="907"/>
      <c r="L363" s="907"/>
      <c r="M363" s="907"/>
      <c r="N363" s="907"/>
      <c r="O363" s="907"/>
      <c r="P363" s="907"/>
      <c r="Q363" s="907"/>
      <c r="R363" s="907"/>
      <c r="S363" s="907"/>
      <c r="T363" s="907"/>
      <c r="U363" s="907"/>
      <c r="V363" s="907"/>
      <c r="W363" s="907"/>
      <c r="X363" s="907"/>
      <c r="Y363" s="907"/>
      <c r="Z363" s="907"/>
      <c r="AA363" s="907"/>
      <c r="AB363" s="907"/>
      <c r="AC363" s="907"/>
    </row>
    <row r="364" spans="1:29">
      <c r="A364" s="907"/>
      <c r="B364" s="907"/>
      <c r="C364" s="907"/>
      <c r="D364" s="907"/>
      <c r="E364" s="907"/>
      <c r="F364" s="907"/>
      <c r="G364" s="907"/>
      <c r="H364" s="907"/>
      <c r="I364" s="907"/>
      <c r="J364" s="907"/>
      <c r="K364" s="907"/>
      <c r="L364" s="907"/>
      <c r="M364" s="907"/>
      <c r="N364" s="907"/>
      <c r="O364" s="907"/>
      <c r="P364" s="907"/>
      <c r="Q364" s="907"/>
      <c r="R364" s="907"/>
      <c r="S364" s="907"/>
      <c r="T364" s="907"/>
      <c r="U364" s="907"/>
      <c r="V364" s="907"/>
      <c r="W364" s="907"/>
      <c r="X364" s="907"/>
      <c r="Y364" s="907"/>
      <c r="Z364" s="907"/>
      <c r="AA364" s="907"/>
      <c r="AB364" s="907"/>
      <c r="AC364" s="907"/>
    </row>
    <row r="365" spans="1:29">
      <c r="A365" s="907"/>
      <c r="B365" s="907"/>
      <c r="C365" s="907"/>
      <c r="D365" s="907"/>
      <c r="E365" s="907"/>
      <c r="F365" s="907"/>
      <c r="G365" s="907"/>
      <c r="H365" s="907"/>
      <c r="I365" s="907"/>
      <c r="J365" s="907"/>
      <c r="K365" s="907"/>
      <c r="L365" s="907"/>
      <c r="M365" s="907"/>
      <c r="N365" s="907"/>
      <c r="O365" s="907"/>
      <c r="P365" s="907"/>
      <c r="Q365" s="907"/>
      <c r="R365" s="907"/>
      <c r="S365" s="907"/>
      <c r="T365" s="907"/>
      <c r="U365" s="907"/>
      <c r="V365" s="907"/>
      <c r="W365" s="907"/>
      <c r="X365" s="907"/>
      <c r="Y365" s="907"/>
      <c r="Z365" s="907"/>
      <c r="AA365" s="907"/>
      <c r="AB365" s="907"/>
      <c r="AC365" s="907"/>
    </row>
    <row r="366" spans="1:29">
      <c r="A366" s="907"/>
      <c r="B366" s="907"/>
      <c r="C366" s="907"/>
      <c r="D366" s="907"/>
      <c r="E366" s="907"/>
      <c r="F366" s="907"/>
      <c r="G366" s="907"/>
      <c r="H366" s="907"/>
      <c r="I366" s="907"/>
      <c r="J366" s="907"/>
      <c r="K366" s="907"/>
      <c r="L366" s="907"/>
      <c r="M366" s="907"/>
      <c r="N366" s="907"/>
      <c r="O366" s="907"/>
      <c r="P366" s="907"/>
      <c r="Q366" s="907"/>
      <c r="R366" s="907"/>
      <c r="S366" s="907"/>
      <c r="T366" s="907"/>
      <c r="U366" s="907"/>
      <c r="V366" s="907"/>
      <c r="W366" s="907"/>
      <c r="X366" s="907"/>
      <c r="Y366" s="907"/>
      <c r="Z366" s="907"/>
      <c r="AA366" s="907"/>
      <c r="AB366" s="907"/>
      <c r="AC366" s="907"/>
    </row>
    <row r="367" spans="1:29">
      <c r="A367" s="907"/>
      <c r="B367" s="907"/>
      <c r="C367" s="907"/>
      <c r="D367" s="907"/>
      <c r="E367" s="907"/>
      <c r="F367" s="907"/>
      <c r="G367" s="907"/>
      <c r="H367" s="907"/>
      <c r="I367" s="907"/>
      <c r="J367" s="907"/>
      <c r="K367" s="907"/>
      <c r="L367" s="907"/>
      <c r="M367" s="907"/>
      <c r="N367" s="907"/>
      <c r="O367" s="907"/>
      <c r="P367" s="907"/>
      <c r="Q367" s="907"/>
      <c r="R367" s="907"/>
      <c r="S367" s="907"/>
      <c r="T367" s="907"/>
      <c r="U367" s="907"/>
      <c r="V367" s="907"/>
      <c r="W367" s="907"/>
      <c r="X367" s="907"/>
      <c r="Y367" s="907"/>
      <c r="Z367" s="907"/>
      <c r="AA367" s="907"/>
      <c r="AB367" s="907"/>
      <c r="AC367" s="907"/>
    </row>
    <row r="368" spans="1:29">
      <c r="A368" s="907"/>
      <c r="B368" s="907"/>
      <c r="C368" s="907"/>
      <c r="D368" s="907"/>
      <c r="E368" s="907"/>
      <c r="F368" s="907"/>
      <c r="G368" s="907"/>
      <c r="H368" s="907"/>
      <c r="I368" s="907"/>
      <c r="J368" s="907"/>
      <c r="K368" s="907"/>
      <c r="L368" s="907"/>
      <c r="M368" s="907"/>
      <c r="N368" s="907"/>
      <c r="O368" s="907"/>
      <c r="P368" s="907"/>
      <c r="Q368" s="907"/>
      <c r="R368" s="907"/>
      <c r="S368" s="907"/>
      <c r="T368" s="907"/>
      <c r="U368" s="907"/>
      <c r="V368" s="907"/>
      <c r="W368" s="907"/>
      <c r="X368" s="907"/>
      <c r="Y368" s="907"/>
      <c r="Z368" s="907"/>
      <c r="AA368" s="907"/>
      <c r="AB368" s="907"/>
      <c r="AC368" s="907"/>
    </row>
    <row r="369" spans="1:29">
      <c r="A369" s="907"/>
      <c r="B369" s="907"/>
      <c r="C369" s="907"/>
      <c r="D369" s="907"/>
      <c r="E369" s="907"/>
      <c r="F369" s="907"/>
      <c r="G369" s="907"/>
      <c r="H369" s="907"/>
      <c r="I369" s="907"/>
      <c r="J369" s="907"/>
      <c r="K369" s="907"/>
      <c r="L369" s="907"/>
      <c r="M369" s="907"/>
      <c r="N369" s="907"/>
      <c r="O369" s="907"/>
      <c r="P369" s="907"/>
      <c r="Q369" s="907"/>
      <c r="R369" s="907"/>
      <c r="S369" s="907"/>
      <c r="T369" s="907"/>
      <c r="U369" s="907"/>
      <c r="V369" s="907"/>
      <c r="W369" s="907"/>
      <c r="X369" s="907"/>
      <c r="Y369" s="907"/>
      <c r="Z369" s="907"/>
      <c r="AA369" s="907"/>
      <c r="AB369" s="907"/>
      <c r="AC369" s="907"/>
    </row>
    <row r="370" spans="1:29">
      <c r="A370" s="907"/>
      <c r="B370" s="907"/>
      <c r="C370" s="907"/>
      <c r="D370" s="907"/>
      <c r="E370" s="907"/>
      <c r="F370" s="907"/>
      <c r="G370" s="907"/>
      <c r="H370" s="907"/>
      <c r="I370" s="907"/>
      <c r="J370" s="907"/>
      <c r="K370" s="907"/>
      <c r="L370" s="907"/>
      <c r="M370" s="907"/>
      <c r="N370" s="907"/>
      <c r="O370" s="907"/>
      <c r="P370" s="907"/>
      <c r="Q370" s="907"/>
      <c r="R370" s="907"/>
      <c r="S370" s="907"/>
      <c r="T370" s="907"/>
      <c r="U370" s="907"/>
      <c r="V370" s="907"/>
      <c r="W370" s="907"/>
      <c r="X370" s="907"/>
      <c r="Y370" s="907"/>
      <c r="Z370" s="907"/>
      <c r="AA370" s="907"/>
      <c r="AB370" s="907"/>
      <c r="AC370" s="907"/>
    </row>
    <row r="371" spans="1:29">
      <c r="A371" s="907"/>
      <c r="B371" s="907"/>
      <c r="C371" s="907"/>
      <c r="D371" s="907"/>
      <c r="E371" s="907"/>
      <c r="F371" s="907"/>
      <c r="G371" s="907"/>
      <c r="H371" s="907"/>
      <c r="I371" s="907"/>
      <c r="J371" s="907"/>
      <c r="K371" s="907"/>
      <c r="L371" s="907"/>
      <c r="M371" s="907"/>
      <c r="N371" s="907"/>
      <c r="O371" s="907"/>
      <c r="P371" s="907"/>
      <c r="Q371" s="907"/>
      <c r="R371" s="907"/>
      <c r="S371" s="907"/>
      <c r="T371" s="907"/>
      <c r="U371" s="907"/>
      <c r="V371" s="907"/>
      <c r="W371" s="907"/>
      <c r="X371" s="907"/>
      <c r="Y371" s="907"/>
      <c r="Z371" s="907"/>
      <c r="AA371" s="907"/>
      <c r="AB371" s="907"/>
      <c r="AC371" s="907"/>
    </row>
    <row r="372" spans="1:29">
      <c r="A372" s="907"/>
      <c r="B372" s="907"/>
      <c r="C372" s="907"/>
      <c r="D372" s="907"/>
      <c r="E372" s="907"/>
      <c r="F372" s="907"/>
      <c r="G372" s="907"/>
      <c r="H372" s="907"/>
      <c r="I372" s="907"/>
      <c r="J372" s="907"/>
      <c r="K372" s="907"/>
      <c r="L372" s="907"/>
      <c r="M372" s="907"/>
      <c r="N372" s="907"/>
      <c r="O372" s="907"/>
      <c r="P372" s="907"/>
      <c r="Q372" s="907"/>
      <c r="R372" s="907"/>
      <c r="S372" s="907"/>
      <c r="T372" s="907"/>
      <c r="U372" s="907"/>
      <c r="V372" s="907"/>
      <c r="W372" s="907"/>
      <c r="X372" s="907"/>
      <c r="Y372" s="907"/>
      <c r="Z372" s="907"/>
      <c r="AA372" s="907"/>
      <c r="AB372" s="907"/>
      <c r="AC372" s="907"/>
    </row>
    <row r="373" spans="1:29">
      <c r="A373" s="907"/>
      <c r="B373" s="907"/>
      <c r="C373" s="907"/>
      <c r="D373" s="907"/>
      <c r="E373" s="907"/>
      <c r="F373" s="907"/>
      <c r="G373" s="907"/>
      <c r="H373" s="907"/>
      <c r="I373" s="907"/>
      <c r="J373" s="907"/>
      <c r="K373" s="907"/>
      <c r="L373" s="907"/>
      <c r="M373" s="907"/>
      <c r="N373" s="907"/>
      <c r="O373" s="907"/>
      <c r="P373" s="907"/>
      <c r="Q373" s="907"/>
      <c r="R373" s="907"/>
      <c r="S373" s="907"/>
      <c r="T373" s="907"/>
      <c r="U373" s="907"/>
      <c r="V373" s="907"/>
      <c r="W373" s="907"/>
      <c r="X373" s="907"/>
      <c r="Y373" s="907"/>
      <c r="Z373" s="907"/>
      <c r="AA373" s="907"/>
      <c r="AB373" s="907"/>
      <c r="AC373" s="907"/>
    </row>
    <row r="374" spans="1:29">
      <c r="A374" s="907"/>
      <c r="B374" s="907"/>
      <c r="C374" s="907"/>
      <c r="D374" s="907"/>
      <c r="E374" s="907"/>
      <c r="F374" s="907"/>
      <c r="G374" s="907"/>
      <c r="H374" s="907"/>
      <c r="I374" s="907"/>
      <c r="J374" s="907"/>
      <c r="K374" s="907"/>
      <c r="L374" s="907"/>
      <c r="M374" s="907"/>
      <c r="N374" s="907"/>
      <c r="O374" s="907"/>
      <c r="P374" s="907"/>
      <c r="Q374" s="907"/>
      <c r="R374" s="907"/>
      <c r="S374" s="907"/>
      <c r="T374" s="907"/>
      <c r="U374" s="907"/>
      <c r="V374" s="907"/>
      <c r="W374" s="907"/>
      <c r="X374" s="907"/>
      <c r="Y374" s="907"/>
      <c r="Z374" s="907"/>
      <c r="AA374" s="907"/>
      <c r="AB374" s="907"/>
      <c r="AC374" s="907"/>
    </row>
    <row r="375" spans="1:29">
      <c r="A375" s="907"/>
      <c r="B375" s="907"/>
      <c r="C375" s="907"/>
      <c r="D375" s="907"/>
      <c r="E375" s="907"/>
      <c r="F375" s="907"/>
      <c r="G375" s="907"/>
      <c r="H375" s="907"/>
      <c r="I375" s="907"/>
      <c r="J375" s="907"/>
      <c r="K375" s="907"/>
      <c r="L375" s="907"/>
      <c r="M375" s="907"/>
      <c r="N375" s="907"/>
      <c r="O375" s="907"/>
      <c r="P375" s="907"/>
      <c r="Q375" s="907"/>
      <c r="R375" s="907"/>
      <c r="S375" s="907"/>
      <c r="T375" s="907"/>
      <c r="U375" s="907"/>
      <c r="V375" s="907"/>
      <c r="W375" s="907"/>
      <c r="X375" s="907"/>
      <c r="Y375" s="907"/>
      <c r="Z375" s="907"/>
      <c r="AA375" s="907"/>
      <c r="AB375" s="907"/>
      <c r="AC375" s="907"/>
    </row>
    <row r="376" spans="1:29">
      <c r="A376" s="907"/>
      <c r="B376" s="907"/>
      <c r="C376" s="907"/>
      <c r="D376" s="907"/>
      <c r="E376" s="907"/>
      <c r="F376" s="907"/>
      <c r="G376" s="907"/>
      <c r="H376" s="907"/>
      <c r="I376" s="907"/>
      <c r="J376" s="907"/>
      <c r="K376" s="907"/>
      <c r="L376" s="907"/>
      <c r="M376" s="907"/>
      <c r="N376" s="907"/>
      <c r="O376" s="907"/>
      <c r="P376" s="907"/>
      <c r="Q376" s="907"/>
      <c r="R376" s="907"/>
      <c r="S376" s="907"/>
      <c r="T376" s="907"/>
      <c r="U376" s="907"/>
      <c r="V376" s="907"/>
      <c r="W376" s="907"/>
      <c r="X376" s="907"/>
      <c r="Y376" s="907"/>
      <c r="Z376" s="907"/>
      <c r="AA376" s="907"/>
      <c r="AB376" s="907"/>
      <c r="AC376" s="907"/>
    </row>
    <row r="377" spans="1:29">
      <c r="A377" s="907"/>
      <c r="B377" s="907"/>
      <c r="C377" s="907"/>
      <c r="D377" s="907"/>
      <c r="E377" s="907"/>
      <c r="F377" s="907"/>
      <c r="G377" s="907"/>
      <c r="H377" s="907"/>
      <c r="I377" s="907"/>
      <c r="J377" s="907"/>
      <c r="K377" s="907"/>
      <c r="L377" s="907"/>
      <c r="M377" s="907"/>
      <c r="N377" s="907"/>
      <c r="O377" s="907"/>
      <c r="P377" s="907"/>
      <c r="Q377" s="907"/>
      <c r="R377" s="907"/>
      <c r="S377" s="907"/>
      <c r="T377" s="907"/>
      <c r="U377" s="907"/>
      <c r="V377" s="907"/>
      <c r="W377" s="907"/>
      <c r="X377" s="907"/>
      <c r="Y377" s="907"/>
      <c r="Z377" s="907"/>
      <c r="AA377" s="907"/>
      <c r="AB377" s="907"/>
      <c r="AC377" s="907"/>
    </row>
    <row r="378" spans="1:29">
      <c r="A378" s="907"/>
      <c r="B378" s="907"/>
      <c r="C378" s="907"/>
      <c r="D378" s="907"/>
      <c r="E378" s="907"/>
      <c r="F378" s="907"/>
      <c r="G378" s="907"/>
      <c r="H378" s="907"/>
      <c r="I378" s="907"/>
      <c r="J378" s="907"/>
      <c r="K378" s="907"/>
      <c r="L378" s="907"/>
      <c r="M378" s="907"/>
      <c r="N378" s="907"/>
      <c r="O378" s="907"/>
      <c r="P378" s="907"/>
      <c r="Q378" s="907"/>
      <c r="R378" s="907"/>
      <c r="S378" s="907"/>
      <c r="T378" s="907"/>
      <c r="U378" s="907"/>
      <c r="V378" s="907"/>
      <c r="W378" s="907"/>
      <c r="X378" s="907"/>
      <c r="Y378" s="907"/>
      <c r="Z378" s="907"/>
      <c r="AA378" s="907"/>
      <c r="AB378" s="907"/>
      <c r="AC378" s="907"/>
    </row>
    <row r="379" spans="1:29">
      <c r="A379" s="907"/>
      <c r="B379" s="907"/>
      <c r="C379" s="907"/>
      <c r="D379" s="907"/>
      <c r="E379" s="907"/>
      <c r="F379" s="907"/>
      <c r="G379" s="907"/>
      <c r="H379" s="907"/>
      <c r="I379" s="907"/>
      <c r="J379" s="907"/>
      <c r="K379" s="907"/>
      <c r="L379" s="907"/>
      <c r="M379" s="907"/>
      <c r="N379" s="907"/>
      <c r="O379" s="907"/>
      <c r="P379" s="907"/>
      <c r="Q379" s="907"/>
      <c r="R379" s="907"/>
      <c r="S379" s="907"/>
      <c r="T379" s="907"/>
      <c r="U379" s="907"/>
      <c r="V379" s="907"/>
      <c r="W379" s="907"/>
      <c r="X379" s="907"/>
      <c r="Y379" s="907"/>
      <c r="Z379" s="907"/>
      <c r="AA379" s="907"/>
      <c r="AB379" s="907"/>
      <c r="AC379" s="907"/>
    </row>
    <row r="380" spans="1:29">
      <c r="A380" s="907"/>
      <c r="B380" s="907"/>
      <c r="C380" s="907"/>
      <c r="D380" s="907"/>
      <c r="E380" s="907"/>
      <c r="F380" s="907"/>
      <c r="G380" s="907"/>
      <c r="H380" s="907"/>
      <c r="I380" s="907"/>
      <c r="J380" s="907"/>
      <c r="K380" s="907"/>
      <c r="L380" s="907"/>
      <c r="M380" s="907"/>
      <c r="N380" s="907"/>
      <c r="O380" s="907"/>
      <c r="P380" s="907"/>
      <c r="Q380" s="907"/>
      <c r="R380" s="907"/>
      <c r="S380" s="907"/>
      <c r="T380" s="907"/>
      <c r="U380" s="907"/>
      <c r="V380" s="907"/>
      <c r="W380" s="907"/>
      <c r="X380" s="907"/>
      <c r="Y380" s="907"/>
      <c r="Z380" s="907"/>
      <c r="AA380" s="907"/>
      <c r="AB380" s="907"/>
      <c r="AC380" s="907"/>
    </row>
    <row r="381" spans="1:29">
      <c r="A381" s="907"/>
      <c r="B381" s="907"/>
      <c r="C381" s="907"/>
      <c r="D381" s="907"/>
      <c r="E381" s="907"/>
      <c r="F381" s="907"/>
      <c r="G381" s="907"/>
      <c r="H381" s="907"/>
      <c r="I381" s="907"/>
      <c r="J381" s="907"/>
      <c r="K381" s="907"/>
      <c r="L381" s="907"/>
      <c r="M381" s="907"/>
      <c r="N381" s="907"/>
      <c r="O381" s="907"/>
      <c r="P381" s="907"/>
      <c r="Q381" s="907"/>
      <c r="R381" s="907"/>
      <c r="S381" s="907"/>
      <c r="T381" s="907"/>
      <c r="U381" s="907"/>
      <c r="V381" s="907"/>
      <c r="W381" s="907"/>
      <c r="X381" s="907"/>
      <c r="Y381" s="907"/>
      <c r="Z381" s="907"/>
      <c r="AA381" s="907"/>
      <c r="AB381" s="907"/>
      <c r="AC381" s="907"/>
    </row>
    <row r="382" spans="1:29">
      <c r="A382" s="907"/>
      <c r="B382" s="907"/>
      <c r="C382" s="907"/>
      <c r="D382" s="907"/>
      <c r="E382" s="907"/>
      <c r="F382" s="907"/>
      <c r="G382" s="907"/>
      <c r="H382" s="907"/>
      <c r="I382" s="907"/>
      <c r="J382" s="907"/>
      <c r="K382" s="907"/>
      <c r="L382" s="907"/>
      <c r="M382" s="907"/>
      <c r="N382" s="907"/>
      <c r="O382" s="907"/>
      <c r="P382" s="907"/>
      <c r="Q382" s="907"/>
      <c r="R382" s="907"/>
      <c r="S382" s="907"/>
      <c r="T382" s="907"/>
      <c r="U382" s="907"/>
      <c r="V382" s="907"/>
      <c r="W382" s="907"/>
      <c r="X382" s="907"/>
      <c r="Y382" s="907"/>
      <c r="Z382" s="907"/>
      <c r="AA382" s="907"/>
      <c r="AB382" s="907"/>
      <c r="AC382" s="907"/>
    </row>
    <row r="383" spans="1:29">
      <c r="A383" s="907"/>
      <c r="B383" s="907"/>
      <c r="C383" s="907"/>
      <c r="D383" s="907"/>
      <c r="E383" s="907"/>
      <c r="F383" s="907"/>
      <c r="G383" s="907"/>
      <c r="H383" s="907"/>
      <c r="I383" s="907"/>
      <c r="J383" s="907"/>
      <c r="K383" s="907"/>
      <c r="L383" s="907"/>
      <c r="M383" s="907"/>
      <c r="N383" s="907"/>
      <c r="O383" s="907"/>
      <c r="P383" s="907"/>
      <c r="Q383" s="907"/>
      <c r="R383" s="907"/>
      <c r="S383" s="907"/>
      <c r="T383" s="907"/>
      <c r="U383" s="907"/>
      <c r="V383" s="907"/>
      <c r="W383" s="907"/>
      <c r="X383" s="907"/>
      <c r="Y383" s="907"/>
      <c r="Z383" s="907"/>
      <c r="AA383" s="907"/>
      <c r="AB383" s="907"/>
      <c r="AC383" s="907"/>
    </row>
    <row r="384" spans="1:29">
      <c r="A384" s="907"/>
      <c r="B384" s="907"/>
      <c r="C384" s="907"/>
      <c r="D384" s="907"/>
      <c r="E384" s="907"/>
      <c r="F384" s="907"/>
      <c r="G384" s="907"/>
      <c r="H384" s="907"/>
      <c r="I384" s="907"/>
      <c r="J384" s="907"/>
      <c r="K384" s="907"/>
      <c r="L384" s="907"/>
      <c r="M384" s="907"/>
      <c r="N384" s="907"/>
      <c r="O384" s="907"/>
      <c r="P384" s="907"/>
      <c r="Q384" s="907"/>
      <c r="R384" s="907"/>
      <c r="S384" s="907"/>
      <c r="T384" s="907"/>
      <c r="U384" s="907"/>
      <c r="V384" s="907"/>
      <c r="W384" s="907"/>
      <c r="X384" s="907"/>
      <c r="Y384" s="907"/>
      <c r="Z384" s="907"/>
      <c r="AA384" s="907"/>
      <c r="AB384" s="907"/>
      <c r="AC384" s="907"/>
    </row>
    <row r="385" spans="1:29">
      <c r="A385" s="907"/>
      <c r="B385" s="907"/>
      <c r="C385" s="907"/>
      <c r="D385" s="907"/>
      <c r="E385" s="907"/>
      <c r="F385" s="907"/>
      <c r="G385" s="907"/>
      <c r="H385" s="907"/>
      <c r="I385" s="907"/>
      <c r="J385" s="907"/>
      <c r="K385" s="907"/>
      <c r="L385" s="907"/>
      <c r="M385" s="907"/>
      <c r="N385" s="907"/>
      <c r="O385" s="907"/>
      <c r="P385" s="907"/>
      <c r="Q385" s="907"/>
      <c r="R385" s="907"/>
      <c r="S385" s="907"/>
      <c r="T385" s="907"/>
      <c r="U385" s="907"/>
      <c r="V385" s="907"/>
      <c r="W385" s="907"/>
      <c r="X385" s="907"/>
      <c r="Y385" s="907"/>
      <c r="Z385" s="907"/>
      <c r="AA385" s="907"/>
      <c r="AB385" s="907"/>
      <c r="AC385" s="907"/>
    </row>
    <row r="386" spans="1:29">
      <c r="A386" s="907"/>
      <c r="B386" s="907"/>
      <c r="C386" s="907"/>
      <c r="D386" s="907"/>
      <c r="E386" s="907"/>
      <c r="F386" s="907"/>
      <c r="G386" s="907"/>
      <c r="H386" s="907"/>
      <c r="I386" s="907"/>
      <c r="J386" s="907"/>
      <c r="K386" s="907"/>
      <c r="L386" s="907"/>
      <c r="M386" s="907"/>
      <c r="N386" s="907"/>
      <c r="O386" s="907"/>
      <c r="P386" s="907"/>
      <c r="Q386" s="907"/>
      <c r="R386" s="907"/>
      <c r="S386" s="907"/>
      <c r="T386" s="907"/>
      <c r="U386" s="907"/>
      <c r="V386" s="907"/>
      <c r="W386" s="907"/>
      <c r="X386" s="907"/>
      <c r="Y386" s="907"/>
      <c r="Z386" s="907"/>
      <c r="AA386" s="907"/>
      <c r="AB386" s="907"/>
      <c r="AC386" s="907"/>
    </row>
    <row r="387" spans="1:29">
      <c r="A387" s="907"/>
      <c r="B387" s="907"/>
      <c r="C387" s="907"/>
      <c r="D387" s="907"/>
      <c r="E387" s="907"/>
      <c r="F387" s="907"/>
      <c r="G387" s="907"/>
      <c r="H387" s="907"/>
      <c r="I387" s="907"/>
      <c r="J387" s="907"/>
      <c r="K387" s="907"/>
      <c r="L387" s="907"/>
      <c r="M387" s="907"/>
      <c r="N387" s="907"/>
      <c r="O387" s="907"/>
      <c r="P387" s="907"/>
      <c r="Q387" s="907"/>
      <c r="R387" s="907"/>
      <c r="S387" s="907"/>
      <c r="T387" s="907"/>
      <c r="U387" s="907"/>
      <c r="V387" s="907"/>
      <c r="W387" s="907"/>
      <c r="X387" s="907"/>
      <c r="Y387" s="907"/>
      <c r="Z387" s="907"/>
      <c r="AA387" s="907"/>
      <c r="AB387" s="907"/>
      <c r="AC387" s="907"/>
    </row>
    <row r="388" spans="1:29">
      <c r="A388" s="907"/>
      <c r="B388" s="907"/>
      <c r="C388" s="907"/>
      <c r="D388" s="907"/>
      <c r="E388" s="907"/>
      <c r="F388" s="907"/>
      <c r="G388" s="907"/>
      <c r="H388" s="907"/>
      <c r="I388" s="907"/>
      <c r="J388" s="907"/>
      <c r="K388" s="907"/>
      <c r="L388" s="907"/>
      <c r="M388" s="907"/>
      <c r="N388" s="907"/>
      <c r="O388" s="907"/>
      <c r="P388" s="907"/>
      <c r="Q388" s="907"/>
      <c r="R388" s="907"/>
      <c r="S388" s="907"/>
      <c r="T388" s="907"/>
      <c r="U388" s="907"/>
      <c r="V388" s="907"/>
      <c r="W388" s="907"/>
      <c r="X388" s="907"/>
      <c r="Y388" s="907"/>
      <c r="Z388" s="907"/>
      <c r="AA388" s="907"/>
      <c r="AB388" s="907"/>
      <c r="AC388" s="907"/>
    </row>
    <row r="389" spans="1:29">
      <c r="A389" s="907"/>
      <c r="B389" s="907"/>
      <c r="C389" s="907"/>
      <c r="D389" s="907"/>
      <c r="E389" s="907"/>
      <c r="F389" s="907"/>
      <c r="G389" s="907"/>
      <c r="H389" s="907"/>
      <c r="I389" s="907"/>
      <c r="J389" s="907"/>
      <c r="K389" s="907"/>
      <c r="L389" s="907"/>
      <c r="M389" s="907"/>
      <c r="N389" s="907"/>
      <c r="O389" s="907"/>
      <c r="P389" s="907"/>
      <c r="Q389" s="907"/>
      <c r="R389" s="907"/>
      <c r="S389" s="907"/>
      <c r="T389" s="907"/>
      <c r="U389" s="907"/>
      <c r="V389" s="907"/>
      <c r="W389" s="907"/>
      <c r="X389" s="907"/>
      <c r="Y389" s="907"/>
      <c r="Z389" s="907"/>
      <c r="AA389" s="907"/>
      <c r="AB389" s="907"/>
      <c r="AC389" s="907"/>
    </row>
    <row r="390" spans="1:29">
      <c r="A390" s="907"/>
      <c r="B390" s="907"/>
      <c r="C390" s="907"/>
      <c r="D390" s="907"/>
      <c r="E390" s="907"/>
      <c r="F390" s="907"/>
      <c r="G390" s="907"/>
      <c r="H390" s="907"/>
      <c r="I390" s="907"/>
      <c r="J390" s="907"/>
      <c r="K390" s="907"/>
      <c r="L390" s="907"/>
      <c r="M390" s="907"/>
      <c r="N390" s="907"/>
      <c r="O390" s="907"/>
      <c r="P390" s="907"/>
      <c r="Q390" s="907"/>
      <c r="R390" s="907"/>
      <c r="S390" s="907"/>
      <c r="T390" s="907"/>
      <c r="U390" s="907"/>
      <c r="V390" s="907"/>
      <c r="W390" s="907"/>
      <c r="X390" s="907"/>
      <c r="Y390" s="907"/>
      <c r="Z390" s="907"/>
      <c r="AA390" s="907"/>
      <c r="AB390" s="907"/>
      <c r="AC390" s="907"/>
    </row>
    <row r="391" spans="1:29">
      <c r="A391" s="907"/>
      <c r="B391" s="907"/>
      <c r="C391" s="907"/>
      <c r="D391" s="907"/>
      <c r="E391" s="907"/>
      <c r="F391" s="907"/>
      <c r="G391" s="907"/>
      <c r="H391" s="907"/>
      <c r="I391" s="907"/>
      <c r="J391" s="907"/>
      <c r="K391" s="907"/>
      <c r="L391" s="907"/>
      <c r="M391" s="907"/>
      <c r="N391" s="907"/>
      <c r="O391" s="907"/>
      <c r="P391" s="907"/>
      <c r="Q391" s="907"/>
      <c r="R391" s="907"/>
      <c r="S391" s="907"/>
      <c r="T391" s="907"/>
      <c r="U391" s="907"/>
      <c r="V391" s="907"/>
      <c r="W391" s="907"/>
      <c r="X391" s="907"/>
      <c r="Y391" s="907"/>
      <c r="Z391" s="907"/>
      <c r="AA391" s="907"/>
      <c r="AB391" s="907"/>
      <c r="AC391" s="907"/>
    </row>
    <row r="392" spans="1:29">
      <c r="A392" s="907"/>
      <c r="B392" s="907"/>
      <c r="C392" s="907"/>
      <c r="D392" s="907"/>
      <c r="E392" s="907"/>
      <c r="F392" s="907"/>
      <c r="G392" s="907"/>
      <c r="H392" s="907"/>
      <c r="I392" s="907"/>
      <c r="J392" s="907"/>
      <c r="K392" s="907"/>
      <c r="L392" s="907"/>
      <c r="M392" s="907"/>
      <c r="N392" s="907"/>
      <c r="O392" s="907"/>
      <c r="P392" s="907"/>
      <c r="Q392" s="907"/>
      <c r="R392" s="907"/>
      <c r="S392" s="907"/>
      <c r="T392" s="907"/>
      <c r="U392" s="907"/>
      <c r="V392" s="907"/>
      <c r="W392" s="907"/>
      <c r="X392" s="907"/>
      <c r="Y392" s="907"/>
      <c r="Z392" s="907"/>
      <c r="AA392" s="907"/>
      <c r="AB392" s="907"/>
      <c r="AC392" s="907"/>
    </row>
    <row r="393" spans="1:29">
      <c r="A393" s="907"/>
      <c r="B393" s="907"/>
      <c r="C393" s="907"/>
      <c r="D393" s="907"/>
      <c r="E393" s="907"/>
      <c r="F393" s="907"/>
      <c r="G393" s="907"/>
      <c r="H393" s="907"/>
      <c r="I393" s="907"/>
      <c r="J393" s="907"/>
      <c r="K393" s="907"/>
      <c r="L393" s="907"/>
      <c r="M393" s="907"/>
      <c r="N393" s="907"/>
      <c r="O393" s="907"/>
      <c r="P393" s="907"/>
      <c r="Q393" s="907"/>
      <c r="R393" s="907"/>
      <c r="S393" s="907"/>
      <c r="T393" s="907"/>
      <c r="U393" s="907"/>
      <c r="V393" s="907"/>
      <c r="W393" s="907"/>
      <c r="X393" s="907"/>
      <c r="Y393" s="907"/>
      <c r="Z393" s="907"/>
      <c r="AA393" s="907"/>
      <c r="AB393" s="907"/>
      <c r="AC393" s="907"/>
    </row>
    <row r="394" spans="1:29">
      <c r="A394" s="907"/>
      <c r="B394" s="907"/>
      <c r="C394" s="907"/>
      <c r="D394" s="907"/>
      <c r="E394" s="907"/>
      <c r="F394" s="907"/>
      <c r="G394" s="907"/>
      <c r="H394" s="907"/>
      <c r="I394" s="907"/>
      <c r="J394" s="907"/>
      <c r="K394" s="907"/>
      <c r="L394" s="907"/>
      <c r="M394" s="907"/>
      <c r="N394" s="907"/>
      <c r="O394" s="907"/>
      <c r="P394" s="907"/>
      <c r="Q394" s="907"/>
      <c r="R394" s="907"/>
      <c r="S394" s="907"/>
      <c r="T394" s="907"/>
      <c r="U394" s="907"/>
      <c r="V394" s="907"/>
      <c r="W394" s="907"/>
      <c r="X394" s="907"/>
      <c r="Y394" s="907"/>
      <c r="Z394" s="907"/>
      <c r="AA394" s="907"/>
      <c r="AB394" s="907"/>
      <c r="AC394" s="907"/>
    </row>
    <row r="395" spans="1:29">
      <c r="A395" s="907"/>
      <c r="B395" s="907"/>
      <c r="C395" s="907"/>
      <c r="D395" s="907"/>
      <c r="E395" s="907"/>
      <c r="F395" s="907"/>
      <c r="G395" s="907"/>
      <c r="H395" s="907"/>
      <c r="I395" s="907"/>
      <c r="J395" s="907"/>
      <c r="K395" s="907"/>
      <c r="L395" s="907"/>
      <c r="M395" s="907"/>
      <c r="N395" s="907"/>
      <c r="O395" s="907"/>
      <c r="P395" s="907"/>
      <c r="Q395" s="907"/>
      <c r="R395" s="907"/>
      <c r="S395" s="907"/>
      <c r="T395" s="907"/>
      <c r="U395" s="907"/>
      <c r="V395" s="907"/>
      <c r="W395" s="907"/>
      <c r="X395" s="907"/>
      <c r="Y395" s="907"/>
      <c r="Z395" s="907"/>
      <c r="AA395" s="907"/>
      <c r="AB395" s="907"/>
      <c r="AC395" s="907"/>
    </row>
    <row r="396" spans="1:29">
      <c r="A396" s="907"/>
      <c r="B396" s="907"/>
      <c r="C396" s="907"/>
      <c r="D396" s="907"/>
      <c r="E396" s="907"/>
      <c r="F396" s="907"/>
      <c r="G396" s="907"/>
      <c r="H396" s="907"/>
      <c r="I396" s="907"/>
      <c r="J396" s="907"/>
      <c r="K396" s="907"/>
      <c r="L396" s="907"/>
      <c r="M396" s="907"/>
      <c r="N396" s="907"/>
      <c r="O396" s="907"/>
      <c r="P396" s="907"/>
      <c r="Q396" s="907"/>
      <c r="R396" s="907"/>
      <c r="S396" s="907"/>
      <c r="T396" s="907"/>
      <c r="U396" s="907"/>
      <c r="V396" s="907"/>
      <c r="W396" s="907"/>
      <c r="X396" s="907"/>
      <c r="Y396" s="907"/>
      <c r="Z396" s="907"/>
      <c r="AA396" s="907"/>
      <c r="AB396" s="907"/>
      <c r="AC396" s="907"/>
    </row>
    <row r="397" spans="1:29">
      <c r="A397" s="907"/>
      <c r="B397" s="907"/>
      <c r="C397" s="907"/>
      <c r="D397" s="907"/>
      <c r="E397" s="907"/>
      <c r="F397" s="907"/>
      <c r="G397" s="907"/>
      <c r="H397" s="907"/>
      <c r="I397" s="907"/>
      <c r="J397" s="907"/>
      <c r="K397" s="907"/>
      <c r="L397" s="907"/>
      <c r="M397" s="907"/>
      <c r="N397" s="907"/>
      <c r="O397" s="907"/>
      <c r="P397" s="907"/>
      <c r="Q397" s="907"/>
      <c r="R397" s="907"/>
      <c r="S397" s="907"/>
      <c r="T397" s="907"/>
      <c r="U397" s="907"/>
      <c r="V397" s="907"/>
      <c r="W397" s="907"/>
      <c r="X397" s="907"/>
      <c r="Y397" s="907"/>
      <c r="Z397" s="907"/>
      <c r="AA397" s="907"/>
      <c r="AB397" s="907"/>
      <c r="AC397" s="907"/>
    </row>
    <row r="398" spans="1:29">
      <c r="A398" s="907"/>
      <c r="B398" s="907"/>
      <c r="C398" s="907"/>
      <c r="D398" s="907"/>
      <c r="E398" s="907"/>
      <c r="F398" s="907"/>
      <c r="G398" s="907"/>
      <c r="H398" s="907"/>
      <c r="I398" s="907"/>
      <c r="J398" s="907"/>
      <c r="K398" s="907"/>
      <c r="L398" s="907"/>
      <c r="M398" s="907"/>
      <c r="N398" s="907"/>
      <c r="O398" s="907"/>
      <c r="P398" s="907"/>
      <c r="Q398" s="907"/>
      <c r="R398" s="907"/>
      <c r="S398" s="907"/>
      <c r="T398" s="907"/>
      <c r="U398" s="907"/>
      <c r="V398" s="907"/>
      <c r="W398" s="907"/>
      <c r="X398" s="907"/>
      <c r="Y398" s="907"/>
      <c r="Z398" s="907"/>
      <c r="AA398" s="907"/>
      <c r="AB398" s="907"/>
      <c r="AC398" s="907"/>
    </row>
    <row r="399" spans="1:29">
      <c r="A399" s="907"/>
      <c r="B399" s="907"/>
      <c r="C399" s="907"/>
      <c r="D399" s="907"/>
      <c r="E399" s="907"/>
      <c r="F399" s="907"/>
      <c r="G399" s="907"/>
      <c r="H399" s="907"/>
      <c r="I399" s="907"/>
      <c r="J399" s="907"/>
      <c r="K399" s="907"/>
      <c r="L399" s="907"/>
      <c r="M399" s="907"/>
      <c r="N399" s="907"/>
      <c r="O399" s="907"/>
      <c r="P399" s="907"/>
      <c r="Q399" s="907"/>
      <c r="R399" s="907"/>
      <c r="S399" s="907"/>
      <c r="T399" s="907"/>
      <c r="U399" s="907"/>
      <c r="V399" s="907"/>
      <c r="W399" s="907"/>
      <c r="X399" s="907"/>
      <c r="Y399" s="907"/>
      <c r="Z399" s="907"/>
      <c r="AA399" s="907"/>
      <c r="AB399" s="907"/>
      <c r="AC399" s="907"/>
    </row>
    <row r="400" spans="1:29">
      <c r="A400" s="907"/>
      <c r="B400" s="907"/>
      <c r="C400" s="907"/>
      <c r="D400" s="907"/>
      <c r="E400" s="907"/>
      <c r="F400" s="907"/>
      <c r="G400" s="907"/>
      <c r="H400" s="907"/>
      <c r="I400" s="907"/>
      <c r="J400" s="907"/>
      <c r="K400" s="907"/>
      <c r="L400" s="907"/>
      <c r="M400" s="907"/>
      <c r="N400" s="907"/>
      <c r="O400" s="907"/>
      <c r="P400" s="907"/>
      <c r="Q400" s="907"/>
      <c r="R400" s="907"/>
      <c r="S400" s="907"/>
      <c r="T400" s="907"/>
      <c r="U400" s="907"/>
      <c r="V400" s="907"/>
      <c r="W400" s="907"/>
      <c r="X400" s="907"/>
      <c r="Y400" s="907"/>
      <c r="Z400" s="907"/>
      <c r="AA400" s="907"/>
      <c r="AB400" s="907"/>
      <c r="AC400" s="907"/>
    </row>
    <row r="401" spans="1:29">
      <c r="A401" s="907"/>
      <c r="B401" s="907"/>
      <c r="C401" s="907"/>
      <c r="D401" s="907"/>
      <c r="E401" s="907"/>
      <c r="F401" s="907"/>
      <c r="G401" s="907"/>
      <c r="H401" s="907"/>
      <c r="I401" s="907"/>
      <c r="J401" s="907"/>
      <c r="K401" s="907"/>
      <c r="L401" s="907"/>
      <c r="M401" s="907"/>
      <c r="N401" s="907"/>
      <c r="O401" s="907"/>
      <c r="P401" s="907"/>
      <c r="Q401" s="907"/>
      <c r="R401" s="907"/>
      <c r="S401" s="907"/>
      <c r="T401" s="907"/>
      <c r="U401" s="907"/>
      <c r="V401" s="907"/>
      <c r="W401" s="907"/>
      <c r="X401" s="907"/>
      <c r="Y401" s="907"/>
      <c r="Z401" s="907"/>
      <c r="AA401" s="907"/>
      <c r="AB401" s="907"/>
      <c r="AC401" s="907"/>
    </row>
    <row r="402" spans="1:29">
      <c r="A402" s="907"/>
      <c r="B402" s="907"/>
      <c r="C402" s="907"/>
      <c r="D402" s="907"/>
      <c r="E402" s="907"/>
      <c r="F402" s="907"/>
      <c r="G402" s="907"/>
      <c r="H402" s="907"/>
      <c r="I402" s="907"/>
      <c r="J402" s="907"/>
      <c r="K402" s="907"/>
      <c r="L402" s="907"/>
      <c r="M402" s="907"/>
      <c r="N402" s="907"/>
      <c r="O402" s="907"/>
      <c r="P402" s="907"/>
      <c r="Q402" s="907"/>
      <c r="R402" s="907"/>
      <c r="S402" s="907"/>
      <c r="T402" s="907"/>
      <c r="U402" s="907"/>
      <c r="V402" s="907"/>
      <c r="W402" s="907"/>
      <c r="X402" s="907"/>
      <c r="Y402" s="907"/>
      <c r="Z402" s="907"/>
      <c r="AA402" s="907"/>
      <c r="AB402" s="907"/>
      <c r="AC402" s="907"/>
    </row>
    <row r="403" spans="1:29">
      <c r="A403" s="907"/>
      <c r="B403" s="907"/>
      <c r="C403" s="907"/>
      <c r="D403" s="907"/>
      <c r="E403" s="907"/>
      <c r="F403" s="907"/>
      <c r="G403" s="907"/>
      <c r="H403" s="907"/>
      <c r="I403" s="907"/>
      <c r="J403" s="907"/>
      <c r="K403" s="907"/>
      <c r="L403" s="907"/>
      <c r="M403" s="907"/>
      <c r="N403" s="907"/>
      <c r="O403" s="907"/>
      <c r="P403" s="907"/>
      <c r="Q403" s="907"/>
      <c r="R403" s="907"/>
      <c r="S403" s="907"/>
      <c r="T403" s="907"/>
      <c r="U403" s="907"/>
      <c r="V403" s="907"/>
      <c r="W403" s="907"/>
      <c r="X403" s="907"/>
      <c r="Y403" s="907"/>
      <c r="Z403" s="907"/>
      <c r="AA403" s="907"/>
      <c r="AB403" s="907"/>
      <c r="AC403" s="907"/>
    </row>
    <row r="404" spans="1:29">
      <c r="A404" s="907"/>
      <c r="B404" s="907"/>
      <c r="C404" s="907"/>
      <c r="D404" s="907"/>
      <c r="E404" s="907"/>
      <c r="F404" s="907"/>
      <c r="G404" s="907"/>
      <c r="H404" s="907"/>
      <c r="I404" s="907"/>
      <c r="J404" s="907"/>
      <c r="K404" s="907"/>
      <c r="L404" s="907"/>
      <c r="M404" s="907"/>
      <c r="N404" s="907"/>
      <c r="O404" s="907"/>
      <c r="P404" s="907"/>
      <c r="Q404" s="907"/>
      <c r="R404" s="907"/>
      <c r="S404" s="907"/>
      <c r="T404" s="907"/>
      <c r="U404" s="907"/>
      <c r="V404" s="907"/>
      <c r="W404" s="907"/>
      <c r="X404" s="907"/>
      <c r="Y404" s="907"/>
      <c r="Z404" s="907"/>
      <c r="AA404" s="907"/>
      <c r="AB404" s="907"/>
      <c r="AC404" s="907"/>
    </row>
    <row r="405" spans="1:29">
      <c r="A405" s="907"/>
      <c r="B405" s="907"/>
      <c r="C405" s="907"/>
      <c r="D405" s="907"/>
      <c r="E405" s="907"/>
      <c r="F405" s="907"/>
      <c r="G405" s="907"/>
      <c r="H405" s="907"/>
      <c r="I405" s="907"/>
      <c r="J405" s="907"/>
      <c r="K405" s="907"/>
      <c r="L405" s="907"/>
      <c r="M405" s="907"/>
      <c r="N405" s="907"/>
      <c r="O405" s="907"/>
      <c r="P405" s="907"/>
      <c r="Q405" s="907"/>
      <c r="R405" s="907"/>
      <c r="S405" s="907"/>
      <c r="T405" s="907"/>
      <c r="U405" s="907"/>
      <c r="V405" s="907"/>
      <c r="W405" s="907"/>
      <c r="X405" s="907"/>
      <c r="Y405" s="907"/>
      <c r="Z405" s="907"/>
      <c r="AA405" s="907"/>
      <c r="AB405" s="907"/>
      <c r="AC405" s="907"/>
    </row>
    <row r="406" spans="1:29">
      <c r="A406" s="907"/>
      <c r="B406" s="907"/>
      <c r="C406" s="907"/>
      <c r="D406" s="907"/>
      <c r="E406" s="907"/>
      <c r="F406" s="907"/>
      <c r="G406" s="907"/>
      <c r="H406" s="907"/>
      <c r="I406" s="907"/>
      <c r="J406" s="907"/>
      <c r="K406" s="907"/>
      <c r="L406" s="907"/>
      <c r="M406" s="907"/>
      <c r="N406" s="907"/>
      <c r="O406" s="907"/>
      <c r="P406" s="907"/>
      <c r="Q406" s="907"/>
      <c r="R406" s="907"/>
      <c r="S406" s="907"/>
      <c r="T406" s="907"/>
      <c r="U406" s="907"/>
      <c r="V406" s="907"/>
      <c r="W406" s="907"/>
      <c r="X406" s="907"/>
      <c r="Y406" s="907"/>
      <c r="Z406" s="907"/>
      <c r="AA406" s="907"/>
      <c r="AB406" s="907"/>
      <c r="AC406" s="907"/>
    </row>
    <row r="407" spans="1:29">
      <c r="A407" s="907"/>
      <c r="B407" s="907"/>
      <c r="C407" s="907"/>
      <c r="D407" s="907"/>
      <c r="E407" s="907"/>
      <c r="F407" s="907"/>
      <c r="G407" s="907"/>
      <c r="H407" s="907"/>
      <c r="I407" s="907"/>
      <c r="J407" s="907"/>
      <c r="K407" s="907"/>
      <c r="L407" s="907"/>
      <c r="M407" s="907"/>
      <c r="N407" s="907"/>
      <c r="O407" s="907"/>
      <c r="P407" s="907"/>
      <c r="Q407" s="907"/>
      <c r="R407" s="907"/>
      <c r="S407" s="907"/>
      <c r="T407" s="907"/>
      <c r="U407" s="907"/>
      <c r="V407" s="907"/>
      <c r="W407" s="907"/>
      <c r="X407" s="907"/>
      <c r="Y407" s="907"/>
      <c r="Z407" s="907"/>
      <c r="AA407" s="907"/>
      <c r="AB407" s="907"/>
      <c r="AC407" s="907"/>
    </row>
    <row r="408" spans="1:29">
      <c r="A408" s="907"/>
      <c r="B408" s="907"/>
      <c r="C408" s="907"/>
      <c r="D408" s="907"/>
      <c r="E408" s="907"/>
      <c r="F408" s="907"/>
      <c r="G408" s="907"/>
      <c r="H408" s="907"/>
      <c r="I408" s="907"/>
      <c r="J408" s="907"/>
      <c r="K408" s="907"/>
      <c r="L408" s="907"/>
      <c r="M408" s="907"/>
      <c r="N408" s="907"/>
      <c r="O408" s="907"/>
      <c r="P408" s="907"/>
      <c r="Q408" s="907"/>
      <c r="R408" s="907"/>
      <c r="S408" s="907"/>
      <c r="T408" s="907"/>
      <c r="U408" s="907"/>
      <c r="V408" s="907"/>
      <c r="W408" s="907"/>
      <c r="X408" s="907"/>
      <c r="Y408" s="907"/>
      <c r="Z408" s="907"/>
      <c r="AA408" s="907"/>
      <c r="AB408" s="907"/>
      <c r="AC408" s="907"/>
    </row>
    <row r="409" spans="1:29">
      <c r="A409" s="907"/>
      <c r="B409" s="907"/>
      <c r="C409" s="907"/>
      <c r="D409" s="907"/>
      <c r="E409" s="907"/>
      <c r="F409" s="907"/>
      <c r="G409" s="907"/>
      <c r="H409" s="907"/>
      <c r="I409" s="907"/>
      <c r="J409" s="907"/>
      <c r="K409" s="907"/>
      <c r="L409" s="907"/>
      <c r="M409" s="907"/>
      <c r="N409" s="907"/>
      <c r="O409" s="907"/>
      <c r="P409" s="907"/>
      <c r="Q409" s="907"/>
      <c r="R409" s="907"/>
      <c r="S409" s="907"/>
      <c r="T409" s="907"/>
      <c r="U409" s="907"/>
      <c r="V409" s="907"/>
      <c r="W409" s="907"/>
      <c r="X409" s="907"/>
      <c r="Y409" s="907"/>
      <c r="Z409" s="907"/>
      <c r="AA409" s="907"/>
      <c r="AB409" s="907"/>
      <c r="AC409" s="907"/>
    </row>
    <row r="410" spans="1:29">
      <c r="A410" s="907"/>
      <c r="B410" s="907"/>
      <c r="C410" s="907"/>
      <c r="D410" s="907"/>
      <c r="E410" s="907"/>
      <c r="F410" s="907"/>
      <c r="G410" s="907"/>
      <c r="H410" s="907"/>
      <c r="I410" s="907"/>
      <c r="J410" s="907"/>
      <c r="K410" s="907"/>
      <c r="L410" s="907"/>
      <c r="M410" s="907"/>
      <c r="N410" s="907"/>
      <c r="O410" s="907"/>
      <c r="P410" s="907"/>
      <c r="Q410" s="907"/>
      <c r="R410" s="907"/>
      <c r="S410" s="907"/>
      <c r="T410" s="907"/>
      <c r="U410" s="907"/>
      <c r="V410" s="907"/>
      <c r="W410" s="907"/>
      <c r="X410" s="907"/>
      <c r="Y410" s="907"/>
      <c r="Z410" s="907"/>
      <c r="AA410" s="907"/>
      <c r="AB410" s="907"/>
      <c r="AC410" s="907"/>
    </row>
    <row r="411" spans="1:29">
      <c r="A411" s="907"/>
      <c r="B411" s="907"/>
      <c r="C411" s="907"/>
      <c r="D411" s="907"/>
      <c r="E411" s="907"/>
      <c r="F411" s="907"/>
      <c r="G411" s="907"/>
      <c r="H411" s="907"/>
      <c r="I411" s="907"/>
      <c r="J411" s="907"/>
      <c r="K411" s="907"/>
      <c r="L411" s="907"/>
      <c r="M411" s="907"/>
      <c r="N411" s="907"/>
      <c r="O411" s="907"/>
      <c r="P411" s="907"/>
      <c r="Q411" s="907"/>
      <c r="R411" s="907"/>
      <c r="S411" s="907"/>
      <c r="T411" s="907"/>
      <c r="U411" s="907"/>
      <c r="V411" s="907"/>
      <c r="W411" s="907"/>
      <c r="X411" s="907"/>
      <c r="Y411" s="907"/>
      <c r="Z411" s="907"/>
      <c r="AA411" s="907"/>
      <c r="AB411" s="907"/>
      <c r="AC411" s="907"/>
    </row>
    <row r="412" spans="1:29">
      <c r="A412" s="907"/>
      <c r="B412" s="907"/>
      <c r="C412" s="907"/>
      <c r="D412" s="907"/>
      <c r="E412" s="907"/>
      <c r="F412" s="907"/>
      <c r="G412" s="907"/>
      <c r="H412" s="907"/>
      <c r="I412" s="907"/>
      <c r="J412" s="907"/>
      <c r="K412" s="907"/>
      <c r="L412" s="907"/>
      <c r="M412" s="907"/>
      <c r="N412" s="907"/>
      <c r="O412" s="907"/>
      <c r="P412" s="907"/>
      <c r="Q412" s="907"/>
      <c r="R412" s="907"/>
      <c r="S412" s="907"/>
      <c r="T412" s="907"/>
      <c r="U412" s="907"/>
      <c r="V412" s="907"/>
      <c r="W412" s="907"/>
      <c r="X412" s="907"/>
      <c r="Y412" s="907"/>
      <c r="Z412" s="907"/>
      <c r="AA412" s="907"/>
      <c r="AB412" s="907"/>
      <c r="AC412" s="907"/>
    </row>
    <row r="413" spans="1:29">
      <c r="A413" s="907"/>
      <c r="B413" s="907"/>
      <c r="C413" s="907"/>
      <c r="D413" s="907"/>
      <c r="E413" s="907"/>
      <c r="F413" s="907"/>
      <c r="G413" s="907"/>
      <c r="H413" s="907"/>
      <c r="I413" s="907"/>
      <c r="J413" s="907"/>
      <c r="K413" s="907"/>
      <c r="L413" s="907"/>
      <c r="M413" s="907"/>
      <c r="N413" s="907"/>
      <c r="O413" s="907"/>
      <c r="P413" s="907"/>
      <c r="Q413" s="907"/>
      <c r="R413" s="907"/>
      <c r="S413" s="907"/>
      <c r="T413" s="907"/>
      <c r="U413" s="907"/>
      <c r="V413" s="907"/>
      <c r="W413" s="907"/>
      <c r="X413" s="907"/>
      <c r="Y413" s="907"/>
      <c r="Z413" s="907"/>
      <c r="AA413" s="907"/>
      <c r="AB413" s="907"/>
      <c r="AC413" s="907"/>
    </row>
    <row r="414" spans="1:29">
      <c r="A414" s="907"/>
      <c r="B414" s="907"/>
      <c r="C414" s="907"/>
      <c r="D414" s="907"/>
      <c r="E414" s="907"/>
      <c r="F414" s="907"/>
      <c r="G414" s="907"/>
      <c r="H414" s="907"/>
      <c r="I414" s="907"/>
      <c r="J414" s="907"/>
      <c r="K414" s="907"/>
      <c r="L414" s="907"/>
      <c r="M414" s="907"/>
      <c r="N414" s="907"/>
      <c r="O414" s="907"/>
      <c r="P414" s="907"/>
      <c r="Q414" s="907"/>
      <c r="R414" s="907"/>
      <c r="S414" s="907"/>
      <c r="T414" s="907"/>
      <c r="U414" s="907"/>
      <c r="V414" s="907"/>
      <c r="W414" s="907"/>
      <c r="X414" s="907"/>
      <c r="Y414" s="907"/>
      <c r="Z414" s="907"/>
      <c r="AA414" s="907"/>
      <c r="AB414" s="907"/>
      <c r="AC414" s="907"/>
    </row>
    <row r="415" spans="1:29">
      <c r="A415" s="907"/>
      <c r="B415" s="907"/>
      <c r="C415" s="907"/>
      <c r="D415" s="907"/>
      <c r="E415" s="907"/>
      <c r="F415" s="907"/>
      <c r="G415" s="907"/>
      <c r="H415" s="907"/>
      <c r="I415" s="907"/>
      <c r="J415" s="907"/>
      <c r="K415" s="907"/>
      <c r="L415" s="907"/>
      <c r="M415" s="907"/>
      <c r="N415" s="907"/>
      <c r="O415" s="907"/>
      <c r="P415" s="907"/>
      <c r="Q415" s="907"/>
      <c r="R415" s="907"/>
      <c r="S415" s="907"/>
      <c r="T415" s="907"/>
      <c r="U415" s="907"/>
      <c r="V415" s="907"/>
      <c r="W415" s="907"/>
      <c r="X415" s="907"/>
      <c r="Y415" s="907"/>
      <c r="Z415" s="907"/>
      <c r="AA415" s="907"/>
      <c r="AB415" s="907"/>
      <c r="AC415" s="907"/>
    </row>
    <row r="416" spans="1:29">
      <c r="A416" s="907"/>
      <c r="B416" s="907"/>
      <c r="C416" s="907"/>
      <c r="D416" s="907"/>
      <c r="E416" s="907"/>
      <c r="F416" s="907"/>
      <c r="G416" s="907"/>
      <c r="H416" s="907"/>
      <c r="I416" s="907"/>
      <c r="J416" s="907"/>
      <c r="K416" s="907"/>
      <c r="L416" s="907"/>
      <c r="M416" s="907"/>
      <c r="N416" s="907"/>
      <c r="O416" s="907"/>
      <c r="P416" s="907"/>
      <c r="Q416" s="907"/>
      <c r="R416" s="907"/>
      <c r="S416" s="907"/>
      <c r="T416" s="907"/>
      <c r="U416" s="907"/>
      <c r="V416" s="907"/>
      <c r="W416" s="907"/>
      <c r="X416" s="907"/>
      <c r="Y416" s="907"/>
      <c r="Z416" s="907"/>
      <c r="AA416" s="907"/>
      <c r="AB416" s="907"/>
      <c r="AC416" s="907"/>
    </row>
    <row r="417" spans="1:29">
      <c r="A417" s="907"/>
      <c r="B417" s="907"/>
      <c r="C417" s="907"/>
      <c r="D417" s="907"/>
      <c r="E417" s="907"/>
      <c r="F417" s="907"/>
      <c r="G417" s="907"/>
      <c r="H417" s="907"/>
      <c r="I417" s="907"/>
      <c r="J417" s="907"/>
      <c r="K417" s="907"/>
      <c r="L417" s="907"/>
      <c r="M417" s="907"/>
      <c r="N417" s="907"/>
      <c r="O417" s="907"/>
      <c r="P417" s="907"/>
      <c r="Q417" s="907"/>
      <c r="R417" s="907"/>
      <c r="S417" s="907"/>
      <c r="T417" s="907"/>
      <c r="U417" s="907"/>
      <c r="V417" s="907"/>
      <c r="W417" s="907"/>
      <c r="X417" s="907"/>
      <c r="Y417" s="907"/>
      <c r="Z417" s="907"/>
      <c r="AA417" s="907"/>
      <c r="AB417" s="907"/>
      <c r="AC417" s="907"/>
    </row>
    <row r="418" spans="1:29">
      <c r="A418" s="907"/>
      <c r="B418" s="907"/>
      <c r="C418" s="907"/>
      <c r="D418" s="907"/>
      <c r="E418" s="907"/>
      <c r="F418" s="907"/>
      <c r="G418" s="907"/>
      <c r="H418" s="907"/>
      <c r="I418" s="907"/>
      <c r="J418" s="907"/>
      <c r="K418" s="907"/>
      <c r="L418" s="907"/>
      <c r="M418" s="907"/>
      <c r="N418" s="907"/>
      <c r="O418" s="907"/>
      <c r="P418" s="907"/>
      <c r="Q418" s="907"/>
      <c r="R418" s="907"/>
      <c r="S418" s="907"/>
      <c r="T418" s="907"/>
      <c r="U418" s="907"/>
      <c r="V418" s="907"/>
      <c r="W418" s="907"/>
      <c r="X418" s="907"/>
      <c r="Y418" s="907"/>
      <c r="Z418" s="907"/>
      <c r="AA418" s="907"/>
      <c r="AB418" s="907"/>
      <c r="AC418" s="907"/>
    </row>
    <row r="419" spans="1:29">
      <c r="A419" s="907"/>
      <c r="B419" s="907"/>
      <c r="C419" s="907"/>
      <c r="D419" s="907"/>
      <c r="E419" s="907"/>
      <c r="F419" s="907"/>
      <c r="G419" s="907"/>
      <c r="H419" s="907"/>
      <c r="I419" s="907"/>
      <c r="J419" s="907"/>
      <c r="K419" s="907"/>
      <c r="L419" s="907"/>
      <c r="M419" s="907"/>
      <c r="N419" s="907"/>
      <c r="O419" s="907"/>
      <c r="P419" s="907"/>
      <c r="Q419" s="907"/>
      <c r="R419" s="907"/>
      <c r="S419" s="907"/>
      <c r="T419" s="907"/>
      <c r="U419" s="907"/>
      <c r="V419" s="907"/>
      <c r="W419" s="907"/>
      <c r="X419" s="907"/>
      <c r="Y419" s="907"/>
      <c r="Z419" s="907"/>
      <c r="AA419" s="907"/>
      <c r="AB419" s="907"/>
      <c r="AC419" s="907"/>
    </row>
    <row r="420" spans="1:29">
      <c r="A420" s="907"/>
      <c r="B420" s="907"/>
      <c r="C420" s="907"/>
      <c r="D420" s="907"/>
      <c r="E420" s="907"/>
      <c r="F420" s="907"/>
      <c r="G420" s="907"/>
      <c r="H420" s="907"/>
      <c r="I420" s="907"/>
      <c r="J420" s="907"/>
      <c r="K420" s="907"/>
      <c r="L420" s="907"/>
      <c r="M420" s="907"/>
      <c r="N420" s="907"/>
      <c r="O420" s="907"/>
      <c r="P420" s="907"/>
      <c r="Q420" s="907"/>
      <c r="R420" s="907"/>
      <c r="S420" s="907"/>
      <c r="T420" s="907"/>
      <c r="U420" s="907"/>
      <c r="V420" s="907"/>
      <c r="W420" s="907"/>
      <c r="X420" s="907"/>
      <c r="Y420" s="907"/>
      <c r="Z420" s="907"/>
      <c r="AA420" s="907"/>
      <c r="AB420" s="907"/>
      <c r="AC420" s="907"/>
    </row>
    <row r="421" spans="1:29">
      <c r="A421" s="907"/>
      <c r="B421" s="907"/>
      <c r="C421" s="907"/>
      <c r="D421" s="907"/>
      <c r="E421" s="907"/>
      <c r="F421" s="907"/>
      <c r="G421" s="907"/>
      <c r="H421" s="907"/>
      <c r="I421" s="907"/>
      <c r="J421" s="907"/>
      <c r="K421" s="907"/>
      <c r="L421" s="907"/>
      <c r="M421" s="907"/>
      <c r="N421" s="907"/>
      <c r="O421" s="907"/>
      <c r="P421" s="907"/>
      <c r="Q421" s="907"/>
      <c r="R421" s="907"/>
      <c r="S421" s="907"/>
      <c r="T421" s="907"/>
      <c r="U421" s="907"/>
      <c r="V421" s="907"/>
      <c r="W421" s="907"/>
      <c r="X421" s="907"/>
      <c r="Y421" s="907"/>
      <c r="Z421" s="907"/>
      <c r="AA421" s="907"/>
      <c r="AB421" s="907"/>
      <c r="AC421" s="907"/>
    </row>
    <row r="422" spans="1:29">
      <c r="A422" s="907"/>
      <c r="B422" s="907"/>
      <c r="C422" s="907"/>
      <c r="D422" s="907"/>
      <c r="E422" s="907"/>
      <c r="F422" s="907"/>
      <c r="G422" s="907"/>
      <c r="H422" s="907"/>
      <c r="I422" s="907"/>
      <c r="J422" s="907"/>
      <c r="K422" s="907"/>
      <c r="L422" s="907"/>
      <c r="M422" s="907"/>
      <c r="N422" s="907"/>
      <c r="O422" s="907"/>
      <c r="P422" s="907"/>
      <c r="Q422" s="907"/>
      <c r="R422" s="907"/>
      <c r="S422" s="907"/>
      <c r="T422" s="907"/>
      <c r="U422" s="907"/>
      <c r="V422" s="907"/>
      <c r="W422" s="907"/>
      <c r="X422" s="907"/>
      <c r="Y422" s="907"/>
      <c r="Z422" s="907"/>
      <c r="AA422" s="907"/>
      <c r="AB422" s="907"/>
      <c r="AC422" s="907"/>
    </row>
    <row r="423" spans="1:29">
      <c r="A423" s="907"/>
      <c r="B423" s="907"/>
      <c r="C423" s="907"/>
      <c r="D423" s="907"/>
      <c r="E423" s="907"/>
      <c r="F423" s="907"/>
      <c r="G423" s="907"/>
      <c r="H423" s="907"/>
      <c r="I423" s="907"/>
      <c r="J423" s="907"/>
      <c r="K423" s="907"/>
      <c r="L423" s="907"/>
      <c r="M423" s="907"/>
      <c r="N423" s="907"/>
      <c r="O423" s="907"/>
      <c r="P423" s="907"/>
      <c r="Q423" s="907"/>
      <c r="R423" s="907"/>
      <c r="S423" s="907"/>
      <c r="T423" s="907"/>
      <c r="U423" s="907"/>
      <c r="V423" s="907"/>
      <c r="W423" s="907"/>
      <c r="X423" s="907"/>
      <c r="Y423" s="907"/>
      <c r="Z423" s="907"/>
      <c r="AA423" s="907"/>
      <c r="AB423" s="907"/>
      <c r="AC423" s="907"/>
    </row>
    <row r="424" spans="1:29">
      <c r="A424" s="907"/>
      <c r="B424" s="907"/>
      <c r="C424" s="907"/>
      <c r="D424" s="907"/>
      <c r="E424" s="907"/>
      <c r="F424" s="907"/>
      <c r="G424" s="907"/>
      <c r="H424" s="907"/>
      <c r="I424" s="907"/>
      <c r="J424" s="907"/>
      <c r="K424" s="907"/>
      <c r="L424" s="907"/>
      <c r="M424" s="907"/>
      <c r="N424" s="907"/>
      <c r="O424" s="907"/>
      <c r="P424" s="907"/>
      <c r="Q424" s="907"/>
      <c r="R424" s="907"/>
      <c r="S424" s="907"/>
      <c r="T424" s="907"/>
      <c r="U424" s="907"/>
      <c r="V424" s="907"/>
      <c r="W424" s="907"/>
      <c r="X424" s="907"/>
      <c r="Y424" s="907"/>
      <c r="Z424" s="907"/>
      <c r="AA424" s="907"/>
      <c r="AB424" s="907"/>
      <c r="AC424" s="907"/>
    </row>
    <row r="425" spans="1:29">
      <c r="A425" s="907"/>
      <c r="B425" s="907"/>
      <c r="C425" s="907"/>
      <c r="D425" s="907"/>
      <c r="E425" s="907"/>
      <c r="F425" s="907"/>
      <c r="G425" s="907"/>
      <c r="H425" s="907"/>
      <c r="I425" s="907"/>
      <c r="J425" s="907"/>
      <c r="K425" s="907"/>
      <c r="L425" s="907"/>
      <c r="M425" s="907"/>
      <c r="N425" s="907"/>
      <c r="O425" s="907"/>
      <c r="P425" s="907"/>
      <c r="Q425" s="907"/>
      <c r="R425" s="907"/>
      <c r="S425" s="907"/>
      <c r="T425" s="907"/>
      <c r="U425" s="907"/>
      <c r="V425" s="907"/>
      <c r="W425" s="907"/>
      <c r="X425" s="907"/>
      <c r="Y425" s="907"/>
      <c r="Z425" s="907"/>
      <c r="AA425" s="907"/>
      <c r="AB425" s="907"/>
      <c r="AC425" s="907"/>
    </row>
    <row r="426" spans="1:29">
      <c r="A426" s="907"/>
      <c r="B426" s="907"/>
      <c r="C426" s="907"/>
      <c r="D426" s="907"/>
      <c r="E426" s="907"/>
      <c r="F426" s="907"/>
      <c r="G426" s="907"/>
      <c r="H426" s="907"/>
      <c r="I426" s="907"/>
      <c r="J426" s="907"/>
      <c r="K426" s="907"/>
      <c r="L426" s="907"/>
      <c r="M426" s="907"/>
      <c r="N426" s="907"/>
      <c r="O426" s="907"/>
      <c r="P426" s="907"/>
      <c r="Q426" s="907"/>
      <c r="R426" s="907"/>
      <c r="S426" s="907"/>
      <c r="T426" s="907"/>
      <c r="U426" s="907"/>
      <c r="V426" s="907"/>
      <c r="W426" s="907"/>
      <c r="X426" s="907"/>
      <c r="Y426" s="907"/>
      <c r="Z426" s="907"/>
      <c r="AA426" s="907"/>
      <c r="AB426" s="907"/>
      <c r="AC426" s="907"/>
    </row>
    <row r="427" spans="1:29">
      <c r="A427" s="907"/>
      <c r="B427" s="907"/>
      <c r="C427" s="907"/>
      <c r="D427" s="907"/>
      <c r="E427" s="907"/>
      <c r="F427" s="907"/>
      <c r="G427" s="907"/>
      <c r="H427" s="907"/>
      <c r="I427" s="907"/>
      <c r="J427" s="907"/>
      <c r="K427" s="907"/>
      <c r="L427" s="907"/>
      <c r="M427" s="907"/>
      <c r="N427" s="907"/>
      <c r="O427" s="907"/>
      <c r="P427" s="907"/>
      <c r="Q427" s="907"/>
      <c r="R427" s="907"/>
      <c r="S427" s="907"/>
      <c r="T427" s="907"/>
      <c r="U427" s="907"/>
      <c r="V427" s="907"/>
      <c r="W427" s="907"/>
      <c r="X427" s="907"/>
      <c r="Y427" s="907"/>
      <c r="Z427" s="907"/>
      <c r="AA427" s="907"/>
      <c r="AB427" s="907"/>
      <c r="AC427" s="907"/>
    </row>
    <row r="428" spans="1:29">
      <c r="A428" s="907"/>
      <c r="B428" s="907"/>
      <c r="C428" s="907"/>
      <c r="D428" s="907"/>
      <c r="E428" s="907"/>
      <c r="F428" s="907"/>
      <c r="G428" s="907"/>
      <c r="H428" s="907"/>
      <c r="I428" s="907"/>
      <c r="J428" s="907"/>
      <c r="K428" s="907"/>
      <c r="L428" s="907"/>
      <c r="M428" s="907"/>
      <c r="N428" s="907"/>
      <c r="O428" s="907"/>
      <c r="P428" s="907"/>
      <c r="Q428" s="907"/>
      <c r="R428" s="907"/>
      <c r="S428" s="907"/>
      <c r="T428" s="907"/>
      <c r="U428" s="907"/>
      <c r="V428" s="907"/>
      <c r="W428" s="907"/>
      <c r="X428" s="907"/>
      <c r="Y428" s="907"/>
      <c r="Z428" s="907"/>
      <c r="AA428" s="907"/>
      <c r="AB428" s="907"/>
      <c r="AC428" s="907"/>
    </row>
    <row r="429" spans="1:29">
      <c r="A429" s="907"/>
      <c r="B429" s="907"/>
      <c r="C429" s="907"/>
      <c r="D429" s="907"/>
      <c r="E429" s="907"/>
      <c r="F429" s="907"/>
      <c r="G429" s="907"/>
      <c r="H429" s="907"/>
      <c r="I429" s="907"/>
      <c r="J429" s="907"/>
      <c r="K429" s="907"/>
      <c r="L429" s="907"/>
      <c r="M429" s="907"/>
      <c r="N429" s="907"/>
      <c r="O429" s="907"/>
      <c r="P429" s="907"/>
      <c r="Q429" s="907"/>
      <c r="R429" s="907"/>
      <c r="S429" s="907"/>
      <c r="T429" s="907"/>
      <c r="U429" s="907"/>
      <c r="V429" s="907"/>
      <c r="W429" s="907"/>
      <c r="X429" s="907"/>
      <c r="Y429" s="907"/>
      <c r="Z429" s="907"/>
      <c r="AA429" s="907"/>
      <c r="AB429" s="907"/>
      <c r="AC429" s="907"/>
    </row>
    <row r="430" spans="1:29">
      <c r="A430" s="907"/>
      <c r="B430" s="907"/>
      <c r="C430" s="907"/>
      <c r="D430" s="907"/>
      <c r="E430" s="907"/>
      <c r="F430" s="907"/>
      <c r="G430" s="907"/>
      <c r="H430" s="907"/>
      <c r="I430" s="907"/>
      <c r="J430" s="907"/>
      <c r="K430" s="907"/>
      <c r="L430" s="907"/>
      <c r="M430" s="907"/>
      <c r="N430" s="907"/>
      <c r="O430" s="907"/>
      <c r="P430" s="907"/>
      <c r="Q430" s="907"/>
      <c r="R430" s="907"/>
      <c r="S430" s="907"/>
      <c r="T430" s="907"/>
      <c r="U430" s="907"/>
      <c r="V430" s="907"/>
      <c r="W430" s="907"/>
      <c r="X430" s="907"/>
      <c r="Y430" s="907"/>
      <c r="Z430" s="907"/>
      <c r="AA430" s="907"/>
      <c r="AB430" s="907"/>
      <c r="AC430" s="907"/>
    </row>
    <row r="431" spans="1:29">
      <c r="A431" s="907"/>
      <c r="B431" s="907"/>
      <c r="C431" s="907"/>
      <c r="D431" s="907"/>
      <c r="E431" s="907"/>
      <c r="F431" s="907"/>
      <c r="G431" s="907"/>
      <c r="H431" s="907"/>
      <c r="I431" s="907"/>
      <c r="J431" s="907"/>
      <c r="K431" s="907"/>
      <c r="L431" s="907"/>
      <c r="M431" s="907"/>
      <c r="N431" s="907"/>
      <c r="O431" s="907"/>
      <c r="P431" s="907"/>
      <c r="Q431" s="907"/>
      <c r="R431" s="907"/>
      <c r="S431" s="907"/>
      <c r="T431" s="907"/>
      <c r="U431" s="907"/>
      <c r="V431" s="907"/>
      <c r="W431" s="907"/>
      <c r="X431" s="907"/>
      <c r="Y431" s="907"/>
      <c r="Z431" s="907"/>
      <c r="AA431" s="907"/>
      <c r="AB431" s="907"/>
      <c r="AC431" s="907"/>
    </row>
    <row r="432" spans="1:29">
      <c r="A432" s="907"/>
      <c r="B432" s="907"/>
      <c r="C432" s="907"/>
      <c r="D432" s="907"/>
      <c r="E432" s="907"/>
      <c r="F432" s="907"/>
      <c r="G432" s="907"/>
      <c r="H432" s="907"/>
      <c r="I432" s="907"/>
      <c r="J432" s="907"/>
      <c r="K432" s="907"/>
      <c r="L432" s="907"/>
      <c r="M432" s="907"/>
      <c r="N432" s="907"/>
      <c r="O432" s="907"/>
      <c r="P432" s="907"/>
      <c r="Q432" s="907"/>
      <c r="R432" s="907"/>
      <c r="S432" s="907"/>
      <c r="T432" s="907"/>
      <c r="U432" s="907"/>
      <c r="V432" s="907"/>
      <c r="W432" s="907"/>
      <c r="X432" s="907"/>
      <c r="Y432" s="907"/>
      <c r="Z432" s="907"/>
      <c r="AA432" s="907"/>
      <c r="AB432" s="907"/>
      <c r="AC432" s="907"/>
    </row>
    <row r="433" spans="1:29">
      <c r="A433" s="907"/>
      <c r="B433" s="907"/>
      <c r="C433" s="907"/>
      <c r="D433" s="907"/>
      <c r="E433" s="907"/>
      <c r="F433" s="907"/>
      <c r="G433" s="907"/>
      <c r="H433" s="907"/>
      <c r="I433" s="907"/>
      <c r="J433" s="907"/>
      <c r="K433" s="907"/>
      <c r="L433" s="907"/>
      <c r="M433" s="907"/>
      <c r="N433" s="907"/>
      <c r="O433" s="907"/>
      <c r="P433" s="907"/>
      <c r="Q433" s="907"/>
      <c r="R433" s="907"/>
      <c r="S433" s="907"/>
      <c r="T433" s="907"/>
      <c r="U433" s="907"/>
      <c r="V433" s="907"/>
      <c r="W433" s="907"/>
      <c r="X433" s="907"/>
      <c r="Y433" s="907"/>
      <c r="Z433" s="907"/>
      <c r="AA433" s="907"/>
      <c r="AB433" s="907"/>
      <c r="AC433" s="907"/>
    </row>
    <row r="434" spans="1:29">
      <c r="A434" s="907"/>
      <c r="B434" s="907"/>
      <c r="C434" s="907"/>
      <c r="D434" s="907"/>
      <c r="E434" s="907"/>
      <c r="F434" s="907"/>
      <c r="G434" s="907"/>
      <c r="H434" s="907"/>
      <c r="I434" s="907"/>
      <c r="J434" s="907"/>
      <c r="K434" s="907"/>
      <c r="L434" s="907"/>
      <c r="M434" s="907"/>
      <c r="N434" s="907"/>
      <c r="O434" s="907"/>
      <c r="P434" s="907"/>
      <c r="Q434" s="907"/>
      <c r="R434" s="907"/>
      <c r="S434" s="907"/>
      <c r="T434" s="907"/>
      <c r="U434" s="907"/>
      <c r="V434" s="907"/>
      <c r="W434" s="907"/>
      <c r="X434" s="907"/>
      <c r="Y434" s="907"/>
      <c r="Z434" s="907"/>
      <c r="AA434" s="907"/>
      <c r="AB434" s="907"/>
      <c r="AC434" s="907"/>
    </row>
    <row r="435" spans="1:29">
      <c r="A435" s="907"/>
      <c r="B435" s="907"/>
      <c r="C435" s="907"/>
      <c r="D435" s="907"/>
      <c r="E435" s="907"/>
      <c r="F435" s="907"/>
      <c r="G435" s="907"/>
      <c r="H435" s="907"/>
      <c r="I435" s="907"/>
      <c r="J435" s="907"/>
      <c r="K435" s="907"/>
      <c r="L435" s="907"/>
      <c r="M435" s="907"/>
      <c r="N435" s="907"/>
      <c r="O435" s="907"/>
      <c r="P435" s="907"/>
      <c r="Q435" s="907"/>
      <c r="R435" s="907"/>
      <c r="S435" s="907"/>
      <c r="T435" s="907"/>
      <c r="U435" s="907"/>
      <c r="V435" s="907"/>
      <c r="W435" s="907"/>
      <c r="X435" s="907"/>
      <c r="Y435" s="907"/>
      <c r="Z435" s="907"/>
      <c r="AA435" s="907"/>
      <c r="AB435" s="907"/>
      <c r="AC435" s="907"/>
    </row>
    <row r="436" spans="1:29">
      <c r="A436" s="907"/>
      <c r="B436" s="907"/>
      <c r="C436" s="907"/>
      <c r="D436" s="907"/>
      <c r="E436" s="907"/>
      <c r="F436" s="907"/>
      <c r="G436" s="907"/>
      <c r="H436" s="907"/>
      <c r="I436" s="907"/>
      <c r="J436" s="907"/>
      <c r="K436" s="907"/>
      <c r="L436" s="907"/>
      <c r="M436" s="907"/>
      <c r="N436" s="907"/>
      <c r="O436" s="907"/>
      <c r="P436" s="907"/>
      <c r="Q436" s="907"/>
      <c r="R436" s="907"/>
      <c r="S436" s="907"/>
      <c r="T436" s="907"/>
      <c r="U436" s="907"/>
      <c r="V436" s="907"/>
      <c r="W436" s="907"/>
      <c r="X436" s="907"/>
      <c r="Y436" s="907"/>
      <c r="Z436" s="907"/>
      <c r="AA436" s="907"/>
      <c r="AB436" s="907"/>
      <c r="AC436" s="907"/>
    </row>
    <row r="437" spans="1:29">
      <c r="A437" s="907"/>
      <c r="B437" s="907"/>
      <c r="C437" s="907"/>
      <c r="D437" s="907"/>
      <c r="E437" s="907"/>
      <c r="F437" s="907"/>
      <c r="G437" s="907"/>
      <c r="H437" s="907"/>
      <c r="I437" s="907"/>
      <c r="J437" s="907"/>
      <c r="K437" s="907"/>
      <c r="L437" s="907"/>
      <c r="M437" s="907"/>
      <c r="N437" s="907"/>
      <c r="O437" s="907"/>
      <c r="P437" s="907"/>
      <c r="Q437" s="907"/>
      <c r="R437" s="907"/>
      <c r="S437" s="907"/>
      <c r="T437" s="907"/>
      <c r="U437" s="907"/>
      <c r="V437" s="907"/>
      <c r="W437" s="907"/>
      <c r="X437" s="907"/>
      <c r="Y437" s="907"/>
      <c r="Z437" s="907"/>
      <c r="AA437" s="907"/>
      <c r="AB437" s="907"/>
      <c r="AC437" s="907"/>
    </row>
    <row r="438" spans="1:29">
      <c r="A438" s="907"/>
      <c r="B438" s="907"/>
      <c r="C438" s="907"/>
      <c r="D438" s="907"/>
      <c r="E438" s="907"/>
      <c r="F438" s="907"/>
      <c r="G438" s="907"/>
      <c r="H438" s="907"/>
      <c r="I438" s="907"/>
      <c r="J438" s="907"/>
      <c r="K438" s="907"/>
      <c r="L438" s="907"/>
      <c r="M438" s="907"/>
      <c r="N438" s="907"/>
      <c r="O438" s="907"/>
      <c r="P438" s="907"/>
      <c r="Q438" s="907"/>
      <c r="R438" s="907"/>
      <c r="S438" s="907"/>
      <c r="T438" s="907"/>
      <c r="U438" s="907"/>
      <c r="V438" s="907"/>
      <c r="W438" s="907"/>
      <c r="X438" s="907"/>
      <c r="Y438" s="907"/>
      <c r="Z438" s="907"/>
      <c r="AA438" s="907"/>
      <c r="AB438" s="907"/>
      <c r="AC438" s="907"/>
    </row>
    <row r="439" spans="1:29">
      <c r="A439" s="907"/>
      <c r="B439" s="907"/>
      <c r="C439" s="907"/>
      <c r="D439" s="907"/>
      <c r="E439" s="907"/>
      <c r="F439" s="907"/>
      <c r="G439" s="907"/>
      <c r="H439" s="907"/>
      <c r="I439" s="907"/>
      <c r="J439" s="907"/>
      <c r="K439" s="907"/>
      <c r="L439" s="907"/>
      <c r="M439" s="907"/>
      <c r="N439" s="907"/>
      <c r="O439" s="907"/>
      <c r="P439" s="907"/>
      <c r="Q439" s="907"/>
      <c r="R439" s="907"/>
      <c r="S439" s="907"/>
      <c r="T439" s="907"/>
      <c r="U439" s="907"/>
      <c r="V439" s="907"/>
      <c r="W439" s="907"/>
      <c r="X439" s="907"/>
      <c r="Y439" s="907"/>
      <c r="Z439" s="907"/>
      <c r="AA439" s="907"/>
      <c r="AB439" s="907"/>
      <c r="AC439" s="907"/>
    </row>
    <row r="440" spans="1:29">
      <c r="A440" s="907"/>
      <c r="B440" s="907"/>
      <c r="C440" s="907"/>
      <c r="D440" s="907"/>
      <c r="E440" s="907"/>
      <c r="F440" s="907"/>
      <c r="G440" s="907"/>
      <c r="H440" s="907"/>
      <c r="I440" s="907"/>
      <c r="J440" s="907"/>
      <c r="K440" s="907"/>
      <c r="L440" s="907"/>
      <c r="M440" s="907"/>
      <c r="N440" s="907"/>
      <c r="O440" s="907"/>
      <c r="P440" s="907"/>
      <c r="Q440" s="907"/>
      <c r="R440" s="907"/>
      <c r="S440" s="907"/>
      <c r="T440" s="907"/>
      <c r="U440" s="907"/>
      <c r="V440" s="907"/>
      <c r="W440" s="907"/>
      <c r="X440" s="907"/>
      <c r="Y440" s="907"/>
      <c r="Z440" s="907"/>
      <c r="AA440" s="907"/>
      <c r="AB440" s="907"/>
      <c r="AC440" s="907"/>
    </row>
    <row r="441" spans="1:29">
      <c r="A441" s="907"/>
      <c r="B441" s="907"/>
      <c r="C441" s="907"/>
      <c r="D441" s="907"/>
      <c r="E441" s="907"/>
      <c r="F441" s="907"/>
      <c r="G441" s="907"/>
      <c r="H441" s="907"/>
      <c r="I441" s="907"/>
      <c r="J441" s="907"/>
      <c r="K441" s="907"/>
      <c r="L441" s="907"/>
      <c r="M441" s="907"/>
      <c r="N441" s="907"/>
      <c r="O441" s="907"/>
      <c r="P441" s="907"/>
      <c r="Q441" s="907"/>
      <c r="R441" s="907"/>
      <c r="S441" s="907"/>
      <c r="T441" s="907"/>
      <c r="U441" s="907"/>
      <c r="V441" s="907"/>
      <c r="W441" s="907"/>
      <c r="X441" s="907"/>
      <c r="Y441" s="907"/>
      <c r="Z441" s="907"/>
      <c r="AA441" s="907"/>
      <c r="AB441" s="907"/>
      <c r="AC441" s="907"/>
    </row>
    <row r="442" spans="1:29">
      <c r="A442" s="907"/>
      <c r="B442" s="907"/>
      <c r="C442" s="907"/>
      <c r="D442" s="907"/>
      <c r="E442" s="907"/>
      <c r="F442" s="907"/>
      <c r="G442" s="907"/>
      <c r="H442" s="907"/>
      <c r="I442" s="907"/>
      <c r="J442" s="907"/>
      <c r="K442" s="907"/>
      <c r="L442" s="907"/>
      <c r="M442" s="907"/>
      <c r="N442" s="907"/>
      <c r="O442" s="907"/>
      <c r="P442" s="907"/>
      <c r="Q442" s="907"/>
      <c r="R442" s="907"/>
      <c r="S442" s="907"/>
      <c r="T442" s="907"/>
      <c r="U442" s="907"/>
      <c r="V442" s="907"/>
      <c r="W442" s="907"/>
      <c r="X442" s="907"/>
      <c r="Y442" s="907"/>
      <c r="Z442" s="907"/>
      <c r="AA442" s="907"/>
      <c r="AB442" s="907"/>
      <c r="AC442" s="907"/>
    </row>
    <row r="443" spans="1:29">
      <c r="A443" s="907"/>
      <c r="B443" s="907"/>
      <c r="C443" s="907"/>
      <c r="D443" s="907"/>
      <c r="E443" s="907"/>
      <c r="F443" s="907"/>
      <c r="G443" s="907"/>
      <c r="H443" s="907"/>
      <c r="I443" s="907"/>
      <c r="J443" s="907"/>
      <c r="K443" s="907"/>
      <c r="L443" s="907"/>
      <c r="M443" s="907"/>
      <c r="N443" s="907"/>
      <c r="O443" s="907"/>
      <c r="P443" s="907"/>
      <c r="Q443" s="907"/>
      <c r="R443" s="907"/>
      <c r="S443" s="907"/>
      <c r="T443" s="907"/>
      <c r="U443" s="907"/>
      <c r="V443" s="907"/>
      <c r="W443" s="907"/>
      <c r="X443" s="907"/>
      <c r="Y443" s="907"/>
      <c r="Z443" s="907"/>
      <c r="AA443" s="907"/>
      <c r="AB443" s="907"/>
      <c r="AC443" s="907"/>
    </row>
    <row r="444" spans="1:29">
      <c r="A444" s="907"/>
      <c r="B444" s="907"/>
      <c r="C444" s="907"/>
      <c r="D444" s="907"/>
      <c r="E444" s="907"/>
      <c r="F444" s="907"/>
      <c r="G444" s="907"/>
      <c r="H444" s="907"/>
      <c r="I444" s="907"/>
      <c r="J444" s="907"/>
      <c r="K444" s="907"/>
      <c r="L444" s="907"/>
      <c r="M444" s="907"/>
      <c r="N444" s="907"/>
      <c r="O444" s="907"/>
      <c r="P444" s="907"/>
      <c r="Q444" s="907"/>
      <c r="R444" s="907"/>
      <c r="S444" s="907"/>
      <c r="T444" s="907"/>
      <c r="U444" s="907"/>
      <c r="V444" s="907"/>
      <c r="W444" s="907"/>
      <c r="X444" s="907"/>
      <c r="Y444" s="907"/>
      <c r="Z444" s="907"/>
      <c r="AA444" s="907"/>
      <c r="AB444" s="907"/>
      <c r="AC444" s="907"/>
    </row>
    <row r="445" spans="1:29">
      <c r="A445" s="907"/>
      <c r="B445" s="907"/>
      <c r="C445" s="907"/>
      <c r="D445" s="907"/>
      <c r="E445" s="907"/>
      <c r="F445" s="907"/>
      <c r="G445" s="907"/>
      <c r="H445" s="907"/>
      <c r="I445" s="907"/>
      <c r="J445" s="907"/>
      <c r="K445" s="907"/>
      <c r="L445" s="907"/>
      <c r="M445" s="907"/>
      <c r="N445" s="907"/>
      <c r="O445" s="907"/>
      <c r="P445" s="907"/>
      <c r="Q445" s="907"/>
      <c r="R445" s="907"/>
      <c r="S445" s="907"/>
      <c r="T445" s="907"/>
      <c r="U445" s="907"/>
      <c r="V445" s="907"/>
      <c r="W445" s="907"/>
      <c r="X445" s="907"/>
      <c r="Y445" s="907"/>
      <c r="Z445" s="907"/>
      <c r="AA445" s="907"/>
      <c r="AB445" s="907"/>
      <c r="AC445" s="907"/>
    </row>
    <row r="446" spans="1:29">
      <c r="A446" s="907"/>
      <c r="B446" s="907"/>
      <c r="C446" s="907"/>
      <c r="D446" s="907"/>
      <c r="E446" s="907"/>
      <c r="F446" s="907"/>
      <c r="G446" s="907"/>
      <c r="H446" s="907"/>
      <c r="I446" s="907"/>
      <c r="J446" s="907"/>
      <c r="K446" s="907"/>
      <c r="L446" s="907"/>
      <c r="M446" s="907"/>
      <c r="N446" s="907"/>
      <c r="O446" s="907"/>
      <c r="P446" s="907"/>
      <c r="Q446" s="907"/>
      <c r="R446" s="907"/>
      <c r="S446" s="907"/>
      <c r="T446" s="907"/>
      <c r="U446" s="907"/>
      <c r="V446" s="907"/>
      <c r="W446" s="907"/>
      <c r="X446" s="907"/>
      <c r="Y446" s="907"/>
      <c r="Z446" s="907"/>
      <c r="AA446" s="907"/>
      <c r="AB446" s="907"/>
      <c r="AC446" s="907"/>
    </row>
    <row r="447" spans="1:29">
      <c r="A447" s="907"/>
      <c r="B447" s="907"/>
      <c r="C447" s="907"/>
      <c r="D447" s="907"/>
      <c r="E447" s="907"/>
      <c r="F447" s="907"/>
      <c r="G447" s="907"/>
      <c r="H447" s="907"/>
      <c r="I447" s="907"/>
      <c r="J447" s="907"/>
      <c r="K447" s="907"/>
      <c r="L447" s="907"/>
      <c r="M447" s="907"/>
      <c r="N447" s="907"/>
      <c r="O447" s="907"/>
      <c r="P447" s="907"/>
      <c r="Q447" s="907"/>
      <c r="R447" s="907"/>
      <c r="S447" s="907"/>
      <c r="T447" s="907"/>
      <c r="U447" s="907"/>
      <c r="V447" s="907"/>
      <c r="W447" s="907"/>
      <c r="X447" s="907"/>
      <c r="Y447" s="907"/>
      <c r="Z447" s="907"/>
      <c r="AA447" s="907"/>
      <c r="AB447" s="907"/>
      <c r="AC447" s="907"/>
    </row>
    <row r="448" spans="1:29">
      <c r="A448" s="907"/>
      <c r="B448" s="907"/>
      <c r="C448" s="907"/>
      <c r="D448" s="907"/>
      <c r="E448" s="907"/>
      <c r="F448" s="907"/>
      <c r="G448" s="907"/>
      <c r="H448" s="907"/>
      <c r="I448" s="907"/>
      <c r="J448" s="907"/>
      <c r="K448" s="907"/>
      <c r="L448" s="907"/>
      <c r="M448" s="907"/>
      <c r="N448" s="907"/>
      <c r="O448" s="907"/>
      <c r="P448" s="907"/>
      <c r="Q448" s="907"/>
      <c r="R448" s="907"/>
      <c r="S448" s="907"/>
      <c r="T448" s="907"/>
      <c r="U448" s="907"/>
      <c r="V448" s="907"/>
      <c r="W448" s="907"/>
      <c r="X448" s="907"/>
      <c r="Y448" s="907"/>
      <c r="Z448" s="907"/>
      <c r="AA448" s="907"/>
      <c r="AB448" s="907"/>
      <c r="AC448" s="907"/>
    </row>
    <row r="449" spans="1:29">
      <c r="A449" s="907"/>
      <c r="B449" s="907"/>
      <c r="C449" s="907"/>
      <c r="D449" s="907"/>
      <c r="E449" s="907"/>
      <c r="F449" s="907"/>
      <c r="G449" s="907"/>
      <c r="H449" s="907"/>
      <c r="I449" s="907"/>
      <c r="J449" s="907"/>
      <c r="K449" s="907"/>
      <c r="L449" s="907"/>
      <c r="M449" s="907"/>
      <c r="N449" s="907"/>
      <c r="O449" s="907"/>
      <c r="P449" s="907"/>
      <c r="Q449" s="907"/>
      <c r="R449" s="907"/>
      <c r="S449" s="907"/>
      <c r="T449" s="907"/>
      <c r="U449" s="907"/>
      <c r="V449" s="907"/>
      <c r="W449" s="907"/>
      <c r="X449" s="907"/>
      <c r="Y449" s="907"/>
      <c r="Z449" s="907"/>
      <c r="AA449" s="907"/>
      <c r="AB449" s="907"/>
      <c r="AC449" s="907"/>
    </row>
    <row r="450" spans="1:29">
      <c r="A450" s="907"/>
      <c r="B450" s="907"/>
      <c r="C450" s="907"/>
      <c r="D450" s="907"/>
      <c r="E450" s="907"/>
      <c r="F450" s="907"/>
      <c r="G450" s="907"/>
      <c r="H450" s="907"/>
      <c r="I450" s="907"/>
      <c r="J450" s="907"/>
      <c r="K450" s="907"/>
      <c r="L450" s="907"/>
      <c r="M450" s="907"/>
      <c r="N450" s="907"/>
      <c r="O450" s="907"/>
      <c r="P450" s="907"/>
      <c r="Q450" s="907"/>
      <c r="R450" s="907"/>
      <c r="S450" s="907"/>
      <c r="T450" s="907"/>
      <c r="U450" s="907"/>
      <c r="V450" s="907"/>
      <c r="W450" s="907"/>
      <c r="X450" s="907"/>
      <c r="Y450" s="907"/>
      <c r="Z450" s="907"/>
      <c r="AA450" s="907"/>
      <c r="AB450" s="907"/>
      <c r="AC450" s="907"/>
    </row>
    <row r="451" spans="1:29">
      <c r="A451" s="907"/>
      <c r="B451" s="907"/>
      <c r="C451" s="907"/>
      <c r="D451" s="907"/>
      <c r="E451" s="907"/>
      <c r="F451" s="907"/>
      <c r="G451" s="907"/>
      <c r="H451" s="907"/>
      <c r="I451" s="907"/>
      <c r="J451" s="907"/>
      <c r="K451" s="907"/>
      <c r="L451" s="907"/>
      <c r="M451" s="907"/>
      <c r="N451" s="907"/>
      <c r="O451" s="907"/>
      <c r="P451" s="907"/>
      <c r="Q451" s="907"/>
      <c r="R451" s="907"/>
      <c r="S451" s="907"/>
      <c r="T451" s="907"/>
      <c r="U451" s="907"/>
      <c r="V451" s="907"/>
      <c r="W451" s="907"/>
      <c r="X451" s="907"/>
      <c r="Y451" s="907"/>
      <c r="Z451" s="907"/>
      <c r="AA451" s="907"/>
      <c r="AB451" s="907"/>
      <c r="AC451" s="907"/>
    </row>
    <row r="452" spans="1:29">
      <c r="A452" s="907"/>
      <c r="B452" s="907"/>
      <c r="C452" s="907"/>
      <c r="D452" s="907"/>
      <c r="E452" s="907"/>
      <c r="F452" s="907"/>
      <c r="G452" s="907"/>
      <c r="H452" s="907"/>
      <c r="I452" s="907"/>
      <c r="J452" s="907"/>
      <c r="K452" s="907"/>
      <c r="L452" s="907"/>
      <c r="M452" s="907"/>
      <c r="N452" s="907"/>
      <c r="O452" s="907"/>
      <c r="P452" s="907"/>
      <c r="Q452" s="907"/>
      <c r="R452" s="907"/>
      <c r="S452" s="907"/>
      <c r="T452" s="907"/>
      <c r="U452" s="907"/>
      <c r="V452" s="907"/>
      <c r="W452" s="907"/>
      <c r="X452" s="907"/>
      <c r="Y452" s="907"/>
      <c r="Z452" s="907"/>
      <c r="AA452" s="907"/>
      <c r="AB452" s="907"/>
      <c r="AC452" s="907"/>
    </row>
    <row r="453" spans="1:29">
      <c r="A453" s="907"/>
      <c r="B453" s="907"/>
      <c r="C453" s="907"/>
      <c r="D453" s="907"/>
      <c r="E453" s="907"/>
      <c r="F453" s="907"/>
      <c r="G453" s="907"/>
      <c r="H453" s="907"/>
      <c r="I453" s="907"/>
      <c r="J453" s="907"/>
      <c r="K453" s="907"/>
      <c r="L453" s="907"/>
      <c r="M453" s="907"/>
      <c r="N453" s="907"/>
      <c r="O453" s="907"/>
      <c r="P453" s="907"/>
      <c r="Q453" s="907"/>
      <c r="R453" s="907"/>
      <c r="S453" s="907"/>
      <c r="T453" s="907"/>
      <c r="U453" s="907"/>
      <c r="V453" s="907"/>
      <c r="W453" s="907"/>
      <c r="X453" s="907"/>
      <c r="Y453" s="907"/>
      <c r="Z453" s="907"/>
      <c r="AA453" s="907"/>
      <c r="AB453" s="907"/>
      <c r="AC453" s="907"/>
    </row>
    <row r="454" spans="1:29">
      <c r="A454" s="907"/>
      <c r="B454" s="907"/>
      <c r="C454" s="907"/>
      <c r="D454" s="907"/>
      <c r="E454" s="907"/>
      <c r="F454" s="907"/>
      <c r="G454" s="907"/>
      <c r="H454" s="907"/>
      <c r="I454" s="907"/>
      <c r="J454" s="907"/>
      <c r="K454" s="907"/>
      <c r="L454" s="907"/>
      <c r="M454" s="907"/>
      <c r="N454" s="907"/>
      <c r="O454" s="907"/>
      <c r="P454" s="907"/>
      <c r="Q454" s="907"/>
      <c r="R454" s="907"/>
      <c r="S454" s="907"/>
      <c r="T454" s="907"/>
      <c r="U454" s="907"/>
      <c r="V454" s="907"/>
      <c r="W454" s="907"/>
      <c r="X454" s="907"/>
      <c r="Y454" s="907"/>
      <c r="Z454" s="907"/>
      <c r="AA454" s="907"/>
      <c r="AB454" s="907"/>
      <c r="AC454" s="907"/>
    </row>
    <row r="455" spans="1:29">
      <c r="A455" s="907"/>
      <c r="B455" s="907"/>
      <c r="C455" s="907"/>
      <c r="D455" s="907"/>
      <c r="E455" s="907"/>
      <c r="F455" s="907"/>
      <c r="G455" s="907"/>
      <c r="H455" s="907"/>
      <c r="I455" s="907"/>
      <c r="J455" s="907"/>
      <c r="K455" s="907"/>
      <c r="L455" s="907"/>
      <c r="M455" s="907"/>
      <c r="N455" s="907"/>
      <c r="O455" s="907"/>
      <c r="P455" s="907"/>
      <c r="Q455" s="907"/>
      <c r="R455" s="907"/>
      <c r="S455" s="907"/>
      <c r="T455" s="907"/>
      <c r="U455" s="907"/>
      <c r="V455" s="907"/>
      <c r="W455" s="907"/>
      <c r="X455" s="907"/>
      <c r="Y455" s="907"/>
      <c r="Z455" s="907"/>
      <c r="AA455" s="907"/>
      <c r="AB455" s="907"/>
      <c r="AC455" s="907"/>
    </row>
    <row r="456" spans="1:29">
      <c r="A456" s="907"/>
      <c r="B456" s="907"/>
      <c r="C456" s="907"/>
      <c r="D456" s="907"/>
      <c r="E456" s="907"/>
      <c r="F456" s="907"/>
      <c r="G456" s="907"/>
      <c r="H456" s="907"/>
      <c r="I456" s="907"/>
      <c r="J456" s="907"/>
      <c r="K456" s="907"/>
      <c r="L456" s="907"/>
      <c r="M456" s="907"/>
      <c r="N456" s="907"/>
      <c r="O456" s="907"/>
      <c r="P456" s="907"/>
      <c r="Q456" s="907"/>
      <c r="R456" s="907"/>
      <c r="S456" s="907"/>
      <c r="T456" s="907"/>
      <c r="U456" s="907"/>
      <c r="V456" s="907"/>
      <c r="W456" s="907"/>
      <c r="X456" s="907"/>
      <c r="Y456" s="907"/>
      <c r="Z456" s="907"/>
      <c r="AA456" s="907"/>
      <c r="AB456" s="907"/>
      <c r="AC456" s="907"/>
    </row>
    <row r="457" spans="1:29">
      <c r="A457" s="907"/>
      <c r="B457" s="907"/>
      <c r="C457" s="907"/>
      <c r="D457" s="907"/>
      <c r="E457" s="907"/>
      <c r="F457" s="907"/>
      <c r="G457" s="907"/>
      <c r="H457" s="907"/>
      <c r="I457" s="907"/>
      <c r="J457" s="907"/>
      <c r="K457" s="907"/>
      <c r="L457" s="907"/>
      <c r="M457" s="907"/>
      <c r="N457" s="907"/>
      <c r="O457" s="907"/>
      <c r="P457" s="907"/>
      <c r="Q457" s="907"/>
      <c r="R457" s="907"/>
      <c r="S457" s="907"/>
      <c r="T457" s="907"/>
      <c r="U457" s="907"/>
      <c r="V457" s="907"/>
      <c r="W457" s="907"/>
      <c r="X457" s="907"/>
      <c r="Y457" s="907"/>
      <c r="Z457" s="907"/>
      <c r="AA457" s="907"/>
      <c r="AB457" s="907"/>
      <c r="AC457" s="907"/>
    </row>
    <row r="458" spans="1:29">
      <c r="A458" s="907"/>
      <c r="B458" s="907"/>
      <c r="C458" s="907"/>
      <c r="D458" s="907"/>
      <c r="E458" s="907"/>
      <c r="F458" s="907"/>
      <c r="G458" s="907"/>
      <c r="H458" s="907"/>
      <c r="I458" s="907"/>
      <c r="J458" s="907"/>
      <c r="K458" s="907"/>
      <c r="L458" s="907"/>
      <c r="M458" s="907"/>
      <c r="N458" s="907"/>
      <c r="O458" s="907"/>
      <c r="P458" s="907"/>
      <c r="Q458" s="907"/>
      <c r="R458" s="907"/>
      <c r="S458" s="907"/>
      <c r="T458" s="907"/>
      <c r="U458" s="907"/>
      <c r="V458" s="907"/>
      <c r="W458" s="907"/>
      <c r="X458" s="907"/>
      <c r="Y458" s="907"/>
      <c r="Z458" s="907"/>
      <c r="AA458" s="907"/>
      <c r="AB458" s="907"/>
      <c r="AC458" s="907"/>
    </row>
    <row r="459" spans="1:29">
      <c r="A459" s="907"/>
      <c r="B459" s="907"/>
      <c r="C459" s="907"/>
      <c r="D459" s="907"/>
      <c r="E459" s="907"/>
      <c r="F459" s="907"/>
      <c r="G459" s="907"/>
      <c r="H459" s="907"/>
      <c r="I459" s="907"/>
      <c r="J459" s="907"/>
      <c r="K459" s="907"/>
      <c r="L459" s="907"/>
      <c r="M459" s="907"/>
      <c r="N459" s="907"/>
      <c r="O459" s="907"/>
      <c r="P459" s="907"/>
      <c r="Q459" s="907"/>
      <c r="R459" s="907"/>
      <c r="S459" s="907"/>
      <c r="T459" s="907"/>
      <c r="U459" s="907"/>
      <c r="V459" s="907"/>
      <c r="W459" s="907"/>
      <c r="X459" s="907"/>
      <c r="Y459" s="907"/>
      <c r="Z459" s="907"/>
      <c r="AA459" s="907"/>
      <c r="AB459" s="907"/>
      <c r="AC459" s="907"/>
    </row>
    <row r="460" spans="1:29">
      <c r="A460" s="907"/>
      <c r="B460" s="907"/>
      <c r="C460" s="907"/>
      <c r="D460" s="907"/>
      <c r="E460" s="907"/>
      <c r="F460" s="907"/>
      <c r="G460" s="907"/>
      <c r="H460" s="907"/>
      <c r="I460" s="907"/>
      <c r="J460" s="907"/>
      <c r="K460" s="907"/>
      <c r="L460" s="907"/>
      <c r="M460" s="907"/>
      <c r="N460" s="907"/>
      <c r="O460" s="907"/>
      <c r="P460" s="907"/>
      <c r="Q460" s="907"/>
      <c r="R460" s="907"/>
      <c r="S460" s="907"/>
      <c r="T460" s="907"/>
      <c r="U460" s="907"/>
      <c r="V460" s="907"/>
      <c r="W460" s="907"/>
      <c r="X460" s="907"/>
      <c r="Y460" s="907"/>
      <c r="Z460" s="907"/>
      <c r="AA460" s="907"/>
      <c r="AB460" s="907"/>
      <c r="AC460" s="907"/>
    </row>
    <row r="461" spans="1:29">
      <c r="A461" s="907"/>
      <c r="B461" s="907"/>
      <c r="C461" s="907"/>
      <c r="D461" s="907"/>
      <c r="E461" s="907"/>
      <c r="F461" s="907"/>
      <c r="G461" s="907"/>
      <c r="H461" s="907"/>
      <c r="I461" s="907"/>
      <c r="J461" s="907"/>
      <c r="K461" s="907"/>
      <c r="L461" s="907"/>
      <c r="M461" s="907"/>
      <c r="N461" s="907"/>
      <c r="O461" s="907"/>
      <c r="P461" s="907"/>
      <c r="Q461" s="907"/>
      <c r="R461" s="907"/>
      <c r="S461" s="907"/>
      <c r="T461" s="907"/>
      <c r="U461" s="907"/>
      <c r="V461" s="907"/>
      <c r="W461" s="907"/>
      <c r="X461" s="907"/>
      <c r="Y461" s="907"/>
      <c r="Z461" s="907"/>
      <c r="AA461" s="907"/>
      <c r="AB461" s="907"/>
      <c r="AC461" s="907"/>
    </row>
    <row r="462" spans="1:29">
      <c r="A462" s="907"/>
      <c r="B462" s="907"/>
      <c r="C462" s="907"/>
      <c r="D462" s="907"/>
      <c r="E462" s="907"/>
      <c r="F462" s="907"/>
      <c r="G462" s="907"/>
      <c r="H462" s="907"/>
      <c r="I462" s="907"/>
      <c r="J462" s="907"/>
      <c r="K462" s="907"/>
      <c r="L462" s="907"/>
      <c r="M462" s="907"/>
      <c r="N462" s="907"/>
      <c r="O462" s="907"/>
      <c r="P462" s="907"/>
      <c r="Q462" s="907"/>
      <c r="R462" s="907"/>
      <c r="S462" s="907"/>
      <c r="T462" s="907"/>
      <c r="U462" s="907"/>
      <c r="V462" s="907"/>
      <c r="W462" s="907"/>
      <c r="X462" s="907"/>
      <c r="Y462" s="907"/>
      <c r="Z462" s="907"/>
      <c r="AA462" s="907"/>
      <c r="AB462" s="907"/>
      <c r="AC462" s="907"/>
    </row>
    <row r="463" spans="1:29">
      <c r="A463" s="907"/>
      <c r="B463" s="907"/>
      <c r="C463" s="907"/>
      <c r="D463" s="907"/>
      <c r="E463" s="907"/>
      <c r="F463" s="907"/>
      <c r="G463" s="907"/>
      <c r="H463" s="907"/>
      <c r="I463" s="907"/>
      <c r="J463" s="907"/>
      <c r="K463" s="907"/>
      <c r="L463" s="907"/>
      <c r="M463" s="907"/>
      <c r="N463" s="907"/>
      <c r="O463" s="907"/>
      <c r="P463" s="907"/>
      <c r="Q463" s="907"/>
      <c r="R463" s="907"/>
      <c r="S463" s="907"/>
      <c r="T463" s="907"/>
      <c r="U463" s="907"/>
      <c r="V463" s="907"/>
      <c r="W463" s="907"/>
      <c r="X463" s="907"/>
      <c r="Y463" s="907"/>
      <c r="Z463" s="907"/>
      <c r="AA463" s="907"/>
      <c r="AB463" s="907"/>
      <c r="AC463" s="907"/>
    </row>
    <row r="464" spans="1:29">
      <c r="A464" s="907"/>
      <c r="B464" s="907"/>
      <c r="C464" s="907"/>
      <c r="D464" s="907"/>
      <c r="E464" s="907"/>
      <c r="F464" s="907"/>
      <c r="G464" s="907"/>
      <c r="H464" s="907"/>
      <c r="I464" s="907"/>
      <c r="J464" s="907"/>
      <c r="K464" s="907"/>
      <c r="L464" s="907"/>
      <c r="M464" s="907"/>
      <c r="N464" s="907"/>
      <c r="O464" s="907"/>
      <c r="P464" s="907"/>
      <c r="Q464" s="907"/>
      <c r="R464" s="907"/>
      <c r="S464" s="907"/>
      <c r="T464" s="907"/>
      <c r="U464" s="907"/>
      <c r="V464" s="907"/>
      <c r="W464" s="907"/>
      <c r="X464" s="907"/>
      <c r="Y464" s="907"/>
      <c r="Z464" s="907"/>
      <c r="AA464" s="907"/>
      <c r="AB464" s="907"/>
      <c r="AC464" s="907"/>
    </row>
    <row r="465" spans="1:29">
      <c r="A465" s="907"/>
      <c r="B465" s="907"/>
      <c r="C465" s="907"/>
      <c r="D465" s="907"/>
      <c r="E465" s="907"/>
      <c r="F465" s="907"/>
      <c r="G465" s="907"/>
      <c r="H465" s="907"/>
      <c r="I465" s="907"/>
      <c r="J465" s="907"/>
      <c r="K465" s="907"/>
      <c r="L465" s="907"/>
      <c r="M465" s="907"/>
      <c r="N465" s="907"/>
      <c r="O465" s="907"/>
      <c r="P465" s="907"/>
      <c r="Q465" s="907"/>
      <c r="R465" s="907"/>
      <c r="S465" s="907"/>
      <c r="T465" s="907"/>
      <c r="U465" s="907"/>
      <c r="V465" s="907"/>
      <c r="W465" s="907"/>
      <c r="X465" s="907"/>
      <c r="Y465" s="907"/>
      <c r="Z465" s="907"/>
      <c r="AA465" s="907"/>
      <c r="AB465" s="907"/>
      <c r="AC465" s="907"/>
    </row>
    <row r="466" spans="1:29">
      <c r="A466" s="907"/>
      <c r="B466" s="907"/>
      <c r="C466" s="907"/>
      <c r="D466" s="907"/>
      <c r="E466" s="907"/>
      <c r="F466" s="907"/>
      <c r="G466" s="907"/>
      <c r="H466" s="907"/>
      <c r="I466" s="907"/>
      <c r="J466" s="907"/>
      <c r="K466" s="907"/>
      <c r="L466" s="907"/>
      <c r="M466" s="907"/>
      <c r="N466" s="907"/>
      <c r="O466" s="907"/>
      <c r="P466" s="907"/>
      <c r="Q466" s="907"/>
      <c r="R466" s="907"/>
      <c r="S466" s="907"/>
      <c r="T466" s="907"/>
      <c r="U466" s="907"/>
      <c r="V466" s="907"/>
      <c r="W466" s="907"/>
      <c r="X466" s="907"/>
      <c r="Y466" s="907"/>
      <c r="Z466" s="907"/>
      <c r="AA466" s="907"/>
      <c r="AB466" s="907"/>
      <c r="AC466" s="907"/>
    </row>
    <row r="467" spans="1:29">
      <c r="A467" s="907"/>
      <c r="B467" s="907"/>
      <c r="C467" s="907"/>
      <c r="D467" s="907"/>
      <c r="E467" s="907"/>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c r="AB467" s="907"/>
      <c r="AC467" s="907"/>
    </row>
    <row r="468" spans="1:29">
      <c r="A468" s="907"/>
      <c r="B468" s="907"/>
      <c r="C468" s="907"/>
      <c r="D468" s="907"/>
      <c r="E468" s="90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c r="AB468" s="907"/>
      <c r="AC468" s="907"/>
    </row>
    <row r="469" spans="1:29">
      <c r="A469" s="907"/>
      <c r="B469" s="907"/>
      <c r="C469" s="907"/>
      <c r="D469" s="907"/>
      <c r="E469" s="907"/>
      <c r="F469" s="907"/>
      <c r="G469" s="907"/>
      <c r="H469" s="907"/>
      <c r="I469" s="907"/>
      <c r="J469" s="907"/>
      <c r="K469" s="907"/>
      <c r="L469" s="907"/>
      <c r="M469" s="907"/>
      <c r="N469" s="907"/>
      <c r="O469" s="907"/>
      <c r="P469" s="907"/>
      <c r="Q469" s="907"/>
      <c r="R469" s="907"/>
      <c r="S469" s="907"/>
      <c r="T469" s="907"/>
      <c r="U469" s="907"/>
      <c r="V469" s="907"/>
      <c r="W469" s="907"/>
      <c r="X469" s="907"/>
      <c r="Y469" s="907"/>
      <c r="Z469" s="907"/>
      <c r="AA469" s="907"/>
      <c r="AB469" s="907"/>
      <c r="AC469" s="907"/>
    </row>
    <row r="470" spans="1:29">
      <c r="A470" s="907"/>
      <c r="B470" s="907"/>
      <c r="C470" s="907"/>
      <c r="D470" s="907"/>
      <c r="E470" s="907"/>
      <c r="F470" s="907"/>
      <c r="G470" s="907"/>
      <c r="H470" s="907"/>
      <c r="I470" s="907"/>
      <c r="J470" s="907"/>
      <c r="K470" s="907"/>
      <c r="L470" s="907"/>
      <c r="M470" s="907"/>
      <c r="N470" s="907"/>
      <c r="O470" s="907"/>
      <c r="P470" s="907"/>
      <c r="Q470" s="907"/>
      <c r="R470" s="907"/>
      <c r="S470" s="907"/>
      <c r="T470" s="907"/>
      <c r="U470" s="907"/>
      <c r="V470" s="907"/>
      <c r="W470" s="907"/>
      <c r="X470" s="907"/>
      <c r="Y470" s="907"/>
      <c r="Z470" s="907"/>
      <c r="AA470" s="907"/>
      <c r="AB470" s="907"/>
      <c r="AC470" s="907"/>
    </row>
    <row r="471" spans="1:29">
      <c r="A471" s="907"/>
      <c r="B471" s="907"/>
      <c r="C471" s="907"/>
      <c r="D471" s="907"/>
      <c r="E471" s="907"/>
      <c r="F471" s="907"/>
      <c r="G471" s="907"/>
      <c r="H471" s="907"/>
      <c r="I471" s="907"/>
      <c r="J471" s="907"/>
      <c r="K471" s="907"/>
      <c r="L471" s="907"/>
      <c r="M471" s="907"/>
      <c r="N471" s="907"/>
      <c r="O471" s="907"/>
      <c r="P471" s="907"/>
      <c r="Q471" s="907"/>
      <c r="R471" s="907"/>
      <c r="S471" s="907"/>
      <c r="T471" s="907"/>
      <c r="U471" s="907"/>
      <c r="V471" s="907"/>
      <c r="W471" s="907"/>
      <c r="X471" s="907"/>
      <c r="Y471" s="907"/>
      <c r="Z471" s="907"/>
      <c r="AA471" s="907"/>
      <c r="AB471" s="907"/>
      <c r="AC471" s="907"/>
    </row>
    <row r="472" spans="1:29">
      <c r="A472" s="907"/>
      <c r="B472" s="907"/>
      <c r="C472" s="907"/>
      <c r="D472" s="907"/>
      <c r="E472" s="907"/>
      <c r="F472" s="907"/>
      <c r="G472" s="907"/>
      <c r="H472" s="907"/>
      <c r="I472" s="907"/>
      <c r="J472" s="907"/>
      <c r="K472" s="907"/>
      <c r="L472" s="907"/>
      <c r="M472" s="907"/>
      <c r="N472" s="907"/>
      <c r="O472" s="907"/>
      <c r="P472" s="907"/>
      <c r="Q472" s="907"/>
      <c r="R472" s="907"/>
      <c r="S472" s="907"/>
      <c r="T472" s="907"/>
      <c r="U472" s="907"/>
      <c r="V472" s="907"/>
      <c r="W472" s="907"/>
      <c r="X472" s="907"/>
      <c r="Y472" s="907"/>
      <c r="Z472" s="907"/>
      <c r="AA472" s="907"/>
      <c r="AB472" s="907"/>
      <c r="AC472" s="907"/>
    </row>
    <row r="473" spans="1:29">
      <c r="A473" s="907"/>
      <c r="B473" s="907"/>
      <c r="C473" s="907"/>
      <c r="D473" s="907"/>
      <c r="E473" s="907"/>
      <c r="F473" s="907"/>
      <c r="G473" s="907"/>
      <c r="H473" s="907"/>
      <c r="I473" s="907"/>
      <c r="J473" s="907"/>
      <c r="K473" s="907"/>
      <c r="L473" s="907"/>
      <c r="M473" s="907"/>
      <c r="N473" s="907"/>
      <c r="O473" s="907"/>
      <c r="P473" s="907"/>
      <c r="Q473" s="907"/>
      <c r="R473" s="907"/>
      <c r="S473" s="907"/>
      <c r="T473" s="907"/>
      <c r="U473" s="907"/>
      <c r="V473" s="907"/>
      <c r="W473" s="907"/>
      <c r="X473" s="907"/>
      <c r="Y473" s="907"/>
      <c r="Z473" s="907"/>
      <c r="AA473" s="907"/>
      <c r="AB473" s="907"/>
      <c r="AC473" s="907"/>
    </row>
    <row r="474" spans="1:29">
      <c r="A474" s="907"/>
      <c r="B474" s="907"/>
      <c r="C474" s="907"/>
      <c r="D474" s="907"/>
      <c r="E474" s="907"/>
      <c r="F474" s="907"/>
      <c r="G474" s="907"/>
      <c r="H474" s="907"/>
      <c r="I474" s="907"/>
      <c r="J474" s="907"/>
      <c r="K474" s="907"/>
      <c r="L474" s="907"/>
      <c r="M474" s="907"/>
      <c r="N474" s="907"/>
      <c r="O474" s="907"/>
      <c r="P474" s="907"/>
      <c r="Q474" s="907"/>
      <c r="R474" s="907"/>
      <c r="S474" s="907"/>
      <c r="T474" s="907"/>
      <c r="U474" s="907"/>
      <c r="V474" s="907"/>
      <c r="W474" s="907"/>
      <c r="X474" s="907"/>
      <c r="Y474" s="907"/>
      <c r="Z474" s="907"/>
      <c r="AA474" s="907"/>
      <c r="AB474" s="907"/>
      <c r="AC474" s="907"/>
    </row>
    <row r="475" spans="1:29">
      <c r="A475" s="907"/>
      <c r="B475" s="907"/>
      <c r="C475" s="907"/>
      <c r="D475" s="907"/>
      <c r="E475" s="907"/>
      <c r="F475" s="907"/>
      <c r="G475" s="907"/>
      <c r="H475" s="907"/>
      <c r="I475" s="907"/>
      <c r="J475" s="907"/>
      <c r="K475" s="907"/>
      <c r="L475" s="907"/>
      <c r="M475" s="907"/>
      <c r="N475" s="907"/>
      <c r="O475" s="907"/>
      <c r="P475" s="907"/>
      <c r="Q475" s="907"/>
      <c r="R475" s="907"/>
      <c r="S475" s="907"/>
      <c r="T475" s="907"/>
      <c r="U475" s="907"/>
      <c r="V475" s="907"/>
      <c r="W475" s="907"/>
      <c r="X475" s="907"/>
      <c r="Y475" s="907"/>
      <c r="Z475" s="907"/>
      <c r="AA475" s="907"/>
      <c r="AB475" s="907"/>
      <c r="AC475" s="907"/>
    </row>
    <row r="476" spans="1:29">
      <c r="A476" s="907"/>
      <c r="B476" s="907"/>
      <c r="C476" s="907"/>
      <c r="D476" s="907"/>
      <c r="E476" s="907"/>
      <c r="F476" s="907"/>
      <c r="G476" s="907"/>
      <c r="H476" s="907"/>
      <c r="I476" s="907"/>
      <c r="J476" s="907"/>
      <c r="K476" s="907"/>
      <c r="L476" s="907"/>
      <c r="M476" s="907"/>
      <c r="N476" s="907"/>
      <c r="O476" s="907"/>
      <c r="P476" s="907"/>
      <c r="Q476" s="907"/>
      <c r="R476" s="907"/>
      <c r="S476" s="907"/>
      <c r="T476" s="907"/>
      <c r="U476" s="907"/>
      <c r="V476" s="907"/>
      <c r="W476" s="907"/>
      <c r="X476" s="907"/>
      <c r="Y476" s="907"/>
      <c r="Z476" s="907"/>
      <c r="AA476" s="907"/>
      <c r="AB476" s="907"/>
      <c r="AC476" s="907"/>
    </row>
    <row r="477" spans="1:29">
      <c r="A477" s="907"/>
      <c r="B477" s="907"/>
      <c r="C477" s="907"/>
      <c r="D477" s="907"/>
      <c r="E477" s="907"/>
      <c r="F477" s="907"/>
      <c r="G477" s="907"/>
      <c r="H477" s="907"/>
      <c r="I477" s="907"/>
      <c r="J477" s="907"/>
      <c r="K477" s="907"/>
      <c r="L477" s="907"/>
      <c r="M477" s="907"/>
      <c r="N477" s="907"/>
      <c r="O477" s="907"/>
      <c r="P477" s="907"/>
      <c r="Q477" s="907"/>
      <c r="R477" s="907"/>
      <c r="S477" s="907"/>
      <c r="T477" s="907"/>
      <c r="U477" s="907"/>
      <c r="V477" s="907"/>
      <c r="W477" s="907"/>
      <c r="X477" s="907"/>
      <c r="Y477" s="907"/>
      <c r="Z477" s="907"/>
      <c r="AA477" s="907"/>
      <c r="AB477" s="907"/>
      <c r="AC477" s="907"/>
    </row>
    <row r="478" spans="1:29">
      <c r="A478" s="907"/>
      <c r="B478" s="907"/>
      <c r="C478" s="907"/>
      <c r="D478" s="907"/>
      <c r="E478" s="907"/>
      <c r="F478" s="907"/>
      <c r="G478" s="907"/>
      <c r="H478" s="907"/>
      <c r="I478" s="907"/>
      <c r="J478" s="907"/>
      <c r="K478" s="907"/>
      <c r="L478" s="907"/>
      <c r="M478" s="907"/>
      <c r="N478" s="907"/>
      <c r="O478" s="907"/>
      <c r="P478" s="907"/>
      <c r="Q478" s="907"/>
      <c r="R478" s="907"/>
      <c r="S478" s="907"/>
      <c r="T478" s="907"/>
      <c r="U478" s="907"/>
      <c r="V478" s="907"/>
      <c r="W478" s="907"/>
      <c r="X478" s="907"/>
      <c r="Y478" s="907"/>
      <c r="Z478" s="907"/>
      <c r="AA478" s="907"/>
      <c r="AB478" s="907"/>
      <c r="AC478" s="907"/>
    </row>
    <row r="479" spans="1:29">
      <c r="A479" s="907"/>
      <c r="B479" s="907"/>
      <c r="C479" s="907"/>
      <c r="D479" s="907"/>
      <c r="E479" s="907"/>
      <c r="F479" s="907"/>
      <c r="G479" s="907"/>
      <c r="H479" s="907"/>
      <c r="I479" s="907"/>
      <c r="J479" s="907"/>
      <c r="K479" s="907"/>
      <c r="L479" s="907"/>
      <c r="M479" s="907"/>
      <c r="N479" s="907"/>
      <c r="O479" s="907"/>
      <c r="P479" s="907"/>
      <c r="Q479" s="907"/>
      <c r="R479" s="907"/>
      <c r="S479" s="907"/>
      <c r="T479" s="907"/>
      <c r="U479" s="907"/>
      <c r="V479" s="907"/>
      <c r="W479" s="907"/>
      <c r="X479" s="907"/>
      <c r="Y479" s="907"/>
      <c r="Z479" s="907"/>
      <c r="AA479" s="907"/>
      <c r="AB479" s="907"/>
      <c r="AC479" s="907"/>
    </row>
    <row r="480" spans="1:29">
      <c r="A480" s="907"/>
      <c r="B480" s="907"/>
      <c r="C480" s="907"/>
      <c r="D480" s="907"/>
      <c r="E480" s="907"/>
      <c r="F480" s="907"/>
      <c r="G480" s="907"/>
      <c r="H480" s="907"/>
      <c r="I480" s="907"/>
      <c r="J480" s="907"/>
      <c r="K480" s="907"/>
      <c r="L480" s="907"/>
      <c r="M480" s="907"/>
      <c r="N480" s="907"/>
      <c r="O480" s="907"/>
      <c r="P480" s="907"/>
      <c r="Q480" s="907"/>
      <c r="R480" s="907"/>
      <c r="S480" s="907"/>
      <c r="T480" s="907"/>
      <c r="U480" s="907"/>
      <c r="V480" s="907"/>
      <c r="W480" s="907"/>
      <c r="X480" s="907"/>
      <c r="Y480" s="907"/>
      <c r="Z480" s="907"/>
      <c r="AA480" s="907"/>
      <c r="AB480" s="907"/>
      <c r="AC480" s="907"/>
    </row>
    <row r="481" spans="1:29">
      <c r="A481" s="907"/>
      <c r="B481" s="907"/>
      <c r="C481" s="907"/>
      <c r="D481" s="907"/>
      <c r="E481" s="907"/>
      <c r="F481" s="907"/>
      <c r="G481" s="907"/>
      <c r="H481" s="907"/>
      <c r="I481" s="907"/>
      <c r="J481" s="907"/>
      <c r="K481" s="907"/>
      <c r="L481" s="907"/>
      <c r="M481" s="907"/>
      <c r="N481" s="907"/>
      <c r="O481" s="907"/>
      <c r="P481" s="907"/>
      <c r="Q481" s="907"/>
      <c r="R481" s="907"/>
      <c r="S481" s="907"/>
      <c r="T481" s="907"/>
      <c r="U481" s="907"/>
      <c r="V481" s="907"/>
      <c r="W481" s="907"/>
      <c r="X481" s="907"/>
      <c r="Y481" s="907"/>
      <c r="Z481" s="907"/>
      <c r="AA481" s="907"/>
      <c r="AB481" s="907"/>
      <c r="AC481" s="907"/>
    </row>
    <row r="482" spans="1:29">
      <c r="A482" s="907"/>
      <c r="B482" s="907"/>
      <c r="C482" s="907"/>
      <c r="D482" s="907"/>
      <c r="E482" s="907"/>
      <c r="F482" s="907"/>
      <c r="G482" s="907"/>
      <c r="H482" s="907"/>
      <c r="I482" s="907"/>
      <c r="J482" s="907"/>
      <c r="K482" s="907"/>
      <c r="L482" s="907"/>
      <c r="M482" s="907"/>
      <c r="N482" s="907"/>
      <c r="O482" s="907"/>
      <c r="P482" s="907"/>
      <c r="Q482" s="907"/>
      <c r="R482" s="907"/>
      <c r="S482" s="907"/>
      <c r="T482" s="907"/>
      <c r="U482" s="907"/>
      <c r="V482" s="907"/>
      <c r="W482" s="907"/>
      <c r="X482" s="907"/>
      <c r="Y482" s="907"/>
      <c r="Z482" s="907"/>
      <c r="AA482" s="907"/>
      <c r="AB482" s="907"/>
      <c r="AC482" s="907"/>
    </row>
    <row r="483" spans="1:29">
      <c r="A483" s="907"/>
      <c r="B483" s="907"/>
      <c r="C483" s="907"/>
      <c r="D483" s="907"/>
      <c r="E483" s="907"/>
      <c r="F483" s="907"/>
      <c r="G483" s="907"/>
      <c r="H483" s="907"/>
      <c r="I483" s="907"/>
      <c r="J483" s="907"/>
      <c r="K483" s="907"/>
      <c r="L483" s="907"/>
      <c r="M483" s="907"/>
      <c r="N483" s="907"/>
      <c r="O483" s="907"/>
      <c r="P483" s="907"/>
      <c r="Q483" s="907"/>
      <c r="R483" s="907"/>
      <c r="S483" s="907"/>
      <c r="T483" s="907"/>
      <c r="U483" s="907"/>
      <c r="V483" s="907"/>
      <c r="W483" s="907"/>
      <c r="X483" s="907"/>
      <c r="Y483" s="907"/>
      <c r="Z483" s="907"/>
      <c r="AA483" s="907"/>
      <c r="AB483" s="907"/>
      <c r="AC483" s="907"/>
    </row>
    <row r="484" spans="1:29">
      <c r="A484" s="907"/>
      <c r="B484" s="907"/>
      <c r="C484" s="907"/>
      <c r="D484" s="907"/>
      <c r="E484" s="907"/>
      <c r="F484" s="907"/>
      <c r="G484" s="907"/>
      <c r="H484" s="907"/>
      <c r="I484" s="907"/>
      <c r="J484" s="907"/>
      <c r="K484" s="907"/>
      <c r="L484" s="907"/>
      <c r="M484" s="907"/>
      <c r="N484" s="907"/>
      <c r="O484" s="907"/>
      <c r="P484" s="907"/>
      <c r="Q484" s="907"/>
      <c r="R484" s="907"/>
      <c r="S484" s="907"/>
      <c r="T484" s="907"/>
      <c r="U484" s="907"/>
      <c r="V484" s="907"/>
      <c r="W484" s="907"/>
      <c r="X484" s="907"/>
      <c r="Y484" s="907"/>
      <c r="Z484" s="907"/>
      <c r="AA484" s="907"/>
      <c r="AB484" s="907"/>
      <c r="AC484" s="907"/>
    </row>
    <row r="485" spans="1:29">
      <c r="A485" s="907"/>
      <c r="B485" s="907"/>
      <c r="C485" s="907"/>
      <c r="D485" s="907"/>
      <c r="E485" s="907"/>
      <c r="F485" s="907"/>
      <c r="G485" s="907"/>
      <c r="H485" s="907"/>
      <c r="I485" s="907"/>
      <c r="J485" s="907"/>
      <c r="K485" s="907"/>
      <c r="L485" s="907"/>
      <c r="M485" s="907"/>
      <c r="N485" s="907"/>
      <c r="O485" s="907"/>
      <c r="P485" s="907"/>
      <c r="Q485" s="907"/>
      <c r="R485" s="907"/>
      <c r="S485" s="907"/>
      <c r="T485" s="907"/>
      <c r="U485" s="907"/>
      <c r="V485" s="907"/>
      <c r="W485" s="907"/>
      <c r="X485" s="907"/>
      <c r="Y485" s="907"/>
      <c r="Z485" s="907"/>
      <c r="AA485" s="907"/>
      <c r="AB485" s="907"/>
      <c r="AC485" s="907"/>
    </row>
    <row r="486" spans="1:29">
      <c r="A486" s="907"/>
      <c r="B486" s="907"/>
      <c r="C486" s="907"/>
      <c r="D486" s="907"/>
      <c r="E486" s="907"/>
      <c r="F486" s="907"/>
      <c r="G486" s="907"/>
      <c r="H486" s="907"/>
      <c r="I486" s="907"/>
      <c r="J486" s="907"/>
      <c r="K486" s="907"/>
      <c r="L486" s="907"/>
      <c r="M486" s="907"/>
      <c r="N486" s="907"/>
      <c r="O486" s="907"/>
      <c r="P486" s="907"/>
      <c r="Q486" s="907"/>
      <c r="R486" s="907"/>
      <c r="S486" s="907"/>
      <c r="T486" s="907"/>
      <c r="U486" s="907"/>
      <c r="V486" s="907"/>
      <c r="W486" s="907"/>
      <c r="X486" s="907"/>
      <c r="Y486" s="907"/>
      <c r="Z486" s="907"/>
      <c r="AA486" s="907"/>
      <c r="AB486" s="907"/>
      <c r="AC486" s="907"/>
    </row>
    <row r="487" spans="1:29">
      <c r="A487" s="907"/>
      <c r="B487" s="907"/>
      <c r="C487" s="907"/>
      <c r="D487" s="907"/>
      <c r="E487" s="907"/>
      <c r="F487" s="907"/>
      <c r="G487" s="907"/>
      <c r="H487" s="907"/>
      <c r="I487" s="907"/>
      <c r="J487" s="907"/>
      <c r="K487" s="907"/>
      <c r="L487" s="907"/>
      <c r="M487" s="907"/>
      <c r="N487" s="907"/>
      <c r="O487" s="907"/>
      <c r="P487" s="907"/>
      <c r="Q487" s="907"/>
      <c r="R487" s="907"/>
      <c r="S487" s="907"/>
      <c r="T487" s="907"/>
      <c r="U487" s="907"/>
      <c r="V487" s="907"/>
      <c r="W487" s="907"/>
      <c r="X487" s="907"/>
      <c r="Y487" s="907"/>
      <c r="Z487" s="907"/>
      <c r="AA487" s="907"/>
      <c r="AB487" s="907"/>
      <c r="AC487" s="907"/>
    </row>
    <row r="488" spans="1:29">
      <c r="A488" s="907"/>
      <c r="B488" s="907"/>
      <c r="C488" s="907"/>
      <c r="D488" s="907"/>
      <c r="E488" s="907"/>
      <c r="F488" s="907"/>
      <c r="G488" s="907"/>
      <c r="H488" s="907"/>
      <c r="I488" s="907"/>
      <c r="J488" s="907"/>
      <c r="K488" s="907"/>
      <c r="L488" s="907"/>
      <c r="M488" s="907"/>
      <c r="N488" s="907"/>
      <c r="O488" s="907"/>
      <c r="P488" s="907"/>
      <c r="Q488" s="907"/>
      <c r="R488" s="907"/>
      <c r="S488" s="907"/>
      <c r="T488" s="907"/>
      <c r="U488" s="907"/>
      <c r="V488" s="907"/>
      <c r="W488" s="907"/>
      <c r="X488" s="907"/>
      <c r="Y488" s="907"/>
      <c r="Z488" s="907"/>
      <c r="AA488" s="907"/>
      <c r="AB488" s="907"/>
      <c r="AC488" s="907"/>
    </row>
    <row r="489" spans="1:29">
      <c r="A489" s="907"/>
      <c r="B489" s="907"/>
      <c r="C489" s="907"/>
      <c r="D489" s="907"/>
      <c r="E489" s="907"/>
      <c r="F489" s="907"/>
      <c r="G489" s="907"/>
      <c r="H489" s="907"/>
      <c r="I489" s="907"/>
      <c r="J489" s="907"/>
      <c r="K489" s="907"/>
      <c r="L489" s="907"/>
      <c r="M489" s="907"/>
      <c r="N489" s="907"/>
      <c r="O489" s="907"/>
      <c r="P489" s="907"/>
      <c r="Q489" s="907"/>
      <c r="R489" s="907"/>
      <c r="S489" s="907"/>
      <c r="T489" s="907"/>
      <c r="U489" s="907"/>
      <c r="V489" s="907"/>
      <c r="W489" s="907"/>
      <c r="X489" s="907"/>
      <c r="Y489" s="907"/>
      <c r="Z489" s="907"/>
      <c r="AA489" s="907"/>
      <c r="AB489" s="907"/>
      <c r="AC489" s="907"/>
    </row>
    <row r="490" spans="1:29">
      <c r="A490" s="907"/>
      <c r="B490" s="907"/>
      <c r="C490" s="907"/>
      <c r="D490" s="907"/>
      <c r="E490" s="907"/>
      <c r="F490" s="907"/>
      <c r="G490" s="907"/>
      <c r="H490" s="907"/>
      <c r="I490" s="907"/>
      <c r="J490" s="907"/>
      <c r="K490" s="907"/>
      <c r="L490" s="907"/>
      <c r="M490" s="907"/>
      <c r="N490" s="907"/>
      <c r="O490" s="907"/>
      <c r="P490" s="907"/>
      <c r="Q490" s="907"/>
      <c r="R490" s="907"/>
      <c r="S490" s="907"/>
      <c r="T490" s="907"/>
      <c r="U490" s="907"/>
      <c r="V490" s="907"/>
      <c r="W490" s="907"/>
      <c r="X490" s="907"/>
      <c r="Y490" s="907"/>
      <c r="Z490" s="907"/>
      <c r="AA490" s="907"/>
      <c r="AB490" s="907"/>
      <c r="AC490" s="907"/>
    </row>
    <row r="491" spans="1:29">
      <c r="A491" s="907"/>
      <c r="B491" s="907"/>
      <c r="C491" s="907"/>
      <c r="D491" s="907"/>
      <c r="E491" s="907"/>
      <c r="F491" s="907"/>
      <c r="G491" s="907"/>
      <c r="H491" s="907"/>
      <c r="I491" s="907"/>
      <c r="J491" s="907"/>
      <c r="K491" s="907"/>
      <c r="L491" s="907"/>
      <c r="M491" s="907"/>
      <c r="N491" s="907"/>
      <c r="O491" s="907"/>
      <c r="P491" s="907"/>
      <c r="Q491" s="907"/>
      <c r="R491" s="907"/>
      <c r="S491" s="907"/>
      <c r="T491" s="907"/>
      <c r="U491" s="907"/>
      <c r="V491" s="907"/>
      <c r="W491" s="907"/>
      <c r="X491" s="907"/>
      <c r="Y491" s="907"/>
      <c r="Z491" s="907"/>
      <c r="AA491" s="907"/>
      <c r="AB491" s="907"/>
      <c r="AC491" s="907"/>
    </row>
    <row r="492" spans="1:29">
      <c r="A492" s="907"/>
      <c r="B492" s="907"/>
      <c r="C492" s="907"/>
      <c r="D492" s="907"/>
      <c r="E492" s="907"/>
      <c r="F492" s="907"/>
      <c r="G492" s="907"/>
      <c r="H492" s="907"/>
      <c r="I492" s="907"/>
      <c r="J492" s="907"/>
      <c r="K492" s="907"/>
      <c r="L492" s="907"/>
      <c r="M492" s="907"/>
      <c r="N492" s="907"/>
      <c r="O492" s="907"/>
      <c r="P492" s="907"/>
      <c r="Q492" s="907"/>
      <c r="R492" s="907"/>
      <c r="S492" s="907"/>
      <c r="T492" s="907"/>
      <c r="U492" s="907"/>
      <c r="V492" s="907"/>
      <c r="W492" s="907"/>
      <c r="X492" s="907"/>
      <c r="Y492" s="907"/>
      <c r="Z492" s="907"/>
      <c r="AA492" s="907"/>
      <c r="AB492" s="907"/>
      <c r="AC492" s="907"/>
    </row>
    <row r="493" spans="1:29">
      <c r="A493" s="907"/>
      <c r="B493" s="907"/>
      <c r="C493" s="907"/>
      <c r="D493" s="907"/>
      <c r="E493" s="907"/>
      <c r="F493" s="907"/>
      <c r="G493" s="907"/>
      <c r="H493" s="907"/>
      <c r="I493" s="907"/>
      <c r="J493" s="907"/>
      <c r="K493" s="907"/>
      <c r="L493" s="907"/>
      <c r="M493" s="907"/>
      <c r="N493" s="907"/>
      <c r="O493" s="907"/>
      <c r="P493" s="907"/>
      <c r="Q493" s="907"/>
      <c r="R493" s="907"/>
      <c r="S493" s="907"/>
      <c r="T493" s="907"/>
      <c r="U493" s="907"/>
      <c r="V493" s="907"/>
      <c r="W493" s="907"/>
      <c r="X493" s="907"/>
      <c r="Y493" s="907"/>
      <c r="Z493" s="907"/>
      <c r="AA493" s="907"/>
      <c r="AB493" s="907"/>
      <c r="AC493" s="907"/>
    </row>
    <row r="494" spans="1:29">
      <c r="A494" s="907"/>
      <c r="B494" s="907"/>
      <c r="C494" s="907"/>
      <c r="D494" s="907"/>
      <c r="E494" s="907"/>
      <c r="F494" s="907"/>
      <c r="G494" s="907"/>
      <c r="H494" s="907"/>
      <c r="I494" s="907"/>
      <c r="J494" s="907"/>
      <c r="K494" s="907"/>
      <c r="L494" s="907"/>
      <c r="M494" s="907"/>
      <c r="N494" s="907"/>
      <c r="O494" s="907"/>
      <c r="P494" s="907"/>
      <c r="Q494" s="907"/>
      <c r="R494" s="907"/>
      <c r="S494" s="907"/>
      <c r="T494" s="907"/>
      <c r="U494" s="907"/>
      <c r="V494" s="907"/>
      <c r="W494" s="907"/>
      <c r="X494" s="907"/>
      <c r="Y494" s="907"/>
      <c r="Z494" s="907"/>
      <c r="AA494" s="907"/>
      <c r="AB494" s="907"/>
      <c r="AC494" s="907"/>
    </row>
    <row r="495" spans="1:29">
      <c r="A495" s="907"/>
      <c r="B495" s="907"/>
      <c r="C495" s="907"/>
      <c r="D495" s="907"/>
      <c r="E495" s="907"/>
      <c r="F495" s="907"/>
      <c r="G495" s="907"/>
      <c r="H495" s="907"/>
      <c r="I495" s="907"/>
      <c r="J495" s="907"/>
      <c r="K495" s="907"/>
      <c r="L495" s="907"/>
      <c r="M495" s="907"/>
      <c r="N495" s="907"/>
      <c r="O495" s="907"/>
      <c r="P495" s="907"/>
      <c r="Q495" s="907"/>
      <c r="R495" s="907"/>
      <c r="S495" s="907"/>
      <c r="T495" s="907"/>
      <c r="U495" s="907"/>
      <c r="V495" s="907"/>
      <c r="W495" s="907"/>
      <c r="X495" s="907"/>
      <c r="Y495" s="907"/>
      <c r="Z495" s="907"/>
      <c r="AA495" s="907"/>
      <c r="AB495" s="907"/>
      <c r="AC495" s="907"/>
    </row>
    <row r="496" spans="1:29">
      <c r="A496" s="907"/>
      <c r="B496" s="907"/>
      <c r="C496" s="907"/>
      <c r="D496" s="907"/>
      <c r="E496" s="907"/>
      <c r="F496" s="907"/>
      <c r="G496" s="907"/>
      <c r="H496" s="907"/>
      <c r="I496" s="907"/>
      <c r="J496" s="907"/>
      <c r="K496" s="907"/>
      <c r="L496" s="907"/>
      <c r="M496" s="907"/>
      <c r="N496" s="907"/>
      <c r="O496" s="907"/>
      <c r="P496" s="907"/>
      <c r="Q496" s="907"/>
      <c r="R496" s="907"/>
      <c r="S496" s="907"/>
      <c r="T496" s="907"/>
      <c r="U496" s="907"/>
      <c r="V496" s="907"/>
      <c r="W496" s="907"/>
      <c r="X496" s="907"/>
      <c r="Y496" s="907"/>
      <c r="Z496" s="907"/>
      <c r="AA496" s="907"/>
      <c r="AB496" s="907"/>
      <c r="AC496" s="907"/>
    </row>
    <row r="497" spans="1:29">
      <c r="A497" s="907"/>
      <c r="B497" s="907"/>
      <c r="C497" s="907"/>
      <c r="D497" s="907"/>
      <c r="E497" s="907"/>
      <c r="F497" s="907"/>
      <c r="G497" s="907"/>
      <c r="H497" s="907"/>
      <c r="I497" s="907"/>
      <c r="J497" s="907"/>
      <c r="K497" s="907"/>
      <c r="L497" s="907"/>
      <c r="M497" s="907"/>
      <c r="N497" s="907"/>
      <c r="O497" s="907"/>
      <c r="P497" s="907"/>
      <c r="Q497" s="907"/>
      <c r="R497" s="907"/>
      <c r="S497" s="907"/>
      <c r="T497" s="907"/>
      <c r="U497" s="907"/>
      <c r="V497" s="907"/>
      <c r="W497" s="907"/>
      <c r="X497" s="907"/>
      <c r="Y497" s="907"/>
      <c r="Z497" s="907"/>
      <c r="AA497" s="907"/>
      <c r="AB497" s="907"/>
      <c r="AC497" s="907"/>
    </row>
    <row r="498" spans="1:29">
      <c r="A498" s="907"/>
      <c r="B498" s="907"/>
      <c r="C498" s="907"/>
      <c r="D498" s="907"/>
      <c r="E498" s="907"/>
      <c r="F498" s="907"/>
      <c r="G498" s="907"/>
      <c r="H498" s="907"/>
      <c r="I498" s="907"/>
      <c r="J498" s="907"/>
      <c r="K498" s="907"/>
      <c r="L498" s="907"/>
      <c r="M498" s="907"/>
      <c r="N498" s="907"/>
      <c r="O498" s="907"/>
      <c r="P498" s="907"/>
      <c r="Q498" s="907"/>
      <c r="R498" s="907"/>
      <c r="S498" s="907"/>
      <c r="T498" s="907"/>
      <c r="U498" s="907"/>
      <c r="V498" s="907"/>
      <c r="W498" s="907"/>
      <c r="X498" s="907"/>
      <c r="Y498" s="907"/>
      <c r="Z498" s="907"/>
      <c r="AA498" s="907"/>
      <c r="AB498" s="907"/>
      <c r="AC498" s="907"/>
    </row>
    <row r="499" spans="1:29">
      <c r="A499" s="907"/>
      <c r="B499" s="907"/>
      <c r="C499" s="907"/>
      <c r="D499" s="907"/>
      <c r="E499" s="907"/>
      <c r="F499" s="907"/>
      <c r="G499" s="907"/>
      <c r="H499" s="907"/>
      <c r="I499" s="907"/>
      <c r="J499" s="907"/>
      <c r="K499" s="907"/>
      <c r="L499" s="907"/>
      <c r="M499" s="907"/>
      <c r="N499" s="907"/>
      <c r="O499" s="907"/>
      <c r="P499" s="907"/>
      <c r="Q499" s="907"/>
      <c r="R499" s="907"/>
      <c r="S499" s="907"/>
      <c r="T499" s="907"/>
      <c r="U499" s="907"/>
      <c r="V499" s="907"/>
      <c r="W499" s="907"/>
      <c r="X499" s="907"/>
      <c r="Y499" s="907"/>
      <c r="Z499" s="907"/>
      <c r="AA499" s="907"/>
      <c r="AB499" s="907"/>
      <c r="AC499" s="907"/>
    </row>
    <row r="500" spans="1:29">
      <c r="A500" s="907"/>
      <c r="B500" s="907"/>
      <c r="C500" s="907"/>
      <c r="D500" s="907"/>
      <c r="E500" s="907"/>
      <c r="F500" s="907"/>
      <c r="G500" s="907"/>
      <c r="H500" s="907"/>
      <c r="I500" s="907"/>
      <c r="J500" s="907"/>
      <c r="K500" s="907"/>
      <c r="L500" s="907"/>
      <c r="M500" s="907"/>
      <c r="N500" s="907"/>
      <c r="O500" s="907"/>
      <c r="P500" s="907"/>
      <c r="Q500" s="907"/>
      <c r="R500" s="907"/>
      <c r="S500" s="907"/>
      <c r="T500" s="907"/>
      <c r="U500" s="907"/>
      <c r="V500" s="907"/>
      <c r="W500" s="907"/>
      <c r="X500" s="907"/>
      <c r="Y500" s="907"/>
      <c r="Z500" s="907"/>
      <c r="AA500" s="907"/>
      <c r="AB500" s="907"/>
      <c r="AC500" s="907"/>
    </row>
    <row r="501" spans="1:29">
      <c r="A501" s="907"/>
      <c r="B501" s="907"/>
      <c r="C501" s="907"/>
      <c r="D501" s="907"/>
      <c r="E501" s="907"/>
      <c r="F501" s="907"/>
      <c r="G501" s="907"/>
      <c r="H501" s="907"/>
      <c r="I501" s="907"/>
      <c r="J501" s="907"/>
      <c r="K501" s="907"/>
      <c r="L501" s="907"/>
      <c r="M501" s="907"/>
      <c r="N501" s="907"/>
      <c r="O501" s="907"/>
      <c r="P501" s="907"/>
      <c r="Q501" s="907"/>
      <c r="R501" s="907"/>
      <c r="S501" s="907"/>
      <c r="T501" s="907"/>
      <c r="U501" s="907"/>
      <c r="V501" s="907"/>
      <c r="W501" s="907"/>
      <c r="X501" s="907"/>
      <c r="Y501" s="907"/>
      <c r="Z501" s="907"/>
      <c r="AA501" s="907"/>
      <c r="AB501" s="907"/>
      <c r="AC501" s="907"/>
    </row>
    <row r="502" spans="1:29">
      <c r="A502" s="907"/>
      <c r="B502" s="907"/>
      <c r="C502" s="907"/>
      <c r="D502" s="907"/>
      <c r="E502" s="907"/>
      <c r="F502" s="907"/>
      <c r="G502" s="907"/>
      <c r="H502" s="907"/>
      <c r="I502" s="907"/>
      <c r="J502" s="907"/>
      <c r="K502" s="907"/>
      <c r="L502" s="907"/>
      <c r="M502" s="907"/>
      <c r="N502" s="907"/>
      <c r="O502" s="907"/>
      <c r="P502" s="907"/>
      <c r="Q502" s="907"/>
      <c r="R502" s="907"/>
      <c r="S502" s="907"/>
      <c r="T502" s="907"/>
      <c r="U502" s="907"/>
      <c r="V502" s="907"/>
      <c r="W502" s="907"/>
      <c r="X502" s="907"/>
      <c r="Y502" s="907"/>
      <c r="Z502" s="907"/>
      <c r="AA502" s="907"/>
      <c r="AB502" s="907"/>
      <c r="AC502" s="907"/>
    </row>
    <row r="503" spans="1:29">
      <c r="A503" s="907"/>
      <c r="B503" s="907"/>
      <c r="C503" s="907"/>
      <c r="D503" s="907"/>
      <c r="E503" s="907"/>
      <c r="F503" s="907"/>
      <c r="G503" s="907"/>
      <c r="H503" s="907"/>
      <c r="I503" s="907"/>
      <c r="J503" s="907"/>
      <c r="K503" s="907"/>
      <c r="L503" s="907"/>
      <c r="M503" s="907"/>
      <c r="N503" s="907"/>
      <c r="O503" s="907"/>
      <c r="P503" s="907"/>
      <c r="Q503" s="907"/>
      <c r="R503" s="907"/>
      <c r="S503" s="907"/>
      <c r="T503" s="907"/>
      <c r="U503" s="907"/>
      <c r="V503" s="907"/>
      <c r="W503" s="907"/>
      <c r="X503" s="907"/>
      <c r="Y503" s="907"/>
      <c r="Z503" s="907"/>
      <c r="AA503" s="907"/>
      <c r="AB503" s="907"/>
      <c r="AC503" s="907"/>
    </row>
    <row r="504" spans="1:29">
      <c r="A504" s="907"/>
      <c r="B504" s="907"/>
      <c r="C504" s="907"/>
      <c r="D504" s="907"/>
      <c r="E504" s="907"/>
      <c r="F504" s="907"/>
      <c r="G504" s="907"/>
      <c r="H504" s="907"/>
      <c r="I504" s="907"/>
      <c r="J504" s="907"/>
      <c r="K504" s="907"/>
      <c r="L504" s="907"/>
      <c r="M504" s="907"/>
      <c r="N504" s="907"/>
      <c r="O504" s="907"/>
      <c r="P504" s="907"/>
      <c r="Q504" s="907"/>
      <c r="R504" s="907"/>
      <c r="S504" s="907"/>
      <c r="T504" s="907"/>
      <c r="U504" s="907"/>
      <c r="V504" s="907"/>
      <c r="W504" s="907"/>
      <c r="X504" s="907"/>
      <c r="Y504" s="907"/>
      <c r="Z504" s="907"/>
      <c r="AA504" s="907"/>
      <c r="AB504" s="907"/>
      <c r="AC504" s="907"/>
    </row>
    <row r="505" spans="1:29">
      <c r="A505" s="907"/>
      <c r="B505" s="907"/>
      <c r="C505" s="907"/>
      <c r="D505" s="907"/>
      <c r="E505" s="907"/>
      <c r="F505" s="907"/>
      <c r="G505" s="907"/>
      <c r="H505" s="907"/>
      <c r="I505" s="907"/>
      <c r="J505" s="907"/>
      <c r="K505" s="907"/>
      <c r="L505" s="907"/>
      <c r="M505" s="907"/>
      <c r="N505" s="907"/>
      <c r="O505" s="907"/>
      <c r="P505" s="907"/>
      <c r="Q505" s="907"/>
      <c r="R505" s="907"/>
      <c r="S505" s="907"/>
      <c r="T505" s="907"/>
      <c r="U505" s="907"/>
      <c r="V505" s="907"/>
      <c r="W505" s="907"/>
      <c r="X505" s="907"/>
      <c r="Y505" s="907"/>
      <c r="Z505" s="907"/>
      <c r="AA505" s="907"/>
      <c r="AB505" s="907"/>
      <c r="AC505" s="907"/>
    </row>
    <row r="506" spans="1:29">
      <c r="A506" s="907"/>
      <c r="B506" s="907"/>
      <c r="C506" s="907"/>
      <c r="D506" s="907"/>
      <c r="E506" s="907"/>
      <c r="F506" s="907"/>
      <c r="G506" s="907"/>
      <c r="H506" s="907"/>
      <c r="I506" s="907"/>
      <c r="J506" s="907"/>
      <c r="K506" s="907"/>
      <c r="L506" s="907"/>
      <c r="M506" s="907"/>
      <c r="N506" s="907"/>
      <c r="O506" s="907"/>
      <c r="P506" s="907"/>
      <c r="Q506" s="907"/>
      <c r="R506" s="907"/>
      <c r="S506" s="907"/>
      <c r="T506" s="907"/>
      <c r="U506" s="907"/>
      <c r="V506" s="907"/>
      <c r="W506" s="907"/>
      <c r="X506" s="907"/>
      <c r="Y506" s="907"/>
      <c r="Z506" s="907"/>
      <c r="AA506" s="907"/>
      <c r="AB506" s="907"/>
      <c r="AC506" s="907"/>
    </row>
    <row r="507" spans="1:29">
      <c r="A507" s="907"/>
      <c r="B507" s="907"/>
      <c r="C507" s="907"/>
      <c r="D507" s="907"/>
      <c r="E507" s="907"/>
      <c r="F507" s="907"/>
      <c r="G507" s="907"/>
      <c r="H507" s="907"/>
      <c r="I507" s="907"/>
      <c r="J507" s="907"/>
      <c r="K507" s="907"/>
      <c r="L507" s="907"/>
      <c r="M507" s="907"/>
      <c r="N507" s="907"/>
      <c r="O507" s="907"/>
      <c r="P507" s="907"/>
      <c r="Q507" s="907"/>
      <c r="R507" s="907"/>
      <c r="S507" s="907"/>
      <c r="T507" s="907"/>
      <c r="U507" s="907"/>
      <c r="V507" s="907"/>
      <c r="W507" s="907"/>
      <c r="X507" s="907"/>
      <c r="Y507" s="907"/>
      <c r="Z507" s="907"/>
      <c r="AA507" s="907"/>
      <c r="AB507" s="907"/>
      <c r="AC507" s="907"/>
    </row>
    <row r="508" spans="1:29">
      <c r="A508" s="907"/>
      <c r="B508" s="907"/>
      <c r="C508" s="907"/>
      <c r="D508" s="907"/>
      <c r="E508" s="907"/>
      <c r="F508" s="907"/>
      <c r="G508" s="907"/>
      <c r="H508" s="907"/>
      <c r="I508" s="907"/>
      <c r="J508" s="907"/>
      <c r="K508" s="907"/>
      <c r="L508" s="907"/>
      <c r="M508" s="907"/>
      <c r="N508" s="907"/>
      <c r="O508" s="907"/>
      <c r="P508" s="907"/>
      <c r="Q508" s="907"/>
      <c r="R508" s="907"/>
      <c r="S508" s="907"/>
      <c r="T508" s="907"/>
      <c r="U508" s="907"/>
      <c r="V508" s="907"/>
      <c r="W508" s="907"/>
      <c r="X508" s="907"/>
      <c r="Y508" s="907"/>
      <c r="Z508" s="907"/>
      <c r="AA508" s="907"/>
      <c r="AB508" s="907"/>
      <c r="AC508" s="907"/>
    </row>
    <row r="509" spans="1:29">
      <c r="A509" s="907"/>
      <c r="B509" s="907"/>
      <c r="C509" s="907"/>
      <c r="D509" s="907"/>
      <c r="E509" s="907"/>
      <c r="F509" s="907"/>
      <c r="G509" s="907"/>
      <c r="H509" s="907"/>
      <c r="I509" s="907"/>
      <c r="J509" s="907"/>
      <c r="K509" s="907"/>
      <c r="L509" s="907"/>
      <c r="M509" s="907"/>
      <c r="N509" s="907"/>
      <c r="O509" s="907"/>
      <c r="P509" s="907"/>
      <c r="Q509" s="907"/>
      <c r="R509" s="907"/>
      <c r="S509" s="907"/>
      <c r="T509" s="907"/>
      <c r="U509" s="907"/>
      <c r="V509" s="907"/>
      <c r="W509" s="907"/>
      <c r="X509" s="907"/>
      <c r="Y509" s="907"/>
      <c r="Z509" s="907"/>
      <c r="AA509" s="907"/>
      <c r="AB509" s="907"/>
      <c r="AC509" s="907"/>
    </row>
    <row r="510" spans="1:29">
      <c r="A510" s="907"/>
      <c r="B510" s="907"/>
      <c r="C510" s="907"/>
      <c r="D510" s="907"/>
      <c r="E510" s="907"/>
      <c r="F510" s="907"/>
      <c r="G510" s="907"/>
      <c r="H510" s="907"/>
      <c r="I510" s="907"/>
      <c r="J510" s="907"/>
      <c r="K510" s="907"/>
      <c r="L510" s="907"/>
      <c r="M510" s="907"/>
      <c r="N510" s="907"/>
      <c r="O510" s="907"/>
      <c r="P510" s="907"/>
      <c r="Q510" s="907"/>
      <c r="R510" s="907"/>
      <c r="S510" s="907"/>
      <c r="T510" s="907"/>
      <c r="U510" s="907"/>
      <c r="V510" s="907"/>
      <c r="W510" s="907"/>
      <c r="X510" s="907"/>
      <c r="Y510" s="907"/>
      <c r="Z510" s="907"/>
      <c r="AA510" s="907"/>
      <c r="AB510" s="907"/>
      <c r="AC510" s="907"/>
    </row>
    <row r="511" spans="1:29">
      <c r="A511" s="907"/>
      <c r="B511" s="907"/>
      <c r="C511" s="907"/>
      <c r="D511" s="907"/>
      <c r="E511" s="907"/>
      <c r="F511" s="907"/>
      <c r="G511" s="907"/>
      <c r="H511" s="907"/>
      <c r="I511" s="907"/>
      <c r="J511" s="907"/>
      <c r="K511" s="907"/>
      <c r="L511" s="907"/>
      <c r="M511" s="907"/>
      <c r="N511" s="907"/>
      <c r="O511" s="907"/>
      <c r="P511" s="907"/>
      <c r="Q511" s="907"/>
      <c r="R511" s="907"/>
      <c r="S511" s="907"/>
      <c r="T511" s="907"/>
      <c r="U511" s="907"/>
      <c r="V511" s="907"/>
      <c r="W511" s="907"/>
      <c r="X511" s="907"/>
      <c r="Y511" s="907"/>
      <c r="Z511" s="907"/>
      <c r="AA511" s="907"/>
      <c r="AB511" s="907"/>
      <c r="AC511" s="907"/>
    </row>
    <row r="512" spans="1:29">
      <c r="A512" s="907"/>
      <c r="B512" s="907"/>
      <c r="C512" s="907"/>
      <c r="D512" s="907"/>
      <c r="E512" s="907"/>
      <c r="F512" s="907"/>
      <c r="G512" s="907"/>
      <c r="H512" s="907"/>
      <c r="I512" s="907"/>
      <c r="J512" s="907"/>
      <c r="K512" s="907"/>
      <c r="L512" s="907"/>
      <c r="M512" s="907"/>
      <c r="N512" s="907"/>
      <c r="O512" s="907"/>
      <c r="P512" s="907"/>
      <c r="Q512" s="907"/>
      <c r="R512" s="907"/>
      <c r="S512" s="907"/>
      <c r="T512" s="907"/>
      <c r="U512" s="907"/>
      <c r="V512" s="907"/>
      <c r="W512" s="907"/>
      <c r="X512" s="907"/>
      <c r="Y512" s="907"/>
      <c r="Z512" s="907"/>
      <c r="AA512" s="907"/>
      <c r="AB512" s="907"/>
      <c r="AC512" s="907"/>
    </row>
    <row r="513" spans="1:29">
      <c r="A513" s="907"/>
      <c r="B513" s="907"/>
      <c r="C513" s="907"/>
      <c r="D513" s="907"/>
      <c r="E513" s="907"/>
      <c r="F513" s="907"/>
      <c r="G513" s="907"/>
      <c r="H513" s="907"/>
      <c r="I513" s="907"/>
      <c r="J513" s="907"/>
      <c r="K513" s="907"/>
      <c r="L513" s="907"/>
      <c r="M513" s="907"/>
      <c r="N513" s="907"/>
      <c r="O513" s="907"/>
      <c r="P513" s="907"/>
      <c r="Q513" s="907"/>
      <c r="R513" s="907"/>
      <c r="S513" s="907"/>
      <c r="T513" s="907"/>
      <c r="U513" s="907"/>
      <c r="V513" s="907"/>
      <c r="W513" s="907"/>
      <c r="X513" s="907"/>
      <c r="Y513" s="907"/>
      <c r="Z513" s="907"/>
      <c r="AA513" s="907"/>
      <c r="AB513" s="907"/>
      <c r="AC513" s="907"/>
    </row>
    <row r="514" spans="1:29">
      <c r="A514" s="907"/>
      <c r="B514" s="907"/>
      <c r="C514" s="907"/>
      <c r="D514" s="907"/>
      <c r="E514" s="907"/>
      <c r="F514" s="907"/>
      <c r="G514" s="907"/>
      <c r="H514" s="907"/>
      <c r="I514" s="907"/>
      <c r="J514" s="907"/>
      <c r="K514" s="907"/>
      <c r="L514" s="907"/>
      <c r="M514" s="907"/>
      <c r="N514" s="907"/>
      <c r="O514" s="907"/>
      <c r="P514" s="907"/>
      <c r="Q514" s="907"/>
      <c r="R514" s="907"/>
      <c r="S514" s="907"/>
      <c r="T514" s="907"/>
      <c r="U514" s="907"/>
      <c r="V514" s="907"/>
      <c r="W514" s="907"/>
      <c r="X514" s="907"/>
      <c r="Y514" s="907"/>
      <c r="Z514" s="907"/>
      <c r="AA514" s="907"/>
      <c r="AB514" s="907"/>
      <c r="AC514" s="907"/>
    </row>
    <row r="515" spans="1:29">
      <c r="A515" s="907"/>
      <c r="B515" s="907"/>
      <c r="C515" s="907"/>
      <c r="D515" s="907"/>
      <c r="E515" s="907"/>
      <c r="F515" s="907"/>
      <c r="G515" s="907"/>
      <c r="H515" s="907"/>
      <c r="I515" s="907"/>
      <c r="J515" s="907"/>
      <c r="K515" s="907"/>
      <c r="L515" s="907"/>
      <c r="M515" s="907"/>
      <c r="N515" s="907"/>
      <c r="O515" s="907"/>
      <c r="P515" s="907"/>
      <c r="Q515" s="907"/>
      <c r="R515" s="907"/>
      <c r="S515" s="907"/>
      <c r="T515" s="907"/>
      <c r="U515" s="907"/>
      <c r="V515" s="907"/>
      <c r="W515" s="907"/>
      <c r="X515" s="907"/>
      <c r="Y515" s="907"/>
      <c r="Z515" s="907"/>
      <c r="AA515" s="907"/>
      <c r="AB515" s="907"/>
      <c r="AC515" s="907"/>
    </row>
    <row r="516" spans="1:29">
      <c r="A516" s="907"/>
      <c r="B516" s="907"/>
      <c r="C516" s="907"/>
      <c r="D516" s="907"/>
      <c r="E516" s="907"/>
      <c r="F516" s="907"/>
      <c r="G516" s="907"/>
      <c r="H516" s="907"/>
      <c r="I516" s="907"/>
      <c r="J516" s="907"/>
      <c r="K516" s="907"/>
      <c r="L516" s="907"/>
      <c r="M516" s="907"/>
      <c r="N516" s="907"/>
      <c r="O516" s="907"/>
      <c r="P516" s="907"/>
      <c r="Q516" s="907"/>
      <c r="R516" s="907"/>
      <c r="S516" s="907"/>
      <c r="T516" s="907"/>
      <c r="U516" s="907"/>
      <c r="V516" s="907"/>
      <c r="W516" s="907"/>
      <c r="X516" s="907"/>
      <c r="Y516" s="907"/>
      <c r="Z516" s="907"/>
      <c r="AA516" s="907"/>
      <c r="AB516" s="907"/>
      <c r="AC516" s="907"/>
    </row>
    <row r="517" spans="1:29">
      <c r="A517" s="907"/>
      <c r="B517" s="907"/>
      <c r="C517" s="907"/>
      <c r="D517" s="907"/>
      <c r="E517" s="907"/>
      <c r="F517" s="907"/>
      <c r="G517" s="907"/>
      <c r="H517" s="907"/>
      <c r="I517" s="907"/>
      <c r="J517" s="907"/>
      <c r="K517" s="907"/>
      <c r="L517" s="907"/>
      <c r="M517" s="907"/>
      <c r="N517" s="907"/>
      <c r="O517" s="907"/>
      <c r="P517" s="907"/>
      <c r="Q517" s="907"/>
      <c r="R517" s="907"/>
      <c r="S517" s="907"/>
      <c r="T517" s="907"/>
      <c r="U517" s="907"/>
      <c r="V517" s="907"/>
      <c r="W517" s="907"/>
      <c r="X517" s="907"/>
      <c r="Y517" s="907"/>
      <c r="Z517" s="907"/>
      <c r="AA517" s="907"/>
      <c r="AB517" s="907"/>
      <c r="AC517" s="907"/>
    </row>
    <row r="518" spans="1:29">
      <c r="A518" s="907"/>
      <c r="B518" s="907"/>
      <c r="C518" s="907"/>
      <c r="D518" s="907"/>
      <c r="E518" s="907"/>
      <c r="F518" s="907"/>
      <c r="G518" s="907"/>
      <c r="H518" s="907"/>
      <c r="I518" s="907"/>
      <c r="J518" s="907"/>
      <c r="K518" s="907"/>
      <c r="L518" s="907"/>
      <c r="M518" s="907"/>
      <c r="N518" s="907"/>
      <c r="O518" s="907"/>
      <c r="P518" s="907"/>
      <c r="Q518" s="907"/>
      <c r="R518" s="907"/>
      <c r="S518" s="907"/>
      <c r="T518" s="907"/>
      <c r="U518" s="907"/>
      <c r="V518" s="907"/>
      <c r="W518" s="907"/>
      <c r="X518" s="907"/>
      <c r="Y518" s="907"/>
      <c r="Z518" s="907"/>
      <c r="AA518" s="907"/>
      <c r="AB518" s="907"/>
      <c r="AC518" s="907"/>
    </row>
    <row r="519" spans="1:29">
      <c r="A519" s="907"/>
      <c r="B519" s="907"/>
      <c r="C519" s="907"/>
      <c r="D519" s="907"/>
      <c r="E519" s="907"/>
      <c r="F519" s="907"/>
      <c r="G519" s="907"/>
      <c r="H519" s="907"/>
      <c r="I519" s="907"/>
      <c r="J519" s="907"/>
      <c r="K519" s="907"/>
      <c r="L519" s="907"/>
      <c r="M519" s="907"/>
      <c r="N519" s="907"/>
      <c r="O519" s="907"/>
      <c r="P519" s="907"/>
      <c r="Q519" s="907"/>
      <c r="R519" s="907"/>
      <c r="S519" s="907"/>
      <c r="T519" s="907"/>
      <c r="U519" s="907"/>
      <c r="V519" s="907"/>
      <c r="W519" s="907"/>
      <c r="X519" s="907"/>
      <c r="Y519" s="907"/>
      <c r="Z519" s="907"/>
      <c r="AA519" s="907"/>
      <c r="AB519" s="907"/>
      <c r="AC519" s="907"/>
    </row>
    <row r="520" spans="1:29">
      <c r="A520" s="907"/>
      <c r="B520" s="907"/>
      <c r="C520" s="907"/>
      <c r="D520" s="907"/>
      <c r="E520" s="907"/>
      <c r="F520" s="907"/>
      <c r="G520" s="907"/>
      <c r="H520" s="907"/>
      <c r="I520" s="907"/>
      <c r="J520" s="907"/>
      <c r="K520" s="907"/>
      <c r="L520" s="907"/>
      <c r="M520" s="907"/>
      <c r="N520" s="907"/>
      <c r="O520" s="907"/>
      <c r="P520" s="907"/>
      <c r="Q520" s="907"/>
      <c r="R520" s="907"/>
      <c r="S520" s="907"/>
      <c r="T520" s="907"/>
      <c r="U520" s="907"/>
      <c r="V520" s="907"/>
      <c r="W520" s="907"/>
      <c r="X520" s="907"/>
      <c r="Y520" s="907"/>
      <c r="Z520" s="907"/>
      <c r="AA520" s="907"/>
      <c r="AB520" s="907"/>
      <c r="AC520" s="907"/>
    </row>
    <row r="521" spans="1:29">
      <c r="A521" s="907"/>
      <c r="B521" s="907"/>
      <c r="C521" s="907"/>
      <c r="D521" s="907"/>
      <c r="E521" s="907"/>
      <c r="F521" s="907"/>
      <c r="G521" s="907"/>
      <c r="H521" s="907"/>
      <c r="I521" s="907"/>
      <c r="J521" s="907"/>
      <c r="K521" s="907"/>
      <c r="L521" s="907"/>
      <c r="M521" s="907"/>
      <c r="N521" s="907"/>
      <c r="O521" s="907"/>
      <c r="P521" s="907"/>
      <c r="Q521" s="907"/>
      <c r="R521" s="907"/>
      <c r="S521" s="907"/>
      <c r="T521" s="907"/>
      <c r="U521" s="907"/>
      <c r="V521" s="907"/>
      <c r="W521" s="907"/>
      <c r="X521" s="907"/>
      <c r="Y521" s="907"/>
      <c r="Z521" s="907"/>
      <c r="AA521" s="907"/>
      <c r="AB521" s="907"/>
      <c r="AC521" s="907"/>
    </row>
    <row r="522" spans="1:29">
      <c r="A522" s="907"/>
      <c r="B522" s="907"/>
      <c r="C522" s="907"/>
      <c r="D522" s="907"/>
      <c r="E522" s="907"/>
      <c r="F522" s="907"/>
      <c r="G522" s="907"/>
      <c r="H522" s="907"/>
      <c r="I522" s="907"/>
      <c r="J522" s="907"/>
      <c r="K522" s="907"/>
      <c r="L522" s="907"/>
      <c r="M522" s="907"/>
      <c r="N522" s="907"/>
      <c r="O522" s="907"/>
      <c r="P522" s="907"/>
      <c r="Q522" s="907"/>
      <c r="R522" s="907"/>
      <c r="S522" s="907"/>
      <c r="T522" s="907"/>
      <c r="U522" s="907"/>
      <c r="V522" s="907"/>
      <c r="W522" s="907"/>
      <c r="X522" s="907"/>
      <c r="Y522" s="907"/>
      <c r="Z522" s="907"/>
      <c r="AA522" s="907"/>
      <c r="AB522" s="907"/>
      <c r="AC522" s="907"/>
    </row>
    <row r="523" spans="1:29">
      <c r="A523" s="907"/>
      <c r="B523" s="907"/>
      <c r="C523" s="907"/>
      <c r="D523" s="907"/>
      <c r="E523" s="907"/>
      <c r="F523" s="907"/>
      <c r="G523" s="907"/>
      <c r="H523" s="907"/>
      <c r="I523" s="907"/>
      <c r="J523" s="907"/>
      <c r="K523" s="907"/>
      <c r="L523" s="907"/>
      <c r="M523" s="907"/>
      <c r="N523" s="907"/>
      <c r="O523" s="907"/>
      <c r="P523" s="907"/>
      <c r="Q523" s="907"/>
      <c r="R523" s="907"/>
      <c r="S523" s="907"/>
      <c r="T523" s="907"/>
      <c r="U523" s="907"/>
      <c r="V523" s="907"/>
      <c r="W523" s="907"/>
      <c r="X523" s="907"/>
      <c r="Y523" s="907"/>
      <c r="Z523" s="907"/>
      <c r="AA523" s="907"/>
      <c r="AB523" s="907"/>
      <c r="AC523" s="907"/>
    </row>
    <row r="524" spans="1:29">
      <c r="A524" s="907"/>
      <c r="B524" s="907"/>
      <c r="C524" s="907"/>
      <c r="D524" s="907"/>
      <c r="E524" s="907"/>
      <c r="F524" s="907"/>
      <c r="G524" s="907"/>
      <c r="H524" s="907"/>
      <c r="I524" s="907"/>
      <c r="J524" s="907"/>
      <c r="K524" s="907"/>
      <c r="L524" s="907"/>
      <c r="M524" s="907"/>
      <c r="N524" s="907"/>
      <c r="O524" s="907"/>
      <c r="P524" s="907"/>
      <c r="Q524" s="907"/>
      <c r="R524" s="907"/>
      <c r="S524" s="907"/>
      <c r="T524" s="907"/>
      <c r="U524" s="907"/>
      <c r="V524" s="907"/>
      <c r="W524" s="907"/>
      <c r="X524" s="907"/>
      <c r="Y524" s="907"/>
      <c r="Z524" s="907"/>
      <c r="AA524" s="907"/>
      <c r="AB524" s="907"/>
      <c r="AC524" s="907"/>
    </row>
    <row r="525" spans="1:29">
      <c r="A525" s="907"/>
      <c r="B525" s="907"/>
      <c r="C525" s="907"/>
      <c r="D525" s="907"/>
      <c r="E525" s="907"/>
      <c r="F525" s="907"/>
      <c r="G525" s="907"/>
      <c r="H525" s="907"/>
      <c r="I525" s="907"/>
      <c r="J525" s="907"/>
      <c r="K525" s="907"/>
      <c r="L525" s="907"/>
      <c r="M525" s="907"/>
      <c r="N525" s="907"/>
      <c r="O525" s="907"/>
      <c r="P525" s="907"/>
      <c r="Q525" s="907"/>
      <c r="R525" s="907"/>
      <c r="S525" s="907"/>
      <c r="T525" s="907"/>
      <c r="U525" s="907"/>
      <c r="V525" s="907"/>
      <c r="W525" s="907"/>
      <c r="X525" s="907"/>
      <c r="Y525" s="907"/>
      <c r="Z525" s="907"/>
      <c r="AA525" s="907"/>
      <c r="AB525" s="907"/>
      <c r="AC525" s="907"/>
    </row>
    <row r="526" spans="1:29">
      <c r="A526" s="907"/>
      <c r="B526" s="907"/>
      <c r="C526" s="907"/>
      <c r="D526" s="907"/>
      <c r="E526" s="907"/>
      <c r="F526" s="907"/>
      <c r="G526" s="907"/>
      <c r="H526" s="907"/>
      <c r="I526" s="907"/>
      <c r="J526" s="907"/>
      <c r="K526" s="907"/>
      <c r="L526" s="907"/>
      <c r="M526" s="907"/>
      <c r="N526" s="907"/>
      <c r="O526" s="907"/>
      <c r="P526" s="907"/>
      <c r="Q526" s="907"/>
      <c r="R526" s="907"/>
      <c r="S526" s="907"/>
      <c r="T526" s="907"/>
      <c r="U526" s="907"/>
      <c r="V526" s="907"/>
      <c r="W526" s="907"/>
      <c r="X526" s="907"/>
      <c r="Y526" s="907"/>
      <c r="Z526" s="907"/>
      <c r="AA526" s="907"/>
      <c r="AB526" s="907"/>
      <c r="AC526" s="907"/>
    </row>
    <row r="527" spans="1:29">
      <c r="A527" s="907"/>
      <c r="B527" s="907"/>
      <c r="C527" s="907"/>
      <c r="D527" s="907"/>
      <c r="E527" s="907"/>
      <c r="F527" s="907"/>
      <c r="G527" s="907"/>
      <c r="H527" s="907"/>
      <c r="I527" s="907"/>
      <c r="J527" s="907"/>
      <c r="K527" s="907"/>
      <c r="L527" s="907"/>
      <c r="M527" s="907"/>
      <c r="N527" s="907"/>
      <c r="O527" s="907"/>
      <c r="P527" s="907"/>
      <c r="Q527" s="907"/>
      <c r="R527" s="907"/>
      <c r="S527" s="907"/>
      <c r="T527" s="907"/>
      <c r="U527" s="907"/>
      <c r="V527" s="907"/>
      <c r="W527" s="907"/>
      <c r="X527" s="907"/>
      <c r="Y527" s="907"/>
      <c r="Z527" s="907"/>
      <c r="AA527" s="907"/>
      <c r="AB527" s="907"/>
      <c r="AC527" s="907"/>
    </row>
    <row r="528" spans="1:29">
      <c r="A528" s="907"/>
      <c r="B528" s="907"/>
      <c r="C528" s="907"/>
      <c r="D528" s="907"/>
      <c r="E528" s="907"/>
      <c r="F528" s="907"/>
      <c r="G528" s="907"/>
      <c r="H528" s="907"/>
      <c r="I528" s="907"/>
      <c r="J528" s="907"/>
      <c r="K528" s="907"/>
      <c r="L528" s="907"/>
      <c r="M528" s="907"/>
      <c r="N528" s="907"/>
      <c r="O528" s="907"/>
      <c r="P528" s="907"/>
      <c r="Q528" s="907"/>
      <c r="R528" s="907"/>
      <c r="S528" s="907"/>
      <c r="T528" s="907"/>
      <c r="U528" s="907"/>
      <c r="V528" s="907"/>
      <c r="W528" s="907"/>
      <c r="X528" s="907"/>
      <c r="Y528" s="907"/>
      <c r="Z528" s="907"/>
      <c r="AA528" s="907"/>
      <c r="AB528" s="907"/>
      <c r="AC528" s="907"/>
    </row>
    <row r="529" spans="1:29">
      <c r="A529" s="907"/>
      <c r="B529" s="907"/>
      <c r="C529" s="907"/>
      <c r="D529" s="907"/>
      <c r="E529" s="907"/>
      <c r="F529" s="907"/>
      <c r="G529" s="907"/>
      <c r="H529" s="907"/>
      <c r="I529" s="907"/>
      <c r="J529" s="907"/>
      <c r="K529" s="907"/>
      <c r="L529" s="907"/>
      <c r="M529" s="907"/>
      <c r="N529" s="907"/>
      <c r="O529" s="907"/>
      <c r="P529" s="907"/>
      <c r="Q529" s="907"/>
      <c r="R529" s="907"/>
      <c r="S529" s="907"/>
      <c r="T529" s="907"/>
      <c r="U529" s="907"/>
      <c r="V529" s="907"/>
      <c r="W529" s="907"/>
      <c r="X529" s="907"/>
      <c r="Y529" s="907"/>
      <c r="Z529" s="907"/>
      <c r="AA529" s="907"/>
      <c r="AB529" s="907"/>
      <c r="AC529" s="907"/>
    </row>
    <row r="530" spans="1:29">
      <c r="A530" s="907"/>
      <c r="B530" s="907"/>
      <c r="C530" s="907"/>
      <c r="D530" s="907"/>
      <c r="E530" s="907"/>
      <c r="F530" s="907"/>
      <c r="G530" s="907"/>
      <c r="H530" s="907"/>
      <c r="I530" s="907"/>
      <c r="J530" s="907"/>
      <c r="K530" s="907"/>
      <c r="L530" s="907"/>
      <c r="M530" s="907"/>
      <c r="N530" s="907"/>
      <c r="O530" s="907"/>
      <c r="P530" s="907"/>
      <c r="Q530" s="907"/>
      <c r="R530" s="907"/>
      <c r="S530" s="907"/>
      <c r="T530" s="907"/>
      <c r="U530" s="907"/>
      <c r="V530" s="907"/>
      <c r="W530" s="907"/>
      <c r="X530" s="907"/>
      <c r="Y530" s="907"/>
      <c r="Z530" s="907"/>
      <c r="AA530" s="907"/>
      <c r="AB530" s="907"/>
      <c r="AC530" s="907"/>
    </row>
    <row r="531" spans="1:29">
      <c r="A531" s="907"/>
      <c r="B531" s="907"/>
      <c r="C531" s="907"/>
      <c r="D531" s="907"/>
      <c r="E531" s="907"/>
      <c r="F531" s="907"/>
      <c r="G531" s="907"/>
      <c r="H531" s="907"/>
      <c r="I531" s="907"/>
      <c r="J531" s="907"/>
      <c r="K531" s="907"/>
      <c r="L531" s="907"/>
      <c r="M531" s="907"/>
      <c r="N531" s="907"/>
      <c r="O531" s="907"/>
      <c r="P531" s="907"/>
      <c r="Q531" s="907"/>
      <c r="R531" s="907"/>
      <c r="S531" s="907"/>
      <c r="T531" s="907"/>
      <c r="U531" s="907"/>
      <c r="V531" s="907"/>
      <c r="W531" s="907"/>
      <c r="X531" s="907"/>
      <c r="Y531" s="907"/>
      <c r="Z531" s="907"/>
      <c r="AA531" s="907"/>
      <c r="AB531" s="907"/>
      <c r="AC531" s="907"/>
    </row>
    <row r="532" spans="1:29">
      <c r="A532" s="907"/>
      <c r="B532" s="907"/>
      <c r="C532" s="907"/>
      <c r="D532" s="907"/>
      <c r="E532" s="907"/>
      <c r="F532" s="907"/>
      <c r="G532" s="907"/>
      <c r="H532" s="907"/>
      <c r="I532" s="907"/>
      <c r="J532" s="907"/>
      <c r="K532" s="907"/>
      <c r="L532" s="907"/>
      <c r="M532" s="907"/>
      <c r="N532" s="907"/>
      <c r="O532" s="907"/>
      <c r="P532" s="907"/>
      <c r="Q532" s="907"/>
      <c r="R532" s="907"/>
      <c r="S532" s="907"/>
      <c r="T532" s="907"/>
      <c r="U532" s="907"/>
      <c r="V532" s="907"/>
      <c r="W532" s="907"/>
      <c r="X532" s="907"/>
      <c r="Y532" s="907"/>
      <c r="Z532" s="907"/>
      <c r="AA532" s="907"/>
      <c r="AB532" s="907"/>
      <c r="AC532" s="907"/>
    </row>
    <row r="533" spans="1:29">
      <c r="A533" s="907"/>
      <c r="B533" s="907"/>
      <c r="C533" s="907"/>
      <c r="D533" s="907"/>
      <c r="E533" s="907"/>
      <c r="F533" s="907"/>
      <c r="G533" s="907"/>
      <c r="H533" s="907"/>
      <c r="I533" s="907"/>
      <c r="J533" s="907"/>
      <c r="K533" s="907"/>
      <c r="L533" s="907"/>
      <c r="M533" s="907"/>
      <c r="N533" s="907"/>
      <c r="O533" s="907"/>
      <c r="P533" s="907"/>
      <c r="Q533" s="907"/>
      <c r="R533" s="907"/>
      <c r="S533" s="907"/>
      <c r="T533" s="907"/>
      <c r="U533" s="907"/>
      <c r="V533" s="907"/>
      <c r="W533" s="907"/>
      <c r="X533" s="907"/>
      <c r="Y533" s="907"/>
      <c r="Z533" s="907"/>
      <c r="AA533" s="907"/>
      <c r="AB533" s="907"/>
      <c r="AC533" s="907"/>
    </row>
    <row r="534" spans="1:29">
      <c r="A534" s="907"/>
      <c r="B534" s="907"/>
      <c r="C534" s="907"/>
      <c r="D534" s="907"/>
      <c r="E534" s="907"/>
      <c r="F534" s="907"/>
      <c r="G534" s="907"/>
      <c r="H534" s="907"/>
      <c r="I534" s="907"/>
      <c r="J534" s="907"/>
      <c r="K534" s="907"/>
      <c r="L534" s="907"/>
      <c r="M534" s="907"/>
      <c r="N534" s="907"/>
      <c r="O534" s="907"/>
      <c r="P534" s="907"/>
      <c r="Q534" s="907"/>
      <c r="R534" s="907"/>
      <c r="S534" s="907"/>
      <c r="T534" s="907"/>
      <c r="U534" s="907"/>
      <c r="V534" s="907"/>
      <c r="W534" s="907"/>
      <c r="X534" s="907"/>
      <c r="Y534" s="907"/>
      <c r="Z534" s="907"/>
      <c r="AA534" s="907"/>
      <c r="AB534" s="907"/>
      <c r="AC534" s="907"/>
    </row>
    <row r="535" spans="1:29">
      <c r="A535" s="907"/>
      <c r="B535" s="907"/>
      <c r="C535" s="907"/>
      <c r="D535" s="907"/>
      <c r="E535" s="907"/>
      <c r="F535" s="907"/>
      <c r="G535" s="907"/>
      <c r="H535" s="907"/>
      <c r="I535" s="907"/>
      <c r="J535" s="907"/>
      <c r="K535" s="907"/>
      <c r="L535" s="907"/>
      <c r="M535" s="907"/>
      <c r="N535" s="907"/>
      <c r="O535" s="907"/>
      <c r="P535" s="907"/>
      <c r="Q535" s="907"/>
      <c r="R535" s="907"/>
      <c r="S535" s="907"/>
      <c r="T535" s="907"/>
      <c r="U535" s="907"/>
      <c r="V535" s="907"/>
      <c r="W535" s="907"/>
      <c r="X535" s="907"/>
      <c r="Y535" s="907"/>
      <c r="Z535" s="907"/>
      <c r="AA535" s="907"/>
      <c r="AB535" s="907"/>
      <c r="AC535" s="907"/>
    </row>
    <row r="536" spans="1:29">
      <c r="A536" s="907"/>
      <c r="B536" s="907"/>
      <c r="C536" s="907"/>
      <c r="D536" s="907"/>
      <c r="E536" s="907"/>
      <c r="F536" s="907"/>
      <c r="G536" s="907"/>
      <c r="H536" s="907"/>
      <c r="I536" s="907"/>
      <c r="J536" s="907"/>
      <c r="K536" s="907"/>
      <c r="L536" s="907"/>
      <c r="M536" s="907"/>
      <c r="N536" s="907"/>
      <c r="O536" s="907"/>
      <c r="P536" s="907"/>
      <c r="Q536" s="907"/>
      <c r="R536" s="907"/>
      <c r="S536" s="907"/>
      <c r="T536" s="907"/>
      <c r="U536" s="907"/>
      <c r="V536" s="907"/>
      <c r="W536" s="907"/>
      <c r="X536" s="907"/>
      <c r="Y536" s="907"/>
      <c r="Z536" s="907"/>
      <c r="AA536" s="907"/>
      <c r="AB536" s="907"/>
      <c r="AC536" s="907"/>
    </row>
    <row r="537" spans="1:29">
      <c r="A537" s="907"/>
      <c r="B537" s="907"/>
      <c r="C537" s="907"/>
      <c r="D537" s="907"/>
      <c r="E537" s="907"/>
      <c r="F537" s="907"/>
      <c r="G537" s="907"/>
      <c r="H537" s="907"/>
      <c r="I537" s="907"/>
      <c r="J537" s="907"/>
      <c r="K537" s="907"/>
      <c r="L537" s="907"/>
      <c r="M537" s="907"/>
      <c r="N537" s="907"/>
      <c r="O537" s="907"/>
      <c r="P537" s="907"/>
      <c r="Q537" s="907"/>
      <c r="R537" s="907"/>
      <c r="S537" s="907"/>
      <c r="T537" s="907"/>
      <c r="U537" s="907"/>
      <c r="V537" s="907"/>
      <c r="W537" s="907"/>
      <c r="X537" s="907"/>
      <c r="Y537" s="907"/>
      <c r="Z537" s="907"/>
      <c r="AA537" s="907"/>
      <c r="AB537" s="907"/>
      <c r="AC537" s="907"/>
    </row>
    <row r="538" spans="1:29">
      <c r="A538" s="907"/>
      <c r="B538" s="907"/>
      <c r="C538" s="907"/>
      <c r="D538" s="907"/>
      <c r="E538" s="907"/>
      <c r="F538" s="907"/>
      <c r="G538" s="907"/>
      <c r="H538" s="907"/>
      <c r="I538" s="907"/>
      <c r="J538" s="907"/>
      <c r="K538" s="907"/>
      <c r="L538" s="907"/>
      <c r="M538" s="907"/>
      <c r="N538" s="907"/>
      <c r="O538" s="907"/>
      <c r="P538" s="907"/>
      <c r="Q538" s="907"/>
      <c r="R538" s="907"/>
      <c r="S538" s="907"/>
      <c r="T538" s="907"/>
      <c r="U538" s="907"/>
      <c r="V538" s="907"/>
      <c r="W538" s="907"/>
      <c r="X538" s="907"/>
      <c r="Y538" s="907"/>
      <c r="Z538" s="907"/>
      <c r="AA538" s="907"/>
      <c r="AB538" s="907"/>
      <c r="AC538" s="907"/>
    </row>
    <row r="539" spans="1:29">
      <c r="A539" s="907"/>
      <c r="B539" s="907"/>
      <c r="C539" s="907"/>
      <c r="D539" s="907"/>
      <c r="E539" s="907"/>
      <c r="F539" s="907"/>
      <c r="G539" s="907"/>
      <c r="H539" s="907"/>
      <c r="I539" s="907"/>
      <c r="J539" s="907"/>
      <c r="K539" s="907"/>
      <c r="L539" s="907"/>
      <c r="M539" s="907"/>
      <c r="N539" s="907"/>
      <c r="O539" s="907"/>
      <c r="P539" s="907"/>
      <c r="Q539" s="907"/>
      <c r="R539" s="907"/>
      <c r="S539" s="907"/>
      <c r="T539" s="907"/>
      <c r="U539" s="907"/>
      <c r="V539" s="907"/>
      <c r="W539" s="907"/>
      <c r="X539" s="907"/>
      <c r="Y539" s="907"/>
      <c r="Z539" s="907"/>
      <c r="AA539" s="907"/>
      <c r="AB539" s="907"/>
      <c r="AC539" s="907"/>
    </row>
    <row r="540" spans="1:29">
      <c r="A540" s="907"/>
      <c r="B540" s="907"/>
      <c r="C540" s="907"/>
      <c r="D540" s="907"/>
      <c r="E540" s="907"/>
      <c r="F540" s="907"/>
      <c r="G540" s="907"/>
      <c r="H540" s="907"/>
      <c r="I540" s="907"/>
      <c r="J540" s="907"/>
      <c r="K540" s="907"/>
      <c r="L540" s="907"/>
      <c r="M540" s="907"/>
      <c r="N540" s="907"/>
      <c r="O540" s="907"/>
      <c r="P540" s="907"/>
      <c r="Q540" s="907"/>
      <c r="R540" s="907"/>
      <c r="S540" s="907"/>
      <c r="T540" s="907"/>
      <c r="U540" s="907"/>
      <c r="V540" s="907"/>
      <c r="W540" s="907"/>
      <c r="X540" s="907"/>
      <c r="Y540" s="907"/>
      <c r="Z540" s="907"/>
      <c r="AA540" s="907"/>
      <c r="AB540" s="907"/>
      <c r="AC540" s="907"/>
    </row>
    <row r="541" spans="1:29">
      <c r="A541" s="907"/>
      <c r="B541" s="907"/>
      <c r="C541" s="907"/>
      <c r="D541" s="907"/>
      <c r="E541" s="907"/>
      <c r="F541" s="907"/>
      <c r="G541" s="907"/>
      <c r="H541" s="907"/>
      <c r="I541" s="907"/>
      <c r="J541" s="907"/>
      <c r="K541" s="907"/>
      <c r="L541" s="907"/>
      <c r="M541" s="907"/>
      <c r="N541" s="907"/>
      <c r="O541" s="907"/>
      <c r="P541" s="907"/>
      <c r="Q541" s="907"/>
      <c r="R541" s="907"/>
      <c r="S541" s="907"/>
      <c r="T541" s="907"/>
      <c r="U541" s="907"/>
      <c r="V541" s="907"/>
      <c r="W541" s="907"/>
      <c r="X541" s="907"/>
      <c r="Y541" s="907"/>
      <c r="Z541" s="907"/>
      <c r="AA541" s="907"/>
      <c r="AB541" s="907"/>
      <c r="AC541" s="907"/>
    </row>
    <row r="542" spans="1:29">
      <c r="A542" s="907"/>
      <c r="B542" s="907"/>
      <c r="C542" s="907"/>
      <c r="D542" s="907"/>
      <c r="E542" s="907"/>
      <c r="F542" s="907"/>
      <c r="G542" s="907"/>
      <c r="H542" s="907"/>
      <c r="I542" s="907"/>
      <c r="J542" s="907"/>
      <c r="K542" s="907"/>
      <c r="L542" s="907"/>
      <c r="M542" s="907"/>
      <c r="N542" s="907"/>
      <c r="O542" s="907"/>
      <c r="P542" s="907"/>
      <c r="Q542" s="907"/>
      <c r="R542" s="907"/>
      <c r="S542" s="907"/>
      <c r="T542" s="907"/>
      <c r="U542" s="907"/>
      <c r="V542" s="907"/>
      <c r="W542" s="907"/>
      <c r="X542" s="907"/>
      <c r="Y542" s="907"/>
      <c r="Z542" s="907"/>
      <c r="AA542" s="907"/>
      <c r="AB542" s="907"/>
      <c r="AC542" s="907"/>
    </row>
    <row r="543" spans="1:29">
      <c r="A543" s="907"/>
      <c r="B543" s="907"/>
      <c r="C543" s="907"/>
      <c r="D543" s="907"/>
      <c r="E543" s="907"/>
      <c r="F543" s="907"/>
      <c r="G543" s="907"/>
      <c r="H543" s="907"/>
      <c r="I543" s="907"/>
      <c r="J543" s="907"/>
      <c r="K543" s="907"/>
      <c r="L543" s="907"/>
      <c r="M543" s="907"/>
      <c r="N543" s="907"/>
      <c r="O543" s="907"/>
      <c r="P543" s="907"/>
      <c r="Q543" s="907"/>
      <c r="R543" s="907"/>
      <c r="S543" s="907"/>
      <c r="T543" s="907"/>
      <c r="U543" s="907"/>
      <c r="V543" s="907"/>
      <c r="W543" s="907"/>
      <c r="X543" s="907"/>
      <c r="Y543" s="907"/>
      <c r="Z543" s="907"/>
      <c r="AA543" s="907"/>
      <c r="AB543" s="907"/>
      <c r="AC543" s="907"/>
    </row>
    <row r="544" spans="1:29">
      <c r="A544" s="907"/>
      <c r="B544" s="907"/>
      <c r="C544" s="907"/>
      <c r="D544" s="907"/>
      <c r="E544" s="907"/>
      <c r="F544" s="907"/>
      <c r="G544" s="907"/>
      <c r="H544" s="907"/>
      <c r="I544" s="907"/>
      <c r="J544" s="907"/>
      <c r="K544" s="907"/>
      <c r="L544" s="907"/>
      <c r="M544" s="907"/>
      <c r="N544" s="907"/>
      <c r="O544" s="907"/>
      <c r="P544" s="907"/>
      <c r="Q544" s="907"/>
      <c r="R544" s="907"/>
      <c r="S544" s="907"/>
      <c r="T544" s="907"/>
      <c r="U544" s="907"/>
      <c r="V544" s="907"/>
      <c r="W544" s="907"/>
      <c r="X544" s="907"/>
      <c r="Y544" s="907"/>
      <c r="Z544" s="907"/>
      <c r="AA544" s="907"/>
      <c r="AB544" s="907"/>
      <c r="AC544" s="907"/>
    </row>
    <row r="545" spans="1:29">
      <c r="A545" s="907"/>
      <c r="B545" s="907"/>
      <c r="C545" s="907"/>
      <c r="D545" s="907"/>
      <c r="E545" s="907"/>
      <c r="F545" s="907"/>
      <c r="G545" s="907"/>
      <c r="H545" s="907"/>
      <c r="I545" s="907"/>
      <c r="J545" s="907"/>
      <c r="K545" s="907"/>
      <c r="L545" s="907"/>
      <c r="M545" s="907"/>
      <c r="N545" s="907"/>
      <c r="O545" s="907"/>
      <c r="P545" s="907"/>
      <c r="Q545" s="907"/>
      <c r="R545" s="907"/>
      <c r="S545" s="907"/>
      <c r="T545" s="907"/>
      <c r="U545" s="907"/>
      <c r="V545" s="907"/>
      <c r="W545" s="907"/>
      <c r="X545" s="907"/>
      <c r="Y545" s="907"/>
      <c r="Z545" s="907"/>
      <c r="AA545" s="907"/>
      <c r="AB545" s="907"/>
      <c r="AC545" s="907"/>
    </row>
    <row r="546" spans="1:29">
      <c r="A546" s="907"/>
      <c r="B546" s="907"/>
      <c r="C546" s="907"/>
      <c r="D546" s="907"/>
      <c r="E546" s="907"/>
      <c r="F546" s="907"/>
      <c r="G546" s="907"/>
      <c r="H546" s="907"/>
      <c r="I546" s="907"/>
      <c r="J546" s="907"/>
      <c r="K546" s="907"/>
      <c r="L546" s="907"/>
      <c r="M546" s="907"/>
      <c r="N546" s="907"/>
      <c r="O546" s="907"/>
      <c r="P546" s="907"/>
      <c r="Q546" s="907"/>
      <c r="R546" s="907"/>
      <c r="S546" s="907"/>
      <c r="T546" s="907"/>
      <c r="U546" s="907"/>
      <c r="V546" s="907"/>
      <c r="W546" s="907"/>
      <c r="X546" s="907"/>
      <c r="Y546" s="907"/>
      <c r="Z546" s="907"/>
      <c r="AA546" s="907"/>
      <c r="AB546" s="907"/>
      <c r="AC546" s="907"/>
    </row>
    <row r="547" spans="1:29">
      <c r="A547" s="907"/>
      <c r="B547" s="907"/>
      <c r="C547" s="907"/>
      <c r="D547" s="907"/>
      <c r="E547" s="907"/>
      <c r="F547" s="907"/>
      <c r="G547" s="907"/>
      <c r="H547" s="907"/>
      <c r="I547" s="907"/>
      <c r="J547" s="907"/>
      <c r="K547" s="907"/>
      <c r="L547" s="907"/>
      <c r="M547" s="907"/>
      <c r="N547" s="907"/>
      <c r="O547" s="907"/>
      <c r="P547" s="907"/>
      <c r="Q547" s="907"/>
      <c r="R547" s="907"/>
      <c r="S547" s="907"/>
      <c r="T547" s="907"/>
      <c r="U547" s="907"/>
      <c r="V547" s="907"/>
      <c r="W547" s="907"/>
      <c r="X547" s="907"/>
      <c r="Y547" s="907"/>
      <c r="Z547" s="907"/>
      <c r="AA547" s="907"/>
      <c r="AB547" s="907"/>
      <c r="AC547" s="907"/>
    </row>
    <row r="548" spans="1:29">
      <c r="A548" s="907"/>
      <c r="B548" s="907"/>
      <c r="C548" s="907"/>
      <c r="D548" s="907"/>
      <c r="E548" s="907"/>
      <c r="F548" s="907"/>
      <c r="G548" s="907"/>
      <c r="H548" s="907"/>
      <c r="I548" s="907"/>
      <c r="J548" s="907"/>
      <c r="K548" s="907"/>
      <c r="L548" s="907"/>
      <c r="M548" s="907"/>
      <c r="N548" s="907"/>
      <c r="O548" s="907"/>
      <c r="P548" s="907"/>
      <c r="Q548" s="907"/>
      <c r="R548" s="907"/>
      <c r="S548" s="907"/>
      <c r="T548" s="907"/>
      <c r="U548" s="907"/>
      <c r="V548" s="907"/>
      <c r="W548" s="907"/>
      <c r="X548" s="907"/>
      <c r="Y548" s="907"/>
      <c r="Z548" s="907"/>
      <c r="AA548" s="907"/>
      <c r="AB548" s="907"/>
      <c r="AC548" s="907"/>
    </row>
    <row r="549" spans="1:29">
      <c r="A549" s="907"/>
      <c r="B549" s="907"/>
      <c r="C549" s="907"/>
      <c r="D549" s="907"/>
      <c r="E549" s="907"/>
      <c r="F549" s="907"/>
      <c r="G549" s="907"/>
      <c r="H549" s="907"/>
      <c r="I549" s="907"/>
      <c r="J549" s="907"/>
      <c r="K549" s="907"/>
      <c r="L549" s="907"/>
      <c r="M549" s="907"/>
      <c r="N549" s="907"/>
      <c r="O549" s="907"/>
      <c r="P549" s="907"/>
      <c r="Q549" s="907"/>
      <c r="R549" s="907"/>
      <c r="S549" s="907"/>
      <c r="T549" s="907"/>
      <c r="U549" s="907"/>
      <c r="V549" s="907"/>
      <c r="W549" s="907"/>
      <c r="X549" s="907"/>
      <c r="Y549" s="907"/>
      <c r="Z549" s="907"/>
      <c r="AA549" s="907"/>
      <c r="AB549" s="907"/>
      <c r="AC549" s="907"/>
    </row>
    <row r="550" spans="1:29">
      <c r="A550" s="907"/>
      <c r="B550" s="907"/>
      <c r="C550" s="907"/>
      <c r="D550" s="907"/>
      <c r="E550" s="907"/>
      <c r="F550" s="907"/>
      <c r="G550" s="907"/>
      <c r="H550" s="907"/>
      <c r="I550" s="907"/>
      <c r="J550" s="907"/>
      <c r="K550" s="907"/>
      <c r="L550" s="907"/>
      <c r="M550" s="907"/>
      <c r="N550" s="907"/>
      <c r="O550" s="907"/>
      <c r="P550" s="907"/>
      <c r="Q550" s="907"/>
      <c r="R550" s="907"/>
      <c r="S550" s="907"/>
      <c r="T550" s="907"/>
      <c r="U550" s="907"/>
      <c r="V550" s="907"/>
      <c r="W550" s="907"/>
      <c r="X550" s="907"/>
      <c r="Y550" s="907"/>
      <c r="Z550" s="907"/>
      <c r="AA550" s="907"/>
      <c r="AB550" s="907"/>
      <c r="AC550" s="907"/>
    </row>
    <row r="551" spans="1:29">
      <c r="A551" s="907"/>
      <c r="B551" s="907"/>
      <c r="C551" s="907"/>
      <c r="D551" s="907"/>
      <c r="E551" s="907"/>
      <c r="F551" s="907"/>
      <c r="G551" s="907"/>
      <c r="H551" s="907"/>
      <c r="I551" s="907"/>
      <c r="J551" s="907"/>
      <c r="K551" s="907"/>
      <c r="L551" s="907"/>
      <c r="M551" s="907"/>
      <c r="N551" s="907"/>
      <c r="O551" s="907"/>
      <c r="P551" s="907"/>
      <c r="Q551" s="907"/>
      <c r="R551" s="907"/>
      <c r="S551" s="907"/>
      <c r="T551" s="907"/>
      <c r="U551" s="907"/>
      <c r="V551" s="907"/>
      <c r="W551" s="907"/>
      <c r="X551" s="907"/>
      <c r="Y551" s="907"/>
      <c r="Z551" s="907"/>
      <c r="AA551" s="907"/>
      <c r="AB551" s="907"/>
      <c r="AC551" s="907"/>
    </row>
    <row r="552" spans="1:29">
      <c r="A552" s="907"/>
      <c r="B552" s="907"/>
      <c r="C552" s="907"/>
      <c r="D552" s="907"/>
      <c r="E552" s="907"/>
      <c r="F552" s="907"/>
      <c r="G552" s="907"/>
      <c r="H552" s="907"/>
      <c r="I552" s="907"/>
      <c r="J552" s="907"/>
      <c r="K552" s="907"/>
      <c r="L552" s="907"/>
      <c r="M552" s="907"/>
      <c r="N552" s="907"/>
      <c r="O552" s="907"/>
      <c r="P552" s="907"/>
      <c r="Q552" s="907"/>
      <c r="R552" s="907"/>
      <c r="S552" s="907"/>
      <c r="T552" s="907"/>
      <c r="U552" s="907"/>
      <c r="V552" s="907"/>
      <c r="W552" s="907"/>
      <c r="X552" s="907"/>
      <c r="Y552" s="907"/>
      <c r="Z552" s="907"/>
      <c r="AA552" s="907"/>
      <c r="AB552" s="907"/>
      <c r="AC552" s="907"/>
    </row>
    <row r="553" spans="1:29">
      <c r="A553" s="907"/>
      <c r="B553" s="907"/>
      <c r="C553" s="907"/>
      <c r="D553" s="907"/>
      <c r="E553" s="907"/>
      <c r="F553" s="907"/>
      <c r="G553" s="907"/>
      <c r="H553" s="907"/>
      <c r="I553" s="907"/>
      <c r="J553" s="907"/>
      <c r="K553" s="907"/>
      <c r="L553" s="907"/>
      <c r="M553" s="907"/>
      <c r="N553" s="907"/>
      <c r="O553" s="907"/>
      <c r="P553" s="907"/>
      <c r="Q553" s="907"/>
      <c r="R553" s="907"/>
      <c r="S553" s="907"/>
      <c r="T553" s="907"/>
      <c r="U553" s="907"/>
      <c r="V553" s="907"/>
      <c r="W553" s="907"/>
      <c r="X553" s="907"/>
      <c r="Y553" s="907"/>
      <c r="Z553" s="907"/>
      <c r="AA553" s="907"/>
      <c r="AB553" s="907"/>
      <c r="AC553" s="907"/>
    </row>
    <row r="554" spans="1:29">
      <c r="A554" s="907"/>
      <c r="B554" s="907"/>
      <c r="C554" s="907"/>
      <c r="D554" s="907"/>
      <c r="E554" s="907"/>
      <c r="F554" s="907"/>
      <c r="G554" s="907"/>
      <c r="H554" s="907"/>
      <c r="I554" s="907"/>
      <c r="J554" s="907"/>
      <c r="K554" s="907"/>
      <c r="L554" s="907"/>
      <c r="M554" s="907"/>
      <c r="N554" s="907"/>
      <c r="O554" s="907"/>
      <c r="P554" s="907"/>
      <c r="Q554" s="907"/>
      <c r="R554" s="907"/>
      <c r="S554" s="907"/>
      <c r="T554" s="907"/>
      <c r="U554" s="907"/>
      <c r="V554" s="907"/>
      <c r="W554" s="907"/>
      <c r="X554" s="907"/>
      <c r="Y554" s="907"/>
      <c r="Z554" s="907"/>
      <c r="AA554" s="907"/>
      <c r="AB554" s="907"/>
      <c r="AC554" s="907"/>
    </row>
    <row r="555" spans="1:29">
      <c r="A555" s="907"/>
      <c r="B555" s="907"/>
      <c r="C555" s="907"/>
      <c r="D555" s="907"/>
      <c r="E555" s="907"/>
      <c r="F555" s="907"/>
      <c r="G555" s="907"/>
      <c r="H555" s="907"/>
      <c r="I555" s="907"/>
      <c r="J555" s="907"/>
      <c r="K555" s="907"/>
      <c r="L555" s="907"/>
      <c r="M555" s="907"/>
      <c r="N555" s="907"/>
      <c r="O555" s="907"/>
      <c r="P555" s="907"/>
      <c r="Q555" s="907"/>
      <c r="R555" s="907"/>
      <c r="S555" s="907"/>
      <c r="T555" s="907"/>
      <c r="U555" s="907"/>
      <c r="V555" s="907"/>
      <c r="W555" s="907"/>
      <c r="X555" s="907"/>
      <c r="Y555" s="907"/>
      <c r="Z555" s="907"/>
      <c r="AA555" s="907"/>
      <c r="AB555" s="907"/>
      <c r="AC555" s="907"/>
    </row>
    <row r="556" spans="1:29">
      <c r="A556" s="907"/>
      <c r="B556" s="907"/>
      <c r="C556" s="907"/>
      <c r="D556" s="907"/>
      <c r="E556" s="907"/>
      <c r="F556" s="907"/>
      <c r="G556" s="907"/>
      <c r="H556" s="907"/>
      <c r="I556" s="907"/>
      <c r="J556" s="907"/>
      <c r="K556" s="907"/>
      <c r="L556" s="907"/>
      <c r="M556" s="907"/>
      <c r="N556" s="907"/>
      <c r="O556" s="907"/>
      <c r="P556" s="907"/>
      <c r="Q556" s="907"/>
      <c r="R556" s="907"/>
      <c r="S556" s="907"/>
      <c r="T556" s="907"/>
      <c r="U556" s="907"/>
      <c r="V556" s="907"/>
      <c r="W556" s="907"/>
      <c r="X556" s="907"/>
      <c r="Y556" s="907"/>
      <c r="Z556" s="907"/>
      <c r="AA556" s="907"/>
      <c r="AB556" s="907"/>
      <c r="AC556" s="907"/>
    </row>
    <row r="557" spans="1:29">
      <c r="A557" s="907"/>
      <c r="B557" s="907"/>
      <c r="C557" s="907"/>
      <c r="D557" s="907"/>
      <c r="E557" s="907"/>
      <c r="F557" s="907"/>
      <c r="G557" s="907"/>
      <c r="H557" s="907"/>
      <c r="I557" s="907"/>
      <c r="J557" s="907"/>
      <c r="K557" s="907"/>
      <c r="L557" s="907"/>
      <c r="M557" s="907"/>
      <c r="N557" s="907"/>
      <c r="O557" s="907"/>
      <c r="P557" s="907"/>
      <c r="Q557" s="907"/>
      <c r="R557" s="907"/>
      <c r="S557" s="907"/>
      <c r="T557" s="907"/>
      <c r="U557" s="907"/>
      <c r="V557" s="907"/>
      <c r="W557" s="907"/>
      <c r="X557" s="907"/>
      <c r="Y557" s="907"/>
      <c r="Z557" s="907"/>
      <c r="AA557" s="907"/>
      <c r="AB557" s="907"/>
      <c r="AC557" s="907"/>
    </row>
    <row r="558" spans="1:29">
      <c r="A558" s="907"/>
      <c r="B558" s="907"/>
      <c r="C558" s="907"/>
      <c r="D558" s="907"/>
      <c r="E558" s="907"/>
      <c r="F558" s="907"/>
      <c r="G558" s="907"/>
      <c r="H558" s="907"/>
      <c r="I558" s="907"/>
      <c r="J558" s="907"/>
      <c r="K558" s="907"/>
      <c r="L558" s="907"/>
      <c r="M558" s="907"/>
      <c r="N558" s="907"/>
      <c r="O558" s="907"/>
      <c r="P558" s="907"/>
      <c r="Q558" s="907"/>
      <c r="R558" s="907"/>
      <c r="S558" s="907"/>
      <c r="T558" s="907"/>
      <c r="U558" s="907"/>
      <c r="V558" s="907"/>
      <c r="W558" s="907"/>
      <c r="X558" s="907"/>
      <c r="Y558" s="907"/>
      <c r="Z558" s="907"/>
      <c r="AA558" s="907"/>
      <c r="AB558" s="907"/>
      <c r="AC558" s="907"/>
    </row>
    <row r="559" spans="1:29">
      <c r="A559" s="907"/>
      <c r="B559" s="907"/>
      <c r="C559" s="907"/>
      <c r="D559" s="907"/>
      <c r="E559" s="907"/>
      <c r="F559" s="907"/>
      <c r="G559" s="907"/>
      <c r="H559" s="907"/>
      <c r="I559" s="907"/>
      <c r="J559" s="907"/>
      <c r="K559" s="907"/>
      <c r="L559" s="907"/>
      <c r="M559" s="907"/>
      <c r="N559" s="907"/>
      <c r="O559" s="907"/>
      <c r="P559" s="907"/>
      <c r="Q559" s="907"/>
      <c r="R559" s="907"/>
      <c r="S559" s="907"/>
      <c r="T559" s="907"/>
      <c r="U559" s="907"/>
      <c r="V559" s="907"/>
      <c r="W559" s="907"/>
      <c r="X559" s="907"/>
      <c r="Y559" s="907"/>
      <c r="Z559" s="907"/>
      <c r="AA559" s="907"/>
      <c r="AB559" s="907"/>
      <c r="AC559" s="907"/>
    </row>
    <row r="560" spans="1:29">
      <c r="A560" s="907"/>
      <c r="B560" s="907"/>
      <c r="C560" s="907"/>
      <c r="D560" s="907"/>
      <c r="E560" s="907"/>
      <c r="F560" s="907"/>
      <c r="G560" s="907"/>
      <c r="H560" s="907"/>
      <c r="I560" s="907"/>
      <c r="J560" s="907"/>
      <c r="K560" s="907"/>
      <c r="L560" s="907"/>
      <c r="M560" s="907"/>
      <c r="N560" s="907"/>
      <c r="O560" s="907"/>
      <c r="P560" s="907"/>
      <c r="Q560" s="907"/>
      <c r="R560" s="907"/>
      <c r="S560" s="907"/>
      <c r="T560" s="907"/>
      <c r="U560" s="907"/>
      <c r="V560" s="907"/>
      <c r="W560" s="907"/>
      <c r="X560" s="907"/>
      <c r="Y560" s="907"/>
      <c r="Z560" s="907"/>
      <c r="AA560" s="907"/>
      <c r="AB560" s="907"/>
      <c r="AC560" s="907"/>
    </row>
    <row r="561" spans="1:29">
      <c r="A561" s="907"/>
      <c r="B561" s="907"/>
      <c r="C561" s="907"/>
      <c r="D561" s="907"/>
      <c r="E561" s="907"/>
      <c r="F561" s="907"/>
      <c r="G561" s="907"/>
      <c r="H561" s="907"/>
      <c r="I561" s="907"/>
      <c r="J561" s="907"/>
      <c r="K561" s="907"/>
      <c r="L561" s="907"/>
      <c r="M561" s="907"/>
      <c r="N561" s="907"/>
      <c r="O561" s="907"/>
      <c r="P561" s="907"/>
      <c r="Q561" s="907"/>
      <c r="R561" s="907"/>
      <c r="S561" s="907"/>
      <c r="T561" s="907"/>
      <c r="U561" s="907"/>
      <c r="V561" s="907"/>
      <c r="W561" s="907"/>
      <c r="X561" s="907"/>
      <c r="Y561" s="907"/>
      <c r="Z561" s="907"/>
      <c r="AA561" s="907"/>
      <c r="AB561" s="907"/>
      <c r="AC561" s="907"/>
    </row>
    <row r="562" spans="1:29">
      <c r="A562" s="907"/>
      <c r="B562" s="907"/>
      <c r="C562" s="907"/>
      <c r="D562" s="907"/>
      <c r="E562" s="907"/>
      <c r="F562" s="907"/>
      <c r="G562" s="907"/>
      <c r="H562" s="907"/>
      <c r="I562" s="907"/>
      <c r="J562" s="907"/>
      <c r="K562" s="907"/>
      <c r="L562" s="907"/>
      <c r="M562" s="907"/>
      <c r="N562" s="907"/>
      <c r="O562" s="907"/>
      <c r="P562" s="907"/>
      <c r="Q562" s="907"/>
      <c r="R562" s="907"/>
      <c r="S562" s="907"/>
      <c r="T562" s="907"/>
      <c r="U562" s="907"/>
      <c r="V562" s="907"/>
      <c r="W562" s="907"/>
      <c r="X562" s="907"/>
      <c r="Y562" s="907"/>
      <c r="Z562" s="907"/>
      <c r="AA562" s="907"/>
      <c r="AB562" s="907"/>
      <c r="AC562" s="907"/>
    </row>
    <row r="563" spans="1:29">
      <c r="A563" s="907"/>
      <c r="B563" s="907"/>
      <c r="C563" s="907"/>
      <c r="D563" s="907"/>
      <c r="E563" s="907"/>
      <c r="F563" s="907"/>
      <c r="G563" s="907"/>
      <c r="H563" s="907"/>
      <c r="I563" s="907"/>
      <c r="J563" s="907"/>
      <c r="K563" s="907"/>
      <c r="L563" s="907"/>
      <c r="M563" s="907"/>
      <c r="N563" s="907"/>
      <c r="O563" s="907"/>
      <c r="P563" s="907"/>
      <c r="Q563" s="907"/>
      <c r="R563" s="907"/>
      <c r="S563" s="907"/>
      <c r="T563" s="907"/>
      <c r="U563" s="907"/>
      <c r="V563" s="907"/>
      <c r="W563" s="907"/>
      <c r="X563" s="907"/>
      <c r="Y563" s="907"/>
      <c r="Z563" s="907"/>
      <c r="AA563" s="907"/>
      <c r="AB563" s="907"/>
      <c r="AC563" s="907"/>
    </row>
    <row r="564" spans="1:29">
      <c r="A564" s="907"/>
      <c r="B564" s="907"/>
      <c r="C564" s="907"/>
      <c r="D564" s="907"/>
      <c r="E564" s="907"/>
      <c r="F564" s="907"/>
      <c r="G564" s="907"/>
      <c r="H564" s="907"/>
      <c r="I564" s="907"/>
      <c r="J564" s="907"/>
      <c r="K564" s="907"/>
      <c r="L564" s="907"/>
      <c r="M564" s="907"/>
      <c r="N564" s="907"/>
      <c r="O564" s="907"/>
      <c r="P564" s="907"/>
      <c r="Q564" s="907"/>
      <c r="R564" s="907"/>
      <c r="S564" s="907"/>
      <c r="T564" s="907"/>
      <c r="U564" s="907"/>
      <c r="V564" s="907"/>
      <c r="W564" s="907"/>
      <c r="X564" s="907"/>
      <c r="Y564" s="907"/>
      <c r="Z564" s="907"/>
      <c r="AA564" s="907"/>
      <c r="AB564" s="907"/>
      <c r="AC564" s="907"/>
    </row>
    <row r="565" spans="1:29">
      <c r="A565" s="907"/>
      <c r="B565" s="907"/>
      <c r="C565" s="907"/>
      <c r="D565" s="907"/>
      <c r="E565" s="907"/>
      <c r="F565" s="907"/>
      <c r="G565" s="907"/>
      <c r="H565" s="907"/>
      <c r="I565" s="907"/>
      <c r="J565" s="907"/>
      <c r="K565" s="907"/>
      <c r="L565" s="907"/>
      <c r="M565" s="907"/>
      <c r="N565" s="907"/>
      <c r="O565" s="907"/>
      <c r="P565" s="907"/>
      <c r="Q565" s="907"/>
      <c r="R565" s="907"/>
      <c r="S565" s="907"/>
      <c r="T565" s="907"/>
      <c r="U565" s="907"/>
      <c r="V565" s="907"/>
      <c r="W565" s="907"/>
      <c r="X565" s="907"/>
      <c r="Y565" s="907"/>
      <c r="Z565" s="907"/>
      <c r="AA565" s="907"/>
      <c r="AB565" s="907"/>
      <c r="AC565" s="907"/>
    </row>
    <row r="566" spans="1:29">
      <c r="A566" s="907"/>
      <c r="B566" s="907"/>
      <c r="C566" s="907"/>
      <c r="D566" s="907"/>
      <c r="E566" s="907"/>
      <c r="F566" s="907"/>
      <c r="G566" s="907"/>
      <c r="H566" s="907"/>
      <c r="I566" s="907"/>
      <c r="J566" s="907"/>
      <c r="K566" s="907"/>
      <c r="L566" s="907"/>
      <c r="M566" s="907"/>
      <c r="N566" s="907"/>
      <c r="O566" s="907"/>
      <c r="P566" s="907"/>
      <c r="Q566" s="907"/>
      <c r="R566" s="907"/>
      <c r="S566" s="907"/>
      <c r="T566" s="907"/>
      <c r="U566" s="907"/>
      <c r="V566" s="907"/>
      <c r="W566" s="907"/>
      <c r="X566" s="907"/>
      <c r="Y566" s="907"/>
      <c r="Z566" s="907"/>
      <c r="AA566" s="907"/>
      <c r="AB566" s="907"/>
      <c r="AC566" s="907"/>
    </row>
    <row r="567" spans="1:29">
      <c r="A567" s="907"/>
      <c r="B567" s="907"/>
      <c r="C567" s="907"/>
      <c r="D567" s="907"/>
      <c r="E567" s="907"/>
      <c r="F567" s="907"/>
      <c r="G567" s="907"/>
      <c r="H567" s="907"/>
      <c r="I567" s="907"/>
      <c r="J567" s="907"/>
      <c r="K567" s="907"/>
      <c r="L567" s="907"/>
      <c r="M567" s="907"/>
      <c r="N567" s="907"/>
      <c r="O567" s="907"/>
      <c r="P567" s="907"/>
      <c r="Q567" s="907"/>
      <c r="R567" s="907"/>
      <c r="S567" s="907"/>
      <c r="T567" s="907"/>
      <c r="U567" s="907"/>
      <c r="V567" s="907"/>
      <c r="W567" s="907"/>
      <c r="X567" s="907"/>
      <c r="Y567" s="907"/>
      <c r="Z567" s="907"/>
      <c r="AA567" s="907"/>
      <c r="AB567" s="907"/>
      <c r="AC567" s="907"/>
    </row>
    <row r="568" spans="1:29">
      <c r="A568" s="907"/>
      <c r="B568" s="907"/>
      <c r="C568" s="907"/>
      <c r="D568" s="907"/>
      <c r="E568" s="907"/>
      <c r="F568" s="907"/>
      <c r="G568" s="907"/>
      <c r="H568" s="907"/>
      <c r="I568" s="907"/>
      <c r="J568" s="907"/>
      <c r="K568" s="907"/>
      <c r="L568" s="907"/>
      <c r="M568" s="907"/>
      <c r="N568" s="907"/>
      <c r="O568" s="907"/>
      <c r="P568" s="907"/>
      <c r="Q568" s="907"/>
      <c r="R568" s="907"/>
      <c r="S568" s="907"/>
      <c r="T568" s="907"/>
      <c r="U568" s="907"/>
      <c r="V568" s="907"/>
      <c r="W568" s="907"/>
      <c r="X568" s="907"/>
      <c r="Y568" s="907"/>
      <c r="Z568" s="907"/>
      <c r="AA568" s="907"/>
      <c r="AB568" s="907"/>
      <c r="AC568" s="907"/>
    </row>
    <row r="569" spans="1:29">
      <c r="A569" s="907"/>
      <c r="B569" s="907"/>
      <c r="C569" s="907"/>
      <c r="D569" s="907"/>
      <c r="E569" s="907"/>
      <c r="F569" s="907"/>
      <c r="G569" s="907"/>
      <c r="H569" s="907"/>
      <c r="I569" s="907"/>
      <c r="J569" s="907"/>
      <c r="K569" s="907"/>
      <c r="L569" s="907"/>
      <c r="M569" s="907"/>
      <c r="N569" s="907"/>
      <c r="O569" s="907"/>
      <c r="P569" s="907"/>
      <c r="Q569" s="907"/>
      <c r="R569" s="907"/>
      <c r="S569" s="907"/>
      <c r="T569" s="907"/>
      <c r="U569" s="907"/>
      <c r="V569" s="907"/>
      <c r="W569" s="907"/>
      <c r="X569" s="907"/>
      <c r="Y569" s="907"/>
      <c r="Z569" s="907"/>
      <c r="AA569" s="907"/>
      <c r="AB569" s="907"/>
      <c r="AC569" s="907"/>
    </row>
    <row r="570" spans="1:29">
      <c r="A570" s="907"/>
      <c r="B570" s="907"/>
      <c r="C570" s="907"/>
      <c r="D570" s="907"/>
      <c r="E570" s="907"/>
      <c r="F570" s="907"/>
      <c r="G570" s="907"/>
      <c r="H570" s="907"/>
      <c r="I570" s="907"/>
      <c r="J570" s="907"/>
      <c r="K570" s="907"/>
      <c r="L570" s="907"/>
      <c r="M570" s="907"/>
      <c r="N570" s="907"/>
      <c r="O570" s="907"/>
      <c r="P570" s="907"/>
      <c r="Q570" s="907"/>
      <c r="R570" s="907"/>
      <c r="S570" s="907"/>
      <c r="T570" s="907"/>
      <c r="U570" s="907"/>
      <c r="V570" s="907"/>
      <c r="W570" s="907"/>
      <c r="X570" s="907"/>
      <c r="Y570" s="907"/>
      <c r="Z570" s="907"/>
      <c r="AA570" s="907"/>
      <c r="AB570" s="907"/>
      <c r="AC570" s="907"/>
    </row>
    <row r="571" spans="1:29">
      <c r="A571" s="907"/>
      <c r="B571" s="907"/>
      <c r="C571" s="907"/>
      <c r="D571" s="907"/>
      <c r="E571" s="907"/>
      <c r="F571" s="907"/>
      <c r="G571" s="907"/>
      <c r="H571" s="907"/>
      <c r="I571" s="907"/>
      <c r="J571" s="907"/>
      <c r="K571" s="907"/>
      <c r="L571" s="907"/>
      <c r="M571" s="907"/>
      <c r="N571" s="907"/>
      <c r="O571" s="907"/>
      <c r="P571" s="907"/>
      <c r="Q571" s="907"/>
      <c r="R571" s="907"/>
      <c r="S571" s="907"/>
      <c r="T571" s="907"/>
      <c r="U571" s="907"/>
      <c r="V571" s="907"/>
      <c r="W571" s="907"/>
      <c r="X571" s="907"/>
      <c r="Y571" s="907"/>
      <c r="Z571" s="907"/>
      <c r="AA571" s="907"/>
      <c r="AB571" s="907"/>
      <c r="AC571" s="907"/>
    </row>
    <row r="572" spans="1:29">
      <c r="A572" s="907"/>
      <c r="B572" s="907"/>
      <c r="C572" s="907"/>
      <c r="D572" s="907"/>
      <c r="E572" s="907"/>
      <c r="F572" s="907"/>
      <c r="G572" s="907"/>
      <c r="H572" s="907"/>
      <c r="I572" s="907"/>
      <c r="J572" s="907"/>
      <c r="K572" s="907"/>
      <c r="L572" s="907"/>
      <c r="M572" s="907"/>
      <c r="N572" s="907"/>
      <c r="O572" s="907"/>
      <c r="P572" s="907"/>
      <c r="Q572" s="907"/>
      <c r="R572" s="907"/>
      <c r="S572" s="907"/>
      <c r="T572" s="907"/>
      <c r="U572" s="907"/>
      <c r="V572" s="907"/>
      <c r="W572" s="907"/>
      <c r="X572" s="907"/>
      <c r="Y572" s="907"/>
      <c r="Z572" s="907"/>
      <c r="AA572" s="907"/>
      <c r="AB572" s="907"/>
      <c r="AC572" s="907"/>
    </row>
    <row r="573" spans="1:29">
      <c r="A573" s="907"/>
      <c r="B573" s="907"/>
      <c r="C573" s="907"/>
      <c r="D573" s="907"/>
      <c r="E573" s="907"/>
      <c r="F573" s="907"/>
      <c r="G573" s="907"/>
      <c r="H573" s="907"/>
      <c r="I573" s="907"/>
      <c r="J573" s="907"/>
      <c r="K573" s="907"/>
      <c r="L573" s="907"/>
      <c r="M573" s="907"/>
      <c r="N573" s="907"/>
      <c r="O573" s="907"/>
      <c r="P573" s="907"/>
      <c r="Q573" s="907"/>
      <c r="R573" s="907"/>
      <c r="S573" s="907"/>
      <c r="T573" s="907"/>
      <c r="U573" s="907"/>
      <c r="V573" s="907"/>
      <c r="W573" s="907"/>
      <c r="X573" s="907"/>
      <c r="Y573" s="907"/>
      <c r="Z573" s="907"/>
      <c r="AA573" s="907"/>
      <c r="AB573" s="907"/>
      <c r="AC573" s="907"/>
    </row>
    <row r="574" spans="1:29">
      <c r="A574" s="907"/>
      <c r="B574" s="907"/>
      <c r="C574" s="907"/>
      <c r="D574" s="907"/>
      <c r="E574" s="907"/>
      <c r="F574" s="907"/>
      <c r="G574" s="907"/>
      <c r="H574" s="907"/>
      <c r="I574" s="907"/>
      <c r="J574" s="907"/>
      <c r="K574" s="907"/>
      <c r="L574" s="907"/>
      <c r="M574" s="907"/>
      <c r="N574" s="907"/>
      <c r="O574" s="907"/>
      <c r="P574" s="907"/>
      <c r="Q574" s="907"/>
      <c r="R574" s="907"/>
      <c r="S574" s="907"/>
      <c r="T574" s="907"/>
      <c r="U574" s="907"/>
      <c r="V574" s="907"/>
      <c r="W574" s="907"/>
      <c r="X574" s="907"/>
      <c r="Y574" s="907"/>
      <c r="Z574" s="907"/>
      <c r="AA574" s="907"/>
      <c r="AB574" s="907"/>
      <c r="AC574" s="907"/>
    </row>
    <row r="575" spans="1:29">
      <c r="A575" s="907"/>
      <c r="B575" s="907"/>
      <c r="C575" s="907"/>
      <c r="D575" s="907"/>
      <c r="E575" s="907"/>
      <c r="F575" s="907"/>
      <c r="G575" s="907"/>
      <c r="H575" s="907"/>
      <c r="I575" s="907"/>
      <c r="J575" s="907"/>
      <c r="K575" s="907"/>
      <c r="L575" s="907"/>
      <c r="M575" s="907"/>
      <c r="N575" s="907"/>
      <c r="O575" s="907"/>
      <c r="P575" s="907"/>
      <c r="Q575" s="907"/>
      <c r="R575" s="907"/>
      <c r="S575" s="907"/>
      <c r="T575" s="907"/>
      <c r="U575" s="907"/>
      <c r="V575" s="907"/>
      <c r="W575" s="907"/>
      <c r="X575" s="907"/>
      <c r="Y575" s="907"/>
      <c r="Z575" s="907"/>
      <c r="AA575" s="907"/>
      <c r="AB575" s="907"/>
      <c r="AC575" s="907"/>
    </row>
    <row r="576" spans="1:29">
      <c r="A576" s="907"/>
      <c r="B576" s="907"/>
      <c r="C576" s="907"/>
      <c r="D576" s="907"/>
      <c r="E576" s="907"/>
      <c r="F576" s="907"/>
      <c r="G576" s="907"/>
      <c r="H576" s="907"/>
      <c r="I576" s="907"/>
      <c r="J576" s="907"/>
      <c r="K576" s="907"/>
      <c r="L576" s="907"/>
      <c r="M576" s="907"/>
      <c r="N576" s="907"/>
      <c r="O576" s="907"/>
      <c r="P576" s="907"/>
      <c r="Q576" s="907"/>
      <c r="R576" s="907"/>
      <c r="S576" s="907"/>
      <c r="T576" s="907"/>
      <c r="U576" s="907"/>
      <c r="V576" s="907"/>
      <c r="W576" s="907"/>
      <c r="X576" s="907"/>
      <c r="Y576" s="907"/>
      <c r="Z576" s="907"/>
      <c r="AA576" s="907"/>
      <c r="AB576" s="907"/>
      <c r="AC576" s="907"/>
    </row>
    <row r="577" spans="1:29">
      <c r="A577" s="907"/>
      <c r="B577" s="907"/>
      <c r="C577" s="907"/>
      <c r="D577" s="907"/>
      <c r="E577" s="907"/>
      <c r="F577" s="907"/>
      <c r="G577" s="907"/>
      <c r="H577" s="907"/>
      <c r="I577" s="907"/>
      <c r="J577" s="907"/>
      <c r="K577" s="907"/>
      <c r="L577" s="907"/>
      <c r="M577" s="907"/>
      <c r="N577" s="907"/>
      <c r="O577" s="907"/>
      <c r="P577" s="907"/>
      <c r="Q577" s="907"/>
      <c r="R577" s="907"/>
      <c r="S577" s="907"/>
      <c r="T577" s="907"/>
      <c r="U577" s="907"/>
      <c r="V577" s="907"/>
      <c r="W577" s="907"/>
      <c r="X577" s="907"/>
      <c r="Y577" s="907"/>
      <c r="Z577" s="907"/>
      <c r="AA577" s="907"/>
      <c r="AB577" s="907"/>
      <c r="AC577" s="907"/>
    </row>
    <row r="578" spans="1:29">
      <c r="A578" s="907"/>
      <c r="B578" s="907"/>
      <c r="C578" s="907"/>
      <c r="D578" s="907"/>
      <c r="E578" s="907"/>
      <c r="F578" s="907"/>
      <c r="G578" s="907"/>
      <c r="H578" s="907"/>
      <c r="I578" s="907"/>
      <c r="J578" s="907"/>
      <c r="K578" s="907"/>
      <c r="L578" s="907"/>
      <c r="M578" s="907"/>
      <c r="N578" s="907"/>
      <c r="O578" s="907"/>
      <c r="P578" s="907"/>
      <c r="Q578" s="907"/>
      <c r="R578" s="907"/>
      <c r="S578" s="907"/>
      <c r="T578" s="907"/>
      <c r="U578" s="907"/>
      <c r="V578" s="907"/>
      <c r="W578" s="907"/>
      <c r="X578" s="907"/>
      <c r="Y578" s="907"/>
      <c r="Z578" s="907"/>
      <c r="AA578" s="907"/>
      <c r="AB578" s="907"/>
      <c r="AC578" s="907"/>
    </row>
    <row r="579" spans="1:29">
      <c r="A579" s="907"/>
      <c r="B579" s="907"/>
      <c r="C579" s="907"/>
      <c r="D579" s="907"/>
      <c r="E579" s="907"/>
      <c r="F579" s="907"/>
      <c r="G579" s="907"/>
      <c r="H579" s="907"/>
      <c r="I579" s="907"/>
      <c r="J579" s="907"/>
      <c r="K579" s="907"/>
      <c r="L579" s="907"/>
      <c r="M579" s="907"/>
      <c r="N579" s="907"/>
      <c r="O579" s="907"/>
      <c r="P579" s="907"/>
      <c r="Q579" s="907"/>
      <c r="R579" s="907"/>
      <c r="S579" s="907"/>
      <c r="T579" s="907"/>
      <c r="U579" s="907"/>
      <c r="V579" s="907"/>
      <c r="W579" s="907"/>
      <c r="X579" s="907"/>
      <c r="Y579" s="907"/>
      <c r="Z579" s="907"/>
      <c r="AA579" s="907"/>
      <c r="AB579" s="907"/>
      <c r="AC579" s="907"/>
    </row>
    <row r="580" spans="1:29">
      <c r="A580" s="907"/>
      <c r="B580" s="907"/>
      <c r="C580" s="907"/>
      <c r="D580" s="907"/>
      <c r="E580" s="907"/>
      <c r="F580" s="907"/>
      <c r="G580" s="907"/>
      <c r="H580" s="907"/>
      <c r="I580" s="907"/>
      <c r="J580" s="907"/>
      <c r="K580" s="907"/>
      <c r="L580" s="907"/>
      <c r="M580" s="907"/>
      <c r="N580" s="907"/>
      <c r="O580" s="907"/>
      <c r="P580" s="907"/>
      <c r="Q580" s="907"/>
      <c r="R580" s="907"/>
      <c r="S580" s="907"/>
      <c r="T580" s="907"/>
      <c r="U580" s="907"/>
      <c r="V580" s="907"/>
      <c r="W580" s="907"/>
      <c r="X580" s="907"/>
      <c r="Y580" s="907"/>
      <c r="Z580" s="907"/>
      <c r="AA580" s="907"/>
      <c r="AB580" s="907"/>
      <c r="AC580" s="907"/>
    </row>
    <row r="581" spans="1:29">
      <c r="A581" s="907"/>
      <c r="B581" s="907"/>
      <c r="C581" s="907"/>
      <c r="D581" s="907"/>
      <c r="E581" s="907"/>
      <c r="F581" s="907"/>
      <c r="G581" s="907"/>
      <c r="H581" s="907"/>
      <c r="I581" s="907"/>
      <c r="J581" s="907"/>
      <c r="K581" s="907"/>
      <c r="L581" s="907"/>
      <c r="M581" s="907"/>
      <c r="N581" s="907"/>
      <c r="O581" s="907"/>
      <c r="P581" s="907"/>
      <c r="Q581" s="907"/>
      <c r="R581" s="907"/>
      <c r="S581" s="907"/>
      <c r="T581" s="907"/>
      <c r="U581" s="907"/>
      <c r="V581" s="907"/>
      <c r="W581" s="907"/>
      <c r="X581" s="907"/>
      <c r="Y581" s="907"/>
      <c r="Z581" s="907"/>
      <c r="AA581" s="907"/>
      <c r="AB581" s="907"/>
      <c r="AC581" s="907"/>
    </row>
    <row r="582" spans="1:29">
      <c r="A582" s="907"/>
      <c r="B582" s="907"/>
      <c r="C582" s="907"/>
      <c r="D582" s="907"/>
      <c r="E582" s="907"/>
      <c r="F582" s="907"/>
      <c r="G582" s="907"/>
      <c r="H582" s="907"/>
      <c r="I582" s="907"/>
      <c r="J582" s="907"/>
      <c r="K582" s="907"/>
      <c r="L582" s="907"/>
      <c r="M582" s="907"/>
      <c r="N582" s="907"/>
      <c r="O582" s="907"/>
      <c r="P582" s="907"/>
      <c r="Q582" s="907"/>
      <c r="R582" s="907"/>
      <c r="S582" s="907"/>
      <c r="T582" s="907"/>
      <c r="U582" s="907"/>
      <c r="V582" s="907"/>
      <c r="W582" s="907"/>
      <c r="X582" s="907"/>
      <c r="Y582" s="907"/>
      <c r="Z582" s="907"/>
      <c r="AA582" s="907"/>
      <c r="AB582" s="907"/>
      <c r="AC582" s="907"/>
    </row>
    <row r="583" spans="1:29">
      <c r="A583" s="907"/>
      <c r="B583" s="907"/>
      <c r="C583" s="907"/>
      <c r="D583" s="907"/>
      <c r="E583" s="907"/>
      <c r="F583" s="907"/>
      <c r="G583" s="907"/>
      <c r="H583" s="907"/>
      <c r="I583" s="907"/>
      <c r="J583" s="907"/>
      <c r="K583" s="907"/>
      <c r="L583" s="907"/>
      <c r="M583" s="907"/>
      <c r="N583" s="907"/>
      <c r="O583" s="907"/>
      <c r="P583" s="907"/>
      <c r="Q583" s="907"/>
      <c r="R583" s="907"/>
      <c r="S583" s="907"/>
      <c r="T583" s="907"/>
      <c r="U583" s="907"/>
      <c r="V583" s="907"/>
      <c r="W583" s="907"/>
      <c r="X583" s="907"/>
      <c r="Y583" s="907"/>
      <c r="Z583" s="907"/>
      <c r="AA583" s="907"/>
      <c r="AB583" s="907"/>
      <c r="AC583" s="907"/>
    </row>
    <row r="584" spans="1:29">
      <c r="A584" s="907"/>
      <c r="B584" s="907"/>
      <c r="C584" s="907"/>
      <c r="D584" s="907"/>
      <c r="E584" s="907"/>
      <c r="F584" s="907"/>
      <c r="G584" s="907"/>
      <c r="H584" s="907"/>
      <c r="I584" s="907"/>
      <c r="J584" s="907"/>
      <c r="K584" s="907"/>
      <c r="L584" s="907"/>
      <c r="M584" s="907"/>
      <c r="N584" s="907"/>
      <c r="O584" s="907"/>
      <c r="P584" s="907"/>
      <c r="Q584" s="907"/>
      <c r="R584" s="907"/>
      <c r="S584" s="907"/>
      <c r="T584" s="907"/>
      <c r="U584" s="907"/>
      <c r="V584" s="907"/>
      <c r="W584" s="907"/>
      <c r="X584" s="907"/>
      <c r="Y584" s="907"/>
      <c r="Z584" s="907"/>
      <c r="AA584" s="907"/>
      <c r="AB584" s="907"/>
      <c r="AC584" s="907"/>
    </row>
    <row r="585" spans="1:29">
      <c r="A585" s="907"/>
      <c r="B585" s="907"/>
      <c r="C585" s="907"/>
      <c r="D585" s="907"/>
      <c r="E585" s="907"/>
      <c r="F585" s="907"/>
      <c r="G585" s="907"/>
      <c r="H585" s="907"/>
      <c r="I585" s="907"/>
      <c r="J585" s="907"/>
      <c r="K585" s="907"/>
      <c r="L585" s="907"/>
      <c r="M585" s="907"/>
      <c r="N585" s="907"/>
      <c r="O585" s="907"/>
      <c r="P585" s="907"/>
      <c r="Q585" s="907"/>
      <c r="R585" s="907"/>
      <c r="S585" s="907"/>
      <c r="T585" s="907"/>
      <c r="U585" s="907"/>
      <c r="V585" s="907"/>
      <c r="W585" s="907"/>
      <c r="X585" s="907"/>
      <c r="Y585" s="907"/>
      <c r="Z585" s="907"/>
      <c r="AA585" s="907"/>
      <c r="AB585" s="907"/>
      <c r="AC585" s="907"/>
    </row>
    <row r="586" spans="1:29">
      <c r="A586" s="907"/>
      <c r="B586" s="907"/>
      <c r="C586" s="907"/>
      <c r="D586" s="907"/>
      <c r="E586" s="907"/>
      <c r="F586" s="907"/>
      <c r="G586" s="907"/>
      <c r="H586" s="907"/>
      <c r="I586" s="907"/>
      <c r="J586" s="907"/>
      <c r="K586" s="907"/>
      <c r="L586" s="907"/>
      <c r="M586" s="907"/>
      <c r="N586" s="907"/>
      <c r="O586" s="907"/>
      <c r="P586" s="907"/>
      <c r="Q586" s="907"/>
      <c r="R586" s="907"/>
      <c r="S586" s="907"/>
      <c r="T586" s="907"/>
      <c r="U586" s="907"/>
      <c r="V586" s="907"/>
      <c r="W586" s="907"/>
      <c r="X586" s="907"/>
      <c r="Y586" s="907"/>
      <c r="Z586" s="907"/>
      <c r="AA586" s="907"/>
      <c r="AB586" s="907"/>
      <c r="AC586" s="907"/>
    </row>
    <row r="587" spans="1:29">
      <c r="A587" s="907"/>
      <c r="B587" s="907"/>
      <c r="C587" s="907"/>
      <c r="D587" s="907"/>
      <c r="E587" s="907"/>
      <c r="F587" s="907"/>
      <c r="G587" s="907"/>
      <c r="H587" s="907"/>
      <c r="I587" s="907"/>
      <c r="J587" s="907"/>
      <c r="K587" s="907"/>
      <c r="L587" s="907"/>
      <c r="M587" s="907"/>
      <c r="N587" s="907"/>
      <c r="O587" s="907"/>
      <c r="P587" s="907"/>
      <c r="Q587" s="907"/>
      <c r="R587" s="907"/>
      <c r="S587" s="907"/>
      <c r="T587" s="907"/>
      <c r="U587" s="907"/>
      <c r="V587" s="907"/>
      <c r="W587" s="907"/>
      <c r="X587" s="907"/>
      <c r="Y587" s="907"/>
      <c r="Z587" s="907"/>
      <c r="AA587" s="907"/>
      <c r="AB587" s="907"/>
      <c r="AC587" s="907"/>
    </row>
    <row r="588" spans="1:29">
      <c r="A588" s="907"/>
      <c r="B588" s="907"/>
      <c r="C588" s="907"/>
      <c r="D588" s="907"/>
      <c r="E588" s="907"/>
      <c r="F588" s="907"/>
      <c r="G588" s="907"/>
      <c r="H588" s="907"/>
      <c r="I588" s="907"/>
      <c r="J588" s="907"/>
      <c r="K588" s="907"/>
      <c r="L588" s="907"/>
      <c r="M588" s="907"/>
      <c r="N588" s="907"/>
      <c r="O588" s="907"/>
      <c r="P588" s="907"/>
      <c r="Q588" s="907"/>
      <c r="R588" s="907"/>
      <c r="S588" s="907"/>
      <c r="T588" s="907"/>
      <c r="U588" s="907"/>
      <c r="V588" s="907"/>
      <c r="W588" s="907"/>
      <c r="X588" s="907"/>
      <c r="Y588" s="907"/>
      <c r="Z588" s="907"/>
      <c r="AA588" s="907"/>
      <c r="AB588" s="907"/>
      <c r="AC588" s="907"/>
    </row>
    <row r="589" spans="1:29">
      <c r="A589" s="907"/>
      <c r="B589" s="907"/>
      <c r="C589" s="907"/>
      <c r="D589" s="907"/>
      <c r="E589" s="907"/>
      <c r="F589" s="907"/>
      <c r="G589" s="907"/>
      <c r="H589" s="907"/>
      <c r="I589" s="907"/>
      <c r="J589" s="907"/>
      <c r="K589" s="907"/>
      <c r="L589" s="907"/>
      <c r="M589" s="907"/>
      <c r="N589" s="907"/>
      <c r="O589" s="907"/>
      <c r="P589" s="907"/>
      <c r="Q589" s="907"/>
      <c r="R589" s="907"/>
      <c r="S589" s="907"/>
      <c r="T589" s="907"/>
      <c r="U589" s="907"/>
      <c r="V589" s="907"/>
      <c r="W589" s="907"/>
      <c r="X589" s="907"/>
      <c r="Y589" s="907"/>
      <c r="Z589" s="907"/>
      <c r="AA589" s="907"/>
      <c r="AB589" s="907"/>
      <c r="AC589" s="907"/>
    </row>
    <row r="590" spans="1:29">
      <c r="A590" s="907"/>
      <c r="B590" s="907"/>
      <c r="C590" s="907"/>
      <c r="D590" s="907"/>
      <c r="E590" s="907"/>
      <c r="F590" s="907"/>
      <c r="G590" s="907"/>
      <c r="H590" s="907"/>
      <c r="I590" s="907"/>
      <c r="J590" s="907"/>
      <c r="K590" s="907"/>
      <c r="L590" s="907"/>
      <c r="M590" s="907"/>
      <c r="N590" s="907"/>
      <c r="O590" s="907"/>
      <c r="P590" s="907"/>
      <c r="Q590" s="907"/>
      <c r="R590" s="907"/>
      <c r="S590" s="907"/>
      <c r="T590" s="907"/>
      <c r="U590" s="907"/>
      <c r="V590" s="907"/>
      <c r="W590" s="907"/>
      <c r="X590" s="907"/>
      <c r="Y590" s="907"/>
      <c r="Z590" s="907"/>
      <c r="AA590" s="907"/>
      <c r="AB590" s="907"/>
      <c r="AC590" s="907"/>
    </row>
    <row r="591" spans="1:29">
      <c r="A591" s="907"/>
      <c r="B591" s="907"/>
      <c r="C591" s="907"/>
      <c r="D591" s="907"/>
      <c r="E591" s="907"/>
      <c r="F591" s="907"/>
      <c r="G591" s="907"/>
      <c r="H591" s="907"/>
      <c r="I591" s="907"/>
      <c r="J591" s="907"/>
      <c r="K591" s="907"/>
      <c r="L591" s="907"/>
      <c r="M591" s="907"/>
      <c r="N591" s="907"/>
      <c r="O591" s="907"/>
      <c r="P591" s="907"/>
      <c r="Q591" s="907"/>
      <c r="R591" s="907"/>
      <c r="S591" s="907"/>
      <c r="T591" s="907"/>
      <c r="U591" s="907"/>
      <c r="V591" s="907"/>
      <c r="W591" s="907"/>
      <c r="X591" s="907"/>
      <c r="Y591" s="907"/>
      <c r="Z591" s="907"/>
      <c r="AA591" s="907"/>
      <c r="AB591" s="907"/>
      <c r="AC591" s="907"/>
    </row>
    <row r="592" spans="1:29">
      <c r="A592" s="907"/>
      <c r="B592" s="907"/>
      <c r="C592" s="907"/>
      <c r="D592" s="907"/>
      <c r="E592" s="907"/>
      <c r="F592" s="907"/>
      <c r="G592" s="907"/>
      <c r="H592" s="907"/>
      <c r="I592" s="907"/>
      <c r="J592" s="907"/>
      <c r="K592" s="907"/>
      <c r="L592" s="907"/>
      <c r="M592" s="907"/>
      <c r="N592" s="907"/>
      <c r="O592" s="907"/>
      <c r="P592" s="907"/>
      <c r="Q592" s="907"/>
      <c r="R592" s="907"/>
      <c r="S592" s="907"/>
      <c r="T592" s="907"/>
      <c r="U592" s="907"/>
      <c r="V592" s="907"/>
      <c r="W592" s="907"/>
      <c r="X592" s="907"/>
      <c r="Y592" s="907"/>
      <c r="Z592" s="907"/>
      <c r="AA592" s="907"/>
      <c r="AB592" s="907"/>
      <c r="AC592" s="907"/>
    </row>
    <row r="593" spans="1:29">
      <c r="A593" s="907"/>
      <c r="B593" s="907"/>
      <c r="C593" s="907"/>
      <c r="D593" s="907"/>
      <c r="E593" s="907"/>
      <c r="F593" s="907"/>
      <c r="G593" s="907"/>
      <c r="H593" s="907"/>
      <c r="I593" s="907"/>
      <c r="J593" s="907"/>
      <c r="K593" s="907"/>
      <c r="L593" s="907"/>
      <c r="M593" s="907"/>
      <c r="N593" s="907"/>
      <c r="O593" s="907"/>
      <c r="P593" s="907"/>
      <c r="Q593" s="907"/>
      <c r="R593" s="907"/>
      <c r="S593" s="907"/>
      <c r="T593" s="907"/>
      <c r="U593" s="907"/>
      <c r="V593" s="907"/>
      <c r="W593" s="907"/>
      <c r="X593" s="907"/>
      <c r="Y593" s="907"/>
      <c r="Z593" s="907"/>
      <c r="AA593" s="907"/>
      <c r="AB593" s="907"/>
      <c r="AC593" s="907"/>
    </row>
    <row r="594" spans="1:29">
      <c r="A594" s="907"/>
      <c r="B594" s="907"/>
      <c r="C594" s="907"/>
      <c r="D594" s="907"/>
      <c r="E594" s="907"/>
      <c r="F594" s="907"/>
      <c r="G594" s="907"/>
      <c r="H594" s="907"/>
      <c r="I594" s="907"/>
      <c r="J594" s="907"/>
      <c r="K594" s="907"/>
      <c r="L594" s="907"/>
      <c r="M594" s="907"/>
      <c r="N594" s="907"/>
      <c r="O594" s="907"/>
      <c r="P594" s="907"/>
      <c r="Q594" s="907"/>
      <c r="R594" s="907"/>
      <c r="S594" s="907"/>
      <c r="T594" s="907"/>
      <c r="U594" s="907"/>
      <c r="V594" s="907"/>
      <c r="W594" s="907"/>
      <c r="X594" s="907"/>
      <c r="Y594" s="907"/>
      <c r="Z594" s="907"/>
      <c r="AA594" s="907"/>
      <c r="AB594" s="907"/>
      <c r="AC594" s="907"/>
    </row>
    <row r="595" spans="1:29">
      <c r="A595" s="907"/>
      <c r="B595" s="907"/>
      <c r="C595" s="907"/>
      <c r="D595" s="907"/>
      <c r="E595" s="907"/>
      <c r="F595" s="907"/>
      <c r="G595" s="907"/>
      <c r="H595" s="907"/>
      <c r="I595" s="907"/>
      <c r="J595" s="907"/>
      <c r="K595" s="907"/>
      <c r="L595" s="907"/>
      <c r="M595" s="907"/>
      <c r="N595" s="907"/>
      <c r="O595" s="907"/>
      <c r="P595" s="907"/>
      <c r="Q595" s="907"/>
      <c r="R595" s="907"/>
      <c r="S595" s="907"/>
      <c r="T595" s="907"/>
      <c r="U595" s="907"/>
      <c r="V595" s="907"/>
      <c r="W595" s="907"/>
      <c r="X595" s="907"/>
      <c r="Y595" s="907"/>
      <c r="Z595" s="907"/>
      <c r="AA595" s="907"/>
      <c r="AB595" s="907"/>
      <c r="AC595" s="907"/>
    </row>
    <row r="596" spans="1:29">
      <c r="A596" s="907"/>
      <c r="B596" s="907"/>
      <c r="C596" s="907"/>
      <c r="D596" s="907"/>
      <c r="E596" s="907"/>
      <c r="F596" s="907"/>
      <c r="G596" s="907"/>
      <c r="H596" s="907"/>
      <c r="I596" s="907"/>
      <c r="J596" s="907"/>
      <c r="K596" s="907"/>
      <c r="L596" s="907"/>
      <c r="M596" s="907"/>
      <c r="N596" s="907"/>
      <c r="O596" s="907"/>
      <c r="P596" s="907"/>
      <c r="Q596" s="907"/>
      <c r="R596" s="907"/>
      <c r="S596" s="907"/>
      <c r="T596" s="907"/>
      <c r="U596" s="907"/>
      <c r="V596" s="907"/>
      <c r="W596" s="907"/>
      <c r="X596" s="907"/>
      <c r="Y596" s="907"/>
      <c r="Z596" s="907"/>
      <c r="AA596" s="907"/>
      <c r="AB596" s="907"/>
      <c r="AC596" s="907"/>
    </row>
    <row r="597" spans="1:29">
      <c r="A597" s="907"/>
      <c r="B597" s="907"/>
      <c r="C597" s="907"/>
      <c r="D597" s="907"/>
      <c r="E597" s="907"/>
      <c r="F597" s="907"/>
      <c r="G597" s="907"/>
      <c r="H597" s="907"/>
      <c r="I597" s="907"/>
      <c r="J597" s="907"/>
      <c r="K597" s="907"/>
      <c r="L597" s="907"/>
      <c r="M597" s="907"/>
      <c r="N597" s="907"/>
      <c r="O597" s="907"/>
      <c r="P597" s="907"/>
      <c r="Q597" s="907"/>
      <c r="R597" s="907"/>
      <c r="S597" s="907"/>
      <c r="T597" s="907"/>
      <c r="U597" s="907"/>
      <c r="V597" s="907"/>
      <c r="W597" s="907"/>
      <c r="X597" s="907"/>
      <c r="Y597" s="907"/>
      <c r="Z597" s="907"/>
      <c r="AA597" s="907"/>
      <c r="AB597" s="907"/>
      <c r="AC597" s="907"/>
    </row>
    <row r="598" spans="1:29">
      <c r="A598" s="907"/>
      <c r="B598" s="907"/>
      <c r="C598" s="907"/>
      <c r="D598" s="907"/>
      <c r="E598" s="907"/>
      <c r="F598" s="907"/>
      <c r="G598" s="907"/>
      <c r="H598" s="907"/>
      <c r="I598" s="907"/>
      <c r="J598" s="907"/>
      <c r="K598" s="907"/>
      <c r="L598" s="907"/>
      <c r="M598" s="907"/>
      <c r="N598" s="907"/>
      <c r="O598" s="907"/>
      <c r="P598" s="907"/>
      <c r="Q598" s="907"/>
      <c r="R598" s="907"/>
      <c r="S598" s="907"/>
      <c r="T598" s="907"/>
      <c r="U598" s="907"/>
      <c r="V598" s="907"/>
      <c r="W598" s="907"/>
      <c r="X598" s="907"/>
      <c r="Y598" s="907"/>
      <c r="Z598" s="907"/>
      <c r="AA598" s="907"/>
      <c r="AB598" s="907"/>
      <c r="AC598" s="907"/>
    </row>
    <row r="599" spans="1:29">
      <c r="A599" s="907"/>
      <c r="B599" s="907"/>
      <c r="C599" s="907"/>
      <c r="D599" s="907"/>
      <c r="E599" s="907"/>
      <c r="F599" s="907"/>
      <c r="G599" s="907"/>
      <c r="H599" s="907"/>
      <c r="I599" s="907"/>
      <c r="J599" s="907"/>
      <c r="K599" s="907"/>
      <c r="L599" s="907"/>
      <c r="M599" s="907"/>
      <c r="N599" s="907"/>
      <c r="O599" s="907"/>
      <c r="P599" s="907"/>
      <c r="Q599" s="907"/>
      <c r="R599" s="907"/>
      <c r="S599" s="907"/>
      <c r="T599" s="907"/>
      <c r="U599" s="907"/>
      <c r="V599" s="907"/>
      <c r="W599" s="907"/>
      <c r="X599" s="907"/>
      <c r="Y599" s="907"/>
      <c r="Z599" s="907"/>
      <c r="AA599" s="907"/>
      <c r="AB599" s="907"/>
      <c r="AC599" s="907"/>
    </row>
    <row r="600" spans="1:29">
      <c r="A600" s="907"/>
      <c r="B600" s="907"/>
      <c r="C600" s="907"/>
      <c r="D600" s="907"/>
      <c r="E600" s="907"/>
      <c r="F600" s="907"/>
      <c r="G600" s="907"/>
      <c r="H600" s="907"/>
      <c r="I600" s="907"/>
      <c r="J600" s="907"/>
      <c r="K600" s="907"/>
      <c r="L600" s="907"/>
      <c r="M600" s="907"/>
      <c r="N600" s="907"/>
      <c r="O600" s="907"/>
      <c r="P600" s="907"/>
      <c r="Q600" s="907"/>
      <c r="R600" s="907"/>
      <c r="S600" s="907"/>
      <c r="T600" s="907"/>
      <c r="U600" s="907"/>
      <c r="V600" s="907"/>
      <c r="W600" s="907"/>
      <c r="X600" s="907"/>
      <c r="Y600" s="907"/>
      <c r="Z600" s="907"/>
      <c r="AA600" s="907"/>
      <c r="AB600" s="907"/>
      <c r="AC600" s="907"/>
    </row>
    <row r="601" spans="1:29">
      <c r="A601" s="907"/>
      <c r="B601" s="907"/>
      <c r="C601" s="907"/>
      <c r="D601" s="907"/>
      <c r="E601" s="907"/>
      <c r="F601" s="907"/>
      <c r="G601" s="907"/>
      <c r="H601" s="907"/>
      <c r="I601" s="907"/>
      <c r="J601" s="907"/>
      <c r="K601" s="907"/>
      <c r="L601" s="907"/>
      <c r="M601" s="907"/>
      <c r="N601" s="907"/>
      <c r="O601" s="907"/>
      <c r="P601" s="907"/>
      <c r="Q601" s="907"/>
      <c r="R601" s="907"/>
      <c r="S601" s="907"/>
      <c r="T601" s="907"/>
      <c r="U601" s="907"/>
      <c r="V601" s="907"/>
      <c r="W601" s="907"/>
      <c r="X601" s="907"/>
      <c r="Y601" s="907"/>
      <c r="Z601" s="907"/>
      <c r="AA601" s="907"/>
      <c r="AB601" s="907"/>
      <c r="AC601" s="907"/>
    </row>
    <row r="602" spans="1:29">
      <c r="A602" s="907"/>
      <c r="B602" s="907"/>
      <c r="C602" s="907"/>
      <c r="D602" s="907"/>
      <c r="E602" s="907"/>
      <c r="F602" s="907"/>
      <c r="G602" s="907"/>
      <c r="H602" s="907"/>
      <c r="I602" s="907"/>
      <c r="J602" s="907"/>
      <c r="K602" s="907"/>
      <c r="L602" s="907"/>
      <c r="M602" s="907"/>
      <c r="N602" s="907"/>
      <c r="O602" s="907"/>
      <c r="P602" s="907"/>
      <c r="Q602" s="907"/>
      <c r="R602" s="907"/>
      <c r="S602" s="907"/>
      <c r="T602" s="907"/>
      <c r="U602" s="907"/>
      <c r="V602" s="907"/>
      <c r="W602" s="907"/>
      <c r="X602" s="907"/>
      <c r="Y602" s="907"/>
      <c r="Z602" s="907"/>
      <c r="AA602" s="907"/>
      <c r="AB602" s="907"/>
      <c r="AC602" s="907"/>
    </row>
    <row r="603" spans="1:29">
      <c r="A603" s="907"/>
      <c r="B603" s="907"/>
      <c r="C603" s="907"/>
      <c r="D603" s="907"/>
      <c r="E603" s="907"/>
      <c r="F603" s="907"/>
      <c r="G603" s="907"/>
      <c r="H603" s="907"/>
      <c r="I603" s="907"/>
      <c r="J603" s="907"/>
      <c r="K603" s="907"/>
      <c r="L603" s="907"/>
      <c r="M603" s="907"/>
      <c r="N603" s="907"/>
      <c r="O603" s="907"/>
      <c r="P603" s="907"/>
      <c r="Q603" s="907"/>
      <c r="R603" s="907"/>
      <c r="S603" s="907"/>
      <c r="T603" s="907"/>
      <c r="U603" s="907"/>
      <c r="V603" s="907"/>
      <c r="W603" s="907"/>
      <c r="X603" s="907"/>
      <c r="Y603" s="907"/>
      <c r="Z603" s="907"/>
      <c r="AA603" s="907"/>
      <c r="AB603" s="907"/>
      <c r="AC603" s="907"/>
    </row>
    <row r="604" spans="1:29">
      <c r="A604" s="907"/>
      <c r="B604" s="907"/>
      <c r="C604" s="907"/>
      <c r="D604" s="907"/>
      <c r="E604" s="907"/>
      <c r="F604" s="907"/>
      <c r="G604" s="907"/>
      <c r="H604" s="907"/>
      <c r="I604" s="907"/>
      <c r="J604" s="907"/>
      <c r="K604" s="907"/>
      <c r="L604" s="907"/>
      <c r="M604" s="907"/>
      <c r="N604" s="907"/>
      <c r="O604" s="907"/>
      <c r="P604" s="907"/>
      <c r="Q604" s="907"/>
      <c r="R604" s="907"/>
      <c r="S604" s="907"/>
      <c r="T604" s="907"/>
      <c r="U604" s="907"/>
      <c r="V604" s="907"/>
      <c r="W604" s="907"/>
      <c r="X604" s="907"/>
      <c r="Y604" s="907"/>
      <c r="Z604" s="907"/>
      <c r="AA604" s="907"/>
      <c r="AB604" s="907"/>
      <c r="AC604" s="907"/>
    </row>
    <row r="605" spans="1:29">
      <c r="A605" s="907"/>
      <c r="B605" s="907"/>
      <c r="C605" s="907"/>
      <c r="D605" s="907"/>
      <c r="E605" s="907"/>
      <c r="F605" s="907"/>
      <c r="G605" s="907"/>
      <c r="H605" s="907"/>
      <c r="I605" s="907"/>
      <c r="J605" s="907"/>
      <c r="K605" s="907"/>
      <c r="L605" s="907"/>
      <c r="M605" s="907"/>
      <c r="N605" s="907"/>
      <c r="O605" s="907"/>
      <c r="P605" s="907"/>
      <c r="Q605" s="907"/>
      <c r="R605" s="907"/>
      <c r="S605" s="907"/>
      <c r="T605" s="907"/>
      <c r="U605" s="907"/>
      <c r="V605" s="907"/>
      <c r="W605" s="907"/>
      <c r="X605" s="907"/>
      <c r="Y605" s="907"/>
      <c r="Z605" s="907"/>
      <c r="AA605" s="907"/>
      <c r="AB605" s="907"/>
      <c r="AC605" s="907"/>
    </row>
    <row r="606" spans="1:29">
      <c r="A606" s="907"/>
      <c r="B606" s="907"/>
      <c r="C606" s="907"/>
      <c r="D606" s="907"/>
      <c r="E606" s="907"/>
      <c r="F606" s="907"/>
      <c r="G606" s="907"/>
      <c r="H606" s="907"/>
      <c r="I606" s="907"/>
      <c r="J606" s="907"/>
      <c r="K606" s="907"/>
      <c r="L606" s="907"/>
      <c r="M606" s="907"/>
      <c r="N606" s="907"/>
      <c r="O606" s="907"/>
      <c r="P606" s="907"/>
      <c r="Q606" s="907"/>
      <c r="R606" s="907"/>
      <c r="S606" s="907"/>
      <c r="T606" s="907"/>
      <c r="U606" s="907"/>
      <c r="V606" s="907"/>
      <c r="W606" s="907"/>
      <c r="X606" s="907"/>
      <c r="Y606" s="907"/>
      <c r="Z606" s="907"/>
      <c r="AA606" s="907"/>
      <c r="AB606" s="907"/>
      <c r="AC606" s="907"/>
    </row>
    <row r="607" spans="1:29">
      <c r="A607" s="907"/>
      <c r="B607" s="907"/>
      <c r="C607" s="907"/>
      <c r="D607" s="907"/>
      <c r="E607" s="907"/>
      <c r="F607" s="907"/>
      <c r="G607" s="907"/>
      <c r="H607" s="907"/>
      <c r="I607" s="907"/>
      <c r="J607" s="907"/>
      <c r="K607" s="907"/>
      <c r="L607" s="907"/>
      <c r="M607" s="907"/>
      <c r="N607" s="907"/>
      <c r="O607" s="907"/>
      <c r="P607" s="907"/>
      <c r="Q607" s="907"/>
      <c r="R607" s="907"/>
      <c r="S607" s="907"/>
      <c r="T607" s="907"/>
      <c r="U607" s="907"/>
      <c r="V607" s="907"/>
      <c r="W607" s="907"/>
      <c r="X607" s="907"/>
      <c r="Y607" s="907"/>
      <c r="Z607" s="907"/>
      <c r="AA607" s="907"/>
      <c r="AB607" s="907"/>
      <c r="AC607" s="907"/>
    </row>
    <row r="608" spans="1:29">
      <c r="A608" s="907"/>
      <c r="B608" s="907"/>
      <c r="C608" s="907"/>
      <c r="D608" s="907"/>
      <c r="E608" s="907"/>
      <c r="F608" s="907"/>
      <c r="G608" s="907"/>
      <c r="H608" s="907"/>
      <c r="I608" s="907"/>
      <c r="J608" s="907"/>
      <c r="K608" s="907"/>
      <c r="L608" s="907"/>
      <c r="M608" s="907"/>
      <c r="N608" s="907"/>
      <c r="O608" s="907"/>
      <c r="P608" s="907"/>
      <c r="Q608" s="907"/>
      <c r="R608" s="907"/>
      <c r="S608" s="907"/>
      <c r="T608" s="907"/>
      <c r="U608" s="907"/>
      <c r="V608" s="907"/>
      <c r="W608" s="907"/>
      <c r="X608" s="907"/>
      <c r="Y608" s="907"/>
      <c r="Z608" s="907"/>
      <c r="AA608" s="907"/>
      <c r="AB608" s="907"/>
      <c r="AC608" s="907"/>
    </row>
    <row r="609" spans="1:29">
      <c r="A609" s="907"/>
      <c r="B609" s="907"/>
      <c r="C609" s="907"/>
      <c r="D609" s="907"/>
      <c r="E609" s="907"/>
      <c r="F609" s="907"/>
      <c r="G609" s="907"/>
      <c r="H609" s="907"/>
      <c r="I609" s="907"/>
      <c r="J609" s="907"/>
      <c r="K609" s="907"/>
      <c r="L609" s="907"/>
      <c r="M609" s="907"/>
      <c r="N609" s="907"/>
      <c r="O609" s="907"/>
      <c r="P609" s="907"/>
      <c r="Q609" s="907"/>
      <c r="R609" s="907"/>
      <c r="S609" s="907"/>
      <c r="T609" s="907"/>
      <c r="U609" s="907"/>
      <c r="V609" s="907"/>
      <c r="W609" s="907"/>
      <c r="X609" s="907"/>
      <c r="Y609" s="907"/>
      <c r="Z609" s="907"/>
      <c r="AA609" s="907"/>
      <c r="AB609" s="907"/>
      <c r="AC609" s="907"/>
    </row>
    <row r="610" spans="1:29">
      <c r="A610" s="907"/>
      <c r="B610" s="907"/>
      <c r="C610" s="907"/>
      <c r="D610" s="907"/>
      <c r="E610" s="907"/>
      <c r="F610" s="907"/>
      <c r="G610" s="907"/>
      <c r="H610" s="907"/>
      <c r="I610" s="907"/>
      <c r="J610" s="907"/>
      <c r="K610" s="907"/>
      <c r="L610" s="907"/>
      <c r="M610" s="907"/>
      <c r="N610" s="907"/>
      <c r="O610" s="907"/>
      <c r="P610" s="907"/>
      <c r="Q610" s="907"/>
      <c r="R610" s="907"/>
      <c r="S610" s="907"/>
      <c r="T610" s="907"/>
      <c r="U610" s="907"/>
      <c r="V610" s="907"/>
      <c r="W610" s="907"/>
      <c r="X610" s="907"/>
      <c r="Y610" s="907"/>
      <c r="Z610" s="907"/>
      <c r="AA610" s="907"/>
      <c r="AB610" s="907"/>
      <c r="AC610" s="907"/>
    </row>
    <row r="611" spans="1:29">
      <c r="A611" s="907"/>
      <c r="B611" s="907"/>
      <c r="C611" s="907"/>
      <c r="D611" s="907"/>
      <c r="E611" s="907"/>
      <c r="F611" s="907"/>
      <c r="G611" s="907"/>
      <c r="H611" s="907"/>
      <c r="I611" s="907"/>
      <c r="J611" s="907"/>
      <c r="K611" s="907"/>
      <c r="L611" s="907"/>
      <c r="M611" s="907"/>
      <c r="N611" s="907"/>
      <c r="O611" s="907"/>
      <c r="P611" s="907"/>
      <c r="Q611" s="907"/>
      <c r="R611" s="907"/>
      <c r="S611" s="907"/>
      <c r="T611" s="907"/>
      <c r="U611" s="907"/>
      <c r="V611" s="907"/>
      <c r="W611" s="907"/>
      <c r="X611" s="907"/>
      <c r="Y611" s="907"/>
      <c r="Z611" s="907"/>
      <c r="AA611" s="907"/>
      <c r="AB611" s="907"/>
      <c r="AC611" s="907"/>
    </row>
    <row r="612" spans="1:29">
      <c r="A612" s="907"/>
      <c r="B612" s="907"/>
      <c r="C612" s="907"/>
      <c r="D612" s="907"/>
      <c r="E612" s="907"/>
      <c r="F612" s="907"/>
      <c r="G612" s="907"/>
      <c r="H612" s="907"/>
      <c r="I612" s="907"/>
      <c r="J612" s="907"/>
      <c r="K612" s="907"/>
      <c r="L612" s="907"/>
      <c r="M612" s="907"/>
      <c r="N612" s="907"/>
      <c r="O612" s="907"/>
      <c r="P612" s="907"/>
      <c r="Q612" s="907"/>
      <c r="R612" s="907"/>
      <c r="S612" s="907"/>
      <c r="T612" s="907"/>
      <c r="U612" s="907"/>
      <c r="V612" s="907"/>
      <c r="W612" s="907"/>
      <c r="X612" s="907"/>
      <c r="Y612" s="907"/>
      <c r="Z612" s="907"/>
      <c r="AA612" s="907"/>
      <c r="AB612" s="907"/>
      <c r="AC612" s="907"/>
    </row>
    <row r="613" spans="1:29">
      <c r="A613" s="907"/>
      <c r="B613" s="907"/>
      <c r="C613" s="907"/>
      <c r="D613" s="907"/>
      <c r="E613" s="907"/>
      <c r="F613" s="907"/>
      <c r="G613" s="907"/>
      <c r="H613" s="907"/>
      <c r="I613" s="907"/>
      <c r="J613" s="907"/>
      <c r="K613" s="907"/>
      <c r="L613" s="907"/>
      <c r="M613" s="907"/>
      <c r="N613" s="907"/>
      <c r="O613" s="907"/>
      <c r="P613" s="907"/>
      <c r="Q613" s="907"/>
      <c r="R613" s="907"/>
      <c r="S613" s="907"/>
      <c r="T613" s="907"/>
      <c r="U613" s="907"/>
      <c r="V613" s="907"/>
      <c r="W613" s="907"/>
      <c r="X613" s="907"/>
      <c r="Y613" s="907"/>
      <c r="Z613" s="907"/>
      <c r="AA613" s="907"/>
      <c r="AB613" s="907"/>
      <c r="AC613" s="907"/>
    </row>
    <row r="614" spans="1:29">
      <c r="A614" s="907"/>
      <c r="B614" s="907"/>
      <c r="C614" s="907"/>
      <c r="D614" s="907"/>
      <c r="E614" s="907"/>
      <c r="F614" s="907"/>
      <c r="G614" s="907"/>
      <c r="H614" s="907"/>
      <c r="I614" s="907"/>
      <c r="J614" s="907"/>
      <c r="K614" s="907"/>
      <c r="L614" s="907"/>
      <c r="M614" s="907"/>
      <c r="N614" s="907"/>
      <c r="O614" s="907"/>
      <c r="P614" s="907"/>
      <c r="Q614" s="907"/>
      <c r="R614" s="907"/>
      <c r="S614" s="907"/>
      <c r="T614" s="907"/>
      <c r="U614" s="907"/>
      <c r="V614" s="907"/>
      <c r="W614" s="907"/>
      <c r="X614" s="907"/>
      <c r="Y614" s="907"/>
      <c r="Z614" s="907"/>
      <c r="AA614" s="907"/>
      <c r="AB614" s="907"/>
      <c r="AC614" s="907"/>
    </row>
    <row r="615" spans="1:29">
      <c r="A615" s="907"/>
      <c r="B615" s="907"/>
      <c r="C615" s="907"/>
      <c r="D615" s="907"/>
      <c r="E615" s="907"/>
      <c r="F615" s="907"/>
      <c r="G615" s="907"/>
      <c r="H615" s="907"/>
      <c r="I615" s="907"/>
      <c r="J615" s="907"/>
      <c r="K615" s="907"/>
      <c r="L615" s="907"/>
      <c r="M615" s="907"/>
      <c r="N615" s="907"/>
      <c r="O615" s="907"/>
      <c r="P615" s="907"/>
      <c r="Q615" s="907"/>
      <c r="R615" s="907"/>
      <c r="S615" s="907"/>
      <c r="T615" s="907"/>
      <c r="U615" s="907"/>
      <c r="V615" s="907"/>
      <c r="W615" s="907"/>
      <c r="X615" s="907"/>
      <c r="Y615" s="907"/>
      <c r="Z615" s="907"/>
      <c r="AA615" s="907"/>
      <c r="AB615" s="907"/>
      <c r="AC615" s="907"/>
    </row>
    <row r="616" spans="1:29">
      <c r="A616" s="907"/>
      <c r="B616" s="907"/>
      <c r="C616" s="907"/>
      <c r="D616" s="907"/>
      <c r="E616" s="907"/>
      <c r="F616" s="907"/>
      <c r="G616" s="907"/>
      <c r="H616" s="907"/>
      <c r="I616" s="907"/>
      <c r="J616" s="907"/>
      <c r="K616" s="907"/>
      <c r="L616" s="907"/>
      <c r="M616" s="907"/>
      <c r="N616" s="907"/>
      <c r="O616" s="907"/>
      <c r="P616" s="907"/>
      <c r="Q616" s="907"/>
      <c r="R616" s="907"/>
      <c r="S616" s="907"/>
      <c r="T616" s="907"/>
      <c r="U616" s="907"/>
      <c r="V616" s="907"/>
      <c r="W616" s="907"/>
      <c r="X616" s="907"/>
      <c r="Y616" s="907"/>
      <c r="Z616" s="907"/>
      <c r="AA616" s="907"/>
      <c r="AB616" s="907"/>
      <c r="AC616" s="907"/>
    </row>
    <row r="617" spans="1:29">
      <c r="A617" s="907"/>
      <c r="B617" s="907"/>
      <c r="C617" s="907"/>
      <c r="D617" s="907"/>
      <c r="E617" s="907"/>
      <c r="F617" s="907"/>
      <c r="G617" s="907"/>
      <c r="H617" s="907"/>
      <c r="I617" s="907"/>
      <c r="J617" s="907"/>
      <c r="K617" s="907"/>
      <c r="L617" s="907"/>
      <c r="M617" s="907"/>
      <c r="N617" s="907"/>
      <c r="O617" s="907"/>
      <c r="P617" s="907"/>
      <c r="Q617" s="907"/>
      <c r="R617" s="907"/>
      <c r="S617" s="907"/>
      <c r="T617" s="907"/>
      <c r="U617" s="907"/>
      <c r="V617" s="907"/>
      <c r="W617" s="907"/>
      <c r="X617" s="907"/>
      <c r="Y617" s="907"/>
      <c r="Z617" s="907"/>
      <c r="AA617" s="907"/>
      <c r="AB617" s="907"/>
      <c r="AC617" s="907"/>
    </row>
    <row r="618" spans="1:29">
      <c r="A618" s="907"/>
      <c r="B618" s="907"/>
      <c r="C618" s="907"/>
      <c r="D618" s="907"/>
      <c r="E618" s="907"/>
      <c r="F618" s="907"/>
      <c r="G618" s="907"/>
      <c r="H618" s="907"/>
      <c r="I618" s="907"/>
      <c r="J618" s="907"/>
      <c r="K618" s="907"/>
      <c r="L618" s="907"/>
      <c r="M618" s="907"/>
      <c r="N618" s="907"/>
      <c r="O618" s="907"/>
      <c r="P618" s="907"/>
      <c r="Q618" s="907"/>
      <c r="R618" s="907"/>
      <c r="S618" s="907"/>
      <c r="T618" s="907"/>
      <c r="U618" s="907"/>
      <c r="V618" s="907"/>
      <c r="W618" s="907"/>
      <c r="X618" s="907"/>
      <c r="Y618" s="907"/>
      <c r="Z618" s="907"/>
      <c r="AA618" s="907"/>
      <c r="AB618" s="907"/>
      <c r="AC618" s="907"/>
    </row>
    <row r="619" spans="1:29">
      <c r="A619" s="907"/>
      <c r="B619" s="907"/>
      <c r="C619" s="907"/>
      <c r="D619" s="907"/>
      <c r="E619" s="907"/>
      <c r="F619" s="907"/>
      <c r="G619" s="907"/>
      <c r="H619" s="907"/>
      <c r="I619" s="907"/>
      <c r="J619" s="907"/>
      <c r="K619" s="907"/>
      <c r="L619" s="907"/>
      <c r="M619" s="907"/>
      <c r="N619" s="907"/>
      <c r="O619" s="907"/>
      <c r="P619" s="907"/>
      <c r="Q619" s="907"/>
      <c r="R619" s="907"/>
      <c r="S619" s="907"/>
      <c r="T619" s="907"/>
      <c r="U619" s="907"/>
      <c r="V619" s="907"/>
      <c r="W619" s="907"/>
      <c r="X619" s="907"/>
      <c r="Y619" s="907"/>
      <c r="Z619" s="907"/>
      <c r="AA619" s="907"/>
      <c r="AB619" s="907"/>
      <c r="AC619" s="907"/>
    </row>
    <row r="620" spans="1:29">
      <c r="A620" s="907"/>
      <c r="B620" s="907"/>
      <c r="C620" s="907"/>
      <c r="D620" s="907"/>
      <c r="E620" s="907"/>
      <c r="F620" s="907"/>
      <c r="G620" s="907"/>
      <c r="H620" s="907"/>
      <c r="I620" s="907"/>
      <c r="J620" s="907"/>
      <c r="K620" s="907"/>
      <c r="L620" s="907"/>
      <c r="M620" s="907"/>
      <c r="N620" s="907"/>
      <c r="O620" s="907"/>
      <c r="P620" s="907"/>
      <c r="Q620" s="907"/>
      <c r="R620" s="907"/>
      <c r="S620" s="907"/>
      <c r="T620" s="907"/>
      <c r="U620" s="907"/>
      <c r="V620" s="907"/>
      <c r="W620" s="907"/>
      <c r="X620" s="907"/>
      <c r="Y620" s="907"/>
      <c r="Z620" s="907"/>
      <c r="AA620" s="907"/>
      <c r="AB620" s="907"/>
      <c r="AC620" s="907"/>
    </row>
    <row r="621" spans="1:29">
      <c r="A621" s="907"/>
      <c r="B621" s="907"/>
      <c r="C621" s="907"/>
      <c r="D621" s="907"/>
      <c r="E621" s="907"/>
      <c r="F621" s="907"/>
      <c r="G621" s="907"/>
      <c r="H621" s="907"/>
      <c r="I621" s="907"/>
      <c r="J621" s="907"/>
      <c r="K621" s="907"/>
      <c r="L621" s="907"/>
      <c r="M621" s="907"/>
      <c r="N621" s="907"/>
      <c r="O621" s="907"/>
      <c r="P621" s="907"/>
      <c r="Q621" s="907"/>
      <c r="R621" s="907"/>
      <c r="S621" s="907"/>
      <c r="T621" s="907"/>
      <c r="U621" s="907"/>
      <c r="V621" s="907"/>
      <c r="W621" s="907"/>
      <c r="X621" s="907"/>
      <c r="Y621" s="907"/>
      <c r="Z621" s="907"/>
      <c r="AA621" s="907"/>
      <c r="AB621" s="907"/>
      <c r="AC621" s="907"/>
    </row>
    <row r="622" spans="1:29">
      <c r="A622" s="907"/>
      <c r="B622" s="907"/>
      <c r="C622" s="907"/>
      <c r="D622" s="907"/>
      <c r="E622" s="907"/>
      <c r="F622" s="907"/>
      <c r="G622" s="907"/>
      <c r="H622" s="907"/>
      <c r="I622" s="907"/>
      <c r="J622" s="907"/>
      <c r="K622" s="907"/>
      <c r="L622" s="907"/>
      <c r="M622" s="907"/>
      <c r="N622" s="907"/>
      <c r="O622" s="907"/>
      <c r="P622" s="907"/>
      <c r="Q622" s="907"/>
      <c r="R622" s="907"/>
      <c r="S622" s="907"/>
      <c r="T622" s="907"/>
      <c r="U622" s="907"/>
      <c r="V622" s="907"/>
      <c r="W622" s="907"/>
      <c r="X622" s="907"/>
      <c r="Y622" s="907"/>
      <c r="Z622" s="907"/>
      <c r="AA622" s="907"/>
      <c r="AB622" s="907"/>
      <c r="AC622" s="907"/>
    </row>
    <row r="623" spans="1:29">
      <c r="A623" s="907"/>
      <c r="B623" s="907"/>
      <c r="C623" s="907"/>
      <c r="D623" s="907"/>
      <c r="E623" s="907"/>
      <c r="F623" s="907"/>
      <c r="G623" s="907"/>
      <c r="H623" s="907"/>
      <c r="I623" s="907"/>
      <c r="J623" s="907"/>
      <c r="K623" s="907"/>
      <c r="L623" s="907"/>
      <c r="M623" s="907"/>
      <c r="N623" s="907"/>
      <c r="O623" s="907"/>
      <c r="P623" s="907"/>
      <c r="Q623" s="907"/>
      <c r="R623" s="907"/>
      <c r="S623" s="907"/>
      <c r="T623" s="907"/>
      <c r="U623" s="907"/>
      <c r="V623" s="907"/>
      <c r="W623" s="907"/>
      <c r="X623" s="907"/>
      <c r="Y623" s="907"/>
      <c r="Z623" s="907"/>
      <c r="AA623" s="907"/>
      <c r="AB623" s="907"/>
      <c r="AC623" s="907"/>
    </row>
    <row r="624" spans="1:29">
      <c r="A624" s="907"/>
      <c r="B624" s="907"/>
      <c r="C624" s="907"/>
      <c r="D624" s="907"/>
      <c r="E624" s="907"/>
      <c r="F624" s="907"/>
      <c r="G624" s="907"/>
      <c r="H624" s="907"/>
      <c r="I624" s="907"/>
      <c r="J624" s="907"/>
      <c r="K624" s="907"/>
      <c r="L624" s="907"/>
      <c r="M624" s="907"/>
      <c r="N624" s="907"/>
      <c r="O624" s="907"/>
      <c r="P624" s="907"/>
      <c r="Q624" s="907"/>
      <c r="R624" s="907"/>
      <c r="S624" s="907"/>
      <c r="T624" s="907"/>
      <c r="U624" s="907"/>
      <c r="V624" s="907"/>
      <c r="W624" s="907"/>
      <c r="X624" s="907"/>
      <c r="Y624" s="907"/>
      <c r="Z624" s="907"/>
      <c r="AA624" s="907"/>
      <c r="AB624" s="907"/>
      <c r="AC624" s="907"/>
    </row>
    <row r="625" spans="1:29">
      <c r="A625" s="907"/>
      <c r="B625" s="907"/>
      <c r="C625" s="907"/>
      <c r="D625" s="907"/>
      <c r="E625" s="907"/>
      <c r="F625" s="907"/>
      <c r="G625" s="907"/>
      <c r="H625" s="907"/>
      <c r="I625" s="907"/>
      <c r="J625" s="907"/>
      <c r="K625" s="907"/>
      <c r="L625" s="907"/>
      <c r="M625" s="907"/>
      <c r="N625" s="907"/>
      <c r="O625" s="907"/>
      <c r="P625" s="907"/>
      <c r="Q625" s="907"/>
      <c r="R625" s="907"/>
      <c r="S625" s="907"/>
      <c r="T625" s="907"/>
      <c r="U625" s="907"/>
      <c r="V625" s="907"/>
      <c r="W625" s="907"/>
      <c r="X625" s="907"/>
      <c r="Y625" s="907"/>
      <c r="Z625" s="907"/>
      <c r="AA625" s="907"/>
      <c r="AB625" s="907"/>
      <c r="AC625" s="907"/>
    </row>
    <row r="626" spans="1:29">
      <c r="A626" s="907"/>
      <c r="B626" s="907"/>
      <c r="C626" s="907"/>
      <c r="D626" s="907"/>
      <c r="E626" s="907"/>
      <c r="F626" s="907"/>
      <c r="G626" s="907"/>
      <c r="H626" s="907"/>
      <c r="I626" s="907"/>
      <c r="J626" s="907"/>
      <c r="K626" s="907"/>
      <c r="L626" s="907"/>
      <c r="M626" s="907"/>
      <c r="N626" s="907"/>
      <c r="O626" s="907"/>
      <c r="P626" s="907"/>
      <c r="Q626" s="907"/>
      <c r="R626" s="907"/>
      <c r="S626" s="907"/>
      <c r="T626" s="907"/>
      <c r="U626" s="907"/>
      <c r="V626" s="907"/>
      <c r="W626" s="907"/>
      <c r="X626" s="907"/>
      <c r="Y626" s="907"/>
      <c r="Z626" s="907"/>
      <c r="AA626" s="907"/>
      <c r="AB626" s="907"/>
      <c r="AC626" s="907"/>
    </row>
    <row r="627" spans="1:29">
      <c r="A627" s="907"/>
      <c r="B627" s="907"/>
      <c r="C627" s="907"/>
      <c r="D627" s="907"/>
      <c r="E627" s="907"/>
      <c r="F627" s="907"/>
      <c r="G627" s="907"/>
      <c r="H627" s="907"/>
      <c r="I627" s="907"/>
      <c r="J627" s="907"/>
      <c r="K627" s="907"/>
      <c r="L627" s="907"/>
      <c r="M627" s="907"/>
      <c r="N627" s="907"/>
      <c r="O627" s="907"/>
      <c r="P627" s="907"/>
      <c r="Q627" s="907"/>
      <c r="R627" s="907"/>
      <c r="S627" s="907"/>
      <c r="T627" s="907"/>
      <c r="U627" s="907"/>
      <c r="V627" s="907"/>
      <c r="W627" s="907"/>
      <c r="X627" s="907"/>
      <c r="Y627" s="907"/>
      <c r="Z627" s="907"/>
      <c r="AA627" s="907"/>
      <c r="AB627" s="907"/>
      <c r="AC627" s="907"/>
    </row>
    <row r="628" spans="1:29">
      <c r="A628" s="907"/>
      <c r="B628" s="907"/>
      <c r="C628" s="907"/>
      <c r="D628" s="907"/>
      <c r="E628" s="907"/>
      <c r="F628" s="907"/>
      <c r="G628" s="907"/>
      <c r="H628" s="907"/>
      <c r="I628" s="907"/>
      <c r="J628" s="907"/>
      <c r="K628" s="907"/>
      <c r="L628" s="907"/>
      <c r="M628" s="907"/>
      <c r="N628" s="907"/>
      <c r="O628" s="907"/>
      <c r="P628" s="907"/>
      <c r="Q628" s="907"/>
      <c r="R628" s="907"/>
      <c r="S628" s="907"/>
      <c r="T628" s="907"/>
      <c r="U628" s="907"/>
      <c r="V628" s="907"/>
      <c r="W628" s="907"/>
      <c r="X628" s="907"/>
      <c r="Y628" s="907"/>
      <c r="Z628" s="907"/>
      <c r="AA628" s="907"/>
      <c r="AB628" s="907"/>
      <c r="AC628" s="907"/>
    </row>
    <row r="629" spans="1:29">
      <c r="A629" s="907"/>
      <c r="B629" s="907"/>
      <c r="C629" s="907"/>
      <c r="D629" s="907"/>
      <c r="E629" s="907"/>
      <c r="F629" s="907"/>
      <c r="G629" s="907"/>
      <c r="H629" s="907"/>
      <c r="I629" s="907"/>
      <c r="J629" s="907"/>
      <c r="K629" s="907"/>
      <c r="L629" s="907"/>
      <c r="M629" s="907"/>
      <c r="N629" s="907"/>
      <c r="O629" s="907"/>
      <c r="P629" s="907"/>
      <c r="Q629" s="907"/>
      <c r="R629" s="907"/>
      <c r="S629" s="907"/>
      <c r="T629" s="907"/>
      <c r="U629" s="907"/>
      <c r="V629" s="907"/>
      <c r="W629" s="907"/>
      <c r="X629" s="907"/>
      <c r="Y629" s="907"/>
      <c r="Z629" s="907"/>
      <c r="AA629" s="907"/>
      <c r="AB629" s="907"/>
      <c r="AC629" s="907"/>
    </row>
    <row r="630" spans="1:29">
      <c r="A630" s="907"/>
      <c r="B630" s="907"/>
      <c r="C630" s="907"/>
      <c r="D630" s="907"/>
      <c r="E630" s="907"/>
      <c r="F630" s="907"/>
      <c r="G630" s="907"/>
      <c r="H630" s="907"/>
      <c r="I630" s="907"/>
      <c r="J630" s="907"/>
      <c r="K630" s="907"/>
      <c r="L630" s="907"/>
      <c r="M630" s="907"/>
      <c r="N630" s="907"/>
      <c r="O630" s="907"/>
      <c r="P630" s="907"/>
      <c r="Q630" s="907"/>
      <c r="R630" s="907"/>
      <c r="S630" s="907"/>
      <c r="T630" s="907"/>
      <c r="U630" s="907"/>
      <c r="V630" s="907"/>
      <c r="W630" s="907"/>
      <c r="X630" s="907"/>
      <c r="Y630" s="907"/>
      <c r="Z630" s="907"/>
      <c r="AA630" s="907"/>
      <c r="AB630" s="907"/>
      <c r="AC630" s="907"/>
    </row>
    <row r="631" spans="1:29">
      <c r="A631" s="907"/>
      <c r="B631" s="907"/>
      <c r="C631" s="907"/>
      <c r="D631" s="907"/>
      <c r="E631" s="907"/>
      <c r="F631" s="907"/>
      <c r="G631" s="907"/>
      <c r="H631" s="907"/>
      <c r="I631" s="907"/>
      <c r="J631" s="907"/>
      <c r="K631" s="907"/>
      <c r="L631" s="907"/>
      <c r="M631" s="907"/>
      <c r="N631" s="907"/>
      <c r="O631" s="907"/>
      <c r="P631" s="907"/>
      <c r="Q631" s="907"/>
      <c r="R631" s="907"/>
      <c r="S631" s="907"/>
      <c r="T631" s="907"/>
      <c r="U631" s="907"/>
      <c r="V631" s="907"/>
      <c r="W631" s="907"/>
      <c r="X631" s="907"/>
      <c r="Y631" s="907"/>
      <c r="Z631" s="907"/>
      <c r="AA631" s="907"/>
      <c r="AB631" s="907"/>
      <c r="AC631" s="907"/>
    </row>
    <row r="632" spans="1:29">
      <c r="A632" s="907"/>
      <c r="B632" s="907"/>
      <c r="C632" s="907"/>
      <c r="D632" s="907"/>
      <c r="E632" s="907"/>
      <c r="F632" s="907"/>
      <c r="G632" s="907"/>
      <c r="H632" s="907"/>
      <c r="I632" s="907"/>
      <c r="J632" s="907"/>
      <c r="K632" s="907"/>
      <c r="L632" s="907"/>
      <c r="M632" s="907"/>
      <c r="N632" s="907"/>
      <c r="O632" s="907"/>
      <c r="P632" s="907"/>
      <c r="Q632" s="907"/>
      <c r="R632" s="907"/>
      <c r="S632" s="907"/>
      <c r="T632" s="907"/>
      <c r="U632" s="907"/>
      <c r="V632" s="907"/>
      <c r="W632" s="907"/>
      <c r="X632" s="907"/>
      <c r="Y632" s="907"/>
      <c r="Z632" s="907"/>
      <c r="AA632" s="907"/>
      <c r="AB632" s="907"/>
      <c r="AC632" s="907"/>
    </row>
    <row r="633" spans="1:29">
      <c r="A633" s="907"/>
      <c r="B633" s="907"/>
      <c r="C633" s="907"/>
      <c r="D633" s="907"/>
      <c r="E633" s="907"/>
      <c r="F633" s="907"/>
      <c r="G633" s="907"/>
      <c r="H633" s="907"/>
      <c r="I633" s="907"/>
      <c r="J633" s="907"/>
      <c r="K633" s="907"/>
      <c r="L633" s="907"/>
      <c r="M633" s="907"/>
      <c r="N633" s="907"/>
      <c r="O633" s="907"/>
      <c r="P633" s="907"/>
      <c r="Q633" s="907"/>
      <c r="R633" s="907"/>
      <c r="S633" s="907"/>
      <c r="T633" s="907"/>
      <c r="U633" s="907"/>
      <c r="V633" s="907"/>
      <c r="W633" s="907"/>
      <c r="X633" s="907"/>
      <c r="Y633" s="907"/>
      <c r="Z633" s="907"/>
      <c r="AA633" s="907"/>
      <c r="AB633" s="907"/>
      <c r="AC633" s="907"/>
    </row>
    <row r="634" spans="1:29">
      <c r="A634" s="907"/>
      <c r="B634" s="907"/>
      <c r="C634" s="907"/>
      <c r="D634" s="907"/>
      <c r="E634" s="907"/>
      <c r="F634" s="907"/>
      <c r="G634" s="907"/>
      <c r="H634" s="907"/>
      <c r="I634" s="907"/>
      <c r="J634" s="907"/>
      <c r="K634" s="907"/>
      <c r="L634" s="907"/>
      <c r="M634" s="907"/>
      <c r="N634" s="907"/>
      <c r="O634" s="907"/>
      <c r="P634" s="907"/>
      <c r="Q634" s="907"/>
      <c r="R634" s="907"/>
      <c r="S634" s="907"/>
      <c r="T634" s="907"/>
      <c r="U634" s="907"/>
      <c r="V634" s="907"/>
      <c r="W634" s="907"/>
      <c r="X634" s="907"/>
      <c r="Y634" s="907"/>
      <c r="Z634" s="907"/>
      <c r="AA634" s="907"/>
      <c r="AB634" s="907"/>
      <c r="AC634" s="907"/>
    </row>
    <row r="635" spans="1:29">
      <c r="A635" s="907"/>
      <c r="B635" s="907"/>
      <c r="C635" s="907"/>
      <c r="D635" s="907"/>
      <c r="E635" s="907"/>
      <c r="F635" s="907"/>
      <c r="G635" s="907"/>
      <c r="H635" s="907"/>
      <c r="I635" s="907"/>
      <c r="J635" s="907"/>
      <c r="K635" s="907"/>
      <c r="L635" s="907"/>
      <c r="M635" s="907"/>
      <c r="N635" s="907"/>
      <c r="O635" s="907"/>
      <c r="P635" s="907"/>
      <c r="Q635" s="907"/>
      <c r="R635" s="907"/>
      <c r="S635" s="907"/>
      <c r="T635" s="907"/>
      <c r="U635" s="907"/>
      <c r="V635" s="907"/>
      <c r="W635" s="907"/>
      <c r="X635" s="907"/>
      <c r="Y635" s="907"/>
      <c r="Z635" s="907"/>
      <c r="AA635" s="907"/>
      <c r="AB635" s="907"/>
      <c r="AC635" s="907"/>
    </row>
    <row r="636" spans="1:29">
      <c r="A636" s="907"/>
      <c r="B636" s="907"/>
      <c r="C636" s="907"/>
      <c r="D636" s="907"/>
      <c r="E636" s="907"/>
      <c r="F636" s="907"/>
      <c r="G636" s="907"/>
      <c r="H636" s="907"/>
      <c r="I636" s="907"/>
      <c r="J636" s="907"/>
      <c r="K636" s="907"/>
      <c r="L636" s="907"/>
      <c r="M636" s="907"/>
      <c r="N636" s="907"/>
      <c r="O636" s="907"/>
      <c r="P636" s="907"/>
      <c r="Q636" s="907"/>
      <c r="R636" s="907"/>
      <c r="S636" s="907"/>
      <c r="T636" s="907"/>
      <c r="U636" s="907"/>
      <c r="V636" s="907"/>
      <c r="W636" s="907"/>
      <c r="X636" s="907"/>
      <c r="Y636" s="907"/>
      <c r="Z636" s="907"/>
      <c r="AA636" s="907"/>
      <c r="AB636" s="907"/>
      <c r="AC636" s="907"/>
    </row>
    <row r="637" spans="1:29">
      <c r="A637" s="907"/>
      <c r="B637" s="907"/>
      <c r="C637" s="907"/>
      <c r="D637" s="907"/>
      <c r="E637" s="907"/>
      <c r="F637" s="907"/>
      <c r="G637" s="907"/>
      <c r="H637" s="907"/>
      <c r="I637" s="907"/>
      <c r="J637" s="907"/>
      <c r="K637" s="907"/>
      <c r="L637" s="907"/>
      <c r="M637" s="907"/>
      <c r="N637" s="907"/>
      <c r="O637" s="907"/>
      <c r="P637" s="907"/>
      <c r="Q637" s="907"/>
      <c r="R637" s="907"/>
      <c r="S637" s="907"/>
      <c r="T637" s="907"/>
      <c r="U637" s="907"/>
      <c r="V637" s="907"/>
      <c r="W637" s="907"/>
      <c r="X637" s="907"/>
      <c r="Y637" s="907"/>
      <c r="Z637" s="907"/>
      <c r="AA637" s="907"/>
      <c r="AB637" s="907"/>
      <c r="AC637" s="907"/>
    </row>
    <row r="638" spans="1:29">
      <c r="A638" s="907"/>
      <c r="B638" s="907"/>
      <c r="C638" s="907"/>
      <c r="D638" s="907"/>
      <c r="E638" s="907"/>
      <c r="F638" s="907"/>
      <c r="G638" s="907"/>
      <c r="H638" s="907"/>
      <c r="I638" s="907"/>
      <c r="J638" s="907"/>
      <c r="K638" s="907"/>
      <c r="L638" s="907"/>
      <c r="M638" s="907"/>
      <c r="N638" s="907"/>
      <c r="O638" s="907"/>
      <c r="P638" s="907"/>
      <c r="Q638" s="907"/>
      <c r="R638" s="907"/>
      <c r="S638" s="907"/>
      <c r="T638" s="907"/>
      <c r="U638" s="907"/>
      <c r="V638" s="907"/>
      <c r="W638" s="907"/>
      <c r="X638" s="907"/>
      <c r="Y638" s="907"/>
      <c r="Z638" s="907"/>
      <c r="AA638" s="907"/>
      <c r="AB638" s="907"/>
      <c r="AC638" s="907"/>
    </row>
    <row r="639" spans="1:29">
      <c r="A639" s="907"/>
      <c r="B639" s="907"/>
      <c r="C639" s="907"/>
      <c r="D639" s="907"/>
      <c r="E639" s="907"/>
      <c r="F639" s="907"/>
      <c r="G639" s="907"/>
      <c r="H639" s="907"/>
      <c r="I639" s="907"/>
      <c r="J639" s="907"/>
      <c r="K639" s="907"/>
      <c r="L639" s="907"/>
      <c r="M639" s="907"/>
      <c r="N639" s="907"/>
      <c r="O639" s="907"/>
      <c r="P639" s="907"/>
      <c r="Q639" s="907"/>
      <c r="R639" s="907"/>
      <c r="S639" s="907"/>
      <c r="T639" s="907"/>
      <c r="U639" s="907"/>
      <c r="V639" s="907"/>
      <c r="W639" s="907"/>
      <c r="X639" s="907"/>
      <c r="Y639" s="907"/>
      <c r="Z639" s="907"/>
      <c r="AA639" s="907"/>
      <c r="AB639" s="907"/>
      <c r="AC639" s="907"/>
    </row>
    <row r="640" spans="1:29">
      <c r="A640" s="907"/>
      <c r="B640" s="907"/>
      <c r="C640" s="907"/>
      <c r="D640" s="907"/>
      <c r="E640" s="907"/>
      <c r="F640" s="907"/>
      <c r="G640" s="907"/>
      <c r="H640" s="907"/>
      <c r="I640" s="907"/>
      <c r="J640" s="907"/>
      <c r="K640" s="907"/>
      <c r="L640" s="907"/>
      <c r="M640" s="907"/>
      <c r="N640" s="907"/>
      <c r="O640" s="907"/>
      <c r="P640" s="907"/>
      <c r="Q640" s="907"/>
      <c r="R640" s="907"/>
      <c r="S640" s="907"/>
      <c r="T640" s="907"/>
      <c r="U640" s="907"/>
      <c r="V640" s="907"/>
      <c r="W640" s="907"/>
      <c r="X640" s="907"/>
      <c r="Y640" s="907"/>
      <c r="Z640" s="907"/>
      <c r="AA640" s="907"/>
      <c r="AB640" s="907"/>
      <c r="AC640" s="907"/>
    </row>
    <row r="641" spans="1:29">
      <c r="A641" s="907"/>
      <c r="B641" s="907"/>
      <c r="C641" s="907"/>
      <c r="D641" s="907"/>
      <c r="E641" s="907"/>
      <c r="F641" s="907"/>
      <c r="G641" s="907"/>
      <c r="H641" s="907"/>
      <c r="I641" s="907"/>
      <c r="J641" s="907"/>
      <c r="K641" s="907"/>
      <c r="L641" s="907"/>
      <c r="M641" s="907"/>
      <c r="N641" s="907"/>
      <c r="O641" s="907"/>
      <c r="P641" s="907"/>
      <c r="Q641" s="907"/>
      <c r="R641" s="907"/>
      <c r="S641" s="907"/>
      <c r="T641" s="907"/>
      <c r="U641" s="907"/>
      <c r="V641" s="907"/>
      <c r="W641" s="907"/>
      <c r="X641" s="907"/>
      <c r="Y641" s="907"/>
      <c r="Z641" s="907"/>
      <c r="AA641" s="907"/>
      <c r="AB641" s="907"/>
      <c r="AC641" s="907"/>
    </row>
    <row r="642" spans="1:29">
      <c r="A642" s="907"/>
      <c r="B642" s="907"/>
      <c r="C642" s="907"/>
      <c r="D642" s="907"/>
      <c r="E642" s="907"/>
      <c r="F642" s="907"/>
      <c r="G642" s="907"/>
      <c r="H642" s="907"/>
      <c r="I642" s="907"/>
      <c r="J642" s="907"/>
      <c r="K642" s="907"/>
      <c r="L642" s="907"/>
      <c r="M642" s="907"/>
      <c r="N642" s="907"/>
      <c r="O642" s="907"/>
      <c r="P642" s="907"/>
      <c r="Q642" s="907"/>
      <c r="R642" s="907"/>
      <c r="S642" s="907"/>
      <c r="T642" s="907"/>
      <c r="U642" s="907"/>
      <c r="V642" s="907"/>
      <c r="W642" s="907"/>
      <c r="X642" s="907"/>
      <c r="Y642" s="907"/>
      <c r="Z642" s="907"/>
      <c r="AA642" s="907"/>
      <c r="AB642" s="907"/>
      <c r="AC642" s="907"/>
    </row>
    <row r="643" spans="1:29">
      <c r="A643" s="907"/>
      <c r="B643" s="907"/>
      <c r="C643" s="907"/>
      <c r="D643" s="907"/>
      <c r="E643" s="907"/>
      <c r="F643" s="907"/>
      <c r="G643" s="907"/>
      <c r="H643" s="907"/>
      <c r="I643" s="907"/>
      <c r="J643" s="907"/>
      <c r="K643" s="907"/>
      <c r="L643" s="907"/>
      <c r="M643" s="907"/>
      <c r="N643" s="907"/>
      <c r="O643" s="907"/>
      <c r="P643" s="907"/>
      <c r="Q643" s="907"/>
      <c r="R643" s="907"/>
      <c r="S643" s="907"/>
      <c r="T643" s="907"/>
      <c r="U643" s="907"/>
      <c r="V643" s="907"/>
      <c r="W643" s="907"/>
      <c r="X643" s="907"/>
      <c r="Y643" s="907"/>
      <c r="Z643" s="907"/>
      <c r="AA643" s="907"/>
      <c r="AB643" s="907"/>
      <c r="AC643" s="907"/>
    </row>
    <row r="644" spans="1:29">
      <c r="A644" s="907"/>
      <c r="B644" s="907"/>
      <c r="C644" s="907"/>
      <c r="D644" s="907"/>
      <c r="E644" s="907"/>
      <c r="F644" s="907"/>
      <c r="G644" s="907"/>
      <c r="H644" s="907"/>
      <c r="I644" s="907"/>
      <c r="J644" s="907"/>
      <c r="K644" s="907"/>
      <c r="L644" s="907"/>
      <c r="M644" s="907"/>
      <c r="N644" s="907"/>
      <c r="O644" s="907"/>
      <c r="P644" s="907"/>
      <c r="Q644" s="907"/>
      <c r="R644" s="907"/>
      <c r="S644" s="907"/>
      <c r="T644" s="907"/>
      <c r="U644" s="907"/>
      <c r="V644" s="907"/>
      <c r="W644" s="907"/>
      <c r="X644" s="907"/>
      <c r="Y644" s="907"/>
      <c r="Z644" s="907"/>
      <c r="AA644" s="907"/>
      <c r="AB644" s="907"/>
      <c r="AC644" s="907"/>
    </row>
    <row r="645" spans="1:29">
      <c r="A645" s="907"/>
      <c r="B645" s="907"/>
      <c r="C645" s="907"/>
      <c r="D645" s="907"/>
      <c r="E645" s="907"/>
      <c r="F645" s="907"/>
      <c r="G645" s="907"/>
      <c r="H645" s="907"/>
      <c r="I645" s="907"/>
      <c r="J645" s="907"/>
      <c r="K645" s="907"/>
      <c r="L645" s="907"/>
      <c r="M645" s="907"/>
      <c r="N645" s="907"/>
      <c r="O645" s="907"/>
      <c r="P645" s="907"/>
      <c r="Q645" s="907"/>
      <c r="R645" s="907"/>
      <c r="S645" s="907"/>
      <c r="T645" s="907"/>
      <c r="U645" s="907"/>
      <c r="V645" s="907"/>
      <c r="W645" s="907"/>
      <c r="X645" s="907"/>
      <c r="Y645" s="907"/>
      <c r="Z645" s="907"/>
      <c r="AA645" s="907"/>
      <c r="AB645" s="907"/>
      <c r="AC645" s="907"/>
    </row>
    <row r="646" spans="1:29">
      <c r="A646" s="907"/>
      <c r="B646" s="907"/>
      <c r="C646" s="907"/>
      <c r="D646" s="907"/>
      <c r="E646" s="907"/>
      <c r="F646" s="907"/>
      <c r="G646" s="907"/>
      <c r="H646" s="907"/>
      <c r="I646" s="907"/>
      <c r="J646" s="907"/>
      <c r="K646" s="907"/>
      <c r="L646" s="907"/>
      <c r="M646" s="907"/>
      <c r="N646" s="907"/>
      <c r="O646" s="907"/>
      <c r="P646" s="907"/>
      <c r="Q646" s="907"/>
      <c r="R646" s="907"/>
      <c r="S646" s="907"/>
      <c r="T646" s="907"/>
      <c r="U646" s="907"/>
      <c r="V646" s="907"/>
      <c r="W646" s="907"/>
      <c r="X646" s="907"/>
      <c r="Y646" s="907"/>
      <c r="Z646" s="907"/>
      <c r="AA646" s="907"/>
      <c r="AB646" s="907"/>
      <c r="AC646" s="907"/>
    </row>
    <row r="647" spans="1:29">
      <c r="A647" s="907"/>
      <c r="B647" s="907"/>
      <c r="C647" s="907"/>
      <c r="D647" s="907"/>
      <c r="E647" s="907"/>
      <c r="F647" s="907"/>
      <c r="G647" s="907"/>
      <c r="H647" s="907"/>
      <c r="I647" s="907"/>
      <c r="J647" s="907"/>
      <c r="K647" s="907"/>
      <c r="L647" s="907"/>
      <c r="M647" s="907"/>
      <c r="N647" s="907"/>
      <c r="O647" s="907"/>
      <c r="P647" s="907"/>
      <c r="Q647" s="907"/>
      <c r="R647" s="907"/>
      <c r="S647" s="907"/>
      <c r="T647" s="907"/>
      <c r="U647" s="907"/>
      <c r="V647" s="907"/>
      <c r="W647" s="907"/>
      <c r="X647" s="907"/>
      <c r="Y647" s="907"/>
      <c r="Z647" s="907"/>
      <c r="AA647" s="907"/>
      <c r="AB647" s="907"/>
      <c r="AC647" s="907"/>
    </row>
    <row r="648" spans="1:29">
      <c r="A648" s="907"/>
      <c r="B648" s="907"/>
      <c r="C648" s="907"/>
      <c r="D648" s="907"/>
      <c r="E648" s="907"/>
      <c r="F648" s="907"/>
      <c r="G648" s="907"/>
      <c r="H648" s="907"/>
      <c r="I648" s="907"/>
      <c r="J648" s="907"/>
      <c r="K648" s="907"/>
      <c r="L648" s="907"/>
      <c r="M648" s="907"/>
      <c r="N648" s="907"/>
      <c r="O648" s="907"/>
      <c r="P648" s="907"/>
      <c r="Q648" s="907"/>
      <c r="R648" s="907"/>
      <c r="S648" s="907"/>
      <c r="T648" s="907"/>
      <c r="U648" s="907"/>
      <c r="V648" s="907"/>
      <c r="W648" s="907"/>
      <c r="X648" s="907"/>
      <c r="Y648" s="907"/>
      <c r="Z648" s="907"/>
      <c r="AA648" s="907"/>
      <c r="AB648" s="907"/>
      <c r="AC648" s="907"/>
    </row>
    <row r="649" spans="1:29">
      <c r="A649" s="907"/>
      <c r="B649" s="907"/>
      <c r="C649" s="907"/>
      <c r="D649" s="907"/>
      <c r="E649" s="907"/>
      <c r="F649" s="907"/>
      <c r="G649" s="907"/>
      <c r="H649" s="907"/>
      <c r="I649" s="907"/>
      <c r="J649" s="907"/>
      <c r="K649" s="907"/>
      <c r="L649" s="907"/>
      <c r="M649" s="907"/>
      <c r="N649" s="907"/>
      <c r="O649" s="907"/>
      <c r="P649" s="907"/>
      <c r="Q649" s="907"/>
      <c r="R649" s="907"/>
      <c r="S649" s="907"/>
      <c r="T649" s="907"/>
      <c r="U649" s="907"/>
      <c r="V649" s="907"/>
      <c r="W649" s="907"/>
      <c r="X649" s="907"/>
      <c r="Y649" s="907"/>
      <c r="Z649" s="907"/>
      <c r="AA649" s="907"/>
      <c r="AB649" s="907"/>
      <c r="AC649" s="907"/>
    </row>
    <row r="650" spans="1:29">
      <c r="A650" s="907"/>
      <c r="B650" s="907"/>
      <c r="C650" s="907"/>
      <c r="D650" s="907"/>
      <c r="E650" s="907"/>
      <c r="F650" s="907"/>
      <c r="G650" s="907"/>
      <c r="H650" s="907"/>
      <c r="I650" s="907"/>
      <c r="J650" s="907"/>
      <c r="K650" s="907"/>
      <c r="L650" s="907"/>
      <c r="M650" s="907"/>
      <c r="N650" s="907"/>
      <c r="O650" s="907"/>
      <c r="P650" s="907"/>
      <c r="Q650" s="907"/>
      <c r="R650" s="907"/>
      <c r="S650" s="907"/>
      <c r="T650" s="907"/>
      <c r="U650" s="907"/>
      <c r="V650" s="907"/>
      <c r="W650" s="907"/>
      <c r="X650" s="907"/>
      <c r="Y650" s="907"/>
      <c r="Z650" s="907"/>
      <c r="AA650" s="907"/>
      <c r="AB650" s="907"/>
      <c r="AC650" s="907"/>
    </row>
    <row r="651" spans="1:29">
      <c r="A651" s="907"/>
      <c r="B651" s="907"/>
      <c r="C651" s="907"/>
      <c r="D651" s="907"/>
      <c r="E651" s="907"/>
      <c r="F651" s="907"/>
      <c r="G651" s="907"/>
      <c r="H651" s="907"/>
      <c r="I651" s="907"/>
      <c r="J651" s="907"/>
      <c r="K651" s="907"/>
      <c r="L651" s="907"/>
      <c r="M651" s="907"/>
      <c r="N651" s="907"/>
      <c r="O651" s="907"/>
      <c r="P651" s="907"/>
      <c r="Q651" s="907"/>
      <c r="R651" s="907"/>
      <c r="S651" s="907"/>
      <c r="T651" s="907"/>
      <c r="U651" s="907"/>
      <c r="V651" s="907"/>
      <c r="W651" s="907"/>
      <c r="X651" s="907"/>
      <c r="Y651" s="907"/>
      <c r="Z651" s="907"/>
      <c r="AA651" s="907"/>
      <c r="AB651" s="907"/>
      <c r="AC651" s="907"/>
    </row>
    <row r="652" spans="1:29">
      <c r="A652" s="907"/>
      <c r="B652" s="907"/>
      <c r="C652" s="907"/>
      <c r="D652" s="907"/>
      <c r="E652" s="907"/>
      <c r="F652" s="907"/>
      <c r="G652" s="907"/>
      <c r="H652" s="907"/>
      <c r="I652" s="907"/>
      <c r="J652" s="907"/>
      <c r="K652" s="907"/>
      <c r="L652" s="907"/>
      <c r="M652" s="907"/>
      <c r="N652" s="907"/>
      <c r="O652" s="907"/>
      <c r="P652" s="907"/>
      <c r="Q652" s="907"/>
      <c r="R652" s="907"/>
      <c r="S652" s="907"/>
      <c r="T652" s="907"/>
      <c r="U652" s="907"/>
      <c r="V652" s="907"/>
      <c r="W652" s="907"/>
      <c r="X652" s="907"/>
      <c r="Y652" s="907"/>
      <c r="Z652" s="907"/>
      <c r="AA652" s="907"/>
      <c r="AB652" s="907"/>
      <c r="AC652" s="907"/>
    </row>
    <row r="653" spans="1:29">
      <c r="A653" s="907"/>
      <c r="B653" s="907"/>
      <c r="C653" s="907"/>
      <c r="D653" s="907"/>
      <c r="E653" s="907"/>
      <c r="F653" s="907"/>
      <c r="G653" s="907"/>
      <c r="H653" s="907"/>
      <c r="I653" s="907"/>
      <c r="J653" s="907"/>
      <c r="K653" s="907"/>
      <c r="L653" s="907"/>
      <c r="M653" s="907"/>
      <c r="N653" s="907"/>
      <c r="O653" s="907"/>
      <c r="P653" s="907"/>
      <c r="Q653" s="907"/>
      <c r="R653" s="907"/>
      <c r="S653" s="907"/>
      <c r="T653" s="907"/>
      <c r="U653" s="907"/>
      <c r="V653" s="907"/>
      <c r="W653" s="907"/>
      <c r="X653" s="907"/>
      <c r="Y653" s="907"/>
      <c r="Z653" s="907"/>
      <c r="AA653" s="907"/>
      <c r="AB653" s="907"/>
      <c r="AC653" s="907"/>
    </row>
    <row r="654" spans="1:29">
      <c r="A654" s="907"/>
      <c r="B654" s="907"/>
      <c r="C654" s="907"/>
      <c r="D654" s="907"/>
      <c r="E654" s="907"/>
      <c r="F654" s="907"/>
      <c r="G654" s="907"/>
      <c r="H654" s="907"/>
      <c r="I654" s="907"/>
      <c r="J654" s="907"/>
      <c r="K654" s="907"/>
      <c r="L654" s="907"/>
      <c r="M654" s="907"/>
      <c r="N654" s="907"/>
      <c r="O654" s="907"/>
      <c r="P654" s="907"/>
      <c r="Q654" s="907"/>
      <c r="R654" s="907"/>
      <c r="S654" s="907"/>
      <c r="T654" s="907"/>
      <c r="U654" s="907"/>
      <c r="V654" s="907"/>
      <c r="W654" s="907"/>
      <c r="X654" s="907"/>
      <c r="Y654" s="907"/>
      <c r="Z654" s="907"/>
      <c r="AA654" s="907"/>
      <c r="AB654" s="907"/>
      <c r="AC654" s="907"/>
    </row>
    <row r="655" spans="1:29">
      <c r="A655" s="907"/>
      <c r="B655" s="907"/>
      <c r="C655" s="907"/>
      <c r="D655" s="907"/>
      <c r="E655" s="907"/>
      <c r="F655" s="907"/>
      <c r="G655" s="907"/>
      <c r="H655" s="907"/>
      <c r="I655" s="907"/>
      <c r="J655" s="907"/>
      <c r="K655" s="907"/>
      <c r="L655" s="907"/>
      <c r="M655" s="907"/>
      <c r="N655" s="907"/>
      <c r="O655" s="907"/>
      <c r="P655" s="907"/>
      <c r="Q655" s="907"/>
      <c r="R655" s="907"/>
      <c r="S655" s="907"/>
      <c r="T655" s="907"/>
      <c r="U655" s="907"/>
      <c r="V655" s="907"/>
      <c r="W655" s="907"/>
      <c r="X655" s="907"/>
      <c r="Y655" s="907"/>
      <c r="Z655" s="907"/>
      <c r="AA655" s="907"/>
      <c r="AB655" s="907"/>
      <c r="AC655" s="907"/>
    </row>
    <row r="656" spans="1:29">
      <c r="A656" s="907"/>
      <c r="B656" s="907"/>
      <c r="C656" s="907"/>
      <c r="D656" s="907"/>
      <c r="E656" s="907"/>
      <c r="F656" s="907"/>
      <c r="G656" s="907"/>
      <c r="H656" s="907"/>
      <c r="I656" s="907"/>
      <c r="J656" s="907"/>
      <c r="K656" s="907"/>
      <c r="L656" s="907"/>
      <c r="M656" s="907"/>
      <c r="N656" s="907"/>
      <c r="O656" s="907"/>
      <c r="P656" s="907"/>
      <c r="Q656" s="907"/>
      <c r="R656" s="907"/>
      <c r="S656" s="907"/>
      <c r="T656" s="907"/>
      <c r="U656" s="907"/>
      <c r="V656" s="907"/>
      <c r="W656" s="907"/>
      <c r="X656" s="907"/>
      <c r="Y656" s="907"/>
      <c r="Z656" s="907"/>
      <c r="AA656" s="907"/>
      <c r="AB656" s="907"/>
      <c r="AC656" s="907"/>
    </row>
    <row r="657" spans="1:29">
      <c r="A657" s="907"/>
      <c r="B657" s="907"/>
      <c r="C657" s="907"/>
      <c r="D657" s="907"/>
      <c r="E657" s="907"/>
      <c r="F657" s="907"/>
      <c r="G657" s="907"/>
      <c r="H657" s="907"/>
      <c r="I657" s="907"/>
      <c r="J657" s="907"/>
      <c r="K657" s="907"/>
      <c r="L657" s="907"/>
      <c r="M657" s="907"/>
      <c r="N657" s="907"/>
      <c r="O657" s="907"/>
      <c r="P657" s="907"/>
      <c r="Q657" s="907"/>
      <c r="R657" s="907"/>
      <c r="S657" s="907"/>
      <c r="T657" s="907"/>
      <c r="U657" s="907"/>
      <c r="V657" s="907"/>
      <c r="W657" s="907"/>
      <c r="X657" s="907"/>
      <c r="Y657" s="907"/>
      <c r="Z657" s="907"/>
      <c r="AA657" s="907"/>
      <c r="AB657" s="907"/>
      <c r="AC657" s="907"/>
    </row>
    <row r="658" spans="1:29">
      <c r="A658" s="907"/>
      <c r="B658" s="907"/>
      <c r="C658" s="907"/>
      <c r="D658" s="907"/>
      <c r="E658" s="907"/>
      <c r="F658" s="907"/>
      <c r="G658" s="907"/>
      <c r="H658" s="907"/>
      <c r="I658" s="907"/>
      <c r="J658" s="907"/>
      <c r="K658" s="907"/>
      <c r="L658" s="907"/>
      <c r="M658" s="907"/>
      <c r="N658" s="907"/>
      <c r="O658" s="907"/>
      <c r="P658" s="907"/>
      <c r="Q658" s="907"/>
      <c r="R658" s="907"/>
      <c r="S658" s="907"/>
      <c r="T658" s="907"/>
      <c r="U658" s="907"/>
      <c r="V658" s="907"/>
      <c r="W658" s="907"/>
      <c r="X658" s="907"/>
      <c r="Y658" s="907"/>
      <c r="Z658" s="907"/>
      <c r="AA658" s="907"/>
      <c r="AB658" s="907"/>
      <c r="AC658" s="907"/>
    </row>
    <row r="659" spans="1:29">
      <c r="A659" s="907"/>
      <c r="B659" s="907"/>
      <c r="C659" s="907"/>
      <c r="D659" s="907"/>
      <c r="E659" s="907"/>
      <c r="F659" s="907"/>
      <c r="G659" s="907"/>
      <c r="H659" s="907"/>
      <c r="I659" s="907"/>
      <c r="J659" s="907"/>
      <c r="K659" s="907"/>
      <c r="L659" s="907"/>
      <c r="M659" s="907"/>
      <c r="N659" s="907"/>
      <c r="O659" s="907"/>
      <c r="P659" s="907"/>
      <c r="Q659" s="907"/>
      <c r="R659" s="907"/>
      <c r="S659" s="907"/>
      <c r="T659" s="907"/>
      <c r="U659" s="907"/>
      <c r="V659" s="907"/>
      <c r="W659" s="907"/>
      <c r="X659" s="907"/>
      <c r="Y659" s="907"/>
      <c r="Z659" s="907"/>
      <c r="AA659" s="907"/>
      <c r="AB659" s="907"/>
      <c r="AC659" s="907"/>
    </row>
    <row r="660" spans="1:29">
      <c r="A660" s="907"/>
      <c r="B660" s="907"/>
      <c r="C660" s="907"/>
      <c r="D660" s="907"/>
      <c r="E660" s="907"/>
      <c r="F660" s="907"/>
      <c r="G660" s="907"/>
      <c r="H660" s="907"/>
      <c r="I660" s="907"/>
      <c r="J660" s="907"/>
      <c r="K660" s="907"/>
      <c r="L660" s="907"/>
      <c r="M660" s="907"/>
      <c r="N660" s="907"/>
      <c r="O660" s="907"/>
      <c r="P660" s="907"/>
      <c r="Q660" s="907"/>
      <c r="R660" s="907"/>
      <c r="S660" s="907"/>
      <c r="T660" s="907"/>
      <c r="U660" s="907"/>
      <c r="V660" s="907"/>
      <c r="W660" s="907"/>
      <c r="X660" s="907"/>
      <c r="Y660" s="907"/>
      <c r="Z660" s="907"/>
      <c r="AA660" s="907"/>
      <c r="AB660" s="907"/>
      <c r="AC660" s="907"/>
    </row>
    <row r="661" spans="1:29">
      <c r="A661" s="907"/>
      <c r="B661" s="907"/>
      <c r="C661" s="907"/>
      <c r="D661" s="907"/>
      <c r="E661" s="907"/>
      <c r="F661" s="907"/>
      <c r="G661" s="907"/>
      <c r="H661" s="907"/>
      <c r="I661" s="907"/>
      <c r="J661" s="907"/>
      <c r="K661" s="907"/>
      <c r="L661" s="907"/>
      <c r="M661" s="907"/>
      <c r="N661" s="907"/>
      <c r="O661" s="907"/>
      <c r="P661" s="907"/>
      <c r="Q661" s="907"/>
      <c r="R661" s="907"/>
      <c r="S661" s="907"/>
      <c r="T661" s="907"/>
      <c r="U661" s="907"/>
      <c r="V661" s="907"/>
      <c r="W661" s="907"/>
      <c r="X661" s="907"/>
      <c r="Y661" s="907"/>
      <c r="Z661" s="907"/>
      <c r="AA661" s="907"/>
      <c r="AB661" s="907"/>
      <c r="AC661" s="907"/>
    </row>
    <row r="662" spans="1:29">
      <c r="A662" s="907"/>
      <c r="B662" s="907"/>
      <c r="C662" s="907"/>
      <c r="D662" s="907"/>
      <c r="E662" s="907"/>
      <c r="F662" s="907"/>
      <c r="G662" s="907"/>
      <c r="H662" s="907"/>
      <c r="I662" s="907"/>
      <c r="J662" s="907"/>
      <c r="K662" s="907"/>
      <c r="L662" s="907"/>
      <c r="M662" s="907"/>
      <c r="N662" s="907"/>
      <c r="O662" s="907"/>
      <c r="P662" s="907"/>
      <c r="Q662" s="907"/>
      <c r="R662" s="907"/>
      <c r="S662" s="907"/>
      <c r="T662" s="907"/>
      <c r="U662" s="907"/>
      <c r="V662" s="907"/>
      <c r="W662" s="907"/>
      <c r="X662" s="907"/>
      <c r="Y662" s="907"/>
      <c r="Z662" s="907"/>
      <c r="AA662" s="907"/>
      <c r="AB662" s="907"/>
      <c r="AC662" s="907"/>
    </row>
    <row r="663" spans="1:29">
      <c r="A663" s="907"/>
      <c r="B663" s="907"/>
      <c r="C663" s="907"/>
      <c r="D663" s="907"/>
      <c r="E663" s="907"/>
      <c r="F663" s="907"/>
      <c r="G663" s="907"/>
      <c r="H663" s="907"/>
      <c r="I663" s="907"/>
      <c r="J663" s="907"/>
      <c r="K663" s="907"/>
      <c r="L663" s="907"/>
      <c r="M663" s="907"/>
      <c r="N663" s="907"/>
      <c r="O663" s="907"/>
      <c r="P663" s="907"/>
      <c r="Q663" s="907"/>
      <c r="R663" s="907"/>
      <c r="S663" s="907"/>
      <c r="T663" s="907"/>
      <c r="U663" s="907"/>
      <c r="V663" s="907"/>
      <c r="W663" s="907"/>
      <c r="X663" s="907"/>
      <c r="Y663" s="907"/>
      <c r="Z663" s="907"/>
      <c r="AA663" s="907"/>
      <c r="AB663" s="907"/>
      <c r="AC663" s="907"/>
    </row>
    <row r="664" spans="1:29">
      <c r="A664" s="907"/>
      <c r="B664" s="907"/>
      <c r="C664" s="907"/>
      <c r="D664" s="907"/>
      <c r="E664" s="907"/>
      <c r="F664" s="907"/>
      <c r="G664" s="907"/>
      <c r="H664" s="907"/>
      <c r="I664" s="907"/>
      <c r="J664" s="907"/>
      <c r="K664" s="907"/>
      <c r="L664" s="907"/>
      <c r="M664" s="907"/>
      <c r="N664" s="907"/>
      <c r="O664" s="907"/>
      <c r="P664" s="907"/>
      <c r="Q664" s="907"/>
      <c r="R664" s="907"/>
      <c r="S664" s="907"/>
      <c r="T664" s="907"/>
      <c r="U664" s="907"/>
      <c r="V664" s="907"/>
      <c r="W664" s="907"/>
      <c r="X664" s="907"/>
      <c r="Y664" s="907"/>
      <c r="Z664" s="907"/>
      <c r="AA664" s="907"/>
      <c r="AB664" s="907"/>
      <c r="AC664" s="907"/>
    </row>
    <row r="665" spans="1:29">
      <c r="A665" s="907"/>
      <c r="B665" s="907"/>
      <c r="C665" s="907"/>
      <c r="D665" s="907"/>
      <c r="E665" s="907"/>
      <c r="F665" s="907"/>
      <c r="G665" s="907"/>
      <c r="H665" s="907"/>
      <c r="I665" s="907"/>
      <c r="J665" s="907"/>
      <c r="K665" s="907"/>
      <c r="L665" s="907"/>
      <c r="M665" s="907"/>
      <c r="N665" s="907"/>
      <c r="O665" s="907"/>
      <c r="P665" s="907"/>
      <c r="Q665" s="907"/>
      <c r="R665" s="907"/>
      <c r="S665" s="907"/>
      <c r="T665" s="907"/>
      <c r="U665" s="907"/>
      <c r="V665" s="907"/>
      <c r="W665" s="907"/>
      <c r="X665" s="907"/>
      <c r="Y665" s="907"/>
      <c r="Z665" s="907"/>
      <c r="AA665" s="907"/>
      <c r="AB665" s="907"/>
      <c r="AC665" s="907"/>
    </row>
    <row r="666" spans="1:29">
      <c r="A666" s="907"/>
      <c r="B666" s="907"/>
      <c r="C666" s="907"/>
      <c r="D666" s="907"/>
      <c r="E666" s="907"/>
      <c r="F666" s="907"/>
      <c r="G666" s="907"/>
      <c r="H666" s="907"/>
      <c r="I666" s="907"/>
      <c r="J666" s="907"/>
      <c r="K666" s="907"/>
      <c r="L666" s="907"/>
      <c r="M666" s="907"/>
      <c r="N666" s="907"/>
      <c r="O666" s="907"/>
      <c r="P666" s="907"/>
      <c r="Q666" s="907"/>
      <c r="R666" s="907"/>
      <c r="S666" s="907"/>
      <c r="T666" s="907"/>
      <c r="U666" s="907"/>
      <c r="V666" s="907"/>
      <c r="W666" s="907"/>
      <c r="X666" s="907"/>
      <c r="Y666" s="907"/>
      <c r="Z666" s="907"/>
      <c r="AA666" s="907"/>
      <c r="AB666" s="907"/>
      <c r="AC666" s="907"/>
    </row>
    <row r="667" spans="1:29">
      <c r="A667" s="907"/>
      <c r="B667" s="907"/>
      <c r="C667" s="907"/>
      <c r="D667" s="907"/>
      <c r="E667" s="907"/>
      <c r="F667" s="907"/>
      <c r="G667" s="907"/>
      <c r="H667" s="907"/>
      <c r="I667" s="907"/>
      <c r="J667" s="907"/>
      <c r="K667" s="907"/>
      <c r="L667" s="907"/>
      <c r="M667" s="907"/>
      <c r="N667" s="907"/>
      <c r="O667" s="907"/>
      <c r="P667" s="907"/>
      <c r="Q667" s="907"/>
      <c r="R667" s="907"/>
      <c r="S667" s="907"/>
      <c r="T667" s="907"/>
      <c r="U667" s="907"/>
      <c r="V667" s="907"/>
      <c r="W667" s="907"/>
      <c r="X667" s="907"/>
      <c r="Y667" s="907"/>
      <c r="Z667" s="907"/>
      <c r="AA667" s="907"/>
      <c r="AB667" s="907"/>
      <c r="AC667" s="907"/>
    </row>
    <row r="668" spans="1:29">
      <c r="A668" s="907"/>
      <c r="B668" s="907"/>
      <c r="C668" s="907"/>
      <c r="D668" s="907"/>
      <c r="E668" s="907"/>
      <c r="F668" s="907"/>
      <c r="G668" s="907"/>
      <c r="H668" s="907"/>
      <c r="I668" s="907"/>
      <c r="J668" s="907"/>
      <c r="K668" s="907"/>
      <c r="L668" s="907"/>
      <c r="M668" s="907"/>
      <c r="N668" s="907"/>
      <c r="O668" s="907"/>
      <c r="P668" s="907"/>
      <c r="Q668" s="907"/>
      <c r="R668" s="907"/>
      <c r="S668" s="907"/>
      <c r="T668" s="907"/>
      <c r="U668" s="907"/>
      <c r="V668" s="907"/>
      <c r="W668" s="907"/>
      <c r="X668" s="907"/>
      <c r="Y668" s="907"/>
      <c r="Z668" s="907"/>
      <c r="AA668" s="907"/>
      <c r="AB668" s="907"/>
      <c r="AC668" s="907"/>
    </row>
    <row r="669" spans="1:29">
      <c r="A669" s="907"/>
      <c r="B669" s="907"/>
      <c r="C669" s="907"/>
      <c r="D669" s="907"/>
      <c r="E669" s="907"/>
      <c r="F669" s="907"/>
      <c r="G669" s="907"/>
      <c r="H669" s="907"/>
      <c r="I669" s="907"/>
      <c r="J669" s="907"/>
      <c r="K669" s="907"/>
      <c r="L669" s="907"/>
      <c r="M669" s="907"/>
      <c r="N669" s="907"/>
      <c r="O669" s="907"/>
      <c r="P669" s="907"/>
      <c r="Q669" s="907"/>
      <c r="R669" s="907"/>
      <c r="S669" s="907"/>
      <c r="T669" s="907"/>
      <c r="U669" s="907"/>
      <c r="V669" s="907"/>
      <c r="W669" s="907"/>
      <c r="X669" s="907"/>
      <c r="Y669" s="907"/>
      <c r="Z669" s="907"/>
      <c r="AA669" s="907"/>
      <c r="AB669" s="907"/>
      <c r="AC669" s="907"/>
    </row>
    <row r="670" spans="1:29">
      <c r="A670" s="907"/>
      <c r="B670" s="907"/>
      <c r="C670" s="907"/>
      <c r="D670" s="907"/>
      <c r="E670" s="907"/>
      <c r="F670" s="907"/>
      <c r="G670" s="907"/>
      <c r="H670" s="907"/>
      <c r="I670" s="907"/>
      <c r="J670" s="907"/>
      <c r="K670" s="907"/>
      <c r="L670" s="907"/>
      <c r="M670" s="907"/>
      <c r="N670" s="907"/>
      <c r="O670" s="907"/>
      <c r="P670" s="907"/>
      <c r="Q670" s="907"/>
      <c r="R670" s="907"/>
      <c r="S670" s="907"/>
      <c r="T670" s="907"/>
      <c r="U670" s="907"/>
      <c r="V670" s="907"/>
      <c r="W670" s="907"/>
      <c r="X670" s="907"/>
      <c r="Y670" s="907"/>
      <c r="Z670" s="907"/>
      <c r="AA670" s="907"/>
      <c r="AB670" s="907"/>
      <c r="AC670" s="907"/>
    </row>
    <row r="671" spans="1:29">
      <c r="A671" s="907"/>
      <c r="B671" s="907"/>
      <c r="C671" s="907"/>
      <c r="D671" s="907"/>
      <c r="E671" s="907"/>
      <c r="F671" s="907"/>
      <c r="G671" s="907"/>
      <c r="H671" s="907"/>
      <c r="I671" s="907"/>
      <c r="J671" s="907"/>
      <c r="K671" s="907"/>
      <c r="L671" s="907"/>
      <c r="M671" s="907"/>
      <c r="N671" s="907"/>
      <c r="O671" s="907"/>
      <c r="P671" s="907"/>
      <c r="Q671" s="907"/>
      <c r="R671" s="907"/>
      <c r="S671" s="907"/>
      <c r="T671" s="907"/>
      <c r="U671" s="907"/>
      <c r="V671" s="907"/>
      <c r="W671" s="907"/>
      <c r="X671" s="907"/>
      <c r="Y671" s="907"/>
      <c r="Z671" s="907"/>
      <c r="AA671" s="907"/>
      <c r="AB671" s="907"/>
      <c r="AC671" s="907"/>
    </row>
    <row r="672" spans="1:29">
      <c r="A672" s="907"/>
      <c r="B672" s="907"/>
      <c r="C672" s="907"/>
      <c r="D672" s="907"/>
      <c r="E672" s="907"/>
      <c r="F672" s="907"/>
      <c r="G672" s="907"/>
      <c r="H672" s="907"/>
      <c r="I672" s="907"/>
      <c r="J672" s="907"/>
      <c r="K672" s="907"/>
      <c r="L672" s="907"/>
      <c r="M672" s="907"/>
      <c r="N672" s="907"/>
      <c r="O672" s="907"/>
      <c r="P672" s="907"/>
      <c r="Q672" s="907"/>
      <c r="R672" s="907"/>
      <c r="S672" s="907"/>
      <c r="T672" s="907"/>
      <c r="U672" s="907"/>
      <c r="V672" s="907"/>
      <c r="W672" s="907"/>
      <c r="X672" s="907"/>
      <c r="Y672" s="907"/>
      <c r="Z672" s="907"/>
      <c r="AA672" s="907"/>
      <c r="AB672" s="907"/>
      <c r="AC672" s="907"/>
    </row>
    <row r="673" spans="1:29">
      <c r="A673" s="907"/>
      <c r="B673" s="907"/>
      <c r="C673" s="907"/>
      <c r="D673" s="907"/>
      <c r="E673" s="907"/>
      <c r="F673" s="907"/>
      <c r="G673" s="907"/>
      <c r="H673" s="907"/>
      <c r="I673" s="907"/>
      <c r="J673" s="907"/>
      <c r="K673" s="907"/>
      <c r="L673" s="907"/>
      <c r="M673" s="907"/>
      <c r="N673" s="907"/>
      <c r="O673" s="907"/>
      <c r="P673" s="907"/>
      <c r="Q673" s="907"/>
      <c r="R673" s="907"/>
      <c r="S673" s="907"/>
      <c r="T673" s="907"/>
      <c r="U673" s="907"/>
      <c r="V673" s="907"/>
      <c r="W673" s="907"/>
      <c r="X673" s="907"/>
      <c r="Y673" s="907"/>
      <c r="Z673" s="907"/>
      <c r="AA673" s="907"/>
      <c r="AB673" s="907"/>
      <c r="AC673" s="907"/>
    </row>
    <row r="674" spans="1:29">
      <c r="A674" s="907"/>
      <c r="B674" s="907"/>
      <c r="C674" s="907"/>
      <c r="D674" s="907"/>
      <c r="E674" s="907"/>
      <c r="F674" s="907"/>
      <c r="G674" s="907"/>
      <c r="H674" s="907"/>
      <c r="I674" s="907"/>
      <c r="J674" s="907"/>
      <c r="K674" s="907"/>
      <c r="L674" s="907"/>
      <c r="M674" s="907"/>
      <c r="N674" s="907"/>
      <c r="O674" s="907"/>
      <c r="P674" s="907"/>
      <c r="Q674" s="907"/>
      <c r="R674" s="907"/>
      <c r="S674" s="907"/>
      <c r="T674" s="907"/>
      <c r="U674" s="907"/>
      <c r="V674" s="907"/>
      <c r="W674" s="907"/>
      <c r="X674" s="907"/>
      <c r="Y674" s="907"/>
      <c r="Z674" s="907"/>
      <c r="AA674" s="907"/>
      <c r="AB674" s="907"/>
      <c r="AC674" s="907"/>
    </row>
    <row r="675" spans="1:29">
      <c r="A675" s="907"/>
      <c r="B675" s="907"/>
      <c r="C675" s="907"/>
      <c r="D675" s="907"/>
      <c r="E675" s="907"/>
      <c r="F675" s="907"/>
      <c r="G675" s="907"/>
      <c r="H675" s="907"/>
      <c r="I675" s="907"/>
      <c r="J675" s="907"/>
      <c r="K675" s="907"/>
      <c r="L675" s="907"/>
      <c r="M675" s="907"/>
      <c r="N675" s="907"/>
      <c r="O675" s="907"/>
      <c r="P675" s="907"/>
      <c r="Q675" s="907"/>
      <c r="R675" s="907"/>
      <c r="S675" s="907"/>
      <c r="T675" s="907"/>
      <c r="U675" s="907"/>
      <c r="V675" s="907"/>
      <c r="W675" s="907"/>
      <c r="X675" s="907"/>
      <c r="Y675" s="907"/>
      <c r="Z675" s="907"/>
      <c r="AA675" s="907"/>
      <c r="AB675" s="907"/>
      <c r="AC675" s="907"/>
    </row>
    <row r="676" spans="1:29">
      <c r="A676" s="907"/>
      <c r="B676" s="907"/>
      <c r="C676" s="907"/>
      <c r="D676" s="907"/>
      <c r="E676" s="907"/>
      <c r="F676" s="907"/>
      <c r="G676" s="907"/>
      <c r="H676" s="907"/>
      <c r="I676" s="907"/>
      <c r="J676" s="907"/>
      <c r="K676" s="907"/>
      <c r="L676" s="907"/>
      <c r="M676" s="907"/>
      <c r="N676" s="907"/>
      <c r="O676" s="907"/>
      <c r="P676" s="907"/>
      <c r="Q676" s="907"/>
      <c r="R676" s="907"/>
      <c r="S676" s="907"/>
      <c r="T676" s="907"/>
      <c r="U676" s="907"/>
      <c r="V676" s="907"/>
      <c r="W676" s="907"/>
      <c r="X676" s="907"/>
      <c r="Y676" s="907"/>
      <c r="Z676" s="907"/>
      <c r="AA676" s="907"/>
      <c r="AB676" s="907"/>
      <c r="AC676" s="907"/>
    </row>
    <row r="677" spans="1:29">
      <c r="A677" s="907"/>
      <c r="B677" s="907"/>
      <c r="C677" s="907"/>
      <c r="D677" s="907"/>
      <c r="E677" s="907"/>
      <c r="F677" s="907"/>
      <c r="G677" s="907"/>
      <c r="H677" s="907"/>
      <c r="I677" s="907"/>
      <c r="J677" s="907"/>
      <c r="K677" s="907"/>
      <c r="L677" s="907"/>
      <c r="M677" s="907"/>
      <c r="N677" s="907"/>
      <c r="O677" s="907"/>
      <c r="P677" s="907"/>
      <c r="Q677" s="907"/>
      <c r="R677" s="907"/>
      <c r="S677" s="907"/>
      <c r="T677" s="907"/>
      <c r="U677" s="907"/>
      <c r="V677" s="907"/>
      <c r="W677" s="907"/>
      <c r="X677" s="907"/>
      <c r="Y677" s="907"/>
      <c r="Z677" s="907"/>
      <c r="AA677" s="907"/>
      <c r="AB677" s="907"/>
      <c r="AC677" s="907"/>
    </row>
    <row r="678" spans="1:29">
      <c r="A678" s="907"/>
      <c r="B678" s="907"/>
      <c r="C678" s="907"/>
      <c r="D678" s="907"/>
      <c r="E678" s="907"/>
      <c r="F678" s="907"/>
      <c r="G678" s="907"/>
      <c r="H678" s="907"/>
      <c r="I678" s="907"/>
      <c r="J678" s="907"/>
      <c r="K678" s="907"/>
      <c r="L678" s="907"/>
      <c r="M678" s="907"/>
      <c r="N678" s="907"/>
      <c r="O678" s="907"/>
      <c r="P678" s="907"/>
      <c r="Q678" s="907"/>
      <c r="R678" s="907"/>
      <c r="S678" s="907"/>
      <c r="T678" s="907"/>
      <c r="U678" s="907"/>
      <c r="V678" s="907"/>
      <c r="W678" s="907"/>
      <c r="X678" s="907"/>
      <c r="Y678" s="907"/>
      <c r="Z678" s="907"/>
      <c r="AA678" s="907"/>
      <c r="AB678" s="907"/>
      <c r="AC678" s="907"/>
    </row>
    <row r="679" spans="1:29">
      <c r="A679" s="907"/>
      <c r="B679" s="907"/>
      <c r="C679" s="907"/>
      <c r="D679" s="907"/>
      <c r="E679" s="907"/>
      <c r="F679" s="907"/>
      <c r="G679" s="907"/>
      <c r="H679" s="907"/>
      <c r="I679" s="907"/>
      <c r="J679" s="907"/>
      <c r="K679" s="907"/>
      <c r="L679" s="907"/>
      <c r="M679" s="907"/>
      <c r="N679" s="907"/>
      <c r="O679" s="907"/>
      <c r="P679" s="907"/>
      <c r="Q679" s="907"/>
      <c r="R679" s="907"/>
      <c r="S679" s="907"/>
      <c r="T679" s="907"/>
      <c r="U679" s="907"/>
      <c r="V679" s="907"/>
      <c r="W679" s="907"/>
      <c r="X679" s="907"/>
      <c r="Y679" s="907"/>
      <c r="Z679" s="907"/>
      <c r="AA679" s="907"/>
      <c r="AB679" s="907"/>
      <c r="AC679" s="907"/>
    </row>
    <row r="680" spans="1:29">
      <c r="A680" s="907"/>
      <c r="B680" s="907"/>
      <c r="C680" s="907"/>
      <c r="D680" s="907"/>
      <c r="E680" s="907"/>
      <c r="F680" s="907"/>
      <c r="G680" s="907"/>
      <c r="H680" s="907"/>
      <c r="I680" s="907"/>
      <c r="J680" s="907"/>
      <c r="K680" s="907"/>
      <c r="L680" s="907"/>
      <c r="M680" s="907"/>
      <c r="N680" s="907"/>
      <c r="O680" s="907"/>
      <c r="P680" s="907"/>
      <c r="Q680" s="907"/>
      <c r="R680" s="907"/>
      <c r="S680" s="907"/>
      <c r="T680" s="907"/>
      <c r="U680" s="907"/>
      <c r="V680" s="907"/>
      <c r="W680" s="907"/>
      <c r="X680" s="907"/>
      <c r="Y680" s="907"/>
      <c r="Z680" s="907"/>
      <c r="AA680" s="907"/>
      <c r="AB680" s="907"/>
      <c r="AC680" s="907"/>
    </row>
    <row r="681" spans="1:29">
      <c r="A681" s="907"/>
      <c r="B681" s="907"/>
      <c r="C681" s="907"/>
      <c r="D681" s="907"/>
      <c r="E681" s="907"/>
      <c r="F681" s="907"/>
      <c r="G681" s="907"/>
      <c r="H681" s="907"/>
      <c r="I681" s="907"/>
      <c r="J681" s="907"/>
      <c r="K681" s="907"/>
      <c r="L681" s="907"/>
      <c r="M681" s="907"/>
      <c r="N681" s="907"/>
      <c r="O681" s="907"/>
      <c r="P681" s="907"/>
      <c r="Q681" s="907"/>
      <c r="R681" s="907"/>
      <c r="S681" s="907"/>
      <c r="T681" s="907"/>
      <c r="U681" s="907"/>
      <c r="V681" s="907"/>
      <c r="W681" s="907"/>
      <c r="X681" s="907"/>
      <c r="Y681" s="907"/>
      <c r="Z681" s="907"/>
      <c r="AA681" s="907"/>
      <c r="AB681" s="907"/>
      <c r="AC681" s="907"/>
    </row>
    <row r="682" spans="1:29">
      <c r="A682" s="907"/>
      <c r="B682" s="907"/>
      <c r="C682" s="907"/>
      <c r="D682" s="907"/>
      <c r="E682" s="907"/>
      <c r="F682" s="907"/>
      <c r="G682" s="907"/>
      <c r="H682" s="907"/>
      <c r="I682" s="907"/>
      <c r="J682" s="907"/>
      <c r="K682" s="907"/>
      <c r="L682" s="907"/>
      <c r="M682" s="907"/>
      <c r="N682" s="907"/>
      <c r="O682" s="907"/>
      <c r="P682" s="907"/>
      <c r="Q682" s="907"/>
      <c r="R682" s="907"/>
      <c r="S682" s="907"/>
      <c r="T682" s="907"/>
      <c r="U682" s="907"/>
      <c r="V682" s="907"/>
      <c r="W682" s="907"/>
      <c r="X682" s="907"/>
      <c r="Y682" s="907"/>
      <c r="Z682" s="907"/>
      <c r="AA682" s="907"/>
      <c r="AB682" s="907"/>
      <c r="AC682" s="907"/>
    </row>
    <row r="683" spans="1:29">
      <c r="A683" s="907"/>
      <c r="B683" s="907"/>
      <c r="C683" s="907"/>
      <c r="D683" s="907"/>
      <c r="E683" s="907"/>
      <c r="F683" s="907"/>
      <c r="G683" s="907"/>
      <c r="H683" s="907"/>
      <c r="I683" s="907"/>
      <c r="J683" s="907"/>
      <c r="K683" s="907"/>
      <c r="L683" s="907"/>
      <c r="M683" s="907"/>
      <c r="N683" s="907"/>
      <c r="O683" s="907"/>
      <c r="P683" s="907"/>
      <c r="Q683" s="907"/>
      <c r="R683" s="907"/>
      <c r="S683" s="907"/>
      <c r="T683" s="907"/>
      <c r="U683" s="907"/>
      <c r="V683" s="907"/>
      <c r="W683" s="907"/>
      <c r="X683" s="907"/>
      <c r="Y683" s="907"/>
      <c r="Z683" s="907"/>
      <c r="AA683" s="907"/>
      <c r="AB683" s="907"/>
      <c r="AC683" s="907"/>
    </row>
    <row r="684" spans="1:29">
      <c r="A684" s="907"/>
      <c r="B684" s="907"/>
      <c r="C684" s="907"/>
      <c r="D684" s="907"/>
      <c r="E684" s="907"/>
      <c r="F684" s="907"/>
      <c r="G684" s="907"/>
      <c r="H684" s="907"/>
      <c r="I684" s="907"/>
      <c r="J684" s="907"/>
      <c r="K684" s="907"/>
      <c r="L684" s="907"/>
      <c r="M684" s="907"/>
      <c r="N684" s="907"/>
      <c r="O684" s="907"/>
      <c r="P684" s="907"/>
      <c r="Q684" s="907"/>
      <c r="R684" s="907"/>
      <c r="S684" s="907"/>
      <c r="T684" s="907"/>
      <c r="U684" s="907"/>
      <c r="V684" s="907"/>
      <c r="W684" s="907"/>
      <c r="X684" s="907"/>
      <c r="Y684" s="907"/>
      <c r="Z684" s="907"/>
      <c r="AA684" s="907"/>
      <c r="AB684" s="907"/>
      <c r="AC684" s="907"/>
    </row>
    <row r="685" spans="1:29">
      <c r="A685" s="907"/>
      <c r="B685" s="907"/>
      <c r="C685" s="907"/>
      <c r="D685" s="907"/>
      <c r="E685" s="907"/>
      <c r="F685" s="907"/>
      <c r="G685" s="907"/>
      <c r="H685" s="907"/>
      <c r="I685" s="907"/>
      <c r="J685" s="907"/>
      <c r="K685" s="907"/>
      <c r="L685" s="907"/>
      <c r="M685" s="907"/>
      <c r="N685" s="907"/>
      <c r="O685" s="907"/>
      <c r="P685" s="907"/>
      <c r="Q685" s="907"/>
      <c r="R685" s="907"/>
      <c r="S685" s="907"/>
      <c r="T685" s="907"/>
      <c r="U685" s="907"/>
      <c r="V685" s="907"/>
      <c r="W685" s="907"/>
      <c r="X685" s="907"/>
      <c r="Y685" s="907"/>
      <c r="Z685" s="907"/>
      <c r="AA685" s="907"/>
      <c r="AB685" s="907"/>
      <c r="AC685" s="907"/>
    </row>
    <row r="686" spans="1:29">
      <c r="A686" s="907"/>
      <c r="B686" s="907"/>
      <c r="C686" s="907"/>
      <c r="D686" s="907"/>
      <c r="E686" s="907"/>
      <c r="F686" s="907"/>
      <c r="G686" s="907"/>
      <c r="H686" s="907"/>
      <c r="I686" s="907"/>
      <c r="J686" s="907"/>
      <c r="K686" s="907"/>
      <c r="L686" s="907"/>
      <c r="M686" s="907"/>
      <c r="N686" s="907"/>
      <c r="O686" s="907"/>
      <c r="P686" s="907"/>
      <c r="Q686" s="907"/>
      <c r="R686" s="907"/>
      <c r="S686" s="907"/>
      <c r="T686" s="907"/>
      <c r="U686" s="907"/>
      <c r="V686" s="907"/>
      <c r="W686" s="907"/>
      <c r="X686" s="907"/>
      <c r="Y686" s="907"/>
      <c r="Z686" s="907"/>
      <c r="AA686" s="907"/>
      <c r="AB686" s="907"/>
      <c r="AC686" s="907"/>
    </row>
    <row r="687" spans="1:29">
      <c r="A687" s="907"/>
      <c r="B687" s="907"/>
      <c r="C687" s="907"/>
      <c r="D687" s="907"/>
      <c r="E687" s="907"/>
      <c r="F687" s="907"/>
      <c r="G687" s="907"/>
      <c r="H687" s="907"/>
      <c r="I687" s="907"/>
      <c r="J687" s="907"/>
      <c r="K687" s="907"/>
      <c r="L687" s="907"/>
      <c r="M687" s="907"/>
      <c r="N687" s="907"/>
      <c r="O687" s="907"/>
      <c r="P687" s="907"/>
      <c r="Q687" s="907"/>
      <c r="R687" s="907"/>
      <c r="S687" s="907"/>
      <c r="T687" s="907"/>
      <c r="U687" s="907"/>
      <c r="V687" s="907"/>
      <c r="W687" s="907"/>
      <c r="X687" s="907"/>
      <c r="Y687" s="907"/>
      <c r="Z687" s="907"/>
      <c r="AA687" s="907"/>
      <c r="AB687" s="907"/>
      <c r="AC687" s="907"/>
    </row>
    <row r="688" spans="1:29">
      <c r="A688" s="907"/>
      <c r="B688" s="907"/>
      <c r="C688" s="907"/>
      <c r="D688" s="907"/>
      <c r="E688" s="907"/>
      <c r="F688" s="907"/>
      <c r="G688" s="907"/>
      <c r="H688" s="907"/>
      <c r="I688" s="907"/>
      <c r="J688" s="907"/>
      <c r="K688" s="907"/>
      <c r="L688" s="907"/>
      <c r="M688" s="907"/>
      <c r="N688" s="907"/>
      <c r="O688" s="907"/>
      <c r="P688" s="907"/>
      <c r="Q688" s="907"/>
      <c r="R688" s="907"/>
      <c r="S688" s="907"/>
      <c r="T688" s="907"/>
      <c r="U688" s="907"/>
      <c r="V688" s="907"/>
      <c r="W688" s="907"/>
      <c r="X688" s="907"/>
      <c r="Y688" s="907"/>
      <c r="Z688" s="907"/>
      <c r="AA688" s="907"/>
      <c r="AB688" s="907"/>
      <c r="AC688" s="907"/>
    </row>
    <row r="689" spans="1:29">
      <c r="A689" s="907"/>
      <c r="B689" s="907"/>
      <c r="C689" s="907"/>
      <c r="D689" s="907"/>
      <c r="E689" s="907"/>
      <c r="F689" s="907"/>
      <c r="G689" s="907"/>
      <c r="H689" s="907"/>
      <c r="I689" s="907"/>
      <c r="J689" s="907"/>
      <c r="K689" s="907"/>
      <c r="L689" s="907"/>
      <c r="M689" s="907"/>
      <c r="N689" s="907"/>
      <c r="O689" s="907"/>
      <c r="P689" s="907"/>
      <c r="Q689" s="907"/>
      <c r="R689" s="907"/>
      <c r="S689" s="907"/>
      <c r="T689" s="907"/>
      <c r="U689" s="907"/>
      <c r="V689" s="907"/>
      <c r="W689" s="907"/>
      <c r="X689" s="907"/>
      <c r="Y689" s="907"/>
      <c r="Z689" s="907"/>
      <c r="AA689" s="907"/>
      <c r="AB689" s="907"/>
      <c r="AC689" s="907"/>
    </row>
    <row r="690" spans="1:29">
      <c r="A690" s="907"/>
      <c r="B690" s="907"/>
      <c r="C690" s="907"/>
      <c r="D690" s="907"/>
      <c r="E690" s="907"/>
      <c r="F690" s="907"/>
      <c r="G690" s="907"/>
      <c r="H690" s="907"/>
      <c r="I690" s="907"/>
      <c r="J690" s="907"/>
      <c r="K690" s="907"/>
      <c r="L690" s="907"/>
      <c r="M690" s="907"/>
      <c r="N690" s="907"/>
      <c r="O690" s="907"/>
      <c r="P690" s="907"/>
      <c r="Q690" s="907"/>
      <c r="R690" s="907"/>
      <c r="S690" s="907"/>
      <c r="T690" s="907"/>
      <c r="U690" s="907"/>
      <c r="V690" s="907"/>
      <c r="W690" s="907"/>
      <c r="X690" s="907"/>
      <c r="Y690" s="907"/>
      <c r="Z690" s="907"/>
      <c r="AA690" s="907"/>
      <c r="AB690" s="907"/>
      <c r="AC690" s="907"/>
    </row>
    <row r="691" spans="1:29">
      <c r="A691" s="907"/>
      <c r="B691" s="907"/>
      <c r="C691" s="907"/>
      <c r="D691" s="907"/>
      <c r="E691" s="907"/>
      <c r="F691" s="907"/>
      <c r="G691" s="907"/>
      <c r="H691" s="907"/>
      <c r="I691" s="907"/>
      <c r="J691" s="907"/>
      <c r="K691" s="907"/>
      <c r="L691" s="907"/>
      <c r="M691" s="907"/>
      <c r="N691" s="907"/>
      <c r="O691" s="907"/>
      <c r="P691" s="907"/>
      <c r="Q691" s="907"/>
      <c r="R691" s="907"/>
      <c r="S691" s="907"/>
      <c r="T691" s="907"/>
      <c r="U691" s="907"/>
      <c r="V691" s="907"/>
      <c r="W691" s="907"/>
      <c r="X691" s="907"/>
      <c r="Y691" s="907"/>
      <c r="Z691" s="907"/>
      <c r="AA691" s="907"/>
      <c r="AB691" s="907"/>
      <c r="AC691" s="907"/>
    </row>
    <row r="692" spans="1:29">
      <c r="A692" s="907"/>
      <c r="B692" s="907"/>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c r="AB692" s="907"/>
      <c r="AC692" s="907"/>
    </row>
    <row r="693" spans="1:29">
      <c r="A693" s="907"/>
      <c r="B693" s="907"/>
      <c r="C693" s="907"/>
      <c r="D693" s="907"/>
      <c r="E693" s="907"/>
      <c r="F693" s="907"/>
      <c r="G693" s="907"/>
      <c r="H693" s="907"/>
      <c r="I693" s="907"/>
      <c r="J693" s="907"/>
      <c r="K693" s="907"/>
      <c r="L693" s="907"/>
      <c r="M693" s="907"/>
      <c r="N693" s="907"/>
      <c r="O693" s="907"/>
      <c r="P693" s="907"/>
      <c r="Q693" s="907"/>
      <c r="R693" s="907"/>
      <c r="S693" s="907"/>
      <c r="T693" s="907"/>
      <c r="U693" s="907"/>
      <c r="V693" s="907"/>
      <c r="W693" s="907"/>
      <c r="X693" s="907"/>
      <c r="Y693" s="907"/>
      <c r="Z693" s="907"/>
      <c r="AA693" s="907"/>
      <c r="AB693" s="907"/>
      <c r="AC693" s="907"/>
    </row>
    <row r="694" spans="1:29">
      <c r="A694" s="907"/>
      <c r="B694" s="907"/>
      <c r="C694" s="907"/>
      <c r="D694" s="907"/>
      <c r="E694" s="907"/>
      <c r="F694" s="907"/>
      <c r="G694" s="907"/>
      <c r="H694" s="907"/>
      <c r="I694" s="907"/>
      <c r="J694" s="907"/>
      <c r="K694" s="907"/>
      <c r="L694" s="907"/>
      <c r="M694" s="907"/>
      <c r="N694" s="907"/>
      <c r="O694" s="907"/>
      <c r="P694" s="907"/>
      <c r="Q694" s="907"/>
      <c r="R694" s="907"/>
      <c r="S694" s="907"/>
      <c r="T694" s="907"/>
      <c r="U694" s="907"/>
      <c r="V694" s="907"/>
      <c r="W694" s="907"/>
      <c r="X694" s="907"/>
      <c r="Y694" s="907"/>
      <c r="Z694" s="907"/>
      <c r="AA694" s="907"/>
      <c r="AB694" s="907"/>
      <c r="AC694" s="907"/>
    </row>
    <row r="695" spans="1:29">
      <c r="A695" s="907"/>
      <c r="B695" s="907"/>
      <c r="C695" s="907"/>
      <c r="D695" s="907"/>
      <c r="E695" s="907"/>
      <c r="F695" s="907"/>
      <c r="G695" s="907"/>
      <c r="H695" s="907"/>
      <c r="I695" s="907"/>
      <c r="J695" s="907"/>
      <c r="K695" s="907"/>
      <c r="L695" s="907"/>
      <c r="M695" s="907"/>
      <c r="N695" s="907"/>
      <c r="O695" s="907"/>
      <c r="P695" s="907"/>
      <c r="Q695" s="907"/>
      <c r="R695" s="907"/>
      <c r="S695" s="907"/>
      <c r="T695" s="907"/>
      <c r="U695" s="907"/>
      <c r="V695" s="907"/>
      <c r="W695" s="907"/>
      <c r="X695" s="907"/>
      <c r="Y695" s="907"/>
      <c r="Z695" s="907"/>
      <c r="AA695" s="907"/>
      <c r="AB695" s="907"/>
      <c r="AC695" s="907"/>
    </row>
    <row r="696" spans="1:29">
      <c r="A696" s="907"/>
      <c r="B696" s="907"/>
      <c r="C696" s="907"/>
      <c r="D696" s="907"/>
      <c r="E696" s="907"/>
      <c r="F696" s="907"/>
      <c r="G696" s="907"/>
      <c r="H696" s="907"/>
      <c r="I696" s="907"/>
      <c r="J696" s="907"/>
      <c r="K696" s="907"/>
      <c r="L696" s="907"/>
      <c r="M696" s="907"/>
      <c r="N696" s="907"/>
      <c r="O696" s="907"/>
      <c r="P696" s="907"/>
      <c r="Q696" s="907"/>
      <c r="R696" s="907"/>
      <c r="S696" s="907"/>
      <c r="T696" s="907"/>
      <c r="U696" s="907"/>
      <c r="V696" s="907"/>
      <c r="W696" s="907"/>
      <c r="X696" s="907"/>
      <c r="Y696" s="907"/>
      <c r="Z696" s="907"/>
      <c r="AA696" s="907"/>
      <c r="AB696" s="907"/>
      <c r="AC696" s="907"/>
    </row>
    <row r="697" spans="1:29">
      <c r="A697" s="907"/>
      <c r="B697" s="907"/>
      <c r="C697" s="907"/>
      <c r="D697" s="907"/>
      <c r="E697" s="907"/>
      <c r="F697" s="907"/>
      <c r="G697" s="907"/>
      <c r="H697" s="907"/>
      <c r="I697" s="907"/>
      <c r="J697" s="907"/>
      <c r="K697" s="907"/>
      <c r="L697" s="907"/>
      <c r="M697" s="907"/>
      <c r="N697" s="907"/>
      <c r="O697" s="907"/>
      <c r="P697" s="907"/>
      <c r="Q697" s="907"/>
      <c r="R697" s="907"/>
      <c r="S697" s="907"/>
      <c r="T697" s="907"/>
      <c r="U697" s="907"/>
      <c r="V697" s="907"/>
      <c r="W697" s="907"/>
      <c r="X697" s="907"/>
      <c r="Y697" s="907"/>
      <c r="Z697" s="907"/>
      <c r="AA697" s="907"/>
      <c r="AB697" s="907"/>
      <c r="AC697" s="907"/>
    </row>
    <row r="698" spans="1:29">
      <c r="A698" s="907"/>
      <c r="B698" s="907"/>
      <c r="C698" s="907"/>
      <c r="D698" s="907"/>
      <c r="E698" s="907"/>
      <c r="F698" s="907"/>
      <c r="G698" s="907"/>
      <c r="H698" s="907"/>
      <c r="I698" s="907"/>
      <c r="J698" s="907"/>
      <c r="K698" s="907"/>
      <c r="L698" s="907"/>
      <c r="M698" s="907"/>
      <c r="N698" s="907"/>
      <c r="O698" s="907"/>
      <c r="P698" s="907"/>
      <c r="Q698" s="907"/>
      <c r="R698" s="907"/>
      <c r="S698" s="907"/>
      <c r="T698" s="907"/>
      <c r="U698" s="907"/>
      <c r="V698" s="907"/>
      <c r="W698" s="907"/>
      <c r="X698" s="907"/>
      <c r="Y698" s="907"/>
      <c r="Z698" s="907"/>
      <c r="AA698" s="907"/>
      <c r="AB698" s="907"/>
      <c r="AC698" s="907"/>
    </row>
    <row r="699" spans="1:29">
      <c r="A699" s="907"/>
      <c r="B699" s="907"/>
      <c r="C699" s="907"/>
      <c r="D699" s="907"/>
      <c r="E699" s="907"/>
      <c r="F699" s="907"/>
      <c r="G699" s="907"/>
      <c r="H699" s="907"/>
      <c r="I699" s="907"/>
      <c r="J699" s="907"/>
      <c r="K699" s="907"/>
      <c r="L699" s="907"/>
      <c r="M699" s="907"/>
      <c r="N699" s="907"/>
      <c r="O699" s="907"/>
      <c r="P699" s="907"/>
      <c r="Q699" s="907"/>
      <c r="R699" s="907"/>
      <c r="S699" s="907"/>
      <c r="T699" s="907"/>
      <c r="U699" s="907"/>
      <c r="V699" s="907"/>
      <c r="W699" s="907"/>
      <c r="X699" s="907"/>
      <c r="Y699" s="907"/>
      <c r="Z699" s="907"/>
      <c r="AA699" s="907"/>
      <c r="AB699" s="907"/>
      <c r="AC699" s="907"/>
    </row>
    <row r="700" spans="1:29">
      <c r="A700" s="907"/>
      <c r="B700" s="907"/>
      <c r="C700" s="907"/>
      <c r="D700" s="907"/>
      <c r="E700" s="907"/>
      <c r="F700" s="907"/>
      <c r="G700" s="907"/>
      <c r="H700" s="907"/>
      <c r="I700" s="907"/>
      <c r="J700" s="907"/>
      <c r="K700" s="907"/>
      <c r="L700" s="907"/>
      <c r="M700" s="907"/>
      <c r="N700" s="907"/>
      <c r="O700" s="907"/>
      <c r="P700" s="907"/>
      <c r="Q700" s="907"/>
      <c r="R700" s="907"/>
      <c r="S700" s="907"/>
      <c r="T700" s="907"/>
      <c r="U700" s="907"/>
      <c r="V700" s="907"/>
      <c r="W700" s="907"/>
      <c r="X700" s="907"/>
      <c r="Y700" s="907"/>
      <c r="Z700" s="907"/>
      <c r="AA700" s="907"/>
      <c r="AB700" s="907"/>
      <c r="AC700" s="907"/>
    </row>
    <row r="701" spans="1:29">
      <c r="A701" s="907"/>
      <c r="B701" s="907"/>
      <c r="C701" s="907"/>
      <c r="D701" s="907"/>
      <c r="E701" s="907"/>
      <c r="F701" s="907"/>
      <c r="G701" s="907"/>
      <c r="H701" s="907"/>
      <c r="I701" s="907"/>
      <c r="J701" s="907"/>
      <c r="K701" s="907"/>
      <c r="L701" s="907"/>
      <c r="M701" s="907"/>
      <c r="N701" s="907"/>
      <c r="O701" s="907"/>
      <c r="P701" s="907"/>
      <c r="Q701" s="907"/>
      <c r="R701" s="907"/>
      <c r="S701" s="907"/>
      <c r="T701" s="907"/>
      <c r="U701" s="907"/>
      <c r="V701" s="907"/>
      <c r="W701" s="907"/>
      <c r="X701" s="907"/>
      <c r="Y701" s="907"/>
      <c r="Z701" s="907"/>
      <c r="AA701" s="907"/>
      <c r="AB701" s="907"/>
      <c r="AC701" s="907"/>
    </row>
    <row r="702" spans="1:29">
      <c r="A702" s="907"/>
      <c r="B702" s="907"/>
      <c r="C702" s="907"/>
      <c r="D702" s="907"/>
      <c r="E702" s="907"/>
      <c r="F702" s="907"/>
      <c r="G702" s="907"/>
      <c r="H702" s="907"/>
      <c r="I702" s="907"/>
      <c r="J702" s="907"/>
      <c r="K702" s="907"/>
      <c r="L702" s="907"/>
      <c r="M702" s="907"/>
      <c r="N702" s="907"/>
      <c r="O702" s="907"/>
      <c r="P702" s="907"/>
      <c r="Q702" s="907"/>
      <c r="R702" s="907"/>
      <c r="S702" s="907"/>
      <c r="T702" s="907"/>
      <c r="U702" s="907"/>
      <c r="V702" s="907"/>
      <c r="W702" s="907"/>
      <c r="X702" s="907"/>
      <c r="Y702" s="907"/>
      <c r="Z702" s="907"/>
      <c r="AA702" s="907"/>
      <c r="AB702" s="907"/>
      <c r="AC702" s="907"/>
    </row>
    <row r="703" spans="1:29">
      <c r="A703" s="907"/>
      <c r="B703" s="907"/>
      <c r="C703" s="907"/>
      <c r="D703" s="907"/>
      <c r="E703" s="907"/>
      <c r="F703" s="907"/>
      <c r="G703" s="907"/>
      <c r="H703" s="907"/>
      <c r="I703" s="907"/>
      <c r="J703" s="907"/>
      <c r="K703" s="907"/>
      <c r="L703" s="907"/>
      <c r="M703" s="907"/>
      <c r="N703" s="907"/>
      <c r="O703" s="907"/>
      <c r="P703" s="907"/>
      <c r="Q703" s="907"/>
      <c r="R703" s="907"/>
      <c r="S703" s="907"/>
      <c r="T703" s="907"/>
      <c r="U703" s="907"/>
      <c r="V703" s="907"/>
      <c r="W703" s="907"/>
      <c r="X703" s="907"/>
      <c r="Y703" s="907"/>
      <c r="Z703" s="907"/>
      <c r="AA703" s="907"/>
      <c r="AB703" s="907"/>
      <c r="AC703" s="907"/>
    </row>
    <row r="704" spans="1:29">
      <c r="A704" s="907"/>
      <c r="B704" s="907"/>
      <c r="C704" s="907"/>
      <c r="D704" s="907"/>
      <c r="E704" s="907"/>
      <c r="F704" s="907"/>
      <c r="G704" s="907"/>
      <c r="H704" s="907"/>
      <c r="I704" s="907"/>
      <c r="J704" s="907"/>
      <c r="K704" s="907"/>
      <c r="L704" s="907"/>
      <c r="M704" s="907"/>
      <c r="N704" s="907"/>
      <c r="O704" s="907"/>
      <c r="P704" s="907"/>
      <c r="Q704" s="907"/>
      <c r="R704" s="907"/>
      <c r="S704" s="907"/>
      <c r="T704" s="907"/>
      <c r="U704" s="907"/>
      <c r="V704" s="907"/>
      <c r="W704" s="907"/>
      <c r="X704" s="907"/>
      <c r="Y704" s="907"/>
      <c r="Z704" s="907"/>
      <c r="AA704" s="907"/>
      <c r="AB704" s="907"/>
      <c r="AC704" s="907"/>
    </row>
    <row r="705" spans="1:29">
      <c r="A705" s="907"/>
      <c r="B705" s="907"/>
      <c r="C705" s="907"/>
      <c r="D705" s="907"/>
      <c r="E705" s="907"/>
      <c r="F705" s="907"/>
      <c r="G705" s="907"/>
      <c r="H705" s="907"/>
      <c r="I705" s="907"/>
      <c r="J705" s="907"/>
      <c r="K705" s="907"/>
      <c r="L705" s="907"/>
      <c r="M705" s="907"/>
      <c r="N705" s="907"/>
      <c r="O705" s="907"/>
      <c r="P705" s="907"/>
      <c r="Q705" s="907"/>
      <c r="R705" s="907"/>
      <c r="S705" s="907"/>
      <c r="T705" s="907"/>
      <c r="U705" s="907"/>
      <c r="V705" s="907"/>
      <c r="W705" s="907"/>
      <c r="X705" s="907"/>
      <c r="Y705" s="907"/>
      <c r="Z705" s="907"/>
      <c r="AA705" s="907"/>
      <c r="AB705" s="907"/>
      <c r="AC705" s="907"/>
    </row>
    <row r="706" spans="1:29">
      <c r="A706" s="907"/>
      <c r="B706" s="907"/>
      <c r="C706" s="907"/>
      <c r="D706" s="907"/>
      <c r="E706" s="907"/>
      <c r="F706" s="907"/>
      <c r="G706" s="907"/>
      <c r="H706" s="907"/>
      <c r="I706" s="907"/>
      <c r="J706" s="907"/>
      <c r="K706" s="907"/>
      <c r="L706" s="907"/>
      <c r="M706" s="907"/>
      <c r="N706" s="907"/>
      <c r="O706" s="907"/>
      <c r="P706" s="907"/>
      <c r="Q706" s="907"/>
      <c r="R706" s="907"/>
      <c r="S706" s="907"/>
      <c r="T706" s="907"/>
      <c r="U706" s="907"/>
      <c r="V706" s="907"/>
      <c r="W706" s="907"/>
      <c r="X706" s="907"/>
      <c r="Y706" s="907"/>
      <c r="Z706" s="907"/>
      <c r="AA706" s="907"/>
      <c r="AB706" s="907"/>
      <c r="AC706" s="907"/>
    </row>
    <row r="707" spans="1:29">
      <c r="A707" s="907"/>
      <c r="B707" s="907"/>
      <c r="C707" s="907"/>
      <c r="D707" s="907"/>
      <c r="E707" s="907"/>
      <c r="F707" s="907"/>
      <c r="G707" s="907"/>
      <c r="H707" s="907"/>
      <c r="I707" s="907"/>
      <c r="J707" s="907"/>
      <c r="K707" s="907"/>
      <c r="L707" s="907"/>
      <c r="M707" s="907"/>
      <c r="N707" s="907"/>
      <c r="O707" s="907"/>
      <c r="P707" s="907"/>
      <c r="Q707" s="907"/>
      <c r="R707" s="907"/>
      <c r="S707" s="907"/>
      <c r="T707" s="907"/>
      <c r="U707" s="907"/>
      <c r="V707" s="907"/>
      <c r="W707" s="907"/>
      <c r="X707" s="907"/>
      <c r="Y707" s="907"/>
      <c r="Z707" s="907"/>
      <c r="AA707" s="907"/>
      <c r="AB707" s="907"/>
      <c r="AC707" s="907"/>
    </row>
    <row r="708" spans="1:29">
      <c r="A708" s="907"/>
      <c r="B708" s="907"/>
      <c r="C708" s="907"/>
      <c r="D708" s="907"/>
      <c r="E708" s="907"/>
      <c r="F708" s="907"/>
      <c r="G708" s="907"/>
      <c r="H708" s="907"/>
      <c r="I708" s="907"/>
      <c r="J708" s="907"/>
      <c r="K708" s="907"/>
      <c r="L708" s="907"/>
      <c r="M708" s="907"/>
      <c r="N708" s="907"/>
      <c r="O708" s="907"/>
      <c r="P708" s="907"/>
      <c r="Q708" s="907"/>
      <c r="R708" s="907"/>
      <c r="S708" s="907"/>
      <c r="T708" s="907"/>
      <c r="U708" s="907"/>
      <c r="V708" s="907"/>
      <c r="W708" s="907"/>
      <c r="X708" s="907"/>
      <c r="Y708" s="907"/>
      <c r="Z708" s="907"/>
      <c r="AA708" s="907"/>
      <c r="AB708" s="907"/>
      <c r="AC708" s="907"/>
    </row>
    <row r="709" spans="1:29">
      <c r="A709" s="907"/>
      <c r="B709" s="907"/>
      <c r="C709" s="907"/>
      <c r="D709" s="907"/>
      <c r="E709" s="907"/>
      <c r="F709" s="907"/>
      <c r="G709" s="907"/>
      <c r="H709" s="907"/>
      <c r="I709" s="907"/>
      <c r="J709" s="907"/>
      <c r="K709" s="907"/>
      <c r="L709" s="907"/>
      <c r="M709" s="907"/>
      <c r="N709" s="907"/>
      <c r="O709" s="907"/>
      <c r="P709" s="907"/>
      <c r="Q709" s="907"/>
      <c r="R709" s="907"/>
      <c r="S709" s="907"/>
      <c r="T709" s="907"/>
      <c r="U709" s="907"/>
      <c r="V709" s="907"/>
      <c r="W709" s="907"/>
      <c r="X709" s="907"/>
      <c r="Y709" s="907"/>
      <c r="Z709" s="907"/>
      <c r="AA709" s="907"/>
      <c r="AB709" s="907"/>
      <c r="AC709" s="907"/>
    </row>
    <row r="710" spans="1:29">
      <c r="A710" s="907"/>
      <c r="B710" s="907"/>
      <c r="C710" s="907"/>
      <c r="D710" s="907"/>
      <c r="E710" s="907"/>
      <c r="F710" s="907"/>
      <c r="G710" s="907"/>
      <c r="H710" s="907"/>
      <c r="I710" s="907"/>
      <c r="J710" s="907"/>
      <c r="K710" s="907"/>
      <c r="L710" s="907"/>
      <c r="M710" s="907"/>
      <c r="N710" s="907"/>
      <c r="O710" s="907"/>
      <c r="P710" s="907"/>
      <c r="Q710" s="907"/>
      <c r="R710" s="907"/>
      <c r="S710" s="907"/>
      <c r="T710" s="907"/>
      <c r="U710" s="907"/>
      <c r="V710" s="907"/>
      <c r="W710" s="907"/>
      <c r="X710" s="907"/>
      <c r="Y710" s="907"/>
      <c r="Z710" s="907"/>
      <c r="AA710" s="907"/>
      <c r="AB710" s="907"/>
      <c r="AC710" s="907"/>
    </row>
    <row r="711" spans="1:29">
      <c r="A711" s="907"/>
      <c r="B711" s="907"/>
      <c r="C711" s="907"/>
      <c r="D711" s="907"/>
      <c r="E711" s="907"/>
      <c r="F711" s="907"/>
      <c r="G711" s="907"/>
      <c r="H711" s="907"/>
      <c r="I711" s="907"/>
      <c r="J711" s="907"/>
      <c r="K711" s="907"/>
      <c r="L711" s="907"/>
      <c r="M711" s="907"/>
      <c r="N711" s="907"/>
      <c r="O711" s="907"/>
      <c r="P711" s="907"/>
      <c r="Q711" s="907"/>
      <c r="R711" s="907"/>
      <c r="S711" s="907"/>
      <c r="T711" s="907"/>
      <c r="U711" s="907"/>
      <c r="V711" s="907"/>
      <c r="W711" s="907"/>
      <c r="X711" s="907"/>
      <c r="Y711" s="907"/>
      <c r="Z711" s="907"/>
      <c r="AA711" s="907"/>
      <c r="AB711" s="907"/>
      <c r="AC711" s="907"/>
    </row>
    <row r="712" spans="1:29">
      <c r="A712" s="907"/>
      <c r="B712" s="907"/>
      <c r="C712" s="907"/>
      <c r="D712" s="907"/>
      <c r="E712" s="907"/>
      <c r="F712" s="907"/>
      <c r="G712" s="907"/>
      <c r="H712" s="907"/>
      <c r="I712" s="907"/>
      <c r="J712" s="907"/>
      <c r="K712" s="907"/>
      <c r="L712" s="907"/>
      <c r="M712" s="907"/>
      <c r="N712" s="907"/>
      <c r="O712" s="907"/>
      <c r="P712" s="907"/>
      <c r="Q712" s="907"/>
      <c r="R712" s="907"/>
      <c r="S712" s="907"/>
      <c r="T712" s="907"/>
      <c r="U712" s="907"/>
      <c r="V712" s="907"/>
      <c r="W712" s="907"/>
      <c r="X712" s="907"/>
      <c r="Y712" s="907"/>
      <c r="Z712" s="907"/>
      <c r="AA712" s="907"/>
      <c r="AB712" s="907"/>
      <c r="AC712" s="907"/>
    </row>
    <row r="713" spans="1:29">
      <c r="A713" s="907"/>
      <c r="B713" s="907"/>
      <c r="C713" s="907"/>
      <c r="D713" s="907"/>
      <c r="E713" s="907"/>
      <c r="F713" s="907"/>
      <c r="G713" s="907"/>
      <c r="H713" s="907"/>
      <c r="I713" s="907"/>
      <c r="J713" s="907"/>
      <c r="K713" s="907"/>
      <c r="L713" s="907"/>
      <c r="M713" s="907"/>
      <c r="N713" s="907"/>
      <c r="O713" s="907"/>
      <c r="P713" s="907"/>
      <c r="Q713" s="907"/>
      <c r="R713" s="907"/>
      <c r="S713" s="907"/>
      <c r="T713" s="907"/>
      <c r="U713" s="907"/>
      <c r="V713" s="907"/>
      <c r="W713" s="907"/>
      <c r="X713" s="907"/>
      <c r="Y713" s="907"/>
      <c r="Z713" s="907"/>
      <c r="AA713" s="907"/>
      <c r="AB713" s="907"/>
      <c r="AC713" s="907"/>
    </row>
    <row r="714" spans="1:29">
      <c r="A714" s="907"/>
      <c r="B714" s="907"/>
      <c r="C714" s="907"/>
      <c r="D714" s="907"/>
      <c r="E714" s="907"/>
      <c r="F714" s="907"/>
      <c r="G714" s="907"/>
      <c r="H714" s="907"/>
      <c r="I714" s="907"/>
      <c r="J714" s="907"/>
      <c r="K714" s="907"/>
      <c r="L714" s="907"/>
      <c r="M714" s="907"/>
      <c r="N714" s="907"/>
      <c r="O714" s="907"/>
      <c r="P714" s="907"/>
      <c r="Q714" s="907"/>
      <c r="R714" s="907"/>
      <c r="S714" s="907"/>
      <c r="T714" s="907"/>
      <c r="U714" s="907"/>
      <c r="V714" s="907"/>
      <c r="W714" s="907"/>
      <c r="X714" s="907"/>
      <c r="Y714" s="907"/>
      <c r="Z714" s="907"/>
      <c r="AA714" s="907"/>
      <c r="AB714" s="907"/>
      <c r="AC714" s="907"/>
    </row>
    <row r="715" spans="1:29">
      <c r="A715" s="907"/>
      <c r="B715" s="907"/>
      <c r="C715" s="907"/>
      <c r="D715" s="907"/>
      <c r="E715" s="907"/>
      <c r="F715" s="907"/>
      <c r="G715" s="907"/>
      <c r="H715" s="907"/>
      <c r="I715" s="907"/>
      <c r="J715" s="907"/>
      <c r="K715" s="907"/>
      <c r="L715" s="907"/>
      <c r="M715" s="907"/>
      <c r="N715" s="907"/>
      <c r="O715" s="907"/>
      <c r="P715" s="907"/>
      <c r="Q715" s="907"/>
      <c r="R715" s="907"/>
      <c r="S715" s="907"/>
      <c r="T715" s="907"/>
      <c r="U715" s="907"/>
      <c r="V715" s="907"/>
      <c r="W715" s="907"/>
      <c r="X715" s="907"/>
      <c r="Y715" s="907"/>
      <c r="Z715" s="907"/>
      <c r="AA715" s="907"/>
      <c r="AB715" s="907"/>
      <c r="AC715" s="907"/>
    </row>
    <row r="716" spans="1:29">
      <c r="A716" s="907"/>
      <c r="B716" s="907"/>
      <c r="C716" s="907"/>
      <c r="D716" s="907"/>
      <c r="E716" s="907"/>
      <c r="F716" s="907"/>
      <c r="G716" s="907"/>
      <c r="H716" s="907"/>
      <c r="I716" s="907"/>
      <c r="J716" s="907"/>
      <c r="K716" s="907"/>
      <c r="L716" s="907"/>
      <c r="M716" s="907"/>
      <c r="N716" s="907"/>
      <c r="O716" s="907"/>
      <c r="P716" s="907"/>
      <c r="Q716" s="907"/>
      <c r="R716" s="907"/>
      <c r="S716" s="907"/>
      <c r="T716" s="907"/>
      <c r="U716" s="907"/>
      <c r="V716" s="907"/>
      <c r="W716" s="907"/>
      <c r="X716" s="907"/>
      <c r="Y716" s="907"/>
      <c r="Z716" s="907"/>
      <c r="AA716" s="907"/>
      <c r="AB716" s="907"/>
      <c r="AC716" s="907"/>
    </row>
    <row r="717" spans="1:29">
      <c r="A717" s="907"/>
      <c r="B717" s="907"/>
      <c r="C717" s="907"/>
      <c r="D717" s="907"/>
      <c r="E717" s="907"/>
      <c r="F717" s="907"/>
      <c r="G717" s="907"/>
      <c r="H717" s="907"/>
      <c r="I717" s="907"/>
      <c r="J717" s="907"/>
      <c r="K717" s="907"/>
      <c r="L717" s="907"/>
      <c r="M717" s="907"/>
      <c r="N717" s="907"/>
      <c r="O717" s="907"/>
      <c r="P717" s="907"/>
      <c r="Q717" s="907"/>
      <c r="R717" s="907"/>
      <c r="S717" s="907"/>
      <c r="T717" s="907"/>
      <c r="U717" s="907"/>
      <c r="V717" s="907"/>
      <c r="W717" s="907"/>
      <c r="X717" s="907"/>
      <c r="Y717" s="907"/>
      <c r="Z717" s="907"/>
      <c r="AA717" s="907"/>
      <c r="AB717" s="907"/>
      <c r="AC717" s="907"/>
    </row>
    <row r="718" spans="1:29">
      <c r="A718" s="907"/>
      <c r="B718" s="907"/>
      <c r="C718" s="907"/>
      <c r="D718" s="907"/>
      <c r="E718" s="907"/>
      <c r="F718" s="907"/>
      <c r="G718" s="907"/>
      <c r="H718" s="907"/>
      <c r="I718" s="907"/>
      <c r="J718" s="907"/>
      <c r="K718" s="907"/>
      <c r="L718" s="907"/>
      <c r="M718" s="907"/>
      <c r="N718" s="907"/>
      <c r="O718" s="907"/>
      <c r="P718" s="907"/>
      <c r="Q718" s="907"/>
      <c r="R718" s="907"/>
      <c r="S718" s="907"/>
      <c r="T718" s="907"/>
      <c r="U718" s="907"/>
      <c r="V718" s="907"/>
      <c r="W718" s="907"/>
      <c r="X718" s="907"/>
      <c r="Y718" s="907"/>
      <c r="Z718" s="907"/>
      <c r="AA718" s="907"/>
      <c r="AB718" s="907"/>
      <c r="AC718" s="907"/>
    </row>
    <row r="719" spans="1:29">
      <c r="A719" s="907"/>
      <c r="B719" s="907"/>
      <c r="C719" s="907"/>
      <c r="D719" s="907"/>
      <c r="E719" s="907"/>
      <c r="F719" s="907"/>
      <c r="G719" s="907"/>
      <c r="H719" s="907"/>
      <c r="I719" s="907"/>
      <c r="J719" s="907"/>
      <c r="K719" s="907"/>
      <c r="L719" s="907"/>
      <c r="M719" s="907"/>
      <c r="N719" s="907"/>
      <c r="O719" s="907"/>
      <c r="P719" s="907"/>
      <c r="Q719" s="907"/>
      <c r="R719" s="907"/>
      <c r="S719" s="907"/>
      <c r="T719" s="907"/>
      <c r="U719" s="907"/>
      <c r="V719" s="907"/>
      <c r="W719" s="907"/>
      <c r="X719" s="907"/>
      <c r="Y719" s="907"/>
      <c r="Z719" s="907"/>
      <c r="AA719" s="907"/>
      <c r="AB719" s="907"/>
      <c r="AC719" s="907"/>
    </row>
    <row r="720" spans="1:29">
      <c r="A720" s="907"/>
      <c r="B720" s="907"/>
      <c r="C720" s="907"/>
      <c r="D720" s="907"/>
      <c r="E720" s="907"/>
      <c r="F720" s="907"/>
      <c r="G720" s="907"/>
      <c r="H720" s="907"/>
      <c r="I720" s="907"/>
      <c r="J720" s="907"/>
      <c r="K720" s="907"/>
      <c r="L720" s="907"/>
      <c r="M720" s="907"/>
      <c r="N720" s="907"/>
      <c r="O720" s="907"/>
      <c r="P720" s="907"/>
      <c r="Q720" s="907"/>
      <c r="R720" s="907"/>
      <c r="S720" s="907"/>
      <c r="T720" s="907"/>
      <c r="U720" s="907"/>
      <c r="V720" s="907"/>
      <c r="W720" s="907"/>
      <c r="X720" s="907"/>
      <c r="Y720" s="907"/>
      <c r="Z720" s="907"/>
      <c r="AA720" s="907"/>
      <c r="AB720" s="907"/>
      <c r="AC720" s="907"/>
    </row>
    <row r="721" spans="1:29">
      <c r="A721" s="907"/>
      <c r="B721" s="907"/>
      <c r="C721" s="907"/>
      <c r="D721" s="907"/>
      <c r="E721" s="907"/>
      <c r="F721" s="907"/>
      <c r="G721" s="907"/>
      <c r="H721" s="907"/>
      <c r="I721" s="907"/>
      <c r="J721" s="907"/>
      <c r="K721" s="907"/>
      <c r="L721" s="907"/>
      <c r="M721" s="907"/>
      <c r="N721" s="907"/>
      <c r="O721" s="907"/>
      <c r="P721" s="907"/>
      <c r="Q721" s="907"/>
      <c r="R721" s="907"/>
      <c r="S721" s="907"/>
      <c r="T721" s="907"/>
      <c r="U721" s="907"/>
      <c r="V721" s="907"/>
      <c r="W721" s="907"/>
      <c r="X721" s="907"/>
      <c r="Y721" s="907"/>
      <c r="Z721" s="907"/>
      <c r="AA721" s="907"/>
      <c r="AB721" s="907"/>
      <c r="AC721" s="907"/>
    </row>
    <row r="722" spans="1:29">
      <c r="A722" s="907"/>
      <c r="B722" s="907"/>
      <c r="C722" s="907"/>
      <c r="D722" s="907"/>
      <c r="E722" s="907"/>
      <c r="F722" s="907"/>
      <c r="G722" s="907"/>
      <c r="H722" s="907"/>
      <c r="I722" s="907"/>
      <c r="J722" s="907"/>
      <c r="K722" s="907"/>
      <c r="L722" s="907"/>
      <c r="M722" s="907"/>
      <c r="N722" s="907"/>
      <c r="O722" s="907"/>
      <c r="P722" s="907"/>
      <c r="Q722" s="907"/>
      <c r="R722" s="907"/>
      <c r="S722" s="907"/>
      <c r="T722" s="907"/>
      <c r="U722" s="907"/>
      <c r="V722" s="907"/>
      <c r="W722" s="907"/>
      <c r="X722" s="907"/>
      <c r="Y722" s="907"/>
      <c r="Z722" s="907"/>
      <c r="AA722" s="907"/>
      <c r="AB722" s="907"/>
      <c r="AC722" s="907"/>
    </row>
    <row r="723" spans="1:29">
      <c r="A723" s="907"/>
      <c r="B723" s="907"/>
      <c r="C723" s="907"/>
      <c r="D723" s="907"/>
      <c r="E723" s="907"/>
      <c r="F723" s="907"/>
      <c r="G723" s="907"/>
      <c r="H723" s="907"/>
      <c r="I723" s="907"/>
      <c r="J723" s="907"/>
      <c r="K723" s="907"/>
      <c r="L723" s="907"/>
      <c r="M723" s="907"/>
      <c r="N723" s="907"/>
      <c r="O723" s="907"/>
      <c r="P723" s="907"/>
      <c r="Q723" s="907"/>
      <c r="R723" s="907"/>
      <c r="S723" s="907"/>
      <c r="T723" s="907"/>
      <c r="U723" s="907"/>
      <c r="V723" s="907"/>
      <c r="W723" s="907"/>
      <c r="X723" s="907"/>
      <c r="Y723" s="907"/>
      <c r="Z723" s="907"/>
      <c r="AA723" s="907"/>
      <c r="AB723" s="907"/>
      <c r="AC723" s="907"/>
    </row>
    <row r="724" spans="1:29">
      <c r="A724" s="907"/>
      <c r="B724" s="907"/>
      <c r="C724" s="907"/>
      <c r="D724" s="907"/>
      <c r="E724" s="907"/>
      <c r="F724" s="907"/>
      <c r="G724" s="907"/>
      <c r="H724" s="907"/>
      <c r="I724" s="907"/>
      <c r="J724" s="907"/>
      <c r="K724" s="907"/>
      <c r="L724" s="907"/>
      <c r="M724" s="907"/>
      <c r="N724" s="907"/>
      <c r="O724" s="907"/>
      <c r="P724" s="907"/>
      <c r="Q724" s="907"/>
      <c r="R724" s="907"/>
      <c r="S724" s="907"/>
      <c r="T724" s="907"/>
      <c r="U724" s="907"/>
      <c r="V724" s="907"/>
      <c r="W724" s="907"/>
      <c r="X724" s="907"/>
      <c r="Y724" s="907"/>
      <c r="Z724" s="907"/>
      <c r="AA724" s="907"/>
      <c r="AB724" s="907"/>
      <c r="AC724" s="907"/>
    </row>
    <row r="725" spans="1:29">
      <c r="A725" s="907"/>
      <c r="B725" s="907"/>
      <c r="C725" s="907"/>
      <c r="D725" s="907"/>
      <c r="E725" s="907"/>
      <c r="F725" s="907"/>
      <c r="G725" s="907"/>
      <c r="H725" s="907"/>
      <c r="I725" s="907"/>
      <c r="J725" s="907"/>
      <c r="K725" s="907"/>
      <c r="L725" s="907"/>
      <c r="M725" s="907"/>
      <c r="N725" s="907"/>
      <c r="O725" s="907"/>
      <c r="P725" s="907"/>
      <c r="Q725" s="907"/>
      <c r="R725" s="907"/>
      <c r="S725" s="907"/>
      <c r="T725" s="907"/>
      <c r="U725" s="907"/>
      <c r="V725" s="907"/>
      <c r="W725" s="907"/>
      <c r="X725" s="907"/>
      <c r="Y725" s="907"/>
      <c r="Z725" s="907"/>
      <c r="AA725" s="907"/>
      <c r="AB725" s="907"/>
      <c r="AC725" s="907"/>
    </row>
    <row r="726" spans="1:29">
      <c r="A726" s="907"/>
      <c r="B726" s="907"/>
      <c r="C726" s="907"/>
      <c r="D726" s="907"/>
      <c r="E726" s="907"/>
      <c r="F726" s="907"/>
      <c r="G726" s="907"/>
      <c r="H726" s="907"/>
      <c r="I726" s="907"/>
      <c r="J726" s="907"/>
      <c r="K726" s="907"/>
      <c r="L726" s="907"/>
      <c r="M726" s="907"/>
      <c r="N726" s="907"/>
      <c r="O726" s="907"/>
      <c r="P726" s="907"/>
      <c r="Q726" s="907"/>
      <c r="R726" s="907"/>
      <c r="S726" s="907"/>
      <c r="T726" s="907"/>
      <c r="U726" s="907"/>
      <c r="V726" s="907"/>
      <c r="W726" s="907"/>
      <c r="X726" s="907"/>
      <c r="Y726" s="907"/>
      <c r="Z726" s="907"/>
      <c r="AA726" s="907"/>
      <c r="AB726" s="907"/>
      <c r="AC726" s="907"/>
    </row>
    <row r="727" spans="1:29">
      <c r="A727" s="907"/>
      <c r="B727" s="907"/>
      <c r="C727" s="907"/>
      <c r="D727" s="907"/>
      <c r="E727" s="907"/>
      <c r="F727" s="907"/>
      <c r="G727" s="907"/>
      <c r="H727" s="907"/>
      <c r="I727" s="907"/>
      <c r="J727" s="907"/>
      <c r="K727" s="907"/>
      <c r="L727" s="907"/>
      <c r="M727" s="907"/>
      <c r="N727" s="907"/>
      <c r="O727" s="907"/>
      <c r="P727" s="907"/>
      <c r="Q727" s="907"/>
      <c r="R727" s="907"/>
      <c r="S727" s="907"/>
      <c r="T727" s="907"/>
      <c r="U727" s="907"/>
      <c r="V727" s="907"/>
      <c r="W727" s="907"/>
      <c r="X727" s="907"/>
      <c r="Y727" s="907"/>
      <c r="Z727" s="907"/>
      <c r="AA727" s="907"/>
      <c r="AB727" s="907"/>
      <c r="AC727" s="907"/>
    </row>
    <row r="728" spans="1:29">
      <c r="A728" s="907"/>
      <c r="B728" s="907"/>
      <c r="C728" s="907"/>
      <c r="D728" s="907"/>
      <c r="E728" s="907"/>
      <c r="F728" s="907"/>
      <c r="G728" s="907"/>
      <c r="H728" s="907"/>
      <c r="I728" s="907"/>
      <c r="J728" s="907"/>
      <c r="K728" s="907"/>
      <c r="L728" s="907"/>
      <c r="M728" s="907"/>
      <c r="N728" s="907"/>
      <c r="O728" s="907"/>
      <c r="P728" s="907"/>
      <c r="Q728" s="907"/>
      <c r="R728" s="907"/>
      <c r="S728" s="907"/>
      <c r="T728" s="907"/>
      <c r="U728" s="907"/>
      <c r="V728" s="907"/>
      <c r="W728" s="907"/>
      <c r="X728" s="907"/>
      <c r="Y728" s="907"/>
      <c r="Z728" s="907"/>
      <c r="AA728" s="907"/>
      <c r="AB728" s="907"/>
      <c r="AC728" s="907"/>
    </row>
    <row r="729" spans="1:29">
      <c r="A729" s="907"/>
      <c r="B729" s="907"/>
      <c r="C729" s="907"/>
      <c r="D729" s="907"/>
      <c r="E729" s="907"/>
      <c r="F729" s="907"/>
      <c r="G729" s="907"/>
      <c r="H729" s="907"/>
      <c r="I729" s="907"/>
      <c r="J729" s="907"/>
      <c r="K729" s="907"/>
      <c r="L729" s="907"/>
      <c r="M729" s="907"/>
      <c r="N729" s="907"/>
      <c r="O729" s="907"/>
      <c r="P729" s="907"/>
      <c r="Q729" s="907"/>
      <c r="R729" s="907"/>
      <c r="S729" s="907"/>
      <c r="T729" s="907"/>
      <c r="U729" s="907"/>
      <c r="V729" s="907"/>
      <c r="W729" s="907"/>
      <c r="X729" s="907"/>
      <c r="Y729" s="907"/>
      <c r="Z729" s="907"/>
      <c r="AA729" s="907"/>
      <c r="AB729" s="907"/>
      <c r="AC729" s="907"/>
    </row>
    <row r="730" spans="1:29">
      <c r="A730" s="907"/>
      <c r="B730" s="907"/>
      <c r="C730" s="907"/>
      <c r="D730" s="907"/>
      <c r="E730" s="907"/>
      <c r="F730" s="907"/>
      <c r="G730" s="907"/>
      <c r="H730" s="907"/>
      <c r="I730" s="907"/>
      <c r="J730" s="907"/>
      <c r="K730" s="907"/>
      <c r="L730" s="907"/>
      <c r="M730" s="907"/>
      <c r="N730" s="907"/>
      <c r="O730" s="907"/>
      <c r="P730" s="907"/>
      <c r="Q730" s="907"/>
      <c r="R730" s="907"/>
      <c r="S730" s="907"/>
      <c r="T730" s="907"/>
      <c r="U730" s="907"/>
      <c r="V730" s="907"/>
      <c r="W730" s="907"/>
      <c r="X730" s="907"/>
      <c r="Y730" s="907"/>
      <c r="Z730" s="907"/>
      <c r="AA730" s="907"/>
      <c r="AB730" s="907"/>
      <c r="AC730" s="907"/>
    </row>
    <row r="731" spans="1:29">
      <c r="A731" s="907"/>
      <c r="B731" s="907"/>
      <c r="C731" s="907"/>
      <c r="D731" s="907"/>
      <c r="E731" s="907"/>
      <c r="F731" s="907"/>
      <c r="G731" s="907"/>
      <c r="H731" s="907"/>
      <c r="I731" s="907"/>
      <c r="J731" s="907"/>
      <c r="K731" s="907"/>
      <c r="L731" s="907"/>
      <c r="M731" s="907"/>
      <c r="N731" s="907"/>
      <c r="O731" s="907"/>
      <c r="P731" s="907"/>
      <c r="Q731" s="907"/>
      <c r="R731" s="907"/>
      <c r="S731" s="907"/>
      <c r="T731" s="907"/>
      <c r="U731" s="907"/>
      <c r="V731" s="907"/>
      <c r="W731" s="907"/>
      <c r="X731" s="907"/>
      <c r="Y731" s="907"/>
      <c r="Z731" s="907"/>
      <c r="AA731" s="907"/>
      <c r="AB731" s="907"/>
      <c r="AC731" s="907"/>
    </row>
    <row r="732" spans="1:29">
      <c r="A732" s="907"/>
      <c r="B732" s="907"/>
      <c r="C732" s="907"/>
      <c r="D732" s="907"/>
      <c r="E732" s="907"/>
      <c r="F732" s="907"/>
      <c r="G732" s="907"/>
      <c r="H732" s="907"/>
      <c r="I732" s="907"/>
      <c r="J732" s="907"/>
      <c r="K732" s="907"/>
      <c r="L732" s="907"/>
      <c r="M732" s="907"/>
      <c r="N732" s="907"/>
      <c r="O732" s="907"/>
      <c r="P732" s="907"/>
      <c r="Q732" s="907"/>
      <c r="R732" s="907"/>
      <c r="S732" s="907"/>
      <c r="T732" s="907"/>
      <c r="U732" s="907"/>
      <c r="V732" s="907"/>
      <c r="W732" s="907"/>
      <c r="X732" s="907"/>
      <c r="Y732" s="907"/>
      <c r="Z732" s="907"/>
      <c r="AA732" s="907"/>
      <c r="AB732" s="907"/>
      <c r="AC732" s="907"/>
    </row>
    <row r="733" spans="1:29">
      <c r="A733" s="907"/>
      <c r="B733" s="907"/>
      <c r="C733" s="907"/>
      <c r="D733" s="907"/>
      <c r="E733" s="907"/>
      <c r="F733" s="907"/>
      <c r="G733" s="907"/>
      <c r="H733" s="907"/>
      <c r="I733" s="907"/>
      <c r="J733" s="907"/>
      <c r="K733" s="907"/>
      <c r="L733" s="907"/>
      <c r="M733" s="907"/>
      <c r="N733" s="907"/>
      <c r="O733" s="907"/>
      <c r="P733" s="907"/>
      <c r="Q733" s="907"/>
      <c r="R733" s="907"/>
      <c r="S733" s="907"/>
      <c r="T733" s="907"/>
      <c r="U733" s="907"/>
      <c r="V733" s="907"/>
      <c r="W733" s="907"/>
      <c r="X733" s="907"/>
      <c r="Y733" s="907"/>
      <c r="Z733" s="907"/>
      <c r="AA733" s="907"/>
      <c r="AB733" s="907"/>
      <c r="AC733" s="907"/>
    </row>
    <row r="734" spans="1:29">
      <c r="A734" s="907"/>
      <c r="B734" s="907"/>
      <c r="C734" s="907"/>
      <c r="D734" s="907"/>
      <c r="E734" s="907"/>
      <c r="F734" s="907"/>
      <c r="G734" s="907"/>
      <c r="H734" s="907"/>
      <c r="I734" s="907"/>
      <c r="J734" s="907"/>
      <c r="K734" s="907"/>
      <c r="L734" s="907"/>
      <c r="M734" s="907"/>
      <c r="N734" s="907"/>
      <c r="O734" s="907"/>
      <c r="P734" s="907"/>
      <c r="Q734" s="907"/>
      <c r="R734" s="907"/>
      <c r="S734" s="907"/>
      <c r="T734" s="907"/>
      <c r="U734" s="907"/>
      <c r="V734" s="907"/>
      <c r="W734" s="907"/>
      <c r="X734" s="907"/>
      <c r="Y734" s="907"/>
      <c r="Z734" s="907"/>
      <c r="AA734" s="907"/>
      <c r="AB734" s="907"/>
      <c r="AC734" s="907"/>
    </row>
    <row r="735" spans="1:29">
      <c r="A735" s="907"/>
      <c r="B735" s="907"/>
      <c r="C735" s="907"/>
      <c r="D735" s="907"/>
      <c r="E735" s="907"/>
      <c r="F735" s="907"/>
      <c r="G735" s="907"/>
      <c r="H735" s="907"/>
      <c r="I735" s="907"/>
      <c r="J735" s="907"/>
      <c r="K735" s="907"/>
      <c r="L735" s="907"/>
      <c r="M735" s="907"/>
      <c r="N735" s="907"/>
      <c r="O735" s="907"/>
      <c r="P735" s="907"/>
      <c r="Q735" s="907"/>
      <c r="R735" s="907"/>
      <c r="S735" s="907"/>
      <c r="T735" s="907"/>
      <c r="U735" s="907"/>
      <c r="V735" s="907"/>
      <c r="W735" s="907"/>
      <c r="X735" s="907"/>
      <c r="Y735" s="907"/>
      <c r="Z735" s="907"/>
      <c r="AA735" s="907"/>
      <c r="AB735" s="907"/>
      <c r="AC735" s="907"/>
    </row>
    <row r="736" spans="1:29">
      <c r="A736" s="907"/>
      <c r="B736" s="907"/>
      <c r="C736" s="907"/>
      <c r="D736" s="907"/>
      <c r="E736" s="907"/>
      <c r="F736" s="907"/>
      <c r="G736" s="907"/>
      <c r="H736" s="907"/>
      <c r="I736" s="907"/>
      <c r="J736" s="907"/>
      <c r="K736" s="907"/>
      <c r="L736" s="907"/>
      <c r="M736" s="907"/>
      <c r="N736" s="907"/>
      <c r="O736" s="907"/>
      <c r="P736" s="907"/>
      <c r="Q736" s="907"/>
      <c r="R736" s="907"/>
      <c r="S736" s="907"/>
      <c r="T736" s="907"/>
      <c r="U736" s="907"/>
      <c r="V736" s="907"/>
      <c r="W736" s="907"/>
      <c r="X736" s="907"/>
      <c r="Y736" s="907"/>
      <c r="Z736" s="907"/>
      <c r="AA736" s="907"/>
      <c r="AB736" s="907"/>
      <c r="AC736" s="907"/>
    </row>
    <row r="737" spans="1:29">
      <c r="A737" s="907"/>
      <c r="B737" s="907"/>
      <c r="C737" s="907"/>
      <c r="D737" s="907"/>
      <c r="E737" s="907"/>
      <c r="F737" s="907"/>
      <c r="G737" s="907"/>
      <c r="H737" s="907"/>
      <c r="I737" s="907"/>
      <c r="J737" s="907"/>
      <c r="K737" s="907"/>
      <c r="L737" s="907"/>
      <c r="M737" s="907"/>
      <c r="N737" s="907"/>
      <c r="O737" s="907"/>
      <c r="P737" s="907"/>
      <c r="Q737" s="907"/>
      <c r="R737" s="907"/>
      <c r="S737" s="907"/>
      <c r="T737" s="907"/>
      <c r="U737" s="907"/>
      <c r="V737" s="907"/>
      <c r="W737" s="907"/>
      <c r="X737" s="907"/>
      <c r="Y737" s="907"/>
      <c r="Z737" s="907"/>
      <c r="AA737" s="907"/>
      <c r="AB737" s="907"/>
      <c r="AC737" s="907"/>
    </row>
    <row r="738" spans="1:29">
      <c r="A738" s="907"/>
      <c r="B738" s="907"/>
      <c r="C738" s="907"/>
      <c r="D738" s="907"/>
      <c r="E738" s="907"/>
      <c r="F738" s="907"/>
      <c r="G738" s="907"/>
      <c r="H738" s="907"/>
      <c r="I738" s="907"/>
      <c r="J738" s="907"/>
      <c r="K738" s="907"/>
      <c r="L738" s="907"/>
      <c r="M738" s="907"/>
      <c r="N738" s="907"/>
      <c r="O738" s="907"/>
      <c r="P738" s="907"/>
      <c r="Q738" s="907"/>
      <c r="R738" s="907"/>
      <c r="S738" s="907"/>
      <c r="T738" s="907"/>
      <c r="U738" s="907"/>
      <c r="V738" s="907"/>
      <c r="W738" s="907"/>
      <c r="X738" s="907"/>
      <c r="Y738" s="907"/>
      <c r="Z738" s="907"/>
      <c r="AA738" s="907"/>
      <c r="AB738" s="907"/>
      <c r="AC738" s="907"/>
    </row>
    <row r="739" spans="1:29">
      <c r="A739" s="907"/>
      <c r="B739" s="907"/>
      <c r="C739" s="907"/>
      <c r="D739" s="907"/>
      <c r="E739" s="907"/>
      <c r="F739" s="907"/>
      <c r="G739" s="907"/>
      <c r="H739" s="907"/>
      <c r="I739" s="907"/>
      <c r="J739" s="907"/>
      <c r="K739" s="907"/>
      <c r="L739" s="907"/>
      <c r="M739" s="907"/>
      <c r="N739" s="907"/>
      <c r="O739" s="907"/>
      <c r="P739" s="907"/>
      <c r="Q739" s="907"/>
      <c r="R739" s="907"/>
      <c r="S739" s="907"/>
      <c r="T739" s="907"/>
      <c r="U739" s="907"/>
      <c r="V739" s="907"/>
      <c r="W739" s="907"/>
      <c r="X739" s="907"/>
      <c r="Y739" s="907"/>
      <c r="Z739" s="907"/>
      <c r="AA739" s="907"/>
      <c r="AB739" s="907"/>
      <c r="AC739" s="907"/>
    </row>
    <row r="740" spans="1:29">
      <c r="A740" s="907"/>
      <c r="B740" s="907"/>
      <c r="C740" s="907"/>
      <c r="D740" s="907"/>
      <c r="E740" s="907"/>
      <c r="F740" s="907"/>
      <c r="G740" s="907"/>
      <c r="H740" s="907"/>
      <c r="I740" s="907"/>
      <c r="J740" s="907"/>
      <c r="K740" s="907"/>
      <c r="L740" s="907"/>
      <c r="M740" s="907"/>
      <c r="N740" s="907"/>
      <c r="O740" s="907"/>
      <c r="P740" s="907"/>
      <c r="Q740" s="907"/>
      <c r="R740" s="907"/>
      <c r="S740" s="907"/>
      <c r="T740" s="907"/>
      <c r="U740" s="907"/>
      <c r="V740" s="907"/>
      <c r="W740" s="907"/>
      <c r="X740" s="907"/>
      <c r="Y740" s="907"/>
      <c r="Z740" s="907"/>
      <c r="AA740" s="907"/>
      <c r="AB740" s="907"/>
      <c r="AC740" s="907"/>
    </row>
    <row r="741" spans="1:29">
      <c r="A741" s="907"/>
      <c r="B741" s="907"/>
      <c r="C741" s="907"/>
      <c r="D741" s="907"/>
      <c r="E741" s="907"/>
      <c r="F741" s="907"/>
      <c r="G741" s="907"/>
      <c r="H741" s="907"/>
      <c r="I741" s="907"/>
      <c r="J741" s="907"/>
      <c r="K741" s="907"/>
      <c r="L741" s="907"/>
      <c r="M741" s="907"/>
      <c r="N741" s="907"/>
      <c r="O741" s="907"/>
      <c r="P741" s="907"/>
      <c r="Q741" s="907"/>
      <c r="R741" s="907"/>
      <c r="S741" s="907"/>
      <c r="T741" s="907"/>
      <c r="U741" s="907"/>
      <c r="V741" s="907"/>
      <c r="W741" s="907"/>
      <c r="X741" s="907"/>
      <c r="Y741" s="907"/>
      <c r="Z741" s="907"/>
      <c r="AA741" s="907"/>
      <c r="AB741" s="907"/>
      <c r="AC741" s="907"/>
    </row>
    <row r="742" spans="1:29">
      <c r="A742" s="907"/>
      <c r="B742" s="907"/>
      <c r="C742" s="907"/>
      <c r="D742" s="907"/>
      <c r="E742" s="907"/>
      <c r="F742" s="907"/>
      <c r="G742" s="907"/>
      <c r="H742" s="907"/>
      <c r="I742" s="907"/>
      <c r="J742" s="907"/>
      <c r="K742" s="907"/>
      <c r="L742" s="907"/>
      <c r="M742" s="907"/>
      <c r="N742" s="907"/>
      <c r="O742" s="907"/>
      <c r="P742" s="907"/>
      <c r="Q742" s="907"/>
      <c r="R742" s="907"/>
      <c r="S742" s="907"/>
      <c r="T742" s="907"/>
      <c r="U742" s="907"/>
      <c r="V742" s="907"/>
      <c r="W742" s="907"/>
      <c r="X742" s="907"/>
      <c r="Y742" s="907"/>
      <c r="Z742" s="907"/>
      <c r="AA742" s="907"/>
      <c r="AB742" s="907"/>
      <c r="AC742" s="907"/>
    </row>
    <row r="743" spans="1:29">
      <c r="A743" s="907"/>
      <c r="B743" s="907"/>
      <c r="C743" s="907"/>
      <c r="D743" s="907"/>
      <c r="E743" s="907"/>
      <c r="F743" s="907"/>
      <c r="G743" s="907"/>
      <c r="H743" s="907"/>
      <c r="I743" s="907"/>
      <c r="J743" s="907"/>
      <c r="K743" s="907"/>
      <c r="L743" s="907"/>
      <c r="M743" s="907"/>
      <c r="N743" s="907"/>
      <c r="O743" s="907"/>
      <c r="P743" s="907"/>
      <c r="Q743" s="907"/>
      <c r="R743" s="907"/>
      <c r="S743" s="907"/>
      <c r="T743" s="907"/>
      <c r="U743" s="907"/>
      <c r="V743" s="907"/>
      <c r="W743" s="907"/>
      <c r="X743" s="907"/>
      <c r="Y743" s="907"/>
      <c r="Z743" s="907"/>
      <c r="AA743" s="907"/>
      <c r="AB743" s="907"/>
      <c r="AC743" s="907"/>
    </row>
    <row r="744" spans="1:29">
      <c r="A744" s="907"/>
      <c r="B744" s="907"/>
      <c r="C744" s="907"/>
      <c r="D744" s="907"/>
      <c r="E744" s="907"/>
      <c r="F744" s="907"/>
      <c r="G744" s="907"/>
      <c r="H744" s="907"/>
      <c r="I744" s="907"/>
      <c r="J744" s="907"/>
      <c r="K744" s="907"/>
      <c r="L744" s="907"/>
      <c r="M744" s="907"/>
      <c r="N744" s="907"/>
      <c r="O744" s="907"/>
      <c r="P744" s="907"/>
      <c r="Q744" s="907"/>
      <c r="R744" s="907"/>
      <c r="S744" s="907"/>
      <c r="T744" s="907"/>
      <c r="U744" s="907"/>
      <c r="V744" s="907"/>
      <c r="W744" s="907"/>
      <c r="X744" s="907"/>
      <c r="Y744" s="907"/>
      <c r="Z744" s="907"/>
      <c r="AA744" s="907"/>
      <c r="AB744" s="907"/>
      <c r="AC744" s="907"/>
    </row>
    <row r="745" spans="1:29">
      <c r="A745" s="907"/>
      <c r="B745" s="907"/>
      <c r="C745" s="907"/>
      <c r="D745" s="907"/>
      <c r="E745" s="907"/>
      <c r="F745" s="907"/>
      <c r="G745" s="907"/>
      <c r="H745" s="907"/>
      <c r="I745" s="907"/>
      <c r="J745" s="907"/>
      <c r="K745" s="907"/>
      <c r="L745" s="907"/>
      <c r="M745" s="907"/>
      <c r="N745" s="907"/>
      <c r="O745" s="907"/>
      <c r="P745" s="907"/>
      <c r="Q745" s="907"/>
      <c r="R745" s="907"/>
      <c r="S745" s="907"/>
      <c r="T745" s="907"/>
      <c r="U745" s="907"/>
      <c r="V745" s="907"/>
      <c r="W745" s="907"/>
      <c r="X745" s="907"/>
      <c r="Y745" s="907"/>
      <c r="Z745" s="907"/>
      <c r="AA745" s="907"/>
      <c r="AB745" s="907"/>
      <c r="AC745" s="907"/>
    </row>
    <row r="746" spans="1:29">
      <c r="A746" s="907"/>
      <c r="B746" s="907"/>
      <c r="C746" s="907"/>
      <c r="D746" s="907"/>
      <c r="E746" s="907"/>
      <c r="F746" s="907"/>
      <c r="G746" s="907"/>
      <c r="H746" s="907"/>
      <c r="I746" s="907"/>
      <c r="J746" s="907"/>
      <c r="K746" s="907"/>
      <c r="L746" s="907"/>
      <c r="M746" s="907"/>
      <c r="N746" s="907"/>
      <c r="O746" s="907"/>
      <c r="P746" s="907"/>
      <c r="Q746" s="907"/>
      <c r="R746" s="907"/>
      <c r="S746" s="907"/>
      <c r="T746" s="907"/>
      <c r="U746" s="907"/>
      <c r="V746" s="907"/>
      <c r="W746" s="907"/>
      <c r="X746" s="907"/>
      <c r="Y746" s="907"/>
      <c r="Z746" s="907"/>
      <c r="AA746" s="907"/>
      <c r="AB746" s="907"/>
      <c r="AC746" s="907"/>
    </row>
    <row r="747" spans="1:29">
      <c r="A747" s="907"/>
      <c r="B747" s="907"/>
      <c r="C747" s="907"/>
      <c r="D747" s="907"/>
      <c r="E747" s="907"/>
      <c r="F747" s="907"/>
      <c r="G747" s="907"/>
      <c r="H747" s="907"/>
      <c r="I747" s="907"/>
      <c r="J747" s="907"/>
      <c r="K747" s="907"/>
      <c r="L747" s="907"/>
      <c r="M747" s="907"/>
      <c r="N747" s="907"/>
      <c r="O747" s="907"/>
      <c r="P747" s="907"/>
      <c r="Q747" s="907"/>
      <c r="R747" s="907"/>
      <c r="S747" s="907"/>
      <c r="T747" s="907"/>
      <c r="U747" s="907"/>
      <c r="V747" s="907"/>
      <c r="W747" s="907"/>
      <c r="X747" s="907"/>
      <c r="Y747" s="907"/>
      <c r="Z747" s="907"/>
      <c r="AA747" s="907"/>
      <c r="AB747" s="907"/>
      <c r="AC747" s="907"/>
    </row>
    <row r="748" spans="1:29">
      <c r="A748" s="907"/>
      <c r="B748" s="907"/>
      <c r="C748" s="907"/>
      <c r="D748" s="907"/>
      <c r="E748" s="907"/>
      <c r="F748" s="907"/>
      <c r="G748" s="907"/>
      <c r="H748" s="907"/>
      <c r="I748" s="907"/>
      <c r="J748" s="907"/>
      <c r="K748" s="907"/>
      <c r="L748" s="907"/>
      <c r="M748" s="907"/>
      <c r="N748" s="907"/>
      <c r="O748" s="907"/>
      <c r="P748" s="907"/>
      <c r="Q748" s="907"/>
      <c r="R748" s="907"/>
      <c r="S748" s="907"/>
      <c r="T748" s="907"/>
      <c r="U748" s="907"/>
      <c r="V748" s="907"/>
      <c r="W748" s="907"/>
      <c r="X748" s="907"/>
      <c r="Y748" s="907"/>
      <c r="Z748" s="907"/>
      <c r="AA748" s="907"/>
      <c r="AB748" s="907"/>
      <c r="AC748" s="907"/>
    </row>
    <row r="749" spans="1:29">
      <c r="A749" s="907"/>
      <c r="B749" s="907"/>
      <c r="C749" s="907"/>
      <c r="D749" s="907"/>
      <c r="E749" s="907"/>
      <c r="F749" s="907"/>
      <c r="G749" s="907"/>
      <c r="H749" s="907"/>
      <c r="I749" s="907"/>
      <c r="J749" s="907"/>
      <c r="K749" s="907"/>
      <c r="L749" s="907"/>
      <c r="M749" s="907"/>
      <c r="N749" s="907"/>
      <c r="O749" s="907"/>
      <c r="P749" s="907"/>
      <c r="Q749" s="907"/>
      <c r="R749" s="907"/>
      <c r="S749" s="907"/>
      <c r="T749" s="907"/>
      <c r="U749" s="907"/>
      <c r="V749" s="907"/>
      <c r="W749" s="907"/>
      <c r="X749" s="907"/>
      <c r="Y749" s="907"/>
      <c r="Z749" s="907"/>
      <c r="AA749" s="907"/>
      <c r="AB749" s="907"/>
      <c r="AC749" s="907"/>
    </row>
    <row r="750" spans="1:29">
      <c r="A750" s="907"/>
      <c r="B750" s="907"/>
      <c r="C750" s="907"/>
      <c r="D750" s="907"/>
      <c r="E750" s="907"/>
      <c r="F750" s="907"/>
      <c r="G750" s="907"/>
      <c r="H750" s="907"/>
      <c r="I750" s="907"/>
      <c r="J750" s="907"/>
      <c r="K750" s="907"/>
      <c r="L750" s="907"/>
      <c r="M750" s="907"/>
      <c r="N750" s="907"/>
      <c r="O750" s="907"/>
      <c r="P750" s="907"/>
      <c r="Q750" s="907"/>
      <c r="R750" s="907"/>
      <c r="S750" s="907"/>
      <c r="T750" s="907"/>
      <c r="U750" s="907"/>
      <c r="V750" s="907"/>
      <c r="W750" s="907"/>
      <c r="X750" s="907"/>
      <c r="Y750" s="907"/>
      <c r="Z750" s="907"/>
      <c r="AA750" s="907"/>
      <c r="AB750" s="907"/>
      <c r="AC750" s="907"/>
    </row>
    <row r="751" spans="1:29">
      <c r="A751" s="907"/>
      <c r="B751" s="907"/>
      <c r="C751" s="907"/>
      <c r="D751" s="907"/>
      <c r="E751" s="907"/>
      <c r="F751" s="907"/>
      <c r="G751" s="907"/>
      <c r="H751" s="907"/>
      <c r="I751" s="907"/>
      <c r="J751" s="907"/>
      <c r="K751" s="907"/>
      <c r="L751" s="907"/>
      <c r="M751" s="907"/>
      <c r="N751" s="907"/>
      <c r="O751" s="907"/>
      <c r="P751" s="907"/>
      <c r="Q751" s="907"/>
      <c r="R751" s="907"/>
      <c r="S751" s="907"/>
      <c r="T751" s="907"/>
      <c r="U751" s="907"/>
      <c r="V751" s="907"/>
      <c r="W751" s="907"/>
      <c r="X751" s="907"/>
      <c r="Y751" s="907"/>
      <c r="Z751" s="907"/>
      <c r="AA751" s="907"/>
      <c r="AB751" s="907"/>
      <c r="AC751" s="907"/>
    </row>
    <row r="752" spans="1:29">
      <c r="A752" s="907"/>
      <c r="B752" s="907"/>
      <c r="C752" s="907"/>
      <c r="D752" s="907"/>
      <c r="E752" s="907"/>
      <c r="F752" s="907"/>
      <c r="G752" s="907"/>
      <c r="H752" s="907"/>
      <c r="I752" s="907"/>
      <c r="J752" s="907"/>
      <c r="K752" s="907"/>
      <c r="L752" s="907"/>
      <c r="M752" s="907"/>
      <c r="N752" s="907"/>
      <c r="O752" s="907"/>
      <c r="P752" s="907"/>
      <c r="Q752" s="907"/>
      <c r="R752" s="907"/>
      <c r="S752" s="907"/>
      <c r="T752" s="907"/>
      <c r="U752" s="907"/>
      <c r="V752" s="907"/>
      <c r="W752" s="907"/>
      <c r="X752" s="907"/>
      <c r="Y752" s="907"/>
      <c r="Z752" s="907"/>
      <c r="AA752" s="907"/>
      <c r="AB752" s="907"/>
      <c r="AC752" s="907"/>
    </row>
    <row r="753" spans="1:29">
      <c r="A753" s="907"/>
      <c r="B753" s="907"/>
      <c r="C753" s="907"/>
      <c r="D753" s="907"/>
      <c r="E753" s="907"/>
      <c r="F753" s="907"/>
      <c r="G753" s="907"/>
      <c r="H753" s="907"/>
      <c r="I753" s="907"/>
      <c r="J753" s="907"/>
      <c r="K753" s="907"/>
      <c r="L753" s="907"/>
      <c r="M753" s="907"/>
      <c r="N753" s="907"/>
      <c r="O753" s="907"/>
      <c r="P753" s="907"/>
      <c r="Q753" s="907"/>
      <c r="R753" s="907"/>
      <c r="S753" s="907"/>
      <c r="T753" s="907"/>
      <c r="U753" s="907"/>
      <c r="V753" s="907"/>
      <c r="W753" s="907"/>
      <c r="X753" s="907"/>
      <c r="Y753" s="907"/>
      <c r="Z753" s="907"/>
      <c r="AA753" s="907"/>
      <c r="AB753" s="907"/>
      <c r="AC753" s="907"/>
    </row>
    <row r="754" spans="1:29">
      <c r="A754" s="907"/>
      <c r="B754" s="907"/>
      <c r="C754" s="907"/>
      <c r="D754" s="907"/>
      <c r="E754" s="907"/>
      <c r="F754" s="907"/>
      <c r="G754" s="907"/>
      <c r="H754" s="907"/>
      <c r="I754" s="907"/>
      <c r="J754" s="907"/>
      <c r="K754" s="907"/>
      <c r="L754" s="907"/>
      <c r="M754" s="907"/>
      <c r="N754" s="907"/>
      <c r="O754" s="907"/>
      <c r="P754" s="907"/>
      <c r="Q754" s="907"/>
      <c r="R754" s="907"/>
      <c r="S754" s="907"/>
      <c r="T754" s="907"/>
      <c r="U754" s="907"/>
      <c r="V754" s="907"/>
      <c r="W754" s="907"/>
      <c r="X754" s="907"/>
      <c r="Y754" s="907"/>
      <c r="Z754" s="907"/>
      <c r="AA754" s="907"/>
      <c r="AB754" s="907"/>
      <c r="AC754" s="907"/>
    </row>
    <row r="755" spans="1:29">
      <c r="A755" s="907"/>
      <c r="B755" s="907"/>
      <c r="C755" s="907"/>
      <c r="D755" s="907"/>
      <c r="E755" s="907"/>
      <c r="F755" s="907"/>
      <c r="G755" s="907"/>
      <c r="H755" s="907"/>
      <c r="I755" s="907"/>
      <c r="J755" s="907"/>
      <c r="K755" s="907"/>
      <c r="L755" s="907"/>
      <c r="M755" s="907"/>
      <c r="N755" s="907"/>
      <c r="O755" s="907"/>
      <c r="P755" s="907"/>
      <c r="Q755" s="907"/>
      <c r="R755" s="907"/>
      <c r="S755" s="907"/>
      <c r="T755" s="907"/>
      <c r="U755" s="907"/>
      <c r="V755" s="907"/>
      <c r="W755" s="907"/>
      <c r="X755" s="907"/>
      <c r="Y755" s="907"/>
      <c r="Z755" s="907"/>
      <c r="AA755" s="907"/>
      <c r="AB755" s="907"/>
      <c r="AC755" s="907"/>
    </row>
    <row r="756" spans="1:29">
      <c r="A756" s="907"/>
      <c r="B756" s="907"/>
      <c r="C756" s="907"/>
      <c r="D756" s="907"/>
      <c r="E756" s="907"/>
      <c r="F756" s="907"/>
      <c r="G756" s="907"/>
      <c r="H756" s="907"/>
      <c r="I756" s="907"/>
      <c r="J756" s="907"/>
      <c r="K756" s="907"/>
      <c r="L756" s="907"/>
      <c r="M756" s="907"/>
      <c r="N756" s="907"/>
      <c r="O756" s="907"/>
      <c r="P756" s="907"/>
      <c r="Q756" s="907"/>
      <c r="R756" s="907"/>
      <c r="S756" s="907"/>
      <c r="T756" s="907"/>
      <c r="U756" s="907"/>
      <c r="V756" s="907"/>
      <c r="W756" s="907"/>
      <c r="X756" s="907"/>
      <c r="Y756" s="907"/>
      <c r="Z756" s="907"/>
      <c r="AA756" s="907"/>
      <c r="AB756" s="907"/>
      <c r="AC756" s="907"/>
    </row>
    <row r="757" spans="1:29">
      <c r="A757" s="907"/>
      <c r="B757" s="907"/>
      <c r="C757" s="907"/>
      <c r="D757" s="907"/>
      <c r="E757" s="907"/>
      <c r="F757" s="907"/>
      <c r="G757" s="907"/>
      <c r="H757" s="907"/>
      <c r="I757" s="907"/>
      <c r="J757" s="907"/>
      <c r="K757" s="907"/>
      <c r="L757" s="907"/>
      <c r="M757" s="907"/>
      <c r="N757" s="907"/>
      <c r="O757" s="907"/>
      <c r="P757" s="907"/>
      <c r="Q757" s="907"/>
      <c r="R757" s="907"/>
      <c r="S757" s="907"/>
      <c r="T757" s="907"/>
      <c r="U757" s="907"/>
      <c r="V757" s="907"/>
      <c r="W757" s="907"/>
      <c r="X757" s="907"/>
      <c r="Y757" s="907"/>
      <c r="Z757" s="907"/>
      <c r="AA757" s="907"/>
      <c r="AB757" s="907"/>
      <c r="AC757" s="907"/>
    </row>
    <row r="758" spans="1:29">
      <c r="A758" s="907"/>
      <c r="B758" s="907"/>
      <c r="C758" s="907"/>
      <c r="D758" s="907"/>
      <c r="E758" s="907"/>
      <c r="F758" s="907"/>
      <c r="G758" s="907"/>
      <c r="H758" s="907"/>
      <c r="I758" s="907"/>
      <c r="J758" s="907"/>
      <c r="K758" s="907"/>
      <c r="L758" s="907"/>
      <c r="M758" s="907"/>
      <c r="N758" s="907"/>
      <c r="O758" s="907"/>
      <c r="P758" s="907"/>
      <c r="Q758" s="907"/>
      <c r="R758" s="907"/>
      <c r="S758" s="907"/>
      <c r="T758" s="907"/>
      <c r="U758" s="907"/>
      <c r="V758" s="907"/>
      <c r="W758" s="907"/>
      <c r="X758" s="907"/>
      <c r="Y758" s="907"/>
      <c r="Z758" s="907"/>
      <c r="AA758" s="907"/>
      <c r="AB758" s="907"/>
      <c r="AC758" s="907"/>
    </row>
    <row r="759" spans="1:29">
      <c r="A759" s="907"/>
      <c r="B759" s="907"/>
      <c r="C759" s="907"/>
      <c r="D759" s="907"/>
      <c r="E759" s="907"/>
      <c r="F759" s="907"/>
      <c r="G759" s="907"/>
      <c r="H759" s="907"/>
      <c r="I759" s="907"/>
      <c r="J759" s="907"/>
      <c r="K759" s="907"/>
      <c r="L759" s="907"/>
      <c r="M759" s="907"/>
      <c r="N759" s="907"/>
      <c r="O759" s="907"/>
      <c r="P759" s="907"/>
      <c r="Q759" s="907"/>
      <c r="R759" s="907"/>
      <c r="S759" s="907"/>
      <c r="T759" s="907"/>
      <c r="U759" s="907"/>
      <c r="V759" s="907"/>
      <c r="W759" s="907"/>
      <c r="X759" s="907"/>
      <c r="Y759" s="907"/>
      <c r="Z759" s="907"/>
      <c r="AA759" s="907"/>
      <c r="AB759" s="907"/>
      <c r="AC759" s="907"/>
    </row>
    <row r="760" spans="1:29">
      <c r="A760" s="907"/>
      <c r="B760" s="907"/>
      <c r="C760" s="907"/>
      <c r="D760" s="907"/>
      <c r="E760" s="907"/>
      <c r="F760" s="907"/>
      <c r="G760" s="907"/>
      <c r="H760" s="907"/>
      <c r="I760" s="907"/>
      <c r="J760" s="907"/>
      <c r="K760" s="907"/>
      <c r="L760" s="907"/>
      <c r="M760" s="907"/>
      <c r="N760" s="907"/>
      <c r="O760" s="907"/>
      <c r="P760" s="907"/>
      <c r="Q760" s="907"/>
      <c r="R760" s="907"/>
      <c r="S760" s="907"/>
      <c r="T760" s="907"/>
      <c r="U760" s="907"/>
      <c r="V760" s="907"/>
      <c r="W760" s="907"/>
      <c r="X760" s="907"/>
      <c r="Y760" s="907"/>
      <c r="Z760" s="907"/>
      <c r="AA760" s="907"/>
      <c r="AB760" s="907"/>
      <c r="AC760" s="907"/>
    </row>
    <row r="761" spans="1:29">
      <c r="A761" s="907"/>
      <c r="B761" s="907"/>
      <c r="C761" s="907"/>
      <c r="D761" s="907"/>
      <c r="E761" s="907"/>
      <c r="F761" s="907"/>
      <c r="G761" s="907"/>
      <c r="H761" s="907"/>
      <c r="I761" s="907"/>
      <c r="J761" s="907"/>
      <c r="K761" s="907"/>
      <c r="L761" s="907"/>
      <c r="M761" s="907"/>
      <c r="N761" s="907"/>
      <c r="O761" s="907"/>
      <c r="P761" s="907"/>
      <c r="Q761" s="907"/>
      <c r="R761" s="907"/>
      <c r="S761" s="907"/>
      <c r="T761" s="907"/>
      <c r="U761" s="907"/>
      <c r="V761" s="907"/>
      <c r="W761" s="907"/>
      <c r="X761" s="907"/>
      <c r="Y761" s="907"/>
      <c r="Z761" s="907"/>
      <c r="AA761" s="907"/>
      <c r="AB761" s="907"/>
      <c r="AC761" s="907"/>
    </row>
    <row r="762" spans="1:29">
      <c r="A762" s="907"/>
      <c r="B762" s="907"/>
      <c r="C762" s="907"/>
      <c r="D762" s="907"/>
      <c r="E762" s="907"/>
      <c r="F762" s="907"/>
      <c r="G762" s="907"/>
      <c r="H762" s="907"/>
      <c r="I762" s="907"/>
      <c r="J762" s="907"/>
      <c r="K762" s="907"/>
      <c r="L762" s="907"/>
      <c r="M762" s="907"/>
      <c r="N762" s="907"/>
      <c r="O762" s="907"/>
      <c r="P762" s="907"/>
      <c r="Q762" s="907"/>
      <c r="R762" s="907"/>
      <c r="S762" s="907"/>
      <c r="T762" s="907"/>
      <c r="U762" s="907"/>
      <c r="V762" s="907"/>
      <c r="W762" s="907"/>
      <c r="X762" s="907"/>
      <c r="Y762" s="907"/>
      <c r="Z762" s="907"/>
      <c r="AA762" s="907"/>
      <c r="AB762" s="907"/>
      <c r="AC762" s="907"/>
    </row>
    <row r="763" spans="1:29">
      <c r="A763" s="907"/>
      <c r="B763" s="907"/>
      <c r="C763" s="907"/>
      <c r="D763" s="907"/>
      <c r="E763" s="907"/>
      <c r="F763" s="907"/>
      <c r="G763" s="907"/>
      <c r="H763" s="907"/>
      <c r="I763" s="907"/>
      <c r="J763" s="907"/>
      <c r="K763" s="907"/>
      <c r="L763" s="907"/>
      <c r="M763" s="907"/>
      <c r="N763" s="907"/>
      <c r="O763" s="907"/>
      <c r="P763" s="907"/>
      <c r="Q763" s="907"/>
      <c r="R763" s="907"/>
      <c r="S763" s="907"/>
      <c r="T763" s="907"/>
      <c r="U763" s="907"/>
      <c r="V763" s="907"/>
      <c r="W763" s="907"/>
      <c r="X763" s="907"/>
      <c r="Y763" s="907"/>
      <c r="Z763" s="907"/>
      <c r="AA763" s="907"/>
      <c r="AB763" s="907"/>
      <c r="AC763" s="907"/>
    </row>
    <row r="764" spans="1:29">
      <c r="A764" s="907"/>
      <c r="B764" s="907"/>
      <c r="C764" s="907"/>
      <c r="D764" s="907"/>
      <c r="E764" s="907"/>
      <c r="F764" s="907"/>
      <c r="G764" s="907"/>
      <c r="H764" s="907"/>
      <c r="I764" s="907"/>
      <c r="J764" s="907"/>
      <c r="K764" s="907"/>
      <c r="L764" s="907"/>
      <c r="M764" s="907"/>
      <c r="N764" s="907"/>
      <c r="O764" s="907"/>
      <c r="P764" s="907"/>
      <c r="Q764" s="907"/>
      <c r="R764" s="907"/>
      <c r="S764" s="907"/>
      <c r="T764" s="907"/>
      <c r="U764" s="907"/>
      <c r="V764" s="907"/>
      <c r="W764" s="907"/>
      <c r="X764" s="907"/>
      <c r="Y764" s="907"/>
      <c r="Z764" s="907"/>
      <c r="AA764" s="907"/>
      <c r="AB764" s="907"/>
      <c r="AC764" s="907"/>
    </row>
    <row r="765" spans="1:29">
      <c r="A765" s="907"/>
      <c r="B765" s="907"/>
      <c r="C765" s="907"/>
      <c r="D765" s="907"/>
      <c r="E765" s="907"/>
      <c r="F765" s="907"/>
      <c r="G765" s="907"/>
      <c r="H765" s="907"/>
      <c r="I765" s="907"/>
      <c r="J765" s="907"/>
      <c r="K765" s="907"/>
      <c r="L765" s="907"/>
      <c r="M765" s="907"/>
      <c r="N765" s="907"/>
      <c r="O765" s="907"/>
      <c r="P765" s="907"/>
      <c r="Q765" s="907"/>
      <c r="R765" s="907"/>
      <c r="S765" s="907"/>
      <c r="T765" s="907"/>
      <c r="U765" s="907"/>
      <c r="V765" s="907"/>
      <c r="W765" s="907"/>
      <c r="X765" s="907"/>
      <c r="Y765" s="907"/>
      <c r="Z765" s="907"/>
      <c r="AA765" s="907"/>
      <c r="AB765" s="907"/>
      <c r="AC765" s="907"/>
    </row>
    <row r="766" spans="1:29">
      <c r="A766" s="907"/>
      <c r="B766" s="907"/>
      <c r="C766" s="907"/>
      <c r="D766" s="907"/>
      <c r="E766" s="907"/>
      <c r="F766" s="907"/>
      <c r="G766" s="907"/>
      <c r="H766" s="907"/>
      <c r="I766" s="907"/>
      <c r="J766" s="907"/>
      <c r="K766" s="907"/>
      <c r="L766" s="907"/>
      <c r="M766" s="907"/>
      <c r="N766" s="907"/>
      <c r="O766" s="907"/>
      <c r="P766" s="907"/>
      <c r="Q766" s="907"/>
      <c r="R766" s="907"/>
      <c r="S766" s="907"/>
      <c r="T766" s="907"/>
      <c r="U766" s="907"/>
      <c r="V766" s="907"/>
      <c r="W766" s="907"/>
      <c r="X766" s="907"/>
      <c r="Y766" s="907"/>
      <c r="Z766" s="907"/>
      <c r="AA766" s="907"/>
      <c r="AB766" s="907"/>
      <c r="AC766" s="907"/>
    </row>
    <row r="767" spans="1:29">
      <c r="A767" s="907"/>
      <c r="B767" s="907"/>
      <c r="C767" s="907"/>
      <c r="D767" s="907"/>
      <c r="E767" s="907"/>
      <c r="F767" s="907"/>
      <c r="G767" s="907"/>
      <c r="H767" s="907"/>
      <c r="I767" s="907"/>
      <c r="J767" s="907"/>
      <c r="K767" s="907"/>
      <c r="L767" s="907"/>
      <c r="M767" s="907"/>
      <c r="N767" s="907"/>
      <c r="O767" s="907"/>
      <c r="P767" s="907"/>
      <c r="Q767" s="907"/>
      <c r="R767" s="907"/>
      <c r="S767" s="907"/>
      <c r="T767" s="907"/>
      <c r="U767" s="907"/>
      <c r="V767" s="907"/>
      <c r="W767" s="907"/>
      <c r="X767" s="907"/>
      <c r="Y767" s="907"/>
      <c r="Z767" s="907"/>
      <c r="AA767" s="907"/>
      <c r="AB767" s="907"/>
      <c r="AC767" s="907"/>
    </row>
    <row r="768" spans="1:29">
      <c r="A768" s="907"/>
      <c r="B768" s="907"/>
      <c r="C768" s="907"/>
      <c r="D768" s="907"/>
      <c r="E768" s="907"/>
      <c r="F768" s="907"/>
      <c r="G768" s="907"/>
      <c r="H768" s="907"/>
      <c r="I768" s="907"/>
      <c r="J768" s="907"/>
      <c r="K768" s="907"/>
      <c r="L768" s="907"/>
      <c r="M768" s="907"/>
      <c r="N768" s="907"/>
      <c r="O768" s="907"/>
      <c r="P768" s="907"/>
      <c r="Q768" s="907"/>
      <c r="R768" s="907"/>
      <c r="S768" s="907"/>
      <c r="T768" s="907"/>
      <c r="U768" s="907"/>
      <c r="V768" s="907"/>
      <c r="W768" s="907"/>
      <c r="X768" s="907"/>
      <c r="Y768" s="907"/>
      <c r="Z768" s="907"/>
      <c r="AA768" s="907"/>
      <c r="AB768" s="907"/>
      <c r="AC768" s="907"/>
    </row>
    <row r="769" spans="1:29">
      <c r="A769" s="907"/>
      <c r="B769" s="907"/>
      <c r="C769" s="907"/>
      <c r="D769" s="907"/>
      <c r="E769" s="907"/>
      <c r="F769" s="907"/>
      <c r="G769" s="907"/>
      <c r="H769" s="907"/>
      <c r="I769" s="907"/>
      <c r="J769" s="907"/>
      <c r="K769" s="907"/>
      <c r="L769" s="907"/>
      <c r="M769" s="907"/>
      <c r="N769" s="907"/>
      <c r="O769" s="907"/>
      <c r="P769" s="907"/>
      <c r="Q769" s="907"/>
      <c r="R769" s="907"/>
      <c r="S769" s="907"/>
      <c r="T769" s="907"/>
      <c r="U769" s="907"/>
      <c r="V769" s="907"/>
      <c r="W769" s="907"/>
      <c r="X769" s="907"/>
      <c r="Y769" s="907"/>
      <c r="Z769" s="907"/>
      <c r="AA769" s="907"/>
      <c r="AB769" s="907"/>
      <c r="AC769" s="907"/>
    </row>
    <row r="770" spans="1:29">
      <c r="A770" s="907"/>
      <c r="B770" s="907"/>
      <c r="C770" s="907"/>
      <c r="D770" s="907"/>
      <c r="E770" s="907"/>
      <c r="F770" s="907"/>
      <c r="G770" s="907"/>
      <c r="H770" s="907"/>
      <c r="I770" s="907"/>
      <c r="J770" s="907"/>
      <c r="K770" s="907"/>
      <c r="L770" s="907"/>
      <c r="M770" s="907"/>
      <c r="N770" s="907"/>
      <c r="O770" s="907"/>
      <c r="P770" s="907"/>
      <c r="Q770" s="907"/>
      <c r="R770" s="907"/>
      <c r="S770" s="907"/>
      <c r="T770" s="907"/>
      <c r="U770" s="907"/>
      <c r="V770" s="907"/>
      <c r="W770" s="907"/>
      <c r="X770" s="907"/>
      <c r="Y770" s="907"/>
      <c r="Z770" s="907"/>
      <c r="AA770" s="907"/>
      <c r="AB770" s="907"/>
      <c r="AC770" s="907"/>
    </row>
    <row r="771" spans="1:29">
      <c r="A771" s="907"/>
      <c r="B771" s="907"/>
      <c r="C771" s="907"/>
      <c r="D771" s="907"/>
      <c r="E771" s="907"/>
      <c r="F771" s="907"/>
      <c r="G771" s="907"/>
      <c r="H771" s="907"/>
      <c r="I771" s="907"/>
      <c r="J771" s="907"/>
      <c r="K771" s="907"/>
      <c r="L771" s="907"/>
      <c r="M771" s="907"/>
      <c r="N771" s="907"/>
      <c r="O771" s="907"/>
      <c r="P771" s="907"/>
      <c r="Q771" s="907"/>
      <c r="R771" s="907"/>
      <c r="S771" s="907"/>
      <c r="T771" s="907"/>
      <c r="U771" s="907"/>
      <c r="V771" s="907"/>
      <c r="W771" s="907"/>
      <c r="X771" s="907"/>
      <c r="Y771" s="907"/>
      <c r="Z771" s="907"/>
      <c r="AA771" s="907"/>
      <c r="AB771" s="907"/>
      <c r="AC771" s="907"/>
    </row>
    <row r="772" spans="1:29">
      <c r="A772" s="907"/>
      <c r="B772" s="907"/>
      <c r="C772" s="907"/>
      <c r="D772" s="907"/>
      <c r="E772" s="907"/>
      <c r="F772" s="907"/>
      <c r="G772" s="907"/>
      <c r="H772" s="907"/>
      <c r="I772" s="907"/>
      <c r="J772" s="907"/>
      <c r="K772" s="907"/>
      <c r="L772" s="907"/>
      <c r="M772" s="907"/>
      <c r="N772" s="907"/>
      <c r="O772" s="907"/>
      <c r="P772" s="907"/>
      <c r="Q772" s="907"/>
      <c r="R772" s="907"/>
      <c r="S772" s="907"/>
      <c r="T772" s="907"/>
      <c r="U772" s="907"/>
      <c r="V772" s="907"/>
      <c r="W772" s="907"/>
      <c r="X772" s="907"/>
      <c r="Y772" s="907"/>
      <c r="Z772" s="907"/>
      <c r="AA772" s="907"/>
      <c r="AB772" s="907"/>
      <c r="AC772" s="907"/>
    </row>
    <row r="773" spans="1:29">
      <c r="A773" s="907"/>
      <c r="B773" s="907"/>
      <c r="C773" s="907"/>
      <c r="D773" s="907"/>
      <c r="E773" s="907"/>
      <c r="F773" s="907"/>
      <c r="G773" s="907"/>
      <c r="H773" s="907"/>
      <c r="I773" s="907"/>
      <c r="J773" s="907"/>
      <c r="K773" s="907"/>
      <c r="L773" s="907"/>
      <c r="M773" s="907"/>
      <c r="N773" s="907"/>
      <c r="O773" s="907"/>
      <c r="P773" s="907"/>
      <c r="Q773" s="907"/>
      <c r="R773" s="907"/>
      <c r="S773" s="907"/>
      <c r="T773" s="907"/>
      <c r="U773" s="907"/>
      <c r="V773" s="907"/>
      <c r="W773" s="907"/>
      <c r="X773" s="907"/>
      <c r="Y773" s="907"/>
      <c r="Z773" s="907"/>
      <c r="AA773" s="907"/>
      <c r="AB773" s="907"/>
      <c r="AC773" s="907"/>
    </row>
    <row r="774" spans="1:29">
      <c r="A774" s="907"/>
      <c r="B774" s="907"/>
      <c r="C774" s="907"/>
      <c r="D774" s="907"/>
      <c r="E774" s="907"/>
      <c r="F774" s="907"/>
      <c r="G774" s="907"/>
      <c r="H774" s="907"/>
      <c r="I774" s="907"/>
      <c r="J774" s="907"/>
      <c r="K774" s="907"/>
      <c r="L774" s="907"/>
      <c r="M774" s="907"/>
      <c r="N774" s="907"/>
      <c r="O774" s="907"/>
      <c r="P774" s="907"/>
      <c r="Q774" s="907"/>
      <c r="R774" s="907"/>
      <c r="S774" s="907"/>
      <c r="T774" s="907"/>
      <c r="U774" s="907"/>
      <c r="V774" s="907"/>
      <c r="W774" s="907"/>
      <c r="X774" s="907"/>
      <c r="Y774" s="907"/>
      <c r="Z774" s="907"/>
      <c r="AA774" s="907"/>
      <c r="AB774" s="907"/>
      <c r="AC774" s="907"/>
    </row>
    <row r="775" spans="1:29">
      <c r="A775" s="907"/>
      <c r="B775" s="907"/>
      <c r="C775" s="907"/>
      <c r="D775" s="907"/>
      <c r="E775" s="907"/>
      <c r="F775" s="907"/>
      <c r="G775" s="907"/>
      <c r="H775" s="907"/>
      <c r="I775" s="907"/>
      <c r="J775" s="907"/>
      <c r="K775" s="907"/>
      <c r="L775" s="907"/>
      <c r="M775" s="907"/>
      <c r="N775" s="907"/>
      <c r="O775" s="907"/>
      <c r="P775" s="907"/>
      <c r="Q775" s="907"/>
      <c r="R775" s="907"/>
      <c r="S775" s="907"/>
      <c r="T775" s="907"/>
      <c r="U775" s="907"/>
      <c r="V775" s="907"/>
      <c r="W775" s="907"/>
      <c r="X775" s="907"/>
      <c r="Y775" s="907"/>
      <c r="Z775" s="907"/>
      <c r="AA775" s="907"/>
      <c r="AB775" s="907"/>
      <c r="AC775" s="907"/>
    </row>
    <row r="776" spans="1:29">
      <c r="A776" s="907"/>
      <c r="B776" s="907"/>
      <c r="C776" s="907"/>
      <c r="D776" s="907"/>
      <c r="E776" s="907"/>
      <c r="F776" s="907"/>
      <c r="G776" s="907"/>
      <c r="H776" s="907"/>
      <c r="I776" s="907"/>
      <c r="J776" s="907"/>
      <c r="K776" s="907"/>
      <c r="L776" s="907"/>
      <c r="M776" s="907"/>
      <c r="N776" s="907"/>
      <c r="O776" s="907"/>
      <c r="P776" s="907"/>
      <c r="Q776" s="907"/>
      <c r="R776" s="907"/>
      <c r="S776" s="907"/>
      <c r="T776" s="907"/>
      <c r="U776" s="907"/>
      <c r="V776" s="907"/>
      <c r="W776" s="907"/>
      <c r="X776" s="907"/>
      <c r="Y776" s="907"/>
      <c r="Z776" s="907"/>
      <c r="AA776" s="907"/>
      <c r="AB776" s="907"/>
      <c r="AC776" s="907"/>
    </row>
    <row r="777" spans="1:29">
      <c r="A777" s="907"/>
      <c r="B777" s="907"/>
      <c r="C777" s="907"/>
      <c r="D777" s="907"/>
      <c r="E777" s="907"/>
      <c r="F777" s="907"/>
      <c r="G777" s="907"/>
      <c r="H777" s="907"/>
      <c r="I777" s="907"/>
      <c r="J777" s="907"/>
      <c r="K777" s="907"/>
      <c r="L777" s="907"/>
      <c r="M777" s="907"/>
      <c r="N777" s="907"/>
      <c r="O777" s="907"/>
      <c r="P777" s="907"/>
      <c r="Q777" s="907"/>
      <c r="R777" s="907"/>
      <c r="S777" s="907"/>
      <c r="T777" s="907"/>
      <c r="U777" s="907"/>
      <c r="V777" s="907"/>
      <c r="W777" s="907"/>
      <c r="X777" s="907"/>
      <c r="Y777" s="907"/>
      <c r="Z777" s="907"/>
      <c r="AA777" s="907"/>
      <c r="AB777" s="907"/>
      <c r="AC777" s="907"/>
    </row>
    <row r="778" spans="1:29">
      <c r="A778" s="907"/>
      <c r="B778" s="907"/>
      <c r="C778" s="907"/>
      <c r="D778" s="907"/>
      <c r="E778" s="907"/>
      <c r="F778" s="907"/>
      <c r="G778" s="907"/>
      <c r="H778" s="907"/>
      <c r="I778" s="907"/>
      <c r="J778" s="907"/>
      <c r="K778" s="907"/>
      <c r="L778" s="907"/>
      <c r="M778" s="907"/>
      <c r="N778" s="907"/>
      <c r="O778" s="907"/>
      <c r="P778" s="907"/>
      <c r="Q778" s="907"/>
      <c r="R778" s="907"/>
      <c r="S778" s="907"/>
      <c r="T778" s="907"/>
      <c r="U778" s="907"/>
      <c r="V778" s="907"/>
      <c r="W778" s="907"/>
      <c r="X778" s="907"/>
      <c r="Y778" s="907"/>
      <c r="Z778" s="907"/>
      <c r="AA778" s="907"/>
      <c r="AB778" s="907"/>
      <c r="AC778" s="907"/>
    </row>
  </sheetData>
  <mergeCells count="15">
    <mergeCell ref="A19:A22"/>
    <mergeCell ref="N9:N10"/>
    <mergeCell ref="N16:N18"/>
    <mergeCell ref="A4:A5"/>
    <mergeCell ref="N4:N5"/>
    <mergeCell ref="A7:A8"/>
    <mergeCell ref="N7:N8"/>
    <mergeCell ref="A9:A10"/>
    <mergeCell ref="A11:A15"/>
    <mergeCell ref="A16:A18"/>
    <mergeCell ref="N11:N15"/>
    <mergeCell ref="W12:X13"/>
    <mergeCell ref="Y12:Z13"/>
    <mergeCell ref="T15:T16"/>
    <mergeCell ref="T22:T23"/>
  </mergeCells>
  <phoneticPr fontId="135"/>
  <conditionalFormatting sqref="D1">
    <cfRule type="expression" dxfId="13" priority="1">
      <formula>$AH1="退職"</formula>
    </cfRule>
    <cfRule type="expression" dxfId="12" priority="2">
      <formula>$AG1="退職"</formula>
    </cfRule>
  </conditionalFormatting>
  <printOptions horizontalCentered="1" gridLines="1"/>
  <pageMargins left="0.25" right="0.25" top="0.75" bottom="0.75" header="0" footer="0"/>
  <pageSetup paperSize="9" fitToHeight="0" pageOrder="overThenDown" orientation="landscape"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AA778"/>
  <sheetViews>
    <sheetView workbookViewId="0"/>
  </sheetViews>
  <sheetFormatPr defaultColWidth="12.6328125" defaultRowHeight="15" customHeight="1"/>
  <cols>
    <col min="1" max="1" width="6.453125" customWidth="1"/>
    <col min="2" max="2" width="4" customWidth="1"/>
    <col min="3" max="3" width="6.453125" customWidth="1"/>
    <col min="4" max="4" width="13.453125" customWidth="1"/>
    <col min="5" max="5" width="33.6328125" customWidth="1"/>
    <col min="6" max="6" width="4.6328125" customWidth="1"/>
    <col min="7" max="7" width="9.90625" customWidth="1"/>
    <col min="8" max="8" width="4.6328125" customWidth="1"/>
    <col min="9" max="9" width="12" customWidth="1"/>
    <col min="10" max="10" width="9.90625" customWidth="1"/>
    <col min="11" max="11" width="12" customWidth="1"/>
    <col min="12" max="12" width="8.36328125" customWidth="1"/>
    <col min="13" max="13" width="8.36328125" hidden="1" customWidth="1"/>
    <col min="14" max="14" width="15.36328125" customWidth="1"/>
    <col min="15" max="15" width="12" customWidth="1"/>
    <col min="16" max="16" width="9.90625" customWidth="1"/>
    <col min="17" max="17" width="8.36328125" customWidth="1"/>
    <col min="18" max="18" width="12" customWidth="1"/>
    <col min="19" max="27" width="11.6328125" customWidth="1"/>
  </cols>
  <sheetData>
    <row r="1" spans="1:27">
      <c r="A1" s="907" t="s">
        <v>3562</v>
      </c>
      <c r="B1" s="906"/>
      <c r="C1" s="907"/>
      <c r="D1" s="35" t="s">
        <v>2169</v>
      </c>
      <c r="E1" s="1301" t="s">
        <v>4416</v>
      </c>
      <c r="F1" s="907"/>
      <c r="G1" s="1301"/>
      <c r="H1" s="907"/>
      <c r="I1" s="907"/>
      <c r="J1" s="907"/>
      <c r="K1" s="907">
        <f>COUNTA(C4:C22)</f>
        <v>0</v>
      </c>
      <c r="L1" s="907" t="s">
        <v>4421</v>
      </c>
      <c r="M1" s="907"/>
      <c r="N1" s="907" t="s">
        <v>4422</v>
      </c>
      <c r="O1" s="907"/>
      <c r="T1" s="1679">
        <v>6</v>
      </c>
      <c r="U1" s="1602"/>
      <c r="V1" s="907"/>
      <c r="W1" s="907"/>
      <c r="X1" s="907"/>
      <c r="Y1" s="907"/>
      <c r="Z1" s="907"/>
      <c r="AA1" s="907"/>
    </row>
    <row r="2" spans="1:27">
      <c r="A2" s="907"/>
      <c r="B2" s="906"/>
      <c r="C2" s="907"/>
      <c r="D2" s="907" t="s">
        <v>4416</v>
      </c>
      <c r="E2" s="907"/>
      <c r="F2" s="907"/>
      <c r="G2" s="907"/>
      <c r="H2" s="907"/>
      <c r="I2" s="907"/>
      <c r="J2" s="907"/>
      <c r="K2" s="907"/>
      <c r="L2" s="907"/>
      <c r="M2" s="907"/>
      <c r="N2" s="907"/>
      <c r="O2" s="907"/>
      <c r="T2" s="1602"/>
      <c r="U2" s="1602"/>
      <c r="Y2" s="907"/>
      <c r="Z2" s="907"/>
      <c r="AA2" s="907"/>
    </row>
    <row r="3" spans="1:27">
      <c r="A3" s="1251" t="s">
        <v>4261</v>
      </c>
      <c r="B3" s="1252" t="str">
        <f ca="1">IFERROR(__xludf.DUMMYFUNCTION("QUERY('管理表'!A:AP,""select B,C,D,G,J,K,L,N,O,Q,T where ((C = '津吉' and R = '""&amp;$D$1&amp;$N4&amp;""'and S = '""&amp;$A4&amp;""')) and not(AH = '退職')"",1)"),"No")</f>
        <v>No</v>
      </c>
      <c r="C3" s="1252" t="str">
        <f ca="1">IFERROR(__xludf.DUMMYFUNCTION("""COMPUTED_VALUE"""),"勤務地")</f>
        <v>勤務地</v>
      </c>
      <c r="D3" s="1252" t="str">
        <f ca="1">IFERROR(__xludf.DUMMYFUNCTION("""COMPUTED_VALUE"""),"国籍")</f>
        <v>国籍</v>
      </c>
      <c r="E3" s="1252" t="str">
        <f ca="1">IFERROR(__xludf.DUMMYFUNCTION("""COMPUTED_VALUE"""),"フリガナ")</f>
        <v>フリガナ</v>
      </c>
      <c r="F3" s="1252" t="str">
        <f ca="1">IFERROR(__xludf.DUMMYFUNCTION("""COMPUTED_VALUE"""),"性別")</f>
        <v>性別</v>
      </c>
      <c r="G3" s="1252" t="str">
        <f ca="1">IFERROR(__xludf.DUMMYFUNCTION("""COMPUTED_VALUE"""),"生年月日")</f>
        <v>生年月日</v>
      </c>
      <c r="H3" s="1252" t="str">
        <f ca="1">IFERROR(__xludf.DUMMYFUNCTION("""COMPUTED_VALUE"""),"年齢")</f>
        <v>年齢</v>
      </c>
      <c r="I3" s="1252" t="str">
        <f ca="1">IFERROR(__xludf.DUMMYFUNCTION("""COMPUTED_VALUE"""),"登録支援機関")</f>
        <v>登録支援機関</v>
      </c>
      <c r="J3" s="1252" t="str">
        <f ca="1">IFERROR(__xludf.DUMMYFUNCTION("""COMPUTED_VALUE"""),"入社日")</f>
        <v>入社日</v>
      </c>
      <c r="K3" s="1252" t="str">
        <f ca="1">IFERROR(__xludf.DUMMYFUNCTION("""COMPUTED_VALUE"""),"実習区分")</f>
        <v>実習区分</v>
      </c>
      <c r="L3" s="1253" t="str">
        <f ca="1">IFERROR(__xludf.DUMMYFUNCTION("""COMPUTED_VALUE"""),"家賃負担")</f>
        <v>家賃負担</v>
      </c>
      <c r="M3" s="1252"/>
      <c r="N3" s="1254" t="s">
        <v>4262</v>
      </c>
      <c r="O3" s="907"/>
      <c r="T3" s="1602"/>
      <c r="U3" s="1602"/>
      <c r="Y3" s="907"/>
      <c r="Z3" s="907"/>
      <c r="AA3" s="907"/>
    </row>
    <row r="4" spans="1:27">
      <c r="A4" s="1673" t="s">
        <v>4417</v>
      </c>
      <c r="B4" s="1302" t="str">
        <f ca="1">IFERROR(__xludf.DUMMYFUNCTION("QUERY('管理表'!A:AP,""select B,C,D,G,J,K,L,N,O,Q,T where ((C = '津吉' and R = '""&amp;$D$1&amp;""' and S = '""&amp;$N$4&amp;""')) and not(AH = '退職')"",0)"),"#REF!")</f>
        <v>#REF!</v>
      </c>
      <c r="C4" s="1302"/>
      <c r="D4" s="1302"/>
      <c r="E4" s="1258" t="s">
        <v>2166</v>
      </c>
      <c r="F4" s="1302"/>
      <c r="G4" s="1302"/>
      <c r="H4" s="1302"/>
      <c r="I4" s="1302"/>
      <c r="J4" s="1302"/>
      <c r="K4" s="1302"/>
      <c r="L4" s="1303">
        <v>15000</v>
      </c>
      <c r="M4" s="1260"/>
      <c r="N4" s="1675" t="s">
        <v>1687</v>
      </c>
      <c r="O4" s="1304" t="s">
        <v>4423</v>
      </c>
      <c r="P4" s="1305"/>
      <c r="Q4" s="1305"/>
      <c r="Y4" s="907"/>
      <c r="Z4" s="907"/>
      <c r="AA4" s="907"/>
    </row>
    <row r="5" spans="1:27">
      <c r="A5" s="1674"/>
      <c r="B5" s="1264"/>
      <c r="C5" s="1264"/>
      <c r="D5" s="1264"/>
      <c r="E5" s="1306" t="s">
        <v>2178</v>
      </c>
      <c r="F5" s="1264"/>
      <c r="G5" s="1264"/>
      <c r="H5" s="1264"/>
      <c r="I5" s="1264"/>
      <c r="J5" s="1264"/>
      <c r="K5" s="1264"/>
      <c r="L5" s="1266">
        <v>15000</v>
      </c>
      <c r="M5" s="1267"/>
      <c r="N5" s="1667"/>
      <c r="O5" s="1304" t="s">
        <v>4423</v>
      </c>
      <c r="P5" s="1305"/>
      <c r="Q5" s="1305"/>
      <c r="Y5" s="907"/>
      <c r="Z5" s="907"/>
      <c r="AA5" s="907"/>
    </row>
    <row r="6" spans="1:27">
      <c r="A6" s="1268" t="s">
        <v>4418</v>
      </c>
      <c r="B6" s="923"/>
      <c r="C6" s="923"/>
      <c r="D6" s="923"/>
      <c r="E6" s="947" t="s">
        <v>2190</v>
      </c>
      <c r="F6" s="923"/>
      <c r="G6" s="923"/>
      <c r="H6" s="923"/>
      <c r="I6" s="923"/>
      <c r="J6" s="923"/>
      <c r="K6" s="923"/>
      <c r="L6" s="1269">
        <v>15000</v>
      </c>
      <c r="M6" s="1267"/>
      <c r="N6" s="1270"/>
      <c r="O6" s="1304" t="s">
        <v>4423</v>
      </c>
      <c r="P6" s="1305"/>
      <c r="Q6" s="1305"/>
      <c r="R6" s="1307"/>
      <c r="S6" s="1308"/>
      <c r="T6" s="1307"/>
      <c r="U6" s="1309"/>
      <c r="V6" s="1307"/>
      <c r="W6" s="1309"/>
      <c r="Y6" s="907"/>
      <c r="Z6" s="907"/>
      <c r="AA6" s="907"/>
    </row>
    <row r="7" spans="1:27">
      <c r="A7" s="1676" t="s">
        <v>4417</v>
      </c>
      <c r="B7" s="923"/>
      <c r="C7" s="923"/>
      <c r="D7" s="923"/>
      <c r="E7" s="923"/>
      <c r="F7" s="923"/>
      <c r="G7" s="923"/>
      <c r="H7" s="923"/>
      <c r="I7" s="923"/>
      <c r="J7" s="923"/>
      <c r="K7" s="923"/>
      <c r="L7" s="1269"/>
      <c r="M7" s="1267"/>
      <c r="N7" s="1665"/>
      <c r="O7" s="594"/>
      <c r="R7" s="1310"/>
      <c r="S7" s="1311"/>
      <c r="T7" s="1310"/>
      <c r="U7" s="1312"/>
      <c r="V7" s="1310"/>
      <c r="W7" s="1312"/>
      <c r="Y7" s="907"/>
      <c r="Z7" s="907"/>
      <c r="AA7" s="907"/>
    </row>
    <row r="8" spans="1:27">
      <c r="A8" s="1674"/>
      <c r="B8" s="923"/>
      <c r="C8" s="923"/>
      <c r="D8" s="923"/>
      <c r="E8" s="1207"/>
      <c r="F8" s="923"/>
      <c r="G8" s="923"/>
      <c r="H8" s="923"/>
      <c r="I8" s="923"/>
      <c r="J8" s="923"/>
      <c r="K8" s="923"/>
      <c r="L8" s="1269"/>
      <c r="M8" s="1267"/>
      <c r="N8" s="1667"/>
      <c r="O8" s="918"/>
      <c r="R8" s="1313" t="s">
        <v>4424</v>
      </c>
      <c r="S8" s="1314" t="s">
        <v>4425</v>
      </c>
      <c r="T8" s="1310"/>
      <c r="U8" s="1312"/>
      <c r="V8" s="1313" t="s">
        <v>4426</v>
      </c>
      <c r="W8" s="1315" t="s">
        <v>4427</v>
      </c>
      <c r="Y8" s="907"/>
      <c r="Z8" s="907"/>
      <c r="AA8" s="907"/>
    </row>
    <row r="9" spans="1:27">
      <c r="A9" s="1676" t="s">
        <v>4417</v>
      </c>
      <c r="B9" s="923"/>
      <c r="C9" s="923"/>
      <c r="D9" s="923"/>
      <c r="E9" s="923"/>
      <c r="F9" s="923"/>
      <c r="G9" s="923"/>
      <c r="H9" s="923"/>
      <c r="I9" s="923"/>
      <c r="J9" s="923"/>
      <c r="K9" s="923"/>
      <c r="L9" s="1269"/>
      <c r="M9" s="1267"/>
      <c r="N9" s="1665"/>
      <c r="O9" s="918"/>
      <c r="R9" s="1139"/>
      <c r="S9" s="1316" t="s">
        <v>4428</v>
      </c>
      <c r="T9" s="1139" t="s">
        <v>4420</v>
      </c>
      <c r="U9" s="1317"/>
      <c r="V9" s="1310"/>
      <c r="W9" s="1317"/>
      <c r="X9" s="907"/>
      <c r="Y9" s="907"/>
      <c r="Z9" s="907"/>
      <c r="AA9" s="907"/>
    </row>
    <row r="10" spans="1:27">
      <c r="A10" s="1674"/>
      <c r="B10" s="1128"/>
      <c r="C10" s="923"/>
      <c r="D10" s="923"/>
      <c r="E10" s="923"/>
      <c r="F10" s="923"/>
      <c r="G10" s="923"/>
      <c r="H10" s="923"/>
      <c r="I10" s="923"/>
      <c r="J10" s="923"/>
      <c r="K10" s="923"/>
      <c r="L10" s="1276"/>
      <c r="M10" s="1277"/>
      <c r="N10" s="1667"/>
      <c r="O10" s="907"/>
      <c r="R10" s="1139"/>
      <c r="S10" s="1316"/>
      <c r="T10" s="1139"/>
      <c r="U10" s="1317"/>
      <c r="V10" s="1310"/>
      <c r="W10" s="1317"/>
      <c r="X10" s="907"/>
      <c r="Y10" s="907"/>
      <c r="Z10" s="907"/>
      <c r="AA10" s="907"/>
    </row>
    <row r="11" spans="1:27">
      <c r="A11" s="1676" t="s">
        <v>4429</v>
      </c>
      <c r="B11" s="923"/>
      <c r="C11" s="923"/>
      <c r="D11" s="923"/>
      <c r="E11" s="923"/>
      <c r="F11" s="923"/>
      <c r="G11" s="923"/>
      <c r="H11" s="923"/>
      <c r="I11" s="923"/>
      <c r="J11" s="923"/>
      <c r="K11" s="923"/>
      <c r="L11" s="1276"/>
      <c r="M11" s="1277"/>
      <c r="N11" s="1665"/>
      <c r="O11" s="907"/>
      <c r="R11" s="1139"/>
      <c r="S11" s="1316"/>
      <c r="T11" s="1139"/>
      <c r="U11" s="1317"/>
      <c r="V11" s="1310"/>
      <c r="W11" s="1317"/>
      <c r="X11" s="907"/>
      <c r="Y11" s="907"/>
      <c r="Z11" s="907"/>
      <c r="AA11" s="907"/>
    </row>
    <row r="12" spans="1:27">
      <c r="A12" s="1677"/>
      <c r="B12" s="923"/>
      <c r="C12" s="923"/>
      <c r="D12" s="923"/>
      <c r="E12" s="923"/>
      <c r="F12" s="923"/>
      <c r="G12" s="923"/>
      <c r="H12" s="923"/>
      <c r="I12" s="923"/>
      <c r="J12" s="923"/>
      <c r="K12" s="923"/>
      <c r="L12" s="1276"/>
      <c r="M12" s="1277"/>
      <c r="N12" s="1666"/>
      <c r="O12" s="907"/>
      <c r="R12" s="1318"/>
      <c r="S12" s="1319"/>
      <c r="T12" s="1318"/>
      <c r="U12" s="1320"/>
      <c r="V12" s="1321"/>
      <c r="W12" s="1320"/>
      <c r="X12" s="907"/>
      <c r="Y12" s="907"/>
      <c r="Z12" s="907"/>
      <c r="AA12" s="907"/>
    </row>
    <row r="13" spans="1:27">
      <c r="A13" s="1677"/>
      <c r="B13" s="923"/>
      <c r="C13" s="923"/>
      <c r="D13" s="923"/>
      <c r="E13" s="923"/>
      <c r="F13" s="923"/>
      <c r="G13" s="923"/>
      <c r="H13" s="923"/>
      <c r="I13" s="923"/>
      <c r="J13" s="923"/>
      <c r="K13" s="923"/>
      <c r="L13" s="1276"/>
      <c r="M13" s="1277"/>
      <c r="N13" s="1666"/>
      <c r="O13" s="918"/>
      <c r="R13" s="1322"/>
      <c r="S13" s="1323"/>
      <c r="T13" s="1322"/>
      <c r="U13" s="1323"/>
      <c r="V13" s="1307"/>
      <c r="W13" s="1323"/>
      <c r="X13" s="907"/>
      <c r="Y13" s="907"/>
      <c r="Z13" s="907"/>
      <c r="AA13" s="907"/>
    </row>
    <row r="14" spans="1:27">
      <c r="A14" s="1677"/>
      <c r="B14" s="923"/>
      <c r="C14" s="923"/>
      <c r="D14" s="923"/>
      <c r="E14" s="1207"/>
      <c r="F14" s="923"/>
      <c r="G14" s="923"/>
      <c r="H14" s="923"/>
      <c r="I14" s="923"/>
      <c r="J14" s="923"/>
      <c r="K14" s="923"/>
      <c r="L14" s="1276"/>
      <c r="M14" s="1277"/>
      <c r="N14" s="1666"/>
      <c r="O14" s="907"/>
      <c r="R14" s="1139" t="s">
        <v>4430</v>
      </c>
      <c r="S14" s="1317"/>
      <c r="T14" s="1139"/>
      <c r="U14" s="1317"/>
      <c r="V14" s="1310"/>
      <c r="W14" s="1317"/>
      <c r="X14" s="907"/>
      <c r="Y14" s="907"/>
      <c r="Z14" s="907"/>
      <c r="AA14" s="907"/>
    </row>
    <row r="15" spans="1:27">
      <c r="A15" s="1674"/>
      <c r="B15" s="923"/>
      <c r="C15" s="923"/>
      <c r="D15" s="923"/>
      <c r="E15" s="1207"/>
      <c r="F15" s="923"/>
      <c r="G15" s="923"/>
      <c r="H15" s="923"/>
      <c r="I15" s="923"/>
      <c r="J15" s="923"/>
      <c r="K15" s="923"/>
      <c r="L15" s="1276"/>
      <c r="M15" s="1277"/>
      <c r="N15" s="1667"/>
      <c r="O15" s="907"/>
      <c r="R15" s="1139"/>
      <c r="S15" s="1312"/>
      <c r="T15" s="1313" t="s">
        <v>3312</v>
      </c>
      <c r="U15" s="1315" t="s">
        <v>4427</v>
      </c>
      <c r="V15" s="1313" t="s">
        <v>3312</v>
      </c>
      <c r="W15" s="1315" t="s">
        <v>4427</v>
      </c>
      <c r="X15" s="907"/>
      <c r="AA15" s="907"/>
    </row>
    <row r="16" spans="1:27">
      <c r="A16" s="1676" t="s">
        <v>4431</v>
      </c>
      <c r="B16" s="923"/>
      <c r="C16" s="923"/>
      <c r="D16" s="923"/>
      <c r="E16" s="923"/>
      <c r="F16" s="923"/>
      <c r="G16" s="923"/>
      <c r="H16" s="923"/>
      <c r="I16" s="923"/>
      <c r="J16" s="923"/>
      <c r="K16" s="923"/>
      <c r="L16" s="1276"/>
      <c r="M16" s="1277"/>
      <c r="N16" s="1665"/>
      <c r="O16" s="907"/>
      <c r="R16" s="1139"/>
      <c r="S16" s="1312"/>
      <c r="T16" s="1310"/>
      <c r="U16" s="1312"/>
      <c r="V16" s="1310"/>
      <c r="W16" s="1312"/>
      <c r="X16" s="907"/>
      <c r="Y16" s="907"/>
      <c r="Z16" s="907"/>
      <c r="AA16" s="907"/>
    </row>
    <row r="17" spans="1:27">
      <c r="A17" s="1677"/>
      <c r="B17" s="923"/>
      <c r="C17" s="923"/>
      <c r="D17" s="923"/>
      <c r="E17" s="923"/>
      <c r="F17" s="923"/>
      <c r="G17" s="923"/>
      <c r="H17" s="923"/>
      <c r="I17" s="923"/>
      <c r="J17" s="923"/>
      <c r="K17" s="923"/>
      <c r="L17" s="1276"/>
      <c r="M17" s="1277"/>
      <c r="N17" s="1666"/>
      <c r="O17" s="907"/>
      <c r="R17" s="1139"/>
      <c r="S17" s="1317"/>
      <c r="T17" s="1139"/>
      <c r="U17" s="1317"/>
      <c r="V17" s="1310"/>
      <c r="W17" s="1312"/>
      <c r="X17" s="907"/>
      <c r="Y17" s="907"/>
      <c r="Z17" s="907"/>
      <c r="AA17" s="907"/>
    </row>
    <row r="18" spans="1:27">
      <c r="A18" s="1672"/>
      <c r="B18" s="1282"/>
      <c r="C18" s="1282"/>
      <c r="D18" s="1282"/>
      <c r="E18" s="1282"/>
      <c r="F18" s="1282"/>
      <c r="G18" s="1282"/>
      <c r="H18" s="1282"/>
      <c r="I18" s="1282"/>
      <c r="J18" s="1282"/>
      <c r="K18" s="1282"/>
      <c r="L18" s="1283"/>
      <c r="M18" s="1284"/>
      <c r="N18" s="1670"/>
      <c r="O18" s="907"/>
      <c r="R18" s="1318"/>
      <c r="S18" s="1320"/>
      <c r="T18" s="1318"/>
      <c r="U18" s="1324"/>
      <c r="V18" s="1318"/>
      <c r="W18" s="1320"/>
      <c r="X18" s="907"/>
      <c r="Y18" s="907"/>
      <c r="Z18" s="907"/>
      <c r="AA18" s="907"/>
    </row>
    <row r="19" spans="1:27">
      <c r="A19" s="1678"/>
      <c r="B19" s="1285" t="str">
        <f ca="1">IFERROR(__xludf.DUMMYFUNCTION("QUERY('管理表'!A:AP,""select B,C,D,G,J,K,L,N,O,Q,T where ((C = '津吉' and R = '""&amp;$D$1&amp;""' and S = '""&amp;$N$19&amp;""')) and not(AH = '退職')"",0)"),"#N/A")</f>
        <v>#N/A</v>
      </c>
      <c r="C19" s="1285"/>
      <c r="D19" s="1285"/>
      <c r="E19" s="1285"/>
      <c r="F19" s="1285"/>
      <c r="G19" s="1285"/>
      <c r="H19" s="1285"/>
      <c r="I19" s="1285"/>
      <c r="J19" s="1285"/>
      <c r="K19" s="1285"/>
      <c r="L19" s="1286"/>
      <c r="M19" s="1285"/>
      <c r="N19" s="1287"/>
      <c r="O19" s="907"/>
      <c r="R19" s="907"/>
      <c r="S19" s="907"/>
      <c r="T19" s="907"/>
      <c r="V19" s="907"/>
      <c r="W19" s="907"/>
      <c r="X19" s="907"/>
      <c r="AA19" s="907"/>
    </row>
    <row r="20" spans="1:27">
      <c r="A20" s="1677"/>
      <c r="B20" s="1288" t="str">
        <f ca="1">IFERROR(__xludf.DUMMYFUNCTION("QUERY('管理表'!A:AP,""select B,C,D,G,J,K,L,N,O,Q,T where ((C = '津吉' and R = '""&amp;$D$1&amp;""' and S = '""&amp;$N$20&amp;""')) and not(AH = '退職')"",0)"),"#N/A")</f>
        <v>#N/A</v>
      </c>
      <c r="C20" s="1288"/>
      <c r="D20" s="1288"/>
      <c r="E20" s="1289"/>
      <c r="F20" s="1288"/>
      <c r="G20" s="1288"/>
      <c r="H20" s="1288"/>
      <c r="I20" s="1288"/>
      <c r="J20" s="1288"/>
      <c r="K20" s="1288"/>
      <c r="L20" s="1288"/>
      <c r="M20" s="1288"/>
      <c r="N20" s="1325"/>
      <c r="O20" s="918"/>
      <c r="P20" s="907"/>
      <c r="Q20" s="907"/>
      <c r="R20" s="907"/>
      <c r="S20" s="907"/>
      <c r="V20" s="907"/>
      <c r="W20" s="907"/>
      <c r="X20" s="907"/>
      <c r="AA20" s="907"/>
    </row>
    <row r="21" spans="1:27">
      <c r="A21" s="1677"/>
      <c r="B21" s="1288" t="str">
        <f ca="1">IFERROR(__xludf.DUMMYFUNCTION("QUERY('管理表'!A:AP,""select B,C,D,G,J,K,L,N,O,Q,T where ((C = '津吉' and R = '""&amp;$D$1&amp;""' and S = '""&amp;$N$21&amp;""')) and not(AH = '退職')"",0)"),"#N/A")</f>
        <v>#N/A</v>
      </c>
      <c r="C21" s="1288"/>
      <c r="D21" s="1288"/>
      <c r="E21" s="1288"/>
      <c r="F21" s="1288"/>
      <c r="G21" s="1288"/>
      <c r="H21" s="1288"/>
      <c r="I21" s="1288"/>
      <c r="J21" s="1288"/>
      <c r="K21" s="1288"/>
      <c r="L21" s="1288"/>
      <c r="M21" s="1288"/>
      <c r="N21" s="1326"/>
      <c r="O21" s="907"/>
      <c r="P21" s="907"/>
      <c r="Q21" s="907"/>
      <c r="R21" s="907"/>
      <c r="S21" s="907"/>
      <c r="V21" s="907"/>
      <c r="W21" s="907"/>
      <c r="X21" s="907"/>
      <c r="AA21" s="907"/>
    </row>
    <row r="22" spans="1:27">
      <c r="A22" s="1672"/>
      <c r="B22" s="1292" t="str">
        <f ca="1">IFERROR(__xludf.DUMMYFUNCTION("QUERY('管理表'!A:AP,""select B,C,D,G,J,K,L,N,O,Q,T where ((C = '津吉' and R = '""&amp;$D$1&amp;""' and S = '""&amp;$N$22&amp;""')) and not(AH = '退職')"",0)"),"#N/A")</f>
        <v>#N/A</v>
      </c>
      <c r="C22" s="1292"/>
      <c r="D22" s="1292"/>
      <c r="E22" s="1293"/>
      <c r="F22" s="1292"/>
      <c r="G22" s="1292"/>
      <c r="H22" s="1292"/>
      <c r="I22" s="1292"/>
      <c r="J22" s="1292"/>
      <c r="K22" s="1292"/>
      <c r="L22" s="1292"/>
      <c r="M22" s="1292"/>
      <c r="N22" s="1327"/>
      <c r="O22" s="918"/>
      <c r="R22" s="907"/>
      <c r="S22" s="918"/>
      <c r="V22" s="907"/>
      <c r="W22" s="907"/>
      <c r="X22" s="907"/>
      <c r="AA22" s="907"/>
    </row>
    <row r="23" spans="1:27">
      <c r="A23" s="907"/>
      <c r="B23" s="907"/>
      <c r="C23" s="907"/>
      <c r="D23" s="907"/>
      <c r="E23" s="907"/>
      <c r="F23" s="907"/>
      <c r="G23" s="907"/>
      <c r="H23" s="907"/>
      <c r="I23" s="907"/>
      <c r="J23" s="907"/>
      <c r="K23" s="907"/>
      <c r="L23" s="907"/>
      <c r="M23" s="907"/>
      <c r="N23" s="907"/>
      <c r="O23" s="907"/>
      <c r="R23" s="907"/>
      <c r="V23" s="907"/>
      <c r="W23" s="907"/>
      <c r="X23" s="907"/>
      <c r="AA23" s="907"/>
    </row>
    <row r="24" spans="1:27">
      <c r="A24" s="907"/>
      <c r="B24" s="907"/>
      <c r="C24" s="907"/>
      <c r="D24" s="907"/>
      <c r="E24" s="907"/>
      <c r="F24" s="907"/>
      <c r="G24" s="907"/>
      <c r="H24" s="907"/>
      <c r="I24" s="907"/>
      <c r="J24" s="907"/>
      <c r="K24" s="907"/>
      <c r="L24" s="907"/>
      <c r="M24" s="907"/>
      <c r="N24" s="907"/>
      <c r="O24" s="907" t="s">
        <v>4432</v>
      </c>
      <c r="AA24" s="907"/>
    </row>
    <row r="25" spans="1:27">
      <c r="A25" s="907"/>
      <c r="B25" s="907"/>
      <c r="C25" s="907"/>
      <c r="D25" s="907"/>
      <c r="E25" s="907"/>
      <c r="F25" s="907"/>
      <c r="G25" s="907"/>
      <c r="H25" s="907"/>
      <c r="I25" s="907"/>
      <c r="J25" s="907"/>
      <c r="K25" s="907"/>
      <c r="L25" s="907"/>
      <c r="M25" s="907"/>
      <c r="N25" s="907"/>
      <c r="O25" s="907"/>
      <c r="AA25" s="907"/>
    </row>
    <row r="26" spans="1:27">
      <c r="A26" s="907"/>
      <c r="B26" s="907"/>
      <c r="C26" s="907"/>
      <c r="D26" s="907"/>
      <c r="E26" s="907"/>
      <c r="F26" s="907"/>
      <c r="G26" s="907"/>
      <c r="H26" s="907"/>
      <c r="I26" s="907"/>
      <c r="J26" s="907"/>
      <c r="K26" s="907"/>
      <c r="L26" s="907"/>
      <c r="M26" s="907"/>
      <c r="N26" s="907"/>
      <c r="O26" s="907"/>
      <c r="AA26" s="907"/>
    </row>
    <row r="27" spans="1:27">
      <c r="A27" s="907"/>
      <c r="B27" s="907"/>
      <c r="C27" s="907"/>
      <c r="D27" s="907"/>
      <c r="E27" s="907"/>
      <c r="F27" s="907"/>
      <c r="G27" s="907"/>
      <c r="H27" s="907"/>
      <c r="I27" s="907"/>
      <c r="J27" s="907"/>
      <c r="K27" s="907"/>
      <c r="L27" s="907"/>
      <c r="M27" s="907"/>
      <c r="N27" s="907"/>
      <c r="O27" s="907"/>
      <c r="AA27" s="907"/>
    </row>
    <row r="28" spans="1:27">
      <c r="A28" s="907"/>
      <c r="B28" s="907"/>
      <c r="C28" s="907"/>
      <c r="D28" s="907"/>
      <c r="E28" s="907"/>
      <c r="F28" s="907"/>
      <c r="G28" s="907"/>
      <c r="AA28" s="907"/>
    </row>
    <row r="29" spans="1:27">
      <c r="A29" s="907"/>
      <c r="B29" s="907"/>
      <c r="C29" s="907"/>
      <c r="D29" s="907"/>
      <c r="E29" s="907"/>
      <c r="F29" s="907"/>
      <c r="G29" s="907"/>
      <c r="AA29" s="907"/>
    </row>
    <row r="30" spans="1:27">
      <c r="A30" s="907"/>
      <c r="B30" s="907"/>
      <c r="C30" s="907"/>
      <c r="D30" s="907"/>
      <c r="E30" s="907"/>
      <c r="F30" s="907"/>
      <c r="G30" s="907"/>
      <c r="AA30" s="907"/>
    </row>
    <row r="31" spans="1:27">
      <c r="A31" s="907"/>
      <c r="B31" s="907"/>
      <c r="C31" s="907"/>
      <c r="D31" s="907"/>
      <c r="E31" s="907"/>
      <c r="F31" s="907"/>
      <c r="G31" s="907"/>
      <c r="AA31" s="907"/>
    </row>
    <row r="32" spans="1:27">
      <c r="A32" s="907"/>
      <c r="B32" s="907"/>
      <c r="C32" s="907"/>
      <c r="D32" s="907"/>
      <c r="E32" s="907"/>
      <c r="F32" s="907"/>
      <c r="G32" s="907"/>
      <c r="U32" s="907"/>
      <c r="AA32" s="907"/>
    </row>
    <row r="33" spans="1:27">
      <c r="A33" s="907"/>
      <c r="B33" s="907"/>
      <c r="C33" s="907"/>
      <c r="D33" s="907"/>
      <c r="E33" s="907"/>
      <c r="F33" s="907"/>
      <c r="G33" s="907"/>
      <c r="U33" s="907"/>
      <c r="AA33" s="907"/>
    </row>
    <row r="34" spans="1:27">
      <c r="A34" s="907"/>
      <c r="B34" s="907"/>
      <c r="C34" s="907"/>
      <c r="D34" s="907"/>
      <c r="E34" s="907"/>
      <c r="F34" s="907"/>
      <c r="G34" s="907"/>
      <c r="U34" s="907"/>
      <c r="AA34" s="907"/>
    </row>
    <row r="35" spans="1:27">
      <c r="A35" s="907"/>
      <c r="B35" s="907"/>
      <c r="C35" s="907"/>
      <c r="D35" s="907"/>
      <c r="E35" s="907"/>
      <c r="F35" s="907"/>
      <c r="G35" s="907"/>
      <c r="U35" s="907"/>
      <c r="AA35" s="907"/>
    </row>
    <row r="36" spans="1:27">
      <c r="A36" s="907"/>
      <c r="B36" s="907"/>
      <c r="C36" s="907"/>
      <c r="D36" s="907"/>
      <c r="E36" s="907"/>
      <c r="F36" s="907"/>
      <c r="G36" s="907"/>
      <c r="U36" s="907"/>
      <c r="AA36" s="907"/>
    </row>
    <row r="37" spans="1:27">
      <c r="A37" s="907"/>
      <c r="B37" s="907"/>
      <c r="C37" s="907"/>
      <c r="D37" s="907"/>
      <c r="E37" s="907"/>
      <c r="F37" s="907"/>
      <c r="G37" s="907"/>
      <c r="U37" s="907"/>
      <c r="AA37" s="907"/>
    </row>
    <row r="38" spans="1:27">
      <c r="A38" s="907"/>
      <c r="B38" s="907"/>
      <c r="C38" s="907"/>
      <c r="D38" s="907"/>
      <c r="E38" s="907"/>
      <c r="F38" s="907"/>
      <c r="G38" s="907"/>
      <c r="U38" s="907"/>
      <c r="AA38" s="907"/>
    </row>
    <row r="39" spans="1:27">
      <c r="A39" s="907"/>
      <c r="B39" s="907"/>
      <c r="C39" s="907"/>
      <c r="D39" s="907"/>
      <c r="E39" s="907"/>
      <c r="F39" s="907"/>
      <c r="G39" s="907"/>
      <c r="U39" s="907"/>
    </row>
    <row r="40" spans="1:27">
      <c r="A40" s="907"/>
      <c r="B40" s="907"/>
      <c r="C40" s="907"/>
      <c r="D40" s="907"/>
      <c r="E40" s="907"/>
      <c r="F40" s="907"/>
      <c r="G40" s="907"/>
      <c r="Q40" s="907"/>
      <c r="R40" s="907"/>
      <c r="U40" s="907"/>
    </row>
    <row r="41" spans="1:27">
      <c r="A41" s="907"/>
      <c r="B41" s="907"/>
      <c r="C41" s="907"/>
      <c r="D41" s="907"/>
      <c r="E41" s="907"/>
      <c r="F41" s="907"/>
      <c r="G41" s="907"/>
      <c r="Q41" s="907"/>
      <c r="R41" s="907"/>
      <c r="U41" s="907"/>
    </row>
    <row r="42" spans="1:27">
      <c r="A42" s="907"/>
      <c r="B42" s="907"/>
      <c r="C42" s="907"/>
      <c r="D42" s="907"/>
      <c r="E42" s="907"/>
      <c r="F42" s="907"/>
      <c r="G42" s="907"/>
      <c r="S42" s="907"/>
      <c r="T42" s="907"/>
      <c r="U42" s="907"/>
      <c r="V42" s="907"/>
      <c r="W42" s="907"/>
      <c r="X42" s="907"/>
      <c r="Y42" s="907"/>
      <c r="Z42" s="907"/>
    </row>
    <row r="43" spans="1:27">
      <c r="A43" s="907"/>
      <c r="B43" s="907"/>
      <c r="C43" s="907"/>
      <c r="D43" s="907"/>
      <c r="E43" s="907"/>
      <c r="F43" s="907"/>
      <c r="G43" s="907"/>
      <c r="S43" s="907"/>
      <c r="T43" s="907"/>
      <c r="U43" s="907"/>
      <c r="V43" s="907"/>
      <c r="W43" s="907"/>
      <c r="X43" s="907"/>
      <c r="Y43" s="907"/>
      <c r="Z43" s="907"/>
    </row>
    <row r="44" spans="1:27">
      <c r="A44" s="907"/>
      <c r="B44" s="907"/>
      <c r="C44" s="907"/>
      <c r="D44" s="907"/>
      <c r="E44" s="907"/>
      <c r="F44" s="907"/>
      <c r="G44" s="907"/>
      <c r="S44" s="907"/>
      <c r="T44" s="907"/>
      <c r="U44" s="907"/>
      <c r="V44" s="907"/>
      <c r="W44" s="907"/>
      <c r="X44" s="907"/>
      <c r="Y44" s="907"/>
      <c r="Z44" s="907"/>
    </row>
    <row r="45" spans="1:27">
      <c r="A45" s="907"/>
      <c r="B45" s="907"/>
      <c r="C45" s="907"/>
      <c r="D45" s="907"/>
      <c r="E45" s="907"/>
      <c r="F45" s="907"/>
      <c r="G45" s="907"/>
      <c r="S45" s="907"/>
      <c r="T45" s="907"/>
      <c r="U45" s="907"/>
      <c r="V45" s="907"/>
      <c r="W45" s="907"/>
      <c r="X45" s="907"/>
      <c r="Y45" s="907"/>
      <c r="Z45" s="907"/>
    </row>
    <row r="46" spans="1:27">
      <c r="A46" s="907"/>
      <c r="B46" s="907"/>
      <c r="C46" s="907"/>
      <c r="D46" s="907"/>
      <c r="E46" s="907"/>
      <c r="F46" s="907"/>
      <c r="G46" s="907"/>
      <c r="S46" s="907"/>
      <c r="T46" s="907"/>
      <c r="U46" s="907"/>
      <c r="V46" s="907"/>
      <c r="W46" s="907"/>
      <c r="X46" s="907"/>
      <c r="Y46" s="907"/>
      <c r="Z46" s="907"/>
    </row>
    <row r="47" spans="1:27">
      <c r="A47" s="907"/>
      <c r="B47" s="907"/>
      <c r="C47" s="907"/>
      <c r="D47" s="907"/>
      <c r="E47" s="907"/>
      <c r="F47" s="907"/>
      <c r="G47" s="907"/>
      <c r="Q47" s="907"/>
      <c r="R47" s="907"/>
      <c r="S47" s="907"/>
      <c r="T47" s="907"/>
      <c r="U47" s="907"/>
      <c r="V47" s="907"/>
      <c r="W47" s="907"/>
      <c r="X47" s="907"/>
      <c r="Y47" s="907"/>
      <c r="Z47" s="907"/>
    </row>
    <row r="48" spans="1:27">
      <c r="A48" s="907"/>
      <c r="B48" s="907"/>
      <c r="C48" s="907"/>
      <c r="D48" s="907"/>
      <c r="E48" s="907"/>
      <c r="F48" s="907"/>
      <c r="G48" s="907"/>
      <c r="Q48" s="907"/>
      <c r="R48" s="907"/>
      <c r="S48" s="907"/>
      <c r="T48" s="907"/>
      <c r="U48" s="907"/>
      <c r="V48" s="907"/>
      <c r="W48" s="907"/>
      <c r="X48" s="907"/>
      <c r="Y48" s="907"/>
      <c r="Z48" s="907"/>
    </row>
    <row r="49" spans="1:27">
      <c r="A49" s="907"/>
      <c r="B49" s="907"/>
      <c r="C49" s="907"/>
      <c r="D49" s="907"/>
      <c r="E49" s="907"/>
      <c r="F49" s="907"/>
      <c r="G49" s="907"/>
      <c r="Q49" s="907"/>
      <c r="R49" s="907"/>
      <c r="S49" s="907"/>
      <c r="T49" s="907"/>
      <c r="U49" s="907"/>
      <c r="V49" s="907"/>
      <c r="W49" s="907"/>
      <c r="X49" s="907"/>
      <c r="Y49" s="907"/>
      <c r="Z49" s="907"/>
    </row>
    <row r="50" spans="1:27">
      <c r="A50" s="907"/>
      <c r="B50" s="907"/>
      <c r="C50" s="907"/>
      <c r="D50" s="907"/>
      <c r="E50" s="907"/>
      <c r="F50" s="907"/>
      <c r="G50" s="907"/>
      <c r="H50" s="907"/>
      <c r="I50" s="907"/>
      <c r="J50" s="907"/>
      <c r="K50" s="907"/>
      <c r="L50" s="907"/>
      <c r="M50" s="907"/>
      <c r="N50" s="907"/>
      <c r="O50" s="907"/>
      <c r="P50" s="907"/>
      <c r="Q50" s="907"/>
      <c r="R50" s="907"/>
      <c r="S50" s="907"/>
      <c r="T50" s="907"/>
      <c r="U50" s="907"/>
      <c r="V50" s="907"/>
      <c r="W50" s="907"/>
      <c r="X50" s="907"/>
      <c r="Y50" s="907"/>
      <c r="Z50" s="907"/>
    </row>
    <row r="51" spans="1:27">
      <c r="A51" s="907"/>
      <c r="B51" s="907"/>
      <c r="C51" s="907"/>
      <c r="D51" s="907"/>
      <c r="E51" s="907"/>
      <c r="F51" s="907"/>
      <c r="G51" s="907"/>
      <c r="H51" s="907"/>
      <c r="I51" s="907"/>
      <c r="J51" s="907"/>
      <c r="K51" s="907"/>
      <c r="L51" s="907"/>
      <c r="M51" s="907"/>
      <c r="N51" s="907"/>
      <c r="O51" s="907"/>
      <c r="P51" s="907"/>
      <c r="Q51" s="907"/>
      <c r="R51" s="907"/>
      <c r="S51" s="907"/>
      <c r="T51" s="907"/>
      <c r="U51" s="907"/>
      <c r="V51" s="907"/>
      <c r="W51" s="907"/>
      <c r="X51" s="907"/>
      <c r="Y51" s="907"/>
      <c r="Z51" s="907"/>
    </row>
    <row r="52" spans="1:27">
      <c r="A52" s="907"/>
      <c r="B52" s="907"/>
      <c r="C52" s="907"/>
      <c r="D52" s="907"/>
      <c r="E52" s="907"/>
      <c r="F52" s="907"/>
      <c r="G52" s="907"/>
      <c r="H52" s="907"/>
      <c r="I52" s="907"/>
      <c r="J52" s="907"/>
      <c r="K52" s="907"/>
      <c r="L52" s="907"/>
      <c r="M52" s="907"/>
      <c r="N52" s="907"/>
      <c r="O52" s="907"/>
      <c r="P52" s="907"/>
      <c r="Q52" s="907"/>
      <c r="R52" s="907"/>
      <c r="S52" s="907"/>
      <c r="T52" s="907"/>
      <c r="U52" s="907"/>
      <c r="V52" s="907"/>
      <c r="W52" s="907"/>
      <c r="X52" s="907"/>
      <c r="Y52" s="907"/>
      <c r="Z52" s="907"/>
    </row>
    <row r="53" spans="1:27">
      <c r="A53" s="907"/>
      <c r="B53" s="907"/>
      <c r="C53" s="907"/>
      <c r="D53" s="907"/>
      <c r="E53" s="907"/>
      <c r="F53" s="907"/>
      <c r="G53" s="907"/>
      <c r="H53" s="907"/>
      <c r="I53" s="907"/>
      <c r="J53" s="907"/>
      <c r="K53" s="907"/>
      <c r="L53" s="907"/>
      <c r="M53" s="907"/>
      <c r="N53" s="907"/>
      <c r="O53" s="907"/>
      <c r="P53" s="907"/>
      <c r="Q53" s="907"/>
      <c r="R53" s="907"/>
      <c r="S53" s="907"/>
      <c r="T53" s="907"/>
      <c r="U53" s="907"/>
      <c r="V53" s="907"/>
      <c r="W53" s="907"/>
      <c r="X53" s="907"/>
      <c r="Y53" s="907"/>
      <c r="Z53" s="907"/>
    </row>
    <row r="54" spans="1:27">
      <c r="A54" s="907"/>
      <c r="B54" s="907"/>
      <c r="C54" s="907"/>
      <c r="D54" s="907"/>
      <c r="E54" s="907"/>
      <c r="F54" s="907"/>
      <c r="G54" s="907"/>
      <c r="H54" s="907"/>
      <c r="I54" s="907"/>
      <c r="J54" s="907"/>
      <c r="K54" s="907"/>
      <c r="L54" s="907"/>
      <c r="M54" s="907"/>
      <c r="N54" s="907"/>
      <c r="O54" s="907"/>
      <c r="P54" s="907"/>
      <c r="Q54" s="907"/>
      <c r="R54" s="907"/>
      <c r="S54" s="907"/>
      <c r="T54" s="907"/>
      <c r="U54" s="907"/>
      <c r="V54" s="907"/>
      <c r="W54" s="907"/>
      <c r="X54" s="907"/>
      <c r="Y54" s="907"/>
      <c r="Z54" s="907"/>
    </row>
    <row r="55" spans="1:27">
      <c r="A55" s="907"/>
      <c r="B55" s="907"/>
      <c r="C55" s="907"/>
      <c r="D55" s="907"/>
      <c r="E55" s="907"/>
      <c r="F55" s="907"/>
      <c r="G55" s="907"/>
      <c r="Q55" s="907"/>
      <c r="R55" s="907"/>
      <c r="S55" s="907"/>
      <c r="T55" s="907"/>
      <c r="U55" s="907"/>
      <c r="V55" s="907"/>
      <c r="W55" s="907"/>
      <c r="X55" s="907"/>
      <c r="Y55" s="907"/>
      <c r="Z55" s="907"/>
    </row>
    <row r="56" spans="1:27">
      <c r="A56" s="907"/>
      <c r="B56" s="907"/>
      <c r="C56" s="907"/>
      <c r="D56" s="907"/>
      <c r="E56" s="907"/>
      <c r="F56" s="907"/>
      <c r="G56" s="907"/>
      <c r="Q56" s="907"/>
      <c r="R56" s="907"/>
      <c r="S56" s="907"/>
      <c r="T56" s="907"/>
      <c r="U56" s="907"/>
      <c r="V56" s="907"/>
      <c r="W56" s="907"/>
      <c r="X56" s="907"/>
      <c r="Y56" s="907"/>
      <c r="Z56" s="907"/>
    </row>
    <row r="57" spans="1:27">
      <c r="A57" s="907"/>
      <c r="B57" s="907"/>
      <c r="C57" s="907"/>
      <c r="D57" s="907"/>
      <c r="E57" s="907"/>
      <c r="F57" s="907"/>
      <c r="G57" s="907"/>
      <c r="Q57" s="907"/>
      <c r="R57" s="907"/>
      <c r="S57" s="907"/>
      <c r="T57" s="907"/>
      <c r="U57" s="907"/>
      <c r="V57" s="907"/>
      <c r="W57" s="907"/>
      <c r="X57" s="907"/>
      <c r="Y57" s="907"/>
      <c r="Z57" s="907"/>
    </row>
    <row r="58" spans="1:27">
      <c r="A58" s="907"/>
      <c r="B58" s="907"/>
      <c r="C58" s="907"/>
      <c r="D58" s="907"/>
      <c r="E58" s="907"/>
      <c r="F58" s="907"/>
      <c r="G58" s="907"/>
      <c r="Q58" s="907"/>
      <c r="R58" s="907"/>
      <c r="S58" s="907"/>
      <c r="T58" s="907"/>
      <c r="U58" s="907"/>
      <c r="V58" s="907"/>
      <c r="W58" s="907"/>
      <c r="X58" s="907"/>
      <c r="Y58" s="907"/>
      <c r="Z58" s="907"/>
    </row>
    <row r="59" spans="1:27">
      <c r="A59" s="907"/>
      <c r="B59" s="907"/>
      <c r="C59" s="907"/>
      <c r="D59" s="907"/>
      <c r="E59" s="907"/>
      <c r="F59" s="907"/>
      <c r="G59" s="907"/>
      <c r="Q59" s="907"/>
      <c r="R59" s="907"/>
      <c r="S59" s="907"/>
      <c r="T59" s="907"/>
      <c r="U59" s="907"/>
      <c r="V59" s="907"/>
      <c r="W59" s="907"/>
      <c r="X59" s="907"/>
      <c r="Y59" s="907"/>
      <c r="Z59" s="907"/>
      <c r="AA59" s="907"/>
    </row>
    <row r="60" spans="1:27">
      <c r="A60" s="907"/>
      <c r="B60" s="907"/>
      <c r="C60" s="907"/>
      <c r="D60" s="907"/>
      <c r="E60" s="907"/>
      <c r="F60" s="907"/>
      <c r="G60" s="907"/>
      <c r="Q60" s="907"/>
      <c r="R60" s="907"/>
      <c r="S60" s="907"/>
      <c r="T60" s="907"/>
      <c r="U60" s="907"/>
      <c r="V60" s="907"/>
      <c r="W60" s="907"/>
      <c r="X60" s="907"/>
      <c r="Y60" s="907"/>
      <c r="Z60" s="907"/>
      <c r="AA60" s="907"/>
    </row>
    <row r="61" spans="1:27">
      <c r="A61" s="907"/>
      <c r="B61" s="907"/>
      <c r="C61" s="907"/>
      <c r="D61" s="907"/>
      <c r="E61" s="907"/>
      <c r="F61" s="907"/>
      <c r="G61" s="907"/>
      <c r="Q61" s="907"/>
      <c r="R61" s="907"/>
      <c r="S61" s="907"/>
      <c r="T61" s="907"/>
      <c r="U61" s="907"/>
      <c r="V61" s="907"/>
      <c r="W61" s="907"/>
      <c r="X61" s="907"/>
      <c r="Y61" s="907"/>
      <c r="Z61" s="907"/>
      <c r="AA61" s="907"/>
    </row>
    <row r="62" spans="1:27">
      <c r="A62" s="907"/>
      <c r="B62" s="907"/>
      <c r="C62" s="907"/>
      <c r="D62" s="907"/>
      <c r="E62" s="907"/>
      <c r="F62" s="907"/>
      <c r="G62" s="907"/>
      <c r="Q62" s="907"/>
      <c r="R62" s="907"/>
      <c r="S62" s="907"/>
      <c r="T62" s="907"/>
      <c r="U62" s="907"/>
      <c r="V62" s="907"/>
      <c r="W62" s="907"/>
      <c r="X62" s="907"/>
      <c r="Y62" s="907"/>
      <c r="Z62" s="907"/>
      <c r="AA62" s="907"/>
    </row>
    <row r="63" spans="1:27">
      <c r="A63" s="907"/>
      <c r="B63" s="907"/>
      <c r="C63" s="907"/>
      <c r="D63" s="907"/>
      <c r="E63" s="907"/>
      <c r="F63" s="907"/>
      <c r="G63" s="907"/>
      <c r="Q63" s="907"/>
      <c r="R63" s="907"/>
      <c r="S63" s="907"/>
      <c r="T63" s="907"/>
      <c r="U63" s="907"/>
      <c r="V63" s="907"/>
      <c r="W63" s="907"/>
      <c r="X63" s="907"/>
      <c r="Y63" s="907"/>
      <c r="Z63" s="907"/>
      <c r="AA63" s="907"/>
    </row>
    <row r="64" spans="1:27">
      <c r="A64" s="907"/>
      <c r="B64" s="907"/>
      <c r="C64" s="907"/>
      <c r="D64" s="907"/>
      <c r="E64" s="907"/>
      <c r="F64" s="907"/>
      <c r="G64" s="907"/>
      <c r="Q64" s="907"/>
      <c r="R64" s="907"/>
      <c r="S64" s="907"/>
      <c r="T64" s="907"/>
      <c r="U64" s="907"/>
      <c r="V64" s="907"/>
      <c r="W64" s="907"/>
      <c r="X64" s="907"/>
      <c r="Y64" s="907"/>
      <c r="Z64" s="907"/>
      <c r="AA64" s="907"/>
    </row>
    <row r="65" spans="1:27">
      <c r="A65" s="907"/>
      <c r="B65" s="907"/>
      <c r="C65" s="907"/>
      <c r="D65" s="907"/>
      <c r="E65" s="907"/>
      <c r="F65" s="907"/>
      <c r="G65" s="907"/>
      <c r="Q65" s="907"/>
      <c r="R65" s="907"/>
      <c r="S65" s="907"/>
      <c r="T65" s="907"/>
      <c r="U65" s="907"/>
      <c r="V65" s="907"/>
      <c r="W65" s="907"/>
      <c r="X65" s="907"/>
      <c r="Y65" s="907"/>
      <c r="Z65" s="907"/>
      <c r="AA65" s="907"/>
    </row>
    <row r="66" spans="1:27">
      <c r="A66" s="907"/>
      <c r="B66" s="907"/>
      <c r="C66" s="907"/>
      <c r="D66" s="907"/>
      <c r="E66" s="907"/>
      <c r="F66" s="907"/>
      <c r="G66" s="907"/>
      <c r="Q66" s="907"/>
      <c r="R66" s="907"/>
      <c r="S66" s="907"/>
      <c r="T66" s="907"/>
      <c r="U66" s="907"/>
      <c r="V66" s="907"/>
      <c r="W66" s="907"/>
      <c r="X66" s="907"/>
      <c r="Y66" s="907"/>
      <c r="Z66" s="907"/>
      <c r="AA66" s="907"/>
    </row>
    <row r="67" spans="1:27">
      <c r="A67" s="907"/>
      <c r="B67" s="907"/>
      <c r="C67" s="907"/>
      <c r="D67" s="907"/>
      <c r="E67" s="907"/>
      <c r="F67" s="907"/>
      <c r="G67" s="907"/>
      <c r="Q67" s="907"/>
      <c r="R67" s="907"/>
      <c r="S67" s="907"/>
      <c r="T67" s="907"/>
      <c r="U67" s="907"/>
      <c r="V67" s="907"/>
      <c r="W67" s="907"/>
      <c r="X67" s="907"/>
      <c r="Y67" s="907"/>
      <c r="Z67" s="907"/>
      <c r="AA67" s="907"/>
    </row>
    <row r="68" spans="1:27">
      <c r="A68" s="907"/>
      <c r="B68" s="907"/>
      <c r="C68" s="907"/>
      <c r="D68" s="907"/>
      <c r="E68" s="907"/>
      <c r="F68" s="907"/>
      <c r="G68" s="907"/>
      <c r="Q68" s="907"/>
      <c r="R68" s="907"/>
      <c r="S68" s="907"/>
      <c r="T68" s="907"/>
      <c r="U68" s="907"/>
      <c r="V68" s="907"/>
      <c r="W68" s="907"/>
      <c r="X68" s="907"/>
      <c r="Y68" s="907"/>
      <c r="Z68" s="907"/>
      <c r="AA68" s="907"/>
    </row>
    <row r="69" spans="1:27">
      <c r="A69" s="907"/>
      <c r="B69" s="907"/>
      <c r="C69" s="907"/>
      <c r="D69" s="907"/>
      <c r="E69" s="907"/>
      <c r="F69" s="907"/>
      <c r="G69" s="907"/>
      <c r="Q69" s="907"/>
      <c r="R69" s="907"/>
      <c r="S69" s="907"/>
      <c r="T69" s="907"/>
      <c r="U69" s="907"/>
      <c r="V69" s="907"/>
      <c r="W69" s="907"/>
      <c r="X69" s="907"/>
      <c r="Y69" s="907"/>
      <c r="Z69" s="907"/>
      <c r="AA69" s="907"/>
    </row>
    <row r="70" spans="1:27">
      <c r="A70" s="907"/>
      <c r="B70" s="907"/>
      <c r="C70" s="907"/>
      <c r="D70" s="907"/>
      <c r="E70" s="907"/>
      <c r="F70" s="907"/>
      <c r="G70" s="907"/>
      <c r="Q70" s="907"/>
      <c r="R70" s="907"/>
      <c r="S70" s="907"/>
      <c r="T70" s="907"/>
      <c r="U70" s="907"/>
      <c r="V70" s="907"/>
      <c r="W70" s="907"/>
      <c r="X70" s="907"/>
      <c r="Y70" s="907"/>
      <c r="Z70" s="907"/>
      <c r="AA70" s="907"/>
    </row>
    <row r="71" spans="1:27">
      <c r="A71" s="907"/>
      <c r="B71" s="907"/>
      <c r="C71" s="907"/>
      <c r="D71" s="907"/>
      <c r="E71" s="907"/>
      <c r="F71" s="907"/>
      <c r="G71" s="907"/>
      <c r="Q71" s="907"/>
      <c r="R71" s="907"/>
      <c r="S71" s="907"/>
      <c r="T71" s="907"/>
      <c r="U71" s="907"/>
      <c r="V71" s="907"/>
      <c r="W71" s="907"/>
      <c r="X71" s="907"/>
      <c r="Y71" s="907"/>
      <c r="Z71" s="907"/>
      <c r="AA71" s="907"/>
    </row>
    <row r="72" spans="1:27">
      <c r="A72" s="907"/>
      <c r="B72" s="907"/>
      <c r="C72" s="907"/>
      <c r="D72" s="907"/>
      <c r="E72" s="907"/>
      <c r="F72" s="907"/>
      <c r="G72" s="907"/>
      <c r="Q72" s="907"/>
      <c r="R72" s="907"/>
      <c r="S72" s="907"/>
      <c r="T72" s="907"/>
      <c r="U72" s="907"/>
      <c r="V72" s="907"/>
      <c r="W72" s="907"/>
      <c r="X72" s="907"/>
      <c r="Y72" s="907"/>
      <c r="Z72" s="907"/>
      <c r="AA72" s="907"/>
    </row>
    <row r="73" spans="1:27">
      <c r="A73" s="907"/>
      <c r="B73" s="907"/>
      <c r="C73" s="907"/>
      <c r="D73" s="907"/>
      <c r="E73" s="907"/>
      <c r="F73" s="907"/>
      <c r="G73" s="907"/>
      <c r="Q73" s="907"/>
      <c r="R73" s="907"/>
      <c r="S73" s="907"/>
      <c r="T73" s="907"/>
      <c r="U73" s="907"/>
      <c r="V73" s="907"/>
      <c r="W73" s="907"/>
      <c r="X73" s="907"/>
      <c r="Y73" s="907"/>
      <c r="Z73" s="907"/>
      <c r="AA73" s="907"/>
    </row>
    <row r="74" spans="1:27">
      <c r="A74" s="907"/>
      <c r="B74" s="907"/>
      <c r="C74" s="907"/>
      <c r="D74" s="907"/>
      <c r="E74" s="907"/>
      <c r="F74" s="907"/>
      <c r="G74" s="907"/>
      <c r="Q74" s="907"/>
      <c r="R74" s="907"/>
      <c r="S74" s="907"/>
      <c r="T74" s="907"/>
      <c r="U74" s="907"/>
      <c r="V74" s="907"/>
      <c r="W74" s="907"/>
      <c r="X74" s="907"/>
      <c r="Y74" s="907"/>
      <c r="Z74" s="907"/>
      <c r="AA74" s="907"/>
    </row>
    <row r="75" spans="1:27">
      <c r="A75" s="907"/>
      <c r="B75" s="907"/>
      <c r="C75" s="907"/>
      <c r="D75" s="907"/>
      <c r="E75" s="907"/>
      <c r="F75" s="907"/>
      <c r="G75" s="907"/>
      <c r="Q75" s="907"/>
      <c r="R75" s="907"/>
      <c r="S75" s="907"/>
      <c r="T75" s="907"/>
      <c r="U75" s="907"/>
      <c r="V75" s="907"/>
      <c r="W75" s="907"/>
      <c r="X75" s="907"/>
      <c r="Y75" s="907"/>
      <c r="Z75" s="907"/>
      <c r="AA75" s="907"/>
    </row>
    <row r="76" spans="1:27">
      <c r="A76" s="907"/>
      <c r="B76" s="907"/>
      <c r="C76" s="907"/>
      <c r="D76" s="907"/>
      <c r="E76" s="907"/>
      <c r="F76" s="907"/>
      <c r="G76" s="907"/>
      <c r="Q76" s="907"/>
      <c r="R76" s="907"/>
      <c r="S76" s="907"/>
      <c r="T76" s="907"/>
      <c r="U76" s="907"/>
      <c r="V76" s="907"/>
      <c r="W76" s="907"/>
      <c r="X76" s="907"/>
      <c r="Y76" s="907"/>
      <c r="Z76" s="907"/>
      <c r="AA76" s="907"/>
    </row>
    <row r="77" spans="1:27">
      <c r="A77" s="907"/>
      <c r="B77" s="907"/>
      <c r="C77" s="907"/>
      <c r="D77" s="907"/>
      <c r="E77" s="907"/>
      <c r="F77" s="907"/>
      <c r="G77" s="907"/>
      <c r="H77" s="907"/>
      <c r="I77" s="907"/>
      <c r="J77" s="907"/>
      <c r="K77" s="907"/>
      <c r="L77" s="907"/>
      <c r="M77" s="907"/>
      <c r="N77" s="907"/>
      <c r="O77" s="907"/>
      <c r="P77" s="907"/>
      <c r="Q77" s="907"/>
      <c r="R77" s="907"/>
      <c r="S77" s="907"/>
      <c r="T77" s="907"/>
      <c r="U77" s="907"/>
      <c r="V77" s="907"/>
      <c r="W77" s="907"/>
      <c r="X77" s="907"/>
      <c r="Y77" s="907"/>
      <c r="Z77" s="907"/>
      <c r="AA77" s="907"/>
    </row>
    <row r="78" spans="1:27">
      <c r="A78" s="907"/>
      <c r="B78" s="907"/>
      <c r="C78" s="907"/>
      <c r="D78" s="907"/>
      <c r="E78" s="907"/>
      <c r="F78" s="907"/>
      <c r="G78" s="907"/>
      <c r="H78" s="907"/>
      <c r="I78" s="907"/>
      <c r="J78" s="907"/>
      <c r="K78" s="907"/>
      <c r="L78" s="907"/>
      <c r="M78" s="907"/>
      <c r="N78" s="907"/>
      <c r="O78" s="907"/>
      <c r="P78" s="907"/>
      <c r="Q78" s="907"/>
      <c r="R78" s="907"/>
      <c r="S78" s="907"/>
      <c r="T78" s="907"/>
      <c r="U78" s="907"/>
      <c r="V78" s="907"/>
      <c r="W78" s="907"/>
      <c r="X78" s="907"/>
      <c r="Y78" s="907"/>
      <c r="Z78" s="907"/>
      <c r="AA78" s="907"/>
    </row>
    <row r="79" spans="1:27">
      <c r="A79" s="907"/>
      <c r="B79" s="907"/>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row>
    <row r="80" spans="1:27">
      <c r="A80" s="907"/>
      <c r="B80" s="907"/>
      <c r="C80" s="907"/>
      <c r="D80" s="907"/>
      <c r="E80" s="907"/>
      <c r="F80" s="907"/>
      <c r="G80" s="907"/>
      <c r="H80" s="907"/>
      <c r="I80" s="907"/>
      <c r="J80" s="907"/>
      <c r="K80" s="907"/>
      <c r="L80" s="907"/>
      <c r="M80" s="907"/>
      <c r="N80" s="907"/>
      <c r="O80" s="907"/>
      <c r="P80" s="907"/>
      <c r="Q80" s="907"/>
      <c r="R80" s="907"/>
      <c r="S80" s="907"/>
      <c r="T80" s="907"/>
      <c r="U80" s="907"/>
      <c r="V80" s="907"/>
      <c r="W80" s="907"/>
      <c r="X80" s="907"/>
      <c r="Y80" s="907"/>
      <c r="Z80" s="907"/>
      <c r="AA80" s="907"/>
    </row>
    <row r="81" spans="1:27">
      <c r="A81" s="907"/>
      <c r="B81" s="907"/>
      <c r="C81" s="907"/>
      <c r="D81" s="907"/>
      <c r="E81" s="907"/>
      <c r="F81" s="907"/>
      <c r="G81" s="907"/>
      <c r="H81" s="907"/>
      <c r="I81" s="907"/>
      <c r="J81" s="907"/>
      <c r="K81" s="907"/>
      <c r="L81" s="907"/>
      <c r="M81" s="907"/>
      <c r="N81" s="907"/>
      <c r="O81" s="907"/>
      <c r="P81" s="907"/>
      <c r="Q81" s="907"/>
      <c r="R81" s="907"/>
      <c r="S81" s="907"/>
      <c r="T81" s="907"/>
      <c r="U81" s="907"/>
      <c r="V81" s="907"/>
      <c r="W81" s="907"/>
      <c r="X81" s="907"/>
      <c r="Y81" s="907"/>
      <c r="Z81" s="907"/>
      <c r="AA81" s="907"/>
    </row>
    <row r="82" spans="1:27">
      <c r="A82" s="907"/>
      <c r="B82" s="907"/>
      <c r="C82" s="907"/>
      <c r="D82" s="907"/>
      <c r="E82" s="907"/>
      <c r="F82" s="907"/>
      <c r="G82" s="907"/>
      <c r="H82" s="907"/>
      <c r="I82" s="907"/>
      <c r="J82" s="907"/>
      <c r="K82" s="907"/>
      <c r="L82" s="907"/>
      <c r="M82" s="907"/>
      <c r="N82" s="907"/>
      <c r="O82" s="907"/>
      <c r="P82" s="907"/>
      <c r="Q82" s="907"/>
      <c r="R82" s="907"/>
      <c r="S82" s="907"/>
      <c r="T82" s="907"/>
      <c r="U82" s="907"/>
      <c r="V82" s="907"/>
      <c r="W82" s="907"/>
      <c r="X82" s="907"/>
      <c r="Y82" s="907"/>
      <c r="Z82" s="907"/>
      <c r="AA82" s="907"/>
    </row>
    <row r="83" spans="1:27">
      <c r="A83" s="907"/>
      <c r="B83" s="907"/>
      <c r="C83" s="907"/>
      <c r="D83" s="907"/>
      <c r="E83" s="907"/>
      <c r="F83" s="907"/>
      <c r="G83" s="907"/>
      <c r="H83" s="907"/>
      <c r="I83" s="907"/>
      <c r="J83" s="907"/>
      <c r="K83" s="907"/>
      <c r="L83" s="907"/>
      <c r="M83" s="907"/>
      <c r="N83" s="907"/>
      <c r="O83" s="907"/>
      <c r="P83" s="907"/>
      <c r="Q83" s="907"/>
      <c r="R83" s="907"/>
      <c r="S83" s="907"/>
      <c r="T83" s="907"/>
      <c r="U83" s="907"/>
      <c r="V83" s="907"/>
      <c r="W83" s="907"/>
      <c r="X83" s="907"/>
      <c r="Y83" s="907"/>
      <c r="Z83" s="907"/>
      <c r="AA83" s="907"/>
    </row>
    <row r="84" spans="1:27">
      <c r="A84" s="907"/>
      <c r="B84" s="907"/>
      <c r="C84" s="907"/>
      <c r="D84" s="907"/>
      <c r="E84" s="907"/>
      <c r="F84" s="907"/>
      <c r="G84" s="907"/>
      <c r="H84" s="907"/>
      <c r="I84" s="907"/>
      <c r="J84" s="907"/>
      <c r="K84" s="907"/>
      <c r="L84" s="907"/>
      <c r="M84" s="907"/>
      <c r="N84" s="907"/>
      <c r="O84" s="907"/>
      <c r="P84" s="907"/>
      <c r="Q84" s="907"/>
      <c r="R84" s="907"/>
      <c r="S84" s="907"/>
      <c r="T84" s="907"/>
      <c r="U84" s="907"/>
      <c r="V84" s="907"/>
      <c r="W84" s="907"/>
      <c r="X84" s="907"/>
      <c r="Y84" s="907"/>
      <c r="Z84" s="907"/>
      <c r="AA84" s="907"/>
    </row>
    <row r="85" spans="1:27">
      <c r="A85" s="907"/>
      <c r="B85" s="907"/>
      <c r="C85" s="907"/>
      <c r="D85" s="907"/>
      <c r="E85" s="907"/>
      <c r="F85" s="907"/>
      <c r="G85" s="907"/>
      <c r="H85" s="907"/>
      <c r="I85" s="907"/>
      <c r="J85" s="907"/>
      <c r="K85" s="907"/>
      <c r="L85" s="907"/>
      <c r="M85" s="907"/>
      <c r="N85" s="907"/>
      <c r="O85" s="907"/>
      <c r="P85" s="907"/>
      <c r="Q85" s="907"/>
      <c r="R85" s="907"/>
      <c r="S85" s="907"/>
      <c r="T85" s="907"/>
      <c r="U85" s="907"/>
      <c r="V85" s="907"/>
      <c r="W85" s="907"/>
      <c r="X85" s="907"/>
      <c r="Y85" s="907"/>
      <c r="Z85" s="907"/>
      <c r="AA85" s="907"/>
    </row>
    <row r="86" spans="1:27">
      <c r="A86" s="907"/>
      <c r="B86" s="907"/>
      <c r="C86" s="907"/>
      <c r="D86" s="907"/>
      <c r="E86" s="907"/>
      <c r="F86" s="907"/>
      <c r="G86" s="907"/>
      <c r="H86" s="907"/>
      <c r="I86" s="907"/>
      <c r="J86" s="907"/>
      <c r="K86" s="907"/>
      <c r="L86" s="907"/>
      <c r="M86" s="907"/>
      <c r="N86" s="907"/>
      <c r="O86" s="907"/>
      <c r="P86" s="907"/>
      <c r="Q86" s="907"/>
      <c r="R86" s="907"/>
      <c r="S86" s="907"/>
      <c r="T86" s="907"/>
      <c r="U86" s="907"/>
      <c r="V86" s="907"/>
      <c r="W86" s="907"/>
      <c r="X86" s="907"/>
      <c r="Y86" s="907"/>
      <c r="Z86" s="907"/>
      <c r="AA86" s="907"/>
    </row>
    <row r="87" spans="1:27">
      <c r="A87" s="907"/>
      <c r="B87" s="907"/>
      <c r="C87" s="907"/>
      <c r="D87" s="907"/>
      <c r="E87" s="907"/>
      <c r="F87" s="907"/>
      <c r="G87" s="907"/>
      <c r="H87" s="907"/>
      <c r="I87" s="907"/>
      <c r="J87" s="907"/>
      <c r="K87" s="907"/>
      <c r="L87" s="907"/>
      <c r="M87" s="907"/>
      <c r="N87" s="907"/>
      <c r="O87" s="907"/>
      <c r="P87" s="907"/>
      <c r="Q87" s="907"/>
      <c r="R87" s="907"/>
      <c r="S87" s="907"/>
      <c r="T87" s="907"/>
      <c r="U87" s="907"/>
      <c r="V87" s="907"/>
      <c r="W87" s="907"/>
      <c r="X87" s="907"/>
      <c r="Y87" s="907"/>
      <c r="Z87" s="907"/>
      <c r="AA87" s="907"/>
    </row>
    <row r="88" spans="1:27">
      <c r="A88" s="907"/>
      <c r="B88" s="907"/>
      <c r="C88" s="907"/>
      <c r="D88" s="907"/>
      <c r="E88" s="907"/>
      <c r="F88" s="907"/>
      <c r="G88" s="907"/>
      <c r="H88" s="907"/>
      <c r="I88" s="907"/>
      <c r="J88" s="907"/>
      <c r="K88" s="907"/>
      <c r="L88" s="907"/>
      <c r="M88" s="907"/>
      <c r="N88" s="907"/>
      <c r="O88" s="907"/>
      <c r="P88" s="907"/>
      <c r="Q88" s="907"/>
      <c r="R88" s="907"/>
      <c r="S88" s="907"/>
      <c r="T88" s="907"/>
      <c r="U88" s="907"/>
      <c r="V88" s="907"/>
      <c r="W88" s="907"/>
      <c r="X88" s="907"/>
      <c r="Y88" s="907"/>
      <c r="Z88" s="907"/>
      <c r="AA88" s="907"/>
    </row>
    <row r="89" spans="1:27">
      <c r="A89" s="907"/>
      <c r="B89" s="907"/>
      <c r="C89" s="907"/>
      <c r="D89" s="907"/>
      <c r="E89" s="907"/>
      <c r="F89" s="907"/>
      <c r="G89" s="907"/>
      <c r="H89" s="907"/>
      <c r="I89" s="907"/>
      <c r="J89" s="907"/>
      <c r="K89" s="907"/>
      <c r="L89" s="907"/>
      <c r="M89" s="907"/>
      <c r="N89" s="907"/>
      <c r="O89" s="907"/>
      <c r="P89" s="907"/>
      <c r="Q89" s="907"/>
      <c r="R89" s="907"/>
      <c r="S89" s="907"/>
      <c r="T89" s="907"/>
      <c r="U89" s="907"/>
      <c r="V89" s="907"/>
      <c r="W89" s="907"/>
      <c r="X89" s="907"/>
      <c r="Y89" s="907"/>
      <c r="Z89" s="907"/>
      <c r="AA89" s="907"/>
    </row>
    <row r="90" spans="1:27">
      <c r="A90" s="907"/>
      <c r="B90" s="907"/>
      <c r="C90" s="907"/>
      <c r="D90" s="907"/>
      <c r="E90" s="907"/>
      <c r="F90" s="907"/>
      <c r="G90" s="907"/>
      <c r="H90" s="907"/>
      <c r="I90" s="907"/>
      <c r="J90" s="907"/>
      <c r="K90" s="907"/>
      <c r="L90" s="907"/>
      <c r="M90" s="907"/>
      <c r="N90" s="907"/>
      <c r="O90" s="907"/>
      <c r="P90" s="907"/>
      <c r="Q90" s="907"/>
      <c r="R90" s="907"/>
      <c r="S90" s="907"/>
      <c r="T90" s="907"/>
      <c r="U90" s="907"/>
      <c r="V90" s="907"/>
      <c r="W90" s="907"/>
      <c r="X90" s="907"/>
      <c r="Y90" s="907"/>
      <c r="Z90" s="907"/>
      <c r="AA90" s="907"/>
    </row>
    <row r="91" spans="1:27">
      <c r="A91" s="907"/>
      <c r="B91" s="907"/>
      <c r="C91" s="907"/>
      <c r="D91" s="907"/>
      <c r="E91" s="907"/>
      <c r="F91" s="907"/>
      <c r="G91" s="907"/>
      <c r="H91" s="907"/>
      <c r="I91" s="907"/>
      <c r="J91" s="907"/>
      <c r="K91" s="907"/>
      <c r="L91" s="907"/>
      <c r="M91" s="907"/>
      <c r="N91" s="907"/>
      <c r="O91" s="907"/>
      <c r="P91" s="907"/>
      <c r="Q91" s="907"/>
      <c r="R91" s="907"/>
      <c r="S91" s="907"/>
      <c r="T91" s="907"/>
      <c r="U91" s="907"/>
      <c r="V91" s="907"/>
      <c r="W91" s="907"/>
      <c r="X91" s="907"/>
      <c r="Y91" s="907"/>
      <c r="Z91" s="907"/>
      <c r="AA91" s="907"/>
    </row>
    <row r="92" spans="1:27">
      <c r="A92" s="907"/>
      <c r="B92" s="907"/>
      <c r="C92" s="907"/>
      <c r="D92" s="907"/>
      <c r="E92" s="907"/>
      <c r="F92" s="907"/>
      <c r="G92" s="907"/>
      <c r="H92" s="907"/>
      <c r="I92" s="907"/>
      <c r="J92" s="907"/>
      <c r="K92" s="907"/>
      <c r="L92" s="907"/>
      <c r="M92" s="907"/>
      <c r="N92" s="907"/>
      <c r="O92" s="907"/>
      <c r="P92" s="907"/>
      <c r="Q92" s="907"/>
      <c r="R92" s="907"/>
      <c r="S92" s="907"/>
      <c r="T92" s="907"/>
      <c r="U92" s="907"/>
      <c r="V92" s="907"/>
      <c r="W92" s="907"/>
      <c r="X92" s="907"/>
      <c r="Y92" s="907"/>
      <c r="Z92" s="907"/>
      <c r="AA92" s="907"/>
    </row>
    <row r="93" spans="1:27">
      <c r="A93" s="907"/>
      <c r="B93" s="907"/>
      <c r="C93" s="907"/>
      <c r="D93" s="907"/>
      <c r="E93" s="907"/>
      <c r="F93" s="907"/>
      <c r="G93" s="907"/>
      <c r="H93" s="907"/>
      <c r="I93" s="907"/>
      <c r="J93" s="907"/>
      <c r="K93" s="907"/>
      <c r="L93" s="907"/>
      <c r="M93" s="907"/>
      <c r="N93" s="907"/>
      <c r="O93" s="907"/>
      <c r="P93" s="907"/>
      <c r="Q93" s="907"/>
      <c r="R93" s="907"/>
      <c r="S93" s="907"/>
      <c r="T93" s="907"/>
      <c r="U93" s="907"/>
      <c r="V93" s="907"/>
      <c r="W93" s="907"/>
      <c r="X93" s="907"/>
      <c r="Y93" s="907"/>
      <c r="Z93" s="907"/>
      <c r="AA93" s="907"/>
    </row>
    <row r="94" spans="1:27">
      <c r="A94" s="907"/>
      <c r="B94" s="907"/>
      <c r="C94" s="907"/>
      <c r="D94" s="907"/>
      <c r="E94" s="907"/>
      <c r="F94" s="907"/>
      <c r="G94" s="907"/>
      <c r="H94" s="907"/>
      <c r="I94" s="907"/>
      <c r="J94" s="907"/>
      <c r="K94" s="907"/>
      <c r="L94" s="907"/>
      <c r="M94" s="907"/>
      <c r="N94" s="907"/>
      <c r="O94" s="907"/>
      <c r="P94" s="907"/>
      <c r="Q94" s="907"/>
      <c r="R94" s="907"/>
      <c r="S94" s="907"/>
      <c r="T94" s="907"/>
      <c r="U94" s="907"/>
      <c r="V94" s="907"/>
      <c r="W94" s="907"/>
      <c r="X94" s="907"/>
      <c r="Y94" s="907"/>
      <c r="Z94" s="907"/>
      <c r="AA94" s="907"/>
    </row>
    <row r="95" spans="1:27">
      <c r="A95" s="907"/>
      <c r="B95" s="907"/>
      <c r="C95" s="907"/>
      <c r="D95" s="907"/>
      <c r="E95" s="907"/>
      <c r="F95" s="907"/>
      <c r="G95" s="907"/>
      <c r="H95" s="907"/>
      <c r="I95" s="907"/>
      <c r="J95" s="907"/>
      <c r="K95" s="907"/>
      <c r="L95" s="907"/>
      <c r="M95" s="907"/>
      <c r="N95" s="907"/>
      <c r="O95" s="907"/>
      <c r="P95" s="907"/>
      <c r="Q95" s="907"/>
      <c r="R95" s="907"/>
      <c r="S95" s="907"/>
      <c r="T95" s="907"/>
      <c r="U95" s="907"/>
      <c r="V95" s="907"/>
      <c r="W95" s="907"/>
      <c r="X95" s="907"/>
      <c r="Y95" s="907"/>
      <c r="Z95" s="907"/>
      <c r="AA95" s="907"/>
    </row>
    <row r="96" spans="1:27">
      <c r="A96" s="907"/>
      <c r="B96" s="907"/>
      <c r="C96" s="907"/>
      <c r="D96" s="907"/>
      <c r="E96" s="907"/>
      <c r="F96" s="907"/>
      <c r="G96" s="907"/>
      <c r="H96" s="907"/>
      <c r="I96" s="907"/>
      <c r="J96" s="907"/>
      <c r="K96" s="907"/>
      <c r="L96" s="907"/>
      <c r="M96" s="907"/>
      <c r="N96" s="907"/>
      <c r="O96" s="907"/>
      <c r="P96" s="907"/>
      <c r="Q96" s="907"/>
      <c r="R96" s="907"/>
      <c r="S96" s="907"/>
      <c r="T96" s="907"/>
      <c r="U96" s="907"/>
      <c r="V96" s="907"/>
      <c r="W96" s="907"/>
      <c r="X96" s="907"/>
      <c r="Y96" s="907"/>
      <c r="Z96" s="907"/>
      <c r="AA96" s="907"/>
    </row>
    <row r="97" spans="1:27">
      <c r="A97" s="907"/>
      <c r="B97" s="907"/>
      <c r="C97" s="907"/>
      <c r="D97" s="907"/>
      <c r="E97" s="907"/>
      <c r="F97" s="907"/>
      <c r="G97" s="907"/>
      <c r="H97" s="907"/>
      <c r="I97" s="907"/>
      <c r="J97" s="907"/>
      <c r="K97" s="907"/>
      <c r="L97" s="907"/>
      <c r="M97" s="907"/>
      <c r="N97" s="907"/>
      <c r="O97" s="907"/>
      <c r="P97" s="907"/>
      <c r="Q97" s="907"/>
      <c r="R97" s="907"/>
      <c r="S97" s="907"/>
      <c r="T97" s="907"/>
      <c r="U97" s="907"/>
      <c r="V97" s="907"/>
      <c r="W97" s="907"/>
      <c r="X97" s="907"/>
      <c r="Y97" s="907"/>
      <c r="Z97" s="907"/>
      <c r="AA97" s="907"/>
    </row>
    <row r="98" spans="1:27">
      <c r="A98" s="907"/>
      <c r="B98" s="907"/>
      <c r="C98" s="907"/>
      <c r="D98" s="907"/>
      <c r="E98" s="907"/>
      <c r="F98" s="907"/>
      <c r="G98" s="907"/>
      <c r="H98" s="907"/>
      <c r="I98" s="907"/>
      <c r="J98" s="907"/>
      <c r="K98" s="907"/>
      <c r="L98" s="907"/>
      <c r="M98" s="907"/>
      <c r="N98" s="907"/>
      <c r="O98" s="907"/>
      <c r="P98" s="907"/>
      <c r="Q98" s="907"/>
      <c r="R98" s="907"/>
      <c r="S98" s="907"/>
      <c r="T98" s="907"/>
      <c r="U98" s="907"/>
      <c r="V98" s="907"/>
      <c r="W98" s="907"/>
      <c r="X98" s="907"/>
      <c r="Y98" s="907"/>
      <c r="Z98" s="907"/>
      <c r="AA98" s="907"/>
    </row>
    <row r="99" spans="1:27">
      <c r="A99" s="907"/>
      <c r="B99" s="907"/>
      <c r="C99" s="907"/>
      <c r="D99" s="907"/>
      <c r="E99" s="907"/>
      <c r="F99" s="907"/>
      <c r="G99" s="907"/>
      <c r="H99" s="907"/>
      <c r="I99" s="907"/>
      <c r="J99" s="907"/>
      <c r="K99" s="907"/>
      <c r="L99" s="907"/>
      <c r="M99" s="907"/>
      <c r="N99" s="907"/>
      <c r="O99" s="907"/>
      <c r="P99" s="907"/>
      <c r="Q99" s="907"/>
      <c r="R99" s="907"/>
      <c r="S99" s="907"/>
      <c r="T99" s="907"/>
      <c r="U99" s="907"/>
      <c r="V99" s="907"/>
      <c r="W99" s="907"/>
      <c r="X99" s="907"/>
      <c r="Y99" s="907"/>
      <c r="Z99" s="907"/>
      <c r="AA99" s="907"/>
    </row>
    <row r="100" spans="1:27">
      <c r="A100" s="907"/>
      <c r="B100" s="907"/>
      <c r="C100" s="907"/>
      <c r="D100" s="907"/>
      <c r="E100" s="907"/>
      <c r="F100" s="907"/>
      <c r="G100" s="907"/>
      <c r="H100" s="907"/>
      <c r="I100" s="907"/>
      <c r="J100" s="907"/>
      <c r="K100" s="907"/>
      <c r="L100" s="907"/>
      <c r="M100" s="907"/>
      <c r="N100" s="907"/>
      <c r="O100" s="907"/>
      <c r="P100" s="907"/>
      <c r="Q100" s="907"/>
      <c r="R100" s="907"/>
      <c r="S100" s="907"/>
      <c r="T100" s="907"/>
      <c r="U100" s="907"/>
      <c r="V100" s="907"/>
      <c r="W100" s="907"/>
      <c r="X100" s="907"/>
      <c r="Y100" s="907"/>
      <c r="Z100" s="907"/>
      <c r="AA100" s="907"/>
    </row>
    <row r="101" spans="1:27">
      <c r="A101" s="907"/>
      <c r="B101" s="907"/>
      <c r="C101" s="907"/>
      <c r="D101" s="907"/>
      <c r="E101" s="907"/>
      <c r="F101" s="907"/>
      <c r="G101" s="907"/>
      <c r="H101" s="907"/>
      <c r="I101" s="907"/>
      <c r="J101" s="907"/>
      <c r="K101" s="907"/>
      <c r="L101" s="907"/>
      <c r="M101" s="907"/>
      <c r="N101" s="907"/>
      <c r="O101" s="907"/>
      <c r="P101" s="907"/>
      <c r="Q101" s="907"/>
      <c r="R101" s="907"/>
      <c r="S101" s="907"/>
      <c r="T101" s="907"/>
      <c r="U101" s="907"/>
      <c r="V101" s="907"/>
      <c r="W101" s="907"/>
      <c r="X101" s="907"/>
      <c r="Y101" s="907"/>
      <c r="Z101" s="907"/>
      <c r="AA101" s="907"/>
    </row>
    <row r="102" spans="1:27">
      <c r="A102" s="907"/>
      <c r="B102" s="907"/>
      <c r="C102" s="907"/>
      <c r="D102" s="907"/>
      <c r="E102" s="907"/>
      <c r="F102" s="907"/>
      <c r="G102" s="907"/>
      <c r="H102" s="907"/>
      <c r="I102" s="907"/>
      <c r="J102" s="907"/>
      <c r="K102" s="907"/>
      <c r="L102" s="907"/>
      <c r="M102" s="907"/>
      <c r="N102" s="907"/>
      <c r="O102" s="907"/>
      <c r="P102" s="907"/>
      <c r="Q102" s="907"/>
      <c r="R102" s="907"/>
      <c r="S102" s="907"/>
      <c r="T102" s="907"/>
      <c r="U102" s="907"/>
      <c r="V102" s="907"/>
      <c r="W102" s="907"/>
      <c r="X102" s="907"/>
      <c r="Y102" s="907"/>
      <c r="Z102" s="907"/>
      <c r="AA102" s="907"/>
    </row>
    <row r="103" spans="1:27">
      <c r="A103" s="907"/>
      <c r="B103" s="907"/>
      <c r="C103" s="907"/>
      <c r="D103" s="907"/>
      <c r="E103" s="907"/>
      <c r="F103" s="907"/>
      <c r="G103" s="907"/>
      <c r="H103" s="907"/>
      <c r="I103" s="907"/>
      <c r="J103" s="907"/>
      <c r="K103" s="907"/>
      <c r="L103" s="907"/>
      <c r="M103" s="907"/>
      <c r="N103" s="907"/>
      <c r="O103" s="907"/>
      <c r="P103" s="907"/>
      <c r="Q103" s="907"/>
      <c r="R103" s="907"/>
      <c r="S103" s="907"/>
      <c r="T103" s="907"/>
      <c r="U103" s="907"/>
      <c r="V103" s="907"/>
      <c r="W103" s="907"/>
      <c r="X103" s="907"/>
      <c r="Y103" s="907"/>
      <c r="Z103" s="907"/>
      <c r="AA103" s="907"/>
    </row>
    <row r="104" spans="1:27">
      <c r="A104" s="907"/>
      <c r="B104" s="907"/>
      <c r="C104" s="907"/>
      <c r="D104" s="907"/>
      <c r="E104" s="907"/>
      <c r="F104" s="907"/>
      <c r="G104" s="907"/>
      <c r="H104" s="907"/>
      <c r="I104" s="907"/>
      <c r="J104" s="907"/>
      <c r="K104" s="907"/>
      <c r="L104" s="907"/>
      <c r="M104" s="907"/>
      <c r="N104" s="907"/>
      <c r="O104" s="907"/>
      <c r="P104" s="907"/>
      <c r="Q104" s="907"/>
      <c r="R104" s="907"/>
      <c r="S104" s="907"/>
      <c r="T104" s="907"/>
      <c r="U104" s="907"/>
      <c r="V104" s="907"/>
      <c r="W104" s="907"/>
      <c r="X104" s="907"/>
      <c r="Y104" s="907"/>
      <c r="Z104" s="907"/>
      <c r="AA104" s="907"/>
    </row>
    <row r="105" spans="1:27">
      <c r="A105" s="907"/>
      <c r="B105" s="907"/>
      <c r="C105" s="907"/>
      <c r="D105" s="907"/>
      <c r="E105" s="907"/>
      <c r="F105" s="907"/>
      <c r="G105" s="907"/>
      <c r="H105" s="907"/>
      <c r="I105" s="907"/>
      <c r="J105" s="907"/>
      <c r="K105" s="907"/>
      <c r="L105" s="907"/>
      <c r="M105" s="907"/>
      <c r="N105" s="907"/>
      <c r="O105" s="907"/>
      <c r="P105" s="907"/>
      <c r="Q105" s="907"/>
      <c r="R105" s="907"/>
      <c r="S105" s="907"/>
      <c r="T105" s="907"/>
      <c r="U105" s="907"/>
      <c r="V105" s="907"/>
      <c r="W105" s="907"/>
      <c r="X105" s="907"/>
      <c r="Y105" s="907"/>
      <c r="Z105" s="907"/>
      <c r="AA105" s="907"/>
    </row>
    <row r="106" spans="1:27">
      <c r="A106" s="907"/>
      <c r="B106" s="907"/>
      <c r="C106" s="907"/>
      <c r="D106" s="907"/>
      <c r="E106" s="907"/>
      <c r="F106" s="907"/>
      <c r="G106" s="907"/>
      <c r="H106" s="907"/>
      <c r="I106" s="907"/>
      <c r="J106" s="907"/>
      <c r="K106" s="907"/>
      <c r="L106" s="907"/>
      <c r="M106" s="907"/>
      <c r="N106" s="907"/>
      <c r="O106" s="907"/>
      <c r="P106" s="907"/>
      <c r="Q106" s="907"/>
      <c r="R106" s="907"/>
      <c r="S106" s="907"/>
      <c r="T106" s="907"/>
      <c r="U106" s="907"/>
      <c r="V106" s="907"/>
      <c r="W106" s="907"/>
      <c r="X106" s="907"/>
      <c r="Y106" s="907"/>
      <c r="Z106" s="907"/>
      <c r="AA106" s="907"/>
    </row>
    <row r="107" spans="1:27">
      <c r="A107" s="907"/>
      <c r="B107" s="907"/>
      <c r="C107" s="907"/>
      <c r="D107" s="907"/>
      <c r="E107" s="907"/>
      <c r="F107" s="907"/>
      <c r="G107" s="907"/>
      <c r="H107" s="907"/>
      <c r="I107" s="907"/>
      <c r="J107" s="907"/>
      <c r="K107" s="907"/>
      <c r="L107" s="907"/>
      <c r="M107" s="907"/>
      <c r="N107" s="907"/>
      <c r="O107" s="907"/>
      <c r="P107" s="907"/>
      <c r="Q107" s="907"/>
      <c r="R107" s="907"/>
      <c r="S107" s="907"/>
      <c r="T107" s="907"/>
      <c r="U107" s="907"/>
      <c r="V107" s="907"/>
      <c r="W107" s="907"/>
      <c r="X107" s="907"/>
      <c r="Y107" s="907"/>
      <c r="Z107" s="907"/>
      <c r="AA107" s="907"/>
    </row>
    <row r="108" spans="1:27">
      <c r="A108" s="907"/>
      <c r="B108" s="907"/>
      <c r="C108" s="907"/>
      <c r="D108" s="907"/>
      <c r="E108" s="907"/>
      <c r="F108" s="907"/>
      <c r="G108" s="907"/>
      <c r="H108" s="907"/>
      <c r="I108" s="907"/>
      <c r="J108" s="907"/>
      <c r="K108" s="907"/>
      <c r="L108" s="907"/>
      <c r="M108" s="907"/>
      <c r="N108" s="907"/>
      <c r="O108" s="907"/>
      <c r="P108" s="907"/>
      <c r="Q108" s="907"/>
      <c r="R108" s="907"/>
      <c r="S108" s="907"/>
      <c r="T108" s="907"/>
      <c r="U108" s="907"/>
      <c r="V108" s="907"/>
      <c r="W108" s="907"/>
      <c r="X108" s="907"/>
      <c r="Y108" s="907"/>
      <c r="Z108" s="907"/>
      <c r="AA108" s="907"/>
    </row>
    <row r="109" spans="1:27">
      <c r="A109" s="907"/>
      <c r="B109" s="907"/>
      <c r="C109" s="907"/>
      <c r="D109" s="907"/>
      <c r="E109" s="907"/>
      <c r="F109" s="907"/>
      <c r="G109" s="907"/>
      <c r="H109" s="907"/>
      <c r="I109" s="907"/>
      <c r="J109" s="907"/>
      <c r="K109" s="907"/>
      <c r="L109" s="907"/>
      <c r="M109" s="907"/>
      <c r="N109" s="907"/>
      <c r="O109" s="907"/>
      <c r="P109" s="907"/>
      <c r="Q109" s="907"/>
      <c r="R109" s="907"/>
      <c r="S109" s="907"/>
      <c r="T109" s="907"/>
      <c r="U109" s="907"/>
      <c r="V109" s="907"/>
      <c r="W109" s="907"/>
      <c r="X109" s="907"/>
      <c r="Y109" s="907"/>
      <c r="Z109" s="907"/>
      <c r="AA109" s="907"/>
    </row>
    <row r="110" spans="1:27">
      <c r="A110" s="907"/>
      <c r="B110" s="907"/>
      <c r="C110" s="907"/>
      <c r="D110" s="907"/>
      <c r="E110" s="907"/>
      <c r="F110" s="907"/>
      <c r="G110" s="907"/>
      <c r="H110" s="907"/>
      <c r="I110" s="907"/>
      <c r="J110" s="907"/>
      <c r="K110" s="907"/>
      <c r="L110" s="907"/>
      <c r="M110" s="907"/>
      <c r="N110" s="907"/>
      <c r="O110" s="907"/>
      <c r="P110" s="907"/>
      <c r="Q110" s="907"/>
      <c r="R110" s="907"/>
      <c r="S110" s="907"/>
      <c r="T110" s="907"/>
      <c r="U110" s="907"/>
      <c r="V110" s="907"/>
      <c r="W110" s="907"/>
      <c r="X110" s="907"/>
      <c r="Y110" s="907"/>
      <c r="Z110" s="907"/>
      <c r="AA110" s="907"/>
    </row>
    <row r="111" spans="1:27">
      <c r="A111" s="907"/>
      <c r="B111" s="907"/>
      <c r="C111" s="907"/>
      <c r="D111" s="907"/>
      <c r="E111" s="907"/>
      <c r="F111" s="907"/>
      <c r="G111" s="907"/>
      <c r="H111" s="907"/>
      <c r="I111" s="907"/>
      <c r="J111" s="907"/>
      <c r="K111" s="907"/>
      <c r="L111" s="907"/>
      <c r="M111" s="907"/>
      <c r="N111" s="907"/>
      <c r="O111" s="907"/>
      <c r="P111" s="907"/>
      <c r="Q111" s="907"/>
      <c r="R111" s="907"/>
      <c r="S111" s="907"/>
      <c r="T111" s="907"/>
      <c r="U111" s="907"/>
      <c r="V111" s="907"/>
      <c r="W111" s="907"/>
      <c r="X111" s="907"/>
      <c r="Y111" s="907"/>
      <c r="Z111" s="907"/>
      <c r="AA111" s="907"/>
    </row>
    <row r="112" spans="1:27">
      <c r="A112" s="907"/>
      <c r="B112" s="907"/>
      <c r="C112" s="907"/>
      <c r="D112" s="907"/>
      <c r="E112" s="907"/>
      <c r="F112" s="907"/>
      <c r="G112" s="907"/>
      <c r="H112" s="907"/>
      <c r="I112" s="907"/>
      <c r="J112" s="907"/>
      <c r="K112" s="907"/>
      <c r="L112" s="907"/>
      <c r="M112" s="907"/>
      <c r="N112" s="907"/>
      <c r="O112" s="907"/>
      <c r="P112" s="907"/>
      <c r="Q112" s="907"/>
      <c r="R112" s="907"/>
      <c r="S112" s="907"/>
      <c r="T112" s="907"/>
      <c r="U112" s="907"/>
      <c r="V112" s="907"/>
      <c r="W112" s="907"/>
      <c r="X112" s="907"/>
      <c r="Y112" s="907"/>
      <c r="Z112" s="907"/>
      <c r="AA112" s="907"/>
    </row>
    <row r="113" spans="1:27">
      <c r="A113" s="907"/>
      <c r="B113" s="907"/>
      <c r="C113" s="907"/>
      <c r="D113" s="907"/>
      <c r="E113" s="907"/>
      <c r="F113" s="907"/>
      <c r="G113" s="907"/>
      <c r="H113" s="907"/>
      <c r="I113" s="907"/>
      <c r="J113" s="907"/>
      <c r="K113" s="907"/>
      <c r="L113" s="907"/>
      <c r="M113" s="907"/>
      <c r="N113" s="907"/>
      <c r="O113" s="907"/>
      <c r="P113" s="907"/>
      <c r="Q113" s="907"/>
      <c r="R113" s="907"/>
      <c r="S113" s="907"/>
      <c r="T113" s="907"/>
      <c r="U113" s="907"/>
      <c r="V113" s="907"/>
      <c r="W113" s="907"/>
      <c r="X113" s="907"/>
      <c r="Y113" s="907"/>
      <c r="Z113" s="907"/>
      <c r="AA113" s="907"/>
    </row>
    <row r="114" spans="1:27">
      <c r="A114" s="907"/>
      <c r="B114" s="907"/>
      <c r="C114" s="907"/>
      <c r="D114" s="907"/>
      <c r="E114" s="907"/>
      <c r="F114" s="907"/>
      <c r="G114" s="907"/>
      <c r="H114" s="907"/>
      <c r="I114" s="907"/>
      <c r="J114" s="907"/>
      <c r="K114" s="907"/>
      <c r="L114" s="907"/>
      <c r="M114" s="907"/>
      <c r="N114" s="907"/>
      <c r="O114" s="907"/>
      <c r="P114" s="907"/>
      <c r="Q114" s="907"/>
      <c r="R114" s="907"/>
      <c r="S114" s="907"/>
      <c r="T114" s="907"/>
      <c r="U114" s="907"/>
      <c r="V114" s="907"/>
      <c r="W114" s="907"/>
      <c r="X114" s="907"/>
      <c r="Y114" s="907"/>
      <c r="Z114" s="907"/>
      <c r="AA114" s="907"/>
    </row>
    <row r="115" spans="1:27">
      <c r="A115" s="907"/>
      <c r="B115" s="907"/>
      <c r="C115" s="907"/>
      <c r="D115" s="907"/>
      <c r="E115" s="907"/>
      <c r="F115" s="907"/>
      <c r="G115" s="907"/>
      <c r="H115" s="907"/>
      <c r="I115" s="907"/>
      <c r="J115" s="907"/>
      <c r="K115" s="907"/>
      <c r="L115" s="907"/>
      <c r="M115" s="907"/>
      <c r="N115" s="907"/>
      <c r="O115" s="907"/>
      <c r="P115" s="907"/>
      <c r="Q115" s="907"/>
      <c r="R115" s="907"/>
      <c r="S115" s="907"/>
      <c r="T115" s="907"/>
      <c r="U115" s="907"/>
      <c r="V115" s="907"/>
      <c r="W115" s="907"/>
      <c r="X115" s="907"/>
      <c r="Y115" s="907"/>
      <c r="Z115" s="907"/>
      <c r="AA115" s="907"/>
    </row>
    <row r="116" spans="1:27">
      <c r="A116" s="907"/>
      <c r="B116" s="907"/>
      <c r="C116" s="907"/>
      <c r="D116" s="907"/>
      <c r="E116" s="907"/>
      <c r="F116" s="907"/>
      <c r="G116" s="907"/>
      <c r="H116" s="907"/>
      <c r="I116" s="907"/>
      <c r="J116" s="907"/>
      <c r="K116" s="907"/>
      <c r="L116" s="907"/>
      <c r="M116" s="907"/>
      <c r="N116" s="907"/>
      <c r="O116" s="907"/>
      <c r="P116" s="907"/>
      <c r="Q116" s="907"/>
      <c r="R116" s="907"/>
      <c r="S116" s="907"/>
      <c r="T116" s="907"/>
      <c r="U116" s="907"/>
      <c r="V116" s="907"/>
      <c r="W116" s="907"/>
      <c r="X116" s="907"/>
      <c r="Y116" s="907"/>
      <c r="Z116" s="907"/>
      <c r="AA116" s="907"/>
    </row>
    <row r="117" spans="1:27">
      <c r="A117" s="907"/>
      <c r="B117" s="907"/>
      <c r="C117" s="907"/>
      <c r="D117" s="907"/>
      <c r="E117" s="907"/>
      <c r="F117" s="907"/>
      <c r="G117" s="907"/>
      <c r="H117" s="907"/>
      <c r="I117" s="907"/>
      <c r="J117" s="907"/>
      <c r="K117" s="907"/>
      <c r="L117" s="907"/>
      <c r="M117" s="907"/>
      <c r="N117" s="907"/>
      <c r="O117" s="907"/>
      <c r="P117" s="907"/>
      <c r="Q117" s="907"/>
      <c r="R117" s="907"/>
      <c r="S117" s="907"/>
      <c r="T117" s="907"/>
      <c r="U117" s="907"/>
      <c r="V117" s="907"/>
      <c r="W117" s="907"/>
      <c r="X117" s="907"/>
      <c r="Y117" s="907"/>
      <c r="Z117" s="907"/>
      <c r="AA117" s="907"/>
    </row>
    <row r="118" spans="1:27">
      <c r="A118" s="907"/>
      <c r="B118" s="907"/>
      <c r="C118" s="907"/>
      <c r="D118" s="907"/>
      <c r="E118" s="907"/>
      <c r="F118" s="907"/>
      <c r="G118" s="907"/>
      <c r="H118" s="907"/>
      <c r="I118" s="907"/>
      <c r="J118" s="907"/>
      <c r="K118" s="907"/>
      <c r="L118" s="907"/>
      <c r="M118" s="907"/>
      <c r="N118" s="907"/>
      <c r="O118" s="907"/>
      <c r="P118" s="907"/>
      <c r="Q118" s="907"/>
      <c r="R118" s="907"/>
      <c r="S118" s="907"/>
      <c r="T118" s="907"/>
      <c r="U118" s="907"/>
      <c r="V118" s="907"/>
      <c r="W118" s="907"/>
      <c r="X118" s="907"/>
      <c r="Y118" s="907"/>
      <c r="Z118" s="907"/>
      <c r="AA118" s="907"/>
    </row>
    <row r="119" spans="1:27">
      <c r="A119" s="907"/>
      <c r="B119" s="907"/>
      <c r="C119" s="907"/>
      <c r="D119" s="907"/>
      <c r="E119" s="907"/>
      <c r="F119" s="907"/>
      <c r="G119" s="907"/>
      <c r="H119" s="907"/>
      <c r="I119" s="907"/>
      <c r="J119" s="907"/>
      <c r="K119" s="907"/>
      <c r="L119" s="907"/>
      <c r="M119" s="907"/>
      <c r="N119" s="907"/>
      <c r="O119" s="907"/>
      <c r="P119" s="907"/>
      <c r="Q119" s="907"/>
      <c r="R119" s="907"/>
      <c r="S119" s="907"/>
      <c r="T119" s="907"/>
      <c r="U119" s="907"/>
      <c r="V119" s="907"/>
      <c r="W119" s="907"/>
      <c r="X119" s="907"/>
      <c r="Y119" s="907"/>
      <c r="Z119" s="907"/>
      <c r="AA119" s="907"/>
    </row>
    <row r="120" spans="1:27">
      <c r="A120" s="907"/>
      <c r="B120" s="907"/>
      <c r="C120" s="907"/>
      <c r="D120" s="907"/>
      <c r="E120" s="907"/>
      <c r="F120" s="907"/>
      <c r="G120" s="907"/>
      <c r="H120" s="907"/>
      <c r="I120" s="907"/>
      <c r="J120" s="907"/>
      <c r="K120" s="907"/>
      <c r="L120" s="907"/>
      <c r="M120" s="907"/>
      <c r="N120" s="907"/>
      <c r="O120" s="907"/>
      <c r="P120" s="907"/>
      <c r="Q120" s="907"/>
      <c r="R120" s="907"/>
      <c r="S120" s="907"/>
      <c r="T120" s="907"/>
      <c r="U120" s="907"/>
      <c r="V120" s="907"/>
      <c r="W120" s="907"/>
      <c r="X120" s="907"/>
      <c r="Y120" s="907"/>
      <c r="Z120" s="907"/>
      <c r="AA120" s="907"/>
    </row>
    <row r="121" spans="1:27">
      <c r="A121" s="907"/>
      <c r="B121" s="907"/>
      <c r="C121" s="907"/>
      <c r="D121" s="907"/>
      <c r="E121" s="907"/>
      <c r="F121" s="907"/>
      <c r="G121" s="907"/>
      <c r="H121" s="907"/>
      <c r="I121" s="907"/>
      <c r="J121" s="907"/>
      <c r="K121" s="907"/>
      <c r="L121" s="907"/>
      <c r="M121" s="907"/>
      <c r="N121" s="907"/>
      <c r="O121" s="907"/>
      <c r="P121" s="907"/>
      <c r="Q121" s="907"/>
      <c r="R121" s="907"/>
      <c r="S121" s="907"/>
      <c r="T121" s="907"/>
      <c r="U121" s="907"/>
      <c r="V121" s="907"/>
      <c r="W121" s="907"/>
      <c r="X121" s="907"/>
      <c r="Y121" s="907"/>
      <c r="Z121" s="907"/>
      <c r="AA121" s="907"/>
    </row>
    <row r="122" spans="1:27">
      <c r="A122" s="907"/>
      <c r="B122" s="907"/>
      <c r="C122" s="907"/>
      <c r="D122" s="907"/>
      <c r="E122" s="907"/>
      <c r="F122" s="907"/>
      <c r="G122" s="907"/>
      <c r="H122" s="907"/>
      <c r="I122" s="907"/>
      <c r="J122" s="907"/>
      <c r="K122" s="907"/>
      <c r="L122" s="907"/>
      <c r="M122" s="907"/>
      <c r="N122" s="907"/>
      <c r="O122" s="907"/>
      <c r="P122" s="907"/>
      <c r="Q122" s="907"/>
      <c r="R122" s="907"/>
      <c r="S122" s="907"/>
      <c r="T122" s="907"/>
      <c r="U122" s="907"/>
      <c r="V122" s="907"/>
      <c r="W122" s="907"/>
      <c r="X122" s="907"/>
      <c r="Y122" s="907"/>
      <c r="Z122" s="907"/>
      <c r="AA122" s="907"/>
    </row>
    <row r="123" spans="1:27">
      <c r="A123" s="907"/>
      <c r="B123" s="907"/>
      <c r="C123" s="907"/>
      <c r="D123" s="907"/>
      <c r="E123" s="907"/>
      <c r="F123" s="907"/>
      <c r="G123" s="907"/>
      <c r="H123" s="907"/>
      <c r="I123" s="907"/>
      <c r="J123" s="907"/>
      <c r="K123" s="907"/>
      <c r="L123" s="907"/>
      <c r="M123" s="907"/>
      <c r="N123" s="907"/>
      <c r="O123" s="907"/>
      <c r="P123" s="907"/>
      <c r="Q123" s="907"/>
      <c r="R123" s="907"/>
      <c r="S123" s="907"/>
      <c r="T123" s="907"/>
      <c r="U123" s="907"/>
      <c r="V123" s="907"/>
      <c r="W123" s="907"/>
      <c r="X123" s="907"/>
      <c r="Y123" s="907"/>
      <c r="Z123" s="907"/>
      <c r="AA123" s="907"/>
    </row>
    <row r="124" spans="1:27">
      <c r="A124" s="907"/>
      <c r="B124" s="907"/>
      <c r="C124" s="907"/>
      <c r="D124" s="907"/>
      <c r="E124" s="907"/>
      <c r="F124" s="907"/>
      <c r="G124" s="907"/>
      <c r="H124" s="907"/>
      <c r="I124" s="907"/>
      <c r="J124" s="907"/>
      <c r="K124" s="907"/>
      <c r="L124" s="907"/>
      <c r="M124" s="907"/>
      <c r="N124" s="907"/>
      <c r="O124" s="907"/>
      <c r="P124" s="907"/>
      <c r="Q124" s="907"/>
      <c r="R124" s="907"/>
      <c r="S124" s="907"/>
      <c r="T124" s="907"/>
      <c r="U124" s="907"/>
      <c r="V124" s="907"/>
      <c r="W124" s="907"/>
      <c r="X124" s="907"/>
      <c r="Y124" s="907"/>
      <c r="Z124" s="907"/>
      <c r="AA124" s="907"/>
    </row>
    <row r="125" spans="1:27">
      <c r="A125" s="907"/>
      <c r="B125" s="907"/>
      <c r="C125" s="907"/>
      <c r="D125" s="907"/>
      <c r="E125" s="907"/>
      <c r="F125" s="907"/>
      <c r="G125" s="907"/>
      <c r="H125" s="907"/>
      <c r="I125" s="907"/>
      <c r="J125" s="907"/>
      <c r="K125" s="907"/>
      <c r="L125" s="907"/>
      <c r="M125" s="907"/>
      <c r="N125" s="907"/>
      <c r="O125" s="907"/>
      <c r="P125" s="907"/>
      <c r="Q125" s="907"/>
      <c r="R125" s="907"/>
      <c r="S125" s="907"/>
      <c r="T125" s="907"/>
      <c r="U125" s="907"/>
      <c r="V125" s="907"/>
      <c r="W125" s="907"/>
      <c r="X125" s="907"/>
      <c r="Y125" s="907"/>
      <c r="Z125" s="907"/>
      <c r="AA125" s="907"/>
    </row>
    <row r="126" spans="1:27">
      <c r="A126" s="907"/>
      <c r="B126" s="907"/>
      <c r="C126" s="907"/>
      <c r="D126" s="907"/>
      <c r="E126" s="907"/>
      <c r="F126" s="907"/>
      <c r="G126" s="907"/>
      <c r="H126" s="907"/>
      <c r="I126" s="907"/>
      <c r="J126" s="907"/>
      <c r="K126" s="907"/>
      <c r="L126" s="907"/>
      <c r="M126" s="907"/>
      <c r="N126" s="907"/>
      <c r="O126" s="907"/>
      <c r="P126" s="907"/>
      <c r="Q126" s="907"/>
      <c r="R126" s="907"/>
      <c r="S126" s="907"/>
      <c r="T126" s="907"/>
      <c r="U126" s="907"/>
      <c r="V126" s="907"/>
      <c r="W126" s="907"/>
      <c r="X126" s="907"/>
      <c r="Y126" s="907"/>
      <c r="Z126" s="907"/>
      <c r="AA126" s="907"/>
    </row>
    <row r="127" spans="1:27">
      <c r="A127" s="907"/>
      <c r="B127" s="907"/>
      <c r="C127" s="907"/>
      <c r="D127" s="907"/>
      <c r="E127" s="907"/>
      <c r="F127" s="907"/>
      <c r="G127" s="907"/>
      <c r="H127" s="907"/>
      <c r="I127" s="907"/>
      <c r="J127" s="907"/>
      <c r="K127" s="907"/>
      <c r="L127" s="907"/>
      <c r="M127" s="907"/>
      <c r="N127" s="907"/>
      <c r="O127" s="907"/>
      <c r="P127" s="907"/>
      <c r="Q127" s="907"/>
      <c r="R127" s="907"/>
      <c r="S127" s="907"/>
      <c r="T127" s="907"/>
      <c r="U127" s="907"/>
      <c r="V127" s="907"/>
      <c r="W127" s="907"/>
      <c r="X127" s="907"/>
      <c r="Y127" s="907"/>
      <c r="Z127" s="907"/>
      <c r="AA127" s="907"/>
    </row>
    <row r="128" spans="1:27">
      <c r="A128" s="907"/>
      <c r="B128" s="907"/>
      <c r="C128" s="907"/>
      <c r="D128" s="907"/>
      <c r="E128" s="907"/>
      <c r="F128" s="907"/>
      <c r="G128" s="907"/>
      <c r="H128" s="907"/>
      <c r="I128" s="907"/>
      <c r="J128" s="907"/>
      <c r="K128" s="907"/>
      <c r="L128" s="907"/>
      <c r="M128" s="907"/>
      <c r="N128" s="907"/>
      <c r="O128" s="907"/>
      <c r="P128" s="907"/>
      <c r="Q128" s="907"/>
      <c r="R128" s="907"/>
      <c r="S128" s="907"/>
      <c r="T128" s="907"/>
      <c r="U128" s="907"/>
      <c r="V128" s="907"/>
      <c r="W128" s="907"/>
      <c r="X128" s="907"/>
      <c r="Y128" s="907"/>
      <c r="Z128" s="907"/>
      <c r="AA128" s="907"/>
    </row>
    <row r="129" spans="1:27">
      <c r="A129" s="907"/>
      <c r="B129" s="907"/>
      <c r="C129" s="907"/>
      <c r="D129" s="907"/>
      <c r="E129" s="907"/>
      <c r="F129" s="907"/>
      <c r="G129" s="907"/>
      <c r="H129" s="907"/>
      <c r="I129" s="907"/>
      <c r="J129" s="907"/>
      <c r="K129" s="907"/>
      <c r="L129" s="907"/>
      <c r="M129" s="907"/>
      <c r="N129" s="907"/>
      <c r="O129" s="907"/>
      <c r="P129" s="907"/>
      <c r="Q129" s="907"/>
      <c r="R129" s="907"/>
      <c r="S129" s="907"/>
      <c r="T129" s="907"/>
      <c r="U129" s="907"/>
      <c r="V129" s="907"/>
      <c r="W129" s="907"/>
      <c r="X129" s="907"/>
      <c r="Y129" s="907"/>
      <c r="Z129" s="907"/>
      <c r="AA129" s="907"/>
    </row>
    <row r="130" spans="1:27">
      <c r="A130" s="907"/>
      <c r="B130" s="907"/>
      <c r="C130" s="907"/>
      <c r="D130" s="907"/>
      <c r="E130" s="907"/>
      <c r="F130" s="907"/>
      <c r="G130" s="907"/>
      <c r="H130" s="907"/>
      <c r="I130" s="907"/>
      <c r="J130" s="907"/>
      <c r="K130" s="907"/>
      <c r="L130" s="907"/>
      <c r="M130" s="907"/>
      <c r="N130" s="907"/>
      <c r="O130" s="907"/>
      <c r="P130" s="907"/>
      <c r="Q130" s="907"/>
      <c r="R130" s="907"/>
      <c r="S130" s="907"/>
      <c r="T130" s="907"/>
      <c r="U130" s="907"/>
      <c r="V130" s="907"/>
      <c r="W130" s="907"/>
      <c r="X130" s="907"/>
      <c r="Y130" s="907"/>
      <c r="Z130" s="907"/>
      <c r="AA130" s="907"/>
    </row>
    <row r="131" spans="1:27">
      <c r="A131" s="907"/>
      <c r="B131" s="907"/>
      <c r="C131" s="907"/>
      <c r="D131" s="907"/>
      <c r="E131" s="907"/>
      <c r="F131" s="907"/>
      <c r="G131" s="907"/>
      <c r="H131" s="907"/>
      <c r="I131" s="907"/>
      <c r="J131" s="907"/>
      <c r="K131" s="907"/>
      <c r="L131" s="907"/>
      <c r="M131" s="907"/>
      <c r="N131" s="907"/>
      <c r="O131" s="907"/>
      <c r="P131" s="907"/>
      <c r="Q131" s="907"/>
      <c r="R131" s="907"/>
      <c r="S131" s="907"/>
      <c r="T131" s="907"/>
      <c r="U131" s="907"/>
      <c r="V131" s="907"/>
      <c r="W131" s="907"/>
      <c r="X131" s="907"/>
      <c r="Y131" s="907"/>
      <c r="Z131" s="907"/>
      <c r="AA131" s="907"/>
    </row>
    <row r="132" spans="1:27">
      <c r="A132" s="907"/>
      <c r="B132" s="907"/>
      <c r="C132" s="907"/>
      <c r="D132" s="907"/>
      <c r="E132" s="907"/>
      <c r="F132" s="907"/>
      <c r="G132" s="907"/>
      <c r="H132" s="907"/>
      <c r="I132" s="907"/>
      <c r="J132" s="907"/>
      <c r="K132" s="907"/>
      <c r="L132" s="907"/>
      <c r="M132" s="907"/>
      <c r="N132" s="907"/>
      <c r="O132" s="907"/>
      <c r="P132" s="907"/>
      <c r="Q132" s="907"/>
      <c r="R132" s="907"/>
      <c r="S132" s="907"/>
      <c r="T132" s="907"/>
      <c r="U132" s="907"/>
      <c r="V132" s="907"/>
      <c r="W132" s="907"/>
      <c r="X132" s="907"/>
      <c r="Y132" s="907"/>
      <c r="Z132" s="907"/>
      <c r="AA132" s="907"/>
    </row>
    <row r="133" spans="1:27">
      <c r="A133" s="907"/>
      <c r="B133" s="907"/>
      <c r="C133" s="907"/>
      <c r="D133" s="907"/>
      <c r="E133" s="907"/>
      <c r="F133" s="907"/>
      <c r="G133" s="907"/>
      <c r="H133" s="907"/>
      <c r="I133" s="907"/>
      <c r="J133" s="907"/>
      <c r="K133" s="907"/>
      <c r="L133" s="907"/>
      <c r="M133" s="907"/>
      <c r="N133" s="907"/>
      <c r="O133" s="907"/>
      <c r="P133" s="907"/>
      <c r="Q133" s="907"/>
      <c r="R133" s="907"/>
      <c r="S133" s="907"/>
      <c r="T133" s="907"/>
      <c r="U133" s="907"/>
      <c r="V133" s="907"/>
      <c r="W133" s="907"/>
      <c r="X133" s="907"/>
      <c r="Y133" s="907"/>
      <c r="Z133" s="907"/>
      <c r="AA133" s="907"/>
    </row>
    <row r="134" spans="1:27">
      <c r="A134" s="907"/>
      <c r="B134" s="907"/>
      <c r="C134" s="907"/>
      <c r="D134" s="907"/>
      <c r="E134" s="907"/>
      <c r="F134" s="907"/>
      <c r="G134" s="907"/>
      <c r="H134" s="907"/>
      <c r="I134" s="907"/>
      <c r="J134" s="907"/>
      <c r="K134" s="907"/>
      <c r="L134" s="907"/>
      <c r="M134" s="907"/>
      <c r="N134" s="907"/>
      <c r="O134" s="907"/>
      <c r="P134" s="907"/>
      <c r="Q134" s="907"/>
      <c r="R134" s="907"/>
      <c r="S134" s="907"/>
      <c r="T134" s="907"/>
      <c r="U134" s="907"/>
      <c r="V134" s="907"/>
      <c r="W134" s="907"/>
      <c r="X134" s="907"/>
      <c r="Y134" s="907"/>
      <c r="Z134" s="907"/>
      <c r="AA134" s="907"/>
    </row>
    <row r="135" spans="1:27">
      <c r="A135" s="907"/>
      <c r="B135" s="907"/>
      <c r="C135" s="907"/>
      <c r="D135" s="907"/>
      <c r="E135" s="907"/>
      <c r="F135" s="907"/>
      <c r="G135" s="907"/>
      <c r="H135" s="907"/>
      <c r="I135" s="907"/>
      <c r="J135" s="907"/>
      <c r="K135" s="907"/>
      <c r="L135" s="907"/>
      <c r="M135" s="907"/>
      <c r="N135" s="907"/>
      <c r="O135" s="907"/>
      <c r="P135" s="907"/>
      <c r="Q135" s="907"/>
      <c r="R135" s="907"/>
      <c r="S135" s="907"/>
      <c r="T135" s="907"/>
      <c r="U135" s="907"/>
      <c r="V135" s="907"/>
      <c r="W135" s="907"/>
      <c r="X135" s="907"/>
      <c r="Y135" s="907"/>
      <c r="Z135" s="907"/>
      <c r="AA135" s="907"/>
    </row>
    <row r="136" spans="1:27">
      <c r="A136" s="907"/>
      <c r="B136" s="907"/>
      <c r="C136" s="907"/>
      <c r="D136" s="907"/>
      <c r="E136" s="907"/>
      <c r="F136" s="907"/>
      <c r="G136" s="907"/>
      <c r="H136" s="907"/>
      <c r="I136" s="907"/>
      <c r="J136" s="907"/>
      <c r="K136" s="907"/>
      <c r="L136" s="907"/>
      <c r="M136" s="907"/>
      <c r="N136" s="907"/>
      <c r="O136" s="907"/>
      <c r="P136" s="907"/>
      <c r="Q136" s="907"/>
      <c r="R136" s="907"/>
      <c r="S136" s="907"/>
      <c r="T136" s="907"/>
      <c r="U136" s="907"/>
      <c r="V136" s="907"/>
      <c r="W136" s="907"/>
      <c r="X136" s="907"/>
      <c r="Y136" s="907"/>
      <c r="Z136" s="907"/>
      <c r="AA136" s="907"/>
    </row>
    <row r="137" spans="1:27">
      <c r="A137" s="907"/>
      <c r="B137" s="907"/>
      <c r="C137" s="907"/>
      <c r="D137" s="907"/>
      <c r="E137" s="907"/>
      <c r="F137" s="907"/>
      <c r="G137" s="907"/>
      <c r="H137" s="907"/>
      <c r="I137" s="907"/>
      <c r="J137" s="907"/>
      <c r="K137" s="907"/>
      <c r="L137" s="907"/>
      <c r="M137" s="907"/>
      <c r="N137" s="907"/>
      <c r="O137" s="907"/>
      <c r="P137" s="907"/>
      <c r="Q137" s="907"/>
      <c r="R137" s="907"/>
      <c r="S137" s="907"/>
      <c r="T137" s="907"/>
      <c r="U137" s="907"/>
      <c r="V137" s="907"/>
      <c r="W137" s="907"/>
      <c r="X137" s="907"/>
      <c r="Y137" s="907"/>
      <c r="Z137" s="907"/>
      <c r="AA137" s="907"/>
    </row>
    <row r="138" spans="1:27">
      <c r="A138" s="907"/>
      <c r="B138" s="907"/>
      <c r="C138" s="907"/>
      <c r="D138" s="907"/>
      <c r="E138" s="907"/>
      <c r="F138" s="907"/>
      <c r="G138" s="907"/>
      <c r="H138" s="907"/>
      <c r="I138" s="907"/>
      <c r="J138" s="907"/>
      <c r="K138" s="907"/>
      <c r="L138" s="907"/>
      <c r="M138" s="907"/>
      <c r="N138" s="907"/>
      <c r="O138" s="907"/>
      <c r="P138" s="907"/>
      <c r="Q138" s="907"/>
      <c r="R138" s="907"/>
      <c r="S138" s="907"/>
      <c r="T138" s="907"/>
      <c r="U138" s="907"/>
      <c r="V138" s="907"/>
      <c r="W138" s="907"/>
      <c r="X138" s="907"/>
      <c r="Y138" s="907"/>
      <c r="Z138" s="907"/>
      <c r="AA138" s="907"/>
    </row>
    <row r="139" spans="1:27">
      <c r="A139" s="907"/>
      <c r="B139" s="907"/>
      <c r="C139" s="907"/>
      <c r="D139" s="907"/>
      <c r="E139" s="907"/>
      <c r="F139" s="907"/>
      <c r="G139" s="907"/>
      <c r="H139" s="907"/>
      <c r="I139" s="907"/>
      <c r="J139" s="907"/>
      <c r="K139" s="907"/>
      <c r="L139" s="907"/>
      <c r="M139" s="907"/>
      <c r="N139" s="907"/>
      <c r="O139" s="907"/>
      <c r="P139" s="907"/>
      <c r="Q139" s="907"/>
      <c r="R139" s="907"/>
      <c r="S139" s="907"/>
      <c r="T139" s="907"/>
      <c r="U139" s="907"/>
      <c r="V139" s="907"/>
      <c r="W139" s="907"/>
      <c r="X139" s="907"/>
      <c r="Y139" s="907"/>
      <c r="Z139" s="907"/>
      <c r="AA139" s="907"/>
    </row>
    <row r="140" spans="1:27">
      <c r="A140" s="907"/>
      <c r="B140" s="907"/>
      <c r="C140" s="907"/>
      <c r="D140" s="907"/>
      <c r="E140" s="907"/>
      <c r="F140" s="907"/>
      <c r="G140" s="907"/>
      <c r="H140" s="907"/>
      <c r="I140" s="907"/>
      <c r="J140" s="907"/>
      <c r="K140" s="907"/>
      <c r="L140" s="907"/>
      <c r="M140" s="907"/>
      <c r="N140" s="907"/>
      <c r="O140" s="907"/>
      <c r="P140" s="907"/>
      <c r="Q140" s="907"/>
      <c r="R140" s="907"/>
      <c r="S140" s="907"/>
      <c r="T140" s="907"/>
      <c r="U140" s="907"/>
      <c r="V140" s="907"/>
      <c r="W140" s="907"/>
      <c r="X140" s="907"/>
      <c r="Y140" s="907"/>
      <c r="Z140" s="907"/>
      <c r="AA140" s="907"/>
    </row>
    <row r="141" spans="1:27">
      <c r="A141" s="907"/>
      <c r="B141" s="907"/>
      <c r="C141" s="907"/>
      <c r="D141" s="907"/>
      <c r="E141" s="907"/>
      <c r="F141" s="907"/>
      <c r="G141" s="907"/>
      <c r="H141" s="907"/>
      <c r="I141" s="907"/>
      <c r="J141" s="907"/>
      <c r="K141" s="907"/>
      <c r="L141" s="907"/>
      <c r="M141" s="907"/>
      <c r="N141" s="907"/>
      <c r="O141" s="907"/>
      <c r="P141" s="907"/>
      <c r="Q141" s="907"/>
      <c r="R141" s="907"/>
      <c r="S141" s="907"/>
      <c r="T141" s="907"/>
      <c r="U141" s="907"/>
      <c r="V141" s="907"/>
      <c r="W141" s="907"/>
      <c r="X141" s="907"/>
      <c r="Y141" s="907"/>
      <c r="Z141" s="907"/>
      <c r="AA141" s="907"/>
    </row>
    <row r="142" spans="1:27">
      <c r="A142" s="907"/>
      <c r="B142" s="907"/>
      <c r="C142" s="907"/>
      <c r="D142" s="907"/>
      <c r="E142" s="907"/>
      <c r="F142" s="907"/>
      <c r="G142" s="907"/>
      <c r="H142" s="907"/>
      <c r="I142" s="907"/>
      <c r="J142" s="907"/>
      <c r="K142" s="907"/>
      <c r="L142" s="907"/>
      <c r="M142" s="907"/>
      <c r="N142" s="907"/>
      <c r="O142" s="907"/>
      <c r="P142" s="907"/>
      <c r="Q142" s="907"/>
      <c r="R142" s="907"/>
      <c r="S142" s="907"/>
      <c r="T142" s="907"/>
      <c r="U142" s="907"/>
      <c r="V142" s="907"/>
      <c r="W142" s="907"/>
      <c r="X142" s="907"/>
      <c r="Y142" s="907"/>
      <c r="Z142" s="907"/>
      <c r="AA142" s="907"/>
    </row>
    <row r="143" spans="1:27">
      <c r="A143" s="907"/>
      <c r="B143" s="907"/>
      <c r="C143" s="907"/>
      <c r="D143" s="907"/>
      <c r="E143" s="907"/>
      <c r="F143" s="907"/>
      <c r="G143" s="907"/>
      <c r="H143" s="907"/>
      <c r="I143" s="907"/>
      <c r="J143" s="907"/>
      <c r="K143" s="907"/>
      <c r="L143" s="907"/>
      <c r="M143" s="907"/>
      <c r="N143" s="907"/>
      <c r="O143" s="907"/>
      <c r="P143" s="907"/>
      <c r="Q143" s="907"/>
      <c r="R143" s="907"/>
      <c r="S143" s="907"/>
      <c r="T143" s="907"/>
      <c r="U143" s="907"/>
      <c r="V143" s="907"/>
      <c r="W143" s="907"/>
      <c r="X143" s="907"/>
      <c r="Y143" s="907"/>
      <c r="Z143" s="907"/>
      <c r="AA143" s="907"/>
    </row>
    <row r="144" spans="1:27">
      <c r="A144" s="907"/>
      <c r="B144" s="907"/>
      <c r="C144" s="907"/>
      <c r="D144" s="907"/>
      <c r="E144" s="907"/>
      <c r="F144" s="907"/>
      <c r="G144" s="907"/>
      <c r="H144" s="907"/>
      <c r="I144" s="907"/>
      <c r="J144" s="907"/>
      <c r="K144" s="907"/>
      <c r="L144" s="907"/>
      <c r="M144" s="907"/>
      <c r="N144" s="907"/>
      <c r="O144" s="907"/>
      <c r="P144" s="907"/>
      <c r="Q144" s="907"/>
      <c r="R144" s="907"/>
      <c r="S144" s="907"/>
      <c r="T144" s="907"/>
      <c r="U144" s="907"/>
      <c r="V144" s="907"/>
      <c r="W144" s="907"/>
      <c r="X144" s="907"/>
      <c r="Y144" s="907"/>
      <c r="Z144" s="907"/>
      <c r="AA144" s="907"/>
    </row>
    <row r="145" spans="1:27">
      <c r="A145" s="907"/>
      <c r="B145" s="907"/>
      <c r="C145" s="907"/>
      <c r="D145" s="907"/>
      <c r="E145" s="907"/>
      <c r="F145" s="907"/>
      <c r="G145" s="907"/>
      <c r="H145" s="907"/>
      <c r="I145" s="907"/>
      <c r="J145" s="907"/>
      <c r="K145" s="907"/>
      <c r="L145" s="907"/>
      <c r="M145" s="907"/>
      <c r="N145" s="907"/>
      <c r="O145" s="907"/>
      <c r="P145" s="907"/>
      <c r="Q145" s="907"/>
      <c r="R145" s="907"/>
      <c r="S145" s="907"/>
      <c r="T145" s="907"/>
      <c r="U145" s="907"/>
      <c r="V145" s="907"/>
      <c r="W145" s="907"/>
      <c r="X145" s="907"/>
      <c r="Y145" s="907"/>
      <c r="Z145" s="907"/>
      <c r="AA145" s="907"/>
    </row>
    <row r="146" spans="1:27">
      <c r="A146" s="907"/>
      <c r="B146" s="907"/>
      <c r="C146" s="907"/>
      <c r="D146" s="907"/>
      <c r="E146" s="907"/>
      <c r="F146" s="907"/>
      <c r="G146" s="907"/>
      <c r="H146" s="907"/>
      <c r="I146" s="907"/>
      <c r="J146" s="907"/>
      <c r="K146" s="907"/>
      <c r="L146" s="907"/>
      <c r="M146" s="907"/>
      <c r="N146" s="907"/>
      <c r="O146" s="907"/>
      <c r="P146" s="907"/>
      <c r="Q146" s="907"/>
      <c r="R146" s="907"/>
      <c r="S146" s="907"/>
      <c r="T146" s="907"/>
      <c r="U146" s="907"/>
      <c r="V146" s="907"/>
      <c r="W146" s="907"/>
      <c r="X146" s="907"/>
      <c r="Y146" s="907"/>
      <c r="Z146" s="907"/>
      <c r="AA146" s="907"/>
    </row>
    <row r="147" spans="1:27">
      <c r="A147" s="907"/>
      <c r="B147" s="907"/>
      <c r="C147" s="907"/>
      <c r="D147" s="907"/>
      <c r="E147" s="907"/>
      <c r="F147" s="907"/>
      <c r="G147" s="907"/>
      <c r="H147" s="907"/>
      <c r="I147" s="907"/>
      <c r="J147" s="907"/>
      <c r="K147" s="907"/>
      <c r="L147" s="907"/>
      <c r="M147" s="907"/>
      <c r="N147" s="907"/>
      <c r="O147" s="907"/>
      <c r="P147" s="907"/>
      <c r="Q147" s="907"/>
      <c r="R147" s="907"/>
      <c r="S147" s="907"/>
      <c r="T147" s="907"/>
      <c r="U147" s="907"/>
      <c r="V147" s="907"/>
      <c r="W147" s="907"/>
      <c r="X147" s="907"/>
      <c r="Y147" s="907"/>
      <c r="Z147" s="907"/>
      <c r="AA147" s="907"/>
    </row>
    <row r="148" spans="1:27">
      <c r="A148" s="907"/>
      <c r="B148" s="907"/>
      <c r="C148" s="907"/>
      <c r="D148" s="907"/>
      <c r="E148" s="907"/>
      <c r="F148" s="907"/>
      <c r="G148" s="907"/>
      <c r="H148" s="907"/>
      <c r="I148" s="907"/>
      <c r="J148" s="907"/>
      <c r="K148" s="907"/>
      <c r="L148" s="907"/>
      <c r="M148" s="907"/>
      <c r="N148" s="907"/>
      <c r="O148" s="907"/>
      <c r="P148" s="907"/>
      <c r="Q148" s="907"/>
      <c r="R148" s="907"/>
      <c r="S148" s="907"/>
      <c r="T148" s="907"/>
      <c r="U148" s="907"/>
      <c r="V148" s="907"/>
      <c r="W148" s="907"/>
      <c r="X148" s="907"/>
      <c r="Y148" s="907"/>
      <c r="Z148" s="907"/>
      <c r="AA148" s="907"/>
    </row>
    <row r="149" spans="1:27">
      <c r="A149" s="907"/>
      <c r="B149" s="907"/>
      <c r="C149" s="907"/>
      <c r="D149" s="907"/>
      <c r="E149" s="907"/>
      <c r="F149" s="907"/>
      <c r="G149" s="907"/>
      <c r="H149" s="907"/>
      <c r="I149" s="907"/>
      <c r="J149" s="907"/>
      <c r="K149" s="907"/>
      <c r="L149" s="907"/>
      <c r="M149" s="907"/>
      <c r="N149" s="907"/>
      <c r="O149" s="907"/>
      <c r="P149" s="907"/>
      <c r="Q149" s="907"/>
      <c r="R149" s="907"/>
      <c r="S149" s="907"/>
      <c r="T149" s="907"/>
      <c r="U149" s="907"/>
      <c r="V149" s="907"/>
      <c r="W149" s="907"/>
      <c r="X149" s="907"/>
      <c r="Y149" s="907"/>
      <c r="Z149" s="907"/>
      <c r="AA149" s="907"/>
    </row>
    <row r="150" spans="1:27">
      <c r="A150" s="907"/>
      <c r="B150" s="907"/>
      <c r="C150" s="907"/>
      <c r="D150" s="907"/>
      <c r="E150" s="907"/>
      <c r="F150" s="907"/>
      <c r="G150" s="907"/>
      <c r="H150" s="907"/>
      <c r="I150" s="907"/>
      <c r="J150" s="907"/>
      <c r="K150" s="907"/>
      <c r="L150" s="907"/>
      <c r="M150" s="907"/>
      <c r="N150" s="907"/>
      <c r="O150" s="907"/>
      <c r="P150" s="907"/>
      <c r="Q150" s="907"/>
      <c r="R150" s="907"/>
      <c r="S150" s="907"/>
      <c r="T150" s="907"/>
      <c r="U150" s="907"/>
      <c r="V150" s="907"/>
      <c r="W150" s="907"/>
      <c r="X150" s="907"/>
      <c r="Y150" s="907"/>
      <c r="Z150" s="907"/>
      <c r="AA150" s="907"/>
    </row>
    <row r="151" spans="1:27">
      <c r="A151" s="907"/>
      <c r="B151" s="907"/>
      <c r="C151" s="907"/>
      <c r="D151" s="907"/>
      <c r="E151" s="907"/>
      <c r="F151" s="907"/>
      <c r="G151" s="907"/>
      <c r="H151" s="907"/>
      <c r="I151" s="907"/>
      <c r="J151" s="907"/>
      <c r="K151" s="907"/>
      <c r="L151" s="907"/>
      <c r="M151" s="907"/>
      <c r="N151" s="907"/>
      <c r="O151" s="907"/>
      <c r="P151" s="907"/>
      <c r="Q151" s="907"/>
      <c r="R151" s="907"/>
      <c r="S151" s="907"/>
      <c r="T151" s="907"/>
      <c r="U151" s="907"/>
      <c r="V151" s="907"/>
      <c r="W151" s="907"/>
      <c r="X151" s="907"/>
      <c r="Y151" s="907"/>
      <c r="Z151" s="907"/>
      <c r="AA151" s="907"/>
    </row>
    <row r="152" spans="1:27">
      <c r="A152" s="907"/>
      <c r="B152" s="907"/>
      <c r="C152" s="907"/>
      <c r="D152" s="907"/>
      <c r="E152" s="907"/>
      <c r="F152" s="907"/>
      <c r="G152" s="907"/>
      <c r="H152" s="907"/>
      <c r="I152" s="907"/>
      <c r="J152" s="907"/>
      <c r="K152" s="907"/>
      <c r="L152" s="907"/>
      <c r="M152" s="907"/>
      <c r="N152" s="907"/>
      <c r="O152" s="907"/>
      <c r="P152" s="907"/>
      <c r="Q152" s="907"/>
      <c r="R152" s="907"/>
      <c r="S152" s="907"/>
      <c r="T152" s="907"/>
      <c r="U152" s="907"/>
      <c r="V152" s="907"/>
      <c r="W152" s="907"/>
      <c r="X152" s="907"/>
      <c r="Y152" s="907"/>
      <c r="Z152" s="907"/>
      <c r="AA152" s="907"/>
    </row>
    <row r="153" spans="1:27">
      <c r="A153" s="907"/>
      <c r="B153" s="907"/>
      <c r="C153" s="907"/>
      <c r="D153" s="907"/>
      <c r="E153" s="907"/>
      <c r="F153" s="907"/>
      <c r="G153" s="907"/>
      <c r="H153" s="907"/>
      <c r="I153" s="907"/>
      <c r="J153" s="907"/>
      <c r="K153" s="907"/>
      <c r="L153" s="907"/>
      <c r="M153" s="907"/>
      <c r="N153" s="907"/>
      <c r="O153" s="907"/>
      <c r="P153" s="907"/>
      <c r="Q153" s="907"/>
      <c r="R153" s="907"/>
      <c r="S153" s="907"/>
      <c r="T153" s="907"/>
      <c r="U153" s="907"/>
      <c r="V153" s="907"/>
      <c r="W153" s="907"/>
      <c r="X153" s="907"/>
      <c r="Y153" s="907"/>
      <c r="Z153" s="907"/>
      <c r="AA153" s="907"/>
    </row>
    <row r="154" spans="1:27">
      <c r="A154" s="907"/>
      <c r="B154" s="907"/>
      <c r="C154" s="907"/>
      <c r="D154" s="907"/>
      <c r="E154" s="907"/>
      <c r="F154" s="907"/>
      <c r="G154" s="907"/>
      <c r="H154" s="907"/>
      <c r="I154" s="907"/>
      <c r="J154" s="907"/>
      <c r="K154" s="907"/>
      <c r="L154" s="907"/>
      <c r="M154" s="907"/>
      <c r="N154" s="907"/>
      <c r="O154" s="907"/>
      <c r="P154" s="907"/>
      <c r="Q154" s="907"/>
      <c r="R154" s="907"/>
      <c r="S154" s="907"/>
      <c r="T154" s="907"/>
      <c r="U154" s="907"/>
      <c r="V154" s="907"/>
      <c r="W154" s="907"/>
      <c r="X154" s="907"/>
      <c r="Y154" s="907"/>
      <c r="Z154" s="907"/>
      <c r="AA154" s="907"/>
    </row>
    <row r="155" spans="1:27">
      <c r="A155" s="907"/>
      <c r="B155" s="907"/>
      <c r="C155" s="907"/>
      <c r="D155" s="907"/>
      <c r="E155" s="907"/>
      <c r="F155" s="907"/>
      <c r="G155" s="907"/>
      <c r="H155" s="907"/>
      <c r="I155" s="907"/>
      <c r="J155" s="907"/>
      <c r="K155" s="907"/>
      <c r="L155" s="907"/>
      <c r="M155" s="907"/>
      <c r="N155" s="907"/>
      <c r="O155" s="907"/>
      <c r="P155" s="907"/>
      <c r="Q155" s="907"/>
      <c r="R155" s="907"/>
      <c r="S155" s="907"/>
      <c r="T155" s="907"/>
      <c r="U155" s="907"/>
      <c r="V155" s="907"/>
      <c r="W155" s="907"/>
      <c r="X155" s="907"/>
      <c r="Y155" s="907"/>
      <c r="Z155" s="907"/>
      <c r="AA155" s="907"/>
    </row>
    <row r="156" spans="1:27">
      <c r="A156" s="907"/>
      <c r="B156" s="907"/>
      <c r="C156" s="907"/>
      <c r="D156" s="907"/>
      <c r="E156" s="907"/>
      <c r="F156" s="907"/>
      <c r="G156" s="907"/>
      <c r="H156" s="907"/>
      <c r="I156" s="907"/>
      <c r="J156" s="907"/>
      <c r="K156" s="907"/>
      <c r="L156" s="907"/>
      <c r="M156" s="907"/>
      <c r="N156" s="907"/>
      <c r="O156" s="907"/>
      <c r="P156" s="907"/>
      <c r="Q156" s="907"/>
      <c r="R156" s="907"/>
      <c r="S156" s="907"/>
      <c r="T156" s="907"/>
      <c r="U156" s="907"/>
      <c r="V156" s="907"/>
      <c r="W156" s="907"/>
      <c r="X156" s="907"/>
      <c r="Y156" s="907"/>
      <c r="Z156" s="907"/>
      <c r="AA156" s="907"/>
    </row>
    <row r="157" spans="1:27">
      <c r="A157" s="907"/>
      <c r="B157" s="907"/>
      <c r="C157" s="907"/>
      <c r="D157" s="907"/>
      <c r="E157" s="907"/>
      <c r="F157" s="907"/>
      <c r="G157" s="907"/>
      <c r="H157" s="907"/>
      <c r="I157" s="907"/>
      <c r="J157" s="907"/>
      <c r="K157" s="907"/>
      <c r="L157" s="907"/>
      <c r="M157" s="907"/>
      <c r="N157" s="907"/>
      <c r="O157" s="907"/>
      <c r="P157" s="907"/>
      <c r="Q157" s="907"/>
      <c r="R157" s="907"/>
      <c r="S157" s="907"/>
      <c r="T157" s="907"/>
      <c r="U157" s="907"/>
      <c r="V157" s="907"/>
      <c r="W157" s="907"/>
      <c r="X157" s="907"/>
      <c r="Y157" s="907"/>
      <c r="Z157" s="907"/>
      <c r="AA157" s="907"/>
    </row>
    <row r="158" spans="1:27">
      <c r="A158" s="907"/>
      <c r="B158" s="907"/>
      <c r="C158" s="907"/>
      <c r="D158" s="907"/>
      <c r="E158" s="907"/>
      <c r="F158" s="907"/>
      <c r="G158" s="907"/>
      <c r="H158" s="907"/>
      <c r="I158" s="907"/>
      <c r="J158" s="907"/>
      <c r="K158" s="907"/>
      <c r="L158" s="907"/>
      <c r="M158" s="907"/>
      <c r="N158" s="907"/>
      <c r="O158" s="907"/>
      <c r="P158" s="907"/>
      <c r="Q158" s="907"/>
      <c r="R158" s="907"/>
      <c r="S158" s="907"/>
      <c r="T158" s="907"/>
      <c r="U158" s="907"/>
      <c r="V158" s="907"/>
      <c r="W158" s="907"/>
      <c r="X158" s="907"/>
      <c r="Y158" s="907"/>
      <c r="Z158" s="907"/>
      <c r="AA158" s="907"/>
    </row>
    <row r="159" spans="1:27">
      <c r="A159" s="907"/>
      <c r="B159" s="907"/>
      <c r="C159" s="907"/>
      <c r="D159" s="907"/>
      <c r="E159" s="907"/>
      <c r="F159" s="907"/>
      <c r="G159" s="907"/>
      <c r="H159" s="907"/>
      <c r="I159" s="907"/>
      <c r="J159" s="907"/>
      <c r="K159" s="907"/>
      <c r="L159" s="907"/>
      <c r="M159" s="907"/>
      <c r="N159" s="907"/>
      <c r="O159" s="907"/>
      <c r="P159" s="907"/>
      <c r="Q159" s="907"/>
      <c r="R159" s="907"/>
      <c r="S159" s="907"/>
      <c r="T159" s="907"/>
      <c r="U159" s="907"/>
      <c r="V159" s="907"/>
      <c r="W159" s="907"/>
      <c r="X159" s="907"/>
      <c r="Y159" s="907"/>
      <c r="Z159" s="907"/>
      <c r="AA159" s="907"/>
    </row>
    <row r="160" spans="1:27">
      <c r="A160" s="907"/>
      <c r="B160" s="907"/>
      <c r="C160" s="907"/>
      <c r="D160" s="907"/>
      <c r="E160" s="907"/>
      <c r="F160" s="907"/>
      <c r="G160" s="907"/>
      <c r="H160" s="907"/>
      <c r="I160" s="907"/>
      <c r="J160" s="907"/>
      <c r="K160" s="907"/>
      <c r="L160" s="907"/>
      <c r="M160" s="907"/>
      <c r="N160" s="907"/>
      <c r="O160" s="907"/>
      <c r="P160" s="907"/>
      <c r="Q160" s="907"/>
      <c r="R160" s="907"/>
      <c r="S160" s="907"/>
      <c r="T160" s="907"/>
      <c r="U160" s="907"/>
      <c r="V160" s="907"/>
      <c r="W160" s="907"/>
      <c r="X160" s="907"/>
      <c r="Y160" s="907"/>
      <c r="Z160" s="907"/>
      <c r="AA160" s="907"/>
    </row>
    <row r="161" spans="1:27">
      <c r="A161" s="907"/>
      <c r="B161" s="907"/>
      <c r="C161" s="907"/>
      <c r="D161" s="907"/>
      <c r="E161" s="907"/>
      <c r="F161" s="907"/>
      <c r="G161" s="907"/>
      <c r="H161" s="907"/>
      <c r="I161" s="907"/>
      <c r="J161" s="907"/>
      <c r="K161" s="907"/>
      <c r="L161" s="907"/>
      <c r="M161" s="907"/>
      <c r="N161" s="907"/>
      <c r="O161" s="907"/>
      <c r="P161" s="907"/>
      <c r="Q161" s="907"/>
      <c r="R161" s="907"/>
      <c r="S161" s="907"/>
      <c r="T161" s="907"/>
      <c r="U161" s="907"/>
      <c r="V161" s="907"/>
      <c r="W161" s="907"/>
      <c r="X161" s="907"/>
      <c r="Y161" s="907"/>
      <c r="Z161" s="907"/>
      <c r="AA161" s="907"/>
    </row>
    <row r="162" spans="1:27">
      <c r="A162" s="907"/>
      <c r="B162" s="907"/>
      <c r="C162" s="907"/>
      <c r="D162" s="907"/>
      <c r="E162" s="907"/>
      <c r="F162" s="907"/>
      <c r="G162" s="907"/>
      <c r="H162" s="907"/>
      <c r="I162" s="907"/>
      <c r="J162" s="907"/>
      <c r="K162" s="907"/>
      <c r="L162" s="907"/>
      <c r="M162" s="907"/>
      <c r="N162" s="907"/>
      <c r="O162" s="907"/>
      <c r="P162" s="907"/>
      <c r="Q162" s="907"/>
      <c r="R162" s="907"/>
      <c r="S162" s="907"/>
      <c r="T162" s="907"/>
      <c r="U162" s="907"/>
      <c r="V162" s="907"/>
      <c r="W162" s="907"/>
      <c r="X162" s="907"/>
      <c r="Y162" s="907"/>
      <c r="Z162" s="907"/>
      <c r="AA162" s="907"/>
    </row>
    <row r="163" spans="1:27">
      <c r="A163" s="907"/>
      <c r="B163" s="907"/>
      <c r="C163" s="907"/>
      <c r="D163" s="907"/>
      <c r="E163" s="907"/>
      <c r="F163" s="907"/>
      <c r="G163" s="907"/>
      <c r="H163" s="907"/>
      <c r="I163" s="907"/>
      <c r="J163" s="907"/>
      <c r="K163" s="907"/>
      <c r="L163" s="907"/>
      <c r="M163" s="907"/>
      <c r="N163" s="907"/>
      <c r="O163" s="907"/>
      <c r="P163" s="907"/>
      <c r="Q163" s="907"/>
      <c r="R163" s="907"/>
      <c r="S163" s="907"/>
      <c r="T163" s="907"/>
      <c r="U163" s="907"/>
      <c r="V163" s="907"/>
      <c r="W163" s="907"/>
      <c r="X163" s="907"/>
      <c r="Y163" s="907"/>
      <c r="Z163" s="907"/>
      <c r="AA163" s="907"/>
    </row>
    <row r="164" spans="1:27">
      <c r="A164" s="907"/>
      <c r="B164" s="907"/>
      <c r="C164" s="907"/>
      <c r="D164" s="907"/>
      <c r="E164" s="907"/>
      <c r="F164" s="907"/>
      <c r="G164" s="907"/>
      <c r="H164" s="907"/>
      <c r="I164" s="907"/>
      <c r="J164" s="907"/>
      <c r="K164" s="907"/>
      <c r="L164" s="907"/>
      <c r="M164" s="907"/>
      <c r="N164" s="907"/>
      <c r="O164" s="907"/>
      <c r="P164" s="907"/>
      <c r="Q164" s="907"/>
      <c r="R164" s="907"/>
      <c r="S164" s="907"/>
      <c r="T164" s="907"/>
      <c r="U164" s="907"/>
      <c r="V164" s="907"/>
      <c r="W164" s="907"/>
      <c r="X164" s="907"/>
      <c r="Y164" s="907"/>
      <c r="Z164" s="907"/>
      <c r="AA164" s="907"/>
    </row>
    <row r="165" spans="1:27">
      <c r="A165" s="907"/>
      <c r="B165" s="907"/>
      <c r="C165" s="907"/>
      <c r="D165" s="907"/>
      <c r="E165" s="907"/>
      <c r="F165" s="907"/>
      <c r="G165" s="907"/>
      <c r="H165" s="907"/>
      <c r="I165" s="907"/>
      <c r="J165" s="907"/>
      <c r="K165" s="907"/>
      <c r="L165" s="907"/>
      <c r="M165" s="907"/>
      <c r="N165" s="907"/>
      <c r="O165" s="907"/>
      <c r="P165" s="907"/>
      <c r="Q165" s="907"/>
      <c r="R165" s="907"/>
      <c r="S165" s="907"/>
      <c r="T165" s="907"/>
      <c r="U165" s="907"/>
      <c r="V165" s="907"/>
      <c r="W165" s="907"/>
      <c r="X165" s="907"/>
      <c r="Y165" s="907"/>
      <c r="Z165" s="907"/>
      <c r="AA165" s="907"/>
    </row>
    <row r="166" spans="1:27">
      <c r="A166" s="907"/>
      <c r="B166" s="907"/>
      <c r="C166" s="907"/>
      <c r="D166" s="907"/>
      <c r="E166" s="907"/>
      <c r="F166" s="907"/>
      <c r="G166" s="907"/>
      <c r="H166" s="907"/>
      <c r="I166" s="907"/>
      <c r="J166" s="907"/>
      <c r="K166" s="907"/>
      <c r="L166" s="907"/>
      <c r="M166" s="907"/>
      <c r="N166" s="907"/>
      <c r="O166" s="907"/>
      <c r="P166" s="907"/>
      <c r="Q166" s="907"/>
      <c r="R166" s="907"/>
      <c r="S166" s="907"/>
      <c r="T166" s="907"/>
      <c r="U166" s="907"/>
      <c r="V166" s="907"/>
      <c r="W166" s="907"/>
      <c r="X166" s="907"/>
      <c r="Y166" s="907"/>
      <c r="Z166" s="907"/>
      <c r="AA166" s="907"/>
    </row>
    <row r="167" spans="1:27">
      <c r="A167" s="907"/>
      <c r="B167" s="907"/>
      <c r="C167" s="907"/>
      <c r="D167" s="907"/>
      <c r="E167" s="907"/>
      <c r="F167" s="907"/>
      <c r="G167" s="907"/>
      <c r="H167" s="907"/>
      <c r="I167" s="907"/>
      <c r="J167" s="907"/>
      <c r="K167" s="907"/>
      <c r="L167" s="907"/>
      <c r="M167" s="907"/>
      <c r="N167" s="907"/>
      <c r="O167" s="907"/>
      <c r="P167" s="907"/>
      <c r="Q167" s="907"/>
      <c r="R167" s="907"/>
      <c r="S167" s="907"/>
      <c r="T167" s="907"/>
      <c r="U167" s="907"/>
      <c r="V167" s="907"/>
      <c r="W167" s="907"/>
      <c r="X167" s="907"/>
      <c r="Y167" s="907"/>
      <c r="Z167" s="907"/>
      <c r="AA167" s="907"/>
    </row>
    <row r="168" spans="1:27">
      <c r="A168" s="907"/>
      <c r="B168" s="907"/>
      <c r="C168" s="907"/>
      <c r="D168" s="907"/>
      <c r="E168" s="907"/>
      <c r="F168" s="907"/>
      <c r="G168" s="907"/>
      <c r="H168" s="907"/>
      <c r="I168" s="907"/>
      <c r="J168" s="907"/>
      <c r="K168" s="907"/>
      <c r="L168" s="907"/>
      <c r="M168" s="907"/>
      <c r="N168" s="907"/>
      <c r="O168" s="907"/>
      <c r="P168" s="907"/>
      <c r="Q168" s="907"/>
      <c r="R168" s="907"/>
      <c r="S168" s="907"/>
      <c r="T168" s="907"/>
      <c r="U168" s="907"/>
      <c r="V168" s="907"/>
      <c r="W168" s="907"/>
      <c r="X168" s="907"/>
      <c r="Y168" s="907"/>
      <c r="Z168" s="907"/>
      <c r="AA168" s="907"/>
    </row>
    <row r="169" spans="1:27">
      <c r="A169" s="907"/>
      <c r="B169" s="907"/>
      <c r="C169" s="907"/>
      <c r="D169" s="907"/>
      <c r="E169" s="907"/>
      <c r="F169" s="907"/>
      <c r="G169" s="907"/>
      <c r="H169" s="907"/>
      <c r="I169" s="907"/>
      <c r="J169" s="907"/>
      <c r="K169" s="907"/>
      <c r="L169" s="907"/>
      <c r="M169" s="907"/>
      <c r="N169" s="907"/>
      <c r="O169" s="907"/>
      <c r="P169" s="907"/>
      <c r="Q169" s="907"/>
      <c r="R169" s="907"/>
      <c r="S169" s="907"/>
      <c r="T169" s="907"/>
      <c r="U169" s="907"/>
      <c r="V169" s="907"/>
      <c r="W169" s="907"/>
      <c r="X169" s="907"/>
      <c r="Y169" s="907"/>
      <c r="Z169" s="907"/>
      <c r="AA169" s="907"/>
    </row>
    <row r="170" spans="1:27">
      <c r="A170" s="907"/>
      <c r="B170" s="907"/>
      <c r="C170" s="907"/>
      <c r="D170" s="907"/>
      <c r="E170" s="907"/>
      <c r="F170" s="907"/>
      <c r="G170" s="907"/>
      <c r="H170" s="907"/>
      <c r="I170" s="907"/>
      <c r="J170" s="907"/>
      <c r="K170" s="907"/>
      <c r="L170" s="907"/>
      <c r="M170" s="907"/>
      <c r="N170" s="907"/>
      <c r="O170" s="907"/>
      <c r="P170" s="907"/>
      <c r="Q170" s="907"/>
      <c r="R170" s="907"/>
      <c r="S170" s="907"/>
      <c r="T170" s="907"/>
      <c r="U170" s="907"/>
      <c r="V170" s="907"/>
      <c r="W170" s="907"/>
      <c r="X170" s="907"/>
      <c r="Y170" s="907"/>
      <c r="Z170" s="907"/>
      <c r="AA170" s="907"/>
    </row>
    <row r="171" spans="1:27">
      <c r="A171" s="907"/>
      <c r="B171" s="907"/>
      <c r="C171" s="907"/>
      <c r="D171" s="907"/>
      <c r="E171" s="907"/>
      <c r="F171" s="907"/>
      <c r="G171" s="907"/>
      <c r="H171" s="907"/>
      <c r="I171" s="907"/>
      <c r="J171" s="907"/>
      <c r="K171" s="907"/>
      <c r="L171" s="907"/>
      <c r="M171" s="907"/>
      <c r="N171" s="907"/>
      <c r="O171" s="907"/>
      <c r="P171" s="907"/>
      <c r="Q171" s="907"/>
      <c r="R171" s="907"/>
      <c r="S171" s="907"/>
      <c r="T171" s="907"/>
      <c r="U171" s="907"/>
      <c r="V171" s="907"/>
      <c r="W171" s="907"/>
      <c r="X171" s="907"/>
      <c r="Y171" s="907"/>
      <c r="Z171" s="907"/>
      <c r="AA171" s="907"/>
    </row>
    <row r="172" spans="1:27">
      <c r="A172" s="907"/>
      <c r="B172" s="907"/>
      <c r="C172" s="907"/>
      <c r="D172" s="907"/>
      <c r="E172" s="907"/>
      <c r="F172" s="907"/>
      <c r="G172" s="907"/>
      <c r="H172" s="907"/>
      <c r="I172" s="907"/>
      <c r="J172" s="907"/>
      <c r="K172" s="907"/>
      <c r="L172" s="907"/>
      <c r="M172" s="907"/>
      <c r="N172" s="907"/>
      <c r="O172" s="907"/>
      <c r="P172" s="907"/>
      <c r="Q172" s="907"/>
      <c r="R172" s="907"/>
      <c r="S172" s="907"/>
      <c r="T172" s="907"/>
      <c r="U172" s="907"/>
      <c r="V172" s="907"/>
      <c r="W172" s="907"/>
      <c r="X172" s="907"/>
      <c r="Y172" s="907"/>
      <c r="Z172" s="907"/>
      <c r="AA172" s="907"/>
    </row>
    <row r="173" spans="1:27">
      <c r="A173" s="907"/>
      <c r="B173" s="907"/>
      <c r="C173" s="907"/>
      <c r="D173" s="907"/>
      <c r="E173" s="907"/>
      <c r="F173" s="907"/>
      <c r="G173" s="907"/>
      <c r="H173" s="907"/>
      <c r="I173" s="907"/>
      <c r="J173" s="907"/>
      <c r="K173" s="907"/>
      <c r="L173" s="907"/>
      <c r="M173" s="907"/>
      <c r="N173" s="907"/>
      <c r="O173" s="907"/>
      <c r="P173" s="907"/>
      <c r="Q173" s="907"/>
      <c r="R173" s="907"/>
      <c r="S173" s="907"/>
      <c r="T173" s="907"/>
      <c r="U173" s="907"/>
      <c r="V173" s="907"/>
      <c r="W173" s="907"/>
      <c r="X173" s="907"/>
      <c r="Y173" s="907"/>
      <c r="Z173" s="907"/>
      <c r="AA173" s="907"/>
    </row>
    <row r="174" spans="1:27">
      <c r="A174" s="907"/>
      <c r="B174" s="907"/>
      <c r="C174" s="907"/>
      <c r="D174" s="907"/>
      <c r="E174" s="907"/>
      <c r="F174" s="907"/>
      <c r="G174" s="907"/>
      <c r="H174" s="907"/>
      <c r="I174" s="907"/>
      <c r="J174" s="907"/>
      <c r="K174" s="907"/>
      <c r="L174" s="907"/>
      <c r="M174" s="907"/>
      <c r="N174" s="907"/>
      <c r="O174" s="907"/>
      <c r="P174" s="907"/>
      <c r="Q174" s="907"/>
      <c r="R174" s="907"/>
      <c r="S174" s="907"/>
      <c r="T174" s="907"/>
      <c r="U174" s="907"/>
      <c r="V174" s="907"/>
      <c r="W174" s="907"/>
      <c r="X174" s="907"/>
      <c r="Y174" s="907"/>
      <c r="Z174" s="907"/>
      <c r="AA174" s="907"/>
    </row>
    <row r="175" spans="1:27">
      <c r="A175" s="907"/>
      <c r="B175" s="907"/>
      <c r="C175" s="907"/>
      <c r="D175" s="907"/>
      <c r="E175" s="907"/>
      <c r="F175" s="907"/>
      <c r="G175" s="907"/>
      <c r="H175" s="907"/>
      <c r="I175" s="907"/>
      <c r="J175" s="907"/>
      <c r="K175" s="907"/>
      <c r="L175" s="907"/>
      <c r="M175" s="907"/>
      <c r="N175" s="907"/>
      <c r="O175" s="907"/>
      <c r="P175" s="907"/>
      <c r="Q175" s="907"/>
      <c r="R175" s="907"/>
      <c r="S175" s="907"/>
      <c r="T175" s="907"/>
      <c r="U175" s="907"/>
      <c r="V175" s="907"/>
      <c r="W175" s="907"/>
      <c r="X175" s="907"/>
      <c r="Y175" s="907"/>
      <c r="Z175" s="907"/>
      <c r="AA175" s="907"/>
    </row>
    <row r="176" spans="1:27">
      <c r="A176" s="907"/>
      <c r="B176" s="907"/>
      <c r="C176" s="907"/>
      <c r="D176" s="907"/>
      <c r="E176" s="907"/>
      <c r="F176" s="907"/>
      <c r="G176" s="907"/>
      <c r="H176" s="907"/>
      <c r="I176" s="907"/>
      <c r="J176" s="907"/>
      <c r="K176" s="907"/>
      <c r="L176" s="907"/>
      <c r="M176" s="907"/>
      <c r="N176" s="907"/>
      <c r="O176" s="907"/>
      <c r="P176" s="907"/>
      <c r="Q176" s="907"/>
      <c r="R176" s="907"/>
      <c r="S176" s="907"/>
      <c r="T176" s="907"/>
      <c r="U176" s="907"/>
      <c r="V176" s="907"/>
      <c r="W176" s="907"/>
      <c r="X176" s="907"/>
      <c r="Y176" s="907"/>
      <c r="Z176" s="907"/>
      <c r="AA176" s="907"/>
    </row>
    <row r="177" spans="1:27">
      <c r="A177" s="907"/>
      <c r="B177" s="907"/>
      <c r="C177" s="907"/>
      <c r="D177" s="907"/>
      <c r="E177" s="907"/>
      <c r="F177" s="907"/>
      <c r="G177" s="907"/>
      <c r="H177" s="907"/>
      <c r="I177" s="907"/>
      <c r="J177" s="907"/>
      <c r="K177" s="907"/>
      <c r="L177" s="907"/>
      <c r="M177" s="907"/>
      <c r="N177" s="907"/>
      <c r="O177" s="907"/>
      <c r="P177" s="907"/>
      <c r="Q177" s="907"/>
      <c r="R177" s="907"/>
      <c r="S177" s="907"/>
      <c r="T177" s="907"/>
      <c r="U177" s="907"/>
      <c r="V177" s="907"/>
      <c r="W177" s="907"/>
      <c r="X177" s="907"/>
      <c r="Y177" s="907"/>
      <c r="Z177" s="907"/>
      <c r="AA177" s="907"/>
    </row>
    <row r="178" spans="1:27">
      <c r="A178" s="907"/>
      <c r="B178" s="907"/>
      <c r="C178" s="907"/>
      <c r="D178" s="907"/>
      <c r="E178" s="907"/>
      <c r="F178" s="907"/>
      <c r="G178" s="907"/>
      <c r="H178" s="907"/>
      <c r="I178" s="907"/>
      <c r="J178" s="907"/>
      <c r="K178" s="907"/>
      <c r="L178" s="907"/>
      <c r="M178" s="907"/>
      <c r="N178" s="907"/>
      <c r="O178" s="907"/>
      <c r="P178" s="907"/>
      <c r="Q178" s="907"/>
      <c r="R178" s="907"/>
      <c r="S178" s="907"/>
      <c r="T178" s="907"/>
      <c r="U178" s="907"/>
      <c r="V178" s="907"/>
      <c r="W178" s="907"/>
      <c r="X178" s="907"/>
      <c r="Y178" s="907"/>
      <c r="Z178" s="907"/>
      <c r="AA178" s="907"/>
    </row>
    <row r="179" spans="1:27">
      <c r="A179" s="907"/>
      <c r="B179" s="907"/>
      <c r="C179" s="907"/>
      <c r="D179" s="907"/>
      <c r="E179" s="907"/>
      <c r="F179" s="907"/>
      <c r="G179" s="907"/>
      <c r="H179" s="907"/>
      <c r="I179" s="907"/>
      <c r="J179" s="907"/>
      <c r="K179" s="907"/>
      <c r="L179" s="907"/>
      <c r="M179" s="907"/>
      <c r="N179" s="907"/>
      <c r="O179" s="907"/>
      <c r="P179" s="907"/>
      <c r="Q179" s="907"/>
      <c r="R179" s="907"/>
      <c r="S179" s="907"/>
      <c r="T179" s="907"/>
      <c r="U179" s="907"/>
      <c r="V179" s="907"/>
      <c r="W179" s="907"/>
      <c r="X179" s="907"/>
      <c r="Y179" s="907"/>
      <c r="Z179" s="907"/>
      <c r="AA179" s="907"/>
    </row>
    <row r="180" spans="1:27">
      <c r="A180" s="907"/>
      <c r="B180" s="907"/>
      <c r="C180" s="907"/>
      <c r="D180" s="907"/>
      <c r="E180" s="907"/>
      <c r="F180" s="907"/>
      <c r="G180" s="907"/>
      <c r="H180" s="907"/>
      <c r="I180" s="907"/>
      <c r="J180" s="907"/>
      <c r="K180" s="907"/>
      <c r="L180" s="907"/>
      <c r="M180" s="907"/>
      <c r="N180" s="907"/>
      <c r="O180" s="907"/>
      <c r="P180" s="907"/>
      <c r="Q180" s="907"/>
      <c r="R180" s="907"/>
      <c r="S180" s="907"/>
      <c r="T180" s="907"/>
      <c r="U180" s="907"/>
      <c r="V180" s="907"/>
      <c r="W180" s="907"/>
      <c r="X180" s="907"/>
      <c r="Y180" s="907"/>
      <c r="Z180" s="907"/>
      <c r="AA180" s="907"/>
    </row>
    <row r="181" spans="1:27">
      <c r="A181" s="907"/>
      <c r="B181" s="907"/>
      <c r="C181" s="907"/>
      <c r="D181" s="907"/>
      <c r="E181" s="907"/>
      <c r="F181" s="907"/>
      <c r="G181" s="907"/>
      <c r="H181" s="907"/>
      <c r="I181" s="907"/>
      <c r="J181" s="907"/>
      <c r="K181" s="907"/>
      <c r="L181" s="907"/>
      <c r="M181" s="907"/>
      <c r="N181" s="907"/>
      <c r="O181" s="907"/>
      <c r="P181" s="907"/>
      <c r="Q181" s="907"/>
      <c r="R181" s="907"/>
      <c r="S181" s="907"/>
      <c r="T181" s="907"/>
      <c r="U181" s="907"/>
      <c r="V181" s="907"/>
      <c r="W181" s="907"/>
      <c r="X181" s="907"/>
      <c r="Y181" s="907"/>
      <c r="Z181" s="907"/>
      <c r="AA181" s="907"/>
    </row>
    <row r="182" spans="1:27">
      <c r="A182" s="907"/>
      <c r="B182" s="907"/>
      <c r="C182" s="907"/>
      <c r="D182" s="907"/>
      <c r="E182" s="907"/>
      <c r="F182" s="907"/>
      <c r="G182" s="907"/>
      <c r="H182" s="907"/>
      <c r="I182" s="907"/>
      <c r="J182" s="907"/>
      <c r="K182" s="907"/>
      <c r="L182" s="907"/>
      <c r="M182" s="907"/>
      <c r="N182" s="907"/>
      <c r="O182" s="907"/>
      <c r="P182" s="907"/>
      <c r="Q182" s="907"/>
      <c r="R182" s="907"/>
      <c r="S182" s="907"/>
      <c r="T182" s="907"/>
      <c r="U182" s="907"/>
      <c r="V182" s="907"/>
      <c r="W182" s="907"/>
      <c r="X182" s="907"/>
      <c r="Y182" s="907"/>
      <c r="Z182" s="907"/>
      <c r="AA182" s="907"/>
    </row>
    <row r="183" spans="1:27">
      <c r="A183" s="907"/>
      <c r="B183" s="907"/>
      <c r="C183" s="907"/>
      <c r="D183" s="907"/>
      <c r="E183" s="907"/>
      <c r="F183" s="907"/>
      <c r="G183" s="907"/>
      <c r="H183" s="907"/>
      <c r="I183" s="907"/>
      <c r="J183" s="907"/>
      <c r="K183" s="907"/>
      <c r="L183" s="907"/>
      <c r="M183" s="907"/>
      <c r="N183" s="907"/>
      <c r="O183" s="907"/>
      <c r="P183" s="907"/>
      <c r="Q183" s="907"/>
      <c r="R183" s="907"/>
      <c r="S183" s="907"/>
      <c r="T183" s="907"/>
      <c r="U183" s="907"/>
      <c r="V183" s="907"/>
      <c r="W183" s="907"/>
      <c r="X183" s="907"/>
      <c r="Y183" s="907"/>
      <c r="Z183" s="907"/>
      <c r="AA183" s="907"/>
    </row>
    <row r="184" spans="1:27">
      <c r="A184" s="907"/>
      <c r="B184" s="907"/>
      <c r="C184" s="907"/>
      <c r="D184" s="907"/>
      <c r="E184" s="907"/>
      <c r="F184" s="907"/>
      <c r="G184" s="907"/>
      <c r="H184" s="907"/>
      <c r="I184" s="907"/>
      <c r="J184" s="907"/>
      <c r="K184" s="907"/>
      <c r="L184" s="907"/>
      <c r="M184" s="907"/>
      <c r="N184" s="907"/>
      <c r="O184" s="907"/>
      <c r="P184" s="907"/>
      <c r="Q184" s="907"/>
      <c r="R184" s="907"/>
      <c r="S184" s="907"/>
      <c r="T184" s="907"/>
      <c r="U184" s="907"/>
      <c r="V184" s="907"/>
      <c r="W184" s="907"/>
      <c r="X184" s="907"/>
      <c r="Y184" s="907"/>
      <c r="Z184" s="907"/>
      <c r="AA184" s="907"/>
    </row>
    <row r="185" spans="1:27">
      <c r="A185" s="907"/>
      <c r="B185" s="907"/>
      <c r="C185" s="907"/>
      <c r="D185" s="907"/>
      <c r="E185" s="907"/>
      <c r="F185" s="907"/>
      <c r="G185" s="907"/>
      <c r="H185" s="907"/>
      <c r="I185" s="907"/>
      <c r="J185" s="907"/>
      <c r="K185" s="907"/>
      <c r="L185" s="907"/>
      <c r="M185" s="907"/>
      <c r="N185" s="907"/>
      <c r="O185" s="907"/>
      <c r="P185" s="907"/>
      <c r="Q185" s="907"/>
      <c r="R185" s="907"/>
      <c r="S185" s="907"/>
      <c r="T185" s="907"/>
      <c r="U185" s="907"/>
      <c r="V185" s="907"/>
      <c r="W185" s="907"/>
      <c r="X185" s="907"/>
      <c r="Y185" s="907"/>
      <c r="Z185" s="907"/>
      <c r="AA185" s="907"/>
    </row>
    <row r="186" spans="1:27">
      <c r="A186" s="907"/>
      <c r="B186" s="907"/>
      <c r="C186" s="907"/>
      <c r="D186" s="907"/>
      <c r="E186" s="907"/>
      <c r="F186" s="907"/>
      <c r="G186" s="907"/>
      <c r="H186" s="907"/>
      <c r="I186" s="907"/>
      <c r="J186" s="907"/>
      <c r="K186" s="907"/>
      <c r="L186" s="907"/>
      <c r="M186" s="907"/>
      <c r="N186" s="907"/>
      <c r="O186" s="907"/>
      <c r="P186" s="907"/>
      <c r="Q186" s="907"/>
      <c r="R186" s="907"/>
      <c r="S186" s="907"/>
      <c r="T186" s="907"/>
      <c r="U186" s="907"/>
      <c r="V186" s="907"/>
      <c r="W186" s="907"/>
      <c r="X186" s="907"/>
      <c r="Y186" s="907"/>
      <c r="Z186" s="907"/>
      <c r="AA186" s="907"/>
    </row>
    <row r="187" spans="1:27">
      <c r="A187" s="907"/>
      <c r="B187" s="907"/>
      <c r="C187" s="907"/>
      <c r="D187" s="907"/>
      <c r="E187" s="907"/>
      <c r="F187" s="907"/>
      <c r="G187" s="907"/>
      <c r="H187" s="907"/>
      <c r="I187" s="907"/>
      <c r="J187" s="907"/>
      <c r="K187" s="907"/>
      <c r="L187" s="907"/>
      <c r="M187" s="907"/>
      <c r="N187" s="907"/>
      <c r="O187" s="907"/>
      <c r="P187" s="907"/>
      <c r="Q187" s="907"/>
      <c r="R187" s="907"/>
      <c r="S187" s="907"/>
      <c r="T187" s="907"/>
      <c r="U187" s="907"/>
      <c r="V187" s="907"/>
      <c r="W187" s="907"/>
      <c r="X187" s="907"/>
      <c r="Y187" s="907"/>
      <c r="Z187" s="907"/>
      <c r="AA187" s="907"/>
    </row>
    <row r="188" spans="1:27">
      <c r="A188" s="907"/>
      <c r="B188" s="907"/>
      <c r="C188" s="907"/>
      <c r="D188" s="907"/>
      <c r="E188" s="907"/>
      <c r="F188" s="907"/>
      <c r="G188" s="907"/>
      <c r="H188" s="907"/>
      <c r="I188" s="907"/>
      <c r="J188" s="907"/>
      <c r="K188" s="907"/>
      <c r="L188" s="907"/>
      <c r="M188" s="907"/>
      <c r="N188" s="907"/>
      <c r="O188" s="907"/>
      <c r="P188" s="907"/>
      <c r="Q188" s="907"/>
      <c r="R188" s="907"/>
      <c r="S188" s="907"/>
      <c r="T188" s="907"/>
      <c r="U188" s="907"/>
      <c r="V188" s="907"/>
      <c r="W188" s="907"/>
      <c r="X188" s="907"/>
      <c r="Y188" s="907"/>
      <c r="Z188" s="907"/>
      <c r="AA188" s="907"/>
    </row>
    <row r="189" spans="1:27">
      <c r="A189" s="907"/>
      <c r="B189" s="907"/>
      <c r="C189" s="907"/>
      <c r="D189" s="907"/>
      <c r="E189" s="907"/>
      <c r="F189" s="907"/>
      <c r="G189" s="907"/>
      <c r="H189" s="907"/>
      <c r="I189" s="907"/>
      <c r="J189" s="907"/>
      <c r="K189" s="907"/>
      <c r="L189" s="907"/>
      <c r="M189" s="907"/>
      <c r="N189" s="907"/>
      <c r="O189" s="907"/>
      <c r="P189" s="907"/>
      <c r="Q189" s="907"/>
      <c r="R189" s="907"/>
      <c r="S189" s="907"/>
      <c r="T189" s="907"/>
      <c r="U189" s="907"/>
      <c r="V189" s="907"/>
      <c r="W189" s="907"/>
      <c r="X189" s="907"/>
      <c r="Y189" s="907"/>
      <c r="Z189" s="907"/>
      <c r="AA189" s="907"/>
    </row>
    <row r="190" spans="1:27">
      <c r="A190" s="907"/>
      <c r="B190" s="907"/>
      <c r="C190" s="907"/>
      <c r="D190" s="907"/>
      <c r="E190" s="907"/>
      <c r="F190" s="907"/>
      <c r="G190" s="907"/>
      <c r="H190" s="907"/>
      <c r="I190" s="907"/>
      <c r="J190" s="907"/>
      <c r="K190" s="907"/>
      <c r="L190" s="907"/>
      <c r="M190" s="907"/>
      <c r="N190" s="907"/>
      <c r="O190" s="907"/>
      <c r="P190" s="907"/>
      <c r="Q190" s="907"/>
      <c r="R190" s="907"/>
      <c r="S190" s="907"/>
      <c r="T190" s="907"/>
      <c r="U190" s="907"/>
      <c r="V190" s="907"/>
      <c r="W190" s="907"/>
      <c r="X190" s="907"/>
      <c r="Y190" s="907"/>
      <c r="Z190" s="907"/>
      <c r="AA190" s="907"/>
    </row>
    <row r="191" spans="1:27">
      <c r="A191" s="907"/>
      <c r="B191" s="907"/>
      <c r="C191" s="907"/>
      <c r="D191" s="907"/>
      <c r="E191" s="907"/>
      <c r="F191" s="907"/>
      <c r="G191" s="907"/>
      <c r="H191" s="907"/>
      <c r="I191" s="907"/>
      <c r="J191" s="907"/>
      <c r="K191" s="907"/>
      <c r="L191" s="907"/>
      <c r="M191" s="907"/>
      <c r="N191" s="907"/>
      <c r="O191" s="907"/>
      <c r="P191" s="907"/>
      <c r="Q191" s="907"/>
      <c r="R191" s="907"/>
      <c r="S191" s="907"/>
      <c r="T191" s="907"/>
      <c r="U191" s="907"/>
      <c r="V191" s="907"/>
      <c r="W191" s="907"/>
      <c r="X191" s="907"/>
      <c r="Y191" s="907"/>
      <c r="Z191" s="907"/>
      <c r="AA191" s="907"/>
    </row>
    <row r="192" spans="1:27">
      <c r="A192" s="907"/>
      <c r="B192" s="907"/>
      <c r="C192" s="907"/>
      <c r="D192" s="907"/>
      <c r="E192" s="907"/>
      <c r="F192" s="907"/>
      <c r="G192" s="907"/>
      <c r="H192" s="907"/>
      <c r="I192" s="907"/>
      <c r="J192" s="907"/>
      <c r="K192" s="907"/>
      <c r="L192" s="907"/>
      <c r="M192" s="907"/>
      <c r="N192" s="907"/>
      <c r="O192" s="907"/>
      <c r="P192" s="907"/>
      <c r="Q192" s="907"/>
      <c r="R192" s="907"/>
      <c r="S192" s="907"/>
      <c r="T192" s="907"/>
      <c r="U192" s="907"/>
      <c r="V192" s="907"/>
      <c r="W192" s="907"/>
      <c r="X192" s="907"/>
      <c r="Y192" s="907"/>
      <c r="Z192" s="907"/>
      <c r="AA192" s="907"/>
    </row>
    <row r="193" spans="1:27">
      <c r="A193" s="907"/>
      <c r="B193" s="907"/>
      <c r="C193" s="907"/>
      <c r="D193" s="907"/>
      <c r="E193" s="907"/>
      <c r="F193" s="907"/>
      <c r="G193" s="907"/>
      <c r="H193" s="907"/>
      <c r="I193" s="907"/>
      <c r="J193" s="907"/>
      <c r="K193" s="907"/>
      <c r="L193" s="907"/>
      <c r="M193" s="907"/>
      <c r="N193" s="907"/>
      <c r="O193" s="907"/>
      <c r="P193" s="907"/>
      <c r="Q193" s="907"/>
      <c r="R193" s="907"/>
      <c r="S193" s="907"/>
      <c r="T193" s="907"/>
      <c r="U193" s="907"/>
      <c r="V193" s="907"/>
      <c r="W193" s="907"/>
      <c r="X193" s="907"/>
      <c r="Y193" s="907"/>
      <c r="Z193" s="907"/>
      <c r="AA193" s="907"/>
    </row>
    <row r="194" spans="1:27">
      <c r="A194" s="907"/>
      <c r="B194" s="907"/>
      <c r="C194" s="907"/>
      <c r="D194" s="907"/>
      <c r="E194" s="907"/>
      <c r="F194" s="907"/>
      <c r="G194" s="907"/>
      <c r="H194" s="907"/>
      <c r="I194" s="907"/>
      <c r="J194" s="907"/>
      <c r="K194" s="907"/>
      <c r="L194" s="907"/>
      <c r="M194" s="907"/>
      <c r="N194" s="907"/>
      <c r="O194" s="907"/>
      <c r="P194" s="907"/>
      <c r="Q194" s="907"/>
      <c r="R194" s="907"/>
      <c r="S194" s="907"/>
      <c r="T194" s="907"/>
      <c r="U194" s="907"/>
      <c r="V194" s="907"/>
      <c r="W194" s="907"/>
      <c r="X194" s="907"/>
      <c r="Y194" s="907"/>
      <c r="Z194" s="907"/>
      <c r="AA194" s="907"/>
    </row>
    <row r="195" spans="1:27">
      <c r="A195" s="907"/>
      <c r="B195" s="907"/>
      <c r="C195" s="907"/>
      <c r="D195" s="907"/>
      <c r="E195" s="907"/>
      <c r="F195" s="907"/>
      <c r="G195" s="907"/>
      <c r="H195" s="907"/>
      <c r="I195" s="907"/>
      <c r="J195" s="907"/>
      <c r="K195" s="907"/>
      <c r="L195" s="907"/>
      <c r="M195" s="907"/>
      <c r="N195" s="907"/>
      <c r="O195" s="907"/>
      <c r="P195" s="907"/>
      <c r="Q195" s="907"/>
      <c r="R195" s="907"/>
      <c r="S195" s="907"/>
      <c r="T195" s="907"/>
      <c r="U195" s="907"/>
      <c r="V195" s="907"/>
      <c r="W195" s="907"/>
      <c r="X195" s="907"/>
      <c r="Y195" s="907"/>
      <c r="Z195" s="907"/>
      <c r="AA195" s="907"/>
    </row>
    <row r="196" spans="1:27">
      <c r="A196" s="907"/>
      <c r="B196" s="907"/>
      <c r="C196" s="907"/>
      <c r="D196" s="907"/>
      <c r="E196" s="907"/>
      <c r="F196" s="907"/>
      <c r="G196" s="907"/>
      <c r="H196" s="907"/>
      <c r="I196" s="907"/>
      <c r="J196" s="907"/>
      <c r="K196" s="907"/>
      <c r="L196" s="907"/>
      <c r="M196" s="907"/>
      <c r="N196" s="907"/>
      <c r="O196" s="907"/>
      <c r="P196" s="907"/>
      <c r="Q196" s="907"/>
      <c r="R196" s="907"/>
      <c r="S196" s="907"/>
      <c r="T196" s="907"/>
      <c r="U196" s="907"/>
      <c r="V196" s="907"/>
      <c r="W196" s="907"/>
      <c r="X196" s="907"/>
      <c r="Y196" s="907"/>
      <c r="Z196" s="907"/>
      <c r="AA196" s="907"/>
    </row>
    <row r="197" spans="1:27">
      <c r="A197" s="907"/>
      <c r="B197" s="907"/>
      <c r="C197" s="907"/>
      <c r="D197" s="907"/>
      <c r="E197" s="907"/>
      <c r="F197" s="907"/>
      <c r="G197" s="907"/>
      <c r="H197" s="907"/>
      <c r="I197" s="907"/>
      <c r="J197" s="907"/>
      <c r="K197" s="907"/>
      <c r="L197" s="907"/>
      <c r="M197" s="907"/>
      <c r="N197" s="907"/>
      <c r="O197" s="907"/>
      <c r="P197" s="907"/>
      <c r="Q197" s="907"/>
      <c r="R197" s="907"/>
      <c r="S197" s="907"/>
      <c r="T197" s="907"/>
      <c r="U197" s="907"/>
      <c r="V197" s="907"/>
      <c r="W197" s="907"/>
      <c r="X197" s="907"/>
      <c r="Y197" s="907"/>
      <c r="Z197" s="907"/>
      <c r="AA197" s="907"/>
    </row>
    <row r="198" spans="1:27">
      <c r="A198" s="907"/>
      <c r="B198" s="907"/>
      <c r="C198" s="907"/>
      <c r="D198" s="907"/>
      <c r="E198" s="907"/>
      <c r="F198" s="907"/>
      <c r="G198" s="907"/>
      <c r="H198" s="907"/>
      <c r="I198" s="907"/>
      <c r="J198" s="907"/>
      <c r="K198" s="907"/>
      <c r="L198" s="907"/>
      <c r="M198" s="907"/>
      <c r="N198" s="907"/>
      <c r="O198" s="907"/>
      <c r="P198" s="907"/>
      <c r="Q198" s="907"/>
      <c r="R198" s="907"/>
      <c r="S198" s="907"/>
      <c r="T198" s="907"/>
      <c r="U198" s="907"/>
      <c r="V198" s="907"/>
      <c r="W198" s="907"/>
      <c r="X198" s="907"/>
      <c r="Y198" s="907"/>
      <c r="Z198" s="907"/>
      <c r="AA198" s="907"/>
    </row>
    <row r="199" spans="1:27">
      <c r="A199" s="907"/>
      <c r="B199" s="907"/>
      <c r="C199" s="907"/>
      <c r="D199" s="907"/>
      <c r="E199" s="907"/>
      <c r="F199" s="907"/>
      <c r="G199" s="907"/>
      <c r="H199" s="907"/>
      <c r="I199" s="907"/>
      <c r="J199" s="907"/>
      <c r="K199" s="907"/>
      <c r="L199" s="907"/>
      <c r="M199" s="907"/>
      <c r="N199" s="907"/>
      <c r="O199" s="907"/>
      <c r="P199" s="907"/>
      <c r="Q199" s="907"/>
      <c r="R199" s="907"/>
      <c r="S199" s="907"/>
      <c r="T199" s="907"/>
      <c r="U199" s="907"/>
      <c r="V199" s="907"/>
      <c r="W199" s="907"/>
      <c r="X199" s="907"/>
      <c r="Y199" s="907"/>
      <c r="Z199" s="907"/>
      <c r="AA199" s="907"/>
    </row>
    <row r="200" spans="1:27">
      <c r="A200" s="907"/>
      <c r="B200" s="907"/>
      <c r="C200" s="907"/>
      <c r="D200" s="907"/>
      <c r="E200" s="907"/>
      <c r="F200" s="907"/>
      <c r="G200" s="907"/>
      <c r="H200" s="907"/>
      <c r="I200" s="907"/>
      <c r="J200" s="907"/>
      <c r="K200" s="907"/>
      <c r="L200" s="907"/>
      <c r="M200" s="907"/>
      <c r="N200" s="907"/>
      <c r="O200" s="907"/>
      <c r="P200" s="907"/>
      <c r="Q200" s="907"/>
      <c r="R200" s="907"/>
      <c r="S200" s="907"/>
      <c r="T200" s="907"/>
      <c r="U200" s="907"/>
      <c r="V200" s="907"/>
      <c r="W200" s="907"/>
      <c r="X200" s="907"/>
      <c r="Y200" s="907"/>
      <c r="Z200" s="907"/>
      <c r="AA200" s="907"/>
    </row>
    <row r="201" spans="1:27">
      <c r="A201" s="907"/>
      <c r="B201" s="907"/>
      <c r="C201" s="907"/>
      <c r="D201" s="907"/>
      <c r="E201" s="907"/>
      <c r="F201" s="907"/>
      <c r="G201" s="907"/>
      <c r="H201" s="907"/>
      <c r="I201" s="907"/>
      <c r="J201" s="907"/>
      <c r="K201" s="907"/>
      <c r="L201" s="907"/>
      <c r="M201" s="907"/>
      <c r="N201" s="907"/>
      <c r="O201" s="907"/>
      <c r="P201" s="907"/>
      <c r="Q201" s="907"/>
      <c r="R201" s="907"/>
      <c r="S201" s="907"/>
      <c r="T201" s="907"/>
      <c r="U201" s="907"/>
      <c r="V201" s="907"/>
      <c r="W201" s="907"/>
      <c r="X201" s="907"/>
      <c r="Y201" s="907"/>
      <c r="Z201" s="907"/>
      <c r="AA201" s="907"/>
    </row>
    <row r="202" spans="1:27">
      <c r="A202" s="907"/>
      <c r="B202" s="907"/>
      <c r="C202" s="907"/>
      <c r="D202" s="907"/>
      <c r="E202" s="907"/>
      <c r="F202" s="907"/>
      <c r="G202" s="907"/>
      <c r="H202" s="907"/>
      <c r="I202" s="907"/>
      <c r="J202" s="907"/>
      <c r="K202" s="907"/>
      <c r="L202" s="907"/>
      <c r="M202" s="907"/>
      <c r="N202" s="907"/>
      <c r="O202" s="907"/>
      <c r="P202" s="907"/>
      <c r="Q202" s="907"/>
      <c r="R202" s="907"/>
      <c r="S202" s="907"/>
      <c r="T202" s="907"/>
      <c r="U202" s="907"/>
      <c r="V202" s="907"/>
      <c r="W202" s="907"/>
      <c r="X202" s="907"/>
      <c r="Y202" s="907"/>
      <c r="Z202" s="907"/>
      <c r="AA202" s="907"/>
    </row>
    <row r="203" spans="1:27">
      <c r="A203" s="907"/>
      <c r="B203" s="907"/>
      <c r="C203" s="907"/>
      <c r="D203" s="907"/>
      <c r="E203" s="907"/>
      <c r="F203" s="907"/>
      <c r="G203" s="907"/>
      <c r="H203" s="907"/>
      <c r="I203" s="907"/>
      <c r="J203" s="907"/>
      <c r="K203" s="907"/>
      <c r="L203" s="907"/>
      <c r="M203" s="907"/>
      <c r="N203" s="907"/>
      <c r="O203" s="907"/>
      <c r="P203" s="907"/>
      <c r="Q203" s="907"/>
      <c r="R203" s="907"/>
      <c r="S203" s="907"/>
      <c r="T203" s="907"/>
      <c r="U203" s="907"/>
      <c r="V203" s="907"/>
      <c r="W203" s="907"/>
      <c r="X203" s="907"/>
      <c r="Y203" s="907"/>
      <c r="Z203" s="907"/>
      <c r="AA203" s="907"/>
    </row>
    <row r="204" spans="1:27">
      <c r="A204" s="907"/>
      <c r="B204" s="907"/>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row>
    <row r="205" spans="1:27">
      <c r="A205" s="907"/>
      <c r="B205" s="907"/>
      <c r="C205" s="907"/>
      <c r="D205" s="907"/>
      <c r="E205" s="907"/>
      <c r="F205" s="907"/>
      <c r="G205" s="907"/>
      <c r="H205" s="907"/>
      <c r="I205" s="907"/>
      <c r="J205" s="907"/>
      <c r="K205" s="907"/>
      <c r="L205" s="907"/>
      <c r="M205" s="907"/>
      <c r="N205" s="907"/>
      <c r="O205" s="907"/>
      <c r="P205" s="907"/>
      <c r="Q205" s="907"/>
      <c r="R205" s="907"/>
      <c r="S205" s="907"/>
      <c r="T205" s="907"/>
      <c r="U205" s="907"/>
      <c r="V205" s="907"/>
      <c r="W205" s="907"/>
      <c r="X205" s="907"/>
      <c r="Y205" s="907"/>
      <c r="Z205" s="907"/>
      <c r="AA205" s="907"/>
    </row>
    <row r="206" spans="1:27">
      <c r="A206" s="907"/>
      <c r="B206" s="907"/>
      <c r="C206" s="907"/>
      <c r="D206" s="907"/>
      <c r="E206" s="907"/>
      <c r="F206" s="907"/>
      <c r="G206" s="907"/>
      <c r="H206" s="907"/>
      <c r="I206" s="907"/>
      <c r="J206" s="907"/>
      <c r="K206" s="907"/>
      <c r="L206" s="907"/>
      <c r="M206" s="907"/>
      <c r="N206" s="907"/>
      <c r="O206" s="907"/>
      <c r="P206" s="907"/>
      <c r="Q206" s="907"/>
      <c r="R206" s="907"/>
      <c r="S206" s="907"/>
      <c r="T206" s="907"/>
      <c r="U206" s="907"/>
      <c r="V206" s="907"/>
      <c r="W206" s="907"/>
      <c r="X206" s="907"/>
      <c r="Y206" s="907"/>
      <c r="Z206" s="907"/>
      <c r="AA206" s="907"/>
    </row>
    <row r="207" spans="1:27">
      <c r="A207" s="907"/>
      <c r="B207" s="907"/>
      <c r="C207" s="907"/>
      <c r="D207" s="907"/>
      <c r="E207" s="907"/>
      <c r="F207" s="907"/>
      <c r="G207" s="907"/>
      <c r="H207" s="907"/>
      <c r="I207" s="907"/>
      <c r="J207" s="907"/>
      <c r="K207" s="907"/>
      <c r="L207" s="907"/>
      <c r="M207" s="907"/>
      <c r="N207" s="907"/>
      <c r="O207" s="907"/>
      <c r="P207" s="907"/>
      <c r="Q207" s="907"/>
      <c r="R207" s="907"/>
      <c r="S207" s="907"/>
      <c r="T207" s="907"/>
      <c r="U207" s="907"/>
      <c r="V207" s="907"/>
      <c r="W207" s="907"/>
      <c r="X207" s="907"/>
      <c r="Y207" s="907"/>
      <c r="Z207" s="907"/>
      <c r="AA207" s="907"/>
    </row>
    <row r="208" spans="1:27">
      <c r="A208" s="907"/>
      <c r="B208" s="907"/>
      <c r="C208" s="907"/>
      <c r="D208" s="907"/>
      <c r="E208" s="907"/>
      <c r="F208" s="907"/>
      <c r="G208" s="907"/>
      <c r="H208" s="907"/>
      <c r="I208" s="907"/>
      <c r="J208" s="907"/>
      <c r="K208" s="907"/>
      <c r="L208" s="907"/>
      <c r="M208" s="907"/>
      <c r="N208" s="907"/>
      <c r="O208" s="907"/>
      <c r="P208" s="907"/>
      <c r="Q208" s="907"/>
      <c r="R208" s="907"/>
      <c r="S208" s="907"/>
      <c r="T208" s="907"/>
      <c r="U208" s="907"/>
      <c r="V208" s="907"/>
      <c r="W208" s="907"/>
      <c r="X208" s="907"/>
      <c r="Y208" s="907"/>
      <c r="Z208" s="907"/>
      <c r="AA208" s="907"/>
    </row>
    <row r="209" spans="1:27">
      <c r="A209" s="907"/>
      <c r="B209" s="907"/>
      <c r="C209" s="907"/>
      <c r="D209" s="907"/>
      <c r="E209" s="907"/>
      <c r="F209" s="907"/>
      <c r="G209" s="907"/>
      <c r="H209" s="907"/>
      <c r="I209" s="907"/>
      <c r="J209" s="907"/>
      <c r="K209" s="907"/>
      <c r="L209" s="907"/>
      <c r="M209" s="907"/>
      <c r="N209" s="907"/>
      <c r="O209" s="907"/>
      <c r="P209" s="907"/>
      <c r="Q209" s="907"/>
      <c r="R209" s="907"/>
      <c r="S209" s="907"/>
      <c r="T209" s="907"/>
      <c r="U209" s="907"/>
      <c r="V209" s="907"/>
      <c r="W209" s="907"/>
      <c r="X209" s="907"/>
      <c r="Y209" s="907"/>
      <c r="Z209" s="907"/>
      <c r="AA209" s="907"/>
    </row>
    <row r="210" spans="1:27">
      <c r="A210" s="907"/>
      <c r="B210" s="907"/>
      <c r="C210" s="907"/>
      <c r="D210" s="907"/>
      <c r="E210" s="907"/>
      <c r="F210" s="907"/>
      <c r="G210" s="907"/>
      <c r="H210" s="907"/>
      <c r="I210" s="907"/>
      <c r="J210" s="907"/>
      <c r="K210" s="907"/>
      <c r="L210" s="907"/>
      <c r="M210" s="907"/>
      <c r="N210" s="907"/>
      <c r="O210" s="907"/>
      <c r="P210" s="907"/>
      <c r="Q210" s="907"/>
      <c r="R210" s="907"/>
      <c r="S210" s="907"/>
      <c r="T210" s="907"/>
      <c r="U210" s="907"/>
      <c r="V210" s="907"/>
      <c r="W210" s="907"/>
      <c r="X210" s="907"/>
      <c r="Y210" s="907"/>
      <c r="Z210" s="907"/>
      <c r="AA210" s="907"/>
    </row>
    <row r="211" spans="1:27">
      <c r="A211" s="907"/>
      <c r="B211" s="907"/>
      <c r="C211" s="907"/>
      <c r="D211" s="907"/>
      <c r="E211" s="907"/>
      <c r="F211" s="907"/>
      <c r="G211" s="907"/>
      <c r="H211" s="907"/>
      <c r="I211" s="907"/>
      <c r="J211" s="907"/>
      <c r="K211" s="907"/>
      <c r="L211" s="907"/>
      <c r="M211" s="907"/>
      <c r="N211" s="907"/>
      <c r="O211" s="907"/>
      <c r="P211" s="907"/>
      <c r="Q211" s="907"/>
      <c r="R211" s="907"/>
      <c r="S211" s="907"/>
      <c r="T211" s="907"/>
      <c r="U211" s="907"/>
      <c r="V211" s="907"/>
      <c r="W211" s="907"/>
      <c r="X211" s="907"/>
      <c r="Y211" s="907"/>
      <c r="Z211" s="907"/>
      <c r="AA211" s="907"/>
    </row>
    <row r="212" spans="1:27">
      <c r="A212" s="907"/>
      <c r="B212" s="907"/>
      <c r="C212" s="907"/>
      <c r="D212" s="907"/>
      <c r="E212" s="907"/>
      <c r="F212" s="907"/>
      <c r="G212" s="907"/>
      <c r="H212" s="907"/>
      <c r="I212" s="907"/>
      <c r="J212" s="907"/>
      <c r="K212" s="907"/>
      <c r="L212" s="907"/>
      <c r="M212" s="907"/>
      <c r="N212" s="907"/>
      <c r="O212" s="907"/>
      <c r="P212" s="907"/>
      <c r="Q212" s="907"/>
      <c r="R212" s="907"/>
      <c r="S212" s="907"/>
      <c r="T212" s="907"/>
      <c r="U212" s="907"/>
      <c r="V212" s="907"/>
      <c r="W212" s="907"/>
      <c r="X212" s="907"/>
      <c r="Y212" s="907"/>
      <c r="Z212" s="907"/>
      <c r="AA212" s="907"/>
    </row>
    <row r="213" spans="1:27">
      <c r="A213" s="907"/>
      <c r="B213" s="907"/>
      <c r="C213" s="907"/>
      <c r="D213" s="907"/>
      <c r="E213" s="907"/>
      <c r="F213" s="907"/>
      <c r="G213" s="907"/>
      <c r="H213" s="907"/>
      <c r="I213" s="907"/>
      <c r="J213" s="907"/>
      <c r="K213" s="907"/>
      <c r="L213" s="907"/>
      <c r="M213" s="907"/>
      <c r="N213" s="907"/>
      <c r="O213" s="907"/>
      <c r="P213" s="907"/>
      <c r="Q213" s="907"/>
      <c r="R213" s="907"/>
      <c r="S213" s="907"/>
      <c r="T213" s="907"/>
      <c r="U213" s="907"/>
      <c r="V213" s="907"/>
      <c r="W213" s="907"/>
      <c r="X213" s="907"/>
      <c r="Y213" s="907"/>
      <c r="Z213" s="907"/>
      <c r="AA213" s="907"/>
    </row>
    <row r="214" spans="1:27">
      <c r="A214" s="907"/>
      <c r="B214" s="907"/>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row>
    <row r="215" spans="1:27">
      <c r="A215" s="907"/>
      <c r="B215" s="907"/>
      <c r="C215" s="907"/>
      <c r="D215" s="907"/>
      <c r="E215" s="907"/>
      <c r="F215" s="907"/>
      <c r="G215" s="907"/>
      <c r="H215" s="907"/>
      <c r="I215" s="907"/>
      <c r="J215" s="907"/>
      <c r="K215" s="907"/>
      <c r="L215" s="907"/>
      <c r="M215" s="907"/>
      <c r="N215" s="907"/>
      <c r="O215" s="907"/>
      <c r="P215" s="907"/>
      <c r="Q215" s="907"/>
      <c r="R215" s="907"/>
      <c r="S215" s="907"/>
      <c r="T215" s="907"/>
      <c r="U215" s="907"/>
      <c r="V215" s="907"/>
      <c r="W215" s="907"/>
      <c r="X215" s="907"/>
      <c r="Y215" s="907"/>
      <c r="Z215" s="907"/>
      <c r="AA215" s="907"/>
    </row>
    <row r="216" spans="1:27">
      <c r="A216" s="907"/>
      <c r="B216" s="907"/>
      <c r="C216" s="907"/>
      <c r="D216" s="907"/>
      <c r="E216" s="907"/>
      <c r="F216" s="907"/>
      <c r="G216" s="907"/>
      <c r="H216" s="907"/>
      <c r="I216" s="907"/>
      <c r="J216" s="907"/>
      <c r="K216" s="907"/>
      <c r="L216" s="907"/>
      <c r="M216" s="907"/>
      <c r="N216" s="907"/>
      <c r="O216" s="907"/>
      <c r="P216" s="907"/>
      <c r="Q216" s="907"/>
      <c r="R216" s="907"/>
      <c r="S216" s="907"/>
      <c r="T216" s="907"/>
      <c r="U216" s="907"/>
      <c r="V216" s="907"/>
      <c r="W216" s="907"/>
      <c r="X216" s="907"/>
      <c r="Y216" s="907"/>
      <c r="Z216" s="907"/>
      <c r="AA216" s="907"/>
    </row>
    <row r="217" spans="1:27">
      <c r="A217" s="907"/>
      <c r="B217" s="907"/>
      <c r="C217" s="907"/>
      <c r="D217" s="907"/>
      <c r="E217" s="907"/>
      <c r="F217" s="907"/>
      <c r="G217" s="907"/>
      <c r="H217" s="907"/>
      <c r="I217" s="907"/>
      <c r="J217" s="907"/>
      <c r="K217" s="907"/>
      <c r="L217" s="907"/>
      <c r="M217" s="907"/>
      <c r="N217" s="907"/>
      <c r="O217" s="907"/>
      <c r="P217" s="907"/>
      <c r="Q217" s="907"/>
      <c r="R217" s="907"/>
      <c r="S217" s="907"/>
      <c r="T217" s="907"/>
      <c r="U217" s="907"/>
      <c r="V217" s="907"/>
      <c r="W217" s="907"/>
      <c r="X217" s="907"/>
      <c r="Y217" s="907"/>
      <c r="Z217" s="907"/>
      <c r="AA217" s="907"/>
    </row>
    <row r="218" spans="1:27">
      <c r="A218" s="907"/>
      <c r="B218" s="907"/>
      <c r="C218" s="907"/>
      <c r="D218" s="907"/>
      <c r="E218" s="907"/>
      <c r="F218" s="907"/>
      <c r="G218" s="907"/>
      <c r="H218" s="907"/>
      <c r="I218" s="907"/>
      <c r="J218" s="907"/>
      <c r="K218" s="907"/>
      <c r="L218" s="907"/>
      <c r="M218" s="907"/>
      <c r="N218" s="907"/>
      <c r="O218" s="907"/>
      <c r="P218" s="907"/>
      <c r="Q218" s="907"/>
      <c r="R218" s="907"/>
      <c r="S218" s="907"/>
      <c r="T218" s="907"/>
      <c r="U218" s="907"/>
      <c r="V218" s="907"/>
      <c r="W218" s="907"/>
      <c r="X218" s="907"/>
      <c r="Y218" s="907"/>
      <c r="Z218" s="907"/>
      <c r="AA218" s="907"/>
    </row>
    <row r="219" spans="1:27">
      <c r="A219" s="907"/>
      <c r="B219" s="907"/>
      <c r="C219" s="907"/>
      <c r="D219" s="907"/>
      <c r="E219" s="907"/>
      <c r="F219" s="907"/>
      <c r="G219" s="907"/>
      <c r="H219" s="907"/>
      <c r="I219" s="907"/>
      <c r="J219" s="907"/>
      <c r="K219" s="907"/>
      <c r="L219" s="907"/>
      <c r="M219" s="907"/>
      <c r="N219" s="907"/>
      <c r="O219" s="907"/>
      <c r="P219" s="907"/>
      <c r="Q219" s="907"/>
      <c r="R219" s="907"/>
      <c r="S219" s="907"/>
      <c r="T219" s="907"/>
      <c r="U219" s="907"/>
      <c r="V219" s="907"/>
      <c r="W219" s="907"/>
      <c r="X219" s="907"/>
      <c r="Y219" s="907"/>
      <c r="Z219" s="907"/>
      <c r="AA219" s="907"/>
    </row>
    <row r="220" spans="1:27">
      <c r="A220" s="907"/>
      <c r="B220" s="907"/>
      <c r="C220" s="907"/>
      <c r="D220" s="907"/>
      <c r="E220" s="907"/>
      <c r="F220" s="907"/>
      <c r="G220" s="907"/>
      <c r="H220" s="907"/>
      <c r="I220" s="907"/>
      <c r="J220" s="907"/>
      <c r="K220" s="907"/>
      <c r="L220" s="907"/>
      <c r="M220" s="907"/>
      <c r="N220" s="907"/>
      <c r="O220" s="907"/>
      <c r="P220" s="907"/>
      <c r="Q220" s="907"/>
      <c r="R220" s="907"/>
      <c r="S220" s="907"/>
      <c r="T220" s="907"/>
      <c r="U220" s="907"/>
      <c r="V220" s="907"/>
      <c r="W220" s="907"/>
      <c r="X220" s="907"/>
      <c r="Y220" s="907"/>
      <c r="Z220" s="907"/>
      <c r="AA220" s="907"/>
    </row>
    <row r="221" spans="1:27">
      <c r="A221" s="907"/>
      <c r="B221" s="907"/>
      <c r="C221" s="907"/>
      <c r="D221" s="907"/>
      <c r="E221" s="907"/>
      <c r="F221" s="907"/>
      <c r="G221" s="907"/>
      <c r="H221" s="907"/>
      <c r="I221" s="907"/>
      <c r="J221" s="907"/>
      <c r="K221" s="907"/>
      <c r="L221" s="907"/>
      <c r="M221" s="907"/>
      <c r="N221" s="907"/>
      <c r="O221" s="907"/>
      <c r="P221" s="907"/>
      <c r="Q221" s="907"/>
      <c r="R221" s="907"/>
      <c r="S221" s="907"/>
      <c r="T221" s="907"/>
      <c r="U221" s="907"/>
      <c r="V221" s="907"/>
      <c r="W221" s="907"/>
      <c r="X221" s="907"/>
      <c r="Y221" s="907"/>
      <c r="Z221" s="907"/>
      <c r="AA221" s="907"/>
    </row>
    <row r="222" spans="1:27">
      <c r="A222" s="907"/>
      <c r="B222" s="907"/>
      <c r="C222" s="907"/>
      <c r="D222" s="907"/>
      <c r="E222" s="907"/>
      <c r="F222" s="907"/>
      <c r="G222" s="907"/>
      <c r="H222" s="907"/>
      <c r="I222" s="907"/>
      <c r="J222" s="907"/>
      <c r="K222" s="907"/>
      <c r="L222" s="907"/>
      <c r="M222" s="907"/>
      <c r="N222" s="907"/>
      <c r="O222" s="907"/>
      <c r="P222" s="907"/>
      <c r="Q222" s="907"/>
      <c r="R222" s="907"/>
      <c r="S222" s="907"/>
      <c r="T222" s="907"/>
      <c r="U222" s="907"/>
      <c r="V222" s="907"/>
      <c r="W222" s="907"/>
      <c r="X222" s="907"/>
      <c r="Y222" s="907"/>
      <c r="Z222" s="907"/>
      <c r="AA222" s="907"/>
    </row>
    <row r="223" spans="1:27">
      <c r="A223" s="907"/>
      <c r="B223" s="907"/>
      <c r="C223" s="907"/>
      <c r="D223" s="907"/>
      <c r="E223" s="907"/>
      <c r="F223" s="907"/>
      <c r="G223" s="907"/>
      <c r="H223" s="907"/>
      <c r="I223" s="907"/>
      <c r="J223" s="907"/>
      <c r="K223" s="907"/>
      <c r="L223" s="907"/>
      <c r="M223" s="907"/>
      <c r="N223" s="907"/>
      <c r="O223" s="907"/>
      <c r="P223" s="907"/>
      <c r="Q223" s="907"/>
      <c r="R223" s="907"/>
      <c r="S223" s="907"/>
      <c r="T223" s="907"/>
      <c r="U223" s="907"/>
      <c r="V223" s="907"/>
      <c r="W223" s="907"/>
      <c r="X223" s="907"/>
      <c r="Y223" s="907"/>
      <c r="Z223" s="907"/>
      <c r="AA223" s="907"/>
    </row>
    <row r="224" spans="1:27">
      <c r="A224" s="907"/>
      <c r="B224" s="907"/>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row>
    <row r="225" spans="1:27">
      <c r="A225" s="907"/>
      <c r="B225" s="907"/>
      <c r="C225" s="907"/>
      <c r="D225" s="907"/>
      <c r="E225" s="907"/>
      <c r="F225" s="907"/>
      <c r="G225" s="907"/>
      <c r="H225" s="907"/>
      <c r="I225" s="907"/>
      <c r="J225" s="907"/>
      <c r="K225" s="907"/>
      <c r="L225" s="907"/>
      <c r="M225" s="907"/>
      <c r="N225" s="907"/>
      <c r="O225" s="907"/>
      <c r="P225" s="907"/>
      <c r="Q225" s="907"/>
      <c r="R225" s="907"/>
      <c r="S225" s="907"/>
      <c r="T225" s="907"/>
      <c r="U225" s="907"/>
      <c r="V225" s="907"/>
      <c r="W225" s="907"/>
      <c r="X225" s="907"/>
      <c r="Y225" s="907"/>
      <c r="Z225" s="907"/>
      <c r="AA225" s="907"/>
    </row>
    <row r="226" spans="1:27">
      <c r="A226" s="907"/>
      <c r="B226" s="907"/>
      <c r="C226" s="907"/>
      <c r="D226" s="907"/>
      <c r="E226" s="907"/>
      <c r="F226" s="907"/>
      <c r="G226" s="907"/>
      <c r="H226" s="907"/>
      <c r="I226" s="907"/>
      <c r="J226" s="907"/>
      <c r="K226" s="907"/>
      <c r="L226" s="907"/>
      <c r="M226" s="907"/>
      <c r="N226" s="907"/>
      <c r="O226" s="907"/>
      <c r="P226" s="907"/>
      <c r="Q226" s="907"/>
      <c r="R226" s="907"/>
      <c r="S226" s="907"/>
      <c r="T226" s="907"/>
      <c r="U226" s="907"/>
      <c r="V226" s="907"/>
      <c r="W226" s="907"/>
      <c r="X226" s="907"/>
      <c r="Y226" s="907"/>
      <c r="Z226" s="907"/>
      <c r="AA226" s="907"/>
    </row>
    <row r="227" spans="1:27">
      <c r="A227" s="907"/>
      <c r="B227" s="907"/>
      <c r="C227" s="907"/>
      <c r="D227" s="907"/>
      <c r="E227" s="907"/>
      <c r="F227" s="907"/>
      <c r="G227" s="907"/>
      <c r="H227" s="907"/>
      <c r="I227" s="907"/>
      <c r="J227" s="907"/>
      <c r="K227" s="907"/>
      <c r="L227" s="907"/>
      <c r="M227" s="907"/>
      <c r="N227" s="907"/>
      <c r="O227" s="907"/>
      <c r="P227" s="907"/>
      <c r="Q227" s="907"/>
      <c r="R227" s="907"/>
      <c r="S227" s="907"/>
      <c r="T227" s="907"/>
      <c r="U227" s="907"/>
      <c r="V227" s="907"/>
      <c r="W227" s="907"/>
      <c r="X227" s="907"/>
      <c r="Y227" s="907"/>
      <c r="Z227" s="907"/>
      <c r="AA227" s="907"/>
    </row>
    <row r="228" spans="1:27">
      <c r="A228" s="907"/>
      <c r="B228" s="907"/>
      <c r="C228" s="907"/>
      <c r="D228" s="907"/>
      <c r="E228" s="907"/>
      <c r="F228" s="907"/>
      <c r="G228" s="907"/>
      <c r="H228" s="907"/>
      <c r="I228" s="907"/>
      <c r="J228" s="907"/>
      <c r="K228" s="907"/>
      <c r="L228" s="907"/>
      <c r="M228" s="907"/>
      <c r="N228" s="907"/>
      <c r="O228" s="907"/>
      <c r="P228" s="907"/>
      <c r="Q228" s="907"/>
      <c r="R228" s="907"/>
      <c r="S228" s="907"/>
      <c r="T228" s="907"/>
      <c r="U228" s="907"/>
      <c r="V228" s="907"/>
      <c r="W228" s="907"/>
      <c r="X228" s="907"/>
      <c r="Y228" s="907"/>
      <c r="Z228" s="907"/>
      <c r="AA228" s="907"/>
    </row>
    <row r="229" spans="1:27">
      <c r="A229" s="907"/>
      <c r="B229" s="907"/>
      <c r="C229" s="907"/>
      <c r="D229" s="907"/>
      <c r="E229" s="907"/>
      <c r="F229" s="907"/>
      <c r="G229" s="907"/>
      <c r="H229" s="907"/>
      <c r="I229" s="907"/>
      <c r="J229" s="907"/>
      <c r="K229" s="907"/>
      <c r="L229" s="907"/>
      <c r="M229" s="907"/>
      <c r="N229" s="907"/>
      <c r="O229" s="907"/>
      <c r="P229" s="907"/>
      <c r="Q229" s="907"/>
      <c r="R229" s="907"/>
      <c r="S229" s="907"/>
      <c r="T229" s="907"/>
      <c r="U229" s="907"/>
      <c r="V229" s="907"/>
      <c r="W229" s="907"/>
      <c r="X229" s="907"/>
      <c r="Y229" s="907"/>
      <c r="Z229" s="907"/>
      <c r="AA229" s="907"/>
    </row>
    <row r="230" spans="1:27">
      <c r="A230" s="907"/>
      <c r="B230" s="907"/>
      <c r="C230" s="907"/>
      <c r="D230" s="907"/>
      <c r="E230" s="907"/>
      <c r="F230" s="907"/>
      <c r="G230" s="907"/>
      <c r="H230" s="907"/>
      <c r="I230" s="907"/>
      <c r="J230" s="907"/>
      <c r="K230" s="907"/>
      <c r="L230" s="907"/>
      <c r="M230" s="907"/>
      <c r="N230" s="907"/>
      <c r="O230" s="907"/>
      <c r="P230" s="907"/>
      <c r="Q230" s="907"/>
      <c r="R230" s="907"/>
      <c r="S230" s="907"/>
      <c r="T230" s="907"/>
      <c r="U230" s="907"/>
      <c r="V230" s="907"/>
      <c r="W230" s="907"/>
      <c r="X230" s="907"/>
      <c r="Y230" s="907"/>
      <c r="Z230" s="907"/>
      <c r="AA230" s="907"/>
    </row>
    <row r="231" spans="1:27">
      <c r="A231" s="907"/>
      <c r="B231" s="907"/>
      <c r="C231" s="907"/>
      <c r="D231" s="907"/>
      <c r="E231" s="907"/>
      <c r="F231" s="907"/>
      <c r="G231" s="907"/>
      <c r="H231" s="907"/>
      <c r="I231" s="907"/>
      <c r="J231" s="907"/>
      <c r="K231" s="907"/>
      <c r="L231" s="907"/>
      <c r="M231" s="907"/>
      <c r="N231" s="907"/>
      <c r="O231" s="907"/>
      <c r="P231" s="907"/>
      <c r="Q231" s="907"/>
      <c r="R231" s="907"/>
      <c r="S231" s="907"/>
      <c r="T231" s="907"/>
      <c r="U231" s="907"/>
      <c r="V231" s="907"/>
      <c r="W231" s="907"/>
      <c r="X231" s="907"/>
      <c r="Y231" s="907"/>
      <c r="Z231" s="907"/>
      <c r="AA231" s="907"/>
    </row>
    <row r="232" spans="1:27">
      <c r="A232" s="907"/>
      <c r="B232" s="907"/>
      <c r="C232" s="907"/>
      <c r="D232" s="907"/>
      <c r="E232" s="907"/>
      <c r="F232" s="907"/>
      <c r="G232" s="907"/>
      <c r="H232" s="907"/>
      <c r="I232" s="907"/>
      <c r="J232" s="907"/>
      <c r="K232" s="907"/>
      <c r="L232" s="907"/>
      <c r="M232" s="907"/>
      <c r="N232" s="907"/>
      <c r="O232" s="907"/>
      <c r="P232" s="907"/>
      <c r="Q232" s="907"/>
      <c r="R232" s="907"/>
      <c r="S232" s="907"/>
      <c r="T232" s="907"/>
      <c r="U232" s="907"/>
      <c r="V232" s="907"/>
      <c r="W232" s="907"/>
      <c r="X232" s="907"/>
      <c r="Y232" s="907"/>
      <c r="Z232" s="907"/>
      <c r="AA232" s="907"/>
    </row>
    <row r="233" spans="1:27">
      <c r="A233" s="907"/>
      <c r="B233" s="907"/>
      <c r="C233" s="907"/>
      <c r="D233" s="907"/>
      <c r="E233" s="907"/>
      <c r="F233" s="907"/>
      <c r="G233" s="907"/>
      <c r="H233" s="907"/>
      <c r="I233" s="907"/>
      <c r="J233" s="907"/>
      <c r="K233" s="907"/>
      <c r="L233" s="907"/>
      <c r="M233" s="907"/>
      <c r="N233" s="907"/>
      <c r="O233" s="907"/>
      <c r="P233" s="907"/>
      <c r="Q233" s="907"/>
      <c r="R233" s="907"/>
      <c r="S233" s="907"/>
      <c r="T233" s="907"/>
      <c r="U233" s="907"/>
      <c r="V233" s="907"/>
      <c r="W233" s="907"/>
      <c r="X233" s="907"/>
      <c r="Y233" s="907"/>
      <c r="Z233" s="907"/>
      <c r="AA233" s="907"/>
    </row>
    <row r="234" spans="1:27">
      <c r="A234" s="907"/>
      <c r="B234" s="907"/>
      <c r="C234" s="907"/>
      <c r="D234" s="907"/>
      <c r="E234" s="907"/>
      <c r="F234" s="907"/>
      <c r="G234" s="907"/>
      <c r="H234" s="907"/>
      <c r="I234" s="907"/>
      <c r="J234" s="907"/>
      <c r="K234" s="907"/>
      <c r="L234" s="907"/>
      <c r="M234" s="907"/>
      <c r="N234" s="907"/>
      <c r="O234" s="907"/>
      <c r="P234" s="907"/>
      <c r="Q234" s="907"/>
      <c r="R234" s="907"/>
      <c r="S234" s="907"/>
      <c r="T234" s="907"/>
      <c r="U234" s="907"/>
      <c r="V234" s="907"/>
      <c r="W234" s="907"/>
      <c r="X234" s="907"/>
      <c r="Y234" s="907"/>
      <c r="Z234" s="907"/>
      <c r="AA234" s="907"/>
    </row>
    <row r="235" spans="1:27">
      <c r="A235" s="907"/>
      <c r="B235" s="907"/>
      <c r="C235" s="907"/>
      <c r="D235" s="907"/>
      <c r="E235" s="907"/>
      <c r="F235" s="907"/>
      <c r="G235" s="907"/>
      <c r="H235" s="907"/>
      <c r="I235" s="907"/>
      <c r="J235" s="907"/>
      <c r="K235" s="907"/>
      <c r="L235" s="907"/>
      <c r="M235" s="907"/>
      <c r="N235" s="907"/>
      <c r="O235" s="907"/>
      <c r="P235" s="907"/>
      <c r="Q235" s="907"/>
      <c r="R235" s="907"/>
      <c r="S235" s="907"/>
      <c r="T235" s="907"/>
      <c r="U235" s="907"/>
      <c r="V235" s="907"/>
      <c r="W235" s="907"/>
      <c r="X235" s="907"/>
      <c r="Y235" s="907"/>
      <c r="Z235" s="907"/>
      <c r="AA235" s="907"/>
    </row>
    <row r="236" spans="1:27">
      <c r="A236" s="907"/>
      <c r="B236" s="907"/>
      <c r="C236" s="907"/>
      <c r="D236" s="907"/>
      <c r="E236" s="907"/>
      <c r="F236" s="907"/>
      <c r="G236" s="907"/>
      <c r="H236" s="907"/>
      <c r="I236" s="907"/>
      <c r="J236" s="907"/>
      <c r="K236" s="907"/>
      <c r="L236" s="907"/>
      <c r="M236" s="907"/>
      <c r="N236" s="907"/>
      <c r="O236" s="907"/>
      <c r="P236" s="907"/>
      <c r="Q236" s="907"/>
      <c r="R236" s="907"/>
      <c r="S236" s="907"/>
      <c r="T236" s="907"/>
      <c r="U236" s="907"/>
      <c r="V236" s="907"/>
      <c r="W236" s="907"/>
      <c r="X236" s="907"/>
      <c r="Y236" s="907"/>
      <c r="Z236" s="907"/>
      <c r="AA236" s="907"/>
    </row>
    <row r="237" spans="1:27">
      <c r="A237" s="907"/>
      <c r="B237" s="907"/>
      <c r="C237" s="907"/>
      <c r="D237" s="907"/>
      <c r="E237" s="907"/>
      <c r="F237" s="907"/>
      <c r="G237" s="907"/>
      <c r="H237" s="907"/>
      <c r="I237" s="907"/>
      <c r="J237" s="907"/>
      <c r="K237" s="907"/>
      <c r="L237" s="907"/>
      <c r="M237" s="907"/>
      <c r="N237" s="907"/>
      <c r="O237" s="907"/>
      <c r="P237" s="907"/>
      <c r="Q237" s="907"/>
      <c r="R237" s="907"/>
      <c r="S237" s="907"/>
      <c r="T237" s="907"/>
      <c r="U237" s="907"/>
      <c r="V237" s="907"/>
      <c r="W237" s="907"/>
      <c r="X237" s="907"/>
      <c r="Y237" s="907"/>
      <c r="Z237" s="907"/>
      <c r="AA237" s="907"/>
    </row>
    <row r="238" spans="1:27">
      <c r="A238" s="907"/>
      <c r="B238" s="907"/>
      <c r="C238" s="907"/>
      <c r="D238" s="907"/>
      <c r="E238" s="907"/>
      <c r="F238" s="907"/>
      <c r="G238" s="907"/>
      <c r="H238" s="907"/>
      <c r="I238" s="907"/>
      <c r="J238" s="907"/>
      <c r="K238" s="907"/>
      <c r="L238" s="907"/>
      <c r="M238" s="907"/>
      <c r="N238" s="907"/>
      <c r="O238" s="907"/>
      <c r="P238" s="907"/>
      <c r="Q238" s="907"/>
      <c r="R238" s="907"/>
      <c r="S238" s="907"/>
      <c r="T238" s="907"/>
      <c r="U238" s="907"/>
      <c r="V238" s="907"/>
      <c r="W238" s="907"/>
      <c r="X238" s="907"/>
      <c r="Y238" s="907"/>
      <c r="Z238" s="907"/>
      <c r="AA238" s="907"/>
    </row>
    <row r="239" spans="1:27">
      <c r="A239" s="907"/>
      <c r="B239" s="907"/>
      <c r="C239" s="907"/>
      <c r="D239" s="907"/>
      <c r="E239" s="907"/>
      <c r="F239" s="907"/>
      <c r="G239" s="907"/>
      <c r="H239" s="907"/>
      <c r="I239" s="907"/>
      <c r="J239" s="907"/>
      <c r="K239" s="907"/>
      <c r="L239" s="907"/>
      <c r="M239" s="907"/>
      <c r="N239" s="907"/>
      <c r="O239" s="907"/>
      <c r="P239" s="907"/>
      <c r="Q239" s="907"/>
      <c r="R239" s="907"/>
      <c r="S239" s="907"/>
      <c r="T239" s="907"/>
      <c r="U239" s="907"/>
      <c r="V239" s="907"/>
      <c r="W239" s="907"/>
      <c r="X239" s="907"/>
      <c r="Y239" s="907"/>
      <c r="Z239" s="907"/>
      <c r="AA239" s="907"/>
    </row>
    <row r="240" spans="1:27">
      <c r="A240" s="907"/>
      <c r="B240" s="907"/>
      <c r="C240" s="907"/>
      <c r="D240" s="907"/>
      <c r="E240" s="907"/>
      <c r="F240" s="907"/>
      <c r="G240" s="907"/>
      <c r="H240" s="907"/>
      <c r="I240" s="907"/>
      <c r="J240" s="907"/>
      <c r="K240" s="907"/>
      <c r="L240" s="907"/>
      <c r="M240" s="907"/>
      <c r="N240" s="907"/>
      <c r="O240" s="907"/>
      <c r="P240" s="907"/>
      <c r="Q240" s="907"/>
      <c r="R240" s="907"/>
      <c r="S240" s="907"/>
      <c r="T240" s="907"/>
      <c r="U240" s="907"/>
      <c r="V240" s="907"/>
      <c r="W240" s="907"/>
      <c r="X240" s="907"/>
      <c r="Y240" s="907"/>
      <c r="Z240" s="907"/>
      <c r="AA240" s="907"/>
    </row>
    <row r="241" spans="1:27">
      <c r="A241" s="907"/>
      <c r="B241" s="907"/>
      <c r="C241" s="907"/>
      <c r="D241" s="907"/>
      <c r="E241" s="907"/>
      <c r="F241" s="907"/>
      <c r="G241" s="907"/>
      <c r="H241" s="907"/>
      <c r="I241" s="907"/>
      <c r="J241" s="907"/>
      <c r="K241" s="907"/>
      <c r="L241" s="907"/>
      <c r="M241" s="907"/>
      <c r="N241" s="907"/>
      <c r="O241" s="907"/>
      <c r="P241" s="907"/>
      <c r="Q241" s="907"/>
      <c r="R241" s="907"/>
      <c r="S241" s="907"/>
      <c r="T241" s="907"/>
      <c r="U241" s="907"/>
      <c r="V241" s="907"/>
      <c r="W241" s="907"/>
      <c r="X241" s="907"/>
      <c r="Y241" s="907"/>
      <c r="Z241" s="907"/>
      <c r="AA241" s="907"/>
    </row>
    <row r="242" spans="1:27">
      <c r="A242" s="907"/>
      <c r="B242" s="907"/>
      <c r="C242" s="907"/>
      <c r="D242" s="907"/>
      <c r="E242" s="907"/>
      <c r="F242" s="907"/>
      <c r="G242" s="907"/>
      <c r="H242" s="907"/>
      <c r="I242" s="907"/>
      <c r="J242" s="907"/>
      <c r="K242" s="907"/>
      <c r="L242" s="907"/>
      <c r="M242" s="907"/>
      <c r="N242" s="907"/>
      <c r="O242" s="907"/>
      <c r="P242" s="907"/>
      <c r="Q242" s="907"/>
      <c r="R242" s="907"/>
      <c r="S242" s="907"/>
      <c r="T242" s="907"/>
      <c r="U242" s="907"/>
      <c r="V242" s="907"/>
      <c r="W242" s="907"/>
      <c r="X242" s="907"/>
      <c r="Y242" s="907"/>
      <c r="Z242" s="907"/>
      <c r="AA242" s="907"/>
    </row>
    <row r="243" spans="1:27">
      <c r="A243" s="907"/>
      <c r="B243" s="907"/>
      <c r="C243" s="907"/>
      <c r="D243" s="907"/>
      <c r="E243" s="907"/>
      <c r="F243" s="907"/>
      <c r="G243" s="907"/>
      <c r="H243" s="907"/>
      <c r="I243" s="907"/>
      <c r="J243" s="907"/>
      <c r="K243" s="907"/>
      <c r="L243" s="907"/>
      <c r="M243" s="907"/>
      <c r="N243" s="907"/>
      <c r="O243" s="907"/>
      <c r="P243" s="907"/>
      <c r="Q243" s="907"/>
      <c r="R243" s="907"/>
      <c r="S243" s="907"/>
      <c r="T243" s="907"/>
      <c r="U243" s="907"/>
      <c r="V243" s="907"/>
      <c r="W243" s="907"/>
      <c r="X243" s="907"/>
      <c r="Y243" s="907"/>
      <c r="Z243" s="907"/>
      <c r="AA243" s="907"/>
    </row>
    <row r="244" spans="1:27">
      <c r="A244" s="907"/>
      <c r="B244" s="907"/>
      <c r="C244" s="907"/>
      <c r="D244" s="907"/>
      <c r="E244" s="907"/>
      <c r="F244" s="907"/>
      <c r="G244" s="907"/>
      <c r="H244" s="907"/>
      <c r="I244" s="907"/>
      <c r="J244" s="907"/>
      <c r="K244" s="907"/>
      <c r="L244" s="907"/>
      <c r="M244" s="907"/>
      <c r="N244" s="907"/>
      <c r="O244" s="907"/>
      <c r="P244" s="907"/>
      <c r="Q244" s="907"/>
      <c r="R244" s="907"/>
      <c r="S244" s="907"/>
      <c r="T244" s="907"/>
      <c r="U244" s="907"/>
      <c r="V244" s="907"/>
      <c r="W244" s="907"/>
      <c r="X244" s="907"/>
      <c r="Y244" s="907"/>
      <c r="Z244" s="907"/>
      <c r="AA244" s="907"/>
    </row>
    <row r="245" spans="1:27">
      <c r="A245" s="907"/>
      <c r="B245" s="907"/>
      <c r="C245" s="907"/>
      <c r="D245" s="907"/>
      <c r="E245" s="907"/>
      <c r="F245" s="907"/>
      <c r="G245" s="907"/>
      <c r="H245" s="907"/>
      <c r="I245" s="907"/>
      <c r="J245" s="907"/>
      <c r="K245" s="907"/>
      <c r="L245" s="907"/>
      <c r="M245" s="907"/>
      <c r="N245" s="907"/>
      <c r="O245" s="907"/>
      <c r="P245" s="907"/>
      <c r="Q245" s="907"/>
      <c r="R245" s="907"/>
      <c r="S245" s="907"/>
      <c r="T245" s="907"/>
      <c r="U245" s="907"/>
      <c r="V245" s="907"/>
      <c r="W245" s="907"/>
      <c r="X245" s="907"/>
      <c r="Y245" s="907"/>
      <c r="Z245" s="907"/>
      <c r="AA245" s="907"/>
    </row>
    <row r="246" spans="1:27">
      <c r="A246" s="907"/>
      <c r="B246" s="907"/>
      <c r="C246" s="907"/>
      <c r="D246" s="907"/>
      <c r="E246" s="907"/>
      <c r="F246" s="907"/>
      <c r="G246" s="907"/>
      <c r="H246" s="907"/>
      <c r="I246" s="907"/>
      <c r="J246" s="907"/>
      <c r="K246" s="907"/>
      <c r="L246" s="907"/>
      <c r="M246" s="907"/>
      <c r="N246" s="907"/>
      <c r="O246" s="907"/>
      <c r="P246" s="907"/>
      <c r="Q246" s="907"/>
      <c r="R246" s="907"/>
      <c r="S246" s="907"/>
      <c r="T246" s="907"/>
      <c r="U246" s="907"/>
      <c r="V246" s="907"/>
      <c r="W246" s="907"/>
      <c r="X246" s="907"/>
      <c r="Y246" s="907"/>
      <c r="Z246" s="907"/>
      <c r="AA246" s="907"/>
    </row>
    <row r="247" spans="1:27">
      <c r="A247" s="907"/>
      <c r="B247" s="907"/>
      <c r="C247" s="907"/>
      <c r="D247" s="907"/>
      <c r="E247" s="907"/>
      <c r="F247" s="907"/>
      <c r="G247" s="907"/>
      <c r="H247" s="907"/>
      <c r="I247" s="907"/>
      <c r="J247" s="907"/>
      <c r="K247" s="907"/>
      <c r="L247" s="907"/>
      <c r="M247" s="907"/>
      <c r="N247" s="907"/>
      <c r="O247" s="907"/>
      <c r="P247" s="907"/>
      <c r="Q247" s="907"/>
      <c r="R247" s="907"/>
      <c r="S247" s="907"/>
      <c r="T247" s="907"/>
      <c r="U247" s="907"/>
      <c r="V247" s="907"/>
      <c r="W247" s="907"/>
      <c r="X247" s="907"/>
      <c r="Y247" s="907"/>
      <c r="Z247" s="907"/>
      <c r="AA247" s="907"/>
    </row>
    <row r="248" spans="1:27">
      <c r="A248" s="907"/>
      <c r="B248" s="907"/>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row>
    <row r="249" spans="1:27">
      <c r="A249" s="907"/>
      <c r="B249" s="907"/>
      <c r="C249" s="907"/>
      <c r="D249" s="907"/>
      <c r="E249" s="907"/>
      <c r="F249" s="907"/>
      <c r="G249" s="907"/>
      <c r="H249" s="907"/>
      <c r="I249" s="907"/>
      <c r="J249" s="907"/>
      <c r="K249" s="907"/>
      <c r="L249" s="907"/>
      <c r="M249" s="907"/>
      <c r="N249" s="907"/>
      <c r="O249" s="907"/>
      <c r="P249" s="907"/>
      <c r="Q249" s="907"/>
      <c r="R249" s="907"/>
      <c r="S249" s="907"/>
      <c r="T249" s="907"/>
      <c r="U249" s="907"/>
      <c r="V249" s="907"/>
      <c r="W249" s="907"/>
      <c r="X249" s="907"/>
      <c r="Y249" s="907"/>
      <c r="Z249" s="907"/>
      <c r="AA249" s="907"/>
    </row>
    <row r="250" spans="1:27">
      <c r="A250" s="907"/>
      <c r="B250" s="907"/>
      <c r="C250" s="907"/>
      <c r="D250" s="907"/>
      <c r="E250" s="907"/>
      <c r="F250" s="907"/>
      <c r="G250" s="907"/>
      <c r="H250" s="907"/>
      <c r="I250" s="907"/>
      <c r="J250" s="907"/>
      <c r="K250" s="907"/>
      <c r="L250" s="907"/>
      <c r="M250" s="907"/>
      <c r="N250" s="907"/>
      <c r="O250" s="907"/>
      <c r="P250" s="907"/>
      <c r="Q250" s="907"/>
      <c r="R250" s="907"/>
      <c r="S250" s="907"/>
      <c r="T250" s="907"/>
      <c r="U250" s="907"/>
      <c r="V250" s="907"/>
      <c r="W250" s="907"/>
      <c r="X250" s="907"/>
      <c r="Y250" s="907"/>
      <c r="Z250" s="907"/>
      <c r="AA250" s="907"/>
    </row>
    <row r="251" spans="1:27">
      <c r="A251" s="907"/>
      <c r="B251" s="907"/>
      <c r="C251" s="907"/>
      <c r="D251" s="907"/>
      <c r="E251" s="907"/>
      <c r="F251" s="907"/>
      <c r="G251" s="907"/>
      <c r="H251" s="907"/>
      <c r="I251" s="907"/>
      <c r="J251" s="907"/>
      <c r="K251" s="907"/>
      <c r="L251" s="907"/>
      <c r="M251" s="907"/>
      <c r="N251" s="907"/>
      <c r="O251" s="907"/>
      <c r="P251" s="907"/>
      <c r="Q251" s="907"/>
      <c r="R251" s="907"/>
      <c r="S251" s="907"/>
      <c r="T251" s="907"/>
      <c r="U251" s="907"/>
      <c r="V251" s="907"/>
      <c r="W251" s="907"/>
      <c r="X251" s="907"/>
      <c r="Y251" s="907"/>
      <c r="Z251" s="907"/>
      <c r="AA251" s="907"/>
    </row>
    <row r="252" spans="1:27">
      <c r="A252" s="907"/>
      <c r="B252" s="907"/>
      <c r="C252" s="907"/>
      <c r="D252" s="907"/>
      <c r="E252" s="907"/>
      <c r="F252" s="907"/>
      <c r="G252" s="907"/>
      <c r="H252" s="907"/>
      <c r="I252" s="907"/>
      <c r="J252" s="907"/>
      <c r="K252" s="907"/>
      <c r="L252" s="907"/>
      <c r="M252" s="907"/>
      <c r="N252" s="907"/>
      <c r="O252" s="907"/>
      <c r="P252" s="907"/>
      <c r="Q252" s="907"/>
      <c r="R252" s="907"/>
      <c r="S252" s="907"/>
      <c r="T252" s="907"/>
      <c r="U252" s="907"/>
      <c r="V252" s="907"/>
      <c r="W252" s="907"/>
      <c r="X252" s="907"/>
      <c r="Y252" s="907"/>
      <c r="Z252" s="907"/>
      <c r="AA252" s="907"/>
    </row>
    <row r="253" spans="1:27">
      <c r="A253" s="907"/>
      <c r="B253" s="907"/>
      <c r="C253" s="907"/>
      <c r="D253" s="907"/>
      <c r="E253" s="907"/>
      <c r="F253" s="907"/>
      <c r="G253" s="907"/>
      <c r="H253" s="907"/>
      <c r="I253" s="907"/>
      <c r="J253" s="907"/>
      <c r="K253" s="907"/>
      <c r="L253" s="907"/>
      <c r="M253" s="907"/>
      <c r="N253" s="907"/>
      <c r="O253" s="907"/>
      <c r="P253" s="907"/>
      <c r="Q253" s="907"/>
      <c r="R253" s="907"/>
      <c r="S253" s="907"/>
      <c r="T253" s="907"/>
      <c r="U253" s="907"/>
      <c r="V253" s="907"/>
      <c r="W253" s="907"/>
      <c r="X253" s="907"/>
      <c r="Y253" s="907"/>
      <c r="Z253" s="907"/>
      <c r="AA253" s="907"/>
    </row>
    <row r="254" spans="1:27">
      <c r="A254" s="907"/>
      <c r="B254" s="907"/>
      <c r="C254" s="907"/>
      <c r="D254" s="907"/>
      <c r="E254" s="907"/>
      <c r="F254" s="907"/>
      <c r="G254" s="907"/>
      <c r="H254" s="907"/>
      <c r="I254" s="907"/>
      <c r="J254" s="907"/>
      <c r="K254" s="907"/>
      <c r="L254" s="907"/>
      <c r="M254" s="907"/>
      <c r="N254" s="907"/>
      <c r="O254" s="907"/>
      <c r="P254" s="907"/>
      <c r="Q254" s="907"/>
      <c r="R254" s="907"/>
      <c r="S254" s="907"/>
      <c r="T254" s="907"/>
      <c r="U254" s="907"/>
      <c r="V254" s="907"/>
      <c r="W254" s="907"/>
      <c r="X254" s="907"/>
      <c r="Y254" s="907"/>
      <c r="Z254" s="907"/>
      <c r="AA254" s="907"/>
    </row>
    <row r="255" spans="1:27">
      <c r="A255" s="907"/>
      <c r="B255" s="907"/>
      <c r="C255" s="907"/>
      <c r="D255" s="907"/>
      <c r="E255" s="907"/>
      <c r="F255" s="907"/>
      <c r="G255" s="907"/>
      <c r="H255" s="907"/>
      <c r="I255" s="907"/>
      <c r="J255" s="907"/>
      <c r="K255" s="907"/>
      <c r="L255" s="907"/>
      <c r="M255" s="907"/>
      <c r="N255" s="907"/>
      <c r="O255" s="907"/>
      <c r="P255" s="907"/>
      <c r="Q255" s="907"/>
      <c r="R255" s="907"/>
      <c r="S255" s="907"/>
      <c r="T255" s="907"/>
      <c r="U255" s="907"/>
      <c r="V255" s="907"/>
      <c r="W255" s="907"/>
      <c r="X255" s="907"/>
      <c r="Y255" s="907"/>
      <c r="Z255" s="907"/>
      <c r="AA255" s="907"/>
    </row>
    <row r="256" spans="1:27">
      <c r="A256" s="907"/>
      <c r="B256" s="907"/>
      <c r="C256" s="907"/>
      <c r="D256" s="907"/>
      <c r="E256" s="907"/>
      <c r="F256" s="907"/>
      <c r="G256" s="907"/>
      <c r="H256" s="907"/>
      <c r="I256" s="907"/>
      <c r="J256" s="907"/>
      <c r="K256" s="907"/>
      <c r="L256" s="907"/>
      <c r="M256" s="907"/>
      <c r="N256" s="907"/>
      <c r="O256" s="907"/>
      <c r="P256" s="907"/>
      <c r="Q256" s="907"/>
      <c r="R256" s="907"/>
      <c r="S256" s="907"/>
      <c r="T256" s="907"/>
      <c r="U256" s="907"/>
      <c r="V256" s="907"/>
      <c r="W256" s="907"/>
      <c r="X256" s="907"/>
      <c r="Y256" s="907"/>
      <c r="Z256" s="907"/>
      <c r="AA256" s="907"/>
    </row>
    <row r="257" spans="1:27">
      <c r="A257" s="907"/>
      <c r="B257" s="907"/>
      <c r="C257" s="907"/>
      <c r="D257" s="907"/>
      <c r="E257" s="907"/>
      <c r="F257" s="907"/>
      <c r="G257" s="907"/>
      <c r="H257" s="907"/>
      <c r="I257" s="907"/>
      <c r="J257" s="907"/>
      <c r="K257" s="907"/>
      <c r="L257" s="907"/>
      <c r="M257" s="907"/>
      <c r="N257" s="907"/>
      <c r="O257" s="907"/>
      <c r="P257" s="907"/>
      <c r="Q257" s="907"/>
      <c r="R257" s="907"/>
      <c r="S257" s="907"/>
      <c r="T257" s="907"/>
      <c r="U257" s="907"/>
      <c r="V257" s="907"/>
      <c r="W257" s="907"/>
      <c r="X257" s="907"/>
      <c r="Y257" s="907"/>
      <c r="Z257" s="907"/>
      <c r="AA257" s="907"/>
    </row>
    <row r="258" spans="1:27">
      <c r="A258" s="907"/>
      <c r="B258" s="907"/>
      <c r="C258" s="907"/>
      <c r="D258" s="907"/>
      <c r="E258" s="907"/>
      <c r="F258" s="907"/>
      <c r="G258" s="907"/>
      <c r="H258" s="907"/>
      <c r="I258" s="907"/>
      <c r="J258" s="907"/>
      <c r="K258" s="907"/>
      <c r="L258" s="907"/>
      <c r="M258" s="907"/>
      <c r="N258" s="907"/>
      <c r="O258" s="907"/>
      <c r="P258" s="907"/>
      <c r="Q258" s="907"/>
      <c r="R258" s="907"/>
      <c r="S258" s="907"/>
      <c r="T258" s="907"/>
      <c r="U258" s="907"/>
      <c r="V258" s="907"/>
      <c r="W258" s="907"/>
      <c r="X258" s="907"/>
      <c r="Y258" s="907"/>
      <c r="Z258" s="907"/>
      <c r="AA258" s="907"/>
    </row>
    <row r="259" spans="1:27">
      <c r="A259" s="907"/>
      <c r="B259" s="907"/>
      <c r="C259" s="907"/>
      <c r="D259" s="907"/>
      <c r="E259" s="907"/>
      <c r="F259" s="907"/>
      <c r="G259" s="907"/>
      <c r="H259" s="907"/>
      <c r="I259" s="907"/>
      <c r="J259" s="907"/>
      <c r="K259" s="907"/>
      <c r="L259" s="907"/>
      <c r="M259" s="907"/>
      <c r="N259" s="907"/>
      <c r="O259" s="907"/>
      <c r="P259" s="907"/>
      <c r="Q259" s="907"/>
      <c r="R259" s="907"/>
      <c r="S259" s="907"/>
      <c r="T259" s="907"/>
      <c r="U259" s="907"/>
      <c r="V259" s="907"/>
      <c r="W259" s="907"/>
      <c r="X259" s="907"/>
      <c r="Y259" s="907"/>
      <c r="Z259" s="907"/>
      <c r="AA259" s="907"/>
    </row>
    <row r="260" spans="1:27">
      <c r="A260" s="907"/>
      <c r="B260" s="907"/>
      <c r="C260" s="907"/>
      <c r="D260" s="907"/>
      <c r="E260" s="907"/>
      <c r="F260" s="907"/>
      <c r="G260" s="907"/>
      <c r="H260" s="907"/>
      <c r="I260" s="907"/>
      <c r="J260" s="907"/>
      <c r="K260" s="907"/>
      <c r="L260" s="907"/>
      <c r="M260" s="907"/>
      <c r="N260" s="907"/>
      <c r="O260" s="907"/>
      <c r="P260" s="907"/>
      <c r="Q260" s="907"/>
      <c r="R260" s="907"/>
      <c r="S260" s="907"/>
      <c r="T260" s="907"/>
      <c r="U260" s="907"/>
      <c r="V260" s="907"/>
      <c r="W260" s="907"/>
      <c r="X260" s="907"/>
      <c r="Y260" s="907"/>
      <c r="Z260" s="907"/>
      <c r="AA260" s="907"/>
    </row>
    <row r="261" spans="1:27">
      <c r="A261" s="907"/>
      <c r="B261" s="907"/>
      <c r="C261" s="907"/>
      <c r="D261" s="907"/>
      <c r="E261" s="907"/>
      <c r="F261" s="907"/>
      <c r="G261" s="907"/>
      <c r="H261" s="907"/>
      <c r="I261" s="907"/>
      <c r="J261" s="907"/>
      <c r="K261" s="907"/>
      <c r="L261" s="907"/>
      <c r="M261" s="907"/>
      <c r="N261" s="907"/>
      <c r="O261" s="907"/>
      <c r="P261" s="907"/>
      <c r="Q261" s="907"/>
      <c r="R261" s="907"/>
      <c r="S261" s="907"/>
      <c r="T261" s="907"/>
      <c r="U261" s="907"/>
      <c r="V261" s="907"/>
      <c r="W261" s="907"/>
      <c r="X261" s="907"/>
      <c r="Y261" s="907"/>
      <c r="Z261" s="907"/>
      <c r="AA261" s="907"/>
    </row>
    <row r="262" spans="1:27">
      <c r="A262" s="907"/>
      <c r="B262" s="907"/>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row>
    <row r="263" spans="1:27">
      <c r="A263" s="907"/>
      <c r="B263" s="907"/>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row>
    <row r="264" spans="1:27">
      <c r="A264" s="907"/>
      <c r="B264" s="907"/>
      <c r="C264" s="907"/>
      <c r="D264" s="907"/>
      <c r="E264" s="907"/>
      <c r="F264" s="907"/>
      <c r="G264" s="907"/>
      <c r="H264" s="907"/>
      <c r="I264" s="907"/>
      <c r="J264" s="907"/>
      <c r="K264" s="907"/>
      <c r="L264" s="907"/>
      <c r="M264" s="907"/>
      <c r="N264" s="907"/>
      <c r="O264" s="907"/>
      <c r="P264" s="907"/>
      <c r="Q264" s="907"/>
      <c r="R264" s="907"/>
      <c r="S264" s="907"/>
      <c r="T264" s="907"/>
      <c r="U264" s="907"/>
      <c r="V264" s="907"/>
      <c r="W264" s="907"/>
      <c r="X264" s="907"/>
      <c r="Y264" s="907"/>
      <c r="Z264" s="907"/>
      <c r="AA264" s="907"/>
    </row>
    <row r="265" spans="1:27">
      <c r="A265" s="907"/>
      <c r="B265" s="907"/>
      <c r="C265" s="907"/>
      <c r="D265" s="907"/>
      <c r="E265" s="907"/>
      <c r="F265" s="907"/>
      <c r="G265" s="907"/>
      <c r="H265" s="907"/>
      <c r="I265" s="907"/>
      <c r="J265" s="907"/>
      <c r="K265" s="907"/>
      <c r="L265" s="907"/>
      <c r="M265" s="907"/>
      <c r="N265" s="907"/>
      <c r="O265" s="907"/>
      <c r="P265" s="907"/>
      <c r="Q265" s="907"/>
      <c r="R265" s="907"/>
      <c r="S265" s="907"/>
      <c r="T265" s="907"/>
      <c r="U265" s="907"/>
      <c r="V265" s="907"/>
      <c r="W265" s="907"/>
      <c r="X265" s="907"/>
      <c r="Y265" s="907"/>
      <c r="Z265" s="907"/>
      <c r="AA265" s="907"/>
    </row>
    <row r="266" spans="1:27">
      <c r="A266" s="907"/>
      <c r="B266" s="907"/>
      <c r="C266" s="907"/>
      <c r="D266" s="907"/>
      <c r="E266" s="907"/>
      <c r="F266" s="907"/>
      <c r="G266" s="907"/>
      <c r="H266" s="907"/>
      <c r="I266" s="907"/>
      <c r="J266" s="907"/>
      <c r="K266" s="907"/>
      <c r="L266" s="907"/>
      <c r="M266" s="907"/>
      <c r="N266" s="907"/>
      <c r="O266" s="907"/>
      <c r="P266" s="907"/>
      <c r="Q266" s="907"/>
      <c r="R266" s="907"/>
      <c r="S266" s="907"/>
      <c r="T266" s="907"/>
      <c r="U266" s="907"/>
      <c r="V266" s="907"/>
      <c r="W266" s="907"/>
      <c r="X266" s="907"/>
      <c r="Y266" s="907"/>
      <c r="Z266" s="907"/>
      <c r="AA266" s="907"/>
    </row>
    <row r="267" spans="1:27">
      <c r="A267" s="907"/>
      <c r="B267" s="907"/>
      <c r="C267" s="907"/>
      <c r="D267" s="907"/>
      <c r="E267" s="907"/>
      <c r="F267" s="907"/>
      <c r="G267" s="907"/>
      <c r="H267" s="907"/>
      <c r="I267" s="907"/>
      <c r="J267" s="907"/>
      <c r="K267" s="907"/>
      <c r="L267" s="907"/>
      <c r="M267" s="907"/>
      <c r="N267" s="907"/>
      <c r="O267" s="907"/>
      <c r="P267" s="907"/>
      <c r="Q267" s="907"/>
      <c r="R267" s="907"/>
      <c r="S267" s="907"/>
      <c r="T267" s="907"/>
      <c r="U267" s="907"/>
      <c r="V267" s="907"/>
      <c r="W267" s="907"/>
      <c r="X267" s="907"/>
      <c r="Y267" s="907"/>
      <c r="Z267" s="907"/>
      <c r="AA267" s="907"/>
    </row>
    <row r="268" spans="1:27">
      <c r="A268" s="907"/>
      <c r="B268" s="907"/>
      <c r="C268" s="907"/>
      <c r="D268" s="907"/>
      <c r="E268" s="907"/>
      <c r="F268" s="907"/>
      <c r="G268" s="907"/>
      <c r="H268" s="907"/>
      <c r="I268" s="907"/>
      <c r="J268" s="907"/>
      <c r="K268" s="907"/>
      <c r="L268" s="907"/>
      <c r="M268" s="907"/>
      <c r="N268" s="907"/>
      <c r="O268" s="907"/>
      <c r="P268" s="907"/>
      <c r="Q268" s="907"/>
      <c r="R268" s="907"/>
      <c r="S268" s="907"/>
      <c r="T268" s="907"/>
      <c r="U268" s="907"/>
      <c r="V268" s="907"/>
      <c r="W268" s="907"/>
      <c r="X268" s="907"/>
      <c r="Y268" s="907"/>
      <c r="Z268" s="907"/>
      <c r="AA268" s="907"/>
    </row>
    <row r="269" spans="1:27">
      <c r="A269" s="907"/>
      <c r="B269" s="907"/>
      <c r="C269" s="907"/>
      <c r="D269" s="907"/>
      <c r="E269" s="907"/>
      <c r="F269" s="907"/>
      <c r="G269" s="907"/>
      <c r="H269" s="907"/>
      <c r="I269" s="907"/>
      <c r="J269" s="907"/>
      <c r="K269" s="907"/>
      <c r="L269" s="907"/>
      <c r="M269" s="907"/>
      <c r="N269" s="907"/>
      <c r="O269" s="907"/>
      <c r="P269" s="907"/>
      <c r="Q269" s="907"/>
      <c r="R269" s="907"/>
      <c r="S269" s="907"/>
      <c r="T269" s="907"/>
      <c r="U269" s="907"/>
      <c r="V269" s="907"/>
      <c r="W269" s="907"/>
      <c r="X269" s="907"/>
      <c r="Y269" s="907"/>
      <c r="Z269" s="907"/>
      <c r="AA269" s="907"/>
    </row>
    <row r="270" spans="1:27">
      <c r="A270" s="907"/>
      <c r="B270" s="907"/>
      <c r="C270" s="907"/>
      <c r="D270" s="907"/>
      <c r="E270" s="907"/>
      <c r="F270" s="907"/>
      <c r="G270" s="907"/>
      <c r="H270" s="907"/>
      <c r="I270" s="907"/>
      <c r="J270" s="907"/>
      <c r="K270" s="907"/>
      <c r="L270" s="907"/>
      <c r="M270" s="907"/>
      <c r="N270" s="907"/>
      <c r="O270" s="907"/>
      <c r="P270" s="907"/>
      <c r="Q270" s="907"/>
      <c r="R270" s="907"/>
      <c r="S270" s="907"/>
      <c r="T270" s="907"/>
      <c r="U270" s="907"/>
      <c r="V270" s="907"/>
      <c r="W270" s="907"/>
      <c r="X270" s="907"/>
      <c r="Y270" s="907"/>
      <c r="Z270" s="907"/>
      <c r="AA270" s="907"/>
    </row>
    <row r="271" spans="1:27">
      <c r="A271" s="907"/>
      <c r="B271" s="907"/>
      <c r="C271" s="907"/>
      <c r="D271" s="907"/>
      <c r="E271" s="907"/>
      <c r="F271" s="907"/>
      <c r="G271" s="907"/>
      <c r="H271" s="907"/>
      <c r="I271" s="907"/>
      <c r="J271" s="907"/>
      <c r="K271" s="907"/>
      <c r="L271" s="907"/>
      <c r="M271" s="907"/>
      <c r="N271" s="907"/>
      <c r="O271" s="907"/>
      <c r="P271" s="907"/>
      <c r="Q271" s="907"/>
      <c r="R271" s="907"/>
      <c r="S271" s="907"/>
      <c r="T271" s="907"/>
      <c r="U271" s="907"/>
      <c r="V271" s="907"/>
      <c r="W271" s="907"/>
      <c r="X271" s="907"/>
      <c r="Y271" s="907"/>
      <c r="Z271" s="907"/>
      <c r="AA271" s="907"/>
    </row>
    <row r="272" spans="1:27">
      <c r="A272" s="907"/>
      <c r="B272" s="907"/>
      <c r="C272" s="907"/>
      <c r="D272" s="907"/>
      <c r="E272" s="907"/>
      <c r="F272" s="907"/>
      <c r="G272" s="907"/>
      <c r="H272" s="907"/>
      <c r="I272" s="907"/>
      <c r="J272" s="907"/>
      <c r="K272" s="907"/>
      <c r="L272" s="907"/>
      <c r="M272" s="907"/>
      <c r="N272" s="907"/>
      <c r="O272" s="907"/>
      <c r="P272" s="907"/>
      <c r="Q272" s="907"/>
      <c r="R272" s="907"/>
      <c r="S272" s="907"/>
      <c r="T272" s="907"/>
      <c r="U272" s="907"/>
      <c r="V272" s="907"/>
      <c r="W272" s="907"/>
      <c r="X272" s="907"/>
      <c r="Y272" s="907"/>
      <c r="Z272" s="907"/>
      <c r="AA272" s="907"/>
    </row>
    <row r="273" spans="1:27">
      <c r="A273" s="907"/>
      <c r="B273" s="907"/>
      <c r="C273" s="907"/>
      <c r="D273" s="907"/>
      <c r="E273" s="907"/>
      <c r="F273" s="907"/>
      <c r="G273" s="907"/>
      <c r="H273" s="907"/>
      <c r="I273" s="907"/>
      <c r="J273" s="907"/>
      <c r="K273" s="907"/>
      <c r="L273" s="907"/>
      <c r="M273" s="907"/>
      <c r="N273" s="907"/>
      <c r="O273" s="907"/>
      <c r="P273" s="907"/>
      <c r="Q273" s="907"/>
      <c r="R273" s="907"/>
      <c r="S273" s="907"/>
      <c r="T273" s="907"/>
      <c r="U273" s="907"/>
      <c r="V273" s="907"/>
      <c r="W273" s="907"/>
      <c r="X273" s="907"/>
      <c r="Y273" s="907"/>
      <c r="Z273" s="907"/>
      <c r="AA273" s="907"/>
    </row>
    <row r="274" spans="1:27">
      <c r="A274" s="907"/>
      <c r="B274" s="907"/>
      <c r="C274" s="907"/>
      <c r="D274" s="907"/>
      <c r="E274" s="907"/>
      <c r="F274" s="907"/>
      <c r="G274" s="907"/>
      <c r="H274" s="907"/>
      <c r="I274" s="907"/>
      <c r="J274" s="907"/>
      <c r="K274" s="907"/>
      <c r="L274" s="907"/>
      <c r="M274" s="907"/>
      <c r="N274" s="907"/>
      <c r="O274" s="907"/>
      <c r="P274" s="907"/>
      <c r="Q274" s="907"/>
      <c r="R274" s="907"/>
      <c r="S274" s="907"/>
      <c r="T274" s="907"/>
      <c r="U274" s="907"/>
      <c r="V274" s="907"/>
      <c r="W274" s="907"/>
      <c r="X274" s="907"/>
      <c r="Y274" s="907"/>
      <c r="Z274" s="907"/>
      <c r="AA274" s="907"/>
    </row>
    <row r="275" spans="1:27">
      <c r="A275" s="907"/>
      <c r="B275" s="907"/>
      <c r="C275" s="907"/>
      <c r="D275" s="907"/>
      <c r="E275" s="907"/>
      <c r="F275" s="907"/>
      <c r="G275" s="907"/>
      <c r="H275" s="907"/>
      <c r="I275" s="907"/>
      <c r="J275" s="907"/>
      <c r="K275" s="907"/>
      <c r="L275" s="907"/>
      <c r="M275" s="907"/>
      <c r="N275" s="907"/>
      <c r="O275" s="907"/>
      <c r="P275" s="907"/>
      <c r="Q275" s="907"/>
      <c r="R275" s="907"/>
      <c r="S275" s="907"/>
      <c r="T275" s="907"/>
      <c r="U275" s="907"/>
      <c r="V275" s="907"/>
      <c r="W275" s="907"/>
      <c r="X275" s="907"/>
      <c r="Y275" s="907"/>
      <c r="Z275" s="907"/>
      <c r="AA275" s="907"/>
    </row>
    <row r="276" spans="1:27">
      <c r="A276" s="907"/>
      <c r="B276" s="907"/>
      <c r="C276" s="907"/>
      <c r="D276" s="907"/>
      <c r="E276" s="907"/>
      <c r="F276" s="907"/>
      <c r="G276" s="907"/>
      <c r="H276" s="907"/>
      <c r="I276" s="907"/>
      <c r="J276" s="907"/>
      <c r="K276" s="907"/>
      <c r="L276" s="907"/>
      <c r="M276" s="907"/>
      <c r="N276" s="907"/>
      <c r="O276" s="907"/>
      <c r="P276" s="907"/>
      <c r="Q276" s="907"/>
      <c r="R276" s="907"/>
      <c r="S276" s="907"/>
      <c r="T276" s="907"/>
      <c r="U276" s="907"/>
      <c r="V276" s="907"/>
      <c r="W276" s="907"/>
      <c r="X276" s="907"/>
      <c r="Y276" s="907"/>
      <c r="Z276" s="907"/>
      <c r="AA276" s="907"/>
    </row>
    <row r="277" spans="1:27">
      <c r="A277" s="907"/>
      <c r="B277" s="907"/>
      <c r="C277" s="907"/>
      <c r="D277" s="907"/>
      <c r="E277" s="907"/>
      <c r="F277" s="907"/>
      <c r="G277" s="907"/>
      <c r="H277" s="907"/>
      <c r="I277" s="907"/>
      <c r="J277" s="907"/>
      <c r="K277" s="907"/>
      <c r="L277" s="907"/>
      <c r="M277" s="907"/>
      <c r="N277" s="907"/>
      <c r="O277" s="907"/>
      <c r="P277" s="907"/>
      <c r="Q277" s="907"/>
      <c r="R277" s="907"/>
      <c r="S277" s="907"/>
      <c r="T277" s="907"/>
      <c r="U277" s="907"/>
      <c r="V277" s="907"/>
      <c r="W277" s="907"/>
      <c r="X277" s="907"/>
      <c r="Y277" s="907"/>
      <c r="Z277" s="907"/>
      <c r="AA277" s="907"/>
    </row>
    <row r="278" spans="1:27">
      <c r="A278" s="907"/>
      <c r="B278" s="907"/>
      <c r="C278" s="907"/>
      <c r="D278" s="907"/>
      <c r="E278" s="907"/>
      <c r="F278" s="907"/>
      <c r="G278" s="907"/>
      <c r="H278" s="907"/>
      <c r="I278" s="907"/>
      <c r="J278" s="907"/>
      <c r="K278" s="907"/>
      <c r="L278" s="907"/>
      <c r="M278" s="907"/>
      <c r="N278" s="907"/>
      <c r="O278" s="907"/>
      <c r="P278" s="907"/>
      <c r="Q278" s="907"/>
      <c r="R278" s="907"/>
      <c r="S278" s="907"/>
      <c r="T278" s="907"/>
      <c r="U278" s="907"/>
      <c r="V278" s="907"/>
      <c r="W278" s="907"/>
      <c r="X278" s="907"/>
      <c r="Y278" s="907"/>
      <c r="Z278" s="907"/>
      <c r="AA278" s="907"/>
    </row>
    <row r="279" spans="1:27">
      <c r="A279" s="907"/>
      <c r="B279" s="907"/>
      <c r="C279" s="907"/>
      <c r="D279" s="907"/>
      <c r="E279" s="907"/>
      <c r="F279" s="907"/>
      <c r="G279" s="907"/>
      <c r="H279" s="907"/>
      <c r="I279" s="907"/>
      <c r="J279" s="907"/>
      <c r="K279" s="907"/>
      <c r="L279" s="907"/>
      <c r="M279" s="907"/>
      <c r="N279" s="907"/>
      <c r="O279" s="907"/>
      <c r="P279" s="907"/>
      <c r="Q279" s="907"/>
      <c r="R279" s="907"/>
      <c r="S279" s="907"/>
      <c r="T279" s="907"/>
      <c r="U279" s="907"/>
      <c r="V279" s="907"/>
      <c r="W279" s="907"/>
      <c r="X279" s="907"/>
      <c r="Y279" s="907"/>
      <c r="Z279" s="907"/>
      <c r="AA279" s="907"/>
    </row>
    <row r="280" spans="1:27">
      <c r="A280" s="907"/>
      <c r="B280" s="907"/>
      <c r="C280" s="907"/>
      <c r="D280" s="907"/>
      <c r="E280" s="907"/>
      <c r="F280" s="907"/>
      <c r="G280" s="907"/>
      <c r="H280" s="907"/>
      <c r="I280" s="907"/>
      <c r="J280" s="907"/>
      <c r="K280" s="907"/>
      <c r="L280" s="907"/>
      <c r="M280" s="907"/>
      <c r="N280" s="907"/>
      <c r="O280" s="907"/>
      <c r="P280" s="907"/>
      <c r="Q280" s="907"/>
      <c r="R280" s="907"/>
      <c r="S280" s="907"/>
      <c r="T280" s="907"/>
      <c r="U280" s="907"/>
      <c r="V280" s="907"/>
      <c r="W280" s="907"/>
      <c r="X280" s="907"/>
      <c r="Y280" s="907"/>
      <c r="Z280" s="907"/>
      <c r="AA280" s="907"/>
    </row>
    <row r="281" spans="1:27">
      <c r="A281" s="907"/>
      <c r="B281" s="907"/>
      <c r="C281" s="907"/>
      <c r="D281" s="907"/>
      <c r="E281" s="907"/>
      <c r="F281" s="907"/>
      <c r="G281" s="907"/>
      <c r="H281" s="907"/>
      <c r="I281" s="907"/>
      <c r="J281" s="907"/>
      <c r="K281" s="907"/>
      <c r="L281" s="907"/>
      <c r="M281" s="907"/>
      <c r="N281" s="907"/>
      <c r="O281" s="907"/>
      <c r="P281" s="907"/>
      <c r="Q281" s="907"/>
      <c r="R281" s="907"/>
      <c r="S281" s="907"/>
      <c r="T281" s="907"/>
      <c r="U281" s="907"/>
      <c r="V281" s="907"/>
      <c r="W281" s="907"/>
      <c r="X281" s="907"/>
      <c r="Y281" s="907"/>
      <c r="Z281" s="907"/>
      <c r="AA281" s="907"/>
    </row>
    <row r="282" spans="1:27">
      <c r="A282" s="907"/>
      <c r="B282" s="907"/>
      <c r="C282" s="907"/>
      <c r="D282" s="907"/>
      <c r="E282" s="907"/>
      <c r="F282" s="907"/>
      <c r="G282" s="907"/>
      <c r="H282" s="907"/>
      <c r="I282" s="907"/>
      <c r="J282" s="907"/>
      <c r="K282" s="907"/>
      <c r="L282" s="907"/>
      <c r="M282" s="907"/>
      <c r="N282" s="907"/>
      <c r="O282" s="907"/>
      <c r="P282" s="907"/>
      <c r="Q282" s="907"/>
      <c r="R282" s="907"/>
      <c r="S282" s="907"/>
      <c r="T282" s="907"/>
      <c r="U282" s="907"/>
      <c r="V282" s="907"/>
      <c r="W282" s="907"/>
      <c r="X282" s="907"/>
      <c r="Y282" s="907"/>
      <c r="Z282" s="907"/>
      <c r="AA282" s="907"/>
    </row>
    <row r="283" spans="1:27">
      <c r="A283" s="907"/>
      <c r="B283" s="907"/>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row>
    <row r="284" spans="1:27">
      <c r="A284" s="907"/>
      <c r="B284" s="907"/>
      <c r="C284" s="907"/>
      <c r="D284" s="907"/>
      <c r="E284" s="907"/>
      <c r="F284" s="907"/>
      <c r="G284" s="907"/>
      <c r="H284" s="907"/>
      <c r="I284" s="907"/>
      <c r="J284" s="907"/>
      <c r="K284" s="907"/>
      <c r="L284" s="907"/>
      <c r="M284" s="907"/>
      <c r="N284" s="907"/>
      <c r="O284" s="907"/>
      <c r="P284" s="907"/>
      <c r="Q284" s="907"/>
      <c r="R284" s="907"/>
      <c r="S284" s="907"/>
      <c r="T284" s="907"/>
      <c r="U284" s="907"/>
      <c r="V284" s="907"/>
      <c r="W284" s="907"/>
      <c r="X284" s="907"/>
      <c r="Y284" s="907"/>
      <c r="Z284" s="907"/>
      <c r="AA284" s="907"/>
    </row>
    <row r="285" spans="1:27">
      <c r="A285" s="907"/>
      <c r="B285" s="907"/>
      <c r="C285" s="907"/>
      <c r="D285" s="907"/>
      <c r="E285" s="907"/>
      <c r="F285" s="907"/>
      <c r="G285" s="907"/>
      <c r="H285" s="907"/>
      <c r="I285" s="907"/>
      <c r="J285" s="907"/>
      <c r="K285" s="907"/>
      <c r="L285" s="907"/>
      <c r="M285" s="907"/>
      <c r="N285" s="907"/>
      <c r="O285" s="907"/>
      <c r="P285" s="907"/>
      <c r="Q285" s="907"/>
      <c r="R285" s="907"/>
      <c r="S285" s="907"/>
      <c r="T285" s="907"/>
      <c r="U285" s="907"/>
      <c r="V285" s="907"/>
      <c r="W285" s="907"/>
      <c r="X285" s="907"/>
      <c r="Y285" s="907"/>
      <c r="Z285" s="907"/>
      <c r="AA285" s="907"/>
    </row>
    <row r="286" spans="1:27">
      <c r="A286" s="907"/>
      <c r="B286" s="907"/>
      <c r="C286" s="907"/>
      <c r="D286" s="907"/>
      <c r="E286" s="907"/>
      <c r="F286" s="907"/>
      <c r="G286" s="907"/>
      <c r="H286" s="907"/>
      <c r="I286" s="907"/>
      <c r="J286" s="907"/>
      <c r="K286" s="907"/>
      <c r="L286" s="907"/>
      <c r="M286" s="907"/>
      <c r="N286" s="907"/>
      <c r="O286" s="907"/>
      <c r="P286" s="907"/>
      <c r="Q286" s="907"/>
      <c r="R286" s="907"/>
      <c r="S286" s="907"/>
      <c r="T286" s="907"/>
      <c r="U286" s="907"/>
      <c r="V286" s="907"/>
      <c r="W286" s="907"/>
      <c r="X286" s="907"/>
      <c r="Y286" s="907"/>
      <c r="Z286" s="907"/>
      <c r="AA286" s="907"/>
    </row>
    <row r="287" spans="1:27">
      <c r="A287" s="907"/>
      <c r="B287" s="907"/>
      <c r="C287" s="907"/>
      <c r="D287" s="907"/>
      <c r="E287" s="907"/>
      <c r="F287" s="907"/>
      <c r="G287" s="907"/>
      <c r="H287" s="907"/>
      <c r="I287" s="907"/>
      <c r="J287" s="907"/>
      <c r="K287" s="907"/>
      <c r="L287" s="907"/>
      <c r="M287" s="907"/>
      <c r="N287" s="907"/>
      <c r="O287" s="907"/>
      <c r="P287" s="907"/>
      <c r="Q287" s="907"/>
      <c r="R287" s="907"/>
      <c r="S287" s="907"/>
      <c r="T287" s="907"/>
      <c r="U287" s="907"/>
      <c r="V287" s="907"/>
      <c r="W287" s="907"/>
      <c r="X287" s="907"/>
      <c r="Y287" s="907"/>
      <c r="Z287" s="907"/>
      <c r="AA287" s="907"/>
    </row>
    <row r="288" spans="1:27">
      <c r="A288" s="907"/>
      <c r="B288" s="907"/>
      <c r="C288" s="907"/>
      <c r="D288" s="907"/>
      <c r="E288" s="907"/>
      <c r="F288" s="907"/>
      <c r="G288" s="907"/>
      <c r="H288" s="907"/>
      <c r="I288" s="907"/>
      <c r="J288" s="907"/>
      <c r="K288" s="907"/>
      <c r="L288" s="907"/>
      <c r="M288" s="907"/>
      <c r="N288" s="907"/>
      <c r="O288" s="907"/>
      <c r="P288" s="907"/>
      <c r="Q288" s="907"/>
      <c r="R288" s="907"/>
      <c r="S288" s="907"/>
      <c r="T288" s="907"/>
      <c r="U288" s="907"/>
      <c r="V288" s="907"/>
      <c r="W288" s="907"/>
      <c r="X288" s="907"/>
      <c r="Y288" s="907"/>
      <c r="Z288" s="907"/>
      <c r="AA288" s="907"/>
    </row>
    <row r="289" spans="1:27">
      <c r="A289" s="907"/>
      <c r="B289" s="907"/>
      <c r="C289" s="907"/>
      <c r="D289" s="907"/>
      <c r="E289" s="907"/>
      <c r="F289" s="907"/>
      <c r="G289" s="907"/>
      <c r="H289" s="907"/>
      <c r="I289" s="907"/>
      <c r="J289" s="907"/>
      <c r="K289" s="907"/>
      <c r="L289" s="907"/>
      <c r="M289" s="907"/>
      <c r="N289" s="907"/>
      <c r="O289" s="907"/>
      <c r="P289" s="907"/>
      <c r="Q289" s="907"/>
      <c r="R289" s="907"/>
      <c r="S289" s="907"/>
      <c r="T289" s="907"/>
      <c r="U289" s="907"/>
      <c r="V289" s="907"/>
      <c r="W289" s="907"/>
      <c r="X289" s="907"/>
      <c r="Y289" s="907"/>
      <c r="Z289" s="907"/>
      <c r="AA289" s="907"/>
    </row>
    <row r="290" spans="1:27">
      <c r="A290" s="907"/>
      <c r="B290" s="907"/>
      <c r="C290" s="907"/>
      <c r="D290" s="907"/>
      <c r="E290" s="907"/>
      <c r="F290" s="907"/>
      <c r="G290" s="907"/>
      <c r="H290" s="907"/>
      <c r="I290" s="907"/>
      <c r="J290" s="907"/>
      <c r="K290" s="907"/>
      <c r="L290" s="907"/>
      <c r="M290" s="907"/>
      <c r="N290" s="907"/>
      <c r="O290" s="907"/>
      <c r="P290" s="907"/>
      <c r="Q290" s="907"/>
      <c r="R290" s="907"/>
      <c r="S290" s="907"/>
      <c r="T290" s="907"/>
      <c r="U290" s="907"/>
      <c r="V290" s="907"/>
      <c r="W290" s="907"/>
      <c r="X290" s="907"/>
      <c r="Y290" s="907"/>
      <c r="Z290" s="907"/>
      <c r="AA290" s="907"/>
    </row>
    <row r="291" spans="1:27">
      <c r="A291" s="907"/>
      <c r="B291" s="907"/>
      <c r="C291" s="907"/>
      <c r="D291" s="907"/>
      <c r="E291" s="907"/>
      <c r="F291" s="907"/>
      <c r="G291" s="907"/>
      <c r="H291" s="907"/>
      <c r="I291" s="907"/>
      <c r="J291" s="907"/>
      <c r="K291" s="907"/>
      <c r="L291" s="907"/>
      <c r="M291" s="907"/>
      <c r="N291" s="907"/>
      <c r="O291" s="907"/>
      <c r="P291" s="907"/>
      <c r="Q291" s="907"/>
      <c r="R291" s="907"/>
      <c r="S291" s="907"/>
      <c r="T291" s="907"/>
      <c r="U291" s="907"/>
      <c r="V291" s="907"/>
      <c r="W291" s="907"/>
      <c r="X291" s="907"/>
      <c r="Y291" s="907"/>
      <c r="Z291" s="907"/>
      <c r="AA291" s="907"/>
    </row>
    <row r="292" spans="1:27">
      <c r="A292" s="907"/>
      <c r="B292" s="907"/>
      <c r="C292" s="907"/>
      <c r="D292" s="907"/>
      <c r="E292" s="907"/>
      <c r="F292" s="907"/>
      <c r="G292" s="907"/>
      <c r="H292" s="907"/>
      <c r="I292" s="907"/>
      <c r="J292" s="907"/>
      <c r="K292" s="907"/>
      <c r="L292" s="907"/>
      <c r="M292" s="907"/>
      <c r="N292" s="907"/>
      <c r="O292" s="907"/>
      <c r="P292" s="907"/>
      <c r="Q292" s="907"/>
      <c r="R292" s="907"/>
      <c r="S292" s="907"/>
      <c r="T292" s="907"/>
      <c r="U292" s="907"/>
      <c r="V292" s="907"/>
      <c r="W292" s="907"/>
      <c r="X292" s="907"/>
      <c r="Y292" s="907"/>
      <c r="Z292" s="907"/>
      <c r="AA292" s="907"/>
    </row>
    <row r="293" spans="1:27">
      <c r="A293" s="907"/>
      <c r="B293" s="907"/>
      <c r="C293" s="907"/>
      <c r="D293" s="907"/>
      <c r="E293" s="907"/>
      <c r="F293" s="907"/>
      <c r="G293" s="907"/>
      <c r="H293" s="907"/>
      <c r="I293" s="907"/>
      <c r="J293" s="907"/>
      <c r="K293" s="907"/>
      <c r="L293" s="907"/>
      <c r="M293" s="907"/>
      <c r="N293" s="907"/>
      <c r="O293" s="907"/>
      <c r="P293" s="907"/>
      <c r="Q293" s="907"/>
      <c r="R293" s="907"/>
      <c r="S293" s="907"/>
      <c r="T293" s="907"/>
      <c r="U293" s="907"/>
      <c r="V293" s="907"/>
      <c r="W293" s="907"/>
      <c r="X293" s="907"/>
      <c r="Y293" s="907"/>
      <c r="Z293" s="907"/>
      <c r="AA293" s="907"/>
    </row>
    <row r="294" spans="1:27">
      <c r="A294" s="907"/>
      <c r="B294" s="907"/>
      <c r="C294" s="907"/>
      <c r="D294" s="907"/>
      <c r="E294" s="907"/>
      <c r="F294" s="907"/>
      <c r="G294" s="907"/>
      <c r="H294" s="907"/>
      <c r="I294" s="907"/>
      <c r="J294" s="907"/>
      <c r="K294" s="907"/>
      <c r="L294" s="907"/>
      <c r="M294" s="907"/>
      <c r="N294" s="907"/>
      <c r="O294" s="907"/>
      <c r="P294" s="907"/>
      <c r="Q294" s="907"/>
      <c r="R294" s="907"/>
      <c r="S294" s="907"/>
      <c r="T294" s="907"/>
      <c r="U294" s="907"/>
      <c r="V294" s="907"/>
      <c r="W294" s="907"/>
      <c r="X294" s="907"/>
      <c r="Y294" s="907"/>
      <c r="Z294" s="907"/>
      <c r="AA294" s="907"/>
    </row>
    <row r="295" spans="1:27">
      <c r="A295" s="907"/>
      <c r="B295" s="907"/>
      <c r="C295" s="907"/>
      <c r="D295" s="907"/>
      <c r="E295" s="907"/>
      <c r="F295" s="907"/>
      <c r="G295" s="907"/>
      <c r="H295" s="907"/>
      <c r="I295" s="907"/>
      <c r="J295" s="907"/>
      <c r="K295" s="907"/>
      <c r="L295" s="907"/>
      <c r="M295" s="907"/>
      <c r="N295" s="907"/>
      <c r="O295" s="907"/>
      <c r="P295" s="907"/>
      <c r="Q295" s="907"/>
      <c r="R295" s="907"/>
      <c r="S295" s="907"/>
      <c r="T295" s="907"/>
      <c r="U295" s="907"/>
      <c r="V295" s="907"/>
      <c r="W295" s="907"/>
      <c r="X295" s="907"/>
      <c r="Y295" s="907"/>
      <c r="Z295" s="907"/>
      <c r="AA295" s="907"/>
    </row>
    <row r="296" spans="1:27">
      <c r="A296" s="907"/>
      <c r="B296" s="907"/>
      <c r="C296" s="907"/>
      <c r="D296" s="907"/>
      <c r="E296" s="907"/>
      <c r="F296" s="907"/>
      <c r="G296" s="907"/>
      <c r="H296" s="907"/>
      <c r="I296" s="907"/>
      <c r="J296" s="907"/>
      <c r="K296" s="907"/>
      <c r="L296" s="907"/>
      <c r="M296" s="907"/>
      <c r="N296" s="907"/>
      <c r="O296" s="907"/>
      <c r="P296" s="907"/>
      <c r="Q296" s="907"/>
      <c r="R296" s="907"/>
      <c r="S296" s="907"/>
      <c r="T296" s="907"/>
      <c r="U296" s="907"/>
      <c r="V296" s="907"/>
      <c r="W296" s="907"/>
      <c r="X296" s="907"/>
      <c r="Y296" s="907"/>
      <c r="Z296" s="907"/>
      <c r="AA296" s="907"/>
    </row>
    <row r="297" spans="1:27">
      <c r="A297" s="907"/>
      <c r="B297" s="907"/>
      <c r="C297" s="907"/>
      <c r="D297" s="907"/>
      <c r="E297" s="907"/>
      <c r="F297" s="907"/>
      <c r="G297" s="907"/>
      <c r="H297" s="907"/>
      <c r="I297" s="907"/>
      <c r="J297" s="907"/>
      <c r="K297" s="907"/>
      <c r="L297" s="907"/>
      <c r="M297" s="907"/>
      <c r="N297" s="907"/>
      <c r="O297" s="907"/>
      <c r="P297" s="907"/>
      <c r="Q297" s="907"/>
      <c r="R297" s="907"/>
      <c r="S297" s="907"/>
      <c r="T297" s="907"/>
      <c r="U297" s="907"/>
      <c r="V297" s="907"/>
      <c r="W297" s="907"/>
      <c r="X297" s="907"/>
      <c r="Y297" s="907"/>
      <c r="Z297" s="907"/>
      <c r="AA297" s="907"/>
    </row>
    <row r="298" spans="1:27">
      <c r="A298" s="907"/>
      <c r="B298" s="907"/>
      <c r="C298" s="907"/>
      <c r="D298" s="907"/>
      <c r="E298" s="907"/>
      <c r="F298" s="907"/>
      <c r="G298" s="907"/>
      <c r="H298" s="907"/>
      <c r="I298" s="907"/>
      <c r="J298" s="907"/>
      <c r="K298" s="907"/>
      <c r="L298" s="907"/>
      <c r="M298" s="907"/>
      <c r="N298" s="907"/>
      <c r="O298" s="907"/>
      <c r="P298" s="907"/>
      <c r="Q298" s="907"/>
      <c r="R298" s="907"/>
      <c r="S298" s="907"/>
      <c r="T298" s="907"/>
      <c r="U298" s="907"/>
      <c r="V298" s="907"/>
      <c r="W298" s="907"/>
      <c r="X298" s="907"/>
      <c r="Y298" s="907"/>
      <c r="Z298" s="907"/>
      <c r="AA298" s="907"/>
    </row>
    <row r="299" spans="1:27">
      <c r="A299" s="907"/>
      <c r="B299" s="907"/>
      <c r="C299" s="907"/>
      <c r="D299" s="907"/>
      <c r="E299" s="907"/>
      <c r="F299" s="907"/>
      <c r="G299" s="907"/>
      <c r="H299" s="907"/>
      <c r="I299" s="907"/>
      <c r="J299" s="907"/>
      <c r="K299" s="907"/>
      <c r="L299" s="907"/>
      <c r="M299" s="907"/>
      <c r="N299" s="907"/>
      <c r="O299" s="907"/>
      <c r="P299" s="907"/>
      <c r="Q299" s="907"/>
      <c r="R299" s="907"/>
      <c r="S299" s="907"/>
      <c r="T299" s="907"/>
      <c r="U299" s="907"/>
      <c r="V299" s="907"/>
      <c r="W299" s="907"/>
      <c r="X299" s="907"/>
      <c r="Y299" s="907"/>
      <c r="Z299" s="907"/>
      <c r="AA299" s="907"/>
    </row>
    <row r="300" spans="1:27">
      <c r="A300" s="907"/>
      <c r="B300" s="907"/>
      <c r="C300" s="907"/>
      <c r="D300" s="907"/>
      <c r="E300" s="907"/>
      <c r="F300" s="907"/>
      <c r="G300" s="907"/>
      <c r="H300" s="907"/>
      <c r="I300" s="907"/>
      <c r="J300" s="907"/>
      <c r="K300" s="907"/>
      <c r="L300" s="907"/>
      <c r="M300" s="907"/>
      <c r="N300" s="907"/>
      <c r="O300" s="907"/>
      <c r="P300" s="907"/>
      <c r="Q300" s="907"/>
      <c r="R300" s="907"/>
      <c r="S300" s="907"/>
      <c r="T300" s="907"/>
      <c r="U300" s="907"/>
      <c r="V300" s="907"/>
      <c r="W300" s="907"/>
      <c r="X300" s="907"/>
      <c r="Y300" s="907"/>
      <c r="Z300" s="907"/>
      <c r="AA300" s="907"/>
    </row>
    <row r="301" spans="1:27">
      <c r="A301" s="907"/>
      <c r="B301" s="907"/>
      <c r="C301" s="907"/>
      <c r="D301" s="907"/>
      <c r="E301" s="907"/>
      <c r="F301" s="907"/>
      <c r="G301" s="907"/>
      <c r="H301" s="907"/>
      <c r="I301" s="907"/>
      <c r="J301" s="907"/>
      <c r="K301" s="907"/>
      <c r="L301" s="907"/>
      <c r="M301" s="907"/>
      <c r="N301" s="907"/>
      <c r="O301" s="907"/>
      <c r="P301" s="907"/>
      <c r="Q301" s="907"/>
      <c r="R301" s="907"/>
      <c r="S301" s="907"/>
      <c r="T301" s="907"/>
      <c r="U301" s="907"/>
      <c r="V301" s="907"/>
      <c r="W301" s="907"/>
      <c r="X301" s="907"/>
      <c r="Y301" s="907"/>
      <c r="Z301" s="907"/>
      <c r="AA301" s="907"/>
    </row>
    <row r="302" spans="1:27">
      <c r="A302" s="907"/>
      <c r="B302" s="907"/>
      <c r="C302" s="907"/>
      <c r="D302" s="907"/>
      <c r="E302" s="907"/>
      <c r="F302" s="907"/>
      <c r="G302" s="907"/>
      <c r="H302" s="907"/>
      <c r="I302" s="907"/>
      <c r="J302" s="907"/>
      <c r="K302" s="907"/>
      <c r="L302" s="907"/>
      <c r="M302" s="907"/>
      <c r="N302" s="907"/>
      <c r="O302" s="907"/>
      <c r="P302" s="907"/>
      <c r="Q302" s="907"/>
      <c r="R302" s="907"/>
      <c r="S302" s="907"/>
      <c r="T302" s="907"/>
      <c r="U302" s="907"/>
      <c r="V302" s="907"/>
      <c r="W302" s="907"/>
      <c r="X302" s="907"/>
      <c r="Y302" s="907"/>
      <c r="Z302" s="907"/>
      <c r="AA302" s="907"/>
    </row>
    <row r="303" spans="1:27">
      <c r="A303" s="907"/>
      <c r="B303" s="907"/>
      <c r="C303" s="907"/>
      <c r="D303" s="907"/>
      <c r="E303" s="907"/>
      <c r="F303" s="907"/>
      <c r="G303" s="907"/>
      <c r="H303" s="907"/>
      <c r="I303" s="907"/>
      <c r="J303" s="907"/>
      <c r="K303" s="907"/>
      <c r="L303" s="907"/>
      <c r="M303" s="907"/>
      <c r="N303" s="907"/>
      <c r="O303" s="907"/>
      <c r="P303" s="907"/>
      <c r="Q303" s="907"/>
      <c r="R303" s="907"/>
      <c r="S303" s="907"/>
      <c r="T303" s="907"/>
      <c r="U303" s="907"/>
      <c r="V303" s="907"/>
      <c r="W303" s="907"/>
      <c r="X303" s="907"/>
      <c r="Y303" s="907"/>
      <c r="Z303" s="907"/>
      <c r="AA303" s="907"/>
    </row>
    <row r="304" spans="1:27">
      <c r="A304" s="907"/>
      <c r="B304" s="907"/>
      <c r="C304" s="907"/>
      <c r="D304" s="907"/>
      <c r="E304" s="907"/>
      <c r="F304" s="907"/>
      <c r="G304" s="907"/>
      <c r="H304" s="907"/>
      <c r="I304" s="907"/>
      <c r="J304" s="907"/>
      <c r="K304" s="907"/>
      <c r="L304" s="907"/>
      <c r="M304" s="907"/>
      <c r="N304" s="907"/>
      <c r="O304" s="907"/>
      <c r="P304" s="907"/>
      <c r="Q304" s="907"/>
      <c r="R304" s="907"/>
      <c r="S304" s="907"/>
      <c r="T304" s="907"/>
      <c r="U304" s="907"/>
      <c r="V304" s="907"/>
      <c r="W304" s="907"/>
      <c r="X304" s="907"/>
      <c r="Y304" s="907"/>
      <c r="Z304" s="907"/>
      <c r="AA304" s="907"/>
    </row>
    <row r="305" spans="1:27">
      <c r="A305" s="907"/>
      <c r="B305" s="907"/>
      <c r="C305" s="907"/>
      <c r="D305" s="907"/>
      <c r="E305" s="907"/>
      <c r="F305" s="907"/>
      <c r="G305" s="907"/>
      <c r="H305" s="907"/>
      <c r="I305" s="907"/>
      <c r="J305" s="907"/>
      <c r="K305" s="907"/>
      <c r="L305" s="907"/>
      <c r="M305" s="907"/>
      <c r="N305" s="907"/>
      <c r="O305" s="907"/>
      <c r="P305" s="907"/>
      <c r="Q305" s="907"/>
      <c r="R305" s="907"/>
      <c r="S305" s="907"/>
      <c r="T305" s="907"/>
      <c r="U305" s="907"/>
      <c r="V305" s="907"/>
      <c r="W305" s="907"/>
      <c r="X305" s="907"/>
      <c r="Y305" s="907"/>
      <c r="Z305" s="907"/>
      <c r="AA305" s="907"/>
    </row>
    <row r="306" spans="1:27">
      <c r="A306" s="907"/>
      <c r="B306" s="907"/>
      <c r="C306" s="907"/>
      <c r="D306" s="907"/>
      <c r="E306" s="907"/>
      <c r="F306" s="907"/>
      <c r="G306" s="907"/>
      <c r="H306" s="907"/>
      <c r="I306" s="907"/>
      <c r="J306" s="907"/>
      <c r="K306" s="907"/>
      <c r="L306" s="907"/>
      <c r="M306" s="907"/>
      <c r="N306" s="907"/>
      <c r="O306" s="907"/>
      <c r="P306" s="907"/>
      <c r="Q306" s="907"/>
      <c r="R306" s="907"/>
      <c r="S306" s="907"/>
      <c r="T306" s="907"/>
      <c r="U306" s="907"/>
      <c r="V306" s="907"/>
      <c r="W306" s="907"/>
      <c r="X306" s="907"/>
      <c r="Y306" s="907"/>
      <c r="Z306" s="907"/>
      <c r="AA306" s="907"/>
    </row>
    <row r="307" spans="1:27">
      <c r="A307" s="907"/>
      <c r="B307" s="907"/>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row>
    <row r="308" spans="1:27">
      <c r="A308" s="907"/>
      <c r="B308" s="907"/>
      <c r="C308" s="907"/>
      <c r="D308" s="907"/>
      <c r="E308" s="907"/>
      <c r="F308" s="907"/>
      <c r="G308" s="907"/>
      <c r="H308" s="907"/>
      <c r="I308" s="907"/>
      <c r="J308" s="907"/>
      <c r="K308" s="907"/>
      <c r="L308" s="907"/>
      <c r="M308" s="907"/>
      <c r="N308" s="907"/>
      <c r="O308" s="907"/>
      <c r="P308" s="907"/>
      <c r="Q308" s="907"/>
      <c r="R308" s="907"/>
      <c r="S308" s="907"/>
      <c r="T308" s="907"/>
      <c r="U308" s="907"/>
      <c r="V308" s="907"/>
      <c r="W308" s="907"/>
      <c r="X308" s="907"/>
      <c r="Y308" s="907"/>
      <c r="Z308" s="907"/>
      <c r="AA308" s="907"/>
    </row>
    <row r="309" spans="1:27">
      <c r="A309" s="907"/>
      <c r="B309" s="907"/>
      <c r="C309" s="907"/>
      <c r="D309" s="907"/>
      <c r="E309" s="907"/>
      <c r="F309" s="907"/>
      <c r="G309" s="907"/>
      <c r="H309" s="907"/>
      <c r="I309" s="907"/>
      <c r="J309" s="907"/>
      <c r="K309" s="907"/>
      <c r="L309" s="907"/>
      <c r="M309" s="907"/>
      <c r="N309" s="907"/>
      <c r="O309" s="907"/>
      <c r="P309" s="907"/>
      <c r="Q309" s="907"/>
      <c r="R309" s="907"/>
      <c r="S309" s="907"/>
      <c r="T309" s="907"/>
      <c r="U309" s="907"/>
      <c r="V309" s="907"/>
      <c r="W309" s="907"/>
      <c r="X309" s="907"/>
      <c r="Y309" s="907"/>
      <c r="Z309" s="907"/>
      <c r="AA309" s="907"/>
    </row>
    <row r="310" spans="1:27">
      <c r="A310" s="907"/>
      <c r="B310" s="907"/>
      <c r="C310" s="907"/>
      <c r="D310" s="907"/>
      <c r="E310" s="907"/>
      <c r="F310" s="907"/>
      <c r="G310" s="907"/>
      <c r="H310" s="907"/>
      <c r="I310" s="907"/>
      <c r="J310" s="907"/>
      <c r="K310" s="907"/>
      <c r="L310" s="907"/>
      <c r="M310" s="907"/>
      <c r="N310" s="907"/>
      <c r="O310" s="907"/>
      <c r="P310" s="907"/>
      <c r="Q310" s="907"/>
      <c r="R310" s="907"/>
      <c r="S310" s="907"/>
      <c r="T310" s="907"/>
      <c r="U310" s="907"/>
      <c r="V310" s="907"/>
      <c r="W310" s="907"/>
      <c r="X310" s="907"/>
      <c r="Y310" s="907"/>
      <c r="Z310" s="907"/>
      <c r="AA310" s="907"/>
    </row>
    <row r="311" spans="1:27">
      <c r="A311" s="907"/>
      <c r="B311" s="907"/>
      <c r="C311" s="907"/>
      <c r="D311" s="907"/>
      <c r="E311" s="907"/>
      <c r="F311" s="907"/>
      <c r="G311" s="907"/>
      <c r="H311" s="907"/>
      <c r="I311" s="907"/>
      <c r="J311" s="907"/>
      <c r="K311" s="907"/>
      <c r="L311" s="907"/>
      <c r="M311" s="907"/>
      <c r="N311" s="907"/>
      <c r="O311" s="907"/>
      <c r="P311" s="907"/>
      <c r="Q311" s="907"/>
      <c r="R311" s="907"/>
      <c r="S311" s="907"/>
      <c r="T311" s="907"/>
      <c r="U311" s="907"/>
      <c r="V311" s="907"/>
      <c r="W311" s="907"/>
      <c r="X311" s="907"/>
      <c r="Y311" s="907"/>
      <c r="Z311" s="907"/>
      <c r="AA311" s="907"/>
    </row>
    <row r="312" spans="1:27">
      <c r="A312" s="907"/>
      <c r="B312" s="907"/>
      <c r="C312" s="907"/>
      <c r="D312" s="907"/>
      <c r="E312" s="907"/>
      <c r="F312" s="907"/>
      <c r="G312" s="907"/>
      <c r="H312" s="907"/>
      <c r="I312" s="907"/>
      <c r="J312" s="907"/>
      <c r="K312" s="907"/>
      <c r="L312" s="907"/>
      <c r="M312" s="907"/>
      <c r="N312" s="907"/>
      <c r="O312" s="907"/>
      <c r="P312" s="907"/>
      <c r="Q312" s="907"/>
      <c r="R312" s="907"/>
      <c r="S312" s="907"/>
      <c r="T312" s="907"/>
      <c r="U312" s="907"/>
      <c r="V312" s="907"/>
      <c r="W312" s="907"/>
      <c r="X312" s="907"/>
      <c r="Y312" s="907"/>
      <c r="Z312" s="907"/>
      <c r="AA312" s="907"/>
    </row>
    <row r="313" spans="1:27">
      <c r="A313" s="907"/>
      <c r="B313" s="907"/>
      <c r="C313" s="907"/>
      <c r="D313" s="907"/>
      <c r="E313" s="907"/>
      <c r="F313" s="907"/>
      <c r="G313" s="907"/>
      <c r="H313" s="907"/>
      <c r="I313" s="907"/>
      <c r="J313" s="907"/>
      <c r="K313" s="907"/>
      <c r="L313" s="907"/>
      <c r="M313" s="907"/>
      <c r="N313" s="907"/>
      <c r="O313" s="907"/>
      <c r="P313" s="907"/>
      <c r="Q313" s="907"/>
      <c r="R313" s="907"/>
      <c r="S313" s="907"/>
      <c r="T313" s="907"/>
      <c r="U313" s="907"/>
      <c r="V313" s="907"/>
      <c r="W313" s="907"/>
      <c r="X313" s="907"/>
      <c r="Y313" s="907"/>
      <c r="Z313" s="907"/>
      <c r="AA313" s="907"/>
    </row>
    <row r="314" spans="1:27">
      <c r="A314" s="907"/>
      <c r="B314" s="907"/>
      <c r="C314" s="907"/>
      <c r="D314" s="907"/>
      <c r="E314" s="907"/>
      <c r="F314" s="907"/>
      <c r="G314" s="907"/>
      <c r="H314" s="907"/>
      <c r="I314" s="907"/>
      <c r="J314" s="907"/>
      <c r="K314" s="907"/>
      <c r="L314" s="907"/>
      <c r="M314" s="907"/>
      <c r="N314" s="907"/>
      <c r="O314" s="907"/>
      <c r="P314" s="907"/>
      <c r="Q314" s="907"/>
      <c r="R314" s="907"/>
      <c r="S314" s="907"/>
      <c r="T314" s="907"/>
      <c r="U314" s="907"/>
      <c r="V314" s="907"/>
      <c r="W314" s="907"/>
      <c r="X314" s="907"/>
      <c r="Y314" s="907"/>
      <c r="Z314" s="907"/>
      <c r="AA314" s="907"/>
    </row>
    <row r="315" spans="1:27">
      <c r="A315" s="907"/>
      <c r="B315" s="907"/>
      <c r="C315" s="907"/>
      <c r="D315" s="907"/>
      <c r="E315" s="907"/>
      <c r="F315" s="907"/>
      <c r="G315" s="907"/>
      <c r="H315" s="907"/>
      <c r="I315" s="907"/>
      <c r="J315" s="907"/>
      <c r="K315" s="907"/>
      <c r="L315" s="907"/>
      <c r="M315" s="907"/>
      <c r="N315" s="907"/>
      <c r="O315" s="907"/>
      <c r="P315" s="907"/>
      <c r="Q315" s="907"/>
      <c r="R315" s="907"/>
      <c r="S315" s="907"/>
      <c r="T315" s="907"/>
      <c r="U315" s="907"/>
      <c r="V315" s="907"/>
      <c r="W315" s="907"/>
      <c r="X315" s="907"/>
      <c r="Y315" s="907"/>
      <c r="Z315" s="907"/>
      <c r="AA315" s="907"/>
    </row>
    <row r="316" spans="1:27">
      <c r="A316" s="907"/>
      <c r="B316" s="907"/>
      <c r="C316" s="907"/>
      <c r="D316" s="907"/>
      <c r="E316" s="907"/>
      <c r="F316" s="907"/>
      <c r="G316" s="907"/>
      <c r="H316" s="907"/>
      <c r="I316" s="907"/>
      <c r="J316" s="907"/>
      <c r="K316" s="907"/>
      <c r="L316" s="907"/>
      <c r="M316" s="907"/>
      <c r="N316" s="907"/>
      <c r="O316" s="907"/>
      <c r="P316" s="907"/>
      <c r="Q316" s="907"/>
      <c r="R316" s="907"/>
      <c r="S316" s="907"/>
      <c r="T316" s="907"/>
      <c r="U316" s="907"/>
      <c r="V316" s="907"/>
      <c r="W316" s="907"/>
      <c r="X316" s="907"/>
      <c r="Y316" s="907"/>
      <c r="Z316" s="907"/>
      <c r="AA316" s="907"/>
    </row>
    <row r="317" spans="1:27">
      <c r="A317" s="907"/>
      <c r="B317" s="907"/>
      <c r="C317" s="907"/>
      <c r="D317" s="907"/>
      <c r="E317" s="907"/>
      <c r="F317" s="907"/>
      <c r="G317" s="907"/>
      <c r="H317" s="907"/>
      <c r="I317" s="907"/>
      <c r="J317" s="907"/>
      <c r="K317" s="907"/>
      <c r="L317" s="907"/>
      <c r="M317" s="907"/>
      <c r="N317" s="907"/>
      <c r="O317" s="907"/>
      <c r="P317" s="907"/>
      <c r="Q317" s="907"/>
      <c r="R317" s="907"/>
      <c r="S317" s="907"/>
      <c r="T317" s="907"/>
      <c r="U317" s="907"/>
      <c r="V317" s="907"/>
      <c r="W317" s="907"/>
      <c r="X317" s="907"/>
      <c r="Y317" s="907"/>
      <c r="Z317" s="907"/>
      <c r="AA317" s="907"/>
    </row>
    <row r="318" spans="1:27">
      <c r="A318" s="907"/>
      <c r="B318" s="907"/>
      <c r="C318" s="907"/>
      <c r="D318" s="907"/>
      <c r="E318" s="907"/>
      <c r="F318" s="907"/>
      <c r="G318" s="907"/>
      <c r="H318" s="907"/>
      <c r="I318" s="907"/>
      <c r="J318" s="907"/>
      <c r="K318" s="907"/>
      <c r="L318" s="907"/>
      <c r="M318" s="907"/>
      <c r="N318" s="907"/>
      <c r="O318" s="907"/>
      <c r="P318" s="907"/>
      <c r="Q318" s="907"/>
      <c r="R318" s="907"/>
      <c r="S318" s="907"/>
      <c r="T318" s="907"/>
      <c r="U318" s="907"/>
      <c r="V318" s="907"/>
      <c r="W318" s="907"/>
      <c r="X318" s="907"/>
      <c r="Y318" s="907"/>
      <c r="Z318" s="907"/>
      <c r="AA318" s="907"/>
    </row>
    <row r="319" spans="1:27">
      <c r="A319" s="907"/>
      <c r="B319" s="907"/>
      <c r="C319" s="907"/>
      <c r="D319" s="907"/>
      <c r="E319" s="907"/>
      <c r="F319" s="907"/>
      <c r="G319" s="907"/>
      <c r="H319" s="907"/>
      <c r="I319" s="907"/>
      <c r="J319" s="907"/>
      <c r="K319" s="907"/>
      <c r="L319" s="907"/>
      <c r="M319" s="907"/>
      <c r="N319" s="907"/>
      <c r="O319" s="907"/>
      <c r="P319" s="907"/>
      <c r="Q319" s="907"/>
      <c r="R319" s="907"/>
      <c r="S319" s="907"/>
      <c r="T319" s="907"/>
      <c r="U319" s="907"/>
      <c r="V319" s="907"/>
      <c r="W319" s="907"/>
      <c r="X319" s="907"/>
      <c r="Y319" s="907"/>
      <c r="Z319" s="907"/>
      <c r="AA319" s="907"/>
    </row>
    <row r="320" spans="1:27">
      <c r="A320" s="907"/>
      <c r="B320" s="907"/>
      <c r="C320" s="907"/>
      <c r="D320" s="907"/>
      <c r="E320" s="907"/>
      <c r="F320" s="907"/>
      <c r="G320" s="907"/>
      <c r="H320" s="907"/>
      <c r="I320" s="907"/>
      <c r="J320" s="907"/>
      <c r="K320" s="907"/>
      <c r="L320" s="907"/>
      <c r="M320" s="907"/>
      <c r="N320" s="907"/>
      <c r="O320" s="907"/>
      <c r="P320" s="907"/>
      <c r="Q320" s="907"/>
      <c r="R320" s="907"/>
      <c r="S320" s="907"/>
      <c r="T320" s="907"/>
      <c r="U320" s="907"/>
      <c r="V320" s="907"/>
      <c r="W320" s="907"/>
      <c r="X320" s="907"/>
      <c r="Y320" s="907"/>
      <c r="Z320" s="907"/>
      <c r="AA320" s="907"/>
    </row>
    <row r="321" spans="1:27">
      <c r="A321" s="907"/>
      <c r="B321" s="907"/>
      <c r="C321" s="907"/>
      <c r="D321" s="907"/>
      <c r="E321" s="907"/>
      <c r="F321" s="907"/>
      <c r="G321" s="907"/>
      <c r="H321" s="907"/>
      <c r="I321" s="907"/>
      <c r="J321" s="907"/>
      <c r="K321" s="907"/>
      <c r="L321" s="907"/>
      <c r="M321" s="907"/>
      <c r="N321" s="907"/>
      <c r="O321" s="907"/>
      <c r="P321" s="907"/>
      <c r="Q321" s="907"/>
      <c r="R321" s="907"/>
      <c r="S321" s="907"/>
      <c r="T321" s="907"/>
      <c r="U321" s="907"/>
      <c r="V321" s="907"/>
      <c r="W321" s="907"/>
      <c r="X321" s="907"/>
      <c r="Y321" s="907"/>
      <c r="Z321" s="907"/>
      <c r="AA321" s="907"/>
    </row>
    <row r="322" spans="1:27">
      <c r="A322" s="907"/>
      <c r="B322" s="907"/>
      <c r="C322" s="907"/>
      <c r="D322" s="907"/>
      <c r="E322" s="907"/>
      <c r="F322" s="907"/>
      <c r="G322" s="907"/>
      <c r="H322" s="907"/>
      <c r="I322" s="907"/>
      <c r="J322" s="907"/>
      <c r="K322" s="907"/>
      <c r="L322" s="907"/>
      <c r="M322" s="907"/>
      <c r="N322" s="907"/>
      <c r="O322" s="907"/>
      <c r="P322" s="907"/>
      <c r="Q322" s="907"/>
      <c r="R322" s="907"/>
      <c r="S322" s="907"/>
      <c r="T322" s="907"/>
      <c r="U322" s="907"/>
      <c r="V322" s="907"/>
      <c r="W322" s="907"/>
      <c r="X322" s="907"/>
      <c r="Y322" s="907"/>
      <c r="Z322" s="907"/>
      <c r="AA322" s="907"/>
    </row>
    <row r="323" spans="1:27">
      <c r="A323" s="907"/>
      <c r="B323" s="907"/>
      <c r="C323" s="907"/>
      <c r="D323" s="907"/>
      <c r="E323" s="907"/>
      <c r="F323" s="907"/>
      <c r="G323" s="907"/>
      <c r="H323" s="907"/>
      <c r="I323" s="907"/>
      <c r="J323" s="907"/>
      <c r="K323" s="907"/>
      <c r="L323" s="907"/>
      <c r="M323" s="907"/>
      <c r="N323" s="907"/>
      <c r="O323" s="907"/>
      <c r="P323" s="907"/>
      <c r="Q323" s="907"/>
      <c r="R323" s="907"/>
      <c r="S323" s="907"/>
      <c r="T323" s="907"/>
      <c r="U323" s="907"/>
      <c r="V323" s="907"/>
      <c r="W323" s="907"/>
      <c r="X323" s="907"/>
      <c r="Y323" s="907"/>
      <c r="Z323" s="907"/>
      <c r="AA323" s="907"/>
    </row>
    <row r="324" spans="1:27">
      <c r="A324" s="907"/>
      <c r="B324" s="907"/>
      <c r="C324" s="907"/>
      <c r="D324" s="907"/>
      <c r="E324" s="907"/>
      <c r="F324" s="907"/>
      <c r="G324" s="907"/>
      <c r="H324" s="907"/>
      <c r="I324" s="907"/>
      <c r="J324" s="907"/>
      <c r="K324" s="907"/>
      <c r="L324" s="907"/>
      <c r="M324" s="907"/>
      <c r="N324" s="907"/>
      <c r="O324" s="907"/>
      <c r="P324" s="907"/>
      <c r="Q324" s="907"/>
      <c r="R324" s="907"/>
      <c r="S324" s="907"/>
      <c r="T324" s="907"/>
      <c r="U324" s="907"/>
      <c r="V324" s="907"/>
      <c r="W324" s="907"/>
      <c r="X324" s="907"/>
      <c r="Y324" s="907"/>
      <c r="Z324" s="907"/>
      <c r="AA324" s="907"/>
    </row>
    <row r="325" spans="1:27">
      <c r="A325" s="907"/>
      <c r="B325" s="907"/>
      <c r="C325" s="907"/>
      <c r="D325" s="907"/>
      <c r="E325" s="907"/>
      <c r="F325" s="907"/>
      <c r="G325" s="907"/>
      <c r="H325" s="907"/>
      <c r="I325" s="907"/>
      <c r="J325" s="907"/>
      <c r="K325" s="907"/>
      <c r="L325" s="907"/>
      <c r="M325" s="907"/>
      <c r="N325" s="907"/>
      <c r="O325" s="907"/>
      <c r="P325" s="907"/>
      <c r="Q325" s="907"/>
      <c r="R325" s="907"/>
      <c r="S325" s="907"/>
      <c r="T325" s="907"/>
      <c r="U325" s="907"/>
      <c r="V325" s="907"/>
      <c r="W325" s="907"/>
      <c r="X325" s="907"/>
      <c r="Y325" s="907"/>
      <c r="Z325" s="907"/>
      <c r="AA325" s="907"/>
    </row>
    <row r="326" spans="1:27">
      <c r="A326" s="907"/>
      <c r="B326" s="907"/>
      <c r="C326" s="907"/>
      <c r="D326" s="907"/>
      <c r="E326" s="907"/>
      <c r="F326" s="907"/>
      <c r="G326" s="907"/>
      <c r="H326" s="907"/>
      <c r="I326" s="907"/>
      <c r="J326" s="907"/>
      <c r="K326" s="907"/>
      <c r="L326" s="907"/>
      <c r="M326" s="907"/>
      <c r="N326" s="907"/>
      <c r="O326" s="907"/>
      <c r="P326" s="907"/>
      <c r="Q326" s="907"/>
      <c r="R326" s="907"/>
      <c r="S326" s="907"/>
      <c r="T326" s="907"/>
      <c r="U326" s="907"/>
      <c r="V326" s="907"/>
      <c r="W326" s="907"/>
      <c r="X326" s="907"/>
      <c r="Y326" s="907"/>
      <c r="Z326" s="907"/>
      <c r="AA326" s="907"/>
    </row>
    <row r="327" spans="1:27">
      <c r="A327" s="907"/>
      <c r="B327" s="907"/>
      <c r="C327" s="907"/>
      <c r="D327" s="907"/>
      <c r="E327" s="907"/>
      <c r="F327" s="907"/>
      <c r="G327" s="907"/>
      <c r="H327" s="907"/>
      <c r="I327" s="907"/>
      <c r="J327" s="907"/>
      <c r="K327" s="907"/>
      <c r="L327" s="907"/>
      <c r="M327" s="907"/>
      <c r="N327" s="907"/>
      <c r="O327" s="907"/>
      <c r="P327" s="907"/>
      <c r="Q327" s="907"/>
      <c r="R327" s="907"/>
      <c r="S327" s="907"/>
      <c r="T327" s="907"/>
      <c r="U327" s="907"/>
      <c r="V327" s="907"/>
      <c r="W327" s="907"/>
      <c r="X327" s="907"/>
      <c r="Y327" s="907"/>
      <c r="Z327" s="907"/>
      <c r="AA327" s="907"/>
    </row>
    <row r="328" spans="1:27">
      <c r="A328" s="907"/>
      <c r="B328" s="907"/>
      <c r="C328" s="907"/>
      <c r="D328" s="907"/>
      <c r="E328" s="907"/>
      <c r="F328" s="907"/>
      <c r="G328" s="907"/>
      <c r="H328" s="907"/>
      <c r="I328" s="907"/>
      <c r="J328" s="907"/>
      <c r="K328" s="907"/>
      <c r="L328" s="907"/>
      <c r="M328" s="907"/>
      <c r="N328" s="907"/>
      <c r="O328" s="907"/>
      <c r="P328" s="907"/>
      <c r="Q328" s="907"/>
      <c r="R328" s="907"/>
      <c r="S328" s="907"/>
      <c r="T328" s="907"/>
      <c r="U328" s="907"/>
      <c r="V328" s="907"/>
      <c r="W328" s="907"/>
      <c r="X328" s="907"/>
      <c r="Y328" s="907"/>
      <c r="Z328" s="907"/>
      <c r="AA328" s="907"/>
    </row>
    <row r="329" spans="1:27">
      <c r="A329" s="907"/>
      <c r="B329" s="907"/>
      <c r="C329" s="907"/>
      <c r="D329" s="907"/>
      <c r="E329" s="907"/>
      <c r="F329" s="907"/>
      <c r="G329" s="907"/>
      <c r="H329" s="907"/>
      <c r="I329" s="907"/>
      <c r="J329" s="907"/>
      <c r="K329" s="907"/>
      <c r="L329" s="907"/>
      <c r="M329" s="907"/>
      <c r="N329" s="907"/>
      <c r="O329" s="907"/>
      <c r="P329" s="907"/>
      <c r="Q329" s="907"/>
      <c r="R329" s="907"/>
      <c r="S329" s="907"/>
      <c r="T329" s="907"/>
      <c r="U329" s="907"/>
      <c r="V329" s="907"/>
      <c r="W329" s="907"/>
      <c r="X329" s="907"/>
      <c r="Y329" s="907"/>
      <c r="Z329" s="907"/>
      <c r="AA329" s="907"/>
    </row>
    <row r="330" spans="1:27">
      <c r="A330" s="907"/>
      <c r="B330" s="907"/>
      <c r="C330" s="907"/>
      <c r="D330" s="907"/>
      <c r="E330" s="907"/>
      <c r="F330" s="907"/>
      <c r="G330" s="907"/>
      <c r="H330" s="907"/>
      <c r="I330" s="907"/>
      <c r="J330" s="907"/>
      <c r="K330" s="907"/>
      <c r="L330" s="907"/>
      <c r="M330" s="907"/>
      <c r="N330" s="907"/>
      <c r="O330" s="907"/>
      <c r="P330" s="907"/>
      <c r="Q330" s="907"/>
      <c r="R330" s="907"/>
      <c r="S330" s="907"/>
      <c r="T330" s="907"/>
      <c r="U330" s="907"/>
      <c r="V330" s="907"/>
      <c r="W330" s="907"/>
      <c r="X330" s="907"/>
      <c r="Y330" s="907"/>
      <c r="Z330" s="907"/>
      <c r="AA330" s="907"/>
    </row>
    <row r="331" spans="1:27">
      <c r="A331" s="907"/>
      <c r="B331" s="907"/>
      <c r="C331" s="907"/>
      <c r="D331" s="907"/>
      <c r="E331" s="907"/>
      <c r="F331" s="907"/>
      <c r="G331" s="907"/>
      <c r="H331" s="907"/>
      <c r="I331" s="907"/>
      <c r="J331" s="907"/>
      <c r="K331" s="907"/>
      <c r="L331" s="907"/>
      <c r="M331" s="907"/>
      <c r="N331" s="907"/>
      <c r="O331" s="907"/>
      <c r="P331" s="907"/>
      <c r="Q331" s="907"/>
      <c r="R331" s="907"/>
      <c r="S331" s="907"/>
      <c r="T331" s="907"/>
      <c r="U331" s="907"/>
      <c r="V331" s="907"/>
      <c r="W331" s="907"/>
      <c r="X331" s="907"/>
      <c r="Y331" s="907"/>
      <c r="Z331" s="907"/>
      <c r="AA331" s="907"/>
    </row>
    <row r="332" spans="1:27">
      <c r="A332" s="907"/>
      <c r="B332" s="907"/>
      <c r="C332" s="907"/>
      <c r="D332" s="907"/>
      <c r="E332" s="907"/>
      <c r="F332" s="907"/>
      <c r="G332" s="907"/>
      <c r="H332" s="907"/>
      <c r="I332" s="907"/>
      <c r="J332" s="907"/>
      <c r="K332" s="907"/>
      <c r="L332" s="907"/>
      <c r="M332" s="907"/>
      <c r="N332" s="907"/>
      <c r="O332" s="907"/>
      <c r="P332" s="907"/>
      <c r="Q332" s="907"/>
      <c r="R332" s="907"/>
      <c r="S332" s="907"/>
      <c r="T332" s="907"/>
      <c r="U332" s="907"/>
      <c r="V332" s="907"/>
      <c r="W332" s="907"/>
      <c r="X332" s="907"/>
      <c r="Y332" s="907"/>
      <c r="Z332" s="907"/>
      <c r="AA332" s="907"/>
    </row>
    <row r="333" spans="1:27">
      <c r="A333" s="907"/>
      <c r="B333" s="907"/>
      <c r="C333" s="907"/>
      <c r="D333" s="907"/>
      <c r="E333" s="907"/>
      <c r="F333" s="907"/>
      <c r="G333" s="907"/>
      <c r="H333" s="907"/>
      <c r="I333" s="907"/>
      <c r="J333" s="907"/>
      <c r="K333" s="907"/>
      <c r="L333" s="907"/>
      <c r="M333" s="907"/>
      <c r="N333" s="907"/>
      <c r="O333" s="907"/>
      <c r="P333" s="907"/>
      <c r="Q333" s="907"/>
      <c r="R333" s="907"/>
      <c r="S333" s="907"/>
      <c r="T333" s="907"/>
      <c r="U333" s="907"/>
      <c r="V333" s="907"/>
      <c r="W333" s="907"/>
      <c r="X333" s="907"/>
      <c r="Y333" s="907"/>
      <c r="Z333" s="907"/>
      <c r="AA333" s="907"/>
    </row>
    <row r="334" spans="1:27">
      <c r="A334" s="907"/>
      <c r="B334" s="907"/>
      <c r="C334" s="907"/>
      <c r="D334" s="907"/>
      <c r="E334" s="907"/>
      <c r="F334" s="907"/>
      <c r="G334" s="907"/>
      <c r="H334" s="907"/>
      <c r="I334" s="907"/>
      <c r="J334" s="907"/>
      <c r="K334" s="907"/>
      <c r="L334" s="907"/>
      <c r="M334" s="907"/>
      <c r="N334" s="907"/>
      <c r="O334" s="907"/>
      <c r="P334" s="907"/>
      <c r="Q334" s="907"/>
      <c r="R334" s="907"/>
      <c r="S334" s="907"/>
      <c r="T334" s="907"/>
      <c r="U334" s="907"/>
      <c r="V334" s="907"/>
      <c r="W334" s="907"/>
      <c r="X334" s="907"/>
      <c r="Y334" s="907"/>
      <c r="Z334" s="907"/>
      <c r="AA334" s="907"/>
    </row>
    <row r="335" spans="1:27">
      <c r="A335" s="907"/>
      <c r="B335" s="907"/>
      <c r="C335" s="907"/>
      <c r="D335" s="907"/>
      <c r="E335" s="907"/>
      <c r="F335" s="907"/>
      <c r="G335" s="907"/>
      <c r="H335" s="907"/>
      <c r="I335" s="907"/>
      <c r="J335" s="907"/>
      <c r="K335" s="907"/>
      <c r="L335" s="907"/>
      <c r="M335" s="907"/>
      <c r="N335" s="907"/>
      <c r="O335" s="907"/>
      <c r="P335" s="907"/>
      <c r="Q335" s="907"/>
      <c r="R335" s="907"/>
      <c r="S335" s="907"/>
      <c r="T335" s="907"/>
      <c r="U335" s="907"/>
      <c r="V335" s="907"/>
      <c r="W335" s="907"/>
      <c r="X335" s="907"/>
      <c r="Y335" s="907"/>
      <c r="Z335" s="907"/>
      <c r="AA335" s="907"/>
    </row>
    <row r="336" spans="1:27">
      <c r="A336" s="907"/>
      <c r="B336" s="907"/>
      <c r="C336" s="907"/>
      <c r="D336" s="907"/>
      <c r="E336" s="907"/>
      <c r="F336" s="907"/>
      <c r="G336" s="907"/>
      <c r="H336" s="907"/>
      <c r="I336" s="907"/>
      <c r="J336" s="907"/>
      <c r="K336" s="907"/>
      <c r="L336" s="907"/>
      <c r="M336" s="907"/>
      <c r="N336" s="907"/>
      <c r="O336" s="907"/>
      <c r="P336" s="907"/>
      <c r="Q336" s="907"/>
      <c r="R336" s="907"/>
      <c r="S336" s="907"/>
      <c r="T336" s="907"/>
      <c r="U336" s="907"/>
      <c r="V336" s="907"/>
      <c r="W336" s="907"/>
      <c r="X336" s="907"/>
      <c r="Y336" s="907"/>
      <c r="Z336" s="907"/>
      <c r="AA336" s="907"/>
    </row>
    <row r="337" spans="1:27">
      <c r="A337" s="907"/>
      <c r="B337" s="907"/>
      <c r="C337" s="907"/>
      <c r="D337" s="907"/>
      <c r="E337" s="907"/>
      <c r="F337" s="907"/>
      <c r="G337" s="907"/>
      <c r="H337" s="907"/>
      <c r="I337" s="907"/>
      <c r="J337" s="907"/>
      <c r="K337" s="907"/>
      <c r="L337" s="907"/>
      <c r="M337" s="907"/>
      <c r="N337" s="907"/>
      <c r="O337" s="907"/>
      <c r="P337" s="907"/>
      <c r="Q337" s="907"/>
      <c r="R337" s="907"/>
      <c r="S337" s="907"/>
      <c r="T337" s="907"/>
      <c r="U337" s="907"/>
      <c r="V337" s="907"/>
      <c r="W337" s="907"/>
      <c r="X337" s="907"/>
      <c r="Y337" s="907"/>
      <c r="Z337" s="907"/>
      <c r="AA337" s="907"/>
    </row>
    <row r="338" spans="1:27">
      <c r="A338" s="907"/>
      <c r="B338" s="907"/>
      <c r="C338" s="907"/>
      <c r="D338" s="907"/>
      <c r="E338" s="907"/>
      <c r="F338" s="907"/>
      <c r="G338" s="907"/>
      <c r="H338" s="907"/>
      <c r="I338" s="907"/>
      <c r="J338" s="907"/>
      <c r="K338" s="907"/>
      <c r="L338" s="907"/>
      <c r="M338" s="907"/>
      <c r="N338" s="907"/>
      <c r="O338" s="907"/>
      <c r="P338" s="907"/>
      <c r="Q338" s="907"/>
      <c r="R338" s="907"/>
      <c r="S338" s="907"/>
      <c r="T338" s="907"/>
      <c r="U338" s="907"/>
      <c r="V338" s="907"/>
      <c r="W338" s="907"/>
      <c r="X338" s="907"/>
      <c r="Y338" s="907"/>
      <c r="Z338" s="907"/>
      <c r="AA338" s="907"/>
    </row>
    <row r="339" spans="1:27">
      <c r="A339" s="907"/>
      <c r="B339" s="907"/>
      <c r="C339" s="907"/>
      <c r="D339" s="907"/>
      <c r="E339" s="907"/>
      <c r="F339" s="907"/>
      <c r="G339" s="907"/>
      <c r="H339" s="907"/>
      <c r="I339" s="907"/>
      <c r="J339" s="907"/>
      <c r="K339" s="907"/>
      <c r="L339" s="907"/>
      <c r="M339" s="907"/>
      <c r="N339" s="907"/>
      <c r="O339" s="907"/>
      <c r="P339" s="907"/>
      <c r="Q339" s="907"/>
      <c r="R339" s="907"/>
      <c r="S339" s="907"/>
      <c r="T339" s="907"/>
      <c r="U339" s="907"/>
      <c r="V339" s="907"/>
      <c r="W339" s="907"/>
      <c r="X339" s="907"/>
      <c r="Y339" s="907"/>
      <c r="Z339" s="907"/>
      <c r="AA339" s="907"/>
    </row>
    <row r="340" spans="1:27">
      <c r="A340" s="907"/>
      <c r="B340" s="907"/>
      <c r="C340" s="907"/>
      <c r="D340" s="907"/>
      <c r="E340" s="907"/>
      <c r="F340" s="907"/>
      <c r="G340" s="907"/>
      <c r="H340" s="907"/>
      <c r="I340" s="907"/>
      <c r="J340" s="907"/>
      <c r="K340" s="907"/>
      <c r="L340" s="907"/>
      <c r="M340" s="907"/>
      <c r="N340" s="907"/>
      <c r="O340" s="907"/>
      <c r="P340" s="907"/>
      <c r="Q340" s="907"/>
      <c r="R340" s="907"/>
      <c r="S340" s="907"/>
      <c r="T340" s="907"/>
      <c r="U340" s="907"/>
      <c r="V340" s="907"/>
      <c r="W340" s="907"/>
      <c r="X340" s="907"/>
      <c r="Y340" s="907"/>
      <c r="Z340" s="907"/>
      <c r="AA340" s="907"/>
    </row>
    <row r="341" spans="1:27">
      <c r="A341" s="907"/>
      <c r="B341" s="907"/>
      <c r="C341" s="907"/>
      <c r="D341" s="907"/>
      <c r="E341" s="907"/>
      <c r="F341" s="907"/>
      <c r="G341" s="907"/>
      <c r="H341" s="907"/>
      <c r="I341" s="907"/>
      <c r="J341" s="907"/>
      <c r="K341" s="907"/>
      <c r="L341" s="907"/>
      <c r="M341" s="907"/>
      <c r="N341" s="907"/>
      <c r="O341" s="907"/>
      <c r="P341" s="907"/>
      <c r="Q341" s="907"/>
      <c r="R341" s="907"/>
      <c r="S341" s="907"/>
      <c r="T341" s="907"/>
      <c r="U341" s="907"/>
      <c r="V341" s="907"/>
      <c r="W341" s="907"/>
      <c r="X341" s="907"/>
      <c r="Y341" s="907"/>
      <c r="Z341" s="907"/>
      <c r="AA341" s="907"/>
    </row>
    <row r="342" spans="1:27">
      <c r="A342" s="907"/>
      <c r="B342" s="907"/>
      <c r="C342" s="907"/>
      <c r="D342" s="907"/>
      <c r="E342" s="907"/>
      <c r="F342" s="907"/>
      <c r="G342" s="907"/>
      <c r="H342" s="907"/>
      <c r="I342" s="907"/>
      <c r="J342" s="907"/>
      <c r="K342" s="907"/>
      <c r="L342" s="907"/>
      <c r="M342" s="907"/>
      <c r="N342" s="907"/>
      <c r="O342" s="907"/>
      <c r="P342" s="907"/>
      <c r="Q342" s="907"/>
      <c r="R342" s="907"/>
      <c r="S342" s="907"/>
      <c r="T342" s="907"/>
      <c r="U342" s="907"/>
      <c r="V342" s="907"/>
      <c r="W342" s="907"/>
      <c r="X342" s="907"/>
      <c r="Y342" s="907"/>
      <c r="Z342" s="907"/>
      <c r="AA342" s="907"/>
    </row>
    <row r="343" spans="1:27">
      <c r="A343" s="907"/>
      <c r="B343" s="907"/>
      <c r="C343" s="907"/>
      <c r="D343" s="907"/>
      <c r="E343" s="907"/>
      <c r="F343" s="907"/>
      <c r="G343" s="907"/>
      <c r="H343" s="907"/>
      <c r="I343" s="907"/>
      <c r="J343" s="907"/>
      <c r="K343" s="907"/>
      <c r="L343" s="907"/>
      <c r="M343" s="907"/>
      <c r="N343" s="907"/>
      <c r="O343" s="907"/>
      <c r="P343" s="907"/>
      <c r="Q343" s="907"/>
      <c r="R343" s="907"/>
      <c r="S343" s="907"/>
      <c r="T343" s="907"/>
      <c r="U343" s="907"/>
      <c r="V343" s="907"/>
      <c r="W343" s="907"/>
      <c r="X343" s="907"/>
      <c r="Y343" s="907"/>
      <c r="Z343" s="907"/>
      <c r="AA343" s="907"/>
    </row>
    <row r="344" spans="1:27">
      <c r="A344" s="907"/>
      <c r="B344" s="907"/>
      <c r="C344" s="907"/>
      <c r="D344" s="907"/>
      <c r="E344" s="907"/>
      <c r="F344" s="907"/>
      <c r="G344" s="907"/>
      <c r="H344" s="907"/>
      <c r="I344" s="907"/>
      <c r="J344" s="907"/>
      <c r="K344" s="907"/>
      <c r="L344" s="907"/>
      <c r="M344" s="907"/>
      <c r="N344" s="907"/>
      <c r="O344" s="907"/>
      <c r="P344" s="907"/>
      <c r="Q344" s="907"/>
      <c r="R344" s="907"/>
      <c r="S344" s="907"/>
      <c r="T344" s="907"/>
      <c r="U344" s="907"/>
      <c r="V344" s="907"/>
      <c r="W344" s="907"/>
      <c r="X344" s="907"/>
      <c r="Y344" s="907"/>
      <c r="Z344" s="907"/>
      <c r="AA344" s="907"/>
    </row>
    <row r="345" spans="1:27">
      <c r="A345" s="907"/>
      <c r="B345" s="907"/>
      <c r="C345" s="907"/>
      <c r="D345" s="907"/>
      <c r="E345" s="907"/>
      <c r="F345" s="907"/>
      <c r="G345" s="907"/>
      <c r="H345" s="907"/>
      <c r="I345" s="907"/>
      <c r="J345" s="907"/>
      <c r="K345" s="907"/>
      <c r="L345" s="907"/>
      <c r="M345" s="907"/>
      <c r="N345" s="907"/>
      <c r="O345" s="907"/>
      <c r="P345" s="907"/>
      <c r="Q345" s="907"/>
      <c r="R345" s="907"/>
      <c r="S345" s="907"/>
      <c r="T345" s="907"/>
      <c r="U345" s="907"/>
      <c r="V345" s="907"/>
      <c r="W345" s="907"/>
      <c r="X345" s="907"/>
      <c r="Y345" s="907"/>
      <c r="Z345" s="907"/>
      <c r="AA345" s="907"/>
    </row>
    <row r="346" spans="1:27">
      <c r="A346" s="907"/>
      <c r="B346" s="907"/>
      <c r="C346" s="907"/>
      <c r="D346" s="907"/>
      <c r="E346" s="907"/>
      <c r="F346" s="907"/>
      <c r="G346" s="907"/>
      <c r="H346" s="907"/>
      <c r="I346" s="907"/>
      <c r="J346" s="907"/>
      <c r="K346" s="907"/>
      <c r="L346" s="907"/>
      <c r="M346" s="907"/>
      <c r="N346" s="907"/>
      <c r="O346" s="907"/>
      <c r="P346" s="907"/>
      <c r="Q346" s="907"/>
      <c r="R346" s="907"/>
      <c r="S346" s="907"/>
      <c r="T346" s="907"/>
      <c r="U346" s="907"/>
      <c r="V346" s="907"/>
      <c r="W346" s="907"/>
      <c r="X346" s="907"/>
      <c r="Y346" s="907"/>
      <c r="Z346" s="907"/>
      <c r="AA346" s="907"/>
    </row>
    <row r="347" spans="1:27">
      <c r="A347" s="907"/>
      <c r="B347" s="907"/>
      <c r="C347" s="907"/>
      <c r="D347" s="907"/>
      <c r="E347" s="907"/>
      <c r="F347" s="907"/>
      <c r="G347" s="907"/>
      <c r="H347" s="907"/>
      <c r="I347" s="907"/>
      <c r="J347" s="907"/>
      <c r="K347" s="907"/>
      <c r="L347" s="907"/>
      <c r="M347" s="907"/>
      <c r="N347" s="907"/>
      <c r="O347" s="907"/>
      <c r="P347" s="907"/>
      <c r="Q347" s="907"/>
      <c r="R347" s="907"/>
      <c r="S347" s="907"/>
      <c r="T347" s="907"/>
      <c r="U347" s="907"/>
      <c r="V347" s="907"/>
      <c r="W347" s="907"/>
      <c r="X347" s="907"/>
      <c r="Y347" s="907"/>
      <c r="Z347" s="907"/>
      <c r="AA347" s="907"/>
    </row>
    <row r="348" spans="1:27">
      <c r="A348" s="907"/>
      <c r="B348" s="907"/>
      <c r="C348" s="907"/>
      <c r="D348" s="907"/>
      <c r="E348" s="907"/>
      <c r="F348" s="907"/>
      <c r="G348" s="907"/>
      <c r="H348" s="907"/>
      <c r="I348" s="907"/>
      <c r="J348" s="907"/>
      <c r="K348" s="907"/>
      <c r="L348" s="907"/>
      <c r="M348" s="907"/>
      <c r="N348" s="907"/>
      <c r="O348" s="907"/>
      <c r="P348" s="907"/>
      <c r="Q348" s="907"/>
      <c r="R348" s="907"/>
      <c r="S348" s="907"/>
      <c r="T348" s="907"/>
      <c r="U348" s="907"/>
      <c r="V348" s="907"/>
      <c r="W348" s="907"/>
      <c r="X348" s="907"/>
      <c r="Y348" s="907"/>
      <c r="Z348" s="907"/>
      <c r="AA348" s="907"/>
    </row>
    <row r="349" spans="1:27">
      <c r="A349" s="907"/>
      <c r="B349" s="907"/>
      <c r="C349" s="907"/>
      <c r="D349" s="907"/>
      <c r="E349" s="907"/>
      <c r="F349" s="907"/>
      <c r="G349" s="907"/>
      <c r="H349" s="907"/>
      <c r="I349" s="907"/>
      <c r="J349" s="907"/>
      <c r="K349" s="907"/>
      <c r="L349" s="907"/>
      <c r="M349" s="907"/>
      <c r="N349" s="907"/>
      <c r="O349" s="907"/>
      <c r="P349" s="907"/>
      <c r="Q349" s="907"/>
      <c r="R349" s="907"/>
      <c r="S349" s="907"/>
      <c r="T349" s="907"/>
      <c r="U349" s="907"/>
      <c r="V349" s="907"/>
      <c r="W349" s="907"/>
      <c r="X349" s="907"/>
      <c r="Y349" s="907"/>
      <c r="Z349" s="907"/>
      <c r="AA349" s="907"/>
    </row>
    <row r="350" spans="1:27">
      <c r="A350" s="907"/>
      <c r="B350" s="907"/>
      <c r="C350" s="907"/>
      <c r="D350" s="907"/>
      <c r="E350" s="907"/>
      <c r="F350" s="907"/>
      <c r="G350" s="907"/>
      <c r="H350" s="907"/>
      <c r="I350" s="907"/>
      <c r="J350" s="907"/>
      <c r="K350" s="907"/>
      <c r="L350" s="907"/>
      <c r="M350" s="907"/>
      <c r="N350" s="907"/>
      <c r="O350" s="907"/>
      <c r="P350" s="907"/>
      <c r="Q350" s="907"/>
      <c r="R350" s="907"/>
      <c r="S350" s="907"/>
      <c r="T350" s="907"/>
      <c r="U350" s="907"/>
      <c r="V350" s="907"/>
      <c r="W350" s="907"/>
      <c r="X350" s="907"/>
      <c r="Y350" s="907"/>
      <c r="Z350" s="907"/>
      <c r="AA350" s="907"/>
    </row>
    <row r="351" spans="1:27">
      <c r="A351" s="907"/>
      <c r="B351" s="907"/>
      <c r="C351" s="907"/>
      <c r="D351" s="907"/>
      <c r="E351" s="907"/>
      <c r="F351" s="907"/>
      <c r="G351" s="907"/>
      <c r="H351" s="907"/>
      <c r="I351" s="907"/>
      <c r="J351" s="907"/>
      <c r="K351" s="907"/>
      <c r="L351" s="907"/>
      <c r="M351" s="907"/>
      <c r="N351" s="907"/>
      <c r="O351" s="907"/>
      <c r="P351" s="907"/>
      <c r="Q351" s="907"/>
      <c r="R351" s="907"/>
      <c r="S351" s="907"/>
      <c r="T351" s="907"/>
      <c r="U351" s="907"/>
      <c r="V351" s="907"/>
      <c r="W351" s="907"/>
      <c r="X351" s="907"/>
      <c r="Y351" s="907"/>
      <c r="Z351" s="907"/>
      <c r="AA351" s="907"/>
    </row>
    <row r="352" spans="1:27">
      <c r="A352" s="907"/>
      <c r="B352" s="907"/>
      <c r="C352" s="907"/>
      <c r="D352" s="907"/>
      <c r="E352" s="907"/>
      <c r="F352" s="907"/>
      <c r="G352" s="907"/>
      <c r="H352" s="907"/>
      <c r="I352" s="907"/>
      <c r="J352" s="907"/>
      <c r="K352" s="907"/>
      <c r="L352" s="907"/>
      <c r="M352" s="907"/>
      <c r="N352" s="907"/>
      <c r="O352" s="907"/>
      <c r="P352" s="907"/>
      <c r="Q352" s="907"/>
      <c r="R352" s="907"/>
      <c r="S352" s="907"/>
      <c r="T352" s="907"/>
      <c r="U352" s="907"/>
      <c r="V352" s="907"/>
      <c r="W352" s="907"/>
      <c r="X352" s="907"/>
      <c r="Y352" s="907"/>
      <c r="Z352" s="907"/>
      <c r="AA352" s="907"/>
    </row>
    <row r="353" spans="1:27">
      <c r="A353" s="907"/>
      <c r="B353" s="907"/>
      <c r="C353" s="907"/>
      <c r="D353" s="907"/>
      <c r="E353" s="907"/>
      <c r="F353" s="907"/>
      <c r="G353" s="907"/>
      <c r="H353" s="907"/>
      <c r="I353" s="907"/>
      <c r="J353" s="907"/>
      <c r="K353" s="907"/>
      <c r="L353" s="907"/>
      <c r="M353" s="907"/>
      <c r="N353" s="907"/>
      <c r="O353" s="907"/>
      <c r="P353" s="907"/>
      <c r="Q353" s="907"/>
      <c r="R353" s="907"/>
      <c r="S353" s="907"/>
      <c r="T353" s="907"/>
      <c r="U353" s="907"/>
      <c r="V353" s="907"/>
      <c r="W353" s="907"/>
      <c r="X353" s="907"/>
      <c r="Y353" s="907"/>
      <c r="Z353" s="907"/>
      <c r="AA353" s="907"/>
    </row>
    <row r="354" spans="1:27">
      <c r="A354" s="907"/>
      <c r="B354" s="907"/>
      <c r="C354" s="907"/>
      <c r="D354" s="907"/>
      <c r="E354" s="907"/>
      <c r="F354" s="907"/>
      <c r="G354" s="907"/>
      <c r="H354" s="907"/>
      <c r="I354" s="907"/>
      <c r="J354" s="907"/>
      <c r="K354" s="907"/>
      <c r="L354" s="907"/>
      <c r="M354" s="907"/>
      <c r="N354" s="907"/>
      <c r="O354" s="907"/>
      <c r="P354" s="907"/>
      <c r="Q354" s="907"/>
      <c r="R354" s="907"/>
      <c r="S354" s="907"/>
      <c r="T354" s="907"/>
      <c r="U354" s="907"/>
      <c r="V354" s="907"/>
      <c r="W354" s="907"/>
      <c r="X354" s="907"/>
      <c r="Y354" s="907"/>
      <c r="Z354" s="907"/>
      <c r="AA354" s="907"/>
    </row>
    <row r="355" spans="1:27">
      <c r="A355" s="907"/>
      <c r="B355" s="907"/>
      <c r="C355" s="907"/>
      <c r="D355" s="907"/>
      <c r="E355" s="907"/>
      <c r="F355" s="907"/>
      <c r="G355" s="907"/>
      <c r="H355" s="907"/>
      <c r="I355" s="907"/>
      <c r="J355" s="907"/>
      <c r="K355" s="907"/>
      <c r="L355" s="907"/>
      <c r="M355" s="907"/>
      <c r="N355" s="907"/>
      <c r="O355" s="907"/>
      <c r="P355" s="907"/>
      <c r="Q355" s="907"/>
      <c r="R355" s="907"/>
      <c r="S355" s="907"/>
      <c r="T355" s="907"/>
      <c r="U355" s="907"/>
      <c r="V355" s="907"/>
      <c r="W355" s="907"/>
      <c r="X355" s="907"/>
      <c r="Y355" s="907"/>
      <c r="Z355" s="907"/>
      <c r="AA355" s="907"/>
    </row>
    <row r="356" spans="1:27">
      <c r="A356" s="907"/>
      <c r="B356" s="907"/>
      <c r="C356" s="907"/>
      <c r="D356" s="907"/>
      <c r="E356" s="907"/>
      <c r="F356" s="907"/>
      <c r="G356" s="907"/>
      <c r="H356" s="907"/>
      <c r="I356" s="907"/>
      <c r="J356" s="907"/>
      <c r="K356" s="907"/>
      <c r="L356" s="907"/>
      <c r="M356" s="907"/>
      <c r="N356" s="907"/>
      <c r="O356" s="907"/>
      <c r="P356" s="907"/>
      <c r="Q356" s="907"/>
      <c r="R356" s="907"/>
      <c r="S356" s="907"/>
      <c r="T356" s="907"/>
      <c r="U356" s="907"/>
      <c r="V356" s="907"/>
      <c r="W356" s="907"/>
      <c r="X356" s="907"/>
      <c r="Y356" s="907"/>
      <c r="Z356" s="907"/>
      <c r="AA356" s="907"/>
    </row>
    <row r="357" spans="1:27">
      <c r="A357" s="907"/>
      <c r="B357" s="907"/>
      <c r="C357" s="907"/>
      <c r="D357" s="907"/>
      <c r="E357" s="907"/>
      <c r="F357" s="907"/>
      <c r="G357" s="907"/>
      <c r="H357" s="907"/>
      <c r="I357" s="907"/>
      <c r="J357" s="907"/>
      <c r="K357" s="907"/>
      <c r="L357" s="907"/>
      <c r="M357" s="907"/>
      <c r="N357" s="907"/>
      <c r="O357" s="907"/>
      <c r="P357" s="907"/>
      <c r="Q357" s="907"/>
      <c r="R357" s="907"/>
      <c r="S357" s="907"/>
      <c r="T357" s="907"/>
      <c r="U357" s="907"/>
      <c r="V357" s="907"/>
      <c r="W357" s="907"/>
      <c r="X357" s="907"/>
      <c r="Y357" s="907"/>
      <c r="Z357" s="907"/>
      <c r="AA357" s="907"/>
    </row>
    <row r="358" spans="1:27">
      <c r="A358" s="907"/>
      <c r="B358" s="907"/>
      <c r="C358" s="907"/>
      <c r="D358" s="907"/>
      <c r="E358" s="907"/>
      <c r="F358" s="907"/>
      <c r="G358" s="907"/>
      <c r="H358" s="907"/>
      <c r="I358" s="907"/>
      <c r="J358" s="907"/>
      <c r="K358" s="907"/>
      <c r="L358" s="907"/>
      <c r="M358" s="907"/>
      <c r="N358" s="907"/>
      <c r="O358" s="907"/>
      <c r="P358" s="907"/>
      <c r="Q358" s="907"/>
      <c r="R358" s="907"/>
      <c r="S358" s="907"/>
      <c r="T358" s="907"/>
      <c r="U358" s="907"/>
      <c r="V358" s="907"/>
      <c r="W358" s="907"/>
      <c r="X358" s="907"/>
      <c r="Y358" s="907"/>
      <c r="Z358" s="907"/>
      <c r="AA358" s="907"/>
    </row>
    <row r="359" spans="1:27">
      <c r="A359" s="907"/>
      <c r="B359" s="907"/>
      <c r="C359" s="907"/>
      <c r="D359" s="907"/>
      <c r="E359" s="907"/>
      <c r="F359" s="907"/>
      <c r="G359" s="907"/>
      <c r="H359" s="907"/>
      <c r="I359" s="907"/>
      <c r="J359" s="907"/>
      <c r="K359" s="907"/>
      <c r="L359" s="907"/>
      <c r="M359" s="907"/>
      <c r="N359" s="907"/>
      <c r="O359" s="907"/>
      <c r="P359" s="907"/>
      <c r="Q359" s="907"/>
      <c r="R359" s="907"/>
      <c r="S359" s="907"/>
      <c r="T359" s="907"/>
      <c r="U359" s="907"/>
      <c r="V359" s="907"/>
      <c r="W359" s="907"/>
      <c r="X359" s="907"/>
      <c r="Y359" s="907"/>
      <c r="Z359" s="907"/>
      <c r="AA359" s="907"/>
    </row>
    <row r="360" spans="1:27">
      <c r="A360" s="907"/>
      <c r="B360" s="907"/>
      <c r="C360" s="907"/>
      <c r="D360" s="907"/>
      <c r="E360" s="907"/>
      <c r="F360" s="907"/>
      <c r="G360" s="907"/>
      <c r="H360" s="907"/>
      <c r="I360" s="907"/>
      <c r="J360" s="907"/>
      <c r="K360" s="907"/>
      <c r="L360" s="907"/>
      <c r="M360" s="907"/>
      <c r="N360" s="907"/>
      <c r="O360" s="907"/>
      <c r="P360" s="907"/>
      <c r="Q360" s="907"/>
      <c r="R360" s="907"/>
      <c r="S360" s="907"/>
      <c r="T360" s="907"/>
      <c r="U360" s="907"/>
      <c r="V360" s="907"/>
      <c r="W360" s="907"/>
      <c r="X360" s="907"/>
      <c r="Y360" s="907"/>
      <c r="Z360" s="907"/>
      <c r="AA360" s="907"/>
    </row>
    <row r="361" spans="1:27">
      <c r="A361" s="907"/>
      <c r="B361" s="907"/>
      <c r="C361" s="907"/>
      <c r="D361" s="907"/>
      <c r="E361" s="907"/>
      <c r="F361" s="907"/>
      <c r="G361" s="907"/>
      <c r="H361" s="907"/>
      <c r="I361" s="907"/>
      <c r="J361" s="907"/>
      <c r="K361" s="907"/>
      <c r="L361" s="907"/>
      <c r="M361" s="907"/>
      <c r="N361" s="907"/>
      <c r="O361" s="907"/>
      <c r="P361" s="907"/>
      <c r="Q361" s="907"/>
      <c r="R361" s="907"/>
      <c r="S361" s="907"/>
      <c r="T361" s="907"/>
      <c r="U361" s="907"/>
      <c r="V361" s="907"/>
      <c r="W361" s="907"/>
      <c r="X361" s="907"/>
      <c r="Y361" s="907"/>
      <c r="Z361" s="907"/>
      <c r="AA361" s="907"/>
    </row>
    <row r="362" spans="1:27">
      <c r="A362" s="907"/>
      <c r="B362" s="907"/>
      <c r="C362" s="907"/>
      <c r="D362" s="907"/>
      <c r="E362" s="907"/>
      <c r="F362" s="907"/>
      <c r="G362" s="907"/>
      <c r="H362" s="907"/>
      <c r="I362" s="907"/>
      <c r="J362" s="907"/>
      <c r="K362" s="907"/>
      <c r="L362" s="907"/>
      <c r="M362" s="907"/>
      <c r="N362" s="907"/>
      <c r="O362" s="907"/>
      <c r="P362" s="907"/>
      <c r="Q362" s="907"/>
      <c r="R362" s="907"/>
      <c r="S362" s="907"/>
      <c r="T362" s="907"/>
      <c r="U362" s="907"/>
      <c r="V362" s="907"/>
      <c r="W362" s="907"/>
      <c r="X362" s="907"/>
      <c r="Y362" s="907"/>
      <c r="Z362" s="907"/>
      <c r="AA362" s="907"/>
    </row>
    <row r="363" spans="1:27">
      <c r="A363" s="907"/>
      <c r="B363" s="907"/>
      <c r="C363" s="907"/>
      <c r="D363" s="907"/>
      <c r="E363" s="907"/>
      <c r="F363" s="907"/>
      <c r="G363" s="907"/>
      <c r="H363" s="907"/>
      <c r="I363" s="907"/>
      <c r="J363" s="907"/>
      <c r="K363" s="907"/>
      <c r="L363" s="907"/>
      <c r="M363" s="907"/>
      <c r="N363" s="907"/>
      <c r="O363" s="907"/>
      <c r="P363" s="907"/>
      <c r="Q363" s="907"/>
      <c r="R363" s="907"/>
      <c r="S363" s="907"/>
      <c r="T363" s="907"/>
      <c r="U363" s="907"/>
      <c r="V363" s="907"/>
      <c r="W363" s="907"/>
      <c r="X363" s="907"/>
      <c r="Y363" s="907"/>
      <c r="Z363" s="907"/>
      <c r="AA363" s="907"/>
    </row>
    <row r="364" spans="1:27">
      <c r="A364" s="907"/>
      <c r="B364" s="907"/>
      <c r="C364" s="907"/>
      <c r="D364" s="907"/>
      <c r="E364" s="907"/>
      <c r="F364" s="907"/>
      <c r="G364" s="907"/>
      <c r="H364" s="907"/>
      <c r="I364" s="907"/>
      <c r="J364" s="907"/>
      <c r="K364" s="907"/>
      <c r="L364" s="907"/>
      <c r="M364" s="907"/>
      <c r="N364" s="907"/>
      <c r="O364" s="907"/>
      <c r="P364" s="907"/>
      <c r="Q364" s="907"/>
      <c r="R364" s="907"/>
      <c r="S364" s="907"/>
      <c r="T364" s="907"/>
      <c r="U364" s="907"/>
      <c r="V364" s="907"/>
      <c r="W364" s="907"/>
      <c r="X364" s="907"/>
      <c r="Y364" s="907"/>
      <c r="Z364" s="907"/>
      <c r="AA364" s="907"/>
    </row>
    <row r="365" spans="1:27">
      <c r="A365" s="907"/>
      <c r="B365" s="907"/>
      <c r="C365" s="907"/>
      <c r="D365" s="907"/>
      <c r="E365" s="907"/>
      <c r="F365" s="907"/>
      <c r="G365" s="907"/>
      <c r="H365" s="907"/>
      <c r="I365" s="907"/>
      <c r="J365" s="907"/>
      <c r="K365" s="907"/>
      <c r="L365" s="907"/>
      <c r="M365" s="907"/>
      <c r="N365" s="907"/>
      <c r="O365" s="907"/>
      <c r="P365" s="907"/>
      <c r="Q365" s="907"/>
      <c r="R365" s="907"/>
      <c r="S365" s="907"/>
      <c r="T365" s="907"/>
      <c r="U365" s="907"/>
      <c r="V365" s="907"/>
      <c r="W365" s="907"/>
      <c r="X365" s="907"/>
      <c r="Y365" s="907"/>
      <c r="Z365" s="907"/>
      <c r="AA365" s="907"/>
    </row>
    <row r="366" spans="1:27">
      <c r="A366" s="907"/>
      <c r="B366" s="907"/>
      <c r="C366" s="907"/>
      <c r="D366" s="907"/>
      <c r="E366" s="907"/>
      <c r="F366" s="907"/>
      <c r="G366" s="907"/>
      <c r="H366" s="907"/>
      <c r="I366" s="907"/>
      <c r="J366" s="907"/>
      <c r="K366" s="907"/>
      <c r="L366" s="907"/>
      <c r="M366" s="907"/>
      <c r="N366" s="907"/>
      <c r="O366" s="907"/>
      <c r="P366" s="907"/>
      <c r="Q366" s="907"/>
      <c r="R366" s="907"/>
      <c r="S366" s="907"/>
      <c r="T366" s="907"/>
      <c r="U366" s="907"/>
      <c r="V366" s="907"/>
      <c r="W366" s="907"/>
      <c r="X366" s="907"/>
      <c r="Y366" s="907"/>
      <c r="Z366" s="907"/>
      <c r="AA366" s="907"/>
    </row>
    <row r="367" spans="1:27">
      <c r="A367" s="907"/>
      <c r="B367" s="907"/>
      <c r="C367" s="907"/>
      <c r="D367" s="907"/>
      <c r="E367" s="907"/>
      <c r="F367" s="907"/>
      <c r="G367" s="907"/>
      <c r="H367" s="907"/>
      <c r="I367" s="907"/>
      <c r="J367" s="907"/>
      <c r="K367" s="907"/>
      <c r="L367" s="907"/>
      <c r="M367" s="907"/>
      <c r="N367" s="907"/>
      <c r="O367" s="907"/>
      <c r="P367" s="907"/>
      <c r="Q367" s="907"/>
      <c r="R367" s="907"/>
      <c r="S367" s="907"/>
      <c r="T367" s="907"/>
      <c r="U367" s="907"/>
      <c r="V367" s="907"/>
      <c r="W367" s="907"/>
      <c r="X367" s="907"/>
      <c r="Y367" s="907"/>
      <c r="Z367" s="907"/>
      <c r="AA367" s="907"/>
    </row>
    <row r="368" spans="1:27">
      <c r="A368" s="907"/>
      <c r="B368" s="907"/>
      <c r="C368" s="907"/>
      <c r="D368" s="907"/>
      <c r="E368" s="907"/>
      <c r="F368" s="907"/>
      <c r="G368" s="907"/>
      <c r="H368" s="907"/>
      <c r="I368" s="907"/>
      <c r="J368" s="907"/>
      <c r="K368" s="907"/>
      <c r="L368" s="907"/>
      <c r="M368" s="907"/>
      <c r="N368" s="907"/>
      <c r="O368" s="907"/>
      <c r="P368" s="907"/>
      <c r="Q368" s="907"/>
      <c r="R368" s="907"/>
      <c r="S368" s="907"/>
      <c r="T368" s="907"/>
      <c r="U368" s="907"/>
      <c r="V368" s="907"/>
      <c r="W368" s="907"/>
      <c r="X368" s="907"/>
      <c r="Y368" s="907"/>
      <c r="Z368" s="907"/>
      <c r="AA368" s="907"/>
    </row>
    <row r="369" spans="1:27">
      <c r="A369" s="907"/>
      <c r="B369" s="907"/>
      <c r="C369" s="907"/>
      <c r="D369" s="907"/>
      <c r="E369" s="907"/>
      <c r="F369" s="907"/>
      <c r="G369" s="907"/>
      <c r="H369" s="907"/>
      <c r="I369" s="907"/>
      <c r="J369" s="907"/>
      <c r="K369" s="907"/>
      <c r="L369" s="907"/>
      <c r="M369" s="907"/>
      <c r="N369" s="907"/>
      <c r="O369" s="907"/>
      <c r="P369" s="907"/>
      <c r="Q369" s="907"/>
      <c r="R369" s="907"/>
      <c r="S369" s="907"/>
      <c r="T369" s="907"/>
      <c r="U369" s="907"/>
      <c r="V369" s="907"/>
      <c r="W369" s="907"/>
      <c r="X369" s="907"/>
      <c r="Y369" s="907"/>
      <c r="Z369" s="907"/>
      <c r="AA369" s="907"/>
    </row>
    <row r="370" spans="1:27">
      <c r="A370" s="907"/>
      <c r="B370" s="907"/>
      <c r="C370" s="907"/>
      <c r="D370" s="907"/>
      <c r="E370" s="907"/>
      <c r="F370" s="907"/>
      <c r="G370" s="907"/>
      <c r="H370" s="907"/>
      <c r="I370" s="907"/>
      <c r="J370" s="907"/>
      <c r="K370" s="907"/>
      <c r="L370" s="907"/>
      <c r="M370" s="907"/>
      <c r="N370" s="907"/>
      <c r="O370" s="907"/>
      <c r="P370" s="907"/>
      <c r="Q370" s="907"/>
      <c r="R370" s="907"/>
      <c r="S370" s="907"/>
      <c r="T370" s="907"/>
      <c r="U370" s="907"/>
      <c r="V370" s="907"/>
      <c r="W370" s="907"/>
      <c r="X370" s="907"/>
      <c r="Y370" s="907"/>
      <c r="Z370" s="907"/>
      <c r="AA370" s="907"/>
    </row>
    <row r="371" spans="1:27">
      <c r="A371" s="907"/>
      <c r="B371" s="907"/>
      <c r="C371" s="907"/>
      <c r="D371" s="907"/>
      <c r="E371" s="907"/>
      <c r="F371" s="907"/>
      <c r="G371" s="907"/>
      <c r="H371" s="907"/>
      <c r="I371" s="907"/>
      <c r="J371" s="907"/>
      <c r="K371" s="907"/>
      <c r="L371" s="907"/>
      <c r="M371" s="907"/>
      <c r="N371" s="907"/>
      <c r="O371" s="907"/>
      <c r="P371" s="907"/>
      <c r="Q371" s="907"/>
      <c r="R371" s="907"/>
      <c r="S371" s="907"/>
      <c r="T371" s="907"/>
      <c r="U371" s="907"/>
      <c r="V371" s="907"/>
      <c r="W371" s="907"/>
      <c r="X371" s="907"/>
      <c r="Y371" s="907"/>
      <c r="Z371" s="907"/>
      <c r="AA371" s="907"/>
    </row>
    <row r="372" spans="1:27">
      <c r="A372" s="907"/>
      <c r="B372" s="907"/>
      <c r="C372" s="907"/>
      <c r="D372" s="907"/>
      <c r="E372" s="907"/>
      <c r="F372" s="907"/>
      <c r="G372" s="907"/>
      <c r="H372" s="907"/>
      <c r="I372" s="907"/>
      <c r="J372" s="907"/>
      <c r="K372" s="907"/>
      <c r="L372" s="907"/>
      <c r="M372" s="907"/>
      <c r="N372" s="907"/>
      <c r="O372" s="907"/>
      <c r="P372" s="907"/>
      <c r="Q372" s="907"/>
      <c r="R372" s="907"/>
      <c r="S372" s="907"/>
      <c r="T372" s="907"/>
      <c r="U372" s="907"/>
      <c r="V372" s="907"/>
      <c r="W372" s="907"/>
      <c r="X372" s="907"/>
      <c r="Y372" s="907"/>
      <c r="Z372" s="907"/>
      <c r="AA372" s="907"/>
    </row>
    <row r="373" spans="1:27">
      <c r="A373" s="907"/>
      <c r="B373" s="907"/>
      <c r="C373" s="907"/>
      <c r="D373" s="907"/>
      <c r="E373" s="907"/>
      <c r="F373" s="907"/>
      <c r="G373" s="907"/>
      <c r="H373" s="907"/>
      <c r="I373" s="907"/>
      <c r="J373" s="907"/>
      <c r="K373" s="907"/>
      <c r="L373" s="907"/>
      <c r="M373" s="907"/>
      <c r="N373" s="907"/>
      <c r="O373" s="907"/>
      <c r="P373" s="907"/>
      <c r="Q373" s="907"/>
      <c r="R373" s="907"/>
      <c r="S373" s="907"/>
      <c r="T373" s="907"/>
      <c r="U373" s="907"/>
      <c r="V373" s="907"/>
      <c r="W373" s="907"/>
      <c r="X373" s="907"/>
      <c r="Y373" s="907"/>
      <c r="Z373" s="907"/>
      <c r="AA373" s="907"/>
    </row>
    <row r="374" spans="1:27">
      <c r="A374" s="907"/>
      <c r="B374" s="907"/>
      <c r="C374" s="907"/>
      <c r="D374" s="907"/>
      <c r="E374" s="907"/>
      <c r="F374" s="907"/>
      <c r="G374" s="907"/>
      <c r="H374" s="907"/>
      <c r="I374" s="907"/>
      <c r="J374" s="907"/>
      <c r="K374" s="907"/>
      <c r="L374" s="907"/>
      <c r="M374" s="907"/>
      <c r="N374" s="907"/>
      <c r="O374" s="907"/>
      <c r="P374" s="907"/>
      <c r="Q374" s="907"/>
      <c r="R374" s="907"/>
      <c r="S374" s="907"/>
      <c r="T374" s="907"/>
      <c r="U374" s="907"/>
      <c r="V374" s="907"/>
      <c r="W374" s="907"/>
      <c r="X374" s="907"/>
      <c r="Y374" s="907"/>
      <c r="Z374" s="907"/>
      <c r="AA374" s="907"/>
    </row>
    <row r="375" spans="1:27">
      <c r="A375" s="907"/>
      <c r="B375" s="907"/>
      <c r="C375" s="907"/>
      <c r="D375" s="907"/>
      <c r="E375" s="907"/>
      <c r="F375" s="907"/>
      <c r="G375" s="907"/>
      <c r="H375" s="907"/>
      <c r="I375" s="907"/>
      <c r="J375" s="907"/>
      <c r="K375" s="907"/>
      <c r="L375" s="907"/>
      <c r="M375" s="907"/>
      <c r="N375" s="907"/>
      <c r="O375" s="907"/>
      <c r="P375" s="907"/>
      <c r="Q375" s="907"/>
      <c r="R375" s="907"/>
      <c r="S375" s="907"/>
      <c r="T375" s="907"/>
      <c r="U375" s="907"/>
      <c r="V375" s="907"/>
      <c r="W375" s="907"/>
      <c r="X375" s="907"/>
      <c r="Y375" s="907"/>
      <c r="Z375" s="907"/>
      <c r="AA375" s="907"/>
    </row>
    <row r="376" spans="1:27">
      <c r="A376" s="907"/>
      <c r="B376" s="907"/>
      <c r="C376" s="907"/>
      <c r="D376" s="907"/>
      <c r="E376" s="907"/>
      <c r="F376" s="907"/>
      <c r="G376" s="907"/>
      <c r="H376" s="907"/>
      <c r="I376" s="907"/>
      <c r="J376" s="907"/>
      <c r="K376" s="907"/>
      <c r="L376" s="907"/>
      <c r="M376" s="907"/>
      <c r="N376" s="907"/>
      <c r="O376" s="907"/>
      <c r="P376" s="907"/>
      <c r="Q376" s="907"/>
      <c r="R376" s="907"/>
      <c r="S376" s="907"/>
      <c r="T376" s="907"/>
      <c r="U376" s="907"/>
      <c r="V376" s="907"/>
      <c r="W376" s="907"/>
      <c r="X376" s="907"/>
      <c r="Y376" s="907"/>
      <c r="Z376" s="907"/>
      <c r="AA376" s="907"/>
    </row>
    <row r="377" spans="1:27">
      <c r="A377" s="907"/>
      <c r="B377" s="907"/>
      <c r="C377" s="907"/>
      <c r="D377" s="907"/>
      <c r="E377" s="907"/>
      <c r="F377" s="907"/>
      <c r="G377" s="907"/>
      <c r="H377" s="907"/>
      <c r="I377" s="907"/>
      <c r="J377" s="907"/>
      <c r="K377" s="907"/>
      <c r="L377" s="907"/>
      <c r="M377" s="907"/>
      <c r="N377" s="907"/>
      <c r="O377" s="907"/>
      <c r="P377" s="907"/>
      <c r="Q377" s="907"/>
      <c r="R377" s="907"/>
      <c r="S377" s="907"/>
      <c r="T377" s="907"/>
      <c r="U377" s="907"/>
      <c r="V377" s="907"/>
      <c r="W377" s="907"/>
      <c r="X377" s="907"/>
      <c r="Y377" s="907"/>
      <c r="Z377" s="907"/>
      <c r="AA377" s="907"/>
    </row>
    <row r="378" spans="1:27">
      <c r="A378" s="907"/>
      <c r="B378" s="907"/>
      <c r="C378" s="907"/>
      <c r="D378" s="907"/>
      <c r="E378" s="907"/>
      <c r="F378" s="907"/>
      <c r="G378" s="907"/>
      <c r="H378" s="907"/>
      <c r="I378" s="907"/>
      <c r="J378" s="907"/>
      <c r="K378" s="907"/>
      <c r="L378" s="907"/>
      <c r="M378" s="907"/>
      <c r="N378" s="907"/>
      <c r="O378" s="907"/>
      <c r="P378" s="907"/>
      <c r="Q378" s="907"/>
      <c r="R378" s="907"/>
      <c r="S378" s="907"/>
      <c r="T378" s="907"/>
      <c r="U378" s="907"/>
      <c r="V378" s="907"/>
      <c r="W378" s="907"/>
      <c r="X378" s="907"/>
      <c r="Y378" s="907"/>
      <c r="Z378" s="907"/>
      <c r="AA378" s="907"/>
    </row>
    <row r="379" spans="1:27">
      <c r="A379" s="907"/>
      <c r="B379" s="907"/>
      <c r="C379" s="907"/>
      <c r="D379" s="907"/>
      <c r="E379" s="907"/>
      <c r="F379" s="907"/>
      <c r="G379" s="907"/>
      <c r="H379" s="907"/>
      <c r="I379" s="907"/>
      <c r="J379" s="907"/>
      <c r="K379" s="907"/>
      <c r="L379" s="907"/>
      <c r="M379" s="907"/>
      <c r="N379" s="907"/>
      <c r="O379" s="907"/>
      <c r="P379" s="907"/>
      <c r="Q379" s="907"/>
      <c r="R379" s="907"/>
      <c r="S379" s="907"/>
      <c r="T379" s="907"/>
      <c r="U379" s="907"/>
      <c r="V379" s="907"/>
      <c r="W379" s="907"/>
      <c r="X379" s="907"/>
      <c r="Y379" s="907"/>
      <c r="Z379" s="907"/>
      <c r="AA379" s="907"/>
    </row>
    <row r="380" spans="1:27">
      <c r="A380" s="907"/>
      <c r="B380" s="907"/>
      <c r="C380" s="907"/>
      <c r="D380" s="907"/>
      <c r="E380" s="907"/>
      <c r="F380" s="907"/>
      <c r="G380" s="907"/>
      <c r="H380" s="907"/>
      <c r="I380" s="907"/>
      <c r="J380" s="907"/>
      <c r="K380" s="907"/>
      <c r="L380" s="907"/>
      <c r="M380" s="907"/>
      <c r="N380" s="907"/>
      <c r="O380" s="907"/>
      <c r="P380" s="907"/>
      <c r="Q380" s="907"/>
      <c r="R380" s="907"/>
      <c r="S380" s="907"/>
      <c r="T380" s="907"/>
      <c r="U380" s="907"/>
      <c r="V380" s="907"/>
      <c r="W380" s="907"/>
      <c r="X380" s="907"/>
      <c r="Y380" s="907"/>
      <c r="Z380" s="907"/>
      <c r="AA380" s="907"/>
    </row>
    <row r="381" spans="1:27">
      <c r="A381" s="907"/>
      <c r="B381" s="907"/>
      <c r="C381" s="907"/>
      <c r="D381" s="907"/>
      <c r="E381" s="907"/>
      <c r="F381" s="907"/>
      <c r="G381" s="907"/>
      <c r="H381" s="907"/>
      <c r="I381" s="907"/>
      <c r="J381" s="907"/>
      <c r="K381" s="907"/>
      <c r="L381" s="907"/>
      <c r="M381" s="907"/>
      <c r="N381" s="907"/>
      <c r="O381" s="907"/>
      <c r="P381" s="907"/>
      <c r="Q381" s="907"/>
      <c r="R381" s="907"/>
      <c r="S381" s="907"/>
      <c r="T381" s="907"/>
      <c r="U381" s="907"/>
      <c r="V381" s="907"/>
      <c r="W381" s="907"/>
      <c r="X381" s="907"/>
      <c r="Y381" s="907"/>
      <c r="Z381" s="907"/>
      <c r="AA381" s="907"/>
    </row>
    <row r="382" spans="1:27">
      <c r="A382" s="907"/>
      <c r="B382" s="907"/>
      <c r="C382" s="907"/>
      <c r="D382" s="907"/>
      <c r="E382" s="907"/>
      <c r="F382" s="907"/>
      <c r="G382" s="907"/>
      <c r="H382" s="907"/>
      <c r="I382" s="907"/>
      <c r="J382" s="907"/>
      <c r="K382" s="907"/>
      <c r="L382" s="907"/>
      <c r="M382" s="907"/>
      <c r="N382" s="907"/>
      <c r="O382" s="907"/>
      <c r="P382" s="907"/>
      <c r="Q382" s="907"/>
      <c r="R382" s="907"/>
      <c r="S382" s="907"/>
      <c r="T382" s="907"/>
      <c r="U382" s="907"/>
      <c r="V382" s="907"/>
      <c r="W382" s="907"/>
      <c r="X382" s="907"/>
      <c r="Y382" s="907"/>
      <c r="Z382" s="907"/>
      <c r="AA382" s="907"/>
    </row>
    <row r="383" spans="1:27">
      <c r="A383" s="907"/>
      <c r="B383" s="907"/>
      <c r="C383" s="907"/>
      <c r="D383" s="907"/>
      <c r="E383" s="907"/>
      <c r="F383" s="907"/>
      <c r="G383" s="907"/>
      <c r="H383" s="907"/>
      <c r="I383" s="907"/>
      <c r="J383" s="907"/>
      <c r="K383" s="907"/>
      <c r="L383" s="907"/>
      <c r="M383" s="907"/>
      <c r="N383" s="907"/>
      <c r="O383" s="907"/>
      <c r="P383" s="907"/>
      <c r="Q383" s="907"/>
      <c r="R383" s="907"/>
      <c r="S383" s="907"/>
      <c r="T383" s="907"/>
      <c r="U383" s="907"/>
      <c r="V383" s="907"/>
      <c r="W383" s="907"/>
      <c r="X383" s="907"/>
      <c r="Y383" s="907"/>
      <c r="Z383" s="907"/>
      <c r="AA383" s="907"/>
    </row>
    <row r="384" spans="1:27">
      <c r="A384" s="907"/>
      <c r="B384" s="907"/>
      <c r="C384" s="907"/>
      <c r="D384" s="907"/>
      <c r="E384" s="907"/>
      <c r="F384" s="907"/>
      <c r="G384" s="907"/>
      <c r="H384" s="907"/>
      <c r="I384" s="907"/>
      <c r="J384" s="907"/>
      <c r="K384" s="907"/>
      <c r="L384" s="907"/>
      <c r="M384" s="907"/>
      <c r="N384" s="907"/>
      <c r="O384" s="907"/>
      <c r="P384" s="907"/>
      <c r="Q384" s="907"/>
      <c r="R384" s="907"/>
      <c r="S384" s="907"/>
      <c r="T384" s="907"/>
      <c r="U384" s="907"/>
      <c r="V384" s="907"/>
      <c r="W384" s="907"/>
      <c r="X384" s="907"/>
      <c r="Y384" s="907"/>
      <c r="Z384" s="907"/>
      <c r="AA384" s="907"/>
    </row>
    <row r="385" spans="1:27">
      <c r="A385" s="907"/>
      <c r="B385" s="907"/>
      <c r="C385" s="907"/>
      <c r="D385" s="907"/>
      <c r="E385" s="907"/>
      <c r="F385" s="907"/>
      <c r="G385" s="907"/>
      <c r="H385" s="907"/>
      <c r="I385" s="907"/>
      <c r="J385" s="907"/>
      <c r="K385" s="907"/>
      <c r="L385" s="907"/>
      <c r="M385" s="907"/>
      <c r="N385" s="907"/>
      <c r="O385" s="907"/>
      <c r="P385" s="907"/>
      <c r="Q385" s="907"/>
      <c r="R385" s="907"/>
      <c r="S385" s="907"/>
      <c r="T385" s="907"/>
      <c r="U385" s="907"/>
      <c r="V385" s="907"/>
      <c r="W385" s="907"/>
      <c r="X385" s="907"/>
      <c r="Y385" s="907"/>
      <c r="Z385" s="907"/>
      <c r="AA385" s="907"/>
    </row>
    <row r="386" spans="1:27">
      <c r="A386" s="907"/>
      <c r="B386" s="907"/>
      <c r="C386" s="907"/>
      <c r="D386" s="907"/>
      <c r="E386" s="907"/>
      <c r="F386" s="907"/>
      <c r="G386" s="907"/>
      <c r="H386" s="907"/>
      <c r="I386" s="907"/>
      <c r="J386" s="907"/>
      <c r="K386" s="907"/>
      <c r="L386" s="907"/>
      <c r="M386" s="907"/>
      <c r="N386" s="907"/>
      <c r="O386" s="907"/>
      <c r="P386" s="907"/>
      <c r="Q386" s="907"/>
      <c r="R386" s="907"/>
      <c r="S386" s="907"/>
      <c r="T386" s="907"/>
      <c r="U386" s="907"/>
      <c r="V386" s="907"/>
      <c r="W386" s="907"/>
      <c r="X386" s="907"/>
      <c r="Y386" s="907"/>
      <c r="Z386" s="907"/>
      <c r="AA386" s="907"/>
    </row>
    <row r="387" spans="1:27">
      <c r="A387" s="907"/>
      <c r="B387" s="907"/>
      <c r="C387" s="907"/>
      <c r="D387" s="907"/>
      <c r="E387" s="907"/>
      <c r="F387" s="907"/>
      <c r="G387" s="907"/>
      <c r="H387" s="907"/>
      <c r="I387" s="907"/>
      <c r="J387" s="907"/>
      <c r="K387" s="907"/>
      <c r="L387" s="907"/>
      <c r="M387" s="907"/>
      <c r="N387" s="907"/>
      <c r="O387" s="907"/>
      <c r="P387" s="907"/>
      <c r="Q387" s="907"/>
      <c r="R387" s="907"/>
      <c r="S387" s="907"/>
      <c r="T387" s="907"/>
      <c r="U387" s="907"/>
      <c r="V387" s="907"/>
      <c r="W387" s="907"/>
      <c r="X387" s="907"/>
      <c r="Y387" s="907"/>
      <c r="Z387" s="907"/>
      <c r="AA387" s="907"/>
    </row>
    <row r="388" spans="1:27">
      <c r="A388" s="907"/>
      <c r="B388" s="907"/>
      <c r="C388" s="907"/>
      <c r="D388" s="907"/>
      <c r="E388" s="907"/>
      <c r="F388" s="907"/>
      <c r="G388" s="907"/>
      <c r="H388" s="907"/>
      <c r="I388" s="907"/>
      <c r="J388" s="907"/>
      <c r="K388" s="907"/>
      <c r="L388" s="907"/>
      <c r="M388" s="907"/>
      <c r="N388" s="907"/>
      <c r="O388" s="907"/>
      <c r="P388" s="907"/>
      <c r="Q388" s="907"/>
      <c r="R388" s="907"/>
      <c r="S388" s="907"/>
      <c r="T388" s="907"/>
      <c r="U388" s="907"/>
      <c r="V388" s="907"/>
      <c r="W388" s="907"/>
      <c r="X388" s="907"/>
      <c r="Y388" s="907"/>
      <c r="Z388" s="907"/>
      <c r="AA388" s="907"/>
    </row>
    <row r="389" spans="1:27">
      <c r="A389" s="907"/>
      <c r="B389" s="907"/>
      <c r="C389" s="907"/>
      <c r="D389" s="907"/>
      <c r="E389" s="907"/>
      <c r="F389" s="907"/>
      <c r="G389" s="907"/>
      <c r="H389" s="907"/>
      <c r="I389" s="907"/>
      <c r="J389" s="907"/>
      <c r="K389" s="907"/>
      <c r="L389" s="907"/>
      <c r="M389" s="907"/>
      <c r="N389" s="907"/>
      <c r="O389" s="907"/>
      <c r="P389" s="907"/>
      <c r="Q389" s="907"/>
      <c r="R389" s="907"/>
      <c r="S389" s="907"/>
      <c r="T389" s="907"/>
      <c r="U389" s="907"/>
      <c r="V389" s="907"/>
      <c r="W389" s="907"/>
      <c r="X389" s="907"/>
      <c r="Y389" s="907"/>
      <c r="Z389" s="907"/>
      <c r="AA389" s="907"/>
    </row>
    <row r="390" spans="1:27">
      <c r="A390" s="907"/>
      <c r="B390" s="907"/>
      <c r="C390" s="907"/>
      <c r="D390" s="907"/>
      <c r="E390" s="907"/>
      <c r="F390" s="907"/>
      <c r="G390" s="907"/>
      <c r="H390" s="907"/>
      <c r="I390" s="907"/>
      <c r="J390" s="907"/>
      <c r="K390" s="907"/>
      <c r="L390" s="907"/>
      <c r="M390" s="907"/>
      <c r="N390" s="907"/>
      <c r="O390" s="907"/>
      <c r="P390" s="907"/>
      <c r="Q390" s="907"/>
      <c r="R390" s="907"/>
      <c r="S390" s="907"/>
      <c r="T390" s="907"/>
      <c r="U390" s="907"/>
      <c r="V390" s="907"/>
      <c r="W390" s="907"/>
      <c r="X390" s="907"/>
      <c r="Y390" s="907"/>
      <c r="Z390" s="907"/>
      <c r="AA390" s="907"/>
    </row>
    <row r="391" spans="1:27">
      <c r="A391" s="907"/>
      <c r="B391" s="907"/>
      <c r="C391" s="907"/>
      <c r="D391" s="907"/>
      <c r="E391" s="907"/>
      <c r="F391" s="907"/>
      <c r="G391" s="907"/>
      <c r="H391" s="907"/>
      <c r="I391" s="907"/>
      <c r="J391" s="907"/>
      <c r="K391" s="907"/>
      <c r="L391" s="907"/>
      <c r="M391" s="907"/>
      <c r="N391" s="907"/>
      <c r="O391" s="907"/>
      <c r="P391" s="907"/>
      <c r="Q391" s="907"/>
      <c r="R391" s="907"/>
      <c r="S391" s="907"/>
      <c r="T391" s="907"/>
      <c r="U391" s="907"/>
      <c r="V391" s="907"/>
      <c r="W391" s="907"/>
      <c r="X391" s="907"/>
      <c r="Y391" s="907"/>
      <c r="Z391" s="907"/>
      <c r="AA391" s="907"/>
    </row>
    <row r="392" spans="1:27">
      <c r="A392" s="907"/>
      <c r="B392" s="907"/>
      <c r="C392" s="907"/>
      <c r="D392" s="907"/>
      <c r="E392" s="907"/>
      <c r="F392" s="907"/>
      <c r="G392" s="907"/>
      <c r="H392" s="907"/>
      <c r="I392" s="907"/>
      <c r="J392" s="907"/>
      <c r="K392" s="907"/>
      <c r="L392" s="907"/>
      <c r="M392" s="907"/>
      <c r="N392" s="907"/>
      <c r="O392" s="907"/>
      <c r="P392" s="907"/>
      <c r="Q392" s="907"/>
      <c r="R392" s="907"/>
      <c r="S392" s="907"/>
      <c r="T392" s="907"/>
      <c r="U392" s="907"/>
      <c r="V392" s="907"/>
      <c r="W392" s="907"/>
      <c r="X392" s="907"/>
      <c r="Y392" s="907"/>
      <c r="Z392" s="907"/>
      <c r="AA392" s="907"/>
    </row>
    <row r="393" spans="1:27">
      <c r="A393" s="907"/>
      <c r="B393" s="907"/>
      <c r="C393" s="907"/>
      <c r="D393" s="907"/>
      <c r="E393" s="907"/>
      <c r="F393" s="907"/>
      <c r="G393" s="907"/>
      <c r="H393" s="907"/>
      <c r="I393" s="907"/>
      <c r="J393" s="907"/>
      <c r="K393" s="907"/>
      <c r="L393" s="907"/>
      <c r="M393" s="907"/>
      <c r="N393" s="907"/>
      <c r="O393" s="907"/>
      <c r="P393" s="907"/>
      <c r="Q393" s="907"/>
      <c r="R393" s="907"/>
      <c r="S393" s="907"/>
      <c r="T393" s="907"/>
      <c r="U393" s="907"/>
      <c r="V393" s="907"/>
      <c r="W393" s="907"/>
      <c r="X393" s="907"/>
      <c r="Y393" s="907"/>
      <c r="Z393" s="907"/>
      <c r="AA393" s="907"/>
    </row>
    <row r="394" spans="1:27">
      <c r="A394" s="907"/>
      <c r="B394" s="907"/>
      <c r="C394" s="907"/>
      <c r="D394" s="907"/>
      <c r="E394" s="907"/>
      <c r="F394" s="907"/>
      <c r="G394" s="907"/>
      <c r="H394" s="907"/>
      <c r="I394" s="907"/>
      <c r="J394" s="907"/>
      <c r="K394" s="907"/>
      <c r="L394" s="907"/>
      <c r="M394" s="907"/>
      <c r="N394" s="907"/>
      <c r="O394" s="907"/>
      <c r="P394" s="907"/>
      <c r="Q394" s="907"/>
      <c r="R394" s="907"/>
      <c r="S394" s="907"/>
      <c r="T394" s="907"/>
      <c r="U394" s="907"/>
      <c r="V394" s="907"/>
      <c r="W394" s="907"/>
      <c r="X394" s="907"/>
      <c r="Y394" s="907"/>
      <c r="Z394" s="907"/>
      <c r="AA394" s="907"/>
    </row>
    <row r="395" spans="1:27">
      <c r="A395" s="907"/>
      <c r="B395" s="907"/>
      <c r="C395" s="907"/>
      <c r="D395" s="907"/>
      <c r="E395" s="907"/>
      <c r="F395" s="907"/>
      <c r="G395" s="907"/>
      <c r="H395" s="907"/>
      <c r="I395" s="907"/>
      <c r="J395" s="907"/>
      <c r="K395" s="907"/>
      <c r="L395" s="907"/>
      <c r="M395" s="907"/>
      <c r="N395" s="907"/>
      <c r="O395" s="907"/>
      <c r="P395" s="907"/>
      <c r="Q395" s="907"/>
      <c r="R395" s="907"/>
      <c r="S395" s="907"/>
      <c r="T395" s="907"/>
      <c r="U395" s="907"/>
      <c r="V395" s="907"/>
      <c r="W395" s="907"/>
      <c r="X395" s="907"/>
      <c r="Y395" s="907"/>
      <c r="Z395" s="907"/>
      <c r="AA395" s="907"/>
    </row>
    <row r="396" spans="1:27">
      <c r="A396" s="907"/>
      <c r="B396" s="907"/>
      <c r="C396" s="907"/>
      <c r="D396" s="907"/>
      <c r="E396" s="907"/>
      <c r="F396" s="907"/>
      <c r="G396" s="907"/>
      <c r="H396" s="907"/>
      <c r="I396" s="907"/>
      <c r="J396" s="907"/>
      <c r="K396" s="907"/>
      <c r="L396" s="907"/>
      <c r="M396" s="907"/>
      <c r="N396" s="907"/>
      <c r="O396" s="907"/>
      <c r="P396" s="907"/>
      <c r="Q396" s="907"/>
      <c r="R396" s="907"/>
      <c r="S396" s="907"/>
      <c r="T396" s="907"/>
      <c r="U396" s="907"/>
      <c r="V396" s="907"/>
      <c r="W396" s="907"/>
      <c r="X396" s="907"/>
      <c r="Y396" s="907"/>
      <c r="Z396" s="907"/>
      <c r="AA396" s="907"/>
    </row>
    <row r="397" spans="1:27">
      <c r="A397" s="907"/>
      <c r="B397" s="907"/>
      <c r="C397" s="907"/>
      <c r="D397" s="907"/>
      <c r="E397" s="907"/>
      <c r="F397" s="907"/>
      <c r="G397" s="907"/>
      <c r="H397" s="907"/>
      <c r="I397" s="907"/>
      <c r="J397" s="907"/>
      <c r="K397" s="907"/>
      <c r="L397" s="907"/>
      <c r="M397" s="907"/>
      <c r="N397" s="907"/>
      <c r="O397" s="907"/>
      <c r="P397" s="907"/>
      <c r="Q397" s="907"/>
      <c r="R397" s="907"/>
      <c r="S397" s="907"/>
      <c r="T397" s="907"/>
      <c r="U397" s="907"/>
      <c r="V397" s="907"/>
      <c r="W397" s="907"/>
      <c r="X397" s="907"/>
      <c r="Y397" s="907"/>
      <c r="Z397" s="907"/>
      <c r="AA397" s="907"/>
    </row>
    <row r="398" spans="1:27">
      <c r="A398" s="907"/>
      <c r="B398" s="907"/>
      <c r="C398" s="907"/>
      <c r="D398" s="907"/>
      <c r="E398" s="907"/>
      <c r="F398" s="907"/>
      <c r="G398" s="907"/>
      <c r="H398" s="907"/>
      <c r="I398" s="907"/>
      <c r="J398" s="907"/>
      <c r="K398" s="907"/>
      <c r="L398" s="907"/>
      <c r="M398" s="907"/>
      <c r="N398" s="907"/>
      <c r="O398" s="907"/>
      <c r="P398" s="907"/>
      <c r="Q398" s="907"/>
      <c r="R398" s="907"/>
      <c r="S398" s="907"/>
      <c r="T398" s="907"/>
      <c r="U398" s="907"/>
      <c r="V398" s="907"/>
      <c r="W398" s="907"/>
      <c r="X398" s="907"/>
      <c r="Y398" s="907"/>
      <c r="Z398" s="907"/>
      <c r="AA398" s="907"/>
    </row>
    <row r="399" spans="1:27">
      <c r="A399" s="907"/>
      <c r="B399" s="907"/>
      <c r="C399" s="907"/>
      <c r="D399" s="907"/>
      <c r="E399" s="907"/>
      <c r="F399" s="907"/>
      <c r="G399" s="907"/>
      <c r="H399" s="907"/>
      <c r="I399" s="907"/>
      <c r="J399" s="907"/>
      <c r="K399" s="907"/>
      <c r="L399" s="907"/>
      <c r="M399" s="907"/>
      <c r="N399" s="907"/>
      <c r="O399" s="907"/>
      <c r="P399" s="907"/>
      <c r="Q399" s="907"/>
      <c r="R399" s="907"/>
      <c r="S399" s="907"/>
      <c r="T399" s="907"/>
      <c r="U399" s="907"/>
      <c r="V399" s="907"/>
      <c r="W399" s="907"/>
      <c r="X399" s="907"/>
      <c r="Y399" s="907"/>
      <c r="Z399" s="907"/>
      <c r="AA399" s="907"/>
    </row>
    <row r="400" spans="1:27">
      <c r="A400" s="907"/>
      <c r="B400" s="907"/>
      <c r="C400" s="907"/>
      <c r="D400" s="907"/>
      <c r="E400" s="907"/>
      <c r="F400" s="907"/>
      <c r="G400" s="907"/>
      <c r="H400" s="907"/>
      <c r="I400" s="907"/>
      <c r="J400" s="907"/>
      <c r="K400" s="907"/>
      <c r="L400" s="907"/>
      <c r="M400" s="907"/>
      <c r="N400" s="907"/>
      <c r="O400" s="907"/>
      <c r="P400" s="907"/>
      <c r="Q400" s="907"/>
      <c r="R400" s="907"/>
      <c r="S400" s="907"/>
      <c r="T400" s="907"/>
      <c r="U400" s="907"/>
      <c r="V400" s="907"/>
      <c r="W400" s="907"/>
      <c r="X400" s="907"/>
      <c r="Y400" s="907"/>
      <c r="Z400" s="907"/>
      <c r="AA400" s="907"/>
    </row>
    <row r="401" spans="1:27">
      <c r="A401" s="907"/>
      <c r="B401" s="907"/>
      <c r="C401" s="907"/>
      <c r="D401" s="907"/>
      <c r="E401" s="907"/>
      <c r="F401" s="907"/>
      <c r="G401" s="907"/>
      <c r="H401" s="907"/>
      <c r="I401" s="907"/>
      <c r="J401" s="907"/>
      <c r="K401" s="907"/>
      <c r="L401" s="907"/>
      <c r="M401" s="907"/>
      <c r="N401" s="907"/>
      <c r="O401" s="907"/>
      <c r="P401" s="907"/>
      <c r="Q401" s="907"/>
      <c r="R401" s="907"/>
      <c r="S401" s="907"/>
      <c r="T401" s="907"/>
      <c r="U401" s="907"/>
      <c r="V401" s="907"/>
      <c r="W401" s="907"/>
      <c r="X401" s="907"/>
      <c r="Y401" s="907"/>
      <c r="Z401" s="907"/>
      <c r="AA401" s="907"/>
    </row>
    <row r="402" spans="1:27">
      <c r="A402" s="907"/>
      <c r="B402" s="907"/>
      <c r="C402" s="907"/>
      <c r="D402" s="907"/>
      <c r="E402" s="907"/>
      <c r="F402" s="907"/>
      <c r="G402" s="907"/>
      <c r="H402" s="907"/>
      <c r="I402" s="907"/>
      <c r="J402" s="907"/>
      <c r="K402" s="907"/>
      <c r="L402" s="907"/>
      <c r="M402" s="907"/>
      <c r="N402" s="907"/>
      <c r="O402" s="907"/>
      <c r="P402" s="907"/>
      <c r="Q402" s="907"/>
      <c r="R402" s="907"/>
      <c r="S402" s="907"/>
      <c r="T402" s="907"/>
      <c r="U402" s="907"/>
      <c r="V402" s="907"/>
      <c r="W402" s="907"/>
      <c r="X402" s="907"/>
      <c r="Y402" s="907"/>
      <c r="Z402" s="907"/>
      <c r="AA402" s="907"/>
    </row>
    <row r="403" spans="1:27">
      <c r="A403" s="907"/>
      <c r="B403" s="907"/>
      <c r="C403" s="907"/>
      <c r="D403" s="907"/>
      <c r="E403" s="907"/>
      <c r="F403" s="907"/>
      <c r="G403" s="907"/>
      <c r="H403" s="907"/>
      <c r="I403" s="907"/>
      <c r="J403" s="907"/>
      <c r="K403" s="907"/>
      <c r="L403" s="907"/>
      <c r="M403" s="907"/>
      <c r="N403" s="907"/>
      <c r="O403" s="907"/>
      <c r="P403" s="907"/>
      <c r="Q403" s="907"/>
      <c r="R403" s="907"/>
      <c r="S403" s="907"/>
      <c r="T403" s="907"/>
      <c r="U403" s="907"/>
      <c r="V403" s="907"/>
      <c r="W403" s="907"/>
      <c r="X403" s="907"/>
      <c r="Y403" s="907"/>
      <c r="Z403" s="907"/>
      <c r="AA403" s="907"/>
    </row>
    <row r="404" spans="1:27">
      <c r="A404" s="907"/>
      <c r="B404" s="907"/>
      <c r="C404" s="907"/>
      <c r="D404" s="907"/>
      <c r="E404" s="907"/>
      <c r="F404" s="907"/>
      <c r="G404" s="907"/>
      <c r="H404" s="907"/>
      <c r="I404" s="907"/>
      <c r="J404" s="907"/>
      <c r="K404" s="907"/>
      <c r="L404" s="907"/>
      <c r="M404" s="907"/>
      <c r="N404" s="907"/>
      <c r="O404" s="907"/>
      <c r="P404" s="907"/>
      <c r="Q404" s="907"/>
      <c r="R404" s="907"/>
      <c r="S404" s="907"/>
      <c r="T404" s="907"/>
      <c r="U404" s="907"/>
      <c r="V404" s="907"/>
      <c r="W404" s="907"/>
      <c r="X404" s="907"/>
      <c r="Y404" s="907"/>
      <c r="Z404" s="907"/>
      <c r="AA404" s="907"/>
    </row>
    <row r="405" spans="1:27">
      <c r="A405" s="907"/>
      <c r="B405" s="907"/>
      <c r="C405" s="907"/>
      <c r="D405" s="907"/>
      <c r="E405" s="907"/>
      <c r="F405" s="907"/>
      <c r="G405" s="907"/>
      <c r="H405" s="907"/>
      <c r="I405" s="907"/>
      <c r="J405" s="907"/>
      <c r="K405" s="907"/>
      <c r="L405" s="907"/>
      <c r="M405" s="907"/>
      <c r="N405" s="907"/>
      <c r="O405" s="907"/>
      <c r="P405" s="907"/>
      <c r="Q405" s="907"/>
      <c r="R405" s="907"/>
      <c r="S405" s="907"/>
      <c r="T405" s="907"/>
      <c r="U405" s="907"/>
      <c r="V405" s="907"/>
      <c r="W405" s="907"/>
      <c r="X405" s="907"/>
      <c r="Y405" s="907"/>
      <c r="Z405" s="907"/>
      <c r="AA405" s="907"/>
    </row>
    <row r="406" spans="1:27">
      <c r="A406" s="907"/>
      <c r="B406" s="907"/>
      <c r="C406" s="907"/>
      <c r="D406" s="907"/>
      <c r="E406" s="907"/>
      <c r="F406" s="907"/>
      <c r="G406" s="907"/>
      <c r="H406" s="907"/>
      <c r="I406" s="907"/>
      <c r="J406" s="907"/>
      <c r="K406" s="907"/>
      <c r="L406" s="907"/>
      <c r="M406" s="907"/>
      <c r="N406" s="907"/>
      <c r="O406" s="907"/>
      <c r="P406" s="907"/>
      <c r="Q406" s="907"/>
      <c r="R406" s="907"/>
      <c r="S406" s="907"/>
      <c r="T406" s="907"/>
      <c r="U406" s="907"/>
      <c r="V406" s="907"/>
      <c r="W406" s="907"/>
      <c r="X406" s="907"/>
      <c r="Y406" s="907"/>
      <c r="Z406" s="907"/>
      <c r="AA406" s="907"/>
    </row>
    <row r="407" spans="1:27">
      <c r="A407" s="907"/>
      <c r="B407" s="907"/>
      <c r="C407" s="907"/>
      <c r="D407" s="907"/>
      <c r="E407" s="907"/>
      <c r="F407" s="907"/>
      <c r="G407" s="907"/>
      <c r="H407" s="907"/>
      <c r="I407" s="907"/>
      <c r="J407" s="907"/>
      <c r="K407" s="907"/>
      <c r="L407" s="907"/>
      <c r="M407" s="907"/>
      <c r="N407" s="907"/>
      <c r="O407" s="907"/>
      <c r="P407" s="907"/>
      <c r="Q407" s="907"/>
      <c r="R407" s="907"/>
      <c r="S407" s="907"/>
      <c r="T407" s="907"/>
      <c r="U407" s="907"/>
      <c r="V407" s="907"/>
      <c r="W407" s="907"/>
      <c r="X407" s="907"/>
      <c r="Y407" s="907"/>
      <c r="Z407" s="907"/>
      <c r="AA407" s="907"/>
    </row>
    <row r="408" spans="1:27">
      <c r="A408" s="907"/>
      <c r="B408" s="907"/>
      <c r="C408" s="907"/>
      <c r="D408" s="907"/>
      <c r="E408" s="907"/>
      <c r="F408" s="907"/>
      <c r="G408" s="907"/>
      <c r="H408" s="907"/>
      <c r="I408" s="907"/>
      <c r="J408" s="907"/>
      <c r="K408" s="907"/>
      <c r="L408" s="907"/>
      <c r="M408" s="907"/>
      <c r="N408" s="907"/>
      <c r="O408" s="907"/>
      <c r="P408" s="907"/>
      <c r="Q408" s="907"/>
      <c r="R408" s="907"/>
      <c r="S408" s="907"/>
      <c r="T408" s="907"/>
      <c r="U408" s="907"/>
      <c r="V408" s="907"/>
      <c r="W408" s="907"/>
      <c r="X408" s="907"/>
      <c r="Y408" s="907"/>
      <c r="Z408" s="907"/>
      <c r="AA408" s="907"/>
    </row>
    <row r="409" spans="1:27">
      <c r="A409" s="907"/>
      <c r="B409" s="907"/>
      <c r="C409" s="907"/>
      <c r="D409" s="907"/>
      <c r="E409" s="907"/>
      <c r="F409" s="907"/>
      <c r="G409" s="907"/>
      <c r="H409" s="907"/>
      <c r="I409" s="907"/>
      <c r="J409" s="907"/>
      <c r="K409" s="907"/>
      <c r="L409" s="907"/>
      <c r="M409" s="907"/>
      <c r="N409" s="907"/>
      <c r="O409" s="907"/>
      <c r="P409" s="907"/>
      <c r="Q409" s="907"/>
      <c r="R409" s="907"/>
      <c r="S409" s="907"/>
      <c r="T409" s="907"/>
      <c r="U409" s="907"/>
      <c r="V409" s="907"/>
      <c r="W409" s="907"/>
      <c r="X409" s="907"/>
      <c r="Y409" s="907"/>
      <c r="Z409" s="907"/>
      <c r="AA409" s="907"/>
    </row>
    <row r="410" spans="1:27">
      <c r="A410" s="907"/>
      <c r="B410" s="907"/>
      <c r="C410" s="907"/>
      <c r="D410" s="907"/>
      <c r="E410" s="907"/>
      <c r="F410" s="907"/>
      <c r="G410" s="907"/>
      <c r="H410" s="907"/>
      <c r="I410" s="907"/>
      <c r="J410" s="907"/>
      <c r="K410" s="907"/>
      <c r="L410" s="907"/>
      <c r="M410" s="907"/>
      <c r="N410" s="907"/>
      <c r="O410" s="907"/>
      <c r="P410" s="907"/>
      <c r="Q410" s="907"/>
      <c r="R410" s="907"/>
      <c r="S410" s="907"/>
      <c r="T410" s="907"/>
      <c r="U410" s="907"/>
      <c r="V410" s="907"/>
      <c r="W410" s="907"/>
      <c r="X410" s="907"/>
      <c r="Y410" s="907"/>
      <c r="Z410" s="907"/>
      <c r="AA410" s="907"/>
    </row>
    <row r="411" spans="1:27">
      <c r="A411" s="907"/>
      <c r="B411" s="907"/>
      <c r="C411" s="907"/>
      <c r="D411" s="907"/>
      <c r="E411" s="907"/>
      <c r="F411" s="907"/>
      <c r="G411" s="907"/>
      <c r="H411" s="907"/>
      <c r="I411" s="907"/>
      <c r="J411" s="907"/>
      <c r="K411" s="907"/>
      <c r="L411" s="907"/>
      <c r="M411" s="907"/>
      <c r="N411" s="907"/>
      <c r="O411" s="907"/>
      <c r="P411" s="907"/>
      <c r="Q411" s="907"/>
      <c r="R411" s="907"/>
      <c r="S411" s="907"/>
      <c r="T411" s="907"/>
      <c r="U411" s="907"/>
      <c r="V411" s="907"/>
      <c r="W411" s="907"/>
      <c r="X411" s="907"/>
      <c r="Y411" s="907"/>
      <c r="Z411" s="907"/>
      <c r="AA411" s="907"/>
    </row>
    <row r="412" spans="1:27">
      <c r="A412" s="907"/>
      <c r="B412" s="907"/>
      <c r="C412" s="907"/>
      <c r="D412" s="907"/>
      <c r="E412" s="907"/>
      <c r="F412" s="907"/>
      <c r="G412" s="907"/>
      <c r="H412" s="907"/>
      <c r="I412" s="907"/>
      <c r="J412" s="907"/>
      <c r="K412" s="907"/>
      <c r="L412" s="907"/>
      <c r="M412" s="907"/>
      <c r="N412" s="907"/>
      <c r="O412" s="907"/>
      <c r="P412" s="907"/>
      <c r="Q412" s="907"/>
      <c r="R412" s="907"/>
      <c r="S412" s="907"/>
      <c r="T412" s="907"/>
      <c r="U412" s="907"/>
      <c r="V412" s="907"/>
      <c r="W412" s="907"/>
      <c r="X412" s="907"/>
      <c r="Y412" s="907"/>
      <c r="Z412" s="907"/>
      <c r="AA412" s="907"/>
    </row>
    <row r="413" spans="1:27">
      <c r="A413" s="907"/>
      <c r="B413" s="907"/>
      <c r="C413" s="907"/>
      <c r="D413" s="907"/>
      <c r="E413" s="907"/>
      <c r="F413" s="907"/>
      <c r="G413" s="907"/>
      <c r="H413" s="907"/>
      <c r="I413" s="907"/>
      <c r="J413" s="907"/>
      <c r="K413" s="907"/>
      <c r="L413" s="907"/>
      <c r="M413" s="907"/>
      <c r="N413" s="907"/>
      <c r="O413" s="907"/>
      <c r="P413" s="907"/>
      <c r="Q413" s="907"/>
      <c r="R413" s="907"/>
      <c r="S413" s="907"/>
      <c r="T413" s="907"/>
      <c r="U413" s="907"/>
      <c r="V413" s="907"/>
      <c r="W413" s="907"/>
      <c r="X413" s="907"/>
      <c r="Y413" s="907"/>
      <c r="Z413" s="907"/>
      <c r="AA413" s="907"/>
    </row>
    <row r="414" spans="1:27">
      <c r="A414" s="907"/>
      <c r="B414" s="907"/>
      <c r="C414" s="907"/>
      <c r="D414" s="907"/>
      <c r="E414" s="907"/>
      <c r="F414" s="907"/>
      <c r="G414" s="907"/>
      <c r="H414" s="907"/>
      <c r="I414" s="907"/>
      <c r="J414" s="907"/>
      <c r="K414" s="907"/>
      <c r="L414" s="907"/>
      <c r="M414" s="907"/>
      <c r="N414" s="907"/>
      <c r="O414" s="907"/>
      <c r="P414" s="907"/>
      <c r="Q414" s="907"/>
      <c r="R414" s="907"/>
      <c r="S414" s="907"/>
      <c r="T414" s="907"/>
      <c r="U414" s="907"/>
      <c r="V414" s="907"/>
      <c r="W414" s="907"/>
      <c r="X414" s="907"/>
      <c r="Y414" s="907"/>
      <c r="Z414" s="907"/>
      <c r="AA414" s="907"/>
    </row>
    <row r="415" spans="1:27">
      <c r="A415" s="907"/>
      <c r="B415" s="907"/>
      <c r="C415" s="907"/>
      <c r="D415" s="907"/>
      <c r="E415" s="907"/>
      <c r="F415" s="907"/>
      <c r="G415" s="907"/>
      <c r="H415" s="907"/>
      <c r="I415" s="907"/>
      <c r="J415" s="907"/>
      <c r="K415" s="907"/>
      <c r="L415" s="907"/>
      <c r="M415" s="907"/>
      <c r="N415" s="907"/>
      <c r="O415" s="907"/>
      <c r="P415" s="907"/>
      <c r="Q415" s="907"/>
      <c r="R415" s="907"/>
      <c r="S415" s="907"/>
      <c r="T415" s="907"/>
      <c r="U415" s="907"/>
      <c r="V415" s="907"/>
      <c r="W415" s="907"/>
      <c r="X415" s="907"/>
      <c r="Y415" s="907"/>
      <c r="Z415" s="907"/>
      <c r="AA415" s="907"/>
    </row>
    <row r="416" spans="1:27">
      <c r="A416" s="907"/>
      <c r="B416" s="907"/>
      <c r="C416" s="907"/>
      <c r="D416" s="907"/>
      <c r="E416" s="907"/>
      <c r="F416" s="907"/>
      <c r="G416" s="907"/>
      <c r="H416" s="907"/>
      <c r="I416" s="907"/>
      <c r="J416" s="907"/>
      <c r="K416" s="907"/>
      <c r="L416" s="907"/>
      <c r="M416" s="907"/>
      <c r="N416" s="907"/>
      <c r="O416" s="907"/>
      <c r="P416" s="907"/>
      <c r="Q416" s="907"/>
      <c r="R416" s="907"/>
      <c r="S416" s="907"/>
      <c r="T416" s="907"/>
      <c r="U416" s="907"/>
      <c r="V416" s="907"/>
      <c r="W416" s="907"/>
      <c r="X416" s="907"/>
      <c r="Y416" s="907"/>
      <c r="Z416" s="907"/>
      <c r="AA416" s="907"/>
    </row>
    <row r="417" spans="1:27">
      <c r="A417" s="907"/>
      <c r="B417" s="907"/>
      <c r="C417" s="907"/>
      <c r="D417" s="907"/>
      <c r="E417" s="907"/>
      <c r="F417" s="907"/>
      <c r="G417" s="907"/>
      <c r="H417" s="907"/>
      <c r="I417" s="907"/>
      <c r="J417" s="907"/>
      <c r="K417" s="907"/>
      <c r="L417" s="907"/>
      <c r="M417" s="907"/>
      <c r="N417" s="907"/>
      <c r="O417" s="907"/>
      <c r="P417" s="907"/>
      <c r="Q417" s="907"/>
      <c r="R417" s="907"/>
      <c r="S417" s="907"/>
      <c r="T417" s="907"/>
      <c r="U417" s="907"/>
      <c r="V417" s="907"/>
      <c r="W417" s="907"/>
      <c r="X417" s="907"/>
      <c r="Y417" s="907"/>
      <c r="Z417" s="907"/>
      <c r="AA417" s="907"/>
    </row>
    <row r="418" spans="1:27">
      <c r="A418" s="907"/>
      <c r="B418" s="907"/>
      <c r="C418" s="907"/>
      <c r="D418" s="907"/>
      <c r="E418" s="907"/>
      <c r="F418" s="907"/>
      <c r="G418" s="907"/>
      <c r="H418" s="907"/>
      <c r="I418" s="907"/>
      <c r="J418" s="907"/>
      <c r="K418" s="907"/>
      <c r="L418" s="907"/>
      <c r="M418" s="907"/>
      <c r="N418" s="907"/>
      <c r="O418" s="907"/>
      <c r="P418" s="907"/>
      <c r="Q418" s="907"/>
      <c r="R418" s="907"/>
      <c r="S418" s="907"/>
      <c r="T418" s="907"/>
      <c r="U418" s="907"/>
      <c r="V418" s="907"/>
      <c r="W418" s="907"/>
      <c r="X418" s="907"/>
      <c r="Y418" s="907"/>
      <c r="Z418" s="907"/>
      <c r="AA418" s="907"/>
    </row>
    <row r="419" spans="1:27">
      <c r="A419" s="907"/>
      <c r="B419" s="907"/>
      <c r="C419" s="907"/>
      <c r="D419" s="907"/>
      <c r="E419" s="907"/>
      <c r="F419" s="907"/>
      <c r="G419" s="907"/>
      <c r="H419" s="907"/>
      <c r="I419" s="907"/>
      <c r="J419" s="907"/>
      <c r="K419" s="907"/>
      <c r="L419" s="907"/>
      <c r="M419" s="907"/>
      <c r="N419" s="907"/>
      <c r="O419" s="907"/>
      <c r="P419" s="907"/>
      <c r="Q419" s="907"/>
      <c r="R419" s="907"/>
      <c r="S419" s="907"/>
      <c r="T419" s="907"/>
      <c r="U419" s="907"/>
      <c r="V419" s="907"/>
      <c r="W419" s="907"/>
      <c r="X419" s="907"/>
      <c r="Y419" s="907"/>
      <c r="Z419" s="907"/>
      <c r="AA419" s="907"/>
    </row>
    <row r="420" spans="1:27">
      <c r="A420" s="907"/>
      <c r="B420" s="907"/>
      <c r="C420" s="907"/>
      <c r="D420" s="907"/>
      <c r="E420" s="907"/>
      <c r="F420" s="907"/>
      <c r="G420" s="907"/>
      <c r="H420" s="907"/>
      <c r="I420" s="907"/>
      <c r="J420" s="907"/>
      <c r="K420" s="907"/>
      <c r="L420" s="907"/>
      <c r="M420" s="907"/>
      <c r="N420" s="907"/>
      <c r="O420" s="907"/>
      <c r="P420" s="907"/>
      <c r="Q420" s="907"/>
      <c r="R420" s="907"/>
      <c r="S420" s="907"/>
      <c r="T420" s="907"/>
      <c r="U420" s="907"/>
      <c r="V420" s="907"/>
      <c r="W420" s="907"/>
      <c r="X420" s="907"/>
      <c r="Y420" s="907"/>
      <c r="Z420" s="907"/>
      <c r="AA420" s="907"/>
    </row>
    <row r="421" spans="1:27">
      <c r="A421" s="907"/>
      <c r="B421" s="907"/>
      <c r="C421" s="907"/>
      <c r="D421" s="907"/>
      <c r="E421" s="907"/>
      <c r="F421" s="907"/>
      <c r="G421" s="907"/>
      <c r="H421" s="907"/>
      <c r="I421" s="907"/>
      <c r="J421" s="907"/>
      <c r="K421" s="907"/>
      <c r="L421" s="907"/>
      <c r="M421" s="907"/>
      <c r="N421" s="907"/>
      <c r="O421" s="907"/>
      <c r="P421" s="907"/>
      <c r="Q421" s="907"/>
      <c r="R421" s="907"/>
      <c r="S421" s="907"/>
      <c r="T421" s="907"/>
      <c r="U421" s="907"/>
      <c r="V421" s="907"/>
      <c r="W421" s="907"/>
      <c r="X421" s="907"/>
      <c r="Y421" s="907"/>
      <c r="Z421" s="907"/>
      <c r="AA421" s="907"/>
    </row>
    <row r="422" spans="1:27">
      <c r="A422" s="907"/>
      <c r="B422" s="907"/>
      <c r="C422" s="907"/>
      <c r="D422" s="907"/>
      <c r="E422" s="907"/>
      <c r="F422" s="907"/>
      <c r="G422" s="907"/>
      <c r="H422" s="907"/>
      <c r="I422" s="907"/>
      <c r="J422" s="907"/>
      <c r="K422" s="907"/>
      <c r="L422" s="907"/>
      <c r="M422" s="907"/>
      <c r="N422" s="907"/>
      <c r="O422" s="907"/>
      <c r="P422" s="907"/>
      <c r="Q422" s="907"/>
      <c r="R422" s="907"/>
      <c r="S422" s="907"/>
      <c r="T422" s="907"/>
      <c r="U422" s="907"/>
      <c r="V422" s="907"/>
      <c r="W422" s="907"/>
      <c r="X422" s="907"/>
      <c r="Y422" s="907"/>
      <c r="Z422" s="907"/>
      <c r="AA422" s="907"/>
    </row>
    <row r="423" spans="1:27">
      <c r="A423" s="907"/>
      <c r="B423" s="907"/>
      <c r="C423" s="907"/>
      <c r="D423" s="907"/>
      <c r="E423" s="907"/>
      <c r="F423" s="907"/>
      <c r="G423" s="907"/>
      <c r="H423" s="907"/>
      <c r="I423" s="907"/>
      <c r="J423" s="907"/>
      <c r="K423" s="907"/>
      <c r="L423" s="907"/>
      <c r="M423" s="907"/>
      <c r="N423" s="907"/>
      <c r="O423" s="907"/>
      <c r="P423" s="907"/>
      <c r="Q423" s="907"/>
      <c r="R423" s="907"/>
      <c r="S423" s="907"/>
      <c r="T423" s="907"/>
      <c r="U423" s="907"/>
      <c r="V423" s="907"/>
      <c r="W423" s="907"/>
      <c r="X423" s="907"/>
      <c r="Y423" s="907"/>
      <c r="Z423" s="907"/>
      <c r="AA423" s="907"/>
    </row>
    <row r="424" spans="1:27">
      <c r="A424" s="907"/>
      <c r="B424" s="907"/>
      <c r="C424" s="907"/>
      <c r="D424" s="907"/>
      <c r="E424" s="907"/>
      <c r="F424" s="907"/>
      <c r="G424" s="907"/>
      <c r="H424" s="907"/>
      <c r="I424" s="907"/>
      <c r="J424" s="907"/>
      <c r="K424" s="907"/>
      <c r="L424" s="907"/>
      <c r="M424" s="907"/>
      <c r="N424" s="907"/>
      <c r="O424" s="907"/>
      <c r="P424" s="907"/>
      <c r="Q424" s="907"/>
      <c r="R424" s="907"/>
      <c r="S424" s="907"/>
      <c r="T424" s="907"/>
      <c r="U424" s="907"/>
      <c r="V424" s="907"/>
      <c r="W424" s="907"/>
      <c r="X424" s="907"/>
      <c r="Y424" s="907"/>
      <c r="Z424" s="907"/>
      <c r="AA424" s="907"/>
    </row>
    <row r="425" spans="1:27">
      <c r="A425" s="907"/>
      <c r="B425" s="907"/>
      <c r="C425" s="907"/>
      <c r="D425" s="907"/>
      <c r="E425" s="907"/>
      <c r="F425" s="907"/>
      <c r="G425" s="907"/>
      <c r="H425" s="907"/>
      <c r="I425" s="907"/>
      <c r="J425" s="907"/>
      <c r="K425" s="907"/>
      <c r="L425" s="907"/>
      <c r="M425" s="907"/>
      <c r="N425" s="907"/>
      <c r="O425" s="907"/>
      <c r="P425" s="907"/>
      <c r="Q425" s="907"/>
      <c r="R425" s="907"/>
      <c r="S425" s="907"/>
      <c r="T425" s="907"/>
      <c r="U425" s="907"/>
      <c r="V425" s="907"/>
      <c r="W425" s="907"/>
      <c r="X425" s="907"/>
      <c r="Y425" s="907"/>
      <c r="Z425" s="907"/>
      <c r="AA425" s="907"/>
    </row>
    <row r="426" spans="1:27">
      <c r="A426" s="907"/>
      <c r="B426" s="907"/>
      <c r="C426" s="907"/>
      <c r="D426" s="907"/>
      <c r="E426" s="907"/>
      <c r="F426" s="907"/>
      <c r="G426" s="907"/>
      <c r="H426" s="907"/>
      <c r="I426" s="907"/>
      <c r="J426" s="907"/>
      <c r="K426" s="907"/>
      <c r="L426" s="907"/>
      <c r="M426" s="907"/>
      <c r="N426" s="907"/>
      <c r="O426" s="907"/>
      <c r="P426" s="907"/>
      <c r="Q426" s="907"/>
      <c r="R426" s="907"/>
      <c r="S426" s="907"/>
      <c r="T426" s="907"/>
      <c r="U426" s="907"/>
      <c r="V426" s="907"/>
      <c r="W426" s="907"/>
      <c r="X426" s="907"/>
      <c r="Y426" s="907"/>
      <c r="Z426" s="907"/>
      <c r="AA426" s="907"/>
    </row>
    <row r="427" spans="1:27">
      <c r="A427" s="907"/>
      <c r="B427" s="907"/>
      <c r="C427" s="907"/>
      <c r="D427" s="907"/>
      <c r="E427" s="907"/>
      <c r="F427" s="907"/>
      <c r="G427" s="907"/>
      <c r="H427" s="907"/>
      <c r="I427" s="907"/>
      <c r="J427" s="907"/>
      <c r="K427" s="907"/>
      <c r="L427" s="907"/>
      <c r="M427" s="907"/>
      <c r="N427" s="907"/>
      <c r="O427" s="907"/>
      <c r="P427" s="907"/>
      <c r="Q427" s="907"/>
      <c r="R427" s="907"/>
      <c r="S427" s="907"/>
      <c r="T427" s="907"/>
      <c r="U427" s="907"/>
      <c r="V427" s="907"/>
      <c r="W427" s="907"/>
      <c r="X427" s="907"/>
      <c r="Y427" s="907"/>
      <c r="Z427" s="907"/>
      <c r="AA427" s="907"/>
    </row>
    <row r="428" spans="1:27">
      <c r="A428" s="907"/>
      <c r="B428" s="907"/>
      <c r="C428" s="907"/>
      <c r="D428" s="907"/>
      <c r="E428" s="907"/>
      <c r="F428" s="907"/>
      <c r="G428" s="907"/>
      <c r="H428" s="907"/>
      <c r="I428" s="907"/>
      <c r="J428" s="907"/>
      <c r="K428" s="907"/>
      <c r="L428" s="907"/>
      <c r="M428" s="907"/>
      <c r="N428" s="907"/>
      <c r="O428" s="907"/>
      <c r="P428" s="907"/>
      <c r="Q428" s="907"/>
      <c r="R428" s="907"/>
      <c r="S428" s="907"/>
      <c r="T428" s="907"/>
      <c r="U428" s="907"/>
      <c r="V428" s="907"/>
      <c r="W428" s="907"/>
      <c r="X428" s="907"/>
      <c r="Y428" s="907"/>
      <c r="Z428" s="907"/>
      <c r="AA428" s="907"/>
    </row>
    <row r="429" spans="1:27">
      <c r="A429" s="907"/>
      <c r="B429" s="907"/>
      <c r="C429" s="907"/>
      <c r="D429" s="907"/>
      <c r="E429" s="907"/>
      <c r="F429" s="907"/>
      <c r="G429" s="907"/>
      <c r="H429" s="907"/>
      <c r="I429" s="907"/>
      <c r="J429" s="907"/>
      <c r="K429" s="907"/>
      <c r="L429" s="907"/>
      <c r="M429" s="907"/>
      <c r="N429" s="907"/>
      <c r="O429" s="907"/>
      <c r="P429" s="907"/>
      <c r="Q429" s="907"/>
      <c r="R429" s="907"/>
      <c r="S429" s="907"/>
      <c r="T429" s="907"/>
      <c r="U429" s="907"/>
      <c r="V429" s="907"/>
      <c r="W429" s="907"/>
      <c r="X429" s="907"/>
      <c r="Y429" s="907"/>
      <c r="Z429" s="907"/>
      <c r="AA429" s="907"/>
    </row>
    <row r="430" spans="1:27">
      <c r="A430" s="907"/>
      <c r="B430" s="907"/>
      <c r="C430" s="907"/>
      <c r="D430" s="907"/>
      <c r="E430" s="907"/>
      <c r="F430" s="907"/>
      <c r="G430" s="907"/>
      <c r="H430" s="907"/>
      <c r="I430" s="907"/>
      <c r="J430" s="907"/>
      <c r="K430" s="907"/>
      <c r="L430" s="907"/>
      <c r="M430" s="907"/>
      <c r="N430" s="907"/>
      <c r="O430" s="907"/>
      <c r="P430" s="907"/>
      <c r="Q430" s="907"/>
      <c r="R430" s="907"/>
      <c r="S430" s="907"/>
      <c r="T430" s="907"/>
      <c r="U430" s="907"/>
      <c r="V430" s="907"/>
      <c r="W430" s="907"/>
      <c r="X430" s="907"/>
      <c r="Y430" s="907"/>
      <c r="Z430" s="907"/>
      <c r="AA430" s="907"/>
    </row>
    <row r="431" spans="1:27">
      <c r="A431" s="907"/>
      <c r="B431" s="907"/>
      <c r="C431" s="907"/>
      <c r="D431" s="907"/>
      <c r="E431" s="907"/>
      <c r="F431" s="907"/>
      <c r="G431" s="907"/>
      <c r="H431" s="907"/>
      <c r="I431" s="907"/>
      <c r="J431" s="907"/>
      <c r="K431" s="907"/>
      <c r="L431" s="907"/>
      <c r="M431" s="907"/>
      <c r="N431" s="907"/>
      <c r="O431" s="907"/>
      <c r="P431" s="907"/>
      <c r="Q431" s="907"/>
      <c r="R431" s="907"/>
      <c r="S431" s="907"/>
      <c r="T431" s="907"/>
      <c r="U431" s="907"/>
      <c r="V431" s="907"/>
      <c r="W431" s="907"/>
      <c r="X431" s="907"/>
      <c r="Y431" s="907"/>
      <c r="Z431" s="907"/>
      <c r="AA431" s="907"/>
    </row>
    <row r="432" spans="1:27">
      <c r="A432" s="907"/>
      <c r="B432" s="907"/>
      <c r="C432" s="907"/>
      <c r="D432" s="907"/>
      <c r="E432" s="907"/>
      <c r="F432" s="907"/>
      <c r="G432" s="907"/>
      <c r="H432" s="907"/>
      <c r="I432" s="907"/>
      <c r="J432" s="907"/>
      <c r="K432" s="907"/>
      <c r="L432" s="907"/>
      <c r="M432" s="907"/>
      <c r="N432" s="907"/>
      <c r="O432" s="907"/>
      <c r="P432" s="907"/>
      <c r="Q432" s="907"/>
      <c r="R432" s="907"/>
      <c r="S432" s="907"/>
      <c r="T432" s="907"/>
      <c r="U432" s="907"/>
      <c r="V432" s="907"/>
      <c r="W432" s="907"/>
      <c r="X432" s="907"/>
      <c r="Y432" s="907"/>
      <c r="Z432" s="907"/>
      <c r="AA432" s="907"/>
    </row>
    <row r="433" spans="1:27">
      <c r="A433" s="907"/>
      <c r="B433" s="907"/>
      <c r="C433" s="907"/>
      <c r="D433" s="907"/>
      <c r="E433" s="907"/>
      <c r="F433" s="907"/>
      <c r="G433" s="907"/>
      <c r="H433" s="907"/>
      <c r="I433" s="907"/>
      <c r="J433" s="907"/>
      <c r="K433" s="907"/>
      <c r="L433" s="907"/>
      <c r="M433" s="907"/>
      <c r="N433" s="907"/>
      <c r="O433" s="907"/>
      <c r="P433" s="907"/>
      <c r="Q433" s="907"/>
      <c r="R433" s="907"/>
      <c r="S433" s="907"/>
      <c r="T433" s="907"/>
      <c r="U433" s="907"/>
      <c r="V433" s="907"/>
      <c r="W433" s="907"/>
      <c r="X433" s="907"/>
      <c r="Y433" s="907"/>
      <c r="Z433" s="907"/>
      <c r="AA433" s="907"/>
    </row>
    <row r="434" spans="1:27">
      <c r="A434" s="907"/>
      <c r="B434" s="907"/>
      <c r="C434" s="907"/>
      <c r="D434" s="907"/>
      <c r="E434" s="907"/>
      <c r="F434" s="907"/>
      <c r="G434" s="907"/>
      <c r="H434" s="907"/>
      <c r="I434" s="907"/>
      <c r="J434" s="907"/>
      <c r="K434" s="907"/>
      <c r="L434" s="907"/>
      <c r="M434" s="907"/>
      <c r="N434" s="907"/>
      <c r="O434" s="907"/>
      <c r="P434" s="907"/>
      <c r="Q434" s="907"/>
      <c r="R434" s="907"/>
      <c r="S434" s="907"/>
      <c r="T434" s="907"/>
      <c r="U434" s="907"/>
      <c r="V434" s="907"/>
      <c r="W434" s="907"/>
      <c r="X434" s="907"/>
      <c r="Y434" s="907"/>
      <c r="Z434" s="907"/>
      <c r="AA434" s="907"/>
    </row>
    <row r="435" spans="1:27">
      <c r="A435" s="907"/>
      <c r="B435" s="907"/>
      <c r="C435" s="907"/>
      <c r="D435" s="907"/>
      <c r="E435" s="907"/>
      <c r="F435" s="907"/>
      <c r="G435" s="907"/>
      <c r="H435" s="907"/>
      <c r="I435" s="907"/>
      <c r="J435" s="907"/>
      <c r="K435" s="907"/>
      <c r="L435" s="907"/>
      <c r="M435" s="907"/>
      <c r="N435" s="907"/>
      <c r="O435" s="907"/>
      <c r="P435" s="907"/>
      <c r="Q435" s="907"/>
      <c r="R435" s="907"/>
      <c r="S435" s="907"/>
      <c r="T435" s="907"/>
      <c r="U435" s="907"/>
      <c r="V435" s="907"/>
      <c r="W435" s="907"/>
      <c r="X435" s="907"/>
      <c r="Y435" s="907"/>
      <c r="Z435" s="907"/>
      <c r="AA435" s="907"/>
    </row>
    <row r="436" spans="1:27">
      <c r="A436" s="907"/>
      <c r="B436" s="907"/>
      <c r="C436" s="907"/>
      <c r="D436" s="907"/>
      <c r="E436" s="907"/>
      <c r="F436" s="907"/>
      <c r="G436" s="907"/>
      <c r="H436" s="907"/>
      <c r="I436" s="907"/>
      <c r="J436" s="907"/>
      <c r="K436" s="907"/>
      <c r="L436" s="907"/>
      <c r="M436" s="907"/>
      <c r="N436" s="907"/>
      <c r="O436" s="907"/>
      <c r="P436" s="907"/>
      <c r="Q436" s="907"/>
      <c r="R436" s="907"/>
      <c r="S436" s="907"/>
      <c r="T436" s="907"/>
      <c r="U436" s="907"/>
      <c r="V436" s="907"/>
      <c r="W436" s="907"/>
      <c r="X436" s="907"/>
      <c r="Y436" s="907"/>
      <c r="Z436" s="907"/>
      <c r="AA436" s="907"/>
    </row>
    <row r="437" spans="1:27">
      <c r="A437" s="907"/>
      <c r="B437" s="907"/>
      <c r="C437" s="907"/>
      <c r="D437" s="907"/>
      <c r="E437" s="907"/>
      <c r="F437" s="907"/>
      <c r="G437" s="907"/>
      <c r="H437" s="907"/>
      <c r="I437" s="907"/>
      <c r="J437" s="907"/>
      <c r="K437" s="907"/>
      <c r="L437" s="907"/>
      <c r="M437" s="907"/>
      <c r="N437" s="907"/>
      <c r="O437" s="907"/>
      <c r="P437" s="907"/>
      <c r="Q437" s="907"/>
      <c r="R437" s="907"/>
      <c r="S437" s="907"/>
      <c r="T437" s="907"/>
      <c r="U437" s="907"/>
      <c r="V437" s="907"/>
      <c r="W437" s="907"/>
      <c r="X437" s="907"/>
      <c r="Y437" s="907"/>
      <c r="Z437" s="907"/>
      <c r="AA437" s="907"/>
    </row>
    <row r="438" spans="1:27">
      <c r="A438" s="907"/>
      <c r="B438" s="907"/>
      <c r="C438" s="907"/>
      <c r="D438" s="907"/>
      <c r="E438" s="907"/>
      <c r="F438" s="907"/>
      <c r="G438" s="907"/>
      <c r="H438" s="907"/>
      <c r="I438" s="907"/>
      <c r="J438" s="907"/>
      <c r="K438" s="907"/>
      <c r="L438" s="907"/>
      <c r="M438" s="907"/>
      <c r="N438" s="907"/>
      <c r="O438" s="907"/>
      <c r="P438" s="907"/>
      <c r="Q438" s="907"/>
      <c r="R438" s="907"/>
      <c r="S438" s="907"/>
      <c r="T438" s="907"/>
      <c r="U438" s="907"/>
      <c r="V438" s="907"/>
      <c r="W438" s="907"/>
      <c r="X438" s="907"/>
      <c r="Y438" s="907"/>
      <c r="Z438" s="907"/>
      <c r="AA438" s="907"/>
    </row>
    <row r="439" spans="1:27">
      <c r="A439" s="907"/>
      <c r="B439" s="907"/>
      <c r="C439" s="907"/>
      <c r="D439" s="907"/>
      <c r="E439" s="907"/>
      <c r="F439" s="907"/>
      <c r="G439" s="907"/>
      <c r="H439" s="907"/>
      <c r="I439" s="907"/>
      <c r="J439" s="907"/>
      <c r="K439" s="907"/>
      <c r="L439" s="907"/>
      <c r="M439" s="907"/>
      <c r="N439" s="907"/>
      <c r="O439" s="907"/>
      <c r="P439" s="907"/>
      <c r="Q439" s="907"/>
      <c r="R439" s="907"/>
      <c r="S439" s="907"/>
      <c r="T439" s="907"/>
      <c r="U439" s="907"/>
      <c r="V439" s="907"/>
      <c r="W439" s="907"/>
      <c r="X439" s="907"/>
      <c r="Y439" s="907"/>
      <c r="Z439" s="907"/>
      <c r="AA439" s="907"/>
    </row>
    <row r="440" spans="1:27">
      <c r="A440" s="907"/>
      <c r="B440" s="907"/>
      <c r="C440" s="907"/>
      <c r="D440" s="907"/>
      <c r="E440" s="907"/>
      <c r="F440" s="907"/>
      <c r="G440" s="907"/>
      <c r="H440" s="907"/>
      <c r="I440" s="907"/>
      <c r="J440" s="907"/>
      <c r="K440" s="907"/>
      <c r="L440" s="907"/>
      <c r="M440" s="907"/>
      <c r="N440" s="907"/>
      <c r="O440" s="907"/>
      <c r="P440" s="907"/>
      <c r="Q440" s="907"/>
      <c r="R440" s="907"/>
      <c r="S440" s="907"/>
      <c r="T440" s="907"/>
      <c r="U440" s="907"/>
      <c r="V440" s="907"/>
      <c r="W440" s="907"/>
      <c r="X440" s="907"/>
      <c r="Y440" s="907"/>
      <c r="Z440" s="907"/>
      <c r="AA440" s="907"/>
    </row>
    <row r="441" spans="1:27">
      <c r="A441" s="907"/>
      <c r="B441" s="907"/>
      <c r="C441" s="907"/>
      <c r="D441" s="907"/>
      <c r="E441" s="907"/>
      <c r="F441" s="907"/>
      <c r="G441" s="907"/>
      <c r="H441" s="907"/>
      <c r="I441" s="907"/>
      <c r="J441" s="907"/>
      <c r="K441" s="907"/>
      <c r="L441" s="907"/>
      <c r="M441" s="907"/>
      <c r="N441" s="907"/>
      <c r="O441" s="907"/>
      <c r="P441" s="907"/>
      <c r="Q441" s="907"/>
      <c r="R441" s="907"/>
      <c r="S441" s="907"/>
      <c r="T441" s="907"/>
      <c r="U441" s="907"/>
      <c r="V441" s="907"/>
      <c r="W441" s="907"/>
      <c r="X441" s="907"/>
      <c r="Y441" s="907"/>
      <c r="Z441" s="907"/>
      <c r="AA441" s="907"/>
    </row>
    <row r="442" spans="1:27">
      <c r="A442" s="907"/>
      <c r="B442" s="907"/>
      <c r="C442" s="907"/>
      <c r="D442" s="907"/>
      <c r="E442" s="907"/>
      <c r="F442" s="907"/>
      <c r="G442" s="907"/>
      <c r="H442" s="907"/>
      <c r="I442" s="907"/>
      <c r="J442" s="907"/>
      <c r="K442" s="907"/>
      <c r="L442" s="907"/>
      <c r="M442" s="907"/>
      <c r="N442" s="907"/>
      <c r="O442" s="907"/>
      <c r="P442" s="907"/>
      <c r="Q442" s="907"/>
      <c r="R442" s="907"/>
      <c r="S442" s="907"/>
      <c r="T442" s="907"/>
      <c r="U442" s="907"/>
      <c r="V442" s="907"/>
      <c r="W442" s="907"/>
      <c r="X442" s="907"/>
      <c r="Y442" s="907"/>
      <c r="Z442" s="907"/>
      <c r="AA442" s="907"/>
    </row>
    <row r="443" spans="1:27">
      <c r="A443" s="907"/>
      <c r="B443" s="907"/>
      <c r="C443" s="907"/>
      <c r="D443" s="907"/>
      <c r="E443" s="907"/>
      <c r="F443" s="907"/>
      <c r="G443" s="907"/>
      <c r="H443" s="907"/>
      <c r="I443" s="907"/>
      <c r="J443" s="907"/>
      <c r="K443" s="907"/>
      <c r="L443" s="907"/>
      <c r="M443" s="907"/>
      <c r="N443" s="907"/>
      <c r="O443" s="907"/>
      <c r="P443" s="907"/>
      <c r="Q443" s="907"/>
      <c r="R443" s="907"/>
      <c r="S443" s="907"/>
      <c r="T443" s="907"/>
      <c r="U443" s="907"/>
      <c r="V443" s="907"/>
      <c r="W443" s="907"/>
      <c r="X443" s="907"/>
      <c r="Y443" s="907"/>
      <c r="Z443" s="907"/>
      <c r="AA443" s="907"/>
    </row>
    <row r="444" spans="1:27">
      <c r="A444" s="907"/>
      <c r="B444" s="907"/>
      <c r="C444" s="907"/>
      <c r="D444" s="907"/>
      <c r="E444" s="907"/>
      <c r="F444" s="907"/>
      <c r="G444" s="907"/>
      <c r="H444" s="907"/>
      <c r="I444" s="907"/>
      <c r="J444" s="907"/>
      <c r="K444" s="907"/>
      <c r="L444" s="907"/>
      <c r="M444" s="907"/>
      <c r="N444" s="907"/>
      <c r="O444" s="907"/>
      <c r="P444" s="907"/>
      <c r="Q444" s="907"/>
      <c r="R444" s="907"/>
      <c r="S444" s="907"/>
      <c r="T444" s="907"/>
      <c r="U444" s="907"/>
      <c r="V444" s="907"/>
      <c r="W444" s="907"/>
      <c r="X444" s="907"/>
      <c r="Y444" s="907"/>
      <c r="Z444" s="907"/>
      <c r="AA444" s="907"/>
    </row>
    <row r="445" spans="1:27">
      <c r="A445" s="907"/>
      <c r="B445" s="907"/>
      <c r="C445" s="907"/>
      <c r="D445" s="907"/>
      <c r="E445" s="907"/>
      <c r="F445" s="907"/>
      <c r="G445" s="907"/>
      <c r="H445" s="907"/>
      <c r="I445" s="907"/>
      <c r="J445" s="907"/>
      <c r="K445" s="907"/>
      <c r="L445" s="907"/>
      <c r="M445" s="907"/>
      <c r="N445" s="907"/>
      <c r="O445" s="907"/>
      <c r="P445" s="907"/>
      <c r="Q445" s="907"/>
      <c r="R445" s="907"/>
      <c r="S445" s="907"/>
      <c r="T445" s="907"/>
      <c r="U445" s="907"/>
      <c r="V445" s="907"/>
      <c r="W445" s="907"/>
      <c r="X445" s="907"/>
      <c r="Y445" s="907"/>
      <c r="Z445" s="907"/>
      <c r="AA445" s="907"/>
    </row>
    <row r="446" spans="1:27">
      <c r="A446" s="907"/>
      <c r="B446" s="907"/>
      <c r="C446" s="907"/>
      <c r="D446" s="907"/>
      <c r="E446" s="907"/>
      <c r="F446" s="907"/>
      <c r="G446" s="907"/>
      <c r="H446" s="907"/>
      <c r="I446" s="907"/>
      <c r="J446" s="907"/>
      <c r="K446" s="907"/>
      <c r="L446" s="907"/>
      <c r="M446" s="907"/>
      <c r="N446" s="907"/>
      <c r="O446" s="907"/>
      <c r="P446" s="907"/>
      <c r="Q446" s="907"/>
      <c r="R446" s="907"/>
      <c r="S446" s="907"/>
      <c r="T446" s="907"/>
      <c r="U446" s="907"/>
      <c r="V446" s="907"/>
      <c r="W446" s="907"/>
      <c r="X446" s="907"/>
      <c r="Y446" s="907"/>
      <c r="Z446" s="907"/>
      <c r="AA446" s="907"/>
    </row>
    <row r="447" spans="1:27">
      <c r="A447" s="907"/>
      <c r="B447" s="907"/>
      <c r="C447" s="907"/>
      <c r="D447" s="907"/>
      <c r="E447" s="907"/>
      <c r="F447" s="907"/>
      <c r="G447" s="907"/>
      <c r="H447" s="907"/>
      <c r="I447" s="907"/>
      <c r="J447" s="907"/>
      <c r="K447" s="907"/>
      <c r="L447" s="907"/>
      <c r="M447" s="907"/>
      <c r="N447" s="907"/>
      <c r="O447" s="907"/>
      <c r="P447" s="907"/>
      <c r="Q447" s="907"/>
      <c r="R447" s="907"/>
      <c r="S447" s="907"/>
      <c r="T447" s="907"/>
      <c r="U447" s="907"/>
      <c r="V447" s="907"/>
      <c r="W447" s="907"/>
      <c r="X447" s="907"/>
      <c r="Y447" s="907"/>
      <c r="Z447" s="907"/>
      <c r="AA447" s="907"/>
    </row>
    <row r="448" spans="1:27">
      <c r="A448" s="907"/>
      <c r="B448" s="907"/>
      <c r="C448" s="907"/>
      <c r="D448" s="907"/>
      <c r="E448" s="907"/>
      <c r="F448" s="907"/>
      <c r="G448" s="907"/>
      <c r="H448" s="907"/>
      <c r="I448" s="907"/>
      <c r="J448" s="907"/>
      <c r="K448" s="907"/>
      <c r="L448" s="907"/>
      <c r="M448" s="907"/>
      <c r="N448" s="907"/>
      <c r="O448" s="907"/>
      <c r="P448" s="907"/>
      <c r="Q448" s="907"/>
      <c r="R448" s="907"/>
      <c r="S448" s="907"/>
      <c r="T448" s="907"/>
      <c r="U448" s="907"/>
      <c r="V448" s="907"/>
      <c r="W448" s="907"/>
      <c r="X448" s="907"/>
      <c r="Y448" s="907"/>
      <c r="Z448" s="907"/>
      <c r="AA448" s="907"/>
    </row>
    <row r="449" spans="1:27">
      <c r="A449" s="907"/>
      <c r="B449" s="907"/>
      <c r="C449" s="907"/>
      <c r="D449" s="907"/>
      <c r="E449" s="907"/>
      <c r="F449" s="907"/>
      <c r="G449" s="907"/>
      <c r="H449" s="907"/>
      <c r="I449" s="907"/>
      <c r="J449" s="907"/>
      <c r="K449" s="907"/>
      <c r="L449" s="907"/>
      <c r="M449" s="907"/>
      <c r="N449" s="907"/>
      <c r="O449" s="907"/>
      <c r="P449" s="907"/>
      <c r="Q449" s="907"/>
      <c r="R449" s="907"/>
      <c r="S449" s="907"/>
      <c r="T449" s="907"/>
      <c r="U449" s="907"/>
      <c r="V449" s="907"/>
      <c r="W449" s="907"/>
      <c r="X449" s="907"/>
      <c r="Y449" s="907"/>
      <c r="Z449" s="907"/>
      <c r="AA449" s="907"/>
    </row>
    <row r="450" spans="1:27">
      <c r="A450" s="907"/>
      <c r="B450" s="907"/>
      <c r="C450" s="907"/>
      <c r="D450" s="907"/>
      <c r="E450" s="907"/>
      <c r="F450" s="907"/>
      <c r="G450" s="907"/>
      <c r="H450" s="907"/>
      <c r="I450" s="907"/>
      <c r="J450" s="907"/>
      <c r="K450" s="907"/>
      <c r="L450" s="907"/>
      <c r="M450" s="907"/>
      <c r="N450" s="907"/>
      <c r="O450" s="907"/>
      <c r="P450" s="907"/>
      <c r="Q450" s="907"/>
      <c r="R450" s="907"/>
      <c r="S450" s="907"/>
      <c r="T450" s="907"/>
      <c r="U450" s="907"/>
      <c r="V450" s="907"/>
      <c r="W450" s="907"/>
      <c r="X450" s="907"/>
      <c r="Y450" s="907"/>
      <c r="Z450" s="907"/>
      <c r="AA450" s="907"/>
    </row>
    <row r="451" spans="1:27">
      <c r="A451" s="907"/>
      <c r="B451" s="907"/>
      <c r="C451" s="907"/>
      <c r="D451" s="907"/>
      <c r="E451" s="907"/>
      <c r="F451" s="907"/>
      <c r="G451" s="907"/>
      <c r="H451" s="907"/>
      <c r="I451" s="907"/>
      <c r="J451" s="907"/>
      <c r="K451" s="907"/>
      <c r="L451" s="907"/>
      <c r="M451" s="907"/>
      <c r="N451" s="907"/>
      <c r="O451" s="907"/>
      <c r="P451" s="907"/>
      <c r="Q451" s="907"/>
      <c r="R451" s="907"/>
      <c r="S451" s="907"/>
      <c r="T451" s="907"/>
      <c r="U451" s="907"/>
      <c r="V451" s="907"/>
      <c r="W451" s="907"/>
      <c r="X451" s="907"/>
      <c r="Y451" s="907"/>
      <c r="Z451" s="907"/>
      <c r="AA451" s="907"/>
    </row>
    <row r="452" spans="1:27">
      <c r="A452" s="907"/>
      <c r="B452" s="907"/>
      <c r="C452" s="907"/>
      <c r="D452" s="907"/>
      <c r="E452" s="907"/>
      <c r="F452" s="907"/>
      <c r="G452" s="907"/>
      <c r="H452" s="907"/>
      <c r="I452" s="907"/>
      <c r="J452" s="907"/>
      <c r="K452" s="907"/>
      <c r="L452" s="907"/>
      <c r="M452" s="907"/>
      <c r="N452" s="907"/>
      <c r="O452" s="907"/>
      <c r="P452" s="907"/>
      <c r="Q452" s="907"/>
      <c r="R452" s="907"/>
      <c r="S452" s="907"/>
      <c r="T452" s="907"/>
      <c r="U452" s="907"/>
      <c r="V452" s="907"/>
      <c r="W452" s="907"/>
      <c r="X452" s="907"/>
      <c r="Y452" s="907"/>
      <c r="Z452" s="907"/>
      <c r="AA452" s="907"/>
    </row>
    <row r="453" spans="1:27">
      <c r="A453" s="907"/>
      <c r="B453" s="907"/>
      <c r="C453" s="907"/>
      <c r="D453" s="907"/>
      <c r="E453" s="907"/>
      <c r="F453" s="907"/>
      <c r="G453" s="907"/>
      <c r="H453" s="907"/>
      <c r="I453" s="907"/>
      <c r="J453" s="907"/>
      <c r="K453" s="907"/>
      <c r="L453" s="907"/>
      <c r="M453" s="907"/>
      <c r="N453" s="907"/>
      <c r="O453" s="907"/>
      <c r="P453" s="907"/>
      <c r="Q453" s="907"/>
      <c r="R453" s="907"/>
      <c r="S453" s="907"/>
      <c r="T453" s="907"/>
      <c r="U453" s="907"/>
      <c r="V453" s="907"/>
      <c r="W453" s="907"/>
      <c r="X453" s="907"/>
      <c r="Y453" s="907"/>
      <c r="Z453" s="907"/>
      <c r="AA453" s="907"/>
    </row>
    <row r="454" spans="1:27">
      <c r="A454" s="907"/>
      <c r="B454" s="907"/>
      <c r="C454" s="907"/>
      <c r="D454" s="907"/>
      <c r="E454" s="907"/>
      <c r="F454" s="907"/>
      <c r="G454" s="907"/>
      <c r="H454" s="907"/>
      <c r="I454" s="907"/>
      <c r="J454" s="907"/>
      <c r="K454" s="907"/>
      <c r="L454" s="907"/>
      <c r="M454" s="907"/>
      <c r="N454" s="907"/>
      <c r="O454" s="907"/>
      <c r="P454" s="907"/>
      <c r="Q454" s="907"/>
      <c r="R454" s="907"/>
      <c r="S454" s="907"/>
      <c r="T454" s="907"/>
      <c r="U454" s="907"/>
      <c r="V454" s="907"/>
      <c r="W454" s="907"/>
      <c r="X454" s="907"/>
      <c r="Y454" s="907"/>
      <c r="Z454" s="907"/>
      <c r="AA454" s="907"/>
    </row>
    <row r="455" spans="1:27">
      <c r="A455" s="907"/>
      <c r="B455" s="907"/>
      <c r="C455" s="907"/>
      <c r="D455" s="907"/>
      <c r="E455" s="907"/>
      <c r="F455" s="907"/>
      <c r="G455" s="907"/>
      <c r="H455" s="907"/>
      <c r="I455" s="907"/>
      <c r="J455" s="907"/>
      <c r="K455" s="907"/>
      <c r="L455" s="907"/>
      <c r="M455" s="907"/>
      <c r="N455" s="907"/>
      <c r="O455" s="907"/>
      <c r="P455" s="907"/>
      <c r="Q455" s="907"/>
      <c r="R455" s="907"/>
      <c r="S455" s="907"/>
      <c r="T455" s="907"/>
      <c r="U455" s="907"/>
      <c r="V455" s="907"/>
      <c r="W455" s="907"/>
      <c r="X455" s="907"/>
      <c r="Y455" s="907"/>
      <c r="Z455" s="907"/>
      <c r="AA455" s="907"/>
    </row>
    <row r="456" spans="1:27">
      <c r="A456" s="907"/>
      <c r="B456" s="907"/>
      <c r="C456" s="907"/>
      <c r="D456" s="907"/>
      <c r="E456" s="907"/>
      <c r="F456" s="907"/>
      <c r="G456" s="907"/>
      <c r="H456" s="907"/>
      <c r="I456" s="907"/>
      <c r="J456" s="907"/>
      <c r="K456" s="907"/>
      <c r="L456" s="907"/>
      <c r="M456" s="907"/>
      <c r="N456" s="907"/>
      <c r="O456" s="907"/>
      <c r="P456" s="907"/>
      <c r="Q456" s="907"/>
      <c r="R456" s="907"/>
      <c r="S456" s="907"/>
      <c r="T456" s="907"/>
      <c r="U456" s="907"/>
      <c r="V456" s="907"/>
      <c r="W456" s="907"/>
      <c r="X456" s="907"/>
      <c r="Y456" s="907"/>
      <c r="Z456" s="907"/>
      <c r="AA456" s="907"/>
    </row>
    <row r="457" spans="1:27">
      <c r="A457" s="907"/>
      <c r="B457" s="907"/>
      <c r="C457" s="907"/>
      <c r="D457" s="907"/>
      <c r="E457" s="907"/>
      <c r="F457" s="907"/>
      <c r="G457" s="907"/>
      <c r="H457" s="907"/>
      <c r="I457" s="907"/>
      <c r="J457" s="907"/>
      <c r="K457" s="907"/>
      <c r="L457" s="907"/>
      <c r="M457" s="907"/>
      <c r="N457" s="907"/>
      <c r="O457" s="907"/>
      <c r="P457" s="907"/>
      <c r="Q457" s="907"/>
      <c r="R457" s="907"/>
      <c r="S457" s="907"/>
      <c r="T457" s="907"/>
      <c r="U457" s="907"/>
      <c r="V457" s="907"/>
      <c r="W457" s="907"/>
      <c r="X457" s="907"/>
      <c r="Y457" s="907"/>
      <c r="Z457" s="907"/>
      <c r="AA457" s="907"/>
    </row>
    <row r="458" spans="1:27">
      <c r="A458" s="907"/>
      <c r="B458" s="907"/>
      <c r="C458" s="907"/>
      <c r="D458" s="907"/>
      <c r="E458" s="907"/>
      <c r="F458" s="907"/>
      <c r="G458" s="907"/>
      <c r="H458" s="907"/>
      <c r="I458" s="907"/>
      <c r="J458" s="907"/>
      <c r="K458" s="907"/>
      <c r="L458" s="907"/>
      <c r="M458" s="907"/>
      <c r="N458" s="907"/>
      <c r="O458" s="907"/>
      <c r="P458" s="907"/>
      <c r="Q458" s="907"/>
      <c r="R458" s="907"/>
      <c r="S458" s="907"/>
      <c r="T458" s="907"/>
      <c r="U458" s="907"/>
      <c r="V458" s="907"/>
      <c r="W458" s="907"/>
      <c r="X458" s="907"/>
      <c r="Y458" s="907"/>
      <c r="Z458" s="907"/>
      <c r="AA458" s="907"/>
    </row>
    <row r="459" spans="1:27">
      <c r="A459" s="907"/>
      <c r="B459" s="907"/>
      <c r="C459" s="907"/>
      <c r="D459" s="907"/>
      <c r="E459" s="907"/>
      <c r="F459" s="907"/>
      <c r="G459" s="907"/>
      <c r="H459" s="907"/>
      <c r="I459" s="907"/>
      <c r="J459" s="907"/>
      <c r="K459" s="907"/>
      <c r="L459" s="907"/>
      <c r="M459" s="907"/>
      <c r="N459" s="907"/>
      <c r="O459" s="907"/>
      <c r="P459" s="907"/>
      <c r="Q459" s="907"/>
      <c r="R459" s="907"/>
      <c r="S459" s="907"/>
      <c r="T459" s="907"/>
      <c r="U459" s="907"/>
      <c r="V459" s="907"/>
      <c r="W459" s="907"/>
      <c r="X459" s="907"/>
      <c r="Y459" s="907"/>
      <c r="Z459" s="907"/>
      <c r="AA459" s="907"/>
    </row>
    <row r="460" spans="1:27">
      <c r="A460" s="907"/>
      <c r="B460" s="907"/>
      <c r="C460" s="907"/>
      <c r="D460" s="907"/>
      <c r="E460" s="907"/>
      <c r="F460" s="907"/>
      <c r="G460" s="907"/>
      <c r="H460" s="907"/>
      <c r="I460" s="907"/>
      <c r="J460" s="907"/>
      <c r="K460" s="907"/>
      <c r="L460" s="907"/>
      <c r="M460" s="907"/>
      <c r="N460" s="907"/>
      <c r="O460" s="907"/>
      <c r="P460" s="907"/>
      <c r="Q460" s="907"/>
      <c r="R460" s="907"/>
      <c r="S460" s="907"/>
      <c r="T460" s="907"/>
      <c r="U460" s="907"/>
      <c r="V460" s="907"/>
      <c r="W460" s="907"/>
      <c r="X460" s="907"/>
      <c r="Y460" s="907"/>
      <c r="Z460" s="907"/>
      <c r="AA460" s="907"/>
    </row>
    <row r="461" spans="1:27">
      <c r="A461" s="907"/>
      <c r="B461" s="907"/>
      <c r="C461" s="907"/>
      <c r="D461" s="907"/>
      <c r="E461" s="907"/>
      <c r="F461" s="907"/>
      <c r="G461" s="907"/>
      <c r="H461" s="907"/>
      <c r="I461" s="907"/>
      <c r="J461" s="907"/>
      <c r="K461" s="907"/>
      <c r="L461" s="907"/>
      <c r="M461" s="907"/>
      <c r="N461" s="907"/>
      <c r="O461" s="907"/>
      <c r="P461" s="907"/>
      <c r="Q461" s="907"/>
      <c r="R461" s="907"/>
      <c r="S461" s="907"/>
      <c r="T461" s="907"/>
      <c r="U461" s="907"/>
      <c r="V461" s="907"/>
      <c r="W461" s="907"/>
      <c r="X461" s="907"/>
      <c r="Y461" s="907"/>
      <c r="Z461" s="907"/>
      <c r="AA461" s="907"/>
    </row>
    <row r="462" spans="1:27">
      <c r="A462" s="907"/>
      <c r="B462" s="907"/>
      <c r="C462" s="907"/>
      <c r="D462" s="907"/>
      <c r="E462" s="907"/>
      <c r="F462" s="907"/>
      <c r="G462" s="907"/>
      <c r="H462" s="907"/>
      <c r="I462" s="907"/>
      <c r="J462" s="907"/>
      <c r="K462" s="907"/>
      <c r="L462" s="907"/>
      <c r="M462" s="907"/>
      <c r="N462" s="907"/>
      <c r="O462" s="907"/>
      <c r="P462" s="907"/>
      <c r="Q462" s="907"/>
      <c r="R462" s="907"/>
      <c r="S462" s="907"/>
      <c r="T462" s="907"/>
      <c r="U462" s="907"/>
      <c r="V462" s="907"/>
      <c r="W462" s="907"/>
      <c r="X462" s="907"/>
      <c r="Y462" s="907"/>
      <c r="Z462" s="907"/>
      <c r="AA462" s="907"/>
    </row>
    <row r="463" spans="1:27">
      <c r="A463" s="907"/>
      <c r="B463" s="907"/>
      <c r="C463" s="907"/>
      <c r="D463" s="907"/>
      <c r="E463" s="907"/>
      <c r="F463" s="907"/>
      <c r="G463" s="907"/>
      <c r="H463" s="907"/>
      <c r="I463" s="907"/>
      <c r="J463" s="907"/>
      <c r="K463" s="907"/>
      <c r="L463" s="907"/>
      <c r="M463" s="907"/>
      <c r="N463" s="907"/>
      <c r="O463" s="907"/>
      <c r="P463" s="907"/>
      <c r="Q463" s="907"/>
      <c r="R463" s="907"/>
      <c r="S463" s="907"/>
      <c r="T463" s="907"/>
      <c r="U463" s="907"/>
      <c r="V463" s="907"/>
      <c r="W463" s="907"/>
      <c r="X463" s="907"/>
      <c r="Y463" s="907"/>
      <c r="Z463" s="907"/>
      <c r="AA463" s="907"/>
    </row>
    <row r="464" spans="1:27">
      <c r="A464" s="907"/>
      <c r="B464" s="907"/>
      <c r="C464" s="907"/>
      <c r="D464" s="907"/>
      <c r="E464" s="907"/>
      <c r="F464" s="907"/>
      <c r="G464" s="907"/>
      <c r="H464" s="907"/>
      <c r="I464" s="907"/>
      <c r="J464" s="907"/>
      <c r="K464" s="907"/>
      <c r="L464" s="907"/>
      <c r="M464" s="907"/>
      <c r="N464" s="907"/>
      <c r="O464" s="907"/>
      <c r="P464" s="907"/>
      <c r="Q464" s="907"/>
      <c r="R464" s="907"/>
      <c r="S464" s="907"/>
      <c r="T464" s="907"/>
      <c r="U464" s="907"/>
      <c r="V464" s="907"/>
      <c r="W464" s="907"/>
      <c r="X464" s="907"/>
      <c r="Y464" s="907"/>
      <c r="Z464" s="907"/>
      <c r="AA464" s="907"/>
    </row>
    <row r="465" spans="1:27">
      <c r="A465" s="907"/>
      <c r="B465" s="907"/>
      <c r="C465" s="907"/>
      <c r="D465" s="907"/>
      <c r="E465" s="907"/>
      <c r="F465" s="907"/>
      <c r="G465" s="907"/>
      <c r="H465" s="907"/>
      <c r="I465" s="907"/>
      <c r="J465" s="907"/>
      <c r="K465" s="907"/>
      <c r="L465" s="907"/>
      <c r="M465" s="907"/>
      <c r="N465" s="907"/>
      <c r="O465" s="907"/>
      <c r="P465" s="907"/>
      <c r="Q465" s="907"/>
      <c r="R465" s="907"/>
      <c r="S465" s="907"/>
      <c r="T465" s="907"/>
      <c r="U465" s="907"/>
      <c r="V465" s="907"/>
      <c r="W465" s="907"/>
      <c r="X465" s="907"/>
      <c r="Y465" s="907"/>
      <c r="Z465" s="907"/>
      <c r="AA465" s="907"/>
    </row>
    <row r="466" spans="1:27">
      <c r="A466" s="907"/>
      <c r="B466" s="907"/>
      <c r="C466" s="907"/>
      <c r="D466" s="907"/>
      <c r="E466" s="907"/>
      <c r="F466" s="907"/>
      <c r="G466" s="907"/>
      <c r="H466" s="907"/>
      <c r="I466" s="907"/>
      <c r="J466" s="907"/>
      <c r="K466" s="907"/>
      <c r="L466" s="907"/>
      <c r="M466" s="907"/>
      <c r="N466" s="907"/>
      <c r="O466" s="907"/>
      <c r="P466" s="907"/>
      <c r="Q466" s="907"/>
      <c r="R466" s="907"/>
      <c r="S466" s="907"/>
      <c r="T466" s="907"/>
      <c r="U466" s="907"/>
      <c r="V466" s="907"/>
      <c r="W466" s="907"/>
      <c r="X466" s="907"/>
      <c r="Y466" s="907"/>
      <c r="Z466" s="907"/>
      <c r="AA466" s="907"/>
    </row>
    <row r="467" spans="1:27">
      <c r="A467" s="907"/>
      <c r="B467" s="907"/>
      <c r="C467" s="907"/>
      <c r="D467" s="907"/>
      <c r="E467" s="907"/>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row>
    <row r="468" spans="1:27">
      <c r="A468" s="907"/>
      <c r="B468" s="907"/>
      <c r="C468" s="907"/>
      <c r="D468" s="907"/>
      <c r="E468" s="90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row>
    <row r="469" spans="1:27">
      <c r="A469" s="907"/>
      <c r="B469" s="907"/>
      <c r="C469" s="907"/>
      <c r="D469" s="907"/>
      <c r="E469" s="907"/>
      <c r="F469" s="907"/>
      <c r="G469" s="907"/>
      <c r="H469" s="907"/>
      <c r="I469" s="907"/>
      <c r="J469" s="907"/>
      <c r="K469" s="907"/>
      <c r="L469" s="907"/>
      <c r="M469" s="907"/>
      <c r="N469" s="907"/>
      <c r="O469" s="907"/>
      <c r="P469" s="907"/>
      <c r="Q469" s="907"/>
      <c r="R469" s="907"/>
      <c r="S469" s="907"/>
      <c r="T469" s="907"/>
      <c r="U469" s="907"/>
      <c r="V469" s="907"/>
      <c r="W469" s="907"/>
      <c r="X469" s="907"/>
      <c r="Y469" s="907"/>
      <c r="Z469" s="907"/>
      <c r="AA469" s="907"/>
    </row>
    <row r="470" spans="1:27">
      <c r="A470" s="907"/>
      <c r="B470" s="907"/>
      <c r="C470" s="907"/>
      <c r="D470" s="907"/>
      <c r="E470" s="907"/>
      <c r="F470" s="907"/>
      <c r="G470" s="907"/>
      <c r="H470" s="907"/>
      <c r="I470" s="907"/>
      <c r="J470" s="907"/>
      <c r="K470" s="907"/>
      <c r="L470" s="907"/>
      <c r="M470" s="907"/>
      <c r="N470" s="907"/>
      <c r="O470" s="907"/>
      <c r="P470" s="907"/>
      <c r="Q470" s="907"/>
      <c r="R470" s="907"/>
      <c r="S470" s="907"/>
      <c r="T470" s="907"/>
      <c r="U470" s="907"/>
      <c r="V470" s="907"/>
      <c r="W470" s="907"/>
      <c r="X470" s="907"/>
      <c r="Y470" s="907"/>
      <c r="Z470" s="907"/>
      <c r="AA470" s="907"/>
    </row>
    <row r="471" spans="1:27">
      <c r="A471" s="907"/>
      <c r="B471" s="907"/>
      <c r="C471" s="907"/>
      <c r="D471" s="907"/>
      <c r="E471" s="907"/>
      <c r="F471" s="907"/>
      <c r="G471" s="907"/>
      <c r="H471" s="907"/>
      <c r="I471" s="907"/>
      <c r="J471" s="907"/>
      <c r="K471" s="907"/>
      <c r="L471" s="907"/>
      <c r="M471" s="907"/>
      <c r="N471" s="907"/>
      <c r="O471" s="907"/>
      <c r="P471" s="907"/>
      <c r="Q471" s="907"/>
      <c r="R471" s="907"/>
      <c r="S471" s="907"/>
      <c r="T471" s="907"/>
      <c r="U471" s="907"/>
      <c r="V471" s="907"/>
      <c r="W471" s="907"/>
      <c r="X471" s="907"/>
      <c r="Y471" s="907"/>
      <c r="Z471" s="907"/>
      <c r="AA471" s="907"/>
    </row>
    <row r="472" spans="1:27">
      <c r="A472" s="907"/>
      <c r="B472" s="907"/>
      <c r="C472" s="907"/>
      <c r="D472" s="907"/>
      <c r="E472" s="907"/>
      <c r="F472" s="907"/>
      <c r="G472" s="907"/>
      <c r="H472" s="907"/>
      <c r="I472" s="907"/>
      <c r="J472" s="907"/>
      <c r="K472" s="907"/>
      <c r="L472" s="907"/>
      <c r="M472" s="907"/>
      <c r="N472" s="907"/>
      <c r="O472" s="907"/>
      <c r="P472" s="907"/>
      <c r="Q472" s="907"/>
      <c r="R472" s="907"/>
      <c r="S472" s="907"/>
      <c r="T472" s="907"/>
      <c r="U472" s="907"/>
      <c r="V472" s="907"/>
      <c r="W472" s="907"/>
      <c r="X472" s="907"/>
      <c r="Y472" s="907"/>
      <c r="Z472" s="907"/>
      <c r="AA472" s="907"/>
    </row>
    <row r="473" spans="1:27">
      <c r="A473" s="907"/>
      <c r="B473" s="907"/>
      <c r="C473" s="907"/>
      <c r="D473" s="907"/>
      <c r="E473" s="907"/>
      <c r="F473" s="907"/>
      <c r="G473" s="907"/>
      <c r="H473" s="907"/>
      <c r="I473" s="907"/>
      <c r="J473" s="907"/>
      <c r="K473" s="907"/>
      <c r="L473" s="907"/>
      <c r="M473" s="907"/>
      <c r="N473" s="907"/>
      <c r="O473" s="907"/>
      <c r="P473" s="907"/>
      <c r="Q473" s="907"/>
      <c r="R473" s="907"/>
      <c r="S473" s="907"/>
      <c r="T473" s="907"/>
      <c r="U473" s="907"/>
      <c r="V473" s="907"/>
      <c r="W473" s="907"/>
      <c r="X473" s="907"/>
      <c r="Y473" s="907"/>
      <c r="Z473" s="907"/>
      <c r="AA473" s="907"/>
    </row>
    <row r="474" spans="1:27">
      <c r="A474" s="907"/>
      <c r="B474" s="907"/>
      <c r="C474" s="907"/>
      <c r="D474" s="907"/>
      <c r="E474" s="907"/>
      <c r="F474" s="907"/>
      <c r="G474" s="907"/>
      <c r="H474" s="907"/>
      <c r="I474" s="907"/>
      <c r="J474" s="907"/>
      <c r="K474" s="907"/>
      <c r="L474" s="907"/>
      <c r="M474" s="907"/>
      <c r="N474" s="907"/>
      <c r="O474" s="907"/>
      <c r="P474" s="907"/>
      <c r="Q474" s="907"/>
      <c r="R474" s="907"/>
      <c r="S474" s="907"/>
      <c r="T474" s="907"/>
      <c r="U474" s="907"/>
      <c r="V474" s="907"/>
      <c r="W474" s="907"/>
      <c r="X474" s="907"/>
      <c r="Y474" s="907"/>
      <c r="Z474" s="907"/>
      <c r="AA474" s="907"/>
    </row>
    <row r="475" spans="1:27">
      <c r="A475" s="907"/>
      <c r="B475" s="907"/>
      <c r="C475" s="907"/>
      <c r="D475" s="907"/>
      <c r="E475" s="907"/>
      <c r="F475" s="907"/>
      <c r="G475" s="907"/>
      <c r="H475" s="907"/>
      <c r="I475" s="907"/>
      <c r="J475" s="907"/>
      <c r="K475" s="907"/>
      <c r="L475" s="907"/>
      <c r="M475" s="907"/>
      <c r="N475" s="907"/>
      <c r="O475" s="907"/>
      <c r="P475" s="907"/>
      <c r="Q475" s="907"/>
      <c r="R475" s="907"/>
      <c r="S475" s="907"/>
      <c r="T475" s="907"/>
      <c r="U475" s="907"/>
      <c r="V475" s="907"/>
      <c r="W475" s="907"/>
      <c r="X475" s="907"/>
      <c r="Y475" s="907"/>
      <c r="Z475" s="907"/>
      <c r="AA475" s="907"/>
    </row>
    <row r="476" spans="1:27">
      <c r="A476" s="907"/>
      <c r="B476" s="907"/>
      <c r="C476" s="907"/>
      <c r="D476" s="907"/>
      <c r="E476" s="907"/>
      <c r="F476" s="907"/>
      <c r="G476" s="907"/>
      <c r="H476" s="907"/>
      <c r="I476" s="907"/>
      <c r="J476" s="907"/>
      <c r="K476" s="907"/>
      <c r="L476" s="907"/>
      <c r="M476" s="907"/>
      <c r="N476" s="907"/>
      <c r="O476" s="907"/>
      <c r="P476" s="907"/>
      <c r="Q476" s="907"/>
      <c r="R476" s="907"/>
      <c r="S476" s="907"/>
      <c r="T476" s="907"/>
      <c r="U476" s="907"/>
      <c r="V476" s="907"/>
      <c r="W476" s="907"/>
      <c r="X476" s="907"/>
      <c r="Y476" s="907"/>
      <c r="Z476" s="907"/>
      <c r="AA476" s="907"/>
    </row>
    <row r="477" spans="1:27">
      <c r="A477" s="907"/>
      <c r="B477" s="907"/>
      <c r="C477" s="907"/>
      <c r="D477" s="907"/>
      <c r="E477" s="907"/>
      <c r="F477" s="907"/>
      <c r="G477" s="907"/>
      <c r="H477" s="907"/>
      <c r="I477" s="907"/>
      <c r="J477" s="907"/>
      <c r="K477" s="907"/>
      <c r="L477" s="907"/>
      <c r="M477" s="907"/>
      <c r="N477" s="907"/>
      <c r="O477" s="907"/>
      <c r="P477" s="907"/>
      <c r="Q477" s="907"/>
      <c r="R477" s="907"/>
      <c r="S477" s="907"/>
      <c r="T477" s="907"/>
      <c r="U477" s="907"/>
      <c r="V477" s="907"/>
      <c r="W477" s="907"/>
      <c r="X477" s="907"/>
      <c r="Y477" s="907"/>
      <c r="Z477" s="907"/>
      <c r="AA477" s="907"/>
    </row>
    <row r="478" spans="1:27">
      <c r="A478" s="907"/>
      <c r="B478" s="907"/>
      <c r="C478" s="907"/>
      <c r="D478" s="907"/>
      <c r="E478" s="907"/>
      <c r="F478" s="907"/>
      <c r="G478" s="907"/>
      <c r="H478" s="907"/>
      <c r="I478" s="907"/>
      <c r="J478" s="907"/>
      <c r="K478" s="907"/>
      <c r="L478" s="907"/>
      <c r="M478" s="907"/>
      <c r="N478" s="907"/>
      <c r="O478" s="907"/>
      <c r="P478" s="907"/>
      <c r="Q478" s="907"/>
      <c r="R478" s="907"/>
      <c r="S478" s="907"/>
      <c r="T478" s="907"/>
      <c r="U478" s="907"/>
      <c r="V478" s="907"/>
      <c r="W478" s="907"/>
      <c r="X478" s="907"/>
      <c r="Y478" s="907"/>
      <c r="Z478" s="907"/>
      <c r="AA478" s="907"/>
    </row>
    <row r="479" spans="1:27">
      <c r="A479" s="907"/>
      <c r="B479" s="907"/>
      <c r="C479" s="907"/>
      <c r="D479" s="907"/>
      <c r="E479" s="907"/>
      <c r="F479" s="907"/>
      <c r="G479" s="907"/>
      <c r="H479" s="907"/>
      <c r="I479" s="907"/>
      <c r="J479" s="907"/>
      <c r="K479" s="907"/>
      <c r="L479" s="907"/>
      <c r="M479" s="907"/>
      <c r="N479" s="907"/>
      <c r="O479" s="907"/>
      <c r="P479" s="907"/>
      <c r="Q479" s="907"/>
      <c r="R479" s="907"/>
      <c r="S479" s="907"/>
      <c r="T479" s="907"/>
      <c r="U479" s="907"/>
      <c r="V479" s="907"/>
      <c r="W479" s="907"/>
      <c r="X479" s="907"/>
      <c r="Y479" s="907"/>
      <c r="Z479" s="907"/>
      <c r="AA479" s="907"/>
    </row>
    <row r="480" spans="1:27">
      <c r="A480" s="907"/>
      <c r="B480" s="907"/>
      <c r="C480" s="907"/>
      <c r="D480" s="907"/>
      <c r="E480" s="907"/>
      <c r="F480" s="907"/>
      <c r="G480" s="907"/>
      <c r="H480" s="907"/>
      <c r="I480" s="907"/>
      <c r="J480" s="907"/>
      <c r="K480" s="907"/>
      <c r="L480" s="907"/>
      <c r="M480" s="907"/>
      <c r="N480" s="907"/>
      <c r="O480" s="907"/>
      <c r="P480" s="907"/>
      <c r="Q480" s="907"/>
      <c r="R480" s="907"/>
      <c r="S480" s="907"/>
      <c r="T480" s="907"/>
      <c r="U480" s="907"/>
      <c r="V480" s="907"/>
      <c r="W480" s="907"/>
      <c r="X480" s="907"/>
      <c r="Y480" s="907"/>
      <c r="Z480" s="907"/>
      <c r="AA480" s="907"/>
    </row>
    <row r="481" spans="1:27">
      <c r="A481" s="907"/>
      <c r="B481" s="907"/>
      <c r="C481" s="907"/>
      <c r="D481" s="907"/>
      <c r="E481" s="907"/>
      <c r="F481" s="907"/>
      <c r="G481" s="907"/>
      <c r="H481" s="907"/>
      <c r="I481" s="907"/>
      <c r="J481" s="907"/>
      <c r="K481" s="907"/>
      <c r="L481" s="907"/>
      <c r="M481" s="907"/>
      <c r="N481" s="907"/>
      <c r="O481" s="907"/>
      <c r="P481" s="907"/>
      <c r="Q481" s="907"/>
      <c r="R481" s="907"/>
      <c r="S481" s="907"/>
      <c r="T481" s="907"/>
      <c r="U481" s="907"/>
      <c r="V481" s="907"/>
      <c r="W481" s="907"/>
      <c r="X481" s="907"/>
      <c r="Y481" s="907"/>
      <c r="Z481" s="907"/>
      <c r="AA481" s="907"/>
    </row>
    <row r="482" spans="1:27">
      <c r="A482" s="907"/>
      <c r="B482" s="907"/>
      <c r="C482" s="907"/>
      <c r="D482" s="907"/>
      <c r="E482" s="907"/>
      <c r="F482" s="907"/>
      <c r="G482" s="907"/>
      <c r="H482" s="907"/>
      <c r="I482" s="907"/>
      <c r="J482" s="907"/>
      <c r="K482" s="907"/>
      <c r="L482" s="907"/>
      <c r="M482" s="907"/>
      <c r="N482" s="907"/>
      <c r="O482" s="907"/>
      <c r="P482" s="907"/>
      <c r="Q482" s="907"/>
      <c r="R482" s="907"/>
      <c r="S482" s="907"/>
      <c r="T482" s="907"/>
      <c r="U482" s="907"/>
      <c r="V482" s="907"/>
      <c r="W482" s="907"/>
      <c r="X482" s="907"/>
      <c r="Y482" s="907"/>
      <c r="Z482" s="907"/>
      <c r="AA482" s="907"/>
    </row>
    <row r="483" spans="1:27">
      <c r="A483" s="907"/>
      <c r="B483" s="907"/>
      <c r="C483" s="907"/>
      <c r="D483" s="907"/>
      <c r="E483" s="907"/>
      <c r="F483" s="907"/>
      <c r="G483" s="907"/>
      <c r="H483" s="907"/>
      <c r="I483" s="907"/>
      <c r="J483" s="907"/>
      <c r="K483" s="907"/>
      <c r="L483" s="907"/>
      <c r="M483" s="907"/>
      <c r="N483" s="907"/>
      <c r="O483" s="907"/>
      <c r="P483" s="907"/>
      <c r="Q483" s="907"/>
      <c r="R483" s="907"/>
      <c r="S483" s="907"/>
      <c r="T483" s="907"/>
      <c r="U483" s="907"/>
      <c r="V483" s="907"/>
      <c r="W483" s="907"/>
      <c r="X483" s="907"/>
      <c r="Y483" s="907"/>
      <c r="Z483" s="907"/>
      <c r="AA483" s="907"/>
    </row>
    <row r="484" spans="1:27">
      <c r="A484" s="907"/>
      <c r="B484" s="907"/>
      <c r="C484" s="907"/>
      <c r="D484" s="907"/>
      <c r="E484" s="907"/>
      <c r="F484" s="907"/>
      <c r="G484" s="907"/>
      <c r="H484" s="907"/>
      <c r="I484" s="907"/>
      <c r="J484" s="907"/>
      <c r="K484" s="907"/>
      <c r="L484" s="907"/>
      <c r="M484" s="907"/>
      <c r="N484" s="907"/>
      <c r="O484" s="907"/>
      <c r="P484" s="907"/>
      <c r="Q484" s="907"/>
      <c r="R484" s="907"/>
      <c r="S484" s="907"/>
      <c r="T484" s="907"/>
      <c r="U484" s="907"/>
      <c r="V484" s="907"/>
      <c r="W484" s="907"/>
      <c r="X484" s="907"/>
      <c r="Y484" s="907"/>
      <c r="Z484" s="907"/>
      <c r="AA484" s="907"/>
    </row>
    <row r="485" spans="1:27">
      <c r="A485" s="907"/>
      <c r="B485" s="907"/>
      <c r="C485" s="907"/>
      <c r="D485" s="907"/>
      <c r="E485" s="907"/>
      <c r="F485" s="907"/>
      <c r="G485" s="907"/>
      <c r="H485" s="907"/>
      <c r="I485" s="907"/>
      <c r="J485" s="907"/>
      <c r="K485" s="907"/>
      <c r="L485" s="907"/>
      <c r="M485" s="907"/>
      <c r="N485" s="907"/>
      <c r="O485" s="907"/>
      <c r="P485" s="907"/>
      <c r="Q485" s="907"/>
      <c r="R485" s="907"/>
      <c r="S485" s="907"/>
      <c r="T485" s="907"/>
      <c r="U485" s="907"/>
      <c r="V485" s="907"/>
      <c r="W485" s="907"/>
      <c r="X485" s="907"/>
      <c r="Y485" s="907"/>
      <c r="Z485" s="907"/>
      <c r="AA485" s="907"/>
    </row>
    <row r="486" spans="1:27">
      <c r="A486" s="907"/>
      <c r="B486" s="907"/>
      <c r="C486" s="907"/>
      <c r="D486" s="907"/>
      <c r="E486" s="907"/>
      <c r="F486" s="907"/>
      <c r="G486" s="907"/>
      <c r="H486" s="907"/>
      <c r="I486" s="907"/>
      <c r="J486" s="907"/>
      <c r="K486" s="907"/>
      <c r="L486" s="907"/>
      <c r="M486" s="907"/>
      <c r="N486" s="907"/>
      <c r="O486" s="907"/>
      <c r="P486" s="907"/>
      <c r="Q486" s="907"/>
      <c r="R486" s="907"/>
      <c r="S486" s="907"/>
      <c r="T486" s="907"/>
      <c r="U486" s="907"/>
      <c r="V486" s="907"/>
      <c r="W486" s="907"/>
      <c r="X486" s="907"/>
      <c r="Y486" s="907"/>
      <c r="Z486" s="907"/>
      <c r="AA486" s="907"/>
    </row>
    <row r="487" spans="1:27">
      <c r="A487" s="907"/>
      <c r="B487" s="907"/>
      <c r="C487" s="907"/>
      <c r="D487" s="907"/>
      <c r="E487" s="907"/>
      <c r="F487" s="907"/>
      <c r="G487" s="907"/>
      <c r="H487" s="907"/>
      <c r="I487" s="907"/>
      <c r="J487" s="907"/>
      <c r="K487" s="907"/>
      <c r="L487" s="907"/>
      <c r="M487" s="907"/>
      <c r="N487" s="907"/>
      <c r="O487" s="907"/>
      <c r="P487" s="907"/>
      <c r="Q487" s="907"/>
      <c r="R487" s="907"/>
      <c r="S487" s="907"/>
      <c r="T487" s="907"/>
      <c r="U487" s="907"/>
      <c r="V487" s="907"/>
      <c r="W487" s="907"/>
      <c r="X487" s="907"/>
      <c r="Y487" s="907"/>
      <c r="Z487" s="907"/>
      <c r="AA487" s="907"/>
    </row>
    <row r="488" spans="1:27">
      <c r="A488" s="907"/>
      <c r="B488" s="907"/>
      <c r="C488" s="907"/>
      <c r="D488" s="907"/>
      <c r="E488" s="907"/>
      <c r="F488" s="907"/>
      <c r="G488" s="907"/>
      <c r="H488" s="907"/>
      <c r="I488" s="907"/>
      <c r="J488" s="907"/>
      <c r="K488" s="907"/>
      <c r="L488" s="907"/>
      <c r="M488" s="907"/>
      <c r="N488" s="907"/>
      <c r="O488" s="907"/>
      <c r="P488" s="907"/>
      <c r="Q488" s="907"/>
      <c r="R488" s="907"/>
      <c r="S488" s="907"/>
      <c r="T488" s="907"/>
      <c r="U488" s="907"/>
      <c r="V488" s="907"/>
      <c r="W488" s="907"/>
      <c r="X488" s="907"/>
      <c r="Y488" s="907"/>
      <c r="Z488" s="907"/>
      <c r="AA488" s="907"/>
    </row>
    <row r="489" spans="1:27">
      <c r="A489" s="907"/>
      <c r="B489" s="907"/>
      <c r="C489" s="907"/>
      <c r="D489" s="907"/>
      <c r="E489" s="907"/>
      <c r="F489" s="907"/>
      <c r="G489" s="907"/>
      <c r="H489" s="907"/>
      <c r="I489" s="907"/>
      <c r="J489" s="907"/>
      <c r="K489" s="907"/>
      <c r="L489" s="907"/>
      <c r="M489" s="907"/>
      <c r="N489" s="907"/>
      <c r="O489" s="907"/>
      <c r="P489" s="907"/>
      <c r="Q489" s="907"/>
      <c r="R489" s="907"/>
      <c r="S489" s="907"/>
      <c r="T489" s="907"/>
      <c r="U489" s="907"/>
      <c r="V489" s="907"/>
      <c r="W489" s="907"/>
      <c r="X489" s="907"/>
      <c r="Y489" s="907"/>
      <c r="Z489" s="907"/>
      <c r="AA489" s="907"/>
    </row>
    <row r="490" spans="1:27">
      <c r="A490" s="907"/>
      <c r="B490" s="907"/>
      <c r="C490" s="907"/>
      <c r="D490" s="907"/>
      <c r="E490" s="907"/>
      <c r="F490" s="907"/>
      <c r="G490" s="907"/>
      <c r="H490" s="907"/>
      <c r="I490" s="907"/>
      <c r="J490" s="907"/>
      <c r="K490" s="907"/>
      <c r="L490" s="907"/>
      <c r="M490" s="907"/>
      <c r="N490" s="907"/>
      <c r="O490" s="907"/>
      <c r="P490" s="907"/>
      <c r="Q490" s="907"/>
      <c r="R490" s="907"/>
      <c r="S490" s="907"/>
      <c r="T490" s="907"/>
      <c r="U490" s="907"/>
      <c r="V490" s="907"/>
      <c r="W490" s="907"/>
      <c r="X490" s="907"/>
      <c r="Y490" s="907"/>
      <c r="Z490" s="907"/>
      <c r="AA490" s="907"/>
    </row>
    <row r="491" spans="1:27">
      <c r="A491" s="907"/>
      <c r="B491" s="907"/>
      <c r="C491" s="907"/>
      <c r="D491" s="907"/>
      <c r="E491" s="907"/>
      <c r="F491" s="907"/>
      <c r="G491" s="907"/>
      <c r="H491" s="907"/>
      <c r="I491" s="907"/>
      <c r="J491" s="907"/>
      <c r="K491" s="907"/>
      <c r="L491" s="907"/>
      <c r="M491" s="907"/>
      <c r="N491" s="907"/>
      <c r="O491" s="907"/>
      <c r="P491" s="907"/>
      <c r="Q491" s="907"/>
      <c r="R491" s="907"/>
      <c r="S491" s="907"/>
      <c r="T491" s="907"/>
      <c r="U491" s="907"/>
      <c r="V491" s="907"/>
      <c r="W491" s="907"/>
      <c r="X491" s="907"/>
      <c r="Y491" s="907"/>
      <c r="Z491" s="907"/>
      <c r="AA491" s="907"/>
    </row>
    <row r="492" spans="1:27">
      <c r="A492" s="907"/>
      <c r="B492" s="907"/>
      <c r="C492" s="907"/>
      <c r="D492" s="907"/>
      <c r="E492" s="907"/>
      <c r="F492" s="907"/>
      <c r="G492" s="907"/>
      <c r="H492" s="907"/>
      <c r="I492" s="907"/>
      <c r="J492" s="907"/>
      <c r="K492" s="907"/>
      <c r="L492" s="907"/>
      <c r="M492" s="907"/>
      <c r="N492" s="907"/>
      <c r="O492" s="907"/>
      <c r="P492" s="907"/>
      <c r="Q492" s="907"/>
      <c r="R492" s="907"/>
      <c r="S492" s="907"/>
      <c r="T492" s="907"/>
      <c r="U492" s="907"/>
      <c r="V492" s="907"/>
      <c r="W492" s="907"/>
      <c r="X492" s="907"/>
      <c r="Y492" s="907"/>
      <c r="Z492" s="907"/>
      <c r="AA492" s="907"/>
    </row>
    <row r="493" spans="1:27">
      <c r="A493" s="907"/>
      <c r="B493" s="907"/>
      <c r="C493" s="907"/>
      <c r="D493" s="907"/>
      <c r="E493" s="907"/>
      <c r="F493" s="907"/>
      <c r="G493" s="907"/>
      <c r="H493" s="907"/>
      <c r="I493" s="907"/>
      <c r="J493" s="907"/>
      <c r="K493" s="907"/>
      <c r="L493" s="907"/>
      <c r="M493" s="907"/>
      <c r="N493" s="907"/>
      <c r="O493" s="907"/>
      <c r="P493" s="907"/>
      <c r="Q493" s="907"/>
      <c r="R493" s="907"/>
      <c r="S493" s="907"/>
      <c r="T493" s="907"/>
      <c r="U493" s="907"/>
      <c r="V493" s="907"/>
      <c r="W493" s="907"/>
      <c r="X493" s="907"/>
      <c r="Y493" s="907"/>
      <c r="Z493" s="907"/>
      <c r="AA493" s="907"/>
    </row>
    <row r="494" spans="1:27">
      <c r="A494" s="907"/>
      <c r="B494" s="907"/>
      <c r="C494" s="907"/>
      <c r="D494" s="907"/>
      <c r="E494" s="907"/>
      <c r="F494" s="907"/>
      <c r="G494" s="907"/>
      <c r="H494" s="907"/>
      <c r="I494" s="907"/>
      <c r="J494" s="907"/>
      <c r="K494" s="907"/>
      <c r="L494" s="907"/>
      <c r="M494" s="907"/>
      <c r="N494" s="907"/>
      <c r="O494" s="907"/>
      <c r="P494" s="907"/>
      <c r="Q494" s="907"/>
      <c r="R494" s="907"/>
      <c r="S494" s="907"/>
      <c r="T494" s="907"/>
      <c r="U494" s="907"/>
      <c r="V494" s="907"/>
      <c r="W494" s="907"/>
      <c r="X494" s="907"/>
      <c r="Y494" s="907"/>
      <c r="Z494" s="907"/>
      <c r="AA494" s="907"/>
    </row>
    <row r="495" spans="1:27">
      <c r="A495" s="907"/>
      <c r="B495" s="907"/>
      <c r="C495" s="907"/>
      <c r="D495" s="907"/>
      <c r="E495" s="907"/>
      <c r="F495" s="907"/>
      <c r="G495" s="907"/>
      <c r="H495" s="907"/>
      <c r="I495" s="907"/>
      <c r="J495" s="907"/>
      <c r="K495" s="907"/>
      <c r="L495" s="907"/>
      <c r="M495" s="907"/>
      <c r="N495" s="907"/>
      <c r="O495" s="907"/>
      <c r="P495" s="907"/>
      <c r="Q495" s="907"/>
      <c r="R495" s="907"/>
      <c r="S495" s="907"/>
      <c r="T495" s="907"/>
      <c r="U495" s="907"/>
      <c r="V495" s="907"/>
      <c r="W495" s="907"/>
      <c r="X495" s="907"/>
      <c r="Y495" s="907"/>
      <c r="Z495" s="907"/>
      <c r="AA495" s="907"/>
    </row>
    <row r="496" spans="1:27">
      <c r="A496" s="907"/>
      <c r="B496" s="907"/>
      <c r="C496" s="907"/>
      <c r="D496" s="907"/>
      <c r="E496" s="907"/>
      <c r="F496" s="907"/>
      <c r="G496" s="907"/>
      <c r="H496" s="907"/>
      <c r="I496" s="907"/>
      <c r="J496" s="907"/>
      <c r="K496" s="907"/>
      <c r="L496" s="907"/>
      <c r="M496" s="907"/>
      <c r="N496" s="907"/>
      <c r="O496" s="907"/>
      <c r="P496" s="907"/>
      <c r="Q496" s="907"/>
      <c r="R496" s="907"/>
      <c r="S496" s="907"/>
      <c r="T496" s="907"/>
      <c r="U496" s="907"/>
      <c r="V496" s="907"/>
      <c r="W496" s="907"/>
      <c r="X496" s="907"/>
      <c r="Y496" s="907"/>
      <c r="Z496" s="907"/>
      <c r="AA496" s="907"/>
    </row>
    <row r="497" spans="1:27">
      <c r="A497" s="907"/>
      <c r="B497" s="907"/>
      <c r="C497" s="907"/>
      <c r="D497" s="907"/>
      <c r="E497" s="907"/>
      <c r="F497" s="907"/>
      <c r="G497" s="907"/>
      <c r="H497" s="907"/>
      <c r="I497" s="907"/>
      <c r="J497" s="907"/>
      <c r="K497" s="907"/>
      <c r="L497" s="907"/>
      <c r="M497" s="907"/>
      <c r="N497" s="907"/>
      <c r="O497" s="907"/>
      <c r="P497" s="907"/>
      <c r="Q497" s="907"/>
      <c r="R497" s="907"/>
      <c r="S497" s="907"/>
      <c r="T497" s="907"/>
      <c r="U497" s="907"/>
      <c r="V497" s="907"/>
      <c r="W497" s="907"/>
      <c r="X497" s="907"/>
      <c r="Y497" s="907"/>
      <c r="Z497" s="907"/>
      <c r="AA497" s="907"/>
    </row>
    <row r="498" spans="1:27">
      <c r="A498" s="907"/>
      <c r="B498" s="907"/>
      <c r="C498" s="907"/>
      <c r="D498" s="907"/>
      <c r="E498" s="907"/>
      <c r="F498" s="907"/>
      <c r="G498" s="907"/>
      <c r="H498" s="907"/>
      <c r="I498" s="907"/>
      <c r="J498" s="907"/>
      <c r="K498" s="907"/>
      <c r="L498" s="907"/>
      <c r="M498" s="907"/>
      <c r="N498" s="907"/>
      <c r="O498" s="907"/>
      <c r="P498" s="907"/>
      <c r="Q498" s="907"/>
      <c r="R498" s="907"/>
      <c r="S498" s="907"/>
      <c r="T498" s="907"/>
      <c r="U498" s="907"/>
      <c r="V498" s="907"/>
      <c r="W498" s="907"/>
      <c r="X498" s="907"/>
      <c r="Y498" s="907"/>
      <c r="Z498" s="907"/>
      <c r="AA498" s="907"/>
    </row>
    <row r="499" spans="1:27">
      <c r="A499" s="907"/>
      <c r="B499" s="907"/>
      <c r="C499" s="907"/>
      <c r="D499" s="907"/>
      <c r="E499" s="907"/>
      <c r="F499" s="907"/>
      <c r="G499" s="907"/>
      <c r="H499" s="907"/>
      <c r="I499" s="907"/>
      <c r="J499" s="907"/>
      <c r="K499" s="907"/>
      <c r="L499" s="907"/>
      <c r="M499" s="907"/>
      <c r="N499" s="907"/>
      <c r="O499" s="907"/>
      <c r="P499" s="907"/>
      <c r="Q499" s="907"/>
      <c r="R499" s="907"/>
      <c r="S499" s="907"/>
      <c r="T499" s="907"/>
      <c r="U499" s="907"/>
      <c r="V499" s="907"/>
      <c r="W499" s="907"/>
      <c r="X499" s="907"/>
      <c r="Y499" s="907"/>
      <c r="Z499" s="907"/>
      <c r="AA499" s="907"/>
    </row>
    <row r="500" spans="1:27">
      <c r="A500" s="907"/>
      <c r="B500" s="907"/>
      <c r="C500" s="907"/>
      <c r="D500" s="907"/>
      <c r="E500" s="907"/>
      <c r="F500" s="907"/>
      <c r="G500" s="907"/>
      <c r="H500" s="907"/>
      <c r="I500" s="907"/>
      <c r="J500" s="907"/>
      <c r="K500" s="907"/>
      <c r="L500" s="907"/>
      <c r="M500" s="907"/>
      <c r="N500" s="907"/>
      <c r="O500" s="907"/>
      <c r="P500" s="907"/>
      <c r="Q500" s="907"/>
      <c r="R500" s="907"/>
      <c r="S500" s="907"/>
      <c r="T500" s="907"/>
      <c r="U500" s="907"/>
      <c r="V500" s="907"/>
      <c r="W500" s="907"/>
      <c r="X500" s="907"/>
      <c r="Y500" s="907"/>
      <c r="Z500" s="907"/>
      <c r="AA500" s="907"/>
    </row>
    <row r="501" spans="1:27">
      <c r="A501" s="907"/>
      <c r="B501" s="907"/>
      <c r="C501" s="907"/>
      <c r="D501" s="907"/>
      <c r="E501" s="907"/>
      <c r="F501" s="907"/>
      <c r="G501" s="907"/>
      <c r="H501" s="907"/>
      <c r="I501" s="907"/>
      <c r="J501" s="907"/>
      <c r="K501" s="907"/>
      <c r="L501" s="907"/>
      <c r="M501" s="907"/>
      <c r="N501" s="907"/>
      <c r="O501" s="907"/>
      <c r="P501" s="907"/>
      <c r="Q501" s="907"/>
      <c r="R501" s="907"/>
      <c r="S501" s="907"/>
      <c r="T501" s="907"/>
      <c r="U501" s="907"/>
      <c r="V501" s="907"/>
      <c r="W501" s="907"/>
      <c r="X501" s="907"/>
      <c r="Y501" s="907"/>
      <c r="Z501" s="907"/>
      <c r="AA501" s="907"/>
    </row>
    <row r="502" spans="1:27">
      <c r="A502" s="907"/>
      <c r="B502" s="907"/>
      <c r="C502" s="907"/>
      <c r="D502" s="907"/>
      <c r="E502" s="907"/>
      <c r="F502" s="907"/>
      <c r="G502" s="907"/>
      <c r="H502" s="907"/>
      <c r="I502" s="907"/>
      <c r="J502" s="907"/>
      <c r="K502" s="907"/>
      <c r="L502" s="907"/>
      <c r="M502" s="907"/>
      <c r="N502" s="907"/>
      <c r="O502" s="907"/>
      <c r="P502" s="907"/>
      <c r="Q502" s="907"/>
      <c r="R502" s="907"/>
      <c r="S502" s="907"/>
      <c r="T502" s="907"/>
      <c r="U502" s="907"/>
      <c r="V502" s="907"/>
      <c r="W502" s="907"/>
      <c r="X502" s="907"/>
      <c r="Y502" s="907"/>
      <c r="Z502" s="907"/>
      <c r="AA502" s="907"/>
    </row>
    <row r="503" spans="1:27">
      <c r="A503" s="907"/>
      <c r="B503" s="907"/>
      <c r="C503" s="907"/>
      <c r="D503" s="907"/>
      <c r="E503" s="907"/>
      <c r="F503" s="907"/>
      <c r="G503" s="907"/>
      <c r="H503" s="907"/>
      <c r="I503" s="907"/>
      <c r="J503" s="907"/>
      <c r="K503" s="907"/>
      <c r="L503" s="907"/>
      <c r="M503" s="907"/>
      <c r="N503" s="907"/>
      <c r="O503" s="907"/>
      <c r="P503" s="907"/>
      <c r="Q503" s="907"/>
      <c r="R503" s="907"/>
      <c r="S503" s="907"/>
      <c r="T503" s="907"/>
      <c r="U503" s="907"/>
      <c r="V503" s="907"/>
      <c r="W503" s="907"/>
      <c r="X503" s="907"/>
      <c r="Y503" s="907"/>
      <c r="Z503" s="907"/>
      <c r="AA503" s="907"/>
    </row>
    <row r="504" spans="1:27">
      <c r="A504" s="907"/>
      <c r="B504" s="907"/>
      <c r="C504" s="907"/>
      <c r="D504" s="907"/>
      <c r="E504" s="907"/>
      <c r="F504" s="907"/>
      <c r="G504" s="907"/>
      <c r="H504" s="907"/>
      <c r="I504" s="907"/>
      <c r="J504" s="907"/>
      <c r="K504" s="907"/>
      <c r="L504" s="907"/>
      <c r="M504" s="907"/>
      <c r="N504" s="907"/>
      <c r="O504" s="907"/>
      <c r="P504" s="907"/>
      <c r="Q504" s="907"/>
      <c r="R504" s="907"/>
      <c r="S504" s="907"/>
      <c r="T504" s="907"/>
      <c r="U504" s="907"/>
      <c r="V504" s="907"/>
      <c r="W504" s="907"/>
      <c r="X504" s="907"/>
      <c r="Y504" s="907"/>
      <c r="Z504" s="907"/>
      <c r="AA504" s="907"/>
    </row>
    <row r="505" spans="1:27">
      <c r="A505" s="907"/>
      <c r="B505" s="907"/>
      <c r="C505" s="907"/>
      <c r="D505" s="907"/>
      <c r="E505" s="907"/>
      <c r="F505" s="907"/>
      <c r="G505" s="907"/>
      <c r="H505" s="907"/>
      <c r="I505" s="907"/>
      <c r="J505" s="907"/>
      <c r="K505" s="907"/>
      <c r="L505" s="907"/>
      <c r="M505" s="907"/>
      <c r="N505" s="907"/>
      <c r="O505" s="907"/>
      <c r="P505" s="907"/>
      <c r="Q505" s="907"/>
      <c r="R505" s="907"/>
      <c r="S505" s="907"/>
      <c r="T505" s="907"/>
      <c r="U505" s="907"/>
      <c r="V505" s="907"/>
      <c r="W505" s="907"/>
      <c r="X505" s="907"/>
      <c r="Y505" s="907"/>
      <c r="Z505" s="907"/>
      <c r="AA505" s="907"/>
    </row>
    <row r="506" spans="1:27">
      <c r="A506" s="907"/>
      <c r="B506" s="907"/>
      <c r="C506" s="907"/>
      <c r="D506" s="907"/>
      <c r="E506" s="907"/>
      <c r="F506" s="907"/>
      <c r="G506" s="907"/>
      <c r="H506" s="907"/>
      <c r="I506" s="907"/>
      <c r="J506" s="907"/>
      <c r="K506" s="907"/>
      <c r="L506" s="907"/>
      <c r="M506" s="907"/>
      <c r="N506" s="907"/>
      <c r="O506" s="907"/>
      <c r="P506" s="907"/>
      <c r="Q506" s="907"/>
      <c r="R506" s="907"/>
      <c r="S506" s="907"/>
      <c r="T506" s="907"/>
      <c r="U506" s="907"/>
      <c r="V506" s="907"/>
      <c r="W506" s="907"/>
      <c r="X506" s="907"/>
      <c r="Y506" s="907"/>
      <c r="Z506" s="907"/>
      <c r="AA506" s="907"/>
    </row>
    <row r="507" spans="1:27">
      <c r="A507" s="907"/>
      <c r="B507" s="907"/>
      <c r="C507" s="907"/>
      <c r="D507" s="907"/>
      <c r="E507" s="907"/>
      <c r="F507" s="907"/>
      <c r="G507" s="907"/>
      <c r="H507" s="907"/>
      <c r="I507" s="907"/>
      <c r="J507" s="907"/>
      <c r="K507" s="907"/>
      <c r="L507" s="907"/>
      <c r="M507" s="907"/>
      <c r="N507" s="907"/>
      <c r="O507" s="907"/>
      <c r="P507" s="907"/>
      <c r="Q507" s="907"/>
      <c r="R507" s="907"/>
      <c r="S507" s="907"/>
      <c r="T507" s="907"/>
      <c r="U507" s="907"/>
      <c r="V507" s="907"/>
      <c r="W507" s="907"/>
      <c r="X507" s="907"/>
      <c r="Y507" s="907"/>
      <c r="Z507" s="907"/>
      <c r="AA507" s="907"/>
    </row>
    <row r="508" spans="1:27">
      <c r="A508" s="907"/>
      <c r="B508" s="907"/>
      <c r="C508" s="907"/>
      <c r="D508" s="907"/>
      <c r="E508" s="907"/>
      <c r="F508" s="907"/>
      <c r="G508" s="907"/>
      <c r="H508" s="907"/>
      <c r="I508" s="907"/>
      <c r="J508" s="907"/>
      <c r="K508" s="907"/>
      <c r="L508" s="907"/>
      <c r="M508" s="907"/>
      <c r="N508" s="907"/>
      <c r="O508" s="907"/>
      <c r="P508" s="907"/>
      <c r="Q508" s="907"/>
      <c r="R508" s="907"/>
      <c r="S508" s="907"/>
      <c r="T508" s="907"/>
      <c r="U508" s="907"/>
      <c r="V508" s="907"/>
      <c r="W508" s="907"/>
      <c r="X508" s="907"/>
      <c r="Y508" s="907"/>
      <c r="Z508" s="907"/>
      <c r="AA508" s="907"/>
    </row>
    <row r="509" spans="1:27">
      <c r="A509" s="907"/>
      <c r="B509" s="907"/>
      <c r="C509" s="907"/>
      <c r="D509" s="907"/>
      <c r="E509" s="907"/>
      <c r="F509" s="907"/>
      <c r="G509" s="907"/>
      <c r="H509" s="907"/>
      <c r="I509" s="907"/>
      <c r="J509" s="907"/>
      <c r="K509" s="907"/>
      <c r="L509" s="907"/>
      <c r="M509" s="907"/>
      <c r="N509" s="907"/>
      <c r="O509" s="907"/>
      <c r="P509" s="907"/>
      <c r="Q509" s="907"/>
      <c r="R509" s="907"/>
      <c r="S509" s="907"/>
      <c r="T509" s="907"/>
      <c r="U509" s="907"/>
      <c r="V509" s="907"/>
      <c r="W509" s="907"/>
      <c r="X509" s="907"/>
      <c r="Y509" s="907"/>
      <c r="Z509" s="907"/>
      <c r="AA509" s="907"/>
    </row>
    <row r="510" spans="1:27">
      <c r="A510" s="907"/>
      <c r="B510" s="907"/>
      <c r="C510" s="907"/>
      <c r="D510" s="907"/>
      <c r="E510" s="907"/>
      <c r="F510" s="907"/>
      <c r="G510" s="907"/>
      <c r="H510" s="907"/>
      <c r="I510" s="907"/>
      <c r="J510" s="907"/>
      <c r="K510" s="907"/>
      <c r="L510" s="907"/>
      <c r="M510" s="907"/>
      <c r="N510" s="907"/>
      <c r="O510" s="907"/>
      <c r="P510" s="907"/>
      <c r="Q510" s="907"/>
      <c r="R510" s="907"/>
      <c r="S510" s="907"/>
      <c r="T510" s="907"/>
      <c r="U510" s="907"/>
      <c r="V510" s="907"/>
      <c r="W510" s="907"/>
      <c r="X510" s="907"/>
      <c r="Y510" s="907"/>
      <c r="Z510" s="907"/>
      <c r="AA510" s="907"/>
    </row>
    <row r="511" spans="1:27">
      <c r="A511" s="907"/>
      <c r="B511" s="907"/>
      <c r="C511" s="907"/>
      <c r="D511" s="907"/>
      <c r="E511" s="907"/>
      <c r="F511" s="907"/>
      <c r="G511" s="907"/>
      <c r="H511" s="907"/>
      <c r="I511" s="907"/>
      <c r="J511" s="907"/>
      <c r="K511" s="907"/>
      <c r="L511" s="907"/>
      <c r="M511" s="907"/>
      <c r="N511" s="907"/>
      <c r="O511" s="907"/>
      <c r="P511" s="907"/>
      <c r="Q511" s="907"/>
      <c r="R511" s="907"/>
      <c r="S511" s="907"/>
      <c r="T511" s="907"/>
      <c r="U511" s="907"/>
      <c r="V511" s="907"/>
      <c r="W511" s="907"/>
      <c r="X511" s="907"/>
      <c r="Y511" s="907"/>
      <c r="Z511" s="907"/>
      <c r="AA511" s="907"/>
    </row>
    <row r="512" spans="1:27">
      <c r="A512" s="907"/>
      <c r="B512" s="907"/>
      <c r="C512" s="907"/>
      <c r="D512" s="907"/>
      <c r="E512" s="907"/>
      <c r="F512" s="907"/>
      <c r="G512" s="907"/>
      <c r="H512" s="907"/>
      <c r="I512" s="907"/>
      <c r="J512" s="907"/>
      <c r="K512" s="907"/>
      <c r="L512" s="907"/>
      <c r="M512" s="907"/>
      <c r="N512" s="907"/>
      <c r="O512" s="907"/>
      <c r="P512" s="907"/>
      <c r="Q512" s="907"/>
      <c r="R512" s="907"/>
      <c r="S512" s="907"/>
      <c r="T512" s="907"/>
      <c r="U512" s="907"/>
      <c r="V512" s="907"/>
      <c r="W512" s="907"/>
      <c r="X512" s="907"/>
      <c r="Y512" s="907"/>
      <c r="Z512" s="907"/>
      <c r="AA512" s="907"/>
    </row>
    <row r="513" spans="1:27">
      <c r="A513" s="907"/>
      <c r="B513" s="907"/>
      <c r="C513" s="907"/>
      <c r="D513" s="907"/>
      <c r="E513" s="907"/>
      <c r="F513" s="907"/>
      <c r="G513" s="907"/>
      <c r="H513" s="907"/>
      <c r="I513" s="907"/>
      <c r="J513" s="907"/>
      <c r="K513" s="907"/>
      <c r="L513" s="907"/>
      <c r="M513" s="907"/>
      <c r="N513" s="907"/>
      <c r="O513" s="907"/>
      <c r="P513" s="907"/>
      <c r="Q513" s="907"/>
      <c r="R513" s="907"/>
      <c r="S513" s="907"/>
      <c r="T513" s="907"/>
      <c r="U513" s="907"/>
      <c r="V513" s="907"/>
      <c r="W513" s="907"/>
      <c r="X513" s="907"/>
      <c r="Y513" s="907"/>
      <c r="Z513" s="907"/>
      <c r="AA513" s="907"/>
    </row>
    <row r="514" spans="1:27">
      <c r="A514" s="907"/>
      <c r="B514" s="907"/>
      <c r="C514" s="907"/>
      <c r="D514" s="907"/>
      <c r="E514" s="907"/>
      <c r="F514" s="907"/>
      <c r="G514" s="907"/>
      <c r="H514" s="907"/>
      <c r="I514" s="907"/>
      <c r="J514" s="907"/>
      <c r="K514" s="907"/>
      <c r="L514" s="907"/>
      <c r="M514" s="907"/>
      <c r="N514" s="907"/>
      <c r="O514" s="907"/>
      <c r="P514" s="907"/>
      <c r="Q514" s="907"/>
      <c r="R514" s="907"/>
      <c r="S514" s="907"/>
      <c r="T514" s="907"/>
      <c r="U514" s="907"/>
      <c r="V514" s="907"/>
      <c r="W514" s="907"/>
      <c r="X514" s="907"/>
      <c r="Y514" s="907"/>
      <c r="Z514" s="907"/>
      <c r="AA514" s="907"/>
    </row>
    <row r="515" spans="1:27">
      <c r="A515" s="907"/>
      <c r="B515" s="907"/>
      <c r="C515" s="907"/>
      <c r="D515" s="907"/>
      <c r="E515" s="907"/>
      <c r="F515" s="907"/>
      <c r="G515" s="907"/>
      <c r="H515" s="907"/>
      <c r="I515" s="907"/>
      <c r="J515" s="907"/>
      <c r="K515" s="907"/>
      <c r="L515" s="907"/>
      <c r="M515" s="907"/>
      <c r="N515" s="907"/>
      <c r="O515" s="907"/>
      <c r="P515" s="907"/>
      <c r="Q515" s="907"/>
      <c r="R515" s="907"/>
      <c r="S515" s="907"/>
      <c r="T515" s="907"/>
      <c r="U515" s="907"/>
      <c r="V515" s="907"/>
      <c r="W515" s="907"/>
      <c r="X515" s="907"/>
      <c r="Y515" s="907"/>
      <c r="Z515" s="907"/>
      <c r="AA515" s="907"/>
    </row>
    <row r="516" spans="1:27">
      <c r="A516" s="907"/>
      <c r="B516" s="907"/>
      <c r="C516" s="907"/>
      <c r="D516" s="907"/>
      <c r="E516" s="907"/>
      <c r="F516" s="907"/>
      <c r="G516" s="907"/>
      <c r="H516" s="907"/>
      <c r="I516" s="907"/>
      <c r="J516" s="907"/>
      <c r="K516" s="907"/>
      <c r="L516" s="907"/>
      <c r="M516" s="907"/>
      <c r="N516" s="907"/>
      <c r="O516" s="907"/>
      <c r="P516" s="907"/>
      <c r="Q516" s="907"/>
      <c r="R516" s="907"/>
      <c r="S516" s="907"/>
      <c r="T516" s="907"/>
      <c r="U516" s="907"/>
      <c r="V516" s="907"/>
      <c r="W516" s="907"/>
      <c r="X516" s="907"/>
      <c r="Y516" s="907"/>
      <c r="Z516" s="907"/>
      <c r="AA516" s="907"/>
    </row>
    <row r="517" spans="1:27">
      <c r="A517" s="907"/>
      <c r="B517" s="907"/>
      <c r="C517" s="907"/>
      <c r="D517" s="907"/>
      <c r="E517" s="907"/>
      <c r="F517" s="907"/>
      <c r="G517" s="907"/>
      <c r="H517" s="907"/>
      <c r="I517" s="907"/>
      <c r="J517" s="907"/>
      <c r="K517" s="907"/>
      <c r="L517" s="907"/>
      <c r="M517" s="907"/>
      <c r="N517" s="907"/>
      <c r="O517" s="907"/>
      <c r="P517" s="907"/>
      <c r="Q517" s="907"/>
      <c r="R517" s="907"/>
      <c r="S517" s="907"/>
      <c r="T517" s="907"/>
      <c r="U517" s="907"/>
      <c r="V517" s="907"/>
      <c r="W517" s="907"/>
      <c r="X517" s="907"/>
      <c r="Y517" s="907"/>
      <c r="Z517" s="907"/>
      <c r="AA517" s="907"/>
    </row>
    <row r="518" spans="1:27">
      <c r="A518" s="907"/>
      <c r="B518" s="907"/>
      <c r="C518" s="907"/>
      <c r="D518" s="907"/>
      <c r="E518" s="907"/>
      <c r="F518" s="907"/>
      <c r="G518" s="907"/>
      <c r="H518" s="907"/>
      <c r="I518" s="907"/>
      <c r="J518" s="907"/>
      <c r="K518" s="907"/>
      <c r="L518" s="907"/>
      <c r="M518" s="907"/>
      <c r="N518" s="907"/>
      <c r="O518" s="907"/>
      <c r="P518" s="907"/>
      <c r="Q518" s="907"/>
      <c r="R518" s="907"/>
      <c r="S518" s="907"/>
      <c r="T518" s="907"/>
      <c r="U518" s="907"/>
      <c r="V518" s="907"/>
      <c r="W518" s="907"/>
      <c r="X518" s="907"/>
      <c r="Y518" s="907"/>
      <c r="Z518" s="907"/>
      <c r="AA518" s="907"/>
    </row>
    <row r="519" spans="1:27">
      <c r="A519" s="907"/>
      <c r="B519" s="907"/>
      <c r="C519" s="907"/>
      <c r="D519" s="907"/>
      <c r="E519" s="907"/>
      <c r="F519" s="907"/>
      <c r="G519" s="907"/>
      <c r="H519" s="907"/>
      <c r="I519" s="907"/>
      <c r="J519" s="907"/>
      <c r="K519" s="907"/>
      <c r="L519" s="907"/>
      <c r="M519" s="907"/>
      <c r="N519" s="907"/>
      <c r="O519" s="907"/>
      <c r="P519" s="907"/>
      <c r="Q519" s="907"/>
      <c r="R519" s="907"/>
      <c r="S519" s="907"/>
      <c r="T519" s="907"/>
      <c r="U519" s="907"/>
      <c r="V519" s="907"/>
      <c r="W519" s="907"/>
      <c r="X519" s="907"/>
      <c r="Y519" s="907"/>
      <c r="Z519" s="907"/>
      <c r="AA519" s="907"/>
    </row>
    <row r="520" spans="1:27">
      <c r="A520" s="907"/>
      <c r="B520" s="907"/>
      <c r="C520" s="907"/>
      <c r="D520" s="907"/>
      <c r="E520" s="907"/>
      <c r="F520" s="907"/>
      <c r="G520" s="907"/>
      <c r="H520" s="907"/>
      <c r="I520" s="907"/>
      <c r="J520" s="907"/>
      <c r="K520" s="907"/>
      <c r="L520" s="907"/>
      <c r="M520" s="907"/>
      <c r="N520" s="907"/>
      <c r="O520" s="907"/>
      <c r="P520" s="907"/>
      <c r="Q520" s="907"/>
      <c r="R520" s="907"/>
      <c r="S520" s="907"/>
      <c r="T520" s="907"/>
      <c r="U520" s="907"/>
      <c r="V520" s="907"/>
      <c r="W520" s="907"/>
      <c r="X520" s="907"/>
      <c r="Y520" s="907"/>
      <c r="Z520" s="907"/>
      <c r="AA520" s="907"/>
    </row>
    <row r="521" spans="1:27">
      <c r="A521" s="907"/>
      <c r="B521" s="907"/>
      <c r="C521" s="907"/>
      <c r="D521" s="907"/>
      <c r="E521" s="907"/>
      <c r="F521" s="907"/>
      <c r="G521" s="907"/>
      <c r="H521" s="907"/>
      <c r="I521" s="907"/>
      <c r="J521" s="907"/>
      <c r="K521" s="907"/>
      <c r="L521" s="907"/>
      <c r="M521" s="907"/>
      <c r="N521" s="907"/>
      <c r="O521" s="907"/>
      <c r="P521" s="907"/>
      <c r="Q521" s="907"/>
      <c r="R521" s="907"/>
      <c r="S521" s="907"/>
      <c r="T521" s="907"/>
      <c r="U521" s="907"/>
      <c r="V521" s="907"/>
      <c r="W521" s="907"/>
      <c r="X521" s="907"/>
      <c r="Y521" s="907"/>
      <c r="Z521" s="907"/>
      <c r="AA521" s="907"/>
    </row>
    <row r="522" spans="1:27">
      <c r="A522" s="907"/>
      <c r="B522" s="907"/>
      <c r="C522" s="907"/>
      <c r="D522" s="907"/>
      <c r="E522" s="907"/>
      <c r="F522" s="907"/>
      <c r="G522" s="907"/>
      <c r="H522" s="907"/>
      <c r="I522" s="907"/>
      <c r="J522" s="907"/>
      <c r="K522" s="907"/>
      <c r="L522" s="907"/>
      <c r="M522" s="907"/>
      <c r="N522" s="907"/>
      <c r="O522" s="907"/>
      <c r="P522" s="907"/>
      <c r="Q522" s="907"/>
      <c r="R522" s="907"/>
      <c r="S522" s="907"/>
      <c r="T522" s="907"/>
      <c r="U522" s="907"/>
      <c r="V522" s="907"/>
      <c r="W522" s="907"/>
      <c r="X522" s="907"/>
      <c r="Y522" s="907"/>
      <c r="Z522" s="907"/>
      <c r="AA522" s="907"/>
    </row>
    <row r="523" spans="1:27">
      <c r="A523" s="907"/>
      <c r="B523" s="907"/>
      <c r="C523" s="907"/>
      <c r="D523" s="907"/>
      <c r="E523" s="907"/>
      <c r="F523" s="907"/>
      <c r="G523" s="907"/>
      <c r="H523" s="907"/>
      <c r="I523" s="907"/>
      <c r="J523" s="907"/>
      <c r="K523" s="907"/>
      <c r="L523" s="907"/>
      <c r="M523" s="907"/>
      <c r="N523" s="907"/>
      <c r="O523" s="907"/>
      <c r="P523" s="907"/>
      <c r="Q523" s="907"/>
      <c r="R523" s="907"/>
      <c r="S523" s="907"/>
      <c r="T523" s="907"/>
      <c r="U523" s="907"/>
      <c r="V523" s="907"/>
      <c r="W523" s="907"/>
      <c r="X523" s="907"/>
      <c r="Y523" s="907"/>
      <c r="Z523" s="907"/>
      <c r="AA523" s="907"/>
    </row>
    <row r="524" spans="1:27">
      <c r="A524" s="907"/>
      <c r="B524" s="907"/>
      <c r="C524" s="907"/>
      <c r="D524" s="907"/>
      <c r="E524" s="907"/>
      <c r="F524" s="907"/>
      <c r="G524" s="907"/>
      <c r="H524" s="907"/>
      <c r="I524" s="907"/>
      <c r="J524" s="907"/>
      <c r="K524" s="907"/>
      <c r="L524" s="907"/>
      <c r="M524" s="907"/>
      <c r="N524" s="907"/>
      <c r="O524" s="907"/>
      <c r="P524" s="907"/>
      <c r="Q524" s="907"/>
      <c r="R524" s="907"/>
      <c r="S524" s="907"/>
      <c r="T524" s="907"/>
      <c r="U524" s="907"/>
      <c r="V524" s="907"/>
      <c r="W524" s="907"/>
      <c r="X524" s="907"/>
      <c r="Y524" s="907"/>
      <c r="Z524" s="907"/>
      <c r="AA524" s="907"/>
    </row>
    <row r="525" spans="1:27">
      <c r="A525" s="907"/>
      <c r="B525" s="907"/>
      <c r="C525" s="907"/>
      <c r="D525" s="907"/>
      <c r="E525" s="907"/>
      <c r="F525" s="907"/>
      <c r="G525" s="907"/>
      <c r="H525" s="907"/>
      <c r="I525" s="907"/>
      <c r="J525" s="907"/>
      <c r="K525" s="907"/>
      <c r="L525" s="907"/>
      <c r="M525" s="907"/>
      <c r="N525" s="907"/>
      <c r="O525" s="907"/>
      <c r="P525" s="907"/>
      <c r="Q525" s="907"/>
      <c r="R525" s="907"/>
      <c r="S525" s="907"/>
      <c r="T525" s="907"/>
      <c r="U525" s="907"/>
      <c r="V525" s="907"/>
      <c r="W525" s="907"/>
      <c r="X525" s="907"/>
      <c r="Y525" s="907"/>
      <c r="Z525" s="907"/>
      <c r="AA525" s="907"/>
    </row>
    <row r="526" spans="1:27">
      <c r="A526" s="907"/>
      <c r="B526" s="907"/>
      <c r="C526" s="907"/>
      <c r="D526" s="907"/>
      <c r="E526" s="907"/>
      <c r="F526" s="907"/>
      <c r="G526" s="907"/>
      <c r="H526" s="907"/>
      <c r="I526" s="907"/>
      <c r="J526" s="907"/>
      <c r="K526" s="907"/>
      <c r="L526" s="907"/>
      <c r="M526" s="907"/>
      <c r="N526" s="907"/>
      <c r="O526" s="907"/>
      <c r="P526" s="907"/>
      <c r="Q526" s="907"/>
      <c r="R526" s="907"/>
      <c r="S526" s="907"/>
      <c r="T526" s="907"/>
      <c r="U526" s="907"/>
      <c r="V526" s="907"/>
      <c r="W526" s="907"/>
      <c r="X526" s="907"/>
      <c r="Y526" s="907"/>
      <c r="Z526" s="907"/>
      <c r="AA526" s="907"/>
    </row>
    <row r="527" spans="1:27">
      <c r="A527" s="907"/>
      <c r="B527" s="907"/>
      <c r="C527" s="907"/>
      <c r="D527" s="907"/>
      <c r="E527" s="907"/>
      <c r="F527" s="907"/>
      <c r="G527" s="907"/>
      <c r="H527" s="907"/>
      <c r="I527" s="907"/>
      <c r="J527" s="907"/>
      <c r="K527" s="907"/>
      <c r="L527" s="907"/>
      <c r="M527" s="907"/>
      <c r="N527" s="907"/>
      <c r="O527" s="907"/>
      <c r="P527" s="907"/>
      <c r="Q527" s="907"/>
      <c r="R527" s="907"/>
      <c r="S527" s="907"/>
      <c r="T527" s="907"/>
      <c r="U527" s="907"/>
      <c r="V527" s="907"/>
      <c r="W527" s="907"/>
      <c r="X527" s="907"/>
      <c r="Y527" s="907"/>
      <c r="Z527" s="907"/>
      <c r="AA527" s="907"/>
    </row>
    <row r="528" spans="1:27">
      <c r="A528" s="907"/>
      <c r="B528" s="907"/>
      <c r="C528" s="907"/>
      <c r="D528" s="907"/>
      <c r="E528" s="907"/>
      <c r="F528" s="907"/>
      <c r="G528" s="907"/>
      <c r="H528" s="907"/>
      <c r="I528" s="907"/>
      <c r="J528" s="907"/>
      <c r="K528" s="907"/>
      <c r="L528" s="907"/>
      <c r="M528" s="907"/>
      <c r="N528" s="907"/>
      <c r="O528" s="907"/>
      <c r="P528" s="907"/>
      <c r="Q528" s="907"/>
      <c r="R528" s="907"/>
      <c r="S528" s="907"/>
      <c r="T528" s="907"/>
      <c r="U528" s="907"/>
      <c r="V528" s="907"/>
      <c r="W528" s="907"/>
      <c r="X528" s="907"/>
      <c r="Y528" s="907"/>
      <c r="Z528" s="907"/>
      <c r="AA528" s="907"/>
    </row>
    <row r="529" spans="1:27">
      <c r="A529" s="907"/>
      <c r="B529" s="907"/>
      <c r="C529" s="907"/>
      <c r="D529" s="907"/>
      <c r="E529" s="907"/>
      <c r="F529" s="907"/>
      <c r="G529" s="907"/>
      <c r="H529" s="907"/>
      <c r="I529" s="907"/>
      <c r="J529" s="907"/>
      <c r="K529" s="907"/>
      <c r="L529" s="907"/>
      <c r="M529" s="907"/>
      <c r="N529" s="907"/>
      <c r="O529" s="907"/>
      <c r="P529" s="907"/>
      <c r="Q529" s="907"/>
      <c r="R529" s="907"/>
      <c r="S529" s="907"/>
      <c r="T529" s="907"/>
      <c r="U529" s="907"/>
      <c r="V529" s="907"/>
      <c r="W529" s="907"/>
      <c r="X529" s="907"/>
      <c r="Y529" s="907"/>
      <c r="Z529" s="907"/>
      <c r="AA529" s="907"/>
    </row>
    <row r="530" spans="1:27">
      <c r="A530" s="907"/>
      <c r="B530" s="907"/>
      <c r="C530" s="907"/>
      <c r="D530" s="907"/>
      <c r="E530" s="907"/>
      <c r="F530" s="907"/>
      <c r="G530" s="907"/>
      <c r="H530" s="907"/>
      <c r="I530" s="907"/>
      <c r="J530" s="907"/>
      <c r="K530" s="907"/>
      <c r="L530" s="907"/>
      <c r="M530" s="907"/>
      <c r="N530" s="907"/>
      <c r="O530" s="907"/>
      <c r="P530" s="907"/>
      <c r="Q530" s="907"/>
      <c r="R530" s="907"/>
      <c r="S530" s="907"/>
      <c r="T530" s="907"/>
      <c r="U530" s="907"/>
      <c r="V530" s="907"/>
      <c r="W530" s="907"/>
      <c r="X530" s="907"/>
      <c r="Y530" s="907"/>
      <c r="Z530" s="907"/>
      <c r="AA530" s="907"/>
    </row>
    <row r="531" spans="1:27">
      <c r="A531" s="907"/>
      <c r="B531" s="907"/>
      <c r="C531" s="907"/>
      <c r="D531" s="907"/>
      <c r="E531" s="907"/>
      <c r="F531" s="907"/>
      <c r="G531" s="907"/>
      <c r="H531" s="907"/>
      <c r="I531" s="907"/>
      <c r="J531" s="907"/>
      <c r="K531" s="907"/>
      <c r="L531" s="907"/>
      <c r="M531" s="907"/>
      <c r="N531" s="907"/>
      <c r="O531" s="907"/>
      <c r="P531" s="907"/>
      <c r="Q531" s="907"/>
      <c r="R531" s="907"/>
      <c r="S531" s="907"/>
      <c r="T531" s="907"/>
      <c r="U531" s="907"/>
      <c r="V531" s="907"/>
      <c r="W531" s="907"/>
      <c r="X531" s="907"/>
      <c r="Y531" s="907"/>
      <c r="Z531" s="907"/>
      <c r="AA531" s="907"/>
    </row>
    <row r="532" spans="1:27">
      <c r="A532" s="907"/>
      <c r="B532" s="907"/>
      <c r="C532" s="907"/>
      <c r="D532" s="907"/>
      <c r="E532" s="907"/>
      <c r="F532" s="907"/>
      <c r="G532" s="907"/>
      <c r="H532" s="907"/>
      <c r="I532" s="907"/>
      <c r="J532" s="907"/>
      <c r="K532" s="907"/>
      <c r="L532" s="907"/>
      <c r="M532" s="907"/>
      <c r="N532" s="907"/>
      <c r="O532" s="907"/>
      <c r="P532" s="907"/>
      <c r="Q532" s="907"/>
      <c r="R532" s="907"/>
      <c r="S532" s="907"/>
      <c r="T532" s="907"/>
      <c r="U532" s="907"/>
      <c r="V532" s="907"/>
      <c r="W532" s="907"/>
      <c r="X532" s="907"/>
      <c r="Y532" s="907"/>
      <c r="Z532" s="907"/>
      <c r="AA532" s="907"/>
    </row>
    <row r="533" spans="1:27">
      <c r="A533" s="907"/>
      <c r="B533" s="907"/>
      <c r="C533" s="907"/>
      <c r="D533" s="907"/>
      <c r="E533" s="907"/>
      <c r="F533" s="907"/>
      <c r="G533" s="907"/>
      <c r="H533" s="907"/>
      <c r="I533" s="907"/>
      <c r="J533" s="907"/>
      <c r="K533" s="907"/>
      <c r="L533" s="907"/>
      <c r="M533" s="907"/>
      <c r="N533" s="907"/>
      <c r="O533" s="907"/>
      <c r="P533" s="907"/>
      <c r="Q533" s="907"/>
      <c r="R533" s="907"/>
      <c r="S533" s="907"/>
      <c r="T533" s="907"/>
      <c r="U533" s="907"/>
      <c r="V533" s="907"/>
      <c r="W533" s="907"/>
      <c r="X533" s="907"/>
      <c r="Y533" s="907"/>
      <c r="Z533" s="907"/>
      <c r="AA533" s="907"/>
    </row>
    <row r="534" spans="1:27">
      <c r="A534" s="907"/>
      <c r="B534" s="907"/>
      <c r="C534" s="907"/>
      <c r="D534" s="907"/>
      <c r="E534" s="907"/>
      <c r="F534" s="907"/>
      <c r="G534" s="907"/>
      <c r="H534" s="907"/>
      <c r="I534" s="907"/>
      <c r="J534" s="907"/>
      <c r="K534" s="907"/>
      <c r="L534" s="907"/>
      <c r="M534" s="907"/>
      <c r="N534" s="907"/>
      <c r="O534" s="907"/>
      <c r="P534" s="907"/>
      <c r="Q534" s="907"/>
      <c r="R534" s="907"/>
      <c r="S534" s="907"/>
      <c r="T534" s="907"/>
      <c r="U534" s="907"/>
      <c r="V534" s="907"/>
      <c r="W534" s="907"/>
      <c r="X534" s="907"/>
      <c r="Y534" s="907"/>
      <c r="Z534" s="907"/>
      <c r="AA534" s="907"/>
    </row>
    <row r="535" spans="1:27">
      <c r="A535" s="907"/>
      <c r="B535" s="907"/>
      <c r="C535" s="907"/>
      <c r="D535" s="907"/>
      <c r="E535" s="907"/>
      <c r="F535" s="907"/>
      <c r="G535" s="907"/>
      <c r="H535" s="907"/>
      <c r="I535" s="907"/>
      <c r="J535" s="907"/>
      <c r="K535" s="907"/>
      <c r="L535" s="907"/>
      <c r="M535" s="907"/>
      <c r="N535" s="907"/>
      <c r="O535" s="907"/>
      <c r="P535" s="907"/>
      <c r="Q535" s="907"/>
      <c r="R535" s="907"/>
      <c r="S535" s="907"/>
      <c r="T535" s="907"/>
      <c r="U535" s="907"/>
      <c r="V535" s="907"/>
      <c r="W535" s="907"/>
      <c r="X535" s="907"/>
      <c r="Y535" s="907"/>
      <c r="Z535" s="907"/>
      <c r="AA535" s="907"/>
    </row>
    <row r="536" spans="1:27">
      <c r="A536" s="907"/>
      <c r="B536" s="907"/>
      <c r="C536" s="907"/>
      <c r="D536" s="907"/>
      <c r="E536" s="907"/>
      <c r="F536" s="907"/>
      <c r="G536" s="907"/>
      <c r="H536" s="907"/>
      <c r="I536" s="907"/>
      <c r="J536" s="907"/>
      <c r="K536" s="907"/>
      <c r="L536" s="907"/>
      <c r="M536" s="907"/>
      <c r="N536" s="907"/>
      <c r="O536" s="907"/>
      <c r="P536" s="907"/>
      <c r="Q536" s="907"/>
      <c r="R536" s="907"/>
      <c r="S536" s="907"/>
      <c r="T536" s="907"/>
      <c r="U536" s="907"/>
      <c r="V536" s="907"/>
      <c r="W536" s="907"/>
      <c r="X536" s="907"/>
      <c r="Y536" s="907"/>
      <c r="Z536" s="907"/>
      <c r="AA536" s="907"/>
    </row>
    <row r="537" spans="1:27">
      <c r="A537" s="907"/>
      <c r="B537" s="907"/>
      <c r="C537" s="907"/>
      <c r="D537" s="907"/>
      <c r="E537" s="907"/>
      <c r="F537" s="907"/>
      <c r="G537" s="907"/>
      <c r="H537" s="907"/>
      <c r="I537" s="907"/>
      <c r="J537" s="907"/>
      <c r="K537" s="907"/>
      <c r="L537" s="907"/>
      <c r="M537" s="907"/>
      <c r="N537" s="907"/>
      <c r="O537" s="907"/>
      <c r="P537" s="907"/>
      <c r="Q537" s="907"/>
      <c r="R537" s="907"/>
      <c r="S537" s="907"/>
      <c r="T537" s="907"/>
      <c r="U537" s="907"/>
      <c r="V537" s="907"/>
      <c r="W537" s="907"/>
      <c r="X537" s="907"/>
      <c r="Y537" s="907"/>
      <c r="Z537" s="907"/>
      <c r="AA537" s="907"/>
    </row>
    <row r="538" spans="1:27">
      <c r="A538" s="907"/>
      <c r="B538" s="907"/>
      <c r="C538" s="907"/>
      <c r="D538" s="907"/>
      <c r="E538" s="907"/>
      <c r="F538" s="907"/>
      <c r="G538" s="907"/>
      <c r="H538" s="907"/>
      <c r="I538" s="907"/>
      <c r="J538" s="907"/>
      <c r="K538" s="907"/>
      <c r="L538" s="907"/>
      <c r="M538" s="907"/>
      <c r="N538" s="907"/>
      <c r="O538" s="907"/>
      <c r="P538" s="907"/>
      <c r="Q538" s="907"/>
      <c r="R538" s="907"/>
      <c r="S538" s="907"/>
      <c r="T538" s="907"/>
      <c r="U538" s="907"/>
      <c r="V538" s="907"/>
      <c r="W538" s="907"/>
      <c r="X538" s="907"/>
      <c r="Y538" s="907"/>
      <c r="Z538" s="907"/>
      <c r="AA538" s="907"/>
    </row>
    <row r="539" spans="1:27">
      <c r="A539" s="907"/>
      <c r="B539" s="907"/>
      <c r="C539" s="907"/>
      <c r="D539" s="907"/>
      <c r="E539" s="907"/>
      <c r="F539" s="907"/>
      <c r="G539" s="907"/>
      <c r="H539" s="907"/>
      <c r="I539" s="907"/>
      <c r="J539" s="907"/>
      <c r="K539" s="907"/>
      <c r="L539" s="907"/>
      <c r="M539" s="907"/>
      <c r="N539" s="907"/>
      <c r="O539" s="907"/>
      <c r="P539" s="907"/>
      <c r="Q539" s="907"/>
      <c r="R539" s="907"/>
      <c r="S539" s="907"/>
      <c r="T539" s="907"/>
      <c r="U539" s="907"/>
      <c r="V539" s="907"/>
      <c r="W539" s="907"/>
      <c r="X539" s="907"/>
      <c r="Y539" s="907"/>
      <c r="Z539" s="907"/>
      <c r="AA539" s="907"/>
    </row>
    <row r="540" spans="1:27">
      <c r="A540" s="907"/>
      <c r="B540" s="907"/>
      <c r="C540" s="907"/>
      <c r="D540" s="907"/>
      <c r="E540" s="907"/>
      <c r="F540" s="907"/>
      <c r="G540" s="907"/>
      <c r="H540" s="907"/>
      <c r="I540" s="907"/>
      <c r="J540" s="907"/>
      <c r="K540" s="907"/>
      <c r="L540" s="907"/>
      <c r="M540" s="907"/>
      <c r="N540" s="907"/>
      <c r="O540" s="907"/>
      <c r="P540" s="907"/>
      <c r="Q540" s="907"/>
      <c r="R540" s="907"/>
      <c r="S540" s="907"/>
      <c r="T540" s="907"/>
      <c r="U540" s="907"/>
      <c r="V540" s="907"/>
      <c r="W540" s="907"/>
      <c r="X540" s="907"/>
      <c r="Y540" s="907"/>
      <c r="Z540" s="907"/>
      <c r="AA540" s="907"/>
    </row>
    <row r="541" spans="1:27">
      <c r="A541" s="907"/>
      <c r="B541" s="907"/>
      <c r="C541" s="907"/>
      <c r="D541" s="907"/>
      <c r="E541" s="907"/>
      <c r="F541" s="907"/>
      <c r="G541" s="907"/>
      <c r="H541" s="907"/>
      <c r="I541" s="907"/>
      <c r="J541" s="907"/>
      <c r="K541" s="907"/>
      <c r="L541" s="907"/>
      <c r="M541" s="907"/>
      <c r="N541" s="907"/>
      <c r="O541" s="907"/>
      <c r="P541" s="907"/>
      <c r="Q541" s="907"/>
      <c r="R541" s="907"/>
      <c r="S541" s="907"/>
      <c r="T541" s="907"/>
      <c r="U541" s="907"/>
      <c r="V541" s="907"/>
      <c r="W541" s="907"/>
      <c r="X541" s="907"/>
      <c r="Y541" s="907"/>
      <c r="Z541" s="907"/>
      <c r="AA541" s="907"/>
    </row>
    <row r="542" spans="1:27">
      <c r="A542" s="907"/>
      <c r="B542" s="907"/>
      <c r="C542" s="907"/>
      <c r="D542" s="907"/>
      <c r="E542" s="907"/>
      <c r="F542" s="907"/>
      <c r="G542" s="907"/>
      <c r="H542" s="907"/>
      <c r="I542" s="907"/>
      <c r="J542" s="907"/>
      <c r="K542" s="907"/>
      <c r="L542" s="907"/>
      <c r="M542" s="907"/>
      <c r="N542" s="907"/>
      <c r="O542" s="907"/>
      <c r="P542" s="907"/>
      <c r="Q542" s="907"/>
      <c r="R542" s="907"/>
      <c r="S542" s="907"/>
      <c r="T542" s="907"/>
      <c r="U542" s="907"/>
      <c r="V542" s="907"/>
      <c r="W542" s="907"/>
      <c r="X542" s="907"/>
      <c r="Y542" s="907"/>
      <c r="Z542" s="907"/>
      <c r="AA542" s="907"/>
    </row>
    <row r="543" spans="1:27">
      <c r="A543" s="907"/>
      <c r="B543" s="907"/>
      <c r="C543" s="907"/>
      <c r="D543" s="907"/>
      <c r="E543" s="907"/>
      <c r="F543" s="907"/>
      <c r="G543" s="907"/>
      <c r="H543" s="907"/>
      <c r="I543" s="907"/>
      <c r="J543" s="907"/>
      <c r="K543" s="907"/>
      <c r="L543" s="907"/>
      <c r="M543" s="907"/>
      <c r="N543" s="907"/>
      <c r="O543" s="907"/>
      <c r="P543" s="907"/>
      <c r="Q543" s="907"/>
      <c r="R543" s="907"/>
      <c r="S543" s="907"/>
      <c r="T543" s="907"/>
      <c r="U543" s="907"/>
      <c r="V543" s="907"/>
      <c r="W543" s="907"/>
      <c r="X543" s="907"/>
      <c r="Y543" s="907"/>
      <c r="Z543" s="907"/>
      <c r="AA543" s="907"/>
    </row>
    <row r="544" spans="1:27">
      <c r="A544" s="907"/>
      <c r="B544" s="907"/>
      <c r="C544" s="907"/>
      <c r="D544" s="907"/>
      <c r="E544" s="907"/>
      <c r="F544" s="907"/>
      <c r="G544" s="907"/>
      <c r="H544" s="907"/>
      <c r="I544" s="907"/>
      <c r="J544" s="907"/>
      <c r="K544" s="907"/>
      <c r="L544" s="907"/>
      <c r="M544" s="907"/>
      <c r="N544" s="907"/>
      <c r="O544" s="907"/>
      <c r="P544" s="907"/>
      <c r="Q544" s="907"/>
      <c r="R544" s="907"/>
      <c r="S544" s="907"/>
      <c r="T544" s="907"/>
      <c r="U544" s="907"/>
      <c r="V544" s="907"/>
      <c r="W544" s="907"/>
      <c r="X544" s="907"/>
      <c r="Y544" s="907"/>
      <c r="Z544" s="907"/>
      <c r="AA544" s="907"/>
    </row>
    <row r="545" spans="1:27">
      <c r="A545" s="907"/>
      <c r="B545" s="907"/>
      <c r="C545" s="907"/>
      <c r="D545" s="907"/>
      <c r="E545" s="907"/>
      <c r="F545" s="907"/>
      <c r="G545" s="907"/>
      <c r="H545" s="907"/>
      <c r="I545" s="907"/>
      <c r="J545" s="907"/>
      <c r="K545" s="907"/>
      <c r="L545" s="907"/>
      <c r="M545" s="907"/>
      <c r="N545" s="907"/>
      <c r="O545" s="907"/>
      <c r="P545" s="907"/>
      <c r="Q545" s="907"/>
      <c r="R545" s="907"/>
      <c r="S545" s="907"/>
      <c r="T545" s="907"/>
      <c r="U545" s="907"/>
      <c r="V545" s="907"/>
      <c r="W545" s="907"/>
      <c r="X545" s="907"/>
      <c r="Y545" s="907"/>
      <c r="Z545" s="907"/>
      <c r="AA545" s="907"/>
    </row>
    <row r="546" spans="1:27">
      <c r="A546" s="907"/>
      <c r="B546" s="907"/>
      <c r="C546" s="907"/>
      <c r="D546" s="907"/>
      <c r="E546" s="907"/>
      <c r="F546" s="907"/>
      <c r="G546" s="907"/>
      <c r="H546" s="907"/>
      <c r="I546" s="907"/>
      <c r="J546" s="907"/>
      <c r="K546" s="907"/>
      <c r="L546" s="907"/>
      <c r="M546" s="907"/>
      <c r="N546" s="907"/>
      <c r="O546" s="907"/>
      <c r="P546" s="907"/>
      <c r="Q546" s="907"/>
      <c r="R546" s="907"/>
      <c r="S546" s="907"/>
      <c r="T546" s="907"/>
      <c r="U546" s="907"/>
      <c r="V546" s="907"/>
      <c r="W546" s="907"/>
      <c r="X546" s="907"/>
      <c r="Y546" s="907"/>
      <c r="Z546" s="907"/>
      <c r="AA546" s="907"/>
    </row>
    <row r="547" spans="1:27">
      <c r="A547" s="907"/>
      <c r="B547" s="907"/>
      <c r="C547" s="907"/>
      <c r="D547" s="907"/>
      <c r="E547" s="907"/>
      <c r="F547" s="907"/>
      <c r="G547" s="907"/>
      <c r="H547" s="907"/>
      <c r="I547" s="907"/>
      <c r="J547" s="907"/>
      <c r="K547" s="907"/>
      <c r="L547" s="907"/>
      <c r="M547" s="907"/>
      <c r="N547" s="907"/>
      <c r="O547" s="907"/>
      <c r="P547" s="907"/>
      <c r="Q547" s="907"/>
      <c r="R547" s="907"/>
      <c r="S547" s="907"/>
      <c r="T547" s="907"/>
      <c r="U547" s="907"/>
      <c r="V547" s="907"/>
      <c r="W547" s="907"/>
      <c r="X547" s="907"/>
      <c r="Y547" s="907"/>
      <c r="Z547" s="907"/>
      <c r="AA547" s="907"/>
    </row>
    <row r="548" spans="1:27">
      <c r="A548" s="907"/>
      <c r="B548" s="907"/>
      <c r="C548" s="907"/>
      <c r="D548" s="907"/>
      <c r="E548" s="907"/>
      <c r="F548" s="907"/>
      <c r="G548" s="907"/>
      <c r="H548" s="907"/>
      <c r="I548" s="907"/>
      <c r="J548" s="907"/>
      <c r="K548" s="907"/>
      <c r="L548" s="907"/>
      <c r="M548" s="907"/>
      <c r="N548" s="907"/>
      <c r="O548" s="907"/>
      <c r="P548" s="907"/>
      <c r="Q548" s="907"/>
      <c r="R548" s="907"/>
      <c r="S548" s="907"/>
      <c r="T548" s="907"/>
      <c r="U548" s="907"/>
      <c r="V548" s="907"/>
      <c r="W548" s="907"/>
      <c r="X548" s="907"/>
      <c r="Y548" s="907"/>
      <c r="Z548" s="907"/>
      <c r="AA548" s="907"/>
    </row>
    <row r="549" spans="1:27">
      <c r="A549" s="907"/>
      <c r="B549" s="907"/>
      <c r="C549" s="907"/>
      <c r="D549" s="907"/>
      <c r="E549" s="907"/>
      <c r="F549" s="907"/>
      <c r="G549" s="907"/>
      <c r="H549" s="907"/>
      <c r="I549" s="907"/>
      <c r="J549" s="907"/>
      <c r="K549" s="907"/>
      <c r="L549" s="907"/>
      <c r="M549" s="907"/>
      <c r="N549" s="907"/>
      <c r="O549" s="907"/>
      <c r="P549" s="907"/>
      <c r="Q549" s="907"/>
      <c r="R549" s="907"/>
      <c r="S549" s="907"/>
      <c r="T549" s="907"/>
      <c r="U549" s="907"/>
      <c r="V549" s="907"/>
      <c r="W549" s="907"/>
      <c r="X549" s="907"/>
      <c r="Y549" s="907"/>
      <c r="Z549" s="907"/>
      <c r="AA549" s="907"/>
    </row>
    <row r="550" spans="1:27">
      <c r="A550" s="907"/>
      <c r="B550" s="907"/>
      <c r="C550" s="907"/>
      <c r="D550" s="907"/>
      <c r="E550" s="907"/>
      <c r="F550" s="907"/>
      <c r="G550" s="907"/>
      <c r="H550" s="907"/>
      <c r="I550" s="907"/>
      <c r="J550" s="907"/>
      <c r="K550" s="907"/>
      <c r="L550" s="907"/>
      <c r="M550" s="907"/>
      <c r="N550" s="907"/>
      <c r="O550" s="907"/>
      <c r="P550" s="907"/>
      <c r="Q550" s="907"/>
      <c r="R550" s="907"/>
      <c r="S550" s="907"/>
      <c r="T550" s="907"/>
      <c r="U550" s="907"/>
      <c r="V550" s="907"/>
      <c r="W550" s="907"/>
      <c r="X550" s="907"/>
      <c r="Y550" s="907"/>
      <c r="Z550" s="907"/>
      <c r="AA550" s="907"/>
    </row>
    <row r="551" spans="1:27">
      <c r="A551" s="907"/>
      <c r="B551" s="907"/>
      <c r="C551" s="907"/>
      <c r="D551" s="907"/>
      <c r="E551" s="907"/>
      <c r="F551" s="907"/>
      <c r="G551" s="907"/>
      <c r="H551" s="907"/>
      <c r="I551" s="907"/>
      <c r="J551" s="907"/>
      <c r="K551" s="907"/>
      <c r="L551" s="907"/>
      <c r="M551" s="907"/>
      <c r="N551" s="907"/>
      <c r="O551" s="907"/>
      <c r="P551" s="907"/>
      <c r="Q551" s="907"/>
      <c r="R551" s="907"/>
      <c r="S551" s="907"/>
      <c r="T551" s="907"/>
      <c r="U551" s="907"/>
      <c r="V551" s="907"/>
      <c r="W551" s="907"/>
      <c r="X551" s="907"/>
      <c r="Y551" s="907"/>
      <c r="Z551" s="907"/>
      <c r="AA551" s="907"/>
    </row>
    <row r="552" spans="1:27">
      <c r="A552" s="907"/>
      <c r="B552" s="907"/>
      <c r="C552" s="907"/>
      <c r="D552" s="907"/>
      <c r="E552" s="907"/>
      <c r="F552" s="907"/>
      <c r="G552" s="907"/>
      <c r="H552" s="907"/>
      <c r="I552" s="907"/>
      <c r="J552" s="907"/>
      <c r="K552" s="907"/>
      <c r="L552" s="907"/>
      <c r="M552" s="907"/>
      <c r="N552" s="907"/>
      <c r="O552" s="907"/>
      <c r="P552" s="907"/>
      <c r="Q552" s="907"/>
      <c r="R552" s="907"/>
      <c r="S552" s="907"/>
      <c r="T552" s="907"/>
      <c r="U552" s="907"/>
      <c r="V552" s="907"/>
      <c r="W552" s="907"/>
      <c r="X552" s="907"/>
      <c r="Y552" s="907"/>
      <c r="Z552" s="907"/>
      <c r="AA552" s="907"/>
    </row>
    <row r="553" spans="1:27">
      <c r="A553" s="907"/>
      <c r="B553" s="907"/>
      <c r="C553" s="907"/>
      <c r="D553" s="907"/>
      <c r="E553" s="907"/>
      <c r="F553" s="907"/>
      <c r="G553" s="907"/>
      <c r="H553" s="907"/>
      <c r="I553" s="907"/>
      <c r="J553" s="907"/>
      <c r="K553" s="907"/>
      <c r="L553" s="907"/>
      <c r="M553" s="907"/>
      <c r="N553" s="907"/>
      <c r="O553" s="907"/>
      <c r="P553" s="907"/>
      <c r="Q553" s="907"/>
      <c r="R553" s="907"/>
      <c r="S553" s="907"/>
      <c r="T553" s="907"/>
      <c r="U553" s="907"/>
      <c r="V553" s="907"/>
      <c r="W553" s="907"/>
      <c r="X553" s="907"/>
      <c r="Y553" s="907"/>
      <c r="Z553" s="907"/>
      <c r="AA553" s="907"/>
    </row>
    <row r="554" spans="1:27">
      <c r="A554" s="907"/>
      <c r="B554" s="907"/>
      <c r="C554" s="907"/>
      <c r="D554" s="907"/>
      <c r="E554" s="907"/>
      <c r="F554" s="907"/>
      <c r="G554" s="907"/>
      <c r="H554" s="907"/>
      <c r="I554" s="907"/>
      <c r="J554" s="907"/>
      <c r="K554" s="907"/>
      <c r="L554" s="907"/>
      <c r="M554" s="907"/>
      <c r="N554" s="907"/>
      <c r="O554" s="907"/>
      <c r="P554" s="907"/>
      <c r="Q554" s="907"/>
      <c r="R554" s="907"/>
      <c r="S554" s="907"/>
      <c r="T554" s="907"/>
      <c r="U554" s="907"/>
      <c r="V554" s="907"/>
      <c r="W554" s="907"/>
      <c r="X554" s="907"/>
      <c r="Y554" s="907"/>
      <c r="Z554" s="907"/>
      <c r="AA554" s="907"/>
    </row>
    <row r="555" spans="1:27">
      <c r="A555" s="907"/>
      <c r="B555" s="907"/>
      <c r="C555" s="907"/>
      <c r="D555" s="907"/>
      <c r="E555" s="907"/>
      <c r="F555" s="907"/>
      <c r="G555" s="907"/>
      <c r="H555" s="907"/>
      <c r="I555" s="907"/>
      <c r="J555" s="907"/>
      <c r="K555" s="907"/>
      <c r="L555" s="907"/>
      <c r="M555" s="907"/>
      <c r="N555" s="907"/>
      <c r="O555" s="907"/>
      <c r="P555" s="907"/>
      <c r="Q555" s="907"/>
      <c r="R555" s="907"/>
      <c r="S555" s="907"/>
      <c r="T555" s="907"/>
      <c r="U555" s="907"/>
      <c r="V555" s="907"/>
      <c r="W555" s="907"/>
      <c r="X555" s="907"/>
      <c r="Y555" s="907"/>
      <c r="Z555" s="907"/>
      <c r="AA555" s="907"/>
    </row>
    <row r="556" spans="1:27">
      <c r="A556" s="907"/>
      <c r="B556" s="907"/>
      <c r="C556" s="907"/>
      <c r="D556" s="907"/>
      <c r="E556" s="907"/>
      <c r="F556" s="907"/>
      <c r="G556" s="907"/>
      <c r="H556" s="907"/>
      <c r="I556" s="907"/>
      <c r="J556" s="907"/>
      <c r="K556" s="907"/>
      <c r="L556" s="907"/>
      <c r="M556" s="907"/>
      <c r="N556" s="907"/>
      <c r="O556" s="907"/>
      <c r="P556" s="907"/>
      <c r="Q556" s="907"/>
      <c r="R556" s="907"/>
      <c r="S556" s="907"/>
      <c r="T556" s="907"/>
      <c r="U556" s="907"/>
      <c r="V556" s="907"/>
      <c r="W556" s="907"/>
      <c r="X556" s="907"/>
      <c r="Y556" s="907"/>
      <c r="Z556" s="907"/>
      <c r="AA556" s="907"/>
    </row>
    <row r="557" spans="1:27">
      <c r="A557" s="907"/>
      <c r="B557" s="907"/>
      <c r="C557" s="907"/>
      <c r="D557" s="907"/>
      <c r="E557" s="907"/>
      <c r="F557" s="907"/>
      <c r="G557" s="907"/>
      <c r="H557" s="907"/>
      <c r="I557" s="907"/>
      <c r="J557" s="907"/>
      <c r="K557" s="907"/>
      <c r="L557" s="907"/>
      <c r="M557" s="907"/>
      <c r="N557" s="907"/>
      <c r="O557" s="907"/>
      <c r="P557" s="907"/>
      <c r="Q557" s="907"/>
      <c r="R557" s="907"/>
      <c r="S557" s="907"/>
      <c r="T557" s="907"/>
      <c r="U557" s="907"/>
      <c r="V557" s="907"/>
      <c r="W557" s="907"/>
      <c r="X557" s="907"/>
      <c r="Y557" s="907"/>
      <c r="Z557" s="907"/>
      <c r="AA557" s="907"/>
    </row>
    <row r="558" spans="1:27">
      <c r="A558" s="907"/>
      <c r="B558" s="907"/>
      <c r="C558" s="907"/>
      <c r="D558" s="907"/>
      <c r="E558" s="907"/>
      <c r="F558" s="907"/>
      <c r="G558" s="907"/>
      <c r="H558" s="907"/>
      <c r="I558" s="907"/>
      <c r="J558" s="907"/>
      <c r="K558" s="907"/>
      <c r="L558" s="907"/>
      <c r="M558" s="907"/>
      <c r="N558" s="907"/>
      <c r="O558" s="907"/>
      <c r="P558" s="907"/>
      <c r="Q558" s="907"/>
      <c r="R558" s="907"/>
      <c r="S558" s="907"/>
      <c r="T558" s="907"/>
      <c r="U558" s="907"/>
      <c r="V558" s="907"/>
      <c r="W558" s="907"/>
      <c r="X558" s="907"/>
      <c r="Y558" s="907"/>
      <c r="Z558" s="907"/>
      <c r="AA558" s="907"/>
    </row>
    <row r="559" spans="1:27">
      <c r="A559" s="907"/>
      <c r="B559" s="907"/>
      <c r="C559" s="907"/>
      <c r="D559" s="907"/>
      <c r="E559" s="907"/>
      <c r="F559" s="907"/>
      <c r="G559" s="907"/>
      <c r="H559" s="907"/>
      <c r="I559" s="907"/>
      <c r="J559" s="907"/>
      <c r="K559" s="907"/>
      <c r="L559" s="907"/>
      <c r="M559" s="907"/>
      <c r="N559" s="907"/>
      <c r="O559" s="907"/>
      <c r="P559" s="907"/>
      <c r="Q559" s="907"/>
      <c r="R559" s="907"/>
      <c r="S559" s="907"/>
      <c r="T559" s="907"/>
      <c r="U559" s="907"/>
      <c r="V559" s="907"/>
      <c r="W559" s="907"/>
      <c r="X559" s="907"/>
      <c r="Y559" s="907"/>
      <c r="Z559" s="907"/>
      <c r="AA559" s="907"/>
    </row>
    <row r="560" spans="1:27">
      <c r="A560" s="907"/>
      <c r="B560" s="907"/>
      <c r="C560" s="907"/>
      <c r="D560" s="907"/>
      <c r="E560" s="907"/>
      <c r="F560" s="907"/>
      <c r="G560" s="907"/>
      <c r="H560" s="907"/>
      <c r="I560" s="907"/>
      <c r="J560" s="907"/>
      <c r="K560" s="907"/>
      <c r="L560" s="907"/>
      <c r="M560" s="907"/>
      <c r="N560" s="907"/>
      <c r="O560" s="907"/>
      <c r="P560" s="907"/>
      <c r="Q560" s="907"/>
      <c r="R560" s="907"/>
      <c r="S560" s="907"/>
      <c r="T560" s="907"/>
      <c r="U560" s="907"/>
      <c r="V560" s="907"/>
      <c r="W560" s="907"/>
      <c r="X560" s="907"/>
      <c r="Y560" s="907"/>
      <c r="Z560" s="907"/>
      <c r="AA560" s="907"/>
    </row>
    <row r="561" spans="1:27">
      <c r="A561" s="907"/>
      <c r="B561" s="907"/>
      <c r="C561" s="907"/>
      <c r="D561" s="907"/>
      <c r="E561" s="907"/>
      <c r="F561" s="907"/>
      <c r="G561" s="907"/>
      <c r="H561" s="907"/>
      <c r="I561" s="907"/>
      <c r="J561" s="907"/>
      <c r="K561" s="907"/>
      <c r="L561" s="907"/>
      <c r="M561" s="907"/>
      <c r="N561" s="907"/>
      <c r="O561" s="907"/>
      <c r="P561" s="907"/>
      <c r="Q561" s="907"/>
      <c r="R561" s="907"/>
      <c r="S561" s="907"/>
      <c r="T561" s="907"/>
      <c r="U561" s="907"/>
      <c r="V561" s="907"/>
      <c r="W561" s="907"/>
      <c r="X561" s="907"/>
      <c r="Y561" s="907"/>
      <c r="Z561" s="907"/>
      <c r="AA561" s="907"/>
    </row>
    <row r="562" spans="1:27">
      <c r="A562" s="907"/>
      <c r="B562" s="907"/>
      <c r="C562" s="907"/>
      <c r="D562" s="907"/>
      <c r="E562" s="907"/>
      <c r="F562" s="907"/>
      <c r="G562" s="907"/>
      <c r="H562" s="907"/>
      <c r="I562" s="907"/>
      <c r="J562" s="907"/>
      <c r="K562" s="907"/>
      <c r="L562" s="907"/>
      <c r="M562" s="907"/>
      <c r="N562" s="907"/>
      <c r="O562" s="907"/>
      <c r="P562" s="907"/>
      <c r="Q562" s="907"/>
      <c r="R562" s="907"/>
      <c r="S562" s="907"/>
      <c r="T562" s="907"/>
      <c r="U562" s="907"/>
      <c r="V562" s="907"/>
      <c r="W562" s="907"/>
      <c r="X562" s="907"/>
      <c r="Y562" s="907"/>
      <c r="Z562" s="907"/>
      <c r="AA562" s="907"/>
    </row>
    <row r="563" spans="1:27">
      <c r="A563" s="907"/>
      <c r="B563" s="907"/>
      <c r="C563" s="907"/>
      <c r="D563" s="907"/>
      <c r="E563" s="907"/>
      <c r="F563" s="907"/>
      <c r="G563" s="907"/>
      <c r="H563" s="907"/>
      <c r="I563" s="907"/>
      <c r="J563" s="907"/>
      <c r="K563" s="907"/>
      <c r="L563" s="907"/>
      <c r="M563" s="907"/>
      <c r="N563" s="907"/>
      <c r="O563" s="907"/>
      <c r="P563" s="907"/>
      <c r="Q563" s="907"/>
      <c r="R563" s="907"/>
      <c r="S563" s="907"/>
      <c r="T563" s="907"/>
      <c r="U563" s="907"/>
      <c r="V563" s="907"/>
      <c r="W563" s="907"/>
      <c r="X563" s="907"/>
      <c r="Y563" s="907"/>
      <c r="Z563" s="907"/>
      <c r="AA563" s="907"/>
    </row>
    <row r="564" spans="1:27">
      <c r="A564" s="907"/>
      <c r="B564" s="907"/>
      <c r="C564" s="907"/>
      <c r="D564" s="907"/>
      <c r="E564" s="907"/>
      <c r="F564" s="907"/>
      <c r="G564" s="907"/>
      <c r="H564" s="907"/>
      <c r="I564" s="907"/>
      <c r="J564" s="907"/>
      <c r="K564" s="907"/>
      <c r="L564" s="907"/>
      <c r="M564" s="907"/>
      <c r="N564" s="907"/>
      <c r="O564" s="907"/>
      <c r="P564" s="907"/>
      <c r="Q564" s="907"/>
      <c r="R564" s="907"/>
      <c r="S564" s="907"/>
      <c r="T564" s="907"/>
      <c r="U564" s="907"/>
      <c r="V564" s="907"/>
      <c r="W564" s="907"/>
      <c r="X564" s="907"/>
      <c r="Y564" s="907"/>
      <c r="Z564" s="907"/>
      <c r="AA564" s="907"/>
    </row>
    <row r="565" spans="1:27">
      <c r="A565" s="907"/>
      <c r="B565" s="907"/>
      <c r="C565" s="907"/>
      <c r="D565" s="907"/>
      <c r="E565" s="907"/>
      <c r="F565" s="907"/>
      <c r="G565" s="907"/>
      <c r="H565" s="907"/>
      <c r="I565" s="907"/>
      <c r="J565" s="907"/>
      <c r="K565" s="907"/>
      <c r="L565" s="907"/>
      <c r="M565" s="907"/>
      <c r="N565" s="907"/>
      <c r="O565" s="907"/>
      <c r="P565" s="907"/>
      <c r="Q565" s="907"/>
      <c r="R565" s="907"/>
      <c r="S565" s="907"/>
      <c r="T565" s="907"/>
      <c r="U565" s="907"/>
      <c r="V565" s="907"/>
      <c r="W565" s="907"/>
      <c r="X565" s="907"/>
      <c r="Y565" s="907"/>
      <c r="Z565" s="907"/>
      <c r="AA565" s="907"/>
    </row>
    <row r="566" spans="1:27">
      <c r="A566" s="907"/>
      <c r="B566" s="907"/>
      <c r="C566" s="907"/>
      <c r="D566" s="907"/>
      <c r="E566" s="907"/>
      <c r="F566" s="907"/>
      <c r="G566" s="907"/>
      <c r="H566" s="907"/>
      <c r="I566" s="907"/>
      <c r="J566" s="907"/>
      <c r="K566" s="907"/>
      <c r="L566" s="907"/>
      <c r="M566" s="907"/>
      <c r="N566" s="907"/>
      <c r="O566" s="907"/>
      <c r="P566" s="907"/>
      <c r="Q566" s="907"/>
      <c r="R566" s="907"/>
      <c r="S566" s="907"/>
      <c r="T566" s="907"/>
      <c r="U566" s="907"/>
      <c r="V566" s="907"/>
      <c r="W566" s="907"/>
      <c r="X566" s="907"/>
      <c r="Y566" s="907"/>
      <c r="Z566" s="907"/>
      <c r="AA566" s="907"/>
    </row>
    <row r="567" spans="1:27">
      <c r="A567" s="907"/>
      <c r="B567" s="907"/>
      <c r="C567" s="907"/>
      <c r="D567" s="907"/>
      <c r="E567" s="907"/>
      <c r="F567" s="907"/>
      <c r="G567" s="907"/>
      <c r="H567" s="907"/>
      <c r="I567" s="907"/>
      <c r="J567" s="907"/>
      <c r="K567" s="907"/>
      <c r="L567" s="907"/>
      <c r="M567" s="907"/>
      <c r="N567" s="907"/>
      <c r="O567" s="907"/>
      <c r="P567" s="907"/>
      <c r="Q567" s="907"/>
      <c r="R567" s="907"/>
      <c r="S567" s="907"/>
      <c r="T567" s="907"/>
      <c r="U567" s="907"/>
      <c r="V567" s="907"/>
      <c r="W567" s="907"/>
      <c r="X567" s="907"/>
      <c r="Y567" s="907"/>
      <c r="Z567" s="907"/>
      <c r="AA567" s="907"/>
    </row>
    <row r="568" spans="1:27">
      <c r="A568" s="907"/>
      <c r="B568" s="907"/>
      <c r="C568" s="907"/>
      <c r="D568" s="907"/>
      <c r="E568" s="907"/>
      <c r="F568" s="907"/>
      <c r="G568" s="907"/>
      <c r="H568" s="907"/>
      <c r="I568" s="907"/>
      <c r="J568" s="907"/>
      <c r="K568" s="907"/>
      <c r="L568" s="907"/>
      <c r="M568" s="907"/>
      <c r="N568" s="907"/>
      <c r="O568" s="907"/>
      <c r="P568" s="907"/>
      <c r="Q568" s="907"/>
      <c r="R568" s="907"/>
      <c r="S568" s="907"/>
      <c r="T568" s="907"/>
      <c r="U568" s="907"/>
      <c r="V568" s="907"/>
      <c r="W568" s="907"/>
      <c r="X568" s="907"/>
      <c r="Y568" s="907"/>
      <c r="Z568" s="907"/>
      <c r="AA568" s="907"/>
    </row>
    <row r="569" spans="1:27">
      <c r="A569" s="907"/>
      <c r="B569" s="907"/>
      <c r="C569" s="907"/>
      <c r="D569" s="907"/>
      <c r="E569" s="907"/>
      <c r="F569" s="907"/>
      <c r="G569" s="907"/>
      <c r="H569" s="907"/>
      <c r="I569" s="907"/>
      <c r="J569" s="907"/>
      <c r="K569" s="907"/>
      <c r="L569" s="907"/>
      <c r="M569" s="907"/>
      <c r="N569" s="907"/>
      <c r="O569" s="907"/>
      <c r="P569" s="907"/>
      <c r="Q569" s="907"/>
      <c r="R569" s="907"/>
      <c r="S569" s="907"/>
      <c r="T569" s="907"/>
      <c r="U569" s="907"/>
      <c r="V569" s="907"/>
      <c r="W569" s="907"/>
      <c r="X569" s="907"/>
      <c r="Y569" s="907"/>
      <c r="Z569" s="907"/>
      <c r="AA569" s="907"/>
    </row>
    <row r="570" spans="1:27">
      <c r="A570" s="907"/>
      <c r="B570" s="907"/>
      <c r="C570" s="907"/>
      <c r="D570" s="907"/>
      <c r="E570" s="907"/>
      <c r="F570" s="907"/>
      <c r="G570" s="907"/>
      <c r="H570" s="907"/>
      <c r="I570" s="907"/>
      <c r="J570" s="907"/>
      <c r="K570" s="907"/>
      <c r="L570" s="907"/>
      <c r="M570" s="907"/>
      <c r="N570" s="907"/>
      <c r="O570" s="907"/>
      <c r="P570" s="907"/>
      <c r="Q570" s="907"/>
      <c r="R570" s="907"/>
      <c r="S570" s="907"/>
      <c r="T570" s="907"/>
      <c r="U570" s="907"/>
      <c r="V570" s="907"/>
      <c r="W570" s="907"/>
      <c r="X570" s="907"/>
      <c r="Y570" s="907"/>
      <c r="Z570" s="907"/>
      <c r="AA570" s="907"/>
    </row>
    <row r="571" spans="1:27">
      <c r="A571" s="907"/>
      <c r="B571" s="907"/>
      <c r="C571" s="907"/>
      <c r="D571" s="907"/>
      <c r="E571" s="907"/>
      <c r="F571" s="907"/>
      <c r="G571" s="907"/>
      <c r="H571" s="907"/>
      <c r="I571" s="907"/>
      <c r="J571" s="907"/>
      <c r="K571" s="907"/>
      <c r="L571" s="907"/>
      <c r="M571" s="907"/>
      <c r="N571" s="907"/>
      <c r="O571" s="907"/>
      <c r="P571" s="907"/>
      <c r="Q571" s="907"/>
      <c r="R571" s="907"/>
      <c r="S571" s="907"/>
      <c r="T571" s="907"/>
      <c r="U571" s="907"/>
      <c r="V571" s="907"/>
      <c r="W571" s="907"/>
      <c r="X571" s="907"/>
      <c r="Y571" s="907"/>
      <c r="Z571" s="907"/>
      <c r="AA571" s="907"/>
    </row>
    <row r="572" spans="1:27">
      <c r="A572" s="907"/>
      <c r="B572" s="907"/>
      <c r="C572" s="907"/>
      <c r="D572" s="907"/>
      <c r="E572" s="907"/>
      <c r="F572" s="907"/>
      <c r="G572" s="907"/>
      <c r="H572" s="907"/>
      <c r="I572" s="907"/>
      <c r="J572" s="907"/>
      <c r="K572" s="907"/>
      <c r="L572" s="907"/>
      <c r="M572" s="907"/>
      <c r="N572" s="907"/>
      <c r="O572" s="907"/>
      <c r="P572" s="907"/>
      <c r="Q572" s="907"/>
      <c r="R572" s="907"/>
      <c r="S572" s="907"/>
      <c r="T572" s="907"/>
      <c r="U572" s="907"/>
      <c r="V572" s="907"/>
      <c r="W572" s="907"/>
      <c r="X572" s="907"/>
      <c r="Y572" s="907"/>
      <c r="Z572" s="907"/>
      <c r="AA572" s="907"/>
    </row>
    <row r="573" spans="1:27">
      <c r="A573" s="907"/>
      <c r="B573" s="907"/>
      <c r="C573" s="907"/>
      <c r="D573" s="907"/>
      <c r="E573" s="907"/>
      <c r="F573" s="907"/>
      <c r="G573" s="907"/>
      <c r="H573" s="907"/>
      <c r="I573" s="907"/>
      <c r="J573" s="907"/>
      <c r="K573" s="907"/>
      <c r="L573" s="907"/>
      <c r="M573" s="907"/>
      <c r="N573" s="907"/>
      <c r="O573" s="907"/>
      <c r="P573" s="907"/>
      <c r="Q573" s="907"/>
      <c r="R573" s="907"/>
      <c r="S573" s="907"/>
      <c r="T573" s="907"/>
      <c r="U573" s="907"/>
      <c r="V573" s="907"/>
      <c r="W573" s="907"/>
      <c r="X573" s="907"/>
      <c r="Y573" s="907"/>
      <c r="Z573" s="907"/>
      <c r="AA573" s="907"/>
    </row>
    <row r="574" spans="1:27">
      <c r="A574" s="907"/>
      <c r="B574" s="907"/>
      <c r="C574" s="907"/>
      <c r="D574" s="907"/>
      <c r="E574" s="907"/>
      <c r="F574" s="907"/>
      <c r="G574" s="907"/>
      <c r="H574" s="907"/>
      <c r="I574" s="907"/>
      <c r="J574" s="907"/>
      <c r="K574" s="907"/>
      <c r="L574" s="907"/>
      <c r="M574" s="907"/>
      <c r="N574" s="907"/>
      <c r="O574" s="907"/>
      <c r="P574" s="907"/>
      <c r="Q574" s="907"/>
      <c r="R574" s="907"/>
      <c r="S574" s="907"/>
      <c r="T574" s="907"/>
      <c r="U574" s="907"/>
      <c r="V574" s="907"/>
      <c r="W574" s="907"/>
      <c r="X574" s="907"/>
      <c r="Y574" s="907"/>
      <c r="Z574" s="907"/>
      <c r="AA574" s="907"/>
    </row>
    <row r="575" spans="1:27">
      <c r="A575" s="907"/>
      <c r="B575" s="907"/>
      <c r="C575" s="907"/>
      <c r="D575" s="907"/>
      <c r="E575" s="907"/>
      <c r="F575" s="907"/>
      <c r="G575" s="907"/>
      <c r="H575" s="907"/>
      <c r="I575" s="907"/>
      <c r="J575" s="907"/>
      <c r="K575" s="907"/>
      <c r="L575" s="907"/>
      <c r="M575" s="907"/>
      <c r="N575" s="907"/>
      <c r="O575" s="907"/>
      <c r="P575" s="907"/>
      <c r="Q575" s="907"/>
      <c r="R575" s="907"/>
      <c r="S575" s="907"/>
      <c r="T575" s="907"/>
      <c r="U575" s="907"/>
      <c r="V575" s="907"/>
      <c r="W575" s="907"/>
      <c r="X575" s="907"/>
      <c r="Y575" s="907"/>
      <c r="Z575" s="907"/>
      <c r="AA575" s="907"/>
    </row>
    <row r="576" spans="1:27">
      <c r="A576" s="907"/>
      <c r="B576" s="907"/>
      <c r="C576" s="907"/>
      <c r="D576" s="907"/>
      <c r="E576" s="907"/>
      <c r="F576" s="907"/>
      <c r="G576" s="907"/>
      <c r="H576" s="907"/>
      <c r="I576" s="907"/>
      <c r="J576" s="907"/>
      <c r="K576" s="907"/>
      <c r="L576" s="907"/>
      <c r="M576" s="907"/>
      <c r="N576" s="907"/>
      <c r="O576" s="907"/>
      <c r="P576" s="907"/>
      <c r="Q576" s="907"/>
      <c r="R576" s="907"/>
      <c r="S576" s="907"/>
      <c r="T576" s="907"/>
      <c r="U576" s="907"/>
      <c r="V576" s="907"/>
      <c r="W576" s="907"/>
      <c r="X576" s="907"/>
      <c r="Y576" s="907"/>
      <c r="Z576" s="907"/>
      <c r="AA576" s="907"/>
    </row>
    <row r="577" spans="1:27">
      <c r="A577" s="907"/>
      <c r="B577" s="907"/>
      <c r="C577" s="907"/>
      <c r="D577" s="907"/>
      <c r="E577" s="907"/>
      <c r="F577" s="907"/>
      <c r="G577" s="907"/>
      <c r="H577" s="907"/>
      <c r="I577" s="907"/>
      <c r="J577" s="907"/>
      <c r="K577" s="907"/>
      <c r="L577" s="907"/>
      <c r="M577" s="907"/>
      <c r="N577" s="907"/>
      <c r="O577" s="907"/>
      <c r="P577" s="907"/>
      <c r="Q577" s="907"/>
      <c r="R577" s="907"/>
      <c r="S577" s="907"/>
      <c r="T577" s="907"/>
      <c r="U577" s="907"/>
      <c r="V577" s="907"/>
      <c r="W577" s="907"/>
      <c r="X577" s="907"/>
      <c r="Y577" s="907"/>
      <c r="Z577" s="907"/>
      <c r="AA577" s="907"/>
    </row>
    <row r="578" spans="1:27">
      <c r="A578" s="907"/>
      <c r="B578" s="907"/>
      <c r="C578" s="907"/>
      <c r="D578" s="907"/>
      <c r="E578" s="907"/>
      <c r="F578" s="907"/>
      <c r="G578" s="907"/>
      <c r="H578" s="907"/>
      <c r="I578" s="907"/>
      <c r="J578" s="907"/>
      <c r="K578" s="907"/>
      <c r="L578" s="907"/>
      <c r="M578" s="907"/>
      <c r="N578" s="907"/>
      <c r="O578" s="907"/>
      <c r="P578" s="907"/>
      <c r="Q578" s="907"/>
      <c r="R578" s="907"/>
      <c r="S578" s="907"/>
      <c r="T578" s="907"/>
      <c r="U578" s="907"/>
      <c r="V578" s="907"/>
      <c r="W578" s="907"/>
      <c r="X578" s="907"/>
      <c r="Y578" s="907"/>
      <c r="Z578" s="907"/>
      <c r="AA578" s="907"/>
    </row>
    <row r="579" spans="1:27">
      <c r="A579" s="907"/>
      <c r="B579" s="907"/>
      <c r="C579" s="907"/>
      <c r="D579" s="907"/>
      <c r="E579" s="907"/>
      <c r="F579" s="907"/>
      <c r="G579" s="907"/>
      <c r="H579" s="907"/>
      <c r="I579" s="907"/>
      <c r="J579" s="907"/>
      <c r="K579" s="907"/>
      <c r="L579" s="907"/>
      <c r="M579" s="907"/>
      <c r="N579" s="907"/>
      <c r="O579" s="907"/>
      <c r="P579" s="907"/>
      <c r="Q579" s="907"/>
      <c r="R579" s="907"/>
      <c r="S579" s="907"/>
      <c r="T579" s="907"/>
      <c r="U579" s="907"/>
      <c r="V579" s="907"/>
      <c r="W579" s="907"/>
      <c r="X579" s="907"/>
      <c r="Y579" s="907"/>
      <c r="Z579" s="907"/>
      <c r="AA579" s="907"/>
    </row>
    <row r="580" spans="1:27">
      <c r="A580" s="907"/>
      <c r="B580" s="907"/>
      <c r="C580" s="907"/>
      <c r="D580" s="907"/>
      <c r="E580" s="907"/>
      <c r="F580" s="907"/>
      <c r="G580" s="907"/>
      <c r="H580" s="907"/>
      <c r="I580" s="907"/>
      <c r="J580" s="907"/>
      <c r="K580" s="907"/>
      <c r="L580" s="907"/>
      <c r="M580" s="907"/>
      <c r="N580" s="907"/>
      <c r="O580" s="907"/>
      <c r="P580" s="907"/>
      <c r="Q580" s="907"/>
      <c r="R580" s="907"/>
      <c r="S580" s="907"/>
      <c r="T580" s="907"/>
      <c r="U580" s="907"/>
      <c r="V580" s="907"/>
      <c r="W580" s="907"/>
      <c r="X580" s="907"/>
      <c r="Y580" s="907"/>
      <c r="Z580" s="907"/>
      <c r="AA580" s="907"/>
    </row>
    <row r="581" spans="1:27">
      <c r="A581" s="907"/>
      <c r="B581" s="907"/>
      <c r="C581" s="907"/>
      <c r="D581" s="907"/>
      <c r="E581" s="907"/>
      <c r="F581" s="907"/>
      <c r="G581" s="907"/>
      <c r="H581" s="907"/>
      <c r="I581" s="907"/>
      <c r="J581" s="907"/>
      <c r="K581" s="907"/>
      <c r="L581" s="907"/>
      <c r="M581" s="907"/>
      <c r="N581" s="907"/>
      <c r="O581" s="907"/>
      <c r="P581" s="907"/>
      <c r="Q581" s="907"/>
      <c r="R581" s="907"/>
      <c r="S581" s="907"/>
      <c r="T581" s="907"/>
      <c r="U581" s="907"/>
      <c r="V581" s="907"/>
      <c r="W581" s="907"/>
      <c r="X581" s="907"/>
      <c r="Y581" s="907"/>
      <c r="Z581" s="907"/>
      <c r="AA581" s="907"/>
    </row>
    <row r="582" spans="1:27">
      <c r="A582" s="907"/>
      <c r="B582" s="907"/>
      <c r="C582" s="907"/>
      <c r="D582" s="907"/>
      <c r="E582" s="907"/>
      <c r="F582" s="907"/>
      <c r="G582" s="907"/>
      <c r="H582" s="907"/>
      <c r="I582" s="907"/>
      <c r="J582" s="907"/>
      <c r="K582" s="907"/>
      <c r="L582" s="907"/>
      <c r="M582" s="907"/>
      <c r="N582" s="907"/>
      <c r="O582" s="907"/>
      <c r="P582" s="907"/>
      <c r="Q582" s="907"/>
      <c r="R582" s="907"/>
      <c r="S582" s="907"/>
      <c r="T582" s="907"/>
      <c r="U582" s="907"/>
      <c r="V582" s="907"/>
      <c r="W582" s="907"/>
      <c r="X582" s="907"/>
      <c r="Y582" s="907"/>
      <c r="Z582" s="907"/>
      <c r="AA582" s="907"/>
    </row>
    <row r="583" spans="1:27">
      <c r="A583" s="907"/>
      <c r="B583" s="907"/>
      <c r="C583" s="907"/>
      <c r="D583" s="907"/>
      <c r="E583" s="907"/>
      <c r="F583" s="907"/>
      <c r="G583" s="907"/>
      <c r="H583" s="907"/>
      <c r="I583" s="907"/>
      <c r="J583" s="907"/>
      <c r="K583" s="907"/>
      <c r="L583" s="907"/>
      <c r="M583" s="907"/>
      <c r="N583" s="907"/>
      <c r="O583" s="907"/>
      <c r="P583" s="907"/>
      <c r="Q583" s="907"/>
      <c r="R583" s="907"/>
      <c r="S583" s="907"/>
      <c r="T583" s="907"/>
      <c r="U583" s="907"/>
      <c r="V583" s="907"/>
      <c r="W583" s="907"/>
      <c r="X583" s="907"/>
      <c r="Y583" s="907"/>
      <c r="Z583" s="907"/>
      <c r="AA583" s="907"/>
    </row>
    <row r="584" spans="1:27">
      <c r="A584" s="907"/>
      <c r="B584" s="907"/>
      <c r="C584" s="907"/>
      <c r="D584" s="907"/>
      <c r="E584" s="907"/>
      <c r="F584" s="907"/>
      <c r="G584" s="907"/>
      <c r="H584" s="907"/>
      <c r="I584" s="907"/>
      <c r="J584" s="907"/>
      <c r="K584" s="907"/>
      <c r="L584" s="907"/>
      <c r="M584" s="907"/>
      <c r="N584" s="907"/>
      <c r="O584" s="907"/>
      <c r="P584" s="907"/>
      <c r="Q584" s="907"/>
      <c r="R584" s="907"/>
      <c r="S584" s="907"/>
      <c r="T584" s="907"/>
      <c r="U584" s="907"/>
      <c r="V584" s="907"/>
      <c r="W584" s="907"/>
      <c r="X584" s="907"/>
      <c r="Y584" s="907"/>
      <c r="Z584" s="907"/>
      <c r="AA584" s="907"/>
    </row>
    <row r="585" spans="1:27">
      <c r="A585" s="907"/>
      <c r="B585" s="907"/>
      <c r="C585" s="907"/>
      <c r="D585" s="907"/>
      <c r="E585" s="907"/>
      <c r="F585" s="907"/>
      <c r="G585" s="907"/>
      <c r="H585" s="907"/>
      <c r="I585" s="907"/>
      <c r="J585" s="907"/>
      <c r="K585" s="907"/>
      <c r="L585" s="907"/>
      <c r="M585" s="907"/>
      <c r="N585" s="907"/>
      <c r="O585" s="907"/>
      <c r="P585" s="907"/>
      <c r="Q585" s="907"/>
      <c r="R585" s="907"/>
      <c r="S585" s="907"/>
      <c r="T585" s="907"/>
      <c r="U585" s="907"/>
      <c r="V585" s="907"/>
      <c r="W585" s="907"/>
      <c r="X585" s="907"/>
      <c r="Y585" s="907"/>
      <c r="Z585" s="907"/>
      <c r="AA585" s="907"/>
    </row>
    <row r="586" spans="1:27">
      <c r="A586" s="907"/>
      <c r="B586" s="907"/>
      <c r="C586" s="907"/>
      <c r="D586" s="907"/>
      <c r="E586" s="907"/>
      <c r="F586" s="907"/>
      <c r="G586" s="907"/>
      <c r="H586" s="907"/>
      <c r="I586" s="907"/>
      <c r="J586" s="907"/>
      <c r="K586" s="907"/>
      <c r="L586" s="907"/>
      <c r="M586" s="907"/>
      <c r="N586" s="907"/>
      <c r="O586" s="907"/>
      <c r="P586" s="907"/>
      <c r="Q586" s="907"/>
      <c r="R586" s="907"/>
      <c r="S586" s="907"/>
      <c r="T586" s="907"/>
      <c r="U586" s="907"/>
      <c r="V586" s="907"/>
      <c r="W586" s="907"/>
      <c r="X586" s="907"/>
      <c r="Y586" s="907"/>
      <c r="Z586" s="907"/>
      <c r="AA586" s="907"/>
    </row>
    <row r="587" spans="1:27">
      <c r="A587" s="907"/>
      <c r="B587" s="907"/>
      <c r="C587" s="907"/>
      <c r="D587" s="907"/>
      <c r="E587" s="907"/>
      <c r="F587" s="907"/>
      <c r="G587" s="907"/>
      <c r="H587" s="907"/>
      <c r="I587" s="907"/>
      <c r="J587" s="907"/>
      <c r="K587" s="907"/>
      <c r="L587" s="907"/>
      <c r="M587" s="907"/>
      <c r="N587" s="907"/>
      <c r="O587" s="907"/>
      <c r="P587" s="907"/>
      <c r="Q587" s="907"/>
      <c r="R587" s="907"/>
      <c r="S587" s="907"/>
      <c r="T587" s="907"/>
      <c r="U587" s="907"/>
      <c r="V587" s="907"/>
      <c r="W587" s="907"/>
      <c r="X587" s="907"/>
      <c r="Y587" s="907"/>
      <c r="Z587" s="907"/>
      <c r="AA587" s="907"/>
    </row>
    <row r="588" spans="1:27">
      <c r="A588" s="907"/>
      <c r="B588" s="907"/>
      <c r="C588" s="907"/>
      <c r="D588" s="907"/>
      <c r="E588" s="907"/>
      <c r="F588" s="907"/>
      <c r="G588" s="907"/>
      <c r="H588" s="907"/>
      <c r="I588" s="907"/>
      <c r="J588" s="907"/>
      <c r="K588" s="907"/>
      <c r="L588" s="907"/>
      <c r="M588" s="907"/>
      <c r="N588" s="907"/>
      <c r="O588" s="907"/>
      <c r="P588" s="907"/>
      <c r="Q588" s="907"/>
      <c r="R588" s="907"/>
      <c r="S588" s="907"/>
      <c r="T588" s="907"/>
      <c r="U588" s="907"/>
      <c r="V588" s="907"/>
      <c r="W588" s="907"/>
      <c r="X588" s="907"/>
      <c r="Y588" s="907"/>
      <c r="Z588" s="907"/>
      <c r="AA588" s="907"/>
    </row>
    <row r="589" spans="1:27">
      <c r="A589" s="907"/>
      <c r="B589" s="907"/>
      <c r="C589" s="907"/>
      <c r="D589" s="907"/>
      <c r="E589" s="907"/>
      <c r="F589" s="907"/>
      <c r="G589" s="907"/>
      <c r="H589" s="907"/>
      <c r="I589" s="907"/>
      <c r="J589" s="907"/>
      <c r="K589" s="907"/>
      <c r="L589" s="907"/>
      <c r="M589" s="907"/>
      <c r="N589" s="907"/>
      <c r="O589" s="907"/>
      <c r="P589" s="907"/>
      <c r="Q589" s="907"/>
      <c r="R589" s="907"/>
      <c r="S589" s="907"/>
      <c r="T589" s="907"/>
      <c r="U589" s="907"/>
      <c r="V589" s="907"/>
      <c r="W589" s="907"/>
      <c r="X589" s="907"/>
      <c r="Y589" s="907"/>
      <c r="Z589" s="907"/>
      <c r="AA589" s="907"/>
    </row>
    <row r="590" spans="1:27">
      <c r="A590" s="907"/>
      <c r="B590" s="907"/>
      <c r="C590" s="907"/>
      <c r="D590" s="907"/>
      <c r="E590" s="907"/>
      <c r="F590" s="907"/>
      <c r="G590" s="907"/>
      <c r="H590" s="907"/>
      <c r="I590" s="907"/>
      <c r="J590" s="907"/>
      <c r="K590" s="907"/>
      <c r="L590" s="907"/>
      <c r="M590" s="907"/>
      <c r="N590" s="907"/>
      <c r="O590" s="907"/>
      <c r="P590" s="907"/>
      <c r="Q590" s="907"/>
      <c r="R590" s="907"/>
      <c r="S590" s="907"/>
      <c r="T590" s="907"/>
      <c r="U590" s="907"/>
      <c r="V590" s="907"/>
      <c r="W590" s="907"/>
      <c r="X590" s="907"/>
      <c r="Y590" s="907"/>
      <c r="Z590" s="907"/>
      <c r="AA590" s="907"/>
    </row>
    <row r="591" spans="1:27">
      <c r="A591" s="907"/>
      <c r="B591" s="907"/>
      <c r="C591" s="907"/>
      <c r="D591" s="907"/>
      <c r="E591" s="907"/>
      <c r="F591" s="907"/>
      <c r="G591" s="907"/>
      <c r="H591" s="907"/>
      <c r="I591" s="907"/>
      <c r="J591" s="907"/>
      <c r="K591" s="907"/>
      <c r="L591" s="907"/>
      <c r="M591" s="907"/>
      <c r="N591" s="907"/>
      <c r="O591" s="907"/>
      <c r="P591" s="907"/>
      <c r="Q591" s="907"/>
      <c r="R591" s="907"/>
      <c r="S591" s="907"/>
      <c r="T591" s="907"/>
      <c r="U591" s="907"/>
      <c r="V591" s="907"/>
      <c r="W591" s="907"/>
      <c r="X591" s="907"/>
      <c r="Y591" s="907"/>
      <c r="Z591" s="907"/>
      <c r="AA591" s="907"/>
    </row>
    <row r="592" spans="1:27">
      <c r="A592" s="907"/>
      <c r="B592" s="907"/>
      <c r="C592" s="907"/>
      <c r="D592" s="907"/>
      <c r="E592" s="907"/>
      <c r="F592" s="907"/>
      <c r="G592" s="907"/>
      <c r="H592" s="907"/>
      <c r="I592" s="907"/>
      <c r="J592" s="907"/>
      <c r="K592" s="907"/>
      <c r="L592" s="907"/>
      <c r="M592" s="907"/>
      <c r="N592" s="907"/>
      <c r="O592" s="907"/>
      <c r="P592" s="907"/>
      <c r="Q592" s="907"/>
      <c r="R592" s="907"/>
      <c r="S592" s="907"/>
      <c r="T592" s="907"/>
      <c r="U592" s="907"/>
      <c r="V592" s="907"/>
      <c r="W592" s="907"/>
      <c r="X592" s="907"/>
      <c r="Y592" s="907"/>
      <c r="Z592" s="907"/>
      <c r="AA592" s="907"/>
    </row>
    <row r="593" spans="1:27">
      <c r="A593" s="907"/>
      <c r="B593" s="907"/>
      <c r="C593" s="907"/>
      <c r="D593" s="907"/>
      <c r="E593" s="907"/>
      <c r="F593" s="907"/>
      <c r="G593" s="907"/>
      <c r="H593" s="907"/>
      <c r="I593" s="907"/>
      <c r="J593" s="907"/>
      <c r="K593" s="907"/>
      <c r="L593" s="907"/>
      <c r="M593" s="907"/>
      <c r="N593" s="907"/>
      <c r="O593" s="907"/>
      <c r="P593" s="907"/>
      <c r="Q593" s="907"/>
      <c r="R593" s="907"/>
      <c r="S593" s="907"/>
      <c r="T593" s="907"/>
      <c r="U593" s="907"/>
      <c r="V593" s="907"/>
      <c r="W593" s="907"/>
      <c r="X593" s="907"/>
      <c r="Y593" s="907"/>
      <c r="Z593" s="907"/>
      <c r="AA593" s="907"/>
    </row>
    <row r="594" spans="1:27">
      <c r="A594" s="907"/>
      <c r="B594" s="907"/>
      <c r="C594" s="907"/>
      <c r="D594" s="907"/>
      <c r="E594" s="907"/>
      <c r="F594" s="907"/>
      <c r="G594" s="907"/>
      <c r="H594" s="907"/>
      <c r="I594" s="907"/>
      <c r="J594" s="907"/>
      <c r="K594" s="907"/>
      <c r="L594" s="907"/>
      <c r="M594" s="907"/>
      <c r="N594" s="907"/>
      <c r="O594" s="907"/>
      <c r="P594" s="907"/>
      <c r="Q594" s="907"/>
      <c r="R594" s="907"/>
      <c r="S594" s="907"/>
      <c r="T594" s="907"/>
      <c r="U594" s="907"/>
      <c r="V594" s="907"/>
      <c r="W594" s="907"/>
      <c r="X594" s="907"/>
      <c r="Y594" s="907"/>
      <c r="Z594" s="907"/>
      <c r="AA594" s="907"/>
    </row>
    <row r="595" spans="1:27">
      <c r="A595" s="907"/>
      <c r="B595" s="907"/>
      <c r="C595" s="907"/>
      <c r="D595" s="907"/>
      <c r="E595" s="907"/>
      <c r="F595" s="907"/>
      <c r="G595" s="907"/>
      <c r="H595" s="907"/>
      <c r="I595" s="907"/>
      <c r="J595" s="907"/>
      <c r="K595" s="907"/>
      <c r="L595" s="907"/>
      <c r="M595" s="907"/>
      <c r="N595" s="907"/>
      <c r="O595" s="907"/>
      <c r="P595" s="907"/>
      <c r="Q595" s="907"/>
      <c r="R595" s="907"/>
      <c r="S595" s="907"/>
      <c r="T595" s="907"/>
      <c r="U595" s="907"/>
      <c r="V595" s="907"/>
      <c r="W595" s="907"/>
      <c r="X595" s="907"/>
      <c r="Y595" s="907"/>
      <c r="Z595" s="907"/>
      <c r="AA595" s="907"/>
    </row>
    <row r="596" spans="1:27">
      <c r="A596" s="907"/>
      <c r="B596" s="907"/>
      <c r="C596" s="907"/>
      <c r="D596" s="907"/>
      <c r="E596" s="907"/>
      <c r="F596" s="907"/>
      <c r="G596" s="907"/>
      <c r="H596" s="907"/>
      <c r="I596" s="907"/>
      <c r="J596" s="907"/>
      <c r="K596" s="907"/>
      <c r="L596" s="907"/>
      <c r="M596" s="907"/>
      <c r="N596" s="907"/>
      <c r="O596" s="907"/>
      <c r="P596" s="907"/>
      <c r="Q596" s="907"/>
      <c r="R596" s="907"/>
      <c r="S596" s="907"/>
      <c r="T596" s="907"/>
      <c r="U596" s="907"/>
      <c r="V596" s="907"/>
      <c r="W596" s="907"/>
      <c r="X596" s="907"/>
      <c r="Y596" s="907"/>
      <c r="Z596" s="907"/>
      <c r="AA596" s="907"/>
    </row>
    <row r="597" spans="1:27">
      <c r="A597" s="907"/>
      <c r="B597" s="907"/>
      <c r="C597" s="907"/>
      <c r="D597" s="907"/>
      <c r="E597" s="907"/>
      <c r="F597" s="907"/>
      <c r="G597" s="907"/>
      <c r="H597" s="907"/>
      <c r="I597" s="907"/>
      <c r="J597" s="907"/>
      <c r="K597" s="907"/>
      <c r="L597" s="907"/>
      <c r="M597" s="907"/>
      <c r="N597" s="907"/>
      <c r="O597" s="907"/>
      <c r="P597" s="907"/>
      <c r="Q597" s="907"/>
      <c r="R597" s="907"/>
      <c r="S597" s="907"/>
      <c r="T597" s="907"/>
      <c r="U597" s="907"/>
      <c r="V597" s="907"/>
      <c r="W597" s="907"/>
      <c r="X597" s="907"/>
      <c r="Y597" s="907"/>
      <c r="Z597" s="907"/>
      <c r="AA597" s="907"/>
    </row>
    <row r="598" spans="1:27">
      <c r="A598" s="907"/>
      <c r="B598" s="907"/>
      <c r="C598" s="907"/>
      <c r="D598" s="907"/>
      <c r="E598" s="907"/>
      <c r="F598" s="907"/>
      <c r="G598" s="907"/>
      <c r="H598" s="907"/>
      <c r="I598" s="907"/>
      <c r="J598" s="907"/>
      <c r="K598" s="907"/>
      <c r="L598" s="907"/>
      <c r="M598" s="907"/>
      <c r="N598" s="907"/>
      <c r="O598" s="907"/>
      <c r="P598" s="907"/>
      <c r="Q598" s="907"/>
      <c r="R598" s="907"/>
      <c r="S598" s="907"/>
      <c r="T598" s="907"/>
      <c r="U598" s="907"/>
      <c r="V598" s="907"/>
      <c r="W598" s="907"/>
      <c r="X598" s="907"/>
      <c r="Y598" s="907"/>
      <c r="Z598" s="907"/>
      <c r="AA598" s="907"/>
    </row>
    <row r="599" spans="1:27">
      <c r="A599" s="907"/>
      <c r="B599" s="907"/>
      <c r="C599" s="907"/>
      <c r="D599" s="907"/>
      <c r="E599" s="907"/>
      <c r="F599" s="907"/>
      <c r="G599" s="907"/>
      <c r="H599" s="907"/>
      <c r="I599" s="907"/>
      <c r="J599" s="907"/>
      <c r="K599" s="907"/>
      <c r="L599" s="907"/>
      <c r="M599" s="907"/>
      <c r="N599" s="907"/>
      <c r="O599" s="907"/>
      <c r="P599" s="907"/>
      <c r="Q599" s="907"/>
      <c r="R599" s="907"/>
      <c r="S599" s="907"/>
      <c r="T599" s="907"/>
      <c r="U599" s="907"/>
      <c r="V599" s="907"/>
      <c r="W599" s="907"/>
      <c r="X599" s="907"/>
      <c r="Y599" s="907"/>
      <c r="Z599" s="907"/>
      <c r="AA599" s="907"/>
    </row>
    <row r="600" spans="1:27">
      <c r="A600" s="907"/>
      <c r="B600" s="907"/>
      <c r="C600" s="907"/>
      <c r="D600" s="907"/>
      <c r="E600" s="907"/>
      <c r="F600" s="907"/>
      <c r="G600" s="907"/>
      <c r="H600" s="907"/>
      <c r="I600" s="907"/>
      <c r="J600" s="907"/>
      <c r="K600" s="907"/>
      <c r="L600" s="907"/>
      <c r="M600" s="907"/>
      <c r="N600" s="907"/>
      <c r="O600" s="907"/>
      <c r="P600" s="907"/>
      <c r="Q600" s="907"/>
      <c r="R600" s="907"/>
      <c r="S600" s="907"/>
      <c r="T600" s="907"/>
      <c r="U600" s="907"/>
      <c r="V600" s="907"/>
      <c r="W600" s="907"/>
      <c r="X600" s="907"/>
      <c r="Y600" s="907"/>
      <c r="Z600" s="907"/>
      <c r="AA600" s="907"/>
    </row>
    <row r="601" spans="1:27">
      <c r="A601" s="907"/>
      <c r="B601" s="907"/>
      <c r="C601" s="907"/>
      <c r="D601" s="907"/>
      <c r="E601" s="907"/>
      <c r="F601" s="907"/>
      <c r="G601" s="907"/>
      <c r="H601" s="907"/>
      <c r="I601" s="907"/>
      <c r="J601" s="907"/>
      <c r="K601" s="907"/>
      <c r="L601" s="907"/>
      <c r="M601" s="907"/>
      <c r="N601" s="907"/>
      <c r="O601" s="907"/>
      <c r="P601" s="907"/>
      <c r="Q601" s="907"/>
      <c r="R601" s="907"/>
      <c r="S601" s="907"/>
      <c r="T601" s="907"/>
      <c r="U601" s="907"/>
      <c r="V601" s="907"/>
      <c r="W601" s="907"/>
      <c r="X601" s="907"/>
      <c r="Y601" s="907"/>
      <c r="Z601" s="907"/>
      <c r="AA601" s="907"/>
    </row>
    <row r="602" spans="1:27">
      <c r="A602" s="907"/>
      <c r="B602" s="907"/>
      <c r="C602" s="907"/>
      <c r="D602" s="907"/>
      <c r="E602" s="907"/>
      <c r="F602" s="907"/>
      <c r="G602" s="907"/>
      <c r="H602" s="907"/>
      <c r="I602" s="907"/>
      <c r="J602" s="907"/>
      <c r="K602" s="907"/>
      <c r="L602" s="907"/>
      <c r="M602" s="907"/>
      <c r="N602" s="907"/>
      <c r="O602" s="907"/>
      <c r="P602" s="907"/>
      <c r="Q602" s="907"/>
      <c r="R602" s="907"/>
      <c r="S602" s="907"/>
      <c r="T602" s="907"/>
      <c r="U602" s="907"/>
      <c r="V602" s="907"/>
      <c r="W602" s="907"/>
      <c r="X602" s="907"/>
      <c r="Y602" s="907"/>
      <c r="Z602" s="907"/>
      <c r="AA602" s="907"/>
    </row>
    <row r="603" spans="1:27">
      <c r="A603" s="907"/>
      <c r="B603" s="907"/>
      <c r="C603" s="907"/>
      <c r="D603" s="907"/>
      <c r="E603" s="907"/>
      <c r="F603" s="907"/>
      <c r="G603" s="907"/>
      <c r="H603" s="907"/>
      <c r="I603" s="907"/>
      <c r="J603" s="907"/>
      <c r="K603" s="907"/>
      <c r="L603" s="907"/>
      <c r="M603" s="907"/>
      <c r="N603" s="907"/>
      <c r="O603" s="907"/>
      <c r="P603" s="907"/>
      <c r="Q603" s="907"/>
      <c r="R603" s="907"/>
      <c r="S603" s="907"/>
      <c r="T603" s="907"/>
      <c r="U603" s="907"/>
      <c r="V603" s="907"/>
      <c r="W603" s="907"/>
      <c r="X603" s="907"/>
      <c r="Y603" s="907"/>
      <c r="Z603" s="907"/>
      <c r="AA603" s="907"/>
    </row>
    <row r="604" spans="1:27">
      <c r="A604" s="907"/>
      <c r="B604" s="907"/>
      <c r="C604" s="907"/>
      <c r="D604" s="907"/>
      <c r="E604" s="907"/>
      <c r="F604" s="907"/>
      <c r="G604" s="907"/>
      <c r="H604" s="907"/>
      <c r="I604" s="907"/>
      <c r="J604" s="907"/>
      <c r="K604" s="907"/>
      <c r="L604" s="907"/>
      <c r="M604" s="907"/>
      <c r="N604" s="907"/>
      <c r="O604" s="907"/>
      <c r="P604" s="907"/>
      <c r="Q604" s="907"/>
      <c r="R604" s="907"/>
      <c r="S604" s="907"/>
      <c r="T604" s="907"/>
      <c r="U604" s="907"/>
      <c r="V604" s="907"/>
      <c r="W604" s="907"/>
      <c r="X604" s="907"/>
      <c r="Y604" s="907"/>
      <c r="Z604" s="907"/>
      <c r="AA604" s="907"/>
    </row>
    <row r="605" spans="1:27">
      <c r="A605" s="907"/>
      <c r="B605" s="907"/>
      <c r="C605" s="907"/>
      <c r="D605" s="907"/>
      <c r="E605" s="907"/>
      <c r="F605" s="907"/>
      <c r="G605" s="907"/>
      <c r="H605" s="907"/>
      <c r="I605" s="907"/>
      <c r="J605" s="907"/>
      <c r="K605" s="907"/>
      <c r="L605" s="907"/>
      <c r="M605" s="907"/>
      <c r="N605" s="907"/>
      <c r="O605" s="907"/>
      <c r="P605" s="907"/>
      <c r="Q605" s="907"/>
      <c r="R605" s="907"/>
      <c r="S605" s="907"/>
      <c r="T605" s="907"/>
      <c r="U605" s="907"/>
      <c r="V605" s="907"/>
      <c r="W605" s="907"/>
      <c r="X605" s="907"/>
      <c r="Y605" s="907"/>
      <c r="Z605" s="907"/>
      <c r="AA605" s="907"/>
    </row>
    <row r="606" spans="1:27">
      <c r="A606" s="907"/>
      <c r="B606" s="907"/>
      <c r="C606" s="907"/>
      <c r="D606" s="907"/>
      <c r="E606" s="907"/>
      <c r="F606" s="907"/>
      <c r="G606" s="907"/>
      <c r="H606" s="907"/>
      <c r="I606" s="907"/>
      <c r="J606" s="907"/>
      <c r="K606" s="907"/>
      <c r="L606" s="907"/>
      <c r="M606" s="907"/>
      <c r="N606" s="907"/>
      <c r="O606" s="907"/>
      <c r="P606" s="907"/>
      <c r="Q606" s="907"/>
      <c r="R606" s="907"/>
      <c r="S606" s="907"/>
      <c r="T606" s="907"/>
      <c r="U606" s="907"/>
      <c r="V606" s="907"/>
      <c r="W606" s="907"/>
      <c r="X606" s="907"/>
      <c r="Y606" s="907"/>
      <c r="Z606" s="907"/>
      <c r="AA606" s="907"/>
    </row>
    <row r="607" spans="1:27">
      <c r="A607" s="907"/>
      <c r="B607" s="907"/>
      <c r="C607" s="907"/>
      <c r="D607" s="907"/>
      <c r="E607" s="907"/>
      <c r="F607" s="907"/>
      <c r="G607" s="907"/>
      <c r="H607" s="907"/>
      <c r="I607" s="907"/>
      <c r="J607" s="907"/>
      <c r="K607" s="907"/>
      <c r="L607" s="907"/>
      <c r="M607" s="907"/>
      <c r="N607" s="907"/>
      <c r="O607" s="907"/>
      <c r="P607" s="907"/>
      <c r="Q607" s="907"/>
      <c r="R607" s="907"/>
      <c r="S607" s="907"/>
      <c r="T607" s="907"/>
      <c r="U607" s="907"/>
      <c r="V607" s="907"/>
      <c r="W607" s="907"/>
      <c r="X607" s="907"/>
      <c r="Y607" s="907"/>
      <c r="Z607" s="907"/>
      <c r="AA607" s="907"/>
    </row>
    <row r="608" spans="1:27">
      <c r="A608" s="907"/>
      <c r="B608" s="907"/>
      <c r="C608" s="907"/>
      <c r="D608" s="907"/>
      <c r="E608" s="907"/>
      <c r="F608" s="907"/>
      <c r="G608" s="907"/>
      <c r="H608" s="907"/>
      <c r="I608" s="907"/>
      <c r="J608" s="907"/>
      <c r="K608" s="907"/>
      <c r="L608" s="907"/>
      <c r="M608" s="907"/>
      <c r="N608" s="907"/>
      <c r="O608" s="907"/>
      <c r="P608" s="907"/>
      <c r="Q608" s="907"/>
      <c r="R608" s="907"/>
      <c r="S608" s="907"/>
      <c r="T608" s="907"/>
      <c r="U608" s="907"/>
      <c r="V608" s="907"/>
      <c r="W608" s="907"/>
      <c r="X608" s="907"/>
      <c r="Y608" s="907"/>
      <c r="Z608" s="907"/>
      <c r="AA608" s="907"/>
    </row>
    <row r="609" spans="1:27">
      <c r="A609" s="907"/>
      <c r="B609" s="907"/>
      <c r="C609" s="907"/>
      <c r="D609" s="907"/>
      <c r="E609" s="907"/>
      <c r="F609" s="907"/>
      <c r="G609" s="907"/>
      <c r="H609" s="907"/>
      <c r="I609" s="907"/>
      <c r="J609" s="907"/>
      <c r="K609" s="907"/>
      <c r="L609" s="907"/>
      <c r="M609" s="907"/>
      <c r="N609" s="907"/>
      <c r="O609" s="907"/>
      <c r="P609" s="907"/>
      <c r="Q609" s="907"/>
      <c r="R609" s="907"/>
      <c r="S609" s="907"/>
      <c r="T609" s="907"/>
      <c r="U609" s="907"/>
      <c r="V609" s="907"/>
      <c r="W609" s="907"/>
      <c r="X609" s="907"/>
      <c r="Y609" s="907"/>
      <c r="Z609" s="907"/>
      <c r="AA609" s="907"/>
    </row>
    <row r="610" spans="1:27">
      <c r="A610" s="907"/>
      <c r="B610" s="907"/>
      <c r="C610" s="907"/>
      <c r="D610" s="907"/>
      <c r="E610" s="907"/>
      <c r="F610" s="907"/>
      <c r="G610" s="907"/>
      <c r="H610" s="907"/>
      <c r="I610" s="907"/>
      <c r="J610" s="907"/>
      <c r="K610" s="907"/>
      <c r="L610" s="907"/>
      <c r="M610" s="907"/>
      <c r="N610" s="907"/>
      <c r="O610" s="907"/>
      <c r="P610" s="907"/>
      <c r="Q610" s="907"/>
      <c r="R610" s="907"/>
      <c r="S610" s="907"/>
      <c r="T610" s="907"/>
      <c r="U610" s="907"/>
      <c r="V610" s="907"/>
      <c r="W610" s="907"/>
      <c r="X610" s="907"/>
      <c r="Y610" s="907"/>
      <c r="Z610" s="907"/>
      <c r="AA610" s="907"/>
    </row>
    <row r="611" spans="1:27">
      <c r="A611" s="907"/>
      <c r="B611" s="907"/>
      <c r="C611" s="907"/>
      <c r="D611" s="907"/>
      <c r="E611" s="907"/>
      <c r="F611" s="907"/>
      <c r="G611" s="907"/>
      <c r="H611" s="907"/>
      <c r="I611" s="907"/>
      <c r="J611" s="907"/>
      <c r="K611" s="907"/>
      <c r="L611" s="907"/>
      <c r="M611" s="907"/>
      <c r="N611" s="907"/>
      <c r="O611" s="907"/>
      <c r="P611" s="907"/>
      <c r="Q611" s="907"/>
      <c r="R611" s="907"/>
      <c r="S611" s="907"/>
      <c r="T611" s="907"/>
      <c r="U611" s="907"/>
      <c r="V611" s="907"/>
      <c r="W611" s="907"/>
      <c r="X611" s="907"/>
      <c r="Y611" s="907"/>
      <c r="Z611" s="907"/>
      <c r="AA611" s="907"/>
    </row>
    <row r="612" spans="1:27">
      <c r="A612" s="907"/>
      <c r="B612" s="907"/>
      <c r="C612" s="907"/>
      <c r="D612" s="907"/>
      <c r="E612" s="907"/>
      <c r="F612" s="907"/>
      <c r="G612" s="907"/>
      <c r="H612" s="907"/>
      <c r="I612" s="907"/>
      <c r="J612" s="907"/>
      <c r="K612" s="907"/>
      <c r="L612" s="907"/>
      <c r="M612" s="907"/>
      <c r="N612" s="907"/>
      <c r="O612" s="907"/>
      <c r="P612" s="907"/>
      <c r="Q612" s="907"/>
      <c r="R612" s="907"/>
      <c r="S612" s="907"/>
      <c r="T612" s="907"/>
      <c r="U612" s="907"/>
      <c r="V612" s="907"/>
      <c r="W612" s="907"/>
      <c r="X612" s="907"/>
      <c r="Y612" s="907"/>
      <c r="Z612" s="907"/>
      <c r="AA612" s="907"/>
    </row>
    <row r="613" spans="1:27">
      <c r="A613" s="907"/>
      <c r="B613" s="907"/>
      <c r="C613" s="907"/>
      <c r="D613" s="907"/>
      <c r="E613" s="907"/>
      <c r="F613" s="907"/>
      <c r="G613" s="907"/>
      <c r="H613" s="907"/>
      <c r="I613" s="907"/>
      <c r="J613" s="907"/>
      <c r="K613" s="907"/>
      <c r="L613" s="907"/>
      <c r="M613" s="907"/>
      <c r="N613" s="907"/>
      <c r="O613" s="907"/>
      <c r="P613" s="907"/>
      <c r="Q613" s="907"/>
      <c r="R613" s="907"/>
      <c r="S613" s="907"/>
      <c r="T613" s="907"/>
      <c r="U613" s="907"/>
      <c r="V613" s="907"/>
      <c r="W613" s="907"/>
      <c r="X613" s="907"/>
      <c r="Y613" s="907"/>
      <c r="Z613" s="907"/>
      <c r="AA613" s="907"/>
    </row>
    <row r="614" spans="1:27">
      <c r="A614" s="907"/>
      <c r="B614" s="907"/>
      <c r="C614" s="907"/>
      <c r="D614" s="907"/>
      <c r="E614" s="907"/>
      <c r="F614" s="907"/>
      <c r="G614" s="907"/>
      <c r="H614" s="907"/>
      <c r="I614" s="907"/>
      <c r="J614" s="907"/>
      <c r="K614" s="907"/>
      <c r="L614" s="907"/>
      <c r="M614" s="907"/>
      <c r="N614" s="907"/>
      <c r="O614" s="907"/>
      <c r="P614" s="907"/>
      <c r="Q614" s="907"/>
      <c r="R614" s="907"/>
      <c r="S614" s="907"/>
      <c r="T614" s="907"/>
      <c r="U614" s="907"/>
      <c r="V614" s="907"/>
      <c r="W614" s="907"/>
      <c r="X614" s="907"/>
      <c r="Y614" s="907"/>
      <c r="Z614" s="907"/>
      <c r="AA614" s="907"/>
    </row>
    <row r="615" spans="1:27">
      <c r="A615" s="907"/>
      <c r="B615" s="907"/>
      <c r="C615" s="907"/>
      <c r="D615" s="907"/>
      <c r="E615" s="907"/>
      <c r="F615" s="907"/>
      <c r="G615" s="907"/>
      <c r="H615" s="907"/>
      <c r="I615" s="907"/>
      <c r="J615" s="907"/>
      <c r="K615" s="907"/>
      <c r="L615" s="907"/>
      <c r="M615" s="907"/>
      <c r="N615" s="907"/>
      <c r="O615" s="907"/>
      <c r="P615" s="907"/>
      <c r="Q615" s="907"/>
      <c r="R615" s="907"/>
      <c r="S615" s="907"/>
      <c r="T615" s="907"/>
      <c r="U615" s="907"/>
      <c r="V615" s="907"/>
      <c r="W615" s="907"/>
      <c r="X615" s="907"/>
      <c r="Y615" s="907"/>
      <c r="Z615" s="907"/>
      <c r="AA615" s="907"/>
    </row>
    <row r="616" spans="1:27">
      <c r="A616" s="907"/>
      <c r="B616" s="907"/>
      <c r="C616" s="907"/>
      <c r="D616" s="907"/>
      <c r="E616" s="907"/>
      <c r="F616" s="907"/>
      <c r="G616" s="907"/>
      <c r="H616" s="907"/>
      <c r="I616" s="907"/>
      <c r="J616" s="907"/>
      <c r="K616" s="907"/>
      <c r="L616" s="907"/>
      <c r="M616" s="907"/>
      <c r="N616" s="907"/>
      <c r="O616" s="907"/>
      <c r="P616" s="907"/>
      <c r="Q616" s="907"/>
      <c r="R616" s="907"/>
      <c r="S616" s="907"/>
      <c r="T616" s="907"/>
      <c r="U616" s="907"/>
      <c r="V616" s="907"/>
      <c r="W616" s="907"/>
      <c r="X616" s="907"/>
      <c r="Y616" s="907"/>
      <c r="Z616" s="907"/>
      <c r="AA616" s="907"/>
    </row>
    <row r="617" spans="1:27">
      <c r="A617" s="907"/>
      <c r="B617" s="907"/>
      <c r="C617" s="907"/>
      <c r="D617" s="907"/>
      <c r="E617" s="907"/>
      <c r="F617" s="907"/>
      <c r="G617" s="907"/>
      <c r="H617" s="907"/>
      <c r="I617" s="907"/>
      <c r="J617" s="907"/>
      <c r="K617" s="907"/>
      <c r="L617" s="907"/>
      <c r="M617" s="907"/>
      <c r="N617" s="907"/>
      <c r="O617" s="907"/>
      <c r="P617" s="907"/>
      <c r="Q617" s="907"/>
      <c r="R617" s="907"/>
      <c r="S617" s="907"/>
      <c r="T617" s="907"/>
      <c r="U617" s="907"/>
      <c r="V617" s="907"/>
      <c r="W617" s="907"/>
      <c r="X617" s="907"/>
      <c r="Y617" s="907"/>
      <c r="Z617" s="907"/>
      <c r="AA617" s="907"/>
    </row>
    <row r="618" spans="1:27">
      <c r="A618" s="907"/>
      <c r="B618" s="907"/>
      <c r="C618" s="907"/>
      <c r="D618" s="907"/>
      <c r="E618" s="907"/>
      <c r="F618" s="907"/>
      <c r="G618" s="907"/>
      <c r="H618" s="907"/>
      <c r="I618" s="907"/>
      <c r="J618" s="907"/>
      <c r="K618" s="907"/>
      <c r="L618" s="907"/>
      <c r="M618" s="907"/>
      <c r="N618" s="907"/>
      <c r="O618" s="907"/>
      <c r="P618" s="907"/>
      <c r="Q618" s="907"/>
      <c r="R618" s="907"/>
      <c r="S618" s="907"/>
      <c r="T618" s="907"/>
      <c r="U618" s="907"/>
      <c r="V618" s="907"/>
      <c r="W618" s="907"/>
      <c r="X618" s="907"/>
      <c r="Y618" s="907"/>
      <c r="Z618" s="907"/>
      <c r="AA618" s="907"/>
    </row>
    <row r="619" spans="1:27">
      <c r="A619" s="907"/>
      <c r="B619" s="907"/>
      <c r="C619" s="907"/>
      <c r="D619" s="907"/>
      <c r="E619" s="907"/>
      <c r="F619" s="907"/>
      <c r="G619" s="907"/>
      <c r="H619" s="907"/>
      <c r="I619" s="907"/>
      <c r="J619" s="907"/>
      <c r="K619" s="907"/>
      <c r="L619" s="907"/>
      <c r="M619" s="907"/>
      <c r="N619" s="907"/>
      <c r="O619" s="907"/>
      <c r="P619" s="907"/>
      <c r="Q619" s="907"/>
      <c r="R619" s="907"/>
      <c r="S619" s="907"/>
      <c r="T619" s="907"/>
      <c r="U619" s="907"/>
      <c r="V619" s="907"/>
      <c r="W619" s="907"/>
      <c r="X619" s="907"/>
      <c r="Y619" s="907"/>
      <c r="Z619" s="907"/>
      <c r="AA619" s="907"/>
    </row>
    <row r="620" spans="1:27">
      <c r="A620" s="907"/>
      <c r="B620" s="907"/>
      <c r="C620" s="907"/>
      <c r="D620" s="907"/>
      <c r="E620" s="907"/>
      <c r="F620" s="907"/>
      <c r="G620" s="907"/>
      <c r="H620" s="907"/>
      <c r="I620" s="907"/>
      <c r="J620" s="907"/>
      <c r="K620" s="907"/>
      <c r="L620" s="907"/>
      <c r="M620" s="907"/>
      <c r="N620" s="907"/>
      <c r="O620" s="907"/>
      <c r="P620" s="907"/>
      <c r="Q620" s="907"/>
      <c r="R620" s="907"/>
      <c r="S620" s="907"/>
      <c r="T620" s="907"/>
      <c r="U620" s="907"/>
      <c r="V620" s="907"/>
      <c r="W620" s="907"/>
      <c r="X620" s="907"/>
      <c r="Y620" s="907"/>
      <c r="Z620" s="907"/>
      <c r="AA620" s="907"/>
    </row>
    <row r="621" spans="1:27">
      <c r="A621" s="907"/>
      <c r="B621" s="907"/>
      <c r="C621" s="907"/>
      <c r="D621" s="907"/>
      <c r="E621" s="907"/>
      <c r="F621" s="907"/>
      <c r="G621" s="907"/>
      <c r="H621" s="907"/>
      <c r="I621" s="907"/>
      <c r="J621" s="907"/>
      <c r="K621" s="907"/>
      <c r="L621" s="907"/>
      <c r="M621" s="907"/>
      <c r="N621" s="907"/>
      <c r="O621" s="907"/>
      <c r="P621" s="907"/>
      <c r="Q621" s="907"/>
      <c r="R621" s="907"/>
      <c r="S621" s="907"/>
      <c r="T621" s="907"/>
      <c r="U621" s="907"/>
      <c r="V621" s="907"/>
      <c r="W621" s="907"/>
      <c r="X621" s="907"/>
      <c r="Y621" s="907"/>
      <c r="Z621" s="907"/>
      <c r="AA621" s="907"/>
    </row>
    <row r="622" spans="1:27">
      <c r="A622" s="907"/>
      <c r="B622" s="907"/>
      <c r="C622" s="907"/>
      <c r="D622" s="907"/>
      <c r="E622" s="907"/>
      <c r="F622" s="907"/>
      <c r="G622" s="907"/>
      <c r="H622" s="907"/>
      <c r="I622" s="907"/>
      <c r="J622" s="907"/>
      <c r="K622" s="907"/>
      <c r="L622" s="907"/>
      <c r="M622" s="907"/>
      <c r="N622" s="907"/>
      <c r="O622" s="907"/>
      <c r="P622" s="907"/>
      <c r="Q622" s="907"/>
      <c r="R622" s="907"/>
      <c r="S622" s="907"/>
      <c r="T622" s="907"/>
      <c r="U622" s="907"/>
      <c r="V622" s="907"/>
      <c r="W622" s="907"/>
      <c r="X622" s="907"/>
      <c r="Y622" s="907"/>
      <c r="Z622" s="907"/>
      <c r="AA622" s="907"/>
    </row>
    <row r="623" spans="1:27">
      <c r="A623" s="907"/>
      <c r="B623" s="907"/>
      <c r="C623" s="907"/>
      <c r="D623" s="907"/>
      <c r="E623" s="907"/>
      <c r="F623" s="907"/>
      <c r="G623" s="907"/>
      <c r="H623" s="907"/>
      <c r="I623" s="907"/>
      <c r="J623" s="907"/>
      <c r="K623" s="907"/>
      <c r="L623" s="907"/>
      <c r="M623" s="907"/>
      <c r="N623" s="907"/>
      <c r="O623" s="907"/>
      <c r="P623" s="907"/>
      <c r="Q623" s="907"/>
      <c r="R623" s="907"/>
      <c r="S623" s="907"/>
      <c r="T623" s="907"/>
      <c r="U623" s="907"/>
      <c r="V623" s="907"/>
      <c r="W623" s="907"/>
      <c r="X623" s="907"/>
      <c r="Y623" s="907"/>
      <c r="Z623" s="907"/>
      <c r="AA623" s="907"/>
    </row>
    <row r="624" spans="1:27">
      <c r="A624" s="907"/>
      <c r="B624" s="907"/>
      <c r="C624" s="907"/>
      <c r="D624" s="907"/>
      <c r="E624" s="907"/>
      <c r="F624" s="907"/>
      <c r="G624" s="907"/>
      <c r="H624" s="907"/>
      <c r="I624" s="907"/>
      <c r="J624" s="907"/>
      <c r="K624" s="907"/>
      <c r="L624" s="907"/>
      <c r="M624" s="907"/>
      <c r="N624" s="907"/>
      <c r="O624" s="907"/>
      <c r="P624" s="907"/>
      <c r="Q624" s="907"/>
      <c r="R624" s="907"/>
      <c r="S624" s="907"/>
      <c r="T624" s="907"/>
      <c r="U624" s="907"/>
      <c r="V624" s="907"/>
      <c r="W624" s="907"/>
      <c r="X624" s="907"/>
      <c r="Y624" s="907"/>
      <c r="Z624" s="907"/>
      <c r="AA624" s="907"/>
    </row>
    <row r="625" spans="1:27">
      <c r="A625" s="907"/>
      <c r="B625" s="907"/>
      <c r="C625" s="907"/>
      <c r="D625" s="907"/>
      <c r="E625" s="907"/>
      <c r="F625" s="907"/>
      <c r="G625" s="907"/>
      <c r="H625" s="907"/>
      <c r="I625" s="907"/>
      <c r="J625" s="907"/>
      <c r="K625" s="907"/>
      <c r="L625" s="907"/>
      <c r="M625" s="907"/>
      <c r="N625" s="907"/>
      <c r="O625" s="907"/>
      <c r="P625" s="907"/>
      <c r="Q625" s="907"/>
      <c r="R625" s="907"/>
      <c r="S625" s="907"/>
      <c r="T625" s="907"/>
      <c r="U625" s="907"/>
      <c r="V625" s="907"/>
      <c r="W625" s="907"/>
      <c r="X625" s="907"/>
      <c r="Y625" s="907"/>
      <c r="Z625" s="907"/>
      <c r="AA625" s="907"/>
    </row>
    <row r="626" spans="1:27">
      <c r="A626" s="907"/>
      <c r="B626" s="907"/>
      <c r="C626" s="907"/>
      <c r="D626" s="907"/>
      <c r="E626" s="907"/>
      <c r="F626" s="907"/>
      <c r="G626" s="907"/>
      <c r="H626" s="907"/>
      <c r="I626" s="907"/>
      <c r="J626" s="907"/>
      <c r="K626" s="907"/>
      <c r="L626" s="907"/>
      <c r="M626" s="907"/>
      <c r="N626" s="907"/>
      <c r="O626" s="907"/>
      <c r="P626" s="907"/>
      <c r="Q626" s="907"/>
      <c r="R626" s="907"/>
      <c r="S626" s="907"/>
      <c r="T626" s="907"/>
      <c r="U626" s="907"/>
      <c r="V626" s="907"/>
      <c r="W626" s="907"/>
      <c r="X626" s="907"/>
      <c r="Y626" s="907"/>
      <c r="Z626" s="907"/>
      <c r="AA626" s="907"/>
    </row>
    <row r="627" spans="1:27">
      <c r="A627" s="907"/>
      <c r="B627" s="907"/>
      <c r="C627" s="907"/>
      <c r="D627" s="907"/>
      <c r="E627" s="907"/>
      <c r="F627" s="907"/>
      <c r="G627" s="907"/>
      <c r="H627" s="907"/>
      <c r="I627" s="907"/>
      <c r="J627" s="907"/>
      <c r="K627" s="907"/>
      <c r="L627" s="907"/>
      <c r="M627" s="907"/>
      <c r="N627" s="907"/>
      <c r="O627" s="907"/>
      <c r="P627" s="907"/>
      <c r="Q627" s="907"/>
      <c r="R627" s="907"/>
      <c r="S627" s="907"/>
      <c r="T627" s="907"/>
      <c r="U627" s="907"/>
      <c r="V627" s="907"/>
      <c r="W627" s="907"/>
      <c r="X627" s="907"/>
      <c r="Y627" s="907"/>
      <c r="Z627" s="907"/>
      <c r="AA627" s="907"/>
    </row>
    <row r="628" spans="1:27">
      <c r="A628" s="907"/>
      <c r="B628" s="907"/>
      <c r="C628" s="907"/>
      <c r="D628" s="907"/>
      <c r="E628" s="907"/>
      <c r="F628" s="907"/>
      <c r="G628" s="907"/>
      <c r="H628" s="907"/>
      <c r="I628" s="907"/>
      <c r="J628" s="907"/>
      <c r="K628" s="907"/>
      <c r="L628" s="907"/>
      <c r="M628" s="907"/>
      <c r="N628" s="907"/>
      <c r="O628" s="907"/>
      <c r="P628" s="907"/>
      <c r="Q628" s="907"/>
      <c r="R628" s="907"/>
      <c r="S628" s="907"/>
      <c r="T628" s="907"/>
      <c r="U628" s="907"/>
      <c r="V628" s="907"/>
      <c r="W628" s="907"/>
      <c r="X628" s="907"/>
      <c r="Y628" s="907"/>
      <c r="Z628" s="907"/>
      <c r="AA628" s="907"/>
    </row>
    <row r="629" spans="1:27">
      <c r="A629" s="907"/>
      <c r="B629" s="907"/>
      <c r="C629" s="907"/>
      <c r="D629" s="907"/>
      <c r="E629" s="907"/>
      <c r="F629" s="907"/>
      <c r="G629" s="907"/>
      <c r="H629" s="907"/>
      <c r="I629" s="907"/>
      <c r="J629" s="907"/>
      <c r="K629" s="907"/>
      <c r="L629" s="907"/>
      <c r="M629" s="907"/>
      <c r="N629" s="907"/>
      <c r="O629" s="907"/>
      <c r="P629" s="907"/>
      <c r="Q629" s="907"/>
      <c r="R629" s="907"/>
      <c r="S629" s="907"/>
      <c r="T629" s="907"/>
      <c r="U629" s="907"/>
      <c r="V629" s="907"/>
      <c r="W629" s="907"/>
      <c r="X629" s="907"/>
      <c r="Y629" s="907"/>
      <c r="Z629" s="907"/>
      <c r="AA629" s="907"/>
    </row>
    <row r="630" spans="1:27">
      <c r="A630" s="907"/>
      <c r="B630" s="907"/>
      <c r="C630" s="907"/>
      <c r="D630" s="907"/>
      <c r="E630" s="907"/>
      <c r="F630" s="907"/>
      <c r="G630" s="907"/>
      <c r="H630" s="907"/>
      <c r="I630" s="907"/>
      <c r="J630" s="907"/>
      <c r="K630" s="907"/>
      <c r="L630" s="907"/>
      <c r="M630" s="907"/>
      <c r="N630" s="907"/>
      <c r="O630" s="907"/>
      <c r="P630" s="907"/>
      <c r="Q630" s="907"/>
      <c r="R630" s="907"/>
      <c r="S630" s="907"/>
      <c r="T630" s="907"/>
      <c r="U630" s="907"/>
      <c r="V630" s="907"/>
      <c r="W630" s="907"/>
      <c r="X630" s="907"/>
      <c r="Y630" s="907"/>
      <c r="Z630" s="907"/>
      <c r="AA630" s="907"/>
    </row>
    <row r="631" spans="1:27">
      <c r="A631" s="907"/>
      <c r="B631" s="907"/>
      <c r="C631" s="907"/>
      <c r="D631" s="907"/>
      <c r="E631" s="907"/>
      <c r="F631" s="907"/>
      <c r="G631" s="907"/>
      <c r="H631" s="907"/>
      <c r="I631" s="907"/>
      <c r="J631" s="907"/>
      <c r="K631" s="907"/>
      <c r="L631" s="907"/>
      <c r="M631" s="907"/>
      <c r="N631" s="907"/>
      <c r="O631" s="907"/>
      <c r="P631" s="907"/>
      <c r="Q631" s="907"/>
      <c r="R631" s="907"/>
      <c r="S631" s="907"/>
      <c r="T631" s="907"/>
      <c r="U631" s="907"/>
      <c r="V631" s="907"/>
      <c r="W631" s="907"/>
      <c r="X631" s="907"/>
      <c r="Y631" s="907"/>
      <c r="Z631" s="907"/>
      <c r="AA631" s="907"/>
    </row>
    <row r="632" spans="1:27">
      <c r="A632" s="907"/>
      <c r="B632" s="907"/>
      <c r="C632" s="907"/>
      <c r="D632" s="907"/>
      <c r="E632" s="907"/>
      <c r="F632" s="907"/>
      <c r="G632" s="907"/>
      <c r="H632" s="907"/>
      <c r="I632" s="907"/>
      <c r="J632" s="907"/>
      <c r="K632" s="907"/>
      <c r="L632" s="907"/>
      <c r="M632" s="907"/>
      <c r="N632" s="907"/>
      <c r="O632" s="907"/>
      <c r="P632" s="907"/>
      <c r="Q632" s="907"/>
      <c r="R632" s="907"/>
      <c r="S632" s="907"/>
      <c r="T632" s="907"/>
      <c r="U632" s="907"/>
      <c r="V632" s="907"/>
      <c r="W632" s="907"/>
      <c r="X632" s="907"/>
      <c r="Y632" s="907"/>
      <c r="Z632" s="907"/>
      <c r="AA632" s="907"/>
    </row>
    <row r="633" spans="1:27">
      <c r="A633" s="907"/>
      <c r="B633" s="907"/>
      <c r="C633" s="907"/>
      <c r="D633" s="907"/>
      <c r="E633" s="907"/>
      <c r="F633" s="907"/>
      <c r="G633" s="907"/>
      <c r="H633" s="907"/>
      <c r="I633" s="907"/>
      <c r="J633" s="907"/>
      <c r="K633" s="907"/>
      <c r="L633" s="907"/>
      <c r="M633" s="907"/>
      <c r="N633" s="907"/>
      <c r="O633" s="907"/>
      <c r="P633" s="907"/>
      <c r="Q633" s="907"/>
      <c r="R633" s="907"/>
      <c r="S633" s="907"/>
      <c r="T633" s="907"/>
      <c r="U633" s="907"/>
      <c r="V633" s="907"/>
      <c r="W633" s="907"/>
      <c r="X633" s="907"/>
      <c r="Y633" s="907"/>
      <c r="Z633" s="907"/>
      <c r="AA633" s="907"/>
    </row>
    <row r="634" spans="1:27">
      <c r="A634" s="907"/>
      <c r="B634" s="907"/>
      <c r="C634" s="907"/>
      <c r="D634" s="907"/>
      <c r="E634" s="907"/>
      <c r="F634" s="907"/>
      <c r="G634" s="907"/>
      <c r="H634" s="907"/>
      <c r="I634" s="907"/>
      <c r="J634" s="907"/>
      <c r="K634" s="907"/>
      <c r="L634" s="907"/>
      <c r="M634" s="907"/>
      <c r="N634" s="907"/>
      <c r="O634" s="907"/>
      <c r="P634" s="907"/>
      <c r="Q634" s="907"/>
      <c r="R634" s="907"/>
      <c r="S634" s="907"/>
      <c r="T634" s="907"/>
      <c r="U634" s="907"/>
      <c r="V634" s="907"/>
      <c r="W634" s="907"/>
      <c r="X634" s="907"/>
      <c r="Y634" s="907"/>
      <c r="Z634" s="907"/>
      <c r="AA634" s="907"/>
    </row>
    <row r="635" spans="1:27">
      <c r="A635" s="907"/>
      <c r="B635" s="907"/>
      <c r="C635" s="907"/>
      <c r="D635" s="907"/>
      <c r="E635" s="907"/>
      <c r="F635" s="907"/>
      <c r="G635" s="907"/>
      <c r="H635" s="907"/>
      <c r="I635" s="907"/>
      <c r="J635" s="907"/>
      <c r="K635" s="907"/>
      <c r="L635" s="907"/>
      <c r="M635" s="907"/>
      <c r="N635" s="907"/>
      <c r="O635" s="907"/>
      <c r="P635" s="907"/>
      <c r="Q635" s="907"/>
      <c r="R635" s="907"/>
      <c r="S635" s="907"/>
      <c r="T635" s="907"/>
      <c r="U635" s="907"/>
      <c r="V635" s="907"/>
      <c r="W635" s="907"/>
      <c r="X635" s="907"/>
      <c r="Y635" s="907"/>
      <c r="Z635" s="907"/>
      <c r="AA635" s="907"/>
    </row>
    <row r="636" spans="1:27">
      <c r="A636" s="907"/>
      <c r="B636" s="907"/>
      <c r="C636" s="907"/>
      <c r="D636" s="907"/>
      <c r="E636" s="907"/>
      <c r="F636" s="907"/>
      <c r="G636" s="907"/>
      <c r="H636" s="907"/>
      <c r="I636" s="907"/>
      <c r="J636" s="907"/>
      <c r="K636" s="907"/>
      <c r="L636" s="907"/>
      <c r="M636" s="907"/>
      <c r="N636" s="907"/>
      <c r="O636" s="907"/>
      <c r="P636" s="907"/>
      <c r="Q636" s="907"/>
      <c r="R636" s="907"/>
      <c r="S636" s="907"/>
      <c r="T636" s="907"/>
      <c r="U636" s="907"/>
      <c r="V636" s="907"/>
      <c r="W636" s="907"/>
      <c r="X636" s="907"/>
      <c r="Y636" s="907"/>
      <c r="Z636" s="907"/>
      <c r="AA636" s="907"/>
    </row>
    <row r="637" spans="1:27">
      <c r="A637" s="907"/>
      <c r="B637" s="907"/>
      <c r="C637" s="907"/>
      <c r="D637" s="907"/>
      <c r="E637" s="907"/>
      <c r="F637" s="907"/>
      <c r="G637" s="907"/>
      <c r="H637" s="907"/>
      <c r="I637" s="907"/>
      <c r="J637" s="907"/>
      <c r="K637" s="907"/>
      <c r="L637" s="907"/>
      <c r="M637" s="907"/>
      <c r="N637" s="907"/>
      <c r="O637" s="907"/>
      <c r="P637" s="907"/>
      <c r="Q637" s="907"/>
      <c r="R637" s="907"/>
      <c r="S637" s="907"/>
      <c r="T637" s="907"/>
      <c r="U637" s="907"/>
      <c r="V637" s="907"/>
      <c r="W637" s="907"/>
      <c r="X637" s="907"/>
      <c r="Y637" s="907"/>
      <c r="Z637" s="907"/>
      <c r="AA637" s="907"/>
    </row>
    <row r="638" spans="1:27">
      <c r="A638" s="907"/>
      <c r="B638" s="907"/>
      <c r="C638" s="907"/>
      <c r="D638" s="907"/>
      <c r="E638" s="907"/>
      <c r="F638" s="907"/>
      <c r="G638" s="907"/>
      <c r="H638" s="907"/>
      <c r="I638" s="907"/>
      <c r="J638" s="907"/>
      <c r="K638" s="907"/>
      <c r="L638" s="907"/>
      <c r="M638" s="907"/>
      <c r="N638" s="907"/>
      <c r="O638" s="907"/>
      <c r="P638" s="907"/>
      <c r="Q638" s="907"/>
      <c r="R638" s="907"/>
      <c r="S638" s="907"/>
      <c r="T638" s="907"/>
      <c r="U638" s="907"/>
      <c r="V638" s="907"/>
      <c r="W638" s="907"/>
      <c r="X638" s="907"/>
      <c r="Y638" s="907"/>
      <c r="Z638" s="907"/>
      <c r="AA638" s="907"/>
    </row>
    <row r="639" spans="1:27">
      <c r="A639" s="907"/>
      <c r="B639" s="907"/>
      <c r="C639" s="907"/>
      <c r="D639" s="907"/>
      <c r="E639" s="907"/>
      <c r="F639" s="907"/>
      <c r="G639" s="907"/>
      <c r="H639" s="907"/>
      <c r="I639" s="907"/>
      <c r="J639" s="907"/>
      <c r="K639" s="907"/>
      <c r="L639" s="907"/>
      <c r="M639" s="907"/>
      <c r="N639" s="907"/>
      <c r="O639" s="907"/>
      <c r="P639" s="907"/>
      <c r="Q639" s="907"/>
      <c r="R639" s="907"/>
      <c r="S639" s="907"/>
      <c r="T639" s="907"/>
      <c r="U639" s="907"/>
      <c r="V639" s="907"/>
      <c r="W639" s="907"/>
      <c r="X639" s="907"/>
      <c r="Y639" s="907"/>
      <c r="Z639" s="907"/>
      <c r="AA639" s="907"/>
    </row>
    <row r="640" spans="1:27">
      <c r="A640" s="907"/>
      <c r="B640" s="907"/>
      <c r="C640" s="907"/>
      <c r="D640" s="907"/>
      <c r="E640" s="907"/>
      <c r="F640" s="907"/>
      <c r="G640" s="907"/>
      <c r="H640" s="907"/>
      <c r="I640" s="907"/>
      <c r="J640" s="907"/>
      <c r="K640" s="907"/>
      <c r="L640" s="907"/>
      <c r="M640" s="907"/>
      <c r="N640" s="907"/>
      <c r="O640" s="907"/>
      <c r="P640" s="907"/>
      <c r="Q640" s="907"/>
      <c r="R640" s="907"/>
      <c r="S640" s="907"/>
      <c r="T640" s="907"/>
      <c r="U640" s="907"/>
      <c r="V640" s="907"/>
      <c r="W640" s="907"/>
      <c r="X640" s="907"/>
      <c r="Y640" s="907"/>
      <c r="Z640" s="907"/>
      <c r="AA640" s="907"/>
    </row>
    <row r="641" spans="1:27">
      <c r="A641" s="907"/>
      <c r="B641" s="907"/>
      <c r="C641" s="907"/>
      <c r="D641" s="907"/>
      <c r="E641" s="907"/>
      <c r="F641" s="907"/>
      <c r="G641" s="907"/>
      <c r="H641" s="907"/>
      <c r="I641" s="907"/>
      <c r="J641" s="907"/>
      <c r="K641" s="907"/>
      <c r="L641" s="907"/>
      <c r="M641" s="907"/>
      <c r="N641" s="907"/>
      <c r="O641" s="907"/>
      <c r="P641" s="907"/>
      <c r="Q641" s="907"/>
      <c r="R641" s="907"/>
      <c r="S641" s="907"/>
      <c r="T641" s="907"/>
      <c r="U641" s="907"/>
      <c r="V641" s="907"/>
      <c r="W641" s="907"/>
      <c r="X641" s="907"/>
      <c r="Y641" s="907"/>
      <c r="Z641" s="907"/>
      <c r="AA641" s="907"/>
    </row>
    <row r="642" spans="1:27">
      <c r="A642" s="907"/>
      <c r="B642" s="907"/>
      <c r="C642" s="907"/>
      <c r="D642" s="907"/>
      <c r="E642" s="907"/>
      <c r="F642" s="907"/>
      <c r="G642" s="907"/>
      <c r="H642" s="907"/>
      <c r="I642" s="907"/>
      <c r="J642" s="907"/>
      <c r="K642" s="907"/>
      <c r="L642" s="907"/>
      <c r="M642" s="907"/>
      <c r="N642" s="907"/>
      <c r="O642" s="907"/>
      <c r="P642" s="907"/>
      <c r="Q642" s="907"/>
      <c r="R642" s="907"/>
      <c r="S642" s="907"/>
      <c r="T642" s="907"/>
      <c r="U642" s="907"/>
      <c r="V642" s="907"/>
      <c r="W642" s="907"/>
      <c r="X642" s="907"/>
      <c r="Y642" s="907"/>
      <c r="Z642" s="907"/>
      <c r="AA642" s="907"/>
    </row>
    <row r="643" spans="1:27">
      <c r="A643" s="907"/>
      <c r="B643" s="907"/>
      <c r="C643" s="907"/>
      <c r="D643" s="907"/>
      <c r="E643" s="907"/>
      <c r="F643" s="907"/>
      <c r="G643" s="907"/>
      <c r="H643" s="907"/>
      <c r="I643" s="907"/>
      <c r="J643" s="907"/>
      <c r="K643" s="907"/>
      <c r="L643" s="907"/>
      <c r="M643" s="907"/>
      <c r="N643" s="907"/>
      <c r="O643" s="907"/>
      <c r="P643" s="907"/>
      <c r="Q643" s="907"/>
      <c r="R643" s="907"/>
      <c r="S643" s="907"/>
      <c r="T643" s="907"/>
      <c r="U643" s="907"/>
      <c r="V643" s="907"/>
      <c r="W643" s="907"/>
      <c r="X643" s="907"/>
      <c r="Y643" s="907"/>
      <c r="Z643" s="907"/>
      <c r="AA643" s="907"/>
    </row>
    <row r="644" spans="1:27">
      <c r="A644" s="907"/>
      <c r="B644" s="907"/>
      <c r="C644" s="907"/>
      <c r="D644" s="907"/>
      <c r="E644" s="907"/>
      <c r="F644" s="907"/>
      <c r="G644" s="907"/>
      <c r="H644" s="907"/>
      <c r="I644" s="907"/>
      <c r="J644" s="907"/>
      <c r="K644" s="907"/>
      <c r="L644" s="907"/>
      <c r="M644" s="907"/>
      <c r="N644" s="907"/>
      <c r="O644" s="907"/>
      <c r="P644" s="907"/>
      <c r="Q644" s="907"/>
      <c r="R644" s="907"/>
      <c r="S644" s="907"/>
      <c r="T644" s="907"/>
      <c r="U644" s="907"/>
      <c r="V644" s="907"/>
      <c r="W644" s="907"/>
      <c r="X644" s="907"/>
      <c r="Y644" s="907"/>
      <c r="Z644" s="907"/>
      <c r="AA644" s="907"/>
    </row>
    <row r="645" spans="1:27">
      <c r="A645" s="907"/>
      <c r="B645" s="907"/>
      <c r="C645" s="907"/>
      <c r="D645" s="907"/>
      <c r="E645" s="907"/>
      <c r="F645" s="907"/>
      <c r="G645" s="907"/>
      <c r="H645" s="907"/>
      <c r="I645" s="907"/>
      <c r="J645" s="907"/>
      <c r="K645" s="907"/>
      <c r="L645" s="907"/>
      <c r="M645" s="907"/>
      <c r="N645" s="907"/>
      <c r="O645" s="907"/>
      <c r="P645" s="907"/>
      <c r="Q645" s="907"/>
      <c r="R645" s="907"/>
      <c r="S645" s="907"/>
      <c r="T645" s="907"/>
      <c r="U645" s="907"/>
      <c r="V645" s="907"/>
      <c r="W645" s="907"/>
      <c r="X645" s="907"/>
      <c r="Y645" s="907"/>
      <c r="Z645" s="907"/>
      <c r="AA645" s="907"/>
    </row>
    <row r="646" spans="1:27">
      <c r="A646" s="907"/>
      <c r="B646" s="907"/>
      <c r="C646" s="907"/>
      <c r="D646" s="907"/>
      <c r="E646" s="907"/>
      <c r="F646" s="907"/>
      <c r="G646" s="907"/>
      <c r="H646" s="907"/>
      <c r="I646" s="907"/>
      <c r="J646" s="907"/>
      <c r="K646" s="907"/>
      <c r="L646" s="907"/>
      <c r="M646" s="907"/>
      <c r="N646" s="907"/>
      <c r="O646" s="907"/>
      <c r="P646" s="907"/>
      <c r="Q646" s="907"/>
      <c r="R646" s="907"/>
      <c r="S646" s="907"/>
      <c r="T646" s="907"/>
      <c r="U646" s="907"/>
      <c r="V646" s="907"/>
      <c r="W646" s="907"/>
      <c r="X646" s="907"/>
      <c r="Y646" s="907"/>
      <c r="Z646" s="907"/>
      <c r="AA646" s="907"/>
    </row>
    <row r="647" spans="1:27">
      <c r="A647" s="907"/>
      <c r="B647" s="907"/>
      <c r="C647" s="907"/>
      <c r="D647" s="907"/>
      <c r="E647" s="907"/>
      <c r="F647" s="907"/>
      <c r="G647" s="907"/>
      <c r="H647" s="907"/>
      <c r="I647" s="907"/>
      <c r="J647" s="907"/>
      <c r="K647" s="907"/>
      <c r="L647" s="907"/>
      <c r="M647" s="907"/>
      <c r="N647" s="907"/>
      <c r="O647" s="907"/>
      <c r="P647" s="907"/>
      <c r="Q647" s="907"/>
      <c r="R647" s="907"/>
      <c r="S647" s="907"/>
      <c r="T647" s="907"/>
      <c r="U647" s="907"/>
      <c r="V647" s="907"/>
      <c r="W647" s="907"/>
      <c r="X647" s="907"/>
      <c r="Y647" s="907"/>
      <c r="Z647" s="907"/>
      <c r="AA647" s="907"/>
    </row>
    <row r="648" spans="1:27">
      <c r="A648" s="907"/>
      <c r="B648" s="907"/>
      <c r="C648" s="907"/>
      <c r="D648" s="907"/>
      <c r="E648" s="907"/>
      <c r="F648" s="907"/>
      <c r="G648" s="907"/>
      <c r="H648" s="907"/>
      <c r="I648" s="907"/>
      <c r="J648" s="907"/>
      <c r="K648" s="907"/>
      <c r="L648" s="907"/>
      <c r="M648" s="907"/>
      <c r="N648" s="907"/>
      <c r="O648" s="907"/>
      <c r="P648" s="907"/>
      <c r="Q648" s="907"/>
      <c r="R648" s="907"/>
      <c r="S648" s="907"/>
      <c r="T648" s="907"/>
      <c r="U648" s="907"/>
      <c r="V648" s="907"/>
      <c r="W648" s="907"/>
      <c r="X648" s="907"/>
      <c r="Y648" s="907"/>
      <c r="Z648" s="907"/>
      <c r="AA648" s="907"/>
    </row>
    <row r="649" spans="1:27">
      <c r="A649" s="907"/>
      <c r="B649" s="907"/>
      <c r="C649" s="907"/>
      <c r="D649" s="907"/>
      <c r="E649" s="907"/>
      <c r="F649" s="907"/>
      <c r="G649" s="907"/>
      <c r="H649" s="907"/>
      <c r="I649" s="907"/>
      <c r="J649" s="907"/>
      <c r="K649" s="907"/>
      <c r="L649" s="907"/>
      <c r="M649" s="907"/>
      <c r="N649" s="907"/>
      <c r="O649" s="907"/>
      <c r="P649" s="907"/>
      <c r="Q649" s="907"/>
      <c r="R649" s="907"/>
      <c r="S649" s="907"/>
      <c r="T649" s="907"/>
      <c r="U649" s="907"/>
      <c r="V649" s="907"/>
      <c r="W649" s="907"/>
      <c r="X649" s="907"/>
      <c r="Y649" s="907"/>
      <c r="Z649" s="907"/>
      <c r="AA649" s="907"/>
    </row>
    <row r="650" spans="1:27">
      <c r="A650" s="907"/>
      <c r="B650" s="907"/>
      <c r="C650" s="907"/>
      <c r="D650" s="907"/>
      <c r="E650" s="907"/>
      <c r="F650" s="907"/>
      <c r="G650" s="907"/>
      <c r="H650" s="907"/>
      <c r="I650" s="907"/>
      <c r="J650" s="907"/>
      <c r="K650" s="907"/>
      <c r="L650" s="907"/>
      <c r="M650" s="907"/>
      <c r="N650" s="907"/>
      <c r="O650" s="907"/>
      <c r="P650" s="907"/>
      <c r="Q650" s="907"/>
      <c r="R650" s="907"/>
      <c r="S650" s="907"/>
      <c r="T650" s="907"/>
      <c r="U650" s="907"/>
      <c r="V650" s="907"/>
      <c r="W650" s="907"/>
      <c r="X650" s="907"/>
      <c r="Y650" s="907"/>
      <c r="Z650" s="907"/>
      <c r="AA650" s="907"/>
    </row>
    <row r="651" spans="1:27">
      <c r="A651" s="907"/>
      <c r="B651" s="907"/>
      <c r="C651" s="907"/>
      <c r="D651" s="907"/>
      <c r="E651" s="907"/>
      <c r="F651" s="907"/>
      <c r="G651" s="907"/>
      <c r="H651" s="907"/>
      <c r="I651" s="907"/>
      <c r="J651" s="907"/>
      <c r="K651" s="907"/>
      <c r="L651" s="907"/>
      <c r="M651" s="907"/>
      <c r="N651" s="907"/>
      <c r="O651" s="907"/>
      <c r="P651" s="907"/>
      <c r="Q651" s="907"/>
      <c r="R651" s="907"/>
      <c r="S651" s="907"/>
      <c r="T651" s="907"/>
      <c r="U651" s="907"/>
      <c r="V651" s="907"/>
      <c r="W651" s="907"/>
      <c r="X651" s="907"/>
      <c r="Y651" s="907"/>
      <c r="Z651" s="907"/>
      <c r="AA651" s="907"/>
    </row>
    <row r="652" spans="1:27">
      <c r="A652" s="907"/>
      <c r="B652" s="907"/>
      <c r="C652" s="907"/>
      <c r="D652" s="907"/>
      <c r="E652" s="907"/>
      <c r="F652" s="907"/>
      <c r="G652" s="907"/>
      <c r="H652" s="907"/>
      <c r="I652" s="907"/>
      <c r="J652" s="907"/>
      <c r="K652" s="907"/>
      <c r="L652" s="907"/>
      <c r="M652" s="907"/>
      <c r="N652" s="907"/>
      <c r="O652" s="907"/>
      <c r="P652" s="907"/>
      <c r="Q652" s="907"/>
      <c r="R652" s="907"/>
      <c r="S652" s="907"/>
      <c r="T652" s="907"/>
      <c r="U652" s="907"/>
      <c r="V652" s="907"/>
      <c r="W652" s="907"/>
      <c r="X652" s="907"/>
      <c r="Y652" s="907"/>
      <c r="Z652" s="907"/>
      <c r="AA652" s="907"/>
    </row>
    <row r="653" spans="1:27">
      <c r="A653" s="907"/>
      <c r="B653" s="907"/>
      <c r="C653" s="907"/>
      <c r="D653" s="907"/>
      <c r="E653" s="907"/>
      <c r="F653" s="907"/>
      <c r="G653" s="907"/>
      <c r="H653" s="907"/>
      <c r="I653" s="907"/>
      <c r="J653" s="907"/>
      <c r="K653" s="907"/>
      <c r="L653" s="907"/>
      <c r="M653" s="907"/>
      <c r="N653" s="907"/>
      <c r="O653" s="907"/>
      <c r="P653" s="907"/>
      <c r="Q653" s="907"/>
      <c r="R653" s="907"/>
      <c r="S653" s="907"/>
      <c r="T653" s="907"/>
      <c r="U653" s="907"/>
      <c r="V653" s="907"/>
      <c r="W653" s="907"/>
      <c r="X653" s="907"/>
      <c r="Y653" s="907"/>
      <c r="Z653" s="907"/>
      <c r="AA653" s="907"/>
    </row>
    <row r="654" spans="1:27">
      <c r="A654" s="907"/>
      <c r="B654" s="907"/>
      <c r="C654" s="907"/>
      <c r="D654" s="907"/>
      <c r="E654" s="907"/>
      <c r="F654" s="907"/>
      <c r="G654" s="907"/>
      <c r="H654" s="907"/>
      <c r="I654" s="907"/>
      <c r="J654" s="907"/>
      <c r="K654" s="907"/>
      <c r="L654" s="907"/>
      <c r="M654" s="907"/>
      <c r="N654" s="907"/>
      <c r="O654" s="907"/>
      <c r="P654" s="907"/>
      <c r="Q654" s="907"/>
      <c r="R654" s="907"/>
      <c r="S654" s="907"/>
      <c r="T654" s="907"/>
      <c r="U654" s="907"/>
      <c r="V654" s="907"/>
      <c r="W654" s="907"/>
      <c r="X654" s="907"/>
      <c r="Y654" s="907"/>
      <c r="Z654" s="907"/>
      <c r="AA654" s="907"/>
    </row>
    <row r="655" spans="1:27">
      <c r="A655" s="907"/>
      <c r="B655" s="907"/>
      <c r="C655" s="907"/>
      <c r="D655" s="907"/>
      <c r="E655" s="907"/>
      <c r="F655" s="907"/>
      <c r="G655" s="907"/>
      <c r="H655" s="907"/>
      <c r="I655" s="907"/>
      <c r="J655" s="907"/>
      <c r="K655" s="907"/>
      <c r="L655" s="907"/>
      <c r="M655" s="907"/>
      <c r="N655" s="907"/>
      <c r="O655" s="907"/>
      <c r="P655" s="907"/>
      <c r="Q655" s="907"/>
      <c r="R655" s="907"/>
      <c r="S655" s="907"/>
      <c r="T655" s="907"/>
      <c r="U655" s="907"/>
      <c r="V655" s="907"/>
      <c r="W655" s="907"/>
      <c r="X655" s="907"/>
      <c r="Y655" s="907"/>
      <c r="Z655" s="907"/>
      <c r="AA655" s="907"/>
    </row>
    <row r="656" spans="1:27">
      <c r="A656" s="907"/>
      <c r="B656" s="907"/>
      <c r="C656" s="907"/>
      <c r="D656" s="907"/>
      <c r="E656" s="907"/>
      <c r="F656" s="907"/>
      <c r="G656" s="907"/>
      <c r="H656" s="907"/>
      <c r="I656" s="907"/>
      <c r="J656" s="907"/>
      <c r="K656" s="907"/>
      <c r="L656" s="907"/>
      <c r="M656" s="907"/>
      <c r="N656" s="907"/>
      <c r="O656" s="907"/>
      <c r="P656" s="907"/>
      <c r="Q656" s="907"/>
      <c r="R656" s="907"/>
      <c r="S656" s="907"/>
      <c r="T656" s="907"/>
      <c r="U656" s="907"/>
      <c r="V656" s="907"/>
      <c r="W656" s="907"/>
      <c r="X656" s="907"/>
      <c r="Y656" s="907"/>
      <c r="Z656" s="907"/>
      <c r="AA656" s="907"/>
    </row>
    <row r="657" spans="1:27">
      <c r="A657" s="907"/>
      <c r="B657" s="907"/>
      <c r="C657" s="907"/>
      <c r="D657" s="907"/>
      <c r="E657" s="907"/>
      <c r="F657" s="907"/>
      <c r="G657" s="907"/>
      <c r="H657" s="907"/>
      <c r="I657" s="907"/>
      <c r="J657" s="907"/>
      <c r="K657" s="907"/>
      <c r="L657" s="907"/>
      <c r="M657" s="907"/>
      <c r="N657" s="907"/>
      <c r="O657" s="907"/>
      <c r="P657" s="907"/>
      <c r="Q657" s="907"/>
      <c r="R657" s="907"/>
      <c r="S657" s="907"/>
      <c r="T657" s="907"/>
      <c r="U657" s="907"/>
      <c r="V657" s="907"/>
      <c r="W657" s="907"/>
      <c r="X657" s="907"/>
      <c r="Y657" s="907"/>
      <c r="Z657" s="907"/>
      <c r="AA657" s="907"/>
    </row>
    <row r="658" spans="1:27">
      <c r="A658" s="907"/>
      <c r="B658" s="907"/>
      <c r="C658" s="907"/>
      <c r="D658" s="907"/>
      <c r="E658" s="907"/>
      <c r="F658" s="907"/>
      <c r="G658" s="907"/>
      <c r="H658" s="907"/>
      <c r="I658" s="907"/>
      <c r="J658" s="907"/>
      <c r="K658" s="907"/>
      <c r="L658" s="907"/>
      <c r="M658" s="907"/>
      <c r="N658" s="907"/>
      <c r="O658" s="907"/>
      <c r="P658" s="907"/>
      <c r="Q658" s="907"/>
      <c r="R658" s="907"/>
      <c r="S658" s="907"/>
      <c r="T658" s="907"/>
      <c r="U658" s="907"/>
      <c r="V658" s="907"/>
      <c r="W658" s="907"/>
      <c r="X658" s="907"/>
      <c r="Y658" s="907"/>
      <c r="Z658" s="907"/>
      <c r="AA658" s="907"/>
    </row>
    <row r="659" spans="1:27">
      <c r="A659" s="907"/>
      <c r="B659" s="907"/>
      <c r="C659" s="907"/>
      <c r="D659" s="907"/>
      <c r="E659" s="907"/>
      <c r="F659" s="907"/>
      <c r="G659" s="907"/>
      <c r="H659" s="907"/>
      <c r="I659" s="907"/>
      <c r="J659" s="907"/>
      <c r="K659" s="907"/>
      <c r="L659" s="907"/>
      <c r="M659" s="907"/>
      <c r="N659" s="907"/>
      <c r="O659" s="907"/>
      <c r="P659" s="907"/>
      <c r="Q659" s="907"/>
      <c r="R659" s="907"/>
      <c r="S659" s="907"/>
      <c r="T659" s="907"/>
      <c r="U659" s="907"/>
      <c r="V659" s="907"/>
      <c r="W659" s="907"/>
      <c r="X659" s="907"/>
      <c r="Y659" s="907"/>
      <c r="Z659" s="907"/>
      <c r="AA659" s="907"/>
    </row>
    <row r="660" spans="1:27">
      <c r="A660" s="907"/>
      <c r="B660" s="907"/>
      <c r="C660" s="907"/>
      <c r="D660" s="907"/>
      <c r="E660" s="907"/>
      <c r="F660" s="907"/>
      <c r="G660" s="907"/>
      <c r="H660" s="907"/>
      <c r="I660" s="907"/>
      <c r="J660" s="907"/>
      <c r="K660" s="907"/>
      <c r="L660" s="907"/>
      <c r="M660" s="907"/>
      <c r="N660" s="907"/>
      <c r="O660" s="907"/>
      <c r="P660" s="907"/>
      <c r="Q660" s="907"/>
      <c r="R660" s="907"/>
      <c r="S660" s="907"/>
      <c r="T660" s="907"/>
      <c r="U660" s="907"/>
      <c r="V660" s="907"/>
      <c r="W660" s="907"/>
      <c r="X660" s="907"/>
      <c r="Y660" s="907"/>
      <c r="Z660" s="907"/>
      <c r="AA660" s="907"/>
    </row>
    <row r="661" spans="1:27">
      <c r="A661" s="907"/>
      <c r="B661" s="907"/>
      <c r="C661" s="907"/>
      <c r="D661" s="907"/>
      <c r="E661" s="907"/>
      <c r="F661" s="907"/>
      <c r="G661" s="907"/>
      <c r="H661" s="907"/>
      <c r="I661" s="907"/>
      <c r="J661" s="907"/>
      <c r="K661" s="907"/>
      <c r="L661" s="907"/>
      <c r="M661" s="907"/>
      <c r="N661" s="907"/>
      <c r="O661" s="907"/>
      <c r="P661" s="907"/>
      <c r="Q661" s="907"/>
      <c r="R661" s="907"/>
      <c r="S661" s="907"/>
      <c r="T661" s="907"/>
      <c r="U661" s="907"/>
      <c r="V661" s="907"/>
      <c r="W661" s="907"/>
      <c r="X661" s="907"/>
      <c r="Y661" s="907"/>
      <c r="Z661" s="907"/>
      <c r="AA661" s="907"/>
    </row>
    <row r="662" spans="1:27">
      <c r="A662" s="907"/>
      <c r="B662" s="907"/>
      <c r="C662" s="907"/>
      <c r="D662" s="907"/>
      <c r="E662" s="907"/>
      <c r="F662" s="907"/>
      <c r="G662" s="907"/>
      <c r="H662" s="907"/>
      <c r="I662" s="907"/>
      <c r="J662" s="907"/>
      <c r="K662" s="907"/>
      <c r="L662" s="907"/>
      <c r="M662" s="907"/>
      <c r="N662" s="907"/>
      <c r="O662" s="907"/>
      <c r="P662" s="907"/>
      <c r="Q662" s="907"/>
      <c r="R662" s="907"/>
      <c r="S662" s="907"/>
      <c r="T662" s="907"/>
      <c r="U662" s="907"/>
      <c r="V662" s="907"/>
      <c r="W662" s="907"/>
      <c r="X662" s="907"/>
      <c r="Y662" s="907"/>
      <c r="Z662" s="907"/>
      <c r="AA662" s="907"/>
    </row>
    <row r="663" spans="1:27">
      <c r="A663" s="907"/>
      <c r="B663" s="907"/>
      <c r="C663" s="907"/>
      <c r="D663" s="907"/>
      <c r="E663" s="907"/>
      <c r="F663" s="907"/>
      <c r="G663" s="907"/>
      <c r="H663" s="907"/>
      <c r="I663" s="907"/>
      <c r="J663" s="907"/>
      <c r="K663" s="907"/>
      <c r="L663" s="907"/>
      <c r="M663" s="907"/>
      <c r="N663" s="907"/>
      <c r="O663" s="907"/>
      <c r="P663" s="907"/>
      <c r="Q663" s="907"/>
      <c r="R663" s="907"/>
      <c r="S663" s="907"/>
      <c r="T663" s="907"/>
      <c r="U663" s="907"/>
      <c r="V663" s="907"/>
      <c r="W663" s="907"/>
      <c r="X663" s="907"/>
      <c r="Y663" s="907"/>
      <c r="Z663" s="907"/>
      <c r="AA663" s="907"/>
    </row>
    <row r="664" spans="1:27">
      <c r="A664" s="907"/>
      <c r="B664" s="907"/>
      <c r="C664" s="907"/>
      <c r="D664" s="907"/>
      <c r="E664" s="907"/>
      <c r="F664" s="907"/>
      <c r="G664" s="907"/>
      <c r="H664" s="907"/>
      <c r="I664" s="907"/>
      <c r="J664" s="907"/>
      <c r="K664" s="907"/>
      <c r="L664" s="907"/>
      <c r="M664" s="907"/>
      <c r="N664" s="907"/>
      <c r="O664" s="907"/>
      <c r="P664" s="907"/>
      <c r="Q664" s="907"/>
      <c r="R664" s="907"/>
      <c r="S664" s="907"/>
      <c r="T664" s="907"/>
      <c r="U664" s="907"/>
      <c r="V664" s="907"/>
      <c r="W664" s="907"/>
      <c r="X664" s="907"/>
      <c r="Y664" s="907"/>
      <c r="Z664" s="907"/>
      <c r="AA664" s="907"/>
    </row>
    <row r="665" spans="1:27">
      <c r="A665" s="907"/>
      <c r="B665" s="907"/>
      <c r="C665" s="907"/>
      <c r="D665" s="907"/>
      <c r="E665" s="907"/>
      <c r="F665" s="907"/>
      <c r="G665" s="907"/>
      <c r="H665" s="907"/>
      <c r="I665" s="907"/>
      <c r="J665" s="907"/>
      <c r="K665" s="907"/>
      <c r="L665" s="907"/>
      <c r="M665" s="907"/>
      <c r="N665" s="907"/>
      <c r="O665" s="907"/>
      <c r="P665" s="907"/>
      <c r="Q665" s="907"/>
      <c r="R665" s="907"/>
      <c r="S665" s="907"/>
      <c r="T665" s="907"/>
      <c r="U665" s="907"/>
      <c r="V665" s="907"/>
      <c r="W665" s="907"/>
      <c r="X665" s="907"/>
      <c r="Y665" s="907"/>
      <c r="Z665" s="907"/>
      <c r="AA665" s="907"/>
    </row>
    <row r="666" spans="1:27">
      <c r="A666" s="907"/>
      <c r="B666" s="907"/>
      <c r="C666" s="907"/>
      <c r="D666" s="907"/>
      <c r="E666" s="907"/>
      <c r="F666" s="907"/>
      <c r="G666" s="907"/>
      <c r="H666" s="907"/>
      <c r="I666" s="907"/>
      <c r="J666" s="907"/>
      <c r="K666" s="907"/>
      <c r="L666" s="907"/>
      <c r="M666" s="907"/>
      <c r="N666" s="907"/>
      <c r="O666" s="907"/>
      <c r="P666" s="907"/>
      <c r="Q666" s="907"/>
      <c r="R666" s="907"/>
      <c r="S666" s="907"/>
      <c r="T666" s="907"/>
      <c r="U666" s="907"/>
      <c r="V666" s="907"/>
      <c r="W666" s="907"/>
      <c r="X666" s="907"/>
      <c r="Y666" s="907"/>
      <c r="Z666" s="907"/>
      <c r="AA666" s="907"/>
    </row>
    <row r="667" spans="1:27">
      <c r="A667" s="907"/>
      <c r="B667" s="907"/>
      <c r="C667" s="907"/>
      <c r="D667" s="907"/>
      <c r="E667" s="907"/>
      <c r="F667" s="907"/>
      <c r="G667" s="907"/>
      <c r="H667" s="907"/>
      <c r="I667" s="907"/>
      <c r="J667" s="907"/>
      <c r="K667" s="907"/>
      <c r="L667" s="907"/>
      <c r="M667" s="907"/>
      <c r="N667" s="907"/>
      <c r="O667" s="907"/>
      <c r="P667" s="907"/>
      <c r="Q667" s="907"/>
      <c r="R667" s="907"/>
      <c r="S667" s="907"/>
      <c r="T667" s="907"/>
      <c r="U667" s="907"/>
      <c r="V667" s="907"/>
      <c r="W667" s="907"/>
      <c r="X667" s="907"/>
      <c r="Y667" s="907"/>
      <c r="Z667" s="907"/>
      <c r="AA667" s="907"/>
    </row>
    <row r="668" spans="1:27">
      <c r="A668" s="907"/>
      <c r="B668" s="907"/>
      <c r="C668" s="907"/>
      <c r="D668" s="907"/>
      <c r="E668" s="907"/>
      <c r="F668" s="907"/>
      <c r="G668" s="907"/>
      <c r="H668" s="907"/>
      <c r="I668" s="907"/>
      <c r="J668" s="907"/>
      <c r="K668" s="907"/>
      <c r="L668" s="907"/>
      <c r="M668" s="907"/>
      <c r="N668" s="907"/>
      <c r="O668" s="907"/>
      <c r="P668" s="907"/>
      <c r="Q668" s="907"/>
      <c r="R668" s="907"/>
      <c r="S668" s="907"/>
      <c r="T668" s="907"/>
      <c r="U668" s="907"/>
      <c r="V668" s="907"/>
      <c r="W668" s="907"/>
      <c r="X668" s="907"/>
      <c r="Y668" s="907"/>
      <c r="Z668" s="907"/>
      <c r="AA668" s="907"/>
    </row>
    <row r="669" spans="1:27">
      <c r="A669" s="907"/>
      <c r="B669" s="907"/>
      <c r="C669" s="907"/>
      <c r="D669" s="907"/>
      <c r="E669" s="907"/>
      <c r="F669" s="907"/>
      <c r="G669" s="907"/>
      <c r="H669" s="907"/>
      <c r="I669" s="907"/>
      <c r="J669" s="907"/>
      <c r="K669" s="907"/>
      <c r="L669" s="907"/>
      <c r="M669" s="907"/>
      <c r="N669" s="907"/>
      <c r="O669" s="907"/>
      <c r="P669" s="907"/>
      <c r="Q669" s="907"/>
      <c r="R669" s="907"/>
      <c r="S669" s="907"/>
      <c r="T669" s="907"/>
      <c r="U669" s="907"/>
      <c r="V669" s="907"/>
      <c r="W669" s="907"/>
      <c r="X669" s="907"/>
      <c r="Y669" s="907"/>
      <c r="Z669" s="907"/>
      <c r="AA669" s="907"/>
    </row>
    <row r="670" spans="1:27">
      <c r="A670" s="907"/>
      <c r="B670" s="907"/>
      <c r="C670" s="907"/>
      <c r="D670" s="907"/>
      <c r="E670" s="907"/>
      <c r="F670" s="907"/>
      <c r="G670" s="907"/>
      <c r="H670" s="907"/>
      <c r="I670" s="907"/>
      <c r="J670" s="907"/>
      <c r="K670" s="907"/>
      <c r="L670" s="907"/>
      <c r="M670" s="907"/>
      <c r="N670" s="907"/>
      <c r="O670" s="907"/>
      <c r="P670" s="907"/>
      <c r="Q670" s="907"/>
      <c r="R670" s="907"/>
      <c r="S670" s="907"/>
      <c r="T670" s="907"/>
      <c r="U670" s="907"/>
      <c r="V670" s="907"/>
      <c r="W670" s="907"/>
      <c r="X670" s="907"/>
      <c r="Y670" s="907"/>
      <c r="Z670" s="907"/>
      <c r="AA670" s="907"/>
    </row>
    <row r="671" spans="1:27">
      <c r="A671" s="907"/>
      <c r="B671" s="907"/>
      <c r="C671" s="907"/>
      <c r="D671" s="907"/>
      <c r="E671" s="907"/>
      <c r="F671" s="907"/>
      <c r="G671" s="907"/>
      <c r="H671" s="907"/>
      <c r="I671" s="907"/>
      <c r="J671" s="907"/>
      <c r="K671" s="907"/>
      <c r="L671" s="907"/>
      <c r="M671" s="907"/>
      <c r="N671" s="907"/>
      <c r="O671" s="907"/>
      <c r="P671" s="907"/>
      <c r="Q671" s="907"/>
      <c r="R671" s="907"/>
      <c r="S671" s="907"/>
      <c r="T671" s="907"/>
      <c r="U671" s="907"/>
      <c r="V671" s="907"/>
      <c r="W671" s="907"/>
      <c r="X671" s="907"/>
      <c r="Y671" s="907"/>
      <c r="Z671" s="907"/>
      <c r="AA671" s="907"/>
    </row>
    <row r="672" spans="1:27">
      <c r="A672" s="907"/>
      <c r="B672" s="907"/>
      <c r="C672" s="907"/>
      <c r="D672" s="907"/>
      <c r="E672" s="907"/>
      <c r="F672" s="907"/>
      <c r="G672" s="907"/>
      <c r="H672" s="907"/>
      <c r="I672" s="907"/>
      <c r="J672" s="907"/>
      <c r="K672" s="907"/>
      <c r="L672" s="907"/>
      <c r="M672" s="907"/>
      <c r="N672" s="907"/>
      <c r="O672" s="907"/>
      <c r="P672" s="907"/>
      <c r="Q672" s="907"/>
      <c r="R672" s="907"/>
      <c r="S672" s="907"/>
      <c r="T672" s="907"/>
      <c r="U672" s="907"/>
      <c r="V672" s="907"/>
      <c r="W672" s="907"/>
      <c r="X672" s="907"/>
      <c r="Y672" s="907"/>
      <c r="Z672" s="907"/>
      <c r="AA672" s="907"/>
    </row>
    <row r="673" spans="1:27">
      <c r="A673" s="907"/>
      <c r="B673" s="907"/>
      <c r="C673" s="907"/>
      <c r="D673" s="907"/>
      <c r="E673" s="907"/>
      <c r="F673" s="907"/>
      <c r="G673" s="907"/>
      <c r="H673" s="907"/>
      <c r="I673" s="907"/>
      <c r="J673" s="907"/>
      <c r="K673" s="907"/>
      <c r="L673" s="907"/>
      <c r="M673" s="907"/>
      <c r="N673" s="907"/>
      <c r="O673" s="907"/>
      <c r="P673" s="907"/>
      <c r="Q673" s="907"/>
      <c r="R673" s="907"/>
      <c r="S673" s="907"/>
      <c r="T673" s="907"/>
      <c r="U673" s="907"/>
      <c r="V673" s="907"/>
      <c r="W673" s="907"/>
      <c r="X673" s="907"/>
      <c r="Y673" s="907"/>
      <c r="Z673" s="907"/>
      <c r="AA673" s="907"/>
    </row>
    <row r="674" spans="1:27">
      <c r="A674" s="907"/>
      <c r="B674" s="907"/>
      <c r="C674" s="907"/>
      <c r="D674" s="907"/>
      <c r="E674" s="907"/>
      <c r="F674" s="907"/>
      <c r="G674" s="907"/>
      <c r="H674" s="907"/>
      <c r="I674" s="907"/>
      <c r="J674" s="907"/>
      <c r="K674" s="907"/>
      <c r="L674" s="907"/>
      <c r="M674" s="907"/>
      <c r="N674" s="907"/>
      <c r="O674" s="907"/>
      <c r="P674" s="907"/>
      <c r="Q674" s="907"/>
      <c r="R674" s="907"/>
      <c r="S674" s="907"/>
      <c r="T674" s="907"/>
      <c r="U674" s="907"/>
      <c r="V674" s="907"/>
      <c r="W674" s="907"/>
      <c r="X674" s="907"/>
      <c r="Y674" s="907"/>
      <c r="Z674" s="907"/>
      <c r="AA674" s="907"/>
    </row>
    <row r="675" spans="1:27">
      <c r="A675" s="907"/>
      <c r="B675" s="907"/>
      <c r="C675" s="907"/>
      <c r="D675" s="907"/>
      <c r="E675" s="907"/>
      <c r="F675" s="907"/>
      <c r="G675" s="907"/>
      <c r="H675" s="907"/>
      <c r="I675" s="907"/>
      <c r="J675" s="907"/>
      <c r="K675" s="907"/>
      <c r="L675" s="907"/>
      <c r="M675" s="907"/>
      <c r="N675" s="907"/>
      <c r="O675" s="907"/>
      <c r="P675" s="907"/>
      <c r="Q675" s="907"/>
      <c r="R675" s="907"/>
      <c r="S675" s="907"/>
      <c r="T675" s="907"/>
      <c r="U675" s="907"/>
      <c r="V675" s="907"/>
      <c r="W675" s="907"/>
      <c r="X675" s="907"/>
      <c r="Y675" s="907"/>
      <c r="Z675" s="907"/>
      <c r="AA675" s="907"/>
    </row>
    <row r="676" spans="1:27">
      <c r="A676" s="907"/>
      <c r="B676" s="907"/>
      <c r="C676" s="907"/>
      <c r="D676" s="907"/>
      <c r="E676" s="907"/>
      <c r="F676" s="907"/>
      <c r="G676" s="907"/>
      <c r="H676" s="907"/>
      <c r="I676" s="907"/>
      <c r="J676" s="907"/>
      <c r="K676" s="907"/>
      <c r="L676" s="907"/>
      <c r="M676" s="907"/>
      <c r="N676" s="907"/>
      <c r="O676" s="907"/>
      <c r="P676" s="907"/>
      <c r="Q676" s="907"/>
      <c r="R676" s="907"/>
      <c r="S676" s="907"/>
      <c r="T676" s="907"/>
      <c r="U676" s="907"/>
      <c r="V676" s="907"/>
      <c r="W676" s="907"/>
      <c r="X676" s="907"/>
      <c r="Y676" s="907"/>
      <c r="Z676" s="907"/>
      <c r="AA676" s="907"/>
    </row>
    <row r="677" spans="1:27">
      <c r="A677" s="907"/>
      <c r="B677" s="907"/>
      <c r="C677" s="907"/>
      <c r="D677" s="907"/>
      <c r="E677" s="907"/>
      <c r="F677" s="907"/>
      <c r="G677" s="907"/>
      <c r="H677" s="907"/>
      <c r="I677" s="907"/>
      <c r="J677" s="907"/>
      <c r="K677" s="907"/>
      <c r="L677" s="907"/>
      <c r="M677" s="907"/>
      <c r="N677" s="907"/>
      <c r="O677" s="907"/>
      <c r="P677" s="907"/>
      <c r="Q677" s="907"/>
      <c r="R677" s="907"/>
      <c r="S677" s="907"/>
      <c r="T677" s="907"/>
      <c r="U677" s="907"/>
      <c r="V677" s="907"/>
      <c r="W677" s="907"/>
      <c r="X677" s="907"/>
      <c r="Y677" s="907"/>
      <c r="Z677" s="907"/>
      <c r="AA677" s="907"/>
    </row>
    <row r="678" spans="1:27">
      <c r="A678" s="907"/>
      <c r="B678" s="907"/>
      <c r="C678" s="907"/>
      <c r="D678" s="907"/>
      <c r="E678" s="907"/>
      <c r="F678" s="907"/>
      <c r="G678" s="907"/>
      <c r="H678" s="907"/>
      <c r="I678" s="907"/>
      <c r="J678" s="907"/>
      <c r="K678" s="907"/>
      <c r="L678" s="907"/>
      <c r="M678" s="907"/>
      <c r="N678" s="907"/>
      <c r="O678" s="907"/>
      <c r="P678" s="907"/>
      <c r="Q678" s="907"/>
      <c r="R678" s="907"/>
      <c r="S678" s="907"/>
      <c r="T678" s="907"/>
      <c r="U678" s="907"/>
      <c r="V678" s="907"/>
      <c r="W678" s="907"/>
      <c r="X678" s="907"/>
      <c r="Y678" s="907"/>
      <c r="Z678" s="907"/>
      <c r="AA678" s="907"/>
    </row>
    <row r="679" spans="1:27">
      <c r="A679" s="907"/>
      <c r="B679" s="907"/>
      <c r="C679" s="907"/>
      <c r="D679" s="907"/>
      <c r="E679" s="907"/>
      <c r="F679" s="907"/>
      <c r="G679" s="907"/>
      <c r="H679" s="907"/>
      <c r="I679" s="907"/>
      <c r="J679" s="907"/>
      <c r="K679" s="907"/>
      <c r="L679" s="907"/>
      <c r="M679" s="907"/>
      <c r="N679" s="907"/>
      <c r="O679" s="907"/>
      <c r="P679" s="907"/>
      <c r="Q679" s="907"/>
      <c r="R679" s="907"/>
      <c r="S679" s="907"/>
      <c r="T679" s="907"/>
      <c r="U679" s="907"/>
      <c r="V679" s="907"/>
      <c r="W679" s="907"/>
      <c r="X679" s="907"/>
      <c r="Y679" s="907"/>
      <c r="Z679" s="907"/>
      <c r="AA679" s="907"/>
    </row>
    <row r="680" spans="1:27">
      <c r="A680" s="907"/>
      <c r="B680" s="907"/>
      <c r="C680" s="907"/>
      <c r="D680" s="907"/>
      <c r="E680" s="907"/>
      <c r="F680" s="907"/>
      <c r="G680" s="907"/>
      <c r="H680" s="907"/>
      <c r="I680" s="907"/>
      <c r="J680" s="907"/>
      <c r="K680" s="907"/>
      <c r="L680" s="907"/>
      <c r="M680" s="907"/>
      <c r="N680" s="907"/>
      <c r="O680" s="907"/>
      <c r="P680" s="907"/>
      <c r="Q680" s="907"/>
      <c r="R680" s="907"/>
      <c r="S680" s="907"/>
      <c r="T680" s="907"/>
      <c r="U680" s="907"/>
      <c r="V680" s="907"/>
      <c r="W680" s="907"/>
      <c r="X680" s="907"/>
      <c r="Y680" s="907"/>
      <c r="Z680" s="907"/>
      <c r="AA680" s="907"/>
    </row>
    <row r="681" spans="1:27">
      <c r="A681" s="907"/>
      <c r="B681" s="907"/>
      <c r="C681" s="907"/>
      <c r="D681" s="907"/>
      <c r="E681" s="907"/>
      <c r="F681" s="907"/>
      <c r="G681" s="907"/>
      <c r="H681" s="907"/>
      <c r="I681" s="907"/>
      <c r="J681" s="907"/>
      <c r="K681" s="907"/>
      <c r="L681" s="907"/>
      <c r="M681" s="907"/>
      <c r="N681" s="907"/>
      <c r="O681" s="907"/>
      <c r="P681" s="907"/>
      <c r="Q681" s="907"/>
      <c r="R681" s="907"/>
      <c r="S681" s="907"/>
      <c r="T681" s="907"/>
      <c r="U681" s="907"/>
      <c r="V681" s="907"/>
      <c r="W681" s="907"/>
      <c r="X681" s="907"/>
      <c r="Y681" s="907"/>
      <c r="Z681" s="907"/>
      <c r="AA681" s="907"/>
    </row>
    <row r="682" spans="1:27">
      <c r="A682" s="907"/>
      <c r="B682" s="907"/>
      <c r="C682" s="907"/>
      <c r="D682" s="907"/>
      <c r="E682" s="907"/>
      <c r="F682" s="907"/>
      <c r="G682" s="907"/>
      <c r="H682" s="907"/>
      <c r="I682" s="907"/>
      <c r="J682" s="907"/>
      <c r="K682" s="907"/>
      <c r="L682" s="907"/>
      <c r="M682" s="907"/>
      <c r="N682" s="907"/>
      <c r="O682" s="907"/>
      <c r="P682" s="907"/>
      <c r="Q682" s="907"/>
      <c r="R682" s="907"/>
      <c r="S682" s="907"/>
      <c r="T682" s="907"/>
      <c r="U682" s="907"/>
      <c r="V682" s="907"/>
      <c r="W682" s="907"/>
      <c r="X682" s="907"/>
      <c r="Y682" s="907"/>
      <c r="Z682" s="907"/>
      <c r="AA682" s="907"/>
    </row>
    <row r="683" spans="1:27">
      <c r="A683" s="907"/>
      <c r="B683" s="907"/>
      <c r="C683" s="907"/>
      <c r="D683" s="907"/>
      <c r="E683" s="907"/>
      <c r="F683" s="907"/>
      <c r="G683" s="907"/>
      <c r="H683" s="907"/>
      <c r="I683" s="907"/>
      <c r="J683" s="907"/>
      <c r="K683" s="907"/>
      <c r="L683" s="907"/>
      <c r="M683" s="907"/>
      <c r="N683" s="907"/>
      <c r="O683" s="907"/>
      <c r="P683" s="907"/>
      <c r="Q683" s="907"/>
      <c r="R683" s="907"/>
      <c r="S683" s="907"/>
      <c r="T683" s="907"/>
      <c r="U683" s="907"/>
      <c r="V683" s="907"/>
      <c r="W683" s="907"/>
      <c r="X683" s="907"/>
      <c r="Y683" s="907"/>
      <c r="Z683" s="907"/>
      <c r="AA683" s="907"/>
    </row>
    <row r="684" spans="1:27">
      <c r="A684" s="907"/>
      <c r="B684" s="907"/>
      <c r="C684" s="907"/>
      <c r="D684" s="907"/>
      <c r="E684" s="907"/>
      <c r="F684" s="907"/>
      <c r="G684" s="907"/>
      <c r="H684" s="907"/>
      <c r="I684" s="907"/>
      <c r="J684" s="907"/>
      <c r="K684" s="907"/>
      <c r="L684" s="907"/>
      <c r="M684" s="907"/>
      <c r="N684" s="907"/>
      <c r="O684" s="907"/>
      <c r="P684" s="907"/>
      <c r="Q684" s="907"/>
      <c r="R684" s="907"/>
      <c r="S684" s="907"/>
      <c r="T684" s="907"/>
      <c r="U684" s="907"/>
      <c r="V684" s="907"/>
      <c r="W684" s="907"/>
      <c r="X684" s="907"/>
      <c r="Y684" s="907"/>
      <c r="Z684" s="907"/>
      <c r="AA684" s="907"/>
    </row>
    <row r="685" spans="1:27">
      <c r="A685" s="907"/>
      <c r="B685" s="907"/>
      <c r="C685" s="907"/>
      <c r="D685" s="907"/>
      <c r="E685" s="907"/>
      <c r="F685" s="907"/>
      <c r="G685" s="907"/>
      <c r="H685" s="907"/>
      <c r="I685" s="907"/>
      <c r="J685" s="907"/>
      <c r="K685" s="907"/>
      <c r="L685" s="907"/>
      <c r="M685" s="907"/>
      <c r="N685" s="907"/>
      <c r="O685" s="907"/>
      <c r="P685" s="907"/>
      <c r="Q685" s="907"/>
      <c r="R685" s="907"/>
      <c r="S685" s="907"/>
      <c r="T685" s="907"/>
      <c r="U685" s="907"/>
      <c r="V685" s="907"/>
      <c r="W685" s="907"/>
      <c r="X685" s="907"/>
      <c r="Y685" s="907"/>
      <c r="Z685" s="907"/>
      <c r="AA685" s="907"/>
    </row>
    <row r="686" spans="1:27">
      <c r="A686" s="907"/>
      <c r="B686" s="907"/>
      <c r="C686" s="907"/>
      <c r="D686" s="907"/>
      <c r="E686" s="907"/>
      <c r="F686" s="907"/>
      <c r="G686" s="907"/>
      <c r="H686" s="907"/>
      <c r="I686" s="907"/>
      <c r="J686" s="907"/>
      <c r="K686" s="907"/>
      <c r="L686" s="907"/>
      <c r="M686" s="907"/>
      <c r="N686" s="907"/>
      <c r="O686" s="907"/>
      <c r="P686" s="907"/>
      <c r="Q686" s="907"/>
      <c r="R686" s="907"/>
      <c r="S686" s="907"/>
      <c r="T686" s="907"/>
      <c r="U686" s="907"/>
      <c r="V686" s="907"/>
      <c r="W686" s="907"/>
      <c r="X686" s="907"/>
      <c r="Y686" s="907"/>
      <c r="Z686" s="907"/>
      <c r="AA686" s="907"/>
    </row>
    <row r="687" spans="1:27">
      <c r="A687" s="907"/>
      <c r="B687" s="907"/>
      <c r="C687" s="907"/>
      <c r="D687" s="907"/>
      <c r="E687" s="907"/>
      <c r="F687" s="907"/>
      <c r="G687" s="907"/>
      <c r="H687" s="907"/>
      <c r="I687" s="907"/>
      <c r="J687" s="907"/>
      <c r="K687" s="907"/>
      <c r="L687" s="907"/>
      <c r="M687" s="907"/>
      <c r="N687" s="907"/>
      <c r="O687" s="907"/>
      <c r="P687" s="907"/>
      <c r="Q687" s="907"/>
      <c r="R687" s="907"/>
      <c r="S687" s="907"/>
      <c r="T687" s="907"/>
      <c r="U687" s="907"/>
      <c r="V687" s="907"/>
      <c r="W687" s="907"/>
      <c r="X687" s="907"/>
      <c r="Y687" s="907"/>
      <c r="Z687" s="907"/>
      <c r="AA687" s="907"/>
    </row>
    <row r="688" spans="1:27">
      <c r="A688" s="907"/>
      <c r="B688" s="907"/>
      <c r="C688" s="907"/>
      <c r="D688" s="907"/>
      <c r="E688" s="907"/>
      <c r="F688" s="907"/>
      <c r="G688" s="907"/>
      <c r="H688" s="907"/>
      <c r="I688" s="907"/>
      <c r="J688" s="907"/>
      <c r="K688" s="907"/>
      <c r="L688" s="907"/>
      <c r="M688" s="907"/>
      <c r="N688" s="907"/>
      <c r="O688" s="907"/>
      <c r="P688" s="907"/>
      <c r="Q688" s="907"/>
      <c r="R688" s="907"/>
      <c r="S688" s="907"/>
      <c r="T688" s="907"/>
      <c r="U688" s="907"/>
      <c r="V688" s="907"/>
      <c r="W688" s="907"/>
      <c r="X688" s="907"/>
      <c r="Y688" s="907"/>
      <c r="Z688" s="907"/>
      <c r="AA688" s="907"/>
    </row>
    <row r="689" spans="1:27">
      <c r="A689" s="907"/>
      <c r="B689" s="907"/>
      <c r="C689" s="907"/>
      <c r="D689" s="907"/>
      <c r="E689" s="907"/>
      <c r="F689" s="907"/>
      <c r="G689" s="907"/>
      <c r="H689" s="907"/>
      <c r="I689" s="907"/>
      <c r="J689" s="907"/>
      <c r="K689" s="907"/>
      <c r="L689" s="907"/>
      <c r="M689" s="907"/>
      <c r="N689" s="907"/>
      <c r="O689" s="907"/>
      <c r="P689" s="907"/>
      <c r="Q689" s="907"/>
      <c r="R689" s="907"/>
      <c r="S689" s="907"/>
      <c r="T689" s="907"/>
      <c r="U689" s="907"/>
      <c r="V689" s="907"/>
      <c r="W689" s="907"/>
      <c r="X689" s="907"/>
      <c r="Y689" s="907"/>
      <c r="Z689" s="907"/>
      <c r="AA689" s="907"/>
    </row>
    <row r="690" spans="1:27">
      <c r="A690" s="907"/>
      <c r="B690" s="907"/>
      <c r="C690" s="907"/>
      <c r="D690" s="907"/>
      <c r="E690" s="907"/>
      <c r="F690" s="907"/>
      <c r="G690" s="907"/>
      <c r="H690" s="907"/>
      <c r="I690" s="907"/>
      <c r="J690" s="907"/>
      <c r="K690" s="907"/>
      <c r="L690" s="907"/>
      <c r="M690" s="907"/>
      <c r="N690" s="907"/>
      <c r="O690" s="907"/>
      <c r="P690" s="907"/>
      <c r="Q690" s="907"/>
      <c r="R690" s="907"/>
      <c r="S690" s="907"/>
      <c r="T690" s="907"/>
      <c r="U690" s="907"/>
      <c r="V690" s="907"/>
      <c r="W690" s="907"/>
      <c r="X690" s="907"/>
      <c r="Y690" s="907"/>
      <c r="Z690" s="907"/>
      <c r="AA690" s="907"/>
    </row>
    <row r="691" spans="1:27">
      <c r="A691" s="907"/>
      <c r="B691" s="907"/>
      <c r="C691" s="907"/>
      <c r="D691" s="907"/>
      <c r="E691" s="907"/>
      <c r="F691" s="907"/>
      <c r="G691" s="907"/>
      <c r="H691" s="907"/>
      <c r="I691" s="907"/>
      <c r="J691" s="907"/>
      <c r="K691" s="907"/>
      <c r="L691" s="907"/>
      <c r="M691" s="907"/>
      <c r="N691" s="907"/>
      <c r="O691" s="907"/>
      <c r="P691" s="907"/>
      <c r="Q691" s="907"/>
      <c r="R691" s="907"/>
      <c r="S691" s="907"/>
      <c r="T691" s="907"/>
      <c r="U691" s="907"/>
      <c r="V691" s="907"/>
      <c r="W691" s="907"/>
      <c r="X691" s="907"/>
      <c r="Y691" s="907"/>
      <c r="Z691" s="907"/>
      <c r="AA691" s="907"/>
    </row>
    <row r="692" spans="1:27">
      <c r="A692" s="907"/>
      <c r="B692" s="907"/>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row>
    <row r="693" spans="1:27">
      <c r="A693" s="907"/>
      <c r="B693" s="907"/>
      <c r="C693" s="907"/>
      <c r="D693" s="907"/>
      <c r="E693" s="907"/>
      <c r="F693" s="907"/>
      <c r="G693" s="907"/>
      <c r="H693" s="907"/>
      <c r="I693" s="907"/>
      <c r="J693" s="907"/>
      <c r="K693" s="907"/>
      <c r="L693" s="907"/>
      <c r="M693" s="907"/>
      <c r="N693" s="907"/>
      <c r="O693" s="907"/>
      <c r="P693" s="907"/>
      <c r="Q693" s="907"/>
      <c r="R693" s="907"/>
      <c r="S693" s="907"/>
      <c r="T693" s="907"/>
      <c r="U693" s="907"/>
      <c r="V693" s="907"/>
      <c r="W693" s="907"/>
      <c r="X693" s="907"/>
      <c r="Y693" s="907"/>
      <c r="Z693" s="907"/>
      <c r="AA693" s="907"/>
    </row>
    <row r="694" spans="1:27">
      <c r="A694" s="907"/>
      <c r="B694" s="907"/>
      <c r="C694" s="907"/>
      <c r="D694" s="907"/>
      <c r="E694" s="907"/>
      <c r="F694" s="907"/>
      <c r="G694" s="907"/>
      <c r="H694" s="907"/>
      <c r="I694" s="907"/>
      <c r="J694" s="907"/>
      <c r="K694" s="907"/>
      <c r="L694" s="907"/>
      <c r="M694" s="907"/>
      <c r="N694" s="907"/>
      <c r="O694" s="907"/>
      <c r="P694" s="907"/>
      <c r="Q694" s="907"/>
      <c r="R694" s="907"/>
      <c r="S694" s="907"/>
      <c r="T694" s="907"/>
      <c r="U694" s="907"/>
      <c r="V694" s="907"/>
      <c r="W694" s="907"/>
      <c r="X694" s="907"/>
      <c r="Y694" s="907"/>
      <c r="Z694" s="907"/>
      <c r="AA694" s="907"/>
    </row>
    <row r="695" spans="1:27">
      <c r="A695" s="907"/>
      <c r="B695" s="907"/>
      <c r="C695" s="907"/>
      <c r="D695" s="907"/>
      <c r="E695" s="907"/>
      <c r="F695" s="907"/>
      <c r="G695" s="907"/>
      <c r="H695" s="907"/>
      <c r="I695" s="907"/>
      <c r="J695" s="907"/>
      <c r="K695" s="907"/>
      <c r="L695" s="907"/>
      <c r="M695" s="907"/>
      <c r="N695" s="907"/>
      <c r="O695" s="907"/>
      <c r="P695" s="907"/>
      <c r="Q695" s="907"/>
      <c r="R695" s="907"/>
      <c r="S695" s="907"/>
      <c r="T695" s="907"/>
      <c r="U695" s="907"/>
      <c r="V695" s="907"/>
      <c r="W695" s="907"/>
      <c r="X695" s="907"/>
      <c r="Y695" s="907"/>
      <c r="Z695" s="907"/>
      <c r="AA695" s="907"/>
    </row>
    <row r="696" spans="1:27">
      <c r="A696" s="907"/>
      <c r="B696" s="907"/>
      <c r="C696" s="907"/>
      <c r="D696" s="907"/>
      <c r="E696" s="907"/>
      <c r="F696" s="907"/>
      <c r="G696" s="907"/>
      <c r="H696" s="907"/>
      <c r="I696" s="907"/>
      <c r="J696" s="907"/>
      <c r="K696" s="907"/>
      <c r="L696" s="907"/>
      <c r="M696" s="907"/>
      <c r="N696" s="907"/>
      <c r="O696" s="907"/>
      <c r="P696" s="907"/>
      <c r="Q696" s="907"/>
      <c r="R696" s="907"/>
      <c r="S696" s="907"/>
      <c r="T696" s="907"/>
      <c r="U696" s="907"/>
      <c r="V696" s="907"/>
      <c r="W696" s="907"/>
      <c r="X696" s="907"/>
      <c r="Y696" s="907"/>
      <c r="Z696" s="907"/>
      <c r="AA696" s="907"/>
    </row>
    <row r="697" spans="1:27">
      <c r="A697" s="907"/>
      <c r="B697" s="907"/>
      <c r="C697" s="907"/>
      <c r="D697" s="907"/>
      <c r="E697" s="907"/>
      <c r="F697" s="907"/>
      <c r="G697" s="907"/>
      <c r="H697" s="907"/>
      <c r="I697" s="907"/>
      <c r="J697" s="907"/>
      <c r="K697" s="907"/>
      <c r="L697" s="907"/>
      <c r="M697" s="907"/>
      <c r="N697" s="907"/>
      <c r="O697" s="907"/>
      <c r="P697" s="907"/>
      <c r="Q697" s="907"/>
      <c r="R697" s="907"/>
      <c r="S697" s="907"/>
      <c r="T697" s="907"/>
      <c r="U697" s="907"/>
      <c r="V697" s="907"/>
      <c r="W697" s="907"/>
      <c r="X697" s="907"/>
      <c r="Y697" s="907"/>
      <c r="Z697" s="907"/>
      <c r="AA697" s="907"/>
    </row>
    <row r="698" spans="1:27">
      <c r="A698" s="907"/>
      <c r="B698" s="907"/>
      <c r="C698" s="907"/>
      <c r="D698" s="907"/>
      <c r="E698" s="907"/>
      <c r="F698" s="907"/>
      <c r="G698" s="907"/>
      <c r="H698" s="907"/>
      <c r="I698" s="907"/>
      <c r="J698" s="907"/>
      <c r="K698" s="907"/>
      <c r="L698" s="907"/>
      <c r="M698" s="907"/>
      <c r="N698" s="907"/>
      <c r="O698" s="907"/>
      <c r="P698" s="907"/>
      <c r="Q698" s="907"/>
      <c r="R698" s="907"/>
      <c r="S698" s="907"/>
      <c r="T698" s="907"/>
      <c r="U698" s="907"/>
      <c r="V698" s="907"/>
      <c r="W698" s="907"/>
      <c r="X698" s="907"/>
      <c r="Y698" s="907"/>
      <c r="Z698" s="907"/>
      <c r="AA698" s="907"/>
    </row>
    <row r="699" spans="1:27">
      <c r="A699" s="907"/>
      <c r="B699" s="907"/>
      <c r="C699" s="907"/>
      <c r="D699" s="907"/>
      <c r="E699" s="907"/>
      <c r="F699" s="907"/>
      <c r="G699" s="907"/>
      <c r="H699" s="907"/>
      <c r="I699" s="907"/>
      <c r="J699" s="907"/>
      <c r="K699" s="907"/>
      <c r="L699" s="907"/>
      <c r="M699" s="907"/>
      <c r="N699" s="907"/>
      <c r="O699" s="907"/>
      <c r="P699" s="907"/>
      <c r="Q699" s="907"/>
      <c r="R699" s="907"/>
      <c r="S699" s="907"/>
      <c r="T699" s="907"/>
      <c r="U699" s="907"/>
      <c r="V699" s="907"/>
      <c r="W699" s="907"/>
      <c r="X699" s="907"/>
      <c r="Y699" s="907"/>
      <c r="Z699" s="907"/>
      <c r="AA699" s="907"/>
    </row>
    <row r="700" spans="1:27">
      <c r="A700" s="907"/>
      <c r="B700" s="907"/>
      <c r="C700" s="907"/>
      <c r="D700" s="907"/>
      <c r="E700" s="907"/>
      <c r="F700" s="907"/>
      <c r="G700" s="907"/>
      <c r="H700" s="907"/>
      <c r="I700" s="907"/>
      <c r="J700" s="907"/>
      <c r="K700" s="907"/>
      <c r="L700" s="907"/>
      <c r="M700" s="907"/>
      <c r="N700" s="907"/>
      <c r="O700" s="907"/>
      <c r="P700" s="907"/>
      <c r="Q700" s="907"/>
      <c r="R700" s="907"/>
      <c r="S700" s="907"/>
      <c r="T700" s="907"/>
      <c r="U700" s="907"/>
      <c r="V700" s="907"/>
      <c r="W700" s="907"/>
      <c r="X700" s="907"/>
      <c r="Y700" s="907"/>
      <c r="Z700" s="907"/>
      <c r="AA700" s="907"/>
    </row>
    <row r="701" spans="1:27">
      <c r="A701" s="907"/>
      <c r="B701" s="907"/>
      <c r="C701" s="907"/>
      <c r="D701" s="907"/>
      <c r="E701" s="907"/>
      <c r="F701" s="907"/>
      <c r="G701" s="907"/>
      <c r="H701" s="907"/>
      <c r="I701" s="907"/>
      <c r="J701" s="907"/>
      <c r="K701" s="907"/>
      <c r="L701" s="907"/>
      <c r="M701" s="907"/>
      <c r="N701" s="907"/>
      <c r="O701" s="907"/>
      <c r="P701" s="907"/>
      <c r="Q701" s="907"/>
      <c r="R701" s="907"/>
      <c r="S701" s="907"/>
      <c r="T701" s="907"/>
      <c r="U701" s="907"/>
      <c r="V701" s="907"/>
      <c r="W701" s="907"/>
      <c r="X701" s="907"/>
      <c r="Y701" s="907"/>
      <c r="Z701" s="907"/>
      <c r="AA701" s="907"/>
    </row>
    <row r="702" spans="1:27">
      <c r="A702" s="907"/>
      <c r="B702" s="907"/>
      <c r="C702" s="907"/>
      <c r="D702" s="907"/>
      <c r="E702" s="907"/>
      <c r="F702" s="907"/>
      <c r="G702" s="907"/>
      <c r="H702" s="907"/>
      <c r="I702" s="907"/>
      <c r="J702" s="907"/>
      <c r="K702" s="907"/>
      <c r="L702" s="907"/>
      <c r="M702" s="907"/>
      <c r="N702" s="907"/>
      <c r="O702" s="907"/>
      <c r="P702" s="907"/>
      <c r="Q702" s="907"/>
      <c r="R702" s="907"/>
      <c r="S702" s="907"/>
      <c r="T702" s="907"/>
      <c r="U702" s="907"/>
      <c r="V702" s="907"/>
      <c r="W702" s="907"/>
      <c r="X702" s="907"/>
      <c r="Y702" s="907"/>
      <c r="Z702" s="907"/>
      <c r="AA702" s="907"/>
    </row>
    <row r="703" spans="1:27">
      <c r="A703" s="907"/>
      <c r="B703" s="907"/>
      <c r="C703" s="907"/>
      <c r="D703" s="907"/>
      <c r="E703" s="907"/>
      <c r="F703" s="907"/>
      <c r="G703" s="907"/>
      <c r="H703" s="907"/>
      <c r="I703" s="907"/>
      <c r="J703" s="907"/>
      <c r="K703" s="907"/>
      <c r="L703" s="907"/>
      <c r="M703" s="907"/>
      <c r="N703" s="907"/>
      <c r="O703" s="907"/>
      <c r="P703" s="907"/>
      <c r="Q703" s="907"/>
      <c r="R703" s="907"/>
      <c r="S703" s="907"/>
      <c r="T703" s="907"/>
      <c r="U703" s="907"/>
      <c r="V703" s="907"/>
      <c r="W703" s="907"/>
      <c r="X703" s="907"/>
      <c r="Y703" s="907"/>
      <c r="Z703" s="907"/>
      <c r="AA703" s="907"/>
    </row>
    <row r="704" spans="1:27">
      <c r="A704" s="907"/>
      <c r="B704" s="907"/>
      <c r="C704" s="907"/>
      <c r="D704" s="907"/>
      <c r="E704" s="907"/>
      <c r="F704" s="907"/>
      <c r="G704" s="907"/>
      <c r="H704" s="907"/>
      <c r="I704" s="907"/>
      <c r="J704" s="907"/>
      <c r="K704" s="907"/>
      <c r="L704" s="907"/>
      <c r="M704" s="907"/>
      <c r="N704" s="907"/>
      <c r="O704" s="907"/>
      <c r="P704" s="907"/>
      <c r="Q704" s="907"/>
      <c r="R704" s="907"/>
      <c r="S704" s="907"/>
      <c r="T704" s="907"/>
      <c r="U704" s="907"/>
      <c r="V704" s="907"/>
      <c r="W704" s="907"/>
      <c r="X704" s="907"/>
      <c r="Y704" s="907"/>
      <c r="Z704" s="907"/>
      <c r="AA704" s="907"/>
    </row>
    <row r="705" spans="1:27">
      <c r="A705" s="907"/>
      <c r="B705" s="907"/>
      <c r="C705" s="907"/>
      <c r="D705" s="907"/>
      <c r="E705" s="907"/>
      <c r="F705" s="907"/>
      <c r="G705" s="907"/>
      <c r="H705" s="907"/>
      <c r="I705" s="907"/>
      <c r="J705" s="907"/>
      <c r="K705" s="907"/>
      <c r="L705" s="907"/>
      <c r="M705" s="907"/>
      <c r="N705" s="907"/>
      <c r="O705" s="907"/>
      <c r="P705" s="907"/>
      <c r="Q705" s="907"/>
      <c r="R705" s="907"/>
      <c r="S705" s="907"/>
      <c r="T705" s="907"/>
      <c r="U705" s="907"/>
      <c r="V705" s="907"/>
      <c r="W705" s="907"/>
      <c r="X705" s="907"/>
      <c r="Y705" s="907"/>
      <c r="Z705" s="907"/>
      <c r="AA705" s="907"/>
    </row>
    <row r="706" spans="1:27">
      <c r="A706" s="907"/>
      <c r="B706" s="907"/>
      <c r="C706" s="907"/>
      <c r="D706" s="907"/>
      <c r="E706" s="907"/>
      <c r="F706" s="907"/>
      <c r="G706" s="907"/>
      <c r="H706" s="907"/>
      <c r="I706" s="907"/>
      <c r="J706" s="907"/>
      <c r="K706" s="907"/>
      <c r="L706" s="907"/>
      <c r="M706" s="907"/>
      <c r="N706" s="907"/>
      <c r="O706" s="907"/>
      <c r="P706" s="907"/>
      <c r="Q706" s="907"/>
      <c r="R706" s="907"/>
      <c r="S706" s="907"/>
      <c r="T706" s="907"/>
      <c r="U706" s="907"/>
      <c r="V706" s="907"/>
      <c r="W706" s="907"/>
      <c r="X706" s="907"/>
      <c r="Y706" s="907"/>
      <c r="Z706" s="907"/>
      <c r="AA706" s="907"/>
    </row>
    <row r="707" spans="1:27">
      <c r="A707" s="907"/>
      <c r="B707" s="907"/>
      <c r="C707" s="907"/>
      <c r="D707" s="907"/>
      <c r="E707" s="907"/>
      <c r="F707" s="907"/>
      <c r="G707" s="907"/>
      <c r="H707" s="907"/>
      <c r="I707" s="907"/>
      <c r="J707" s="907"/>
      <c r="K707" s="907"/>
      <c r="L707" s="907"/>
      <c r="M707" s="907"/>
      <c r="N707" s="907"/>
      <c r="O707" s="907"/>
      <c r="P707" s="907"/>
      <c r="Q707" s="907"/>
      <c r="R707" s="907"/>
      <c r="S707" s="907"/>
      <c r="T707" s="907"/>
      <c r="U707" s="907"/>
      <c r="V707" s="907"/>
      <c r="W707" s="907"/>
      <c r="X707" s="907"/>
      <c r="Y707" s="907"/>
      <c r="Z707" s="907"/>
      <c r="AA707" s="907"/>
    </row>
    <row r="708" spans="1:27">
      <c r="A708" s="907"/>
      <c r="B708" s="907"/>
      <c r="C708" s="907"/>
      <c r="D708" s="907"/>
      <c r="E708" s="907"/>
      <c r="F708" s="907"/>
      <c r="G708" s="907"/>
      <c r="H708" s="907"/>
      <c r="I708" s="907"/>
      <c r="J708" s="907"/>
      <c r="K708" s="907"/>
      <c r="L708" s="907"/>
      <c r="M708" s="907"/>
      <c r="N708" s="907"/>
      <c r="O708" s="907"/>
      <c r="P708" s="907"/>
      <c r="Q708" s="907"/>
      <c r="R708" s="907"/>
      <c r="S708" s="907"/>
      <c r="T708" s="907"/>
      <c r="U708" s="907"/>
      <c r="V708" s="907"/>
      <c r="W708" s="907"/>
      <c r="X708" s="907"/>
      <c r="Y708" s="907"/>
      <c r="Z708" s="907"/>
      <c r="AA708" s="907"/>
    </row>
    <row r="709" spans="1:27">
      <c r="A709" s="907"/>
      <c r="B709" s="907"/>
      <c r="C709" s="907"/>
      <c r="D709" s="907"/>
      <c r="E709" s="907"/>
      <c r="F709" s="907"/>
      <c r="G709" s="907"/>
      <c r="H709" s="907"/>
      <c r="I709" s="907"/>
      <c r="J709" s="907"/>
      <c r="K709" s="907"/>
      <c r="L709" s="907"/>
      <c r="M709" s="907"/>
      <c r="N709" s="907"/>
      <c r="O709" s="907"/>
      <c r="P709" s="907"/>
      <c r="Q709" s="907"/>
      <c r="R709" s="907"/>
      <c r="S709" s="907"/>
      <c r="T709" s="907"/>
      <c r="U709" s="907"/>
      <c r="V709" s="907"/>
      <c r="W709" s="907"/>
      <c r="X709" s="907"/>
      <c r="Y709" s="907"/>
      <c r="Z709" s="907"/>
      <c r="AA709" s="907"/>
    </row>
    <row r="710" spans="1:27">
      <c r="A710" s="907"/>
      <c r="B710" s="907"/>
      <c r="C710" s="907"/>
      <c r="D710" s="907"/>
      <c r="E710" s="907"/>
      <c r="F710" s="907"/>
      <c r="G710" s="907"/>
      <c r="H710" s="907"/>
      <c r="I710" s="907"/>
      <c r="J710" s="907"/>
      <c r="K710" s="907"/>
      <c r="L710" s="907"/>
      <c r="M710" s="907"/>
      <c r="N710" s="907"/>
      <c r="O710" s="907"/>
      <c r="P710" s="907"/>
      <c r="Q710" s="907"/>
      <c r="R710" s="907"/>
      <c r="S710" s="907"/>
      <c r="T710" s="907"/>
      <c r="U710" s="907"/>
      <c r="V710" s="907"/>
      <c r="W710" s="907"/>
      <c r="X710" s="907"/>
      <c r="Y710" s="907"/>
      <c r="Z710" s="907"/>
      <c r="AA710" s="907"/>
    </row>
    <row r="711" spans="1:27">
      <c r="A711" s="907"/>
      <c r="B711" s="907"/>
      <c r="C711" s="907"/>
      <c r="D711" s="907"/>
      <c r="E711" s="907"/>
      <c r="F711" s="907"/>
      <c r="G711" s="907"/>
      <c r="H711" s="907"/>
      <c r="I711" s="907"/>
      <c r="J711" s="907"/>
      <c r="K711" s="907"/>
      <c r="L711" s="907"/>
      <c r="M711" s="907"/>
      <c r="N711" s="907"/>
      <c r="O711" s="907"/>
      <c r="P711" s="907"/>
      <c r="Q711" s="907"/>
      <c r="R711" s="907"/>
      <c r="S711" s="907"/>
      <c r="T711" s="907"/>
      <c r="U711" s="907"/>
      <c r="V711" s="907"/>
      <c r="W711" s="907"/>
      <c r="X711" s="907"/>
      <c r="Y711" s="907"/>
      <c r="Z711" s="907"/>
      <c r="AA711" s="907"/>
    </row>
    <row r="712" spans="1:27">
      <c r="A712" s="907"/>
      <c r="B712" s="907"/>
      <c r="C712" s="907"/>
      <c r="D712" s="907"/>
      <c r="E712" s="907"/>
      <c r="F712" s="907"/>
      <c r="G712" s="907"/>
      <c r="H712" s="907"/>
      <c r="I712" s="907"/>
      <c r="J712" s="907"/>
      <c r="K712" s="907"/>
      <c r="L712" s="907"/>
      <c r="M712" s="907"/>
      <c r="N712" s="907"/>
      <c r="O712" s="907"/>
      <c r="P712" s="907"/>
      <c r="Q712" s="907"/>
      <c r="R712" s="907"/>
      <c r="S712" s="907"/>
      <c r="T712" s="907"/>
      <c r="U712" s="907"/>
      <c r="V712" s="907"/>
      <c r="W712" s="907"/>
      <c r="X712" s="907"/>
      <c r="Y712" s="907"/>
      <c r="Z712" s="907"/>
      <c r="AA712" s="907"/>
    </row>
    <row r="713" spans="1:27">
      <c r="A713" s="907"/>
      <c r="B713" s="907"/>
      <c r="C713" s="907"/>
      <c r="D713" s="907"/>
      <c r="E713" s="907"/>
      <c r="F713" s="907"/>
      <c r="G713" s="907"/>
      <c r="H713" s="907"/>
      <c r="I713" s="907"/>
      <c r="J713" s="907"/>
      <c r="K713" s="907"/>
      <c r="L713" s="907"/>
      <c r="M713" s="907"/>
      <c r="N713" s="907"/>
      <c r="O713" s="907"/>
      <c r="P713" s="907"/>
      <c r="Q713" s="907"/>
      <c r="R713" s="907"/>
      <c r="S713" s="907"/>
      <c r="T713" s="907"/>
      <c r="U713" s="907"/>
      <c r="V713" s="907"/>
      <c r="W713" s="907"/>
      <c r="X713" s="907"/>
      <c r="Y713" s="907"/>
      <c r="Z713" s="907"/>
      <c r="AA713" s="907"/>
    </row>
    <row r="714" spans="1:27">
      <c r="A714" s="907"/>
      <c r="B714" s="907"/>
      <c r="C714" s="907"/>
      <c r="D714" s="907"/>
      <c r="E714" s="907"/>
      <c r="F714" s="907"/>
      <c r="G714" s="907"/>
      <c r="H714" s="907"/>
      <c r="I714" s="907"/>
      <c r="J714" s="907"/>
      <c r="K714" s="907"/>
      <c r="L714" s="907"/>
      <c r="M714" s="907"/>
      <c r="N714" s="907"/>
      <c r="O714" s="907"/>
      <c r="P714" s="907"/>
      <c r="Q714" s="907"/>
      <c r="R714" s="907"/>
      <c r="S714" s="907"/>
      <c r="T714" s="907"/>
      <c r="U714" s="907"/>
      <c r="V714" s="907"/>
      <c r="W714" s="907"/>
      <c r="X714" s="907"/>
      <c r="Y714" s="907"/>
      <c r="Z714" s="907"/>
      <c r="AA714" s="907"/>
    </row>
    <row r="715" spans="1:27">
      <c r="A715" s="907"/>
      <c r="B715" s="907"/>
      <c r="C715" s="907"/>
      <c r="D715" s="907"/>
      <c r="E715" s="907"/>
      <c r="F715" s="907"/>
      <c r="G715" s="907"/>
      <c r="H715" s="907"/>
      <c r="I715" s="907"/>
      <c r="J715" s="907"/>
      <c r="K715" s="907"/>
      <c r="L715" s="907"/>
      <c r="M715" s="907"/>
      <c r="N715" s="907"/>
      <c r="O715" s="907"/>
      <c r="P715" s="907"/>
      <c r="Q715" s="907"/>
      <c r="R715" s="907"/>
      <c r="S715" s="907"/>
      <c r="T715" s="907"/>
      <c r="U715" s="907"/>
      <c r="V715" s="907"/>
      <c r="W715" s="907"/>
      <c r="X715" s="907"/>
      <c r="Y715" s="907"/>
      <c r="Z715" s="907"/>
      <c r="AA715" s="907"/>
    </row>
    <row r="716" spans="1:27">
      <c r="A716" s="907"/>
      <c r="B716" s="907"/>
      <c r="C716" s="907"/>
      <c r="D716" s="907"/>
      <c r="E716" s="907"/>
      <c r="F716" s="907"/>
      <c r="G716" s="907"/>
      <c r="H716" s="907"/>
      <c r="I716" s="907"/>
      <c r="J716" s="907"/>
      <c r="K716" s="907"/>
      <c r="L716" s="907"/>
      <c r="M716" s="907"/>
      <c r="N716" s="907"/>
      <c r="O716" s="907"/>
      <c r="P716" s="907"/>
      <c r="Q716" s="907"/>
      <c r="R716" s="907"/>
      <c r="S716" s="907"/>
      <c r="T716" s="907"/>
      <c r="U716" s="907"/>
      <c r="V716" s="907"/>
      <c r="W716" s="907"/>
      <c r="X716" s="907"/>
      <c r="Y716" s="907"/>
      <c r="Z716" s="907"/>
      <c r="AA716" s="907"/>
    </row>
    <row r="717" spans="1:27">
      <c r="A717" s="907"/>
      <c r="B717" s="907"/>
      <c r="C717" s="907"/>
      <c r="D717" s="907"/>
      <c r="E717" s="907"/>
      <c r="F717" s="907"/>
      <c r="G717" s="907"/>
      <c r="H717" s="907"/>
      <c r="I717" s="907"/>
      <c r="J717" s="907"/>
      <c r="K717" s="907"/>
      <c r="L717" s="907"/>
      <c r="M717" s="907"/>
      <c r="N717" s="907"/>
      <c r="O717" s="907"/>
      <c r="P717" s="907"/>
      <c r="Q717" s="907"/>
      <c r="R717" s="907"/>
      <c r="S717" s="907"/>
      <c r="T717" s="907"/>
      <c r="U717" s="907"/>
      <c r="V717" s="907"/>
      <c r="W717" s="907"/>
      <c r="X717" s="907"/>
      <c r="Y717" s="907"/>
      <c r="Z717" s="907"/>
      <c r="AA717" s="907"/>
    </row>
    <row r="718" spans="1:27">
      <c r="A718" s="907"/>
      <c r="B718" s="907"/>
      <c r="C718" s="907"/>
      <c r="D718" s="907"/>
      <c r="E718" s="907"/>
      <c r="F718" s="907"/>
      <c r="G718" s="907"/>
      <c r="H718" s="907"/>
      <c r="I718" s="907"/>
      <c r="J718" s="907"/>
      <c r="K718" s="907"/>
      <c r="L718" s="907"/>
      <c r="M718" s="907"/>
      <c r="N718" s="907"/>
      <c r="O718" s="907"/>
      <c r="P718" s="907"/>
      <c r="Q718" s="907"/>
      <c r="R718" s="907"/>
      <c r="S718" s="907"/>
      <c r="T718" s="907"/>
      <c r="U718" s="907"/>
      <c r="V718" s="907"/>
      <c r="W718" s="907"/>
      <c r="X718" s="907"/>
      <c r="Y718" s="907"/>
      <c r="Z718" s="907"/>
      <c r="AA718" s="907"/>
    </row>
    <row r="719" spans="1:27">
      <c r="A719" s="907"/>
      <c r="B719" s="907"/>
      <c r="C719" s="907"/>
      <c r="D719" s="907"/>
      <c r="E719" s="907"/>
      <c r="F719" s="907"/>
      <c r="G719" s="907"/>
      <c r="H719" s="907"/>
      <c r="I719" s="907"/>
      <c r="J719" s="907"/>
      <c r="K719" s="907"/>
      <c r="L719" s="907"/>
      <c r="M719" s="907"/>
      <c r="N719" s="907"/>
      <c r="O719" s="907"/>
      <c r="P719" s="907"/>
      <c r="Q719" s="907"/>
      <c r="R719" s="907"/>
      <c r="S719" s="907"/>
      <c r="T719" s="907"/>
      <c r="U719" s="907"/>
      <c r="V719" s="907"/>
      <c r="W719" s="907"/>
      <c r="X719" s="907"/>
      <c r="Y719" s="907"/>
      <c r="Z719" s="907"/>
      <c r="AA719" s="907"/>
    </row>
    <row r="720" spans="1:27">
      <c r="A720" s="907"/>
      <c r="B720" s="907"/>
      <c r="C720" s="907"/>
      <c r="D720" s="907"/>
      <c r="E720" s="907"/>
      <c r="F720" s="907"/>
      <c r="G720" s="907"/>
      <c r="H720" s="907"/>
      <c r="I720" s="907"/>
      <c r="J720" s="907"/>
      <c r="K720" s="907"/>
      <c r="L720" s="907"/>
      <c r="M720" s="907"/>
      <c r="N720" s="907"/>
      <c r="O720" s="907"/>
      <c r="P720" s="907"/>
      <c r="Q720" s="907"/>
      <c r="R720" s="907"/>
      <c r="S720" s="907"/>
      <c r="T720" s="907"/>
      <c r="U720" s="907"/>
      <c r="V720" s="907"/>
      <c r="W720" s="907"/>
      <c r="X720" s="907"/>
      <c r="Y720" s="907"/>
      <c r="Z720" s="907"/>
      <c r="AA720" s="907"/>
    </row>
    <row r="721" spans="1:27">
      <c r="A721" s="907"/>
      <c r="B721" s="907"/>
      <c r="C721" s="907"/>
      <c r="D721" s="907"/>
      <c r="E721" s="907"/>
      <c r="F721" s="907"/>
      <c r="G721" s="907"/>
      <c r="H721" s="907"/>
      <c r="I721" s="907"/>
      <c r="J721" s="907"/>
      <c r="K721" s="907"/>
      <c r="L721" s="907"/>
      <c r="M721" s="907"/>
      <c r="N721" s="907"/>
      <c r="O721" s="907"/>
      <c r="P721" s="907"/>
      <c r="Q721" s="907"/>
      <c r="R721" s="907"/>
      <c r="S721" s="907"/>
      <c r="T721" s="907"/>
      <c r="U721" s="907"/>
      <c r="V721" s="907"/>
      <c r="W721" s="907"/>
      <c r="X721" s="907"/>
      <c r="Y721" s="907"/>
      <c r="Z721" s="907"/>
      <c r="AA721" s="907"/>
    </row>
    <row r="722" spans="1:27">
      <c r="A722" s="907"/>
      <c r="B722" s="907"/>
      <c r="C722" s="907"/>
      <c r="D722" s="907"/>
      <c r="E722" s="907"/>
      <c r="F722" s="907"/>
      <c r="G722" s="907"/>
      <c r="H722" s="907"/>
      <c r="I722" s="907"/>
      <c r="J722" s="907"/>
      <c r="K722" s="907"/>
      <c r="L722" s="907"/>
      <c r="M722" s="907"/>
      <c r="N722" s="907"/>
      <c r="O722" s="907"/>
      <c r="P722" s="907"/>
      <c r="Q722" s="907"/>
      <c r="R722" s="907"/>
      <c r="S722" s="907"/>
      <c r="T722" s="907"/>
      <c r="U722" s="907"/>
      <c r="V722" s="907"/>
      <c r="W722" s="907"/>
      <c r="X722" s="907"/>
      <c r="Y722" s="907"/>
      <c r="Z722" s="907"/>
      <c r="AA722" s="907"/>
    </row>
    <row r="723" spans="1:27">
      <c r="A723" s="907"/>
      <c r="B723" s="907"/>
      <c r="C723" s="907"/>
      <c r="D723" s="907"/>
      <c r="E723" s="907"/>
      <c r="F723" s="907"/>
      <c r="G723" s="907"/>
      <c r="H723" s="907"/>
      <c r="I723" s="907"/>
      <c r="J723" s="907"/>
      <c r="K723" s="907"/>
      <c r="L723" s="907"/>
      <c r="M723" s="907"/>
      <c r="N723" s="907"/>
      <c r="O723" s="907"/>
      <c r="P723" s="907"/>
      <c r="Q723" s="907"/>
      <c r="R723" s="907"/>
      <c r="S723" s="907"/>
      <c r="T723" s="907"/>
      <c r="U723" s="907"/>
      <c r="V723" s="907"/>
      <c r="W723" s="907"/>
      <c r="X723" s="907"/>
      <c r="Y723" s="907"/>
      <c r="Z723" s="907"/>
      <c r="AA723" s="907"/>
    </row>
    <row r="724" spans="1:27">
      <c r="A724" s="907"/>
      <c r="B724" s="907"/>
      <c r="C724" s="907"/>
      <c r="D724" s="907"/>
      <c r="E724" s="907"/>
      <c r="F724" s="907"/>
      <c r="G724" s="907"/>
      <c r="H724" s="907"/>
      <c r="I724" s="907"/>
      <c r="J724" s="907"/>
      <c r="K724" s="907"/>
      <c r="L724" s="907"/>
      <c r="M724" s="907"/>
      <c r="N724" s="907"/>
      <c r="O724" s="907"/>
      <c r="P724" s="907"/>
      <c r="Q724" s="907"/>
      <c r="R724" s="907"/>
      <c r="S724" s="907"/>
      <c r="T724" s="907"/>
      <c r="U724" s="907"/>
      <c r="V724" s="907"/>
      <c r="W724" s="907"/>
      <c r="X724" s="907"/>
      <c r="Y724" s="907"/>
      <c r="Z724" s="907"/>
      <c r="AA724" s="907"/>
    </row>
    <row r="725" spans="1:27">
      <c r="A725" s="907"/>
      <c r="B725" s="907"/>
      <c r="C725" s="907"/>
      <c r="D725" s="907"/>
      <c r="E725" s="907"/>
      <c r="F725" s="907"/>
      <c r="G725" s="907"/>
      <c r="H725" s="907"/>
      <c r="I725" s="907"/>
      <c r="J725" s="907"/>
      <c r="K725" s="907"/>
      <c r="L725" s="907"/>
      <c r="M725" s="907"/>
      <c r="N725" s="907"/>
      <c r="O725" s="907"/>
      <c r="P725" s="907"/>
      <c r="Q725" s="907"/>
      <c r="R725" s="907"/>
      <c r="S725" s="907"/>
      <c r="T725" s="907"/>
      <c r="U725" s="907"/>
      <c r="V725" s="907"/>
      <c r="W725" s="907"/>
      <c r="X725" s="907"/>
      <c r="Y725" s="907"/>
      <c r="Z725" s="907"/>
      <c r="AA725" s="907"/>
    </row>
    <row r="726" spans="1:27">
      <c r="A726" s="907"/>
      <c r="B726" s="907"/>
      <c r="C726" s="907"/>
      <c r="D726" s="907"/>
      <c r="E726" s="907"/>
      <c r="F726" s="907"/>
      <c r="G726" s="907"/>
      <c r="H726" s="907"/>
      <c r="I726" s="907"/>
      <c r="J726" s="907"/>
      <c r="K726" s="907"/>
      <c r="L726" s="907"/>
      <c r="M726" s="907"/>
      <c r="N726" s="907"/>
      <c r="O726" s="907"/>
      <c r="P726" s="907"/>
      <c r="Q726" s="907"/>
      <c r="R726" s="907"/>
      <c r="S726" s="907"/>
      <c r="T726" s="907"/>
      <c r="U726" s="907"/>
      <c r="V726" s="907"/>
      <c r="W726" s="907"/>
      <c r="X726" s="907"/>
      <c r="Y726" s="907"/>
      <c r="Z726" s="907"/>
      <c r="AA726" s="907"/>
    </row>
    <row r="727" spans="1:27">
      <c r="A727" s="907"/>
      <c r="B727" s="907"/>
      <c r="C727" s="907"/>
      <c r="D727" s="907"/>
      <c r="E727" s="907"/>
      <c r="F727" s="907"/>
      <c r="G727" s="907"/>
      <c r="H727" s="907"/>
      <c r="I727" s="907"/>
      <c r="J727" s="907"/>
      <c r="K727" s="907"/>
      <c r="L727" s="907"/>
      <c r="M727" s="907"/>
      <c r="N727" s="907"/>
      <c r="O727" s="907"/>
      <c r="P727" s="907"/>
      <c r="Q727" s="907"/>
      <c r="R727" s="907"/>
      <c r="S727" s="907"/>
      <c r="T727" s="907"/>
      <c r="U727" s="907"/>
      <c r="V727" s="907"/>
      <c r="W727" s="907"/>
      <c r="X727" s="907"/>
      <c r="Y727" s="907"/>
      <c r="Z727" s="907"/>
      <c r="AA727" s="907"/>
    </row>
    <row r="728" spans="1:27">
      <c r="A728" s="907"/>
      <c r="B728" s="907"/>
      <c r="C728" s="907"/>
      <c r="D728" s="907"/>
      <c r="E728" s="907"/>
      <c r="F728" s="907"/>
      <c r="G728" s="907"/>
      <c r="H728" s="907"/>
      <c r="I728" s="907"/>
      <c r="J728" s="907"/>
      <c r="K728" s="907"/>
      <c r="L728" s="907"/>
      <c r="M728" s="907"/>
      <c r="N728" s="907"/>
      <c r="O728" s="907"/>
      <c r="P728" s="907"/>
      <c r="Q728" s="907"/>
      <c r="R728" s="907"/>
      <c r="S728" s="907"/>
      <c r="T728" s="907"/>
      <c r="U728" s="907"/>
      <c r="V728" s="907"/>
      <c r="W728" s="907"/>
      <c r="X728" s="907"/>
      <c r="Y728" s="907"/>
      <c r="Z728" s="907"/>
      <c r="AA728" s="907"/>
    </row>
    <row r="729" spans="1:27">
      <c r="A729" s="907"/>
      <c r="B729" s="907"/>
      <c r="C729" s="907"/>
      <c r="D729" s="907"/>
      <c r="E729" s="907"/>
      <c r="F729" s="907"/>
      <c r="G729" s="907"/>
      <c r="H729" s="907"/>
      <c r="I729" s="907"/>
      <c r="J729" s="907"/>
      <c r="K729" s="907"/>
      <c r="L729" s="907"/>
      <c r="M729" s="907"/>
      <c r="N729" s="907"/>
      <c r="O729" s="907"/>
      <c r="P729" s="907"/>
      <c r="Q729" s="907"/>
      <c r="R729" s="907"/>
      <c r="S729" s="907"/>
      <c r="T729" s="907"/>
      <c r="U729" s="907"/>
      <c r="V729" s="907"/>
      <c r="W729" s="907"/>
      <c r="X729" s="907"/>
      <c r="Y729" s="907"/>
      <c r="Z729" s="907"/>
      <c r="AA729" s="907"/>
    </row>
    <row r="730" spans="1:27">
      <c r="A730" s="907"/>
      <c r="B730" s="907"/>
      <c r="C730" s="907"/>
      <c r="D730" s="907"/>
      <c r="E730" s="907"/>
      <c r="F730" s="907"/>
      <c r="G730" s="907"/>
      <c r="H730" s="907"/>
      <c r="I730" s="907"/>
      <c r="J730" s="907"/>
      <c r="K730" s="907"/>
      <c r="L730" s="907"/>
      <c r="M730" s="907"/>
      <c r="N730" s="907"/>
      <c r="O730" s="907"/>
      <c r="P730" s="907"/>
      <c r="Q730" s="907"/>
      <c r="R730" s="907"/>
      <c r="S730" s="907"/>
      <c r="T730" s="907"/>
      <c r="U730" s="907"/>
      <c r="V730" s="907"/>
      <c r="W730" s="907"/>
      <c r="X730" s="907"/>
      <c r="Y730" s="907"/>
      <c r="Z730" s="907"/>
      <c r="AA730" s="907"/>
    </row>
    <row r="731" spans="1:27">
      <c r="A731" s="907"/>
      <c r="B731" s="907"/>
      <c r="C731" s="907"/>
      <c r="D731" s="907"/>
      <c r="E731" s="907"/>
      <c r="F731" s="907"/>
      <c r="G731" s="907"/>
      <c r="H731" s="907"/>
      <c r="I731" s="907"/>
      <c r="J731" s="907"/>
      <c r="K731" s="907"/>
      <c r="L731" s="907"/>
      <c r="M731" s="907"/>
      <c r="N731" s="907"/>
      <c r="O731" s="907"/>
      <c r="P731" s="907"/>
      <c r="Q731" s="907"/>
      <c r="R731" s="907"/>
      <c r="S731" s="907"/>
      <c r="T731" s="907"/>
      <c r="U731" s="907"/>
      <c r="V731" s="907"/>
      <c r="W731" s="907"/>
      <c r="X731" s="907"/>
      <c r="Y731" s="907"/>
      <c r="Z731" s="907"/>
      <c r="AA731" s="907"/>
    </row>
    <row r="732" spans="1:27">
      <c r="A732" s="907"/>
      <c r="B732" s="907"/>
      <c r="C732" s="907"/>
      <c r="D732" s="907"/>
      <c r="E732" s="907"/>
      <c r="F732" s="907"/>
      <c r="G732" s="907"/>
      <c r="H732" s="907"/>
      <c r="I732" s="907"/>
      <c r="J732" s="907"/>
      <c r="K732" s="907"/>
      <c r="L732" s="907"/>
      <c r="M732" s="907"/>
      <c r="N732" s="907"/>
      <c r="O732" s="907"/>
      <c r="P732" s="907"/>
      <c r="Q732" s="907"/>
      <c r="R732" s="907"/>
      <c r="S732" s="907"/>
      <c r="T732" s="907"/>
      <c r="U732" s="907"/>
      <c r="V732" s="907"/>
      <c r="W732" s="907"/>
      <c r="X732" s="907"/>
      <c r="Y732" s="907"/>
      <c r="Z732" s="907"/>
      <c r="AA732" s="907"/>
    </row>
    <row r="733" spans="1:27">
      <c r="A733" s="907"/>
      <c r="B733" s="907"/>
      <c r="C733" s="907"/>
      <c r="D733" s="907"/>
      <c r="E733" s="907"/>
      <c r="F733" s="907"/>
      <c r="G733" s="907"/>
      <c r="H733" s="907"/>
      <c r="I733" s="907"/>
      <c r="J733" s="907"/>
      <c r="K733" s="907"/>
      <c r="L733" s="907"/>
      <c r="M733" s="907"/>
      <c r="N733" s="907"/>
      <c r="O733" s="907"/>
      <c r="P733" s="907"/>
      <c r="Q733" s="907"/>
      <c r="R733" s="907"/>
      <c r="S733" s="907"/>
      <c r="T733" s="907"/>
      <c r="U733" s="907"/>
      <c r="V733" s="907"/>
      <c r="W733" s="907"/>
      <c r="X733" s="907"/>
      <c r="Y733" s="907"/>
      <c r="Z733" s="907"/>
      <c r="AA733" s="907"/>
    </row>
    <row r="734" spans="1:27">
      <c r="A734" s="907"/>
      <c r="B734" s="907"/>
      <c r="C734" s="907"/>
      <c r="D734" s="907"/>
      <c r="E734" s="907"/>
      <c r="F734" s="907"/>
      <c r="G734" s="907"/>
      <c r="H734" s="907"/>
      <c r="I734" s="907"/>
      <c r="J734" s="907"/>
      <c r="K734" s="907"/>
      <c r="L734" s="907"/>
      <c r="M734" s="907"/>
      <c r="N734" s="907"/>
      <c r="O734" s="907"/>
      <c r="P734" s="907"/>
      <c r="Q734" s="907"/>
      <c r="R734" s="907"/>
      <c r="S734" s="907"/>
      <c r="T734" s="907"/>
      <c r="U734" s="907"/>
      <c r="V734" s="907"/>
      <c r="W734" s="907"/>
      <c r="X734" s="907"/>
      <c r="Y734" s="907"/>
      <c r="Z734" s="907"/>
      <c r="AA734" s="907"/>
    </row>
    <row r="735" spans="1:27">
      <c r="A735" s="907"/>
      <c r="B735" s="907"/>
      <c r="C735" s="907"/>
      <c r="D735" s="907"/>
      <c r="E735" s="907"/>
      <c r="F735" s="907"/>
      <c r="G735" s="907"/>
      <c r="H735" s="907"/>
      <c r="I735" s="907"/>
      <c r="J735" s="907"/>
      <c r="K735" s="907"/>
      <c r="L735" s="907"/>
      <c r="M735" s="907"/>
      <c r="N735" s="907"/>
      <c r="O735" s="907"/>
      <c r="P735" s="907"/>
      <c r="Q735" s="907"/>
      <c r="R735" s="907"/>
      <c r="S735" s="907"/>
      <c r="T735" s="907"/>
      <c r="U735" s="907"/>
      <c r="V735" s="907"/>
      <c r="W735" s="907"/>
      <c r="X735" s="907"/>
      <c r="Y735" s="907"/>
      <c r="Z735" s="907"/>
      <c r="AA735" s="907"/>
    </row>
    <row r="736" spans="1:27">
      <c r="A736" s="907"/>
      <c r="B736" s="907"/>
      <c r="C736" s="907"/>
      <c r="D736" s="907"/>
      <c r="E736" s="907"/>
      <c r="F736" s="907"/>
      <c r="G736" s="907"/>
      <c r="H736" s="907"/>
      <c r="I736" s="907"/>
      <c r="J736" s="907"/>
      <c r="K736" s="907"/>
      <c r="L736" s="907"/>
      <c r="M736" s="907"/>
      <c r="N736" s="907"/>
      <c r="O736" s="907"/>
      <c r="P736" s="907"/>
      <c r="Q736" s="907"/>
      <c r="R736" s="907"/>
      <c r="S736" s="907"/>
      <c r="T736" s="907"/>
      <c r="U736" s="907"/>
      <c r="V736" s="907"/>
      <c r="W736" s="907"/>
      <c r="X736" s="907"/>
      <c r="Y736" s="907"/>
      <c r="Z736" s="907"/>
      <c r="AA736" s="907"/>
    </row>
    <row r="737" spans="1:27">
      <c r="A737" s="907"/>
      <c r="B737" s="907"/>
      <c r="C737" s="907"/>
      <c r="D737" s="907"/>
      <c r="E737" s="907"/>
      <c r="F737" s="907"/>
      <c r="G737" s="907"/>
      <c r="H737" s="907"/>
      <c r="I737" s="907"/>
      <c r="J737" s="907"/>
      <c r="K737" s="907"/>
      <c r="L737" s="907"/>
      <c r="M737" s="907"/>
      <c r="N737" s="907"/>
      <c r="O737" s="907"/>
      <c r="P737" s="907"/>
      <c r="Q737" s="907"/>
      <c r="R737" s="907"/>
      <c r="S737" s="907"/>
      <c r="T737" s="907"/>
      <c r="U737" s="907"/>
      <c r="V737" s="907"/>
      <c r="W737" s="907"/>
      <c r="X737" s="907"/>
      <c r="Y737" s="907"/>
      <c r="Z737" s="907"/>
      <c r="AA737" s="907"/>
    </row>
    <row r="738" spans="1:27">
      <c r="A738" s="907"/>
      <c r="B738" s="907"/>
      <c r="C738" s="907"/>
      <c r="D738" s="907"/>
      <c r="E738" s="907"/>
      <c r="F738" s="907"/>
      <c r="G738" s="907"/>
      <c r="H738" s="907"/>
      <c r="I738" s="907"/>
      <c r="J738" s="907"/>
      <c r="K738" s="907"/>
      <c r="L738" s="907"/>
      <c r="M738" s="907"/>
      <c r="N738" s="907"/>
      <c r="O738" s="907"/>
      <c r="P738" s="907"/>
      <c r="Q738" s="907"/>
      <c r="R738" s="907"/>
      <c r="S738" s="907"/>
      <c r="T738" s="907"/>
      <c r="U738" s="907"/>
      <c r="V738" s="907"/>
      <c r="W738" s="907"/>
      <c r="X738" s="907"/>
      <c r="Y738" s="907"/>
      <c r="Z738" s="907"/>
      <c r="AA738" s="907"/>
    </row>
    <row r="739" spans="1:27">
      <c r="A739" s="907"/>
      <c r="B739" s="907"/>
      <c r="C739" s="907"/>
      <c r="D739" s="907"/>
      <c r="E739" s="907"/>
      <c r="F739" s="907"/>
      <c r="G739" s="907"/>
      <c r="H739" s="907"/>
      <c r="I739" s="907"/>
      <c r="J739" s="907"/>
      <c r="K739" s="907"/>
      <c r="L739" s="907"/>
      <c r="M739" s="907"/>
      <c r="N739" s="907"/>
      <c r="O739" s="907"/>
      <c r="P739" s="907"/>
      <c r="Q739" s="907"/>
      <c r="R739" s="907"/>
      <c r="S739" s="907"/>
      <c r="T739" s="907"/>
      <c r="U739" s="907"/>
      <c r="V739" s="907"/>
      <c r="W739" s="907"/>
      <c r="X739" s="907"/>
      <c r="Y739" s="907"/>
      <c r="Z739" s="907"/>
      <c r="AA739" s="907"/>
    </row>
    <row r="740" spans="1:27">
      <c r="A740" s="907"/>
      <c r="B740" s="907"/>
      <c r="C740" s="907"/>
      <c r="D740" s="907"/>
      <c r="E740" s="907"/>
      <c r="F740" s="907"/>
      <c r="G740" s="907"/>
      <c r="H740" s="907"/>
      <c r="I740" s="907"/>
      <c r="J740" s="907"/>
      <c r="K740" s="907"/>
      <c r="L740" s="907"/>
      <c r="M740" s="907"/>
      <c r="N740" s="907"/>
      <c r="O740" s="907"/>
      <c r="P740" s="907"/>
      <c r="Q740" s="907"/>
      <c r="R740" s="907"/>
      <c r="S740" s="907"/>
      <c r="T740" s="907"/>
      <c r="U740" s="907"/>
      <c r="V740" s="907"/>
      <c r="W740" s="907"/>
      <c r="X740" s="907"/>
      <c r="Y740" s="907"/>
      <c r="Z740" s="907"/>
      <c r="AA740" s="907"/>
    </row>
    <row r="741" spans="1:27">
      <c r="A741" s="907"/>
      <c r="B741" s="907"/>
      <c r="C741" s="907"/>
      <c r="D741" s="907"/>
      <c r="E741" s="907"/>
      <c r="F741" s="907"/>
      <c r="G741" s="907"/>
      <c r="H741" s="907"/>
      <c r="I741" s="907"/>
      <c r="J741" s="907"/>
      <c r="K741" s="907"/>
      <c r="L741" s="907"/>
      <c r="M741" s="907"/>
      <c r="N741" s="907"/>
      <c r="O741" s="907"/>
      <c r="P741" s="907"/>
      <c r="Q741" s="907"/>
      <c r="R741" s="907"/>
      <c r="S741" s="907"/>
      <c r="T741" s="907"/>
      <c r="U741" s="907"/>
      <c r="V741" s="907"/>
      <c r="W741" s="907"/>
      <c r="X741" s="907"/>
      <c r="Y741" s="907"/>
      <c r="Z741" s="907"/>
      <c r="AA741" s="907"/>
    </row>
    <row r="742" spans="1:27">
      <c r="A742" s="907"/>
      <c r="B742" s="907"/>
      <c r="C742" s="907"/>
      <c r="D742" s="907"/>
      <c r="E742" s="907"/>
      <c r="F742" s="907"/>
      <c r="G742" s="907"/>
      <c r="H742" s="907"/>
      <c r="I742" s="907"/>
      <c r="J742" s="907"/>
      <c r="K742" s="907"/>
      <c r="L742" s="907"/>
      <c r="M742" s="907"/>
      <c r="N742" s="907"/>
      <c r="O742" s="907"/>
      <c r="P742" s="907"/>
      <c r="Q742" s="907"/>
      <c r="R742" s="907"/>
      <c r="S742" s="907"/>
      <c r="T742" s="907"/>
      <c r="U742" s="907"/>
      <c r="V742" s="907"/>
      <c r="W742" s="907"/>
      <c r="X742" s="907"/>
      <c r="Y742" s="907"/>
      <c r="Z742" s="907"/>
      <c r="AA742" s="907"/>
    </row>
    <row r="743" spans="1:27">
      <c r="A743" s="907"/>
      <c r="B743" s="907"/>
      <c r="C743" s="907"/>
      <c r="D743" s="907"/>
      <c r="E743" s="907"/>
      <c r="F743" s="907"/>
      <c r="G743" s="907"/>
      <c r="H743" s="907"/>
      <c r="I743" s="907"/>
      <c r="J743" s="907"/>
      <c r="K743" s="907"/>
      <c r="L743" s="907"/>
      <c r="M743" s="907"/>
      <c r="N743" s="907"/>
      <c r="O743" s="907"/>
      <c r="P743" s="907"/>
      <c r="Q743" s="907"/>
      <c r="R743" s="907"/>
      <c r="S743" s="907"/>
      <c r="T743" s="907"/>
      <c r="U743" s="907"/>
      <c r="V743" s="907"/>
      <c r="W743" s="907"/>
      <c r="X743" s="907"/>
      <c r="Y743" s="907"/>
      <c r="Z743" s="907"/>
      <c r="AA743" s="907"/>
    </row>
    <row r="744" spans="1:27">
      <c r="A744" s="907"/>
      <c r="B744" s="907"/>
      <c r="C744" s="907"/>
      <c r="D744" s="907"/>
      <c r="E744" s="907"/>
      <c r="F744" s="907"/>
      <c r="G744" s="907"/>
      <c r="H744" s="907"/>
      <c r="I744" s="907"/>
      <c r="J744" s="907"/>
      <c r="K744" s="907"/>
      <c r="L744" s="907"/>
      <c r="M744" s="907"/>
      <c r="N744" s="907"/>
      <c r="O744" s="907"/>
      <c r="P744" s="907"/>
      <c r="Q744" s="907"/>
      <c r="R744" s="907"/>
      <c r="S744" s="907"/>
      <c r="T744" s="907"/>
      <c r="U744" s="907"/>
      <c r="V744" s="907"/>
      <c r="W744" s="907"/>
      <c r="X744" s="907"/>
      <c r="Y744" s="907"/>
      <c r="Z744" s="907"/>
      <c r="AA744" s="907"/>
    </row>
    <row r="745" spans="1:27">
      <c r="A745" s="907"/>
      <c r="B745" s="907"/>
      <c r="C745" s="907"/>
      <c r="D745" s="907"/>
      <c r="E745" s="907"/>
      <c r="F745" s="907"/>
      <c r="G745" s="907"/>
      <c r="H745" s="907"/>
      <c r="I745" s="907"/>
      <c r="J745" s="907"/>
      <c r="K745" s="907"/>
      <c r="L745" s="907"/>
      <c r="M745" s="907"/>
      <c r="N745" s="907"/>
      <c r="O745" s="907"/>
      <c r="P745" s="907"/>
      <c r="Q745" s="907"/>
      <c r="R745" s="907"/>
      <c r="S745" s="907"/>
      <c r="T745" s="907"/>
      <c r="U745" s="907"/>
      <c r="V745" s="907"/>
      <c r="W745" s="907"/>
      <c r="X745" s="907"/>
      <c r="Y745" s="907"/>
      <c r="Z745" s="907"/>
      <c r="AA745" s="907"/>
    </row>
    <row r="746" spans="1:27">
      <c r="A746" s="907"/>
      <c r="B746" s="907"/>
      <c r="C746" s="907"/>
      <c r="D746" s="907"/>
      <c r="E746" s="907"/>
      <c r="F746" s="907"/>
      <c r="G746" s="907"/>
      <c r="H746" s="907"/>
      <c r="I746" s="907"/>
      <c r="J746" s="907"/>
      <c r="K746" s="907"/>
      <c r="L746" s="907"/>
      <c r="M746" s="907"/>
      <c r="N746" s="907"/>
      <c r="O746" s="907"/>
      <c r="P746" s="907"/>
      <c r="Q746" s="907"/>
      <c r="R746" s="907"/>
      <c r="S746" s="907"/>
      <c r="T746" s="907"/>
      <c r="U746" s="907"/>
      <c r="V746" s="907"/>
      <c r="W746" s="907"/>
      <c r="X746" s="907"/>
      <c r="Y746" s="907"/>
      <c r="Z746" s="907"/>
      <c r="AA746" s="907"/>
    </row>
    <row r="747" spans="1:27">
      <c r="A747" s="907"/>
      <c r="B747" s="907"/>
      <c r="C747" s="907"/>
      <c r="D747" s="907"/>
      <c r="E747" s="907"/>
      <c r="F747" s="907"/>
      <c r="G747" s="907"/>
      <c r="H747" s="907"/>
      <c r="I747" s="907"/>
      <c r="J747" s="907"/>
      <c r="K747" s="907"/>
      <c r="L747" s="907"/>
      <c r="M747" s="907"/>
      <c r="N747" s="907"/>
      <c r="O747" s="907"/>
      <c r="P747" s="907"/>
      <c r="Q747" s="907"/>
      <c r="R747" s="907"/>
      <c r="S747" s="907"/>
      <c r="T747" s="907"/>
      <c r="U747" s="907"/>
      <c r="V747" s="907"/>
      <c r="W747" s="907"/>
      <c r="X747" s="907"/>
      <c r="Y747" s="907"/>
      <c r="Z747" s="907"/>
      <c r="AA747" s="907"/>
    </row>
    <row r="748" spans="1:27">
      <c r="A748" s="907"/>
      <c r="B748" s="907"/>
      <c r="C748" s="907"/>
      <c r="D748" s="907"/>
      <c r="E748" s="907"/>
      <c r="F748" s="907"/>
      <c r="G748" s="907"/>
      <c r="H748" s="907"/>
      <c r="I748" s="907"/>
      <c r="J748" s="907"/>
      <c r="K748" s="907"/>
      <c r="L748" s="907"/>
      <c r="M748" s="907"/>
      <c r="N748" s="907"/>
      <c r="O748" s="907"/>
      <c r="P748" s="907"/>
      <c r="Q748" s="907"/>
      <c r="R748" s="907"/>
      <c r="S748" s="907"/>
      <c r="T748" s="907"/>
      <c r="U748" s="907"/>
      <c r="V748" s="907"/>
      <c r="W748" s="907"/>
      <c r="X748" s="907"/>
      <c r="Y748" s="907"/>
      <c r="Z748" s="907"/>
      <c r="AA748" s="907"/>
    </row>
    <row r="749" spans="1:27">
      <c r="A749" s="907"/>
      <c r="B749" s="907"/>
      <c r="C749" s="907"/>
      <c r="D749" s="907"/>
      <c r="E749" s="907"/>
      <c r="F749" s="907"/>
      <c r="G749" s="907"/>
      <c r="H749" s="907"/>
      <c r="I749" s="907"/>
      <c r="J749" s="907"/>
      <c r="K749" s="907"/>
      <c r="L749" s="907"/>
      <c r="M749" s="907"/>
      <c r="N749" s="907"/>
      <c r="O749" s="907"/>
      <c r="P749" s="907"/>
      <c r="Q749" s="907"/>
      <c r="R749" s="907"/>
      <c r="S749" s="907"/>
      <c r="T749" s="907"/>
      <c r="U749" s="907"/>
      <c r="V749" s="907"/>
      <c r="W749" s="907"/>
      <c r="X749" s="907"/>
      <c r="Y749" s="907"/>
      <c r="Z749" s="907"/>
      <c r="AA749" s="907"/>
    </row>
    <row r="750" spans="1:27">
      <c r="A750" s="907"/>
      <c r="B750" s="907"/>
      <c r="C750" s="907"/>
      <c r="D750" s="907"/>
      <c r="E750" s="907"/>
      <c r="F750" s="907"/>
      <c r="G750" s="907"/>
      <c r="H750" s="907"/>
      <c r="I750" s="907"/>
      <c r="J750" s="907"/>
      <c r="K750" s="907"/>
      <c r="L750" s="907"/>
      <c r="M750" s="907"/>
      <c r="N750" s="907"/>
      <c r="O750" s="907"/>
      <c r="P750" s="907"/>
      <c r="Q750" s="907"/>
      <c r="R750" s="907"/>
      <c r="S750" s="907"/>
      <c r="T750" s="907"/>
      <c r="U750" s="907"/>
      <c r="V750" s="907"/>
      <c r="W750" s="907"/>
      <c r="X750" s="907"/>
      <c r="Y750" s="907"/>
      <c r="Z750" s="907"/>
      <c r="AA750" s="907"/>
    </row>
    <row r="751" spans="1:27">
      <c r="A751" s="907"/>
      <c r="B751" s="907"/>
      <c r="C751" s="907"/>
      <c r="D751" s="907"/>
      <c r="E751" s="907"/>
      <c r="F751" s="907"/>
      <c r="G751" s="907"/>
      <c r="H751" s="907"/>
      <c r="I751" s="907"/>
      <c r="J751" s="907"/>
      <c r="K751" s="907"/>
      <c r="L751" s="907"/>
      <c r="M751" s="907"/>
      <c r="N751" s="907"/>
      <c r="O751" s="907"/>
      <c r="P751" s="907"/>
      <c r="Q751" s="907"/>
      <c r="R751" s="907"/>
      <c r="S751" s="907"/>
      <c r="T751" s="907"/>
      <c r="U751" s="907"/>
      <c r="V751" s="907"/>
      <c r="W751" s="907"/>
      <c r="X751" s="907"/>
      <c r="Y751" s="907"/>
      <c r="Z751" s="907"/>
      <c r="AA751" s="907"/>
    </row>
    <row r="752" spans="1:27">
      <c r="A752" s="907"/>
      <c r="B752" s="907"/>
      <c r="C752" s="907"/>
      <c r="D752" s="907"/>
      <c r="E752" s="907"/>
      <c r="F752" s="907"/>
      <c r="G752" s="907"/>
      <c r="H752" s="907"/>
      <c r="I752" s="907"/>
      <c r="J752" s="907"/>
      <c r="K752" s="907"/>
      <c r="L752" s="907"/>
      <c r="M752" s="907"/>
      <c r="N752" s="907"/>
      <c r="O752" s="907"/>
      <c r="P752" s="907"/>
      <c r="Q752" s="907"/>
      <c r="R752" s="907"/>
      <c r="S752" s="907"/>
      <c r="T752" s="907"/>
      <c r="U752" s="907"/>
      <c r="V752" s="907"/>
      <c r="W752" s="907"/>
      <c r="X752" s="907"/>
      <c r="Y752" s="907"/>
      <c r="Z752" s="907"/>
      <c r="AA752" s="907"/>
    </row>
    <row r="753" spans="1:27">
      <c r="A753" s="907"/>
      <c r="B753" s="907"/>
      <c r="C753" s="907"/>
      <c r="D753" s="907"/>
      <c r="E753" s="907"/>
      <c r="F753" s="907"/>
      <c r="G753" s="907"/>
      <c r="H753" s="907"/>
      <c r="I753" s="907"/>
      <c r="J753" s="907"/>
      <c r="K753" s="907"/>
      <c r="L753" s="907"/>
      <c r="M753" s="907"/>
      <c r="N753" s="907"/>
      <c r="O753" s="907"/>
      <c r="P753" s="907"/>
      <c r="Q753" s="907"/>
      <c r="R753" s="907"/>
      <c r="S753" s="907"/>
      <c r="T753" s="907"/>
      <c r="U753" s="907"/>
      <c r="V753" s="907"/>
      <c r="W753" s="907"/>
      <c r="X753" s="907"/>
      <c r="Y753" s="907"/>
      <c r="Z753" s="907"/>
      <c r="AA753" s="907"/>
    </row>
    <row r="754" spans="1:27">
      <c r="A754" s="907"/>
      <c r="B754" s="907"/>
      <c r="C754" s="907"/>
      <c r="D754" s="907"/>
      <c r="E754" s="907"/>
      <c r="F754" s="907"/>
      <c r="G754" s="907"/>
      <c r="H754" s="907"/>
      <c r="I754" s="907"/>
      <c r="J754" s="907"/>
      <c r="K754" s="907"/>
      <c r="L754" s="907"/>
      <c r="M754" s="907"/>
      <c r="N754" s="907"/>
      <c r="O754" s="907"/>
      <c r="P754" s="907"/>
      <c r="Q754" s="907"/>
      <c r="R754" s="907"/>
      <c r="S754" s="907"/>
      <c r="T754" s="907"/>
      <c r="U754" s="907"/>
      <c r="V754" s="907"/>
      <c r="W754" s="907"/>
      <c r="X754" s="907"/>
      <c r="Y754" s="907"/>
      <c r="Z754" s="907"/>
      <c r="AA754" s="907"/>
    </row>
    <row r="755" spans="1:27">
      <c r="A755" s="907"/>
      <c r="B755" s="907"/>
      <c r="C755" s="907"/>
      <c r="D755" s="907"/>
      <c r="E755" s="907"/>
      <c r="F755" s="907"/>
      <c r="G755" s="907"/>
      <c r="H755" s="907"/>
      <c r="I755" s="907"/>
      <c r="J755" s="907"/>
      <c r="K755" s="907"/>
      <c r="L755" s="907"/>
      <c r="M755" s="907"/>
      <c r="N755" s="907"/>
      <c r="O755" s="907"/>
      <c r="P755" s="907"/>
      <c r="Q755" s="907"/>
      <c r="R755" s="907"/>
      <c r="S755" s="907"/>
      <c r="T755" s="907"/>
      <c r="U755" s="907"/>
      <c r="V755" s="907"/>
      <c r="W755" s="907"/>
      <c r="X755" s="907"/>
      <c r="Y755" s="907"/>
      <c r="Z755" s="907"/>
      <c r="AA755" s="907"/>
    </row>
    <row r="756" spans="1:27">
      <c r="A756" s="907"/>
      <c r="B756" s="907"/>
      <c r="C756" s="907"/>
      <c r="D756" s="907"/>
      <c r="E756" s="907"/>
      <c r="F756" s="907"/>
      <c r="G756" s="907"/>
      <c r="H756" s="907"/>
      <c r="I756" s="907"/>
      <c r="J756" s="907"/>
      <c r="K756" s="907"/>
      <c r="L756" s="907"/>
      <c r="M756" s="907"/>
      <c r="N756" s="907"/>
      <c r="O756" s="907"/>
      <c r="P756" s="907"/>
      <c r="Q756" s="907"/>
      <c r="R756" s="907"/>
      <c r="S756" s="907"/>
      <c r="T756" s="907"/>
      <c r="U756" s="907"/>
      <c r="V756" s="907"/>
      <c r="W756" s="907"/>
      <c r="X756" s="907"/>
      <c r="Y756" s="907"/>
      <c r="Z756" s="907"/>
      <c r="AA756" s="907"/>
    </row>
    <row r="757" spans="1:27">
      <c r="A757" s="907"/>
      <c r="B757" s="907"/>
      <c r="C757" s="907"/>
      <c r="D757" s="907"/>
      <c r="E757" s="907"/>
      <c r="F757" s="907"/>
      <c r="G757" s="907"/>
      <c r="H757" s="907"/>
      <c r="I757" s="907"/>
      <c r="J757" s="907"/>
      <c r="K757" s="907"/>
      <c r="L757" s="907"/>
      <c r="M757" s="907"/>
      <c r="N757" s="907"/>
      <c r="O757" s="907"/>
      <c r="P757" s="907"/>
      <c r="Q757" s="907"/>
      <c r="R757" s="907"/>
      <c r="S757" s="907"/>
      <c r="T757" s="907"/>
      <c r="U757" s="907"/>
      <c r="V757" s="907"/>
      <c r="W757" s="907"/>
      <c r="X757" s="907"/>
      <c r="Y757" s="907"/>
      <c r="Z757" s="907"/>
      <c r="AA757" s="907"/>
    </row>
    <row r="758" spans="1:27">
      <c r="A758" s="907"/>
      <c r="B758" s="907"/>
      <c r="C758" s="907"/>
      <c r="D758" s="907"/>
      <c r="E758" s="907"/>
      <c r="F758" s="907"/>
      <c r="G758" s="907"/>
      <c r="H758" s="907"/>
      <c r="I758" s="907"/>
      <c r="J758" s="907"/>
      <c r="K758" s="907"/>
      <c r="L758" s="907"/>
      <c r="M758" s="907"/>
      <c r="N758" s="907"/>
      <c r="O758" s="907"/>
      <c r="P758" s="907"/>
      <c r="Q758" s="907"/>
      <c r="R758" s="907"/>
      <c r="S758" s="907"/>
      <c r="T758" s="907"/>
      <c r="U758" s="907"/>
      <c r="V758" s="907"/>
      <c r="W758" s="907"/>
      <c r="X758" s="907"/>
      <c r="Y758" s="907"/>
      <c r="Z758" s="907"/>
      <c r="AA758" s="907"/>
    </row>
    <row r="759" spans="1:27">
      <c r="A759" s="907"/>
      <c r="B759" s="907"/>
      <c r="C759" s="907"/>
      <c r="D759" s="907"/>
      <c r="E759" s="907"/>
      <c r="F759" s="907"/>
      <c r="G759" s="907"/>
      <c r="H759" s="907"/>
      <c r="I759" s="907"/>
      <c r="J759" s="907"/>
      <c r="K759" s="907"/>
      <c r="L759" s="907"/>
      <c r="M759" s="907"/>
      <c r="N759" s="907"/>
      <c r="O759" s="907"/>
      <c r="P759" s="907"/>
      <c r="Q759" s="907"/>
      <c r="R759" s="907"/>
      <c r="S759" s="907"/>
      <c r="T759" s="907"/>
      <c r="U759" s="907"/>
      <c r="V759" s="907"/>
      <c r="W759" s="907"/>
      <c r="X759" s="907"/>
      <c r="Y759" s="907"/>
      <c r="Z759" s="907"/>
      <c r="AA759" s="907"/>
    </row>
    <row r="760" spans="1:27">
      <c r="A760" s="907"/>
      <c r="B760" s="907"/>
      <c r="C760" s="907"/>
      <c r="D760" s="907"/>
      <c r="E760" s="907"/>
      <c r="F760" s="907"/>
      <c r="G760" s="907"/>
      <c r="H760" s="907"/>
      <c r="I760" s="907"/>
      <c r="J760" s="907"/>
      <c r="K760" s="907"/>
      <c r="L760" s="907"/>
      <c r="M760" s="907"/>
      <c r="N760" s="907"/>
      <c r="O760" s="907"/>
      <c r="P760" s="907"/>
      <c r="Q760" s="907"/>
      <c r="R760" s="907"/>
      <c r="S760" s="907"/>
      <c r="T760" s="907"/>
      <c r="U760" s="907"/>
      <c r="V760" s="907"/>
      <c r="W760" s="907"/>
      <c r="X760" s="907"/>
      <c r="Y760" s="907"/>
      <c r="Z760" s="907"/>
      <c r="AA760" s="907"/>
    </row>
    <row r="761" spans="1:27">
      <c r="A761" s="907"/>
      <c r="B761" s="907"/>
      <c r="C761" s="907"/>
      <c r="D761" s="907"/>
      <c r="E761" s="907"/>
      <c r="F761" s="907"/>
      <c r="G761" s="907"/>
      <c r="H761" s="907"/>
      <c r="I761" s="907"/>
      <c r="J761" s="907"/>
      <c r="K761" s="907"/>
      <c r="L761" s="907"/>
      <c r="M761" s="907"/>
      <c r="N761" s="907"/>
      <c r="O761" s="907"/>
      <c r="P761" s="907"/>
      <c r="Q761" s="907"/>
      <c r="R761" s="907"/>
      <c r="S761" s="907"/>
      <c r="T761" s="907"/>
      <c r="U761" s="907"/>
      <c r="V761" s="907"/>
      <c r="W761" s="907"/>
      <c r="X761" s="907"/>
      <c r="Y761" s="907"/>
      <c r="Z761" s="907"/>
      <c r="AA761" s="907"/>
    </row>
    <row r="762" spans="1:27">
      <c r="A762" s="907"/>
      <c r="B762" s="907"/>
      <c r="C762" s="907"/>
      <c r="D762" s="907"/>
      <c r="E762" s="907"/>
      <c r="F762" s="907"/>
      <c r="G762" s="907"/>
      <c r="H762" s="907"/>
      <c r="I762" s="907"/>
      <c r="J762" s="907"/>
      <c r="K762" s="907"/>
      <c r="L762" s="907"/>
      <c r="M762" s="907"/>
      <c r="N762" s="907"/>
      <c r="O762" s="907"/>
      <c r="P762" s="907"/>
      <c r="Q762" s="907"/>
      <c r="R762" s="907"/>
      <c r="S762" s="907"/>
      <c r="T762" s="907"/>
      <c r="U762" s="907"/>
      <c r="V762" s="907"/>
      <c r="W762" s="907"/>
      <c r="X762" s="907"/>
      <c r="Y762" s="907"/>
      <c r="Z762" s="907"/>
      <c r="AA762" s="907"/>
    </row>
    <row r="763" spans="1:27">
      <c r="A763" s="907"/>
      <c r="B763" s="907"/>
      <c r="C763" s="907"/>
      <c r="D763" s="907"/>
      <c r="E763" s="907"/>
      <c r="F763" s="907"/>
      <c r="G763" s="907"/>
      <c r="H763" s="907"/>
      <c r="I763" s="907"/>
      <c r="J763" s="907"/>
      <c r="K763" s="907"/>
      <c r="L763" s="907"/>
      <c r="M763" s="907"/>
      <c r="N763" s="907"/>
      <c r="O763" s="907"/>
      <c r="P763" s="907"/>
      <c r="Q763" s="907"/>
      <c r="R763" s="907"/>
      <c r="S763" s="907"/>
      <c r="T763" s="907"/>
      <c r="U763" s="907"/>
      <c r="V763" s="907"/>
      <c r="W763" s="907"/>
      <c r="X763" s="907"/>
      <c r="Y763" s="907"/>
      <c r="Z763" s="907"/>
      <c r="AA763" s="907"/>
    </row>
    <row r="764" spans="1:27">
      <c r="A764" s="907"/>
      <c r="B764" s="907"/>
      <c r="C764" s="907"/>
      <c r="D764" s="907"/>
      <c r="E764" s="907"/>
      <c r="F764" s="907"/>
      <c r="G764" s="907"/>
      <c r="H764" s="907"/>
      <c r="I764" s="907"/>
      <c r="J764" s="907"/>
      <c r="K764" s="907"/>
      <c r="L764" s="907"/>
      <c r="M764" s="907"/>
      <c r="N764" s="907"/>
      <c r="O764" s="907"/>
      <c r="P764" s="907"/>
      <c r="Q764" s="907"/>
      <c r="R764" s="907"/>
      <c r="S764" s="907"/>
      <c r="T764" s="907"/>
      <c r="U764" s="907"/>
      <c r="V764" s="907"/>
      <c r="W764" s="907"/>
      <c r="X764" s="907"/>
      <c r="Y764" s="907"/>
      <c r="Z764" s="907"/>
      <c r="AA764" s="907"/>
    </row>
    <row r="765" spans="1:27">
      <c r="A765" s="907"/>
      <c r="B765" s="907"/>
      <c r="C765" s="907"/>
      <c r="D765" s="907"/>
      <c r="E765" s="907"/>
      <c r="F765" s="907"/>
      <c r="G765" s="907"/>
      <c r="H765" s="907"/>
      <c r="I765" s="907"/>
      <c r="J765" s="907"/>
      <c r="K765" s="907"/>
      <c r="L765" s="907"/>
      <c r="M765" s="907"/>
      <c r="N765" s="907"/>
      <c r="O765" s="907"/>
      <c r="P765" s="907"/>
      <c r="Q765" s="907"/>
      <c r="R765" s="907"/>
      <c r="S765" s="907"/>
      <c r="T765" s="907"/>
      <c r="U765" s="907"/>
      <c r="V765" s="907"/>
      <c r="W765" s="907"/>
      <c r="X765" s="907"/>
      <c r="Y765" s="907"/>
      <c r="Z765" s="907"/>
      <c r="AA765" s="907"/>
    </row>
    <row r="766" spans="1:27">
      <c r="A766" s="907"/>
      <c r="B766" s="907"/>
      <c r="C766" s="907"/>
      <c r="D766" s="907"/>
      <c r="E766" s="907"/>
      <c r="F766" s="907"/>
      <c r="G766" s="907"/>
      <c r="H766" s="907"/>
      <c r="I766" s="907"/>
      <c r="J766" s="907"/>
      <c r="K766" s="907"/>
      <c r="L766" s="907"/>
      <c r="M766" s="907"/>
      <c r="N766" s="907"/>
      <c r="O766" s="907"/>
      <c r="P766" s="907"/>
      <c r="Q766" s="907"/>
      <c r="R766" s="907"/>
      <c r="S766" s="907"/>
      <c r="T766" s="907"/>
      <c r="U766" s="907"/>
      <c r="V766" s="907"/>
      <c r="W766" s="907"/>
      <c r="X766" s="907"/>
      <c r="Y766" s="907"/>
      <c r="Z766" s="907"/>
      <c r="AA766" s="907"/>
    </row>
    <row r="767" spans="1:27">
      <c r="A767" s="907"/>
      <c r="B767" s="907"/>
      <c r="C767" s="907"/>
      <c r="D767" s="907"/>
      <c r="E767" s="907"/>
      <c r="F767" s="907"/>
      <c r="G767" s="907"/>
      <c r="H767" s="907"/>
      <c r="I767" s="907"/>
      <c r="J767" s="907"/>
      <c r="K767" s="907"/>
      <c r="L767" s="907"/>
      <c r="M767" s="907"/>
      <c r="N767" s="907"/>
      <c r="O767" s="907"/>
      <c r="P767" s="907"/>
      <c r="Q767" s="907"/>
      <c r="R767" s="907"/>
      <c r="S767" s="907"/>
      <c r="T767" s="907"/>
      <c r="U767" s="907"/>
      <c r="V767" s="907"/>
      <c r="W767" s="907"/>
      <c r="X767" s="907"/>
      <c r="Y767" s="907"/>
      <c r="Z767" s="907"/>
      <c r="AA767" s="907"/>
    </row>
    <row r="768" spans="1:27">
      <c r="A768" s="907"/>
      <c r="B768" s="907"/>
      <c r="C768" s="907"/>
      <c r="D768" s="907"/>
      <c r="E768" s="907"/>
      <c r="F768" s="907"/>
      <c r="G768" s="907"/>
      <c r="H768" s="907"/>
      <c r="I768" s="907"/>
      <c r="J768" s="907"/>
      <c r="K768" s="907"/>
      <c r="L768" s="907"/>
      <c r="M768" s="907"/>
      <c r="N768" s="907"/>
      <c r="O768" s="907"/>
      <c r="P768" s="907"/>
      <c r="Q768" s="907"/>
      <c r="R768" s="907"/>
      <c r="S768" s="907"/>
      <c r="T768" s="907"/>
      <c r="U768" s="907"/>
      <c r="V768" s="907"/>
      <c r="W768" s="907"/>
      <c r="X768" s="907"/>
      <c r="Y768" s="907"/>
      <c r="Z768" s="907"/>
      <c r="AA768" s="907"/>
    </row>
    <row r="769" spans="1:27">
      <c r="A769" s="907"/>
      <c r="B769" s="907"/>
      <c r="C769" s="907"/>
      <c r="D769" s="907"/>
      <c r="E769" s="907"/>
      <c r="F769" s="907"/>
      <c r="G769" s="907"/>
      <c r="H769" s="907"/>
      <c r="I769" s="907"/>
      <c r="J769" s="907"/>
      <c r="K769" s="907"/>
      <c r="L769" s="907"/>
      <c r="M769" s="907"/>
      <c r="N769" s="907"/>
      <c r="O769" s="907"/>
      <c r="P769" s="907"/>
      <c r="Q769" s="907"/>
      <c r="R769" s="907"/>
      <c r="S769" s="907"/>
      <c r="T769" s="907"/>
      <c r="U769" s="907"/>
      <c r="V769" s="907"/>
      <c r="W769" s="907"/>
      <c r="X769" s="907"/>
      <c r="Y769" s="907"/>
      <c r="Z769" s="907"/>
      <c r="AA769" s="907"/>
    </row>
    <row r="770" spans="1:27">
      <c r="A770" s="907"/>
      <c r="B770" s="907"/>
      <c r="C770" s="907"/>
      <c r="D770" s="907"/>
      <c r="E770" s="907"/>
      <c r="F770" s="907"/>
      <c r="G770" s="907"/>
      <c r="H770" s="907"/>
      <c r="I770" s="907"/>
      <c r="J770" s="907"/>
      <c r="K770" s="907"/>
      <c r="L770" s="907"/>
      <c r="M770" s="907"/>
      <c r="N770" s="907"/>
      <c r="O770" s="907"/>
      <c r="P770" s="907"/>
      <c r="Q770" s="907"/>
      <c r="R770" s="907"/>
      <c r="S770" s="907"/>
      <c r="T770" s="907"/>
      <c r="U770" s="907"/>
      <c r="V770" s="907"/>
      <c r="W770" s="907"/>
      <c r="X770" s="907"/>
      <c r="Y770" s="907"/>
      <c r="Z770" s="907"/>
      <c r="AA770" s="907"/>
    </row>
    <row r="771" spans="1:27">
      <c r="A771" s="907"/>
      <c r="B771" s="907"/>
      <c r="C771" s="907"/>
      <c r="D771" s="907"/>
      <c r="E771" s="907"/>
      <c r="F771" s="907"/>
      <c r="G771" s="907"/>
      <c r="H771" s="907"/>
      <c r="I771" s="907"/>
      <c r="J771" s="907"/>
      <c r="K771" s="907"/>
      <c r="L771" s="907"/>
      <c r="M771" s="907"/>
      <c r="N771" s="907"/>
      <c r="O771" s="907"/>
      <c r="P771" s="907"/>
      <c r="Q771" s="907"/>
      <c r="R771" s="907"/>
      <c r="S771" s="907"/>
      <c r="T771" s="907"/>
      <c r="U771" s="907"/>
      <c r="V771" s="907"/>
      <c r="W771" s="907"/>
      <c r="X771" s="907"/>
      <c r="Y771" s="907"/>
      <c r="Z771" s="907"/>
      <c r="AA771" s="907"/>
    </row>
    <row r="772" spans="1:27">
      <c r="A772" s="907"/>
      <c r="B772" s="907"/>
      <c r="C772" s="907"/>
      <c r="D772" s="907"/>
      <c r="E772" s="907"/>
      <c r="F772" s="907"/>
      <c r="G772" s="907"/>
      <c r="H772" s="907"/>
      <c r="I772" s="907"/>
      <c r="J772" s="907"/>
      <c r="K772" s="907"/>
      <c r="L772" s="907"/>
      <c r="M772" s="907"/>
      <c r="N772" s="907"/>
      <c r="O772" s="907"/>
      <c r="P772" s="907"/>
      <c r="Q772" s="907"/>
      <c r="R772" s="907"/>
      <c r="S772" s="907"/>
      <c r="T772" s="907"/>
      <c r="U772" s="907"/>
      <c r="V772" s="907"/>
      <c r="W772" s="907"/>
      <c r="X772" s="907"/>
      <c r="Y772" s="907"/>
      <c r="Z772" s="907"/>
      <c r="AA772" s="907"/>
    </row>
    <row r="773" spans="1:27">
      <c r="A773" s="907"/>
      <c r="B773" s="907"/>
      <c r="C773" s="907"/>
      <c r="D773" s="907"/>
      <c r="E773" s="907"/>
      <c r="F773" s="907"/>
      <c r="G773" s="907"/>
      <c r="H773" s="907"/>
      <c r="I773" s="907"/>
      <c r="J773" s="907"/>
      <c r="K773" s="907"/>
      <c r="L773" s="907"/>
      <c r="M773" s="907"/>
      <c r="N773" s="907"/>
      <c r="O773" s="907"/>
      <c r="P773" s="907"/>
      <c r="Q773" s="907"/>
      <c r="R773" s="907"/>
      <c r="S773" s="907"/>
      <c r="T773" s="907"/>
      <c r="U773" s="907"/>
      <c r="V773" s="907"/>
      <c r="W773" s="907"/>
      <c r="X773" s="907"/>
      <c r="Y773" s="907"/>
      <c r="Z773" s="907"/>
      <c r="AA773" s="907"/>
    </row>
    <row r="774" spans="1:27">
      <c r="A774" s="907"/>
      <c r="B774" s="907"/>
      <c r="C774" s="907"/>
      <c r="D774" s="907"/>
      <c r="E774" s="907"/>
      <c r="F774" s="907"/>
      <c r="G774" s="907"/>
      <c r="H774" s="907"/>
      <c r="I774" s="907"/>
      <c r="J774" s="907"/>
      <c r="K774" s="907"/>
      <c r="L774" s="907"/>
      <c r="M774" s="907"/>
      <c r="N774" s="907"/>
      <c r="O774" s="907"/>
      <c r="P774" s="907"/>
      <c r="Q774" s="907"/>
      <c r="R774" s="907"/>
      <c r="S774" s="907"/>
      <c r="T774" s="907"/>
      <c r="U774" s="907"/>
      <c r="V774" s="907"/>
      <c r="W774" s="907"/>
      <c r="X774" s="907"/>
      <c r="Y774" s="907"/>
      <c r="Z774" s="907"/>
      <c r="AA774" s="907"/>
    </row>
    <row r="775" spans="1:27">
      <c r="A775" s="907"/>
      <c r="B775" s="907"/>
      <c r="C775" s="907"/>
      <c r="D775" s="907"/>
      <c r="E775" s="907"/>
      <c r="F775" s="907"/>
      <c r="G775" s="907"/>
      <c r="H775" s="907"/>
      <c r="I775" s="907"/>
      <c r="J775" s="907"/>
      <c r="K775" s="907"/>
      <c r="L775" s="907"/>
      <c r="M775" s="907"/>
      <c r="N775" s="907"/>
      <c r="O775" s="907"/>
      <c r="P775" s="907"/>
      <c r="Q775" s="907"/>
      <c r="R775" s="907"/>
      <c r="S775" s="907"/>
      <c r="T775" s="907"/>
      <c r="U775" s="907"/>
      <c r="V775" s="907"/>
      <c r="W775" s="907"/>
      <c r="X775" s="907"/>
      <c r="Y775" s="907"/>
      <c r="Z775" s="907"/>
      <c r="AA775" s="907"/>
    </row>
    <row r="776" spans="1:27">
      <c r="A776" s="907"/>
      <c r="B776" s="907"/>
      <c r="C776" s="907"/>
      <c r="D776" s="907"/>
      <c r="E776" s="907"/>
      <c r="F776" s="907"/>
      <c r="G776" s="907"/>
      <c r="H776" s="907"/>
      <c r="I776" s="907"/>
      <c r="J776" s="907"/>
      <c r="K776" s="907"/>
      <c r="L776" s="907"/>
      <c r="M776" s="907"/>
      <c r="N776" s="907"/>
      <c r="O776" s="907"/>
      <c r="P776" s="907"/>
      <c r="Q776" s="907"/>
      <c r="R776" s="907"/>
      <c r="S776" s="907"/>
      <c r="T776" s="907"/>
      <c r="U776" s="907"/>
      <c r="V776" s="907"/>
      <c r="W776" s="907"/>
      <c r="X776" s="907"/>
      <c r="Y776" s="907"/>
      <c r="Z776" s="907"/>
      <c r="AA776" s="907"/>
    </row>
    <row r="777" spans="1:27">
      <c r="A777" s="907"/>
      <c r="B777" s="907"/>
      <c r="C777" s="907"/>
      <c r="D777" s="907"/>
      <c r="E777" s="907"/>
      <c r="F777" s="907"/>
      <c r="G777" s="907"/>
      <c r="H777" s="907"/>
      <c r="I777" s="907"/>
      <c r="J777" s="907"/>
      <c r="K777" s="907"/>
      <c r="L777" s="907"/>
      <c r="M777" s="907"/>
      <c r="N777" s="907"/>
      <c r="O777" s="907"/>
      <c r="P777" s="907"/>
      <c r="Q777" s="907"/>
      <c r="R777" s="907"/>
      <c r="S777" s="907"/>
      <c r="T777" s="907"/>
      <c r="U777" s="907"/>
      <c r="V777" s="907"/>
      <c r="W777" s="907"/>
      <c r="X777" s="907"/>
      <c r="Y777" s="907"/>
      <c r="Z777" s="907"/>
      <c r="AA777" s="907"/>
    </row>
    <row r="778" spans="1:27">
      <c r="A778" s="907"/>
      <c r="B778" s="907"/>
      <c r="C778" s="907"/>
      <c r="D778" s="907"/>
      <c r="E778" s="907"/>
      <c r="F778" s="907"/>
      <c r="G778" s="907"/>
      <c r="H778" s="907"/>
      <c r="I778" s="907"/>
      <c r="J778" s="907"/>
      <c r="K778" s="907"/>
      <c r="L778" s="907"/>
      <c r="M778" s="907"/>
      <c r="N778" s="907"/>
      <c r="O778" s="907"/>
      <c r="P778" s="907"/>
      <c r="Q778" s="907"/>
      <c r="R778" s="907"/>
      <c r="S778" s="907"/>
      <c r="T778" s="907"/>
      <c r="U778" s="907"/>
      <c r="V778" s="907"/>
      <c r="W778" s="907"/>
      <c r="X778" s="907"/>
      <c r="Y778" s="907"/>
      <c r="Z778" s="907"/>
      <c r="AA778" s="907"/>
    </row>
  </sheetData>
  <mergeCells count="12">
    <mergeCell ref="A16:A18"/>
    <mergeCell ref="A19:A22"/>
    <mergeCell ref="A4:A5"/>
    <mergeCell ref="N4:N5"/>
    <mergeCell ref="A7:A8"/>
    <mergeCell ref="A9:A10"/>
    <mergeCell ref="A11:A15"/>
    <mergeCell ref="N9:N10"/>
    <mergeCell ref="N11:N15"/>
    <mergeCell ref="N7:N8"/>
    <mergeCell ref="N16:N18"/>
    <mergeCell ref="T1:U3"/>
  </mergeCells>
  <phoneticPr fontId="135"/>
  <conditionalFormatting sqref="D1">
    <cfRule type="expression" dxfId="11" priority="1">
      <formula>$AF1="退職"</formula>
    </cfRule>
    <cfRule type="expression" dxfId="10" priority="2">
      <formula>$AE1="退職"</formula>
    </cfRule>
  </conditionalFormatting>
  <printOptions horizontalCentered="1" gridLines="1"/>
  <pageMargins left="0.25" right="0.25" top="0.75" bottom="0.75" header="0" footer="0"/>
  <pageSetup paperSize="9"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AA778"/>
  <sheetViews>
    <sheetView workbookViewId="0"/>
  </sheetViews>
  <sheetFormatPr defaultColWidth="12.6328125" defaultRowHeight="15" customHeight="1"/>
  <cols>
    <col min="1" max="1" width="6.453125" customWidth="1"/>
    <col min="2" max="2" width="4" customWidth="1"/>
    <col min="3" max="3" width="6.453125" customWidth="1"/>
    <col min="4" max="4" width="13.453125" customWidth="1"/>
    <col min="5" max="5" width="33.6328125" customWidth="1"/>
    <col min="6" max="6" width="4.6328125" customWidth="1"/>
    <col min="7" max="7" width="9.90625" customWidth="1"/>
    <col min="8" max="8" width="4.6328125" customWidth="1"/>
    <col min="9" max="9" width="12" customWidth="1"/>
    <col min="10" max="10" width="9.90625" customWidth="1"/>
    <col min="11" max="11" width="12" customWidth="1"/>
    <col min="12" max="12" width="8.36328125" customWidth="1"/>
    <col min="13" max="13" width="8.36328125" hidden="1" customWidth="1"/>
    <col min="14" max="14" width="15.36328125" customWidth="1"/>
    <col min="15" max="15" width="12" customWidth="1"/>
    <col min="16" max="16" width="9.90625" customWidth="1"/>
    <col min="17" max="17" width="8.36328125" customWidth="1"/>
    <col min="18" max="18" width="12" customWidth="1"/>
    <col min="19" max="27" width="11.6328125" customWidth="1"/>
  </cols>
  <sheetData>
    <row r="1" spans="1:27">
      <c r="A1" s="907"/>
      <c r="B1" s="906"/>
      <c r="C1" s="907"/>
      <c r="D1" s="1328" t="s">
        <v>1705</v>
      </c>
      <c r="E1" s="907" t="s">
        <v>4433</v>
      </c>
      <c r="F1" s="907" t="s">
        <v>4434</v>
      </c>
      <c r="G1" s="907"/>
      <c r="H1" s="907"/>
      <c r="I1" s="907"/>
      <c r="J1" s="907"/>
      <c r="K1" s="907">
        <f>COUNTA(C4:C22)</f>
        <v>0</v>
      </c>
      <c r="L1" s="907" t="s">
        <v>4421</v>
      </c>
      <c r="M1" s="907"/>
      <c r="N1" s="907" t="s">
        <v>4422</v>
      </c>
      <c r="O1" s="907"/>
      <c r="T1" s="907"/>
      <c r="U1" s="907"/>
      <c r="V1" s="907"/>
      <c r="Z1" s="907"/>
      <c r="AA1" s="907"/>
    </row>
    <row r="2" spans="1:27">
      <c r="A2" s="907"/>
      <c r="B2" s="906"/>
      <c r="C2" s="907"/>
      <c r="D2" s="907" t="s">
        <v>4416</v>
      </c>
      <c r="E2" s="907"/>
      <c r="F2" s="907"/>
      <c r="G2" s="907"/>
      <c r="H2" s="907"/>
      <c r="I2" s="907"/>
      <c r="J2" s="907"/>
      <c r="K2" s="907"/>
      <c r="L2" s="907"/>
      <c r="M2" s="907"/>
      <c r="N2" s="907"/>
      <c r="O2" s="907"/>
      <c r="V2" s="907"/>
      <c r="Z2" s="907"/>
      <c r="AA2" s="907"/>
    </row>
    <row r="3" spans="1:27">
      <c r="A3" s="1251" t="s">
        <v>4261</v>
      </c>
      <c r="B3" s="1252" t="str">
        <f ca="1">IFERROR(__xludf.DUMMYFUNCTION("QUERY('管理表'!A:AP,""select B,C,D,G,J,K,L,N,O,Q,T where ((C = '津吉' and R = '""&amp;$D$1&amp;$N4&amp;""'and S = '""&amp;$A4&amp;""')) and not(AH = '退職')"",1)"),"No")</f>
        <v>No</v>
      </c>
      <c r="C3" s="1252" t="str">
        <f ca="1">IFERROR(__xludf.DUMMYFUNCTION("""COMPUTED_VALUE"""),"勤務地")</f>
        <v>勤務地</v>
      </c>
      <c r="D3" s="1252" t="str">
        <f ca="1">IFERROR(__xludf.DUMMYFUNCTION("""COMPUTED_VALUE"""),"国籍")</f>
        <v>国籍</v>
      </c>
      <c r="E3" s="1252" t="str">
        <f ca="1">IFERROR(__xludf.DUMMYFUNCTION("""COMPUTED_VALUE"""),"フリガナ")</f>
        <v>フリガナ</v>
      </c>
      <c r="F3" s="1252" t="str">
        <f ca="1">IFERROR(__xludf.DUMMYFUNCTION("""COMPUTED_VALUE"""),"性別")</f>
        <v>性別</v>
      </c>
      <c r="G3" s="1252" t="str">
        <f ca="1">IFERROR(__xludf.DUMMYFUNCTION("""COMPUTED_VALUE"""),"生年月日")</f>
        <v>生年月日</v>
      </c>
      <c r="H3" s="1252" t="str">
        <f ca="1">IFERROR(__xludf.DUMMYFUNCTION("""COMPUTED_VALUE"""),"年齢")</f>
        <v>年齢</v>
      </c>
      <c r="I3" s="1252" t="str">
        <f ca="1">IFERROR(__xludf.DUMMYFUNCTION("""COMPUTED_VALUE"""),"登録支援機関")</f>
        <v>登録支援機関</v>
      </c>
      <c r="J3" s="1252" t="str">
        <f ca="1">IFERROR(__xludf.DUMMYFUNCTION("""COMPUTED_VALUE"""),"入社日")</f>
        <v>入社日</v>
      </c>
      <c r="K3" s="1252" t="str">
        <f ca="1">IFERROR(__xludf.DUMMYFUNCTION("""COMPUTED_VALUE"""),"実習区分")</f>
        <v>実習区分</v>
      </c>
      <c r="L3" s="1253" t="str">
        <f ca="1">IFERROR(__xludf.DUMMYFUNCTION("""COMPUTED_VALUE"""),"家賃負担")</f>
        <v>家賃負担</v>
      </c>
      <c r="M3" s="1252"/>
      <c r="N3" s="1254" t="s">
        <v>4262</v>
      </c>
      <c r="O3" s="907"/>
      <c r="V3" s="907"/>
      <c r="Z3" s="907"/>
      <c r="AA3" s="907"/>
    </row>
    <row r="4" spans="1:27">
      <c r="A4" s="1673" t="s">
        <v>4417</v>
      </c>
      <c r="B4" s="1302" t="str">
        <f ca="1">IFERROR(__xludf.DUMMYFUNCTION("QUERY('管理表'!A:AP,""select B,C,D,G,J,K,L,N,O,Q,T where ((C = '津吉' and R = '""&amp;$D$1&amp;""' and S = '""&amp;$N$4&amp;""')) and not(AH = '退職')"",0)"),"#N/A")</f>
        <v>#N/A</v>
      </c>
      <c r="C4" s="1302"/>
      <c r="D4" s="1302"/>
      <c r="E4" s="1258" t="s">
        <v>1702</v>
      </c>
      <c r="F4" s="1302"/>
      <c r="G4" s="1302"/>
      <c r="H4" s="1302"/>
      <c r="I4" s="1302"/>
      <c r="J4" s="1302"/>
      <c r="K4" s="1302"/>
      <c r="L4" s="1303">
        <v>20000</v>
      </c>
      <c r="M4" s="1260"/>
      <c r="N4" s="1675" t="s">
        <v>1687</v>
      </c>
      <c r="O4" s="918" t="s">
        <v>4435</v>
      </c>
      <c r="Y4" s="907"/>
      <c r="Z4" s="907"/>
      <c r="AA4" s="907"/>
    </row>
    <row r="5" spans="1:27">
      <c r="A5" s="1674"/>
      <c r="B5" s="1264"/>
      <c r="C5" s="1264"/>
      <c r="D5" s="1264"/>
      <c r="E5" s="1306" t="s">
        <v>1730</v>
      </c>
      <c r="F5" s="1264"/>
      <c r="G5" s="1264"/>
      <c r="H5" s="1264"/>
      <c r="I5" s="1264"/>
      <c r="J5" s="1264"/>
      <c r="K5" s="1264"/>
      <c r="L5" s="1266">
        <v>20000</v>
      </c>
      <c r="M5" s="1267"/>
      <c r="N5" s="1667"/>
      <c r="O5" s="918" t="s">
        <v>4435</v>
      </c>
      <c r="Y5" s="907"/>
      <c r="Z5" s="907"/>
      <c r="AA5" s="907"/>
    </row>
    <row r="6" spans="1:27">
      <c r="A6" s="1268" t="s">
        <v>4418</v>
      </c>
      <c r="B6" s="923"/>
      <c r="C6" s="923"/>
      <c r="D6" s="923"/>
      <c r="E6" s="947" t="s">
        <v>1746</v>
      </c>
      <c r="F6" s="923"/>
      <c r="G6" s="923"/>
      <c r="H6" s="923"/>
      <c r="I6" s="923"/>
      <c r="J6" s="923"/>
      <c r="K6" s="923"/>
      <c r="L6" s="1269">
        <v>20000</v>
      </c>
      <c r="M6" s="1267"/>
      <c r="N6" s="1270"/>
      <c r="O6" s="918" t="s">
        <v>4435</v>
      </c>
      <c r="R6" s="1307"/>
      <c r="S6" s="1308"/>
      <c r="T6" s="1307"/>
      <c r="U6" s="1309"/>
      <c r="V6" s="1307"/>
      <c r="W6" s="1309"/>
      <c r="Y6" s="907"/>
      <c r="Z6" s="907"/>
      <c r="AA6" s="907"/>
    </row>
    <row r="7" spans="1:27">
      <c r="A7" s="1676" t="s">
        <v>4417</v>
      </c>
      <c r="B7" s="923"/>
      <c r="C7" s="923"/>
      <c r="D7" s="923"/>
      <c r="E7" s="947" t="s">
        <v>1753</v>
      </c>
      <c r="F7" s="923"/>
      <c r="G7" s="923"/>
      <c r="H7" s="923"/>
      <c r="I7" s="923"/>
      <c r="J7" s="923"/>
      <c r="K7" s="923"/>
      <c r="L7" s="1269">
        <v>20000</v>
      </c>
      <c r="M7" s="1267"/>
      <c r="N7" s="1665"/>
      <c r="O7" s="918" t="s">
        <v>4435</v>
      </c>
      <c r="R7" s="1310"/>
      <c r="S7" s="1311"/>
      <c r="T7" s="1310"/>
      <c r="U7" s="1312"/>
      <c r="V7" s="1310"/>
      <c r="W7" s="1312"/>
      <c r="Y7" s="907"/>
      <c r="Z7" s="907"/>
      <c r="AA7" s="907"/>
    </row>
    <row r="8" spans="1:27">
      <c r="A8" s="1674"/>
      <c r="B8" s="923"/>
      <c r="C8" s="923"/>
      <c r="D8" s="923"/>
      <c r="E8" s="1207"/>
      <c r="F8" s="923"/>
      <c r="G8" s="923"/>
      <c r="H8" s="923"/>
      <c r="I8" s="923"/>
      <c r="J8" s="923"/>
      <c r="K8" s="923"/>
      <c r="L8" s="1269"/>
      <c r="M8" s="1267"/>
      <c r="N8" s="1667"/>
      <c r="O8" s="918"/>
      <c r="R8" s="1313" t="s">
        <v>4424</v>
      </c>
      <c r="S8" s="1314" t="s">
        <v>4425</v>
      </c>
      <c r="T8" s="1310"/>
      <c r="U8" s="1312"/>
      <c r="V8" s="1313" t="s">
        <v>4426</v>
      </c>
      <c r="W8" s="1315" t="s">
        <v>4436</v>
      </c>
      <c r="Y8" s="907"/>
      <c r="Z8" s="907"/>
      <c r="AA8" s="907"/>
    </row>
    <row r="9" spans="1:27">
      <c r="A9" s="1676" t="s">
        <v>4417</v>
      </c>
      <c r="B9" s="923"/>
      <c r="C9" s="923"/>
      <c r="D9" s="923"/>
      <c r="E9" s="923"/>
      <c r="F9" s="923"/>
      <c r="G9" s="923"/>
      <c r="H9" s="923"/>
      <c r="I9" s="923"/>
      <c r="J9" s="923"/>
      <c r="K9" s="923"/>
      <c r="L9" s="1269"/>
      <c r="M9" s="1267"/>
      <c r="N9" s="1665"/>
      <c r="O9" s="918"/>
      <c r="R9" s="1139"/>
      <c r="S9" s="1316" t="s">
        <v>4428</v>
      </c>
      <c r="T9" s="1139" t="s">
        <v>4420</v>
      </c>
      <c r="U9" s="1317"/>
      <c r="V9" s="1310"/>
      <c r="W9" s="1317"/>
      <c r="X9" s="907"/>
      <c r="Y9" s="907"/>
      <c r="Z9" s="907"/>
      <c r="AA9" s="907"/>
    </row>
    <row r="10" spans="1:27">
      <c r="A10" s="1674"/>
      <c r="B10" s="1128"/>
      <c r="C10" s="923"/>
      <c r="D10" s="923"/>
      <c r="E10" s="923"/>
      <c r="F10" s="923"/>
      <c r="G10" s="923"/>
      <c r="H10" s="923"/>
      <c r="I10" s="923"/>
      <c r="J10" s="923"/>
      <c r="K10" s="923"/>
      <c r="L10" s="1276"/>
      <c r="M10" s="1277"/>
      <c r="N10" s="1667"/>
      <c r="O10" s="907"/>
      <c r="R10" s="1139"/>
      <c r="S10" s="1316"/>
      <c r="T10" s="1139"/>
      <c r="U10" s="1317"/>
      <c r="V10" s="1310"/>
      <c r="W10" s="1317"/>
      <c r="X10" s="907"/>
      <c r="Y10" s="907"/>
      <c r="Z10" s="907"/>
      <c r="AA10" s="907"/>
    </row>
    <row r="11" spans="1:27">
      <c r="A11" s="1676" t="s">
        <v>4429</v>
      </c>
      <c r="B11" s="923"/>
      <c r="C11" s="923"/>
      <c r="D11" s="923"/>
      <c r="E11" s="923"/>
      <c r="F11" s="923"/>
      <c r="G11" s="923"/>
      <c r="H11" s="923"/>
      <c r="I11" s="923"/>
      <c r="J11" s="923"/>
      <c r="K11" s="923"/>
      <c r="L11" s="1276"/>
      <c r="M11" s="1277"/>
      <c r="N11" s="1665"/>
      <c r="O11" s="907"/>
      <c r="R11" s="1139"/>
      <c r="S11" s="1316"/>
      <c r="T11" s="1139"/>
      <c r="U11" s="1317"/>
      <c r="V11" s="1310"/>
      <c r="W11" s="1317"/>
      <c r="X11" s="907"/>
      <c r="Y11" s="907"/>
      <c r="Z11" s="907"/>
      <c r="AA11" s="907"/>
    </row>
    <row r="12" spans="1:27">
      <c r="A12" s="1677"/>
      <c r="B12" s="923"/>
      <c r="D12" s="923"/>
      <c r="E12" s="923"/>
      <c r="F12" s="923"/>
      <c r="G12" s="923"/>
      <c r="H12" s="923"/>
      <c r="I12" s="923"/>
      <c r="J12" s="923"/>
      <c r="K12" s="923"/>
      <c r="L12" s="1276"/>
      <c r="M12" s="1277"/>
      <c r="N12" s="1666"/>
      <c r="O12" s="907"/>
      <c r="R12" s="1318"/>
      <c r="S12" s="1319"/>
      <c r="T12" s="1318"/>
      <c r="U12" s="1320"/>
      <c r="V12" s="1321"/>
      <c r="W12" s="1320"/>
      <c r="X12" s="907"/>
      <c r="Y12" s="907"/>
      <c r="Z12" s="907"/>
      <c r="AA12" s="907"/>
    </row>
    <row r="13" spans="1:27">
      <c r="A13" s="1677"/>
      <c r="B13" s="923"/>
      <c r="D13" s="923"/>
      <c r="E13" s="923"/>
      <c r="F13" s="923"/>
      <c r="G13" s="923"/>
      <c r="H13" s="923"/>
      <c r="I13" s="923"/>
      <c r="J13" s="923"/>
      <c r="K13" s="923"/>
      <c r="L13" s="1276"/>
      <c r="M13" s="1277"/>
      <c r="N13" s="1666"/>
      <c r="O13" s="918"/>
      <c r="R13" s="1322"/>
      <c r="S13" s="1323"/>
      <c r="T13" s="1322"/>
      <c r="U13" s="1323"/>
      <c r="V13" s="1307"/>
      <c r="W13" s="1323"/>
      <c r="X13" s="907"/>
      <c r="Y13" s="907"/>
      <c r="Z13" s="907"/>
      <c r="AA13" s="907"/>
    </row>
    <row r="14" spans="1:27">
      <c r="A14" s="1677"/>
      <c r="B14" s="923"/>
      <c r="D14" s="923"/>
      <c r="E14" s="1207"/>
      <c r="F14" s="923"/>
      <c r="G14" s="923"/>
      <c r="H14" s="923"/>
      <c r="I14" s="923"/>
      <c r="J14" s="923"/>
      <c r="K14" s="923"/>
      <c r="L14" s="1276"/>
      <c r="M14" s="1277"/>
      <c r="N14" s="1666"/>
      <c r="O14" s="907"/>
      <c r="R14" s="1139" t="s">
        <v>4430</v>
      </c>
      <c r="S14" s="1317"/>
      <c r="T14" s="1139"/>
      <c r="U14" s="1317"/>
      <c r="V14" s="1310"/>
      <c r="W14" s="1317"/>
      <c r="X14" s="907"/>
      <c r="Y14" s="907"/>
      <c r="Z14" s="907"/>
      <c r="AA14" s="907"/>
    </row>
    <row r="15" spans="1:27">
      <c r="A15" s="1674"/>
      <c r="B15" s="923"/>
      <c r="D15" s="923"/>
      <c r="E15" s="1207"/>
      <c r="F15" s="923"/>
      <c r="G15" s="923"/>
      <c r="H15" s="923"/>
      <c r="I15" s="923"/>
      <c r="J15" s="923"/>
      <c r="K15" s="923"/>
      <c r="L15" s="1276"/>
      <c r="M15" s="1277"/>
      <c r="N15" s="1667"/>
      <c r="O15" s="907"/>
      <c r="R15" s="1139"/>
      <c r="S15" s="1312"/>
      <c r="T15" s="1313" t="s">
        <v>3312</v>
      </c>
      <c r="U15" s="1329" t="s">
        <v>4437</v>
      </c>
      <c r="V15" s="1313" t="s">
        <v>3312</v>
      </c>
      <c r="W15" s="1329" t="s">
        <v>4437</v>
      </c>
      <c r="X15" s="907"/>
      <c r="AA15" s="907"/>
    </row>
    <row r="16" spans="1:27">
      <c r="A16" s="1676" t="s">
        <v>4431</v>
      </c>
      <c r="B16" s="923"/>
      <c r="C16" s="923"/>
      <c r="D16" s="923"/>
      <c r="E16" s="923"/>
      <c r="F16" s="923"/>
      <c r="G16" s="923"/>
      <c r="H16" s="923"/>
      <c r="I16" s="923"/>
      <c r="J16" s="923"/>
      <c r="K16" s="923"/>
      <c r="L16" s="1276"/>
      <c r="M16" s="1277"/>
      <c r="N16" s="1665"/>
      <c r="O16" s="907"/>
      <c r="R16" s="1139"/>
      <c r="S16" s="1312"/>
      <c r="T16" s="1310"/>
      <c r="U16" s="1312"/>
      <c r="V16" s="1310"/>
      <c r="W16" s="1312"/>
      <c r="X16" s="907"/>
      <c r="Y16" s="907"/>
      <c r="Z16" s="907"/>
      <c r="AA16" s="907"/>
    </row>
    <row r="17" spans="1:27">
      <c r="A17" s="1677"/>
      <c r="B17" s="923"/>
      <c r="C17" s="923"/>
      <c r="D17" s="923"/>
      <c r="E17" s="923"/>
      <c r="F17" s="923"/>
      <c r="G17" s="923"/>
      <c r="H17" s="923"/>
      <c r="I17" s="923"/>
      <c r="J17" s="923"/>
      <c r="K17" s="923"/>
      <c r="L17" s="1276"/>
      <c r="M17" s="1277"/>
      <c r="N17" s="1666"/>
      <c r="O17" s="907"/>
      <c r="R17" s="1139"/>
      <c r="S17" s="1317"/>
      <c r="T17" s="1139"/>
      <c r="U17" s="1317"/>
      <c r="V17" s="1310"/>
      <c r="W17" s="1312"/>
      <c r="X17" s="907"/>
      <c r="Y17" s="907"/>
      <c r="Z17" s="907"/>
      <c r="AA17" s="907"/>
    </row>
    <row r="18" spans="1:27">
      <c r="A18" s="1672"/>
      <c r="B18" s="1282"/>
      <c r="C18" s="1282"/>
      <c r="D18" s="1282"/>
      <c r="E18" s="1282"/>
      <c r="F18" s="1282"/>
      <c r="G18" s="1282"/>
      <c r="H18" s="1282"/>
      <c r="I18" s="1282"/>
      <c r="J18" s="1282"/>
      <c r="K18" s="1282"/>
      <c r="L18" s="1283"/>
      <c r="M18" s="1284"/>
      <c r="N18" s="1670"/>
      <c r="O18" s="907"/>
      <c r="R18" s="1318"/>
      <c r="S18" s="1320"/>
      <c r="T18" s="1318"/>
      <c r="U18" s="1324"/>
      <c r="V18" s="1318"/>
      <c r="W18" s="1320"/>
      <c r="X18" s="907"/>
      <c r="Y18" s="907"/>
      <c r="Z18" s="907"/>
      <c r="AA18" s="907"/>
    </row>
    <row r="19" spans="1:27">
      <c r="A19" s="923"/>
      <c r="B19" s="1285" t="str">
        <f ca="1">IFERROR(__xludf.DUMMYFUNCTION("QUERY('管理表'!A:AP,""select B,C,D,G,J,K,L,N,O,Q,T where ((C = '津吉' and R = '""&amp;$D$1&amp;""' and S = '""&amp;$N$19&amp;""')) and not(AH = '退職')"",0)"),"#N/A")</f>
        <v>#N/A</v>
      </c>
      <c r="C19" s="1285"/>
      <c r="D19" s="1285"/>
      <c r="E19" s="1285"/>
      <c r="F19" s="1285"/>
      <c r="G19" s="1285"/>
      <c r="H19" s="1285"/>
      <c r="I19" s="1285"/>
      <c r="J19" s="1285"/>
      <c r="K19" s="1285"/>
      <c r="L19" s="1286"/>
      <c r="M19" s="1285"/>
      <c r="N19" s="1287"/>
      <c r="O19" s="907"/>
      <c r="R19" s="907"/>
      <c r="S19" s="907"/>
      <c r="T19" s="907"/>
      <c r="V19" s="907"/>
      <c r="W19" s="907"/>
      <c r="X19" s="907"/>
      <c r="AA19" s="907"/>
    </row>
    <row r="20" spans="1:27">
      <c r="A20" s="923"/>
      <c r="B20" s="1288" t="str">
        <f ca="1">IFERROR(__xludf.DUMMYFUNCTION("QUERY('管理表'!A:AP,""select B,C,D,G,J,K,L,N,O,Q,T where ((C = '津吉' and R = '""&amp;$D$1&amp;""' and S = '""&amp;$N$20&amp;""')) and not(AH = '退職')"",0)"),"#N/A")</f>
        <v>#N/A</v>
      </c>
      <c r="C20" s="1288"/>
      <c r="D20" s="1288"/>
      <c r="E20" s="1289"/>
      <c r="F20" s="1288"/>
      <c r="G20" s="1288"/>
      <c r="H20" s="1288"/>
      <c r="I20" s="1288"/>
      <c r="J20" s="1288"/>
      <c r="K20" s="1288"/>
      <c r="L20" s="1288"/>
      <c r="M20" s="1288"/>
      <c r="N20" s="1290"/>
      <c r="O20" s="918"/>
      <c r="P20" s="907"/>
      <c r="Q20" s="907"/>
      <c r="R20" s="907"/>
      <c r="S20" s="907"/>
      <c r="V20" s="907"/>
      <c r="W20" s="907"/>
      <c r="X20" s="907"/>
      <c r="AA20" s="907"/>
    </row>
    <row r="21" spans="1:27">
      <c r="A21" s="923"/>
      <c r="B21" s="1288" t="str">
        <f ca="1">IFERROR(__xludf.DUMMYFUNCTION("QUERY('管理表'!A:AP,""select B,C,D,G,J,K,L,N,O,Q,T where ((C = '津吉' and R = '""&amp;$D$1&amp;""' and S = '""&amp;$N$21&amp;""')) and not(AH = '退職')"",0)"),"#N/A")</f>
        <v>#N/A</v>
      </c>
      <c r="C21" s="1288"/>
      <c r="D21" s="1288"/>
      <c r="E21" s="1288"/>
      <c r="F21" s="1288"/>
      <c r="G21" s="1288"/>
      <c r="H21" s="1288"/>
      <c r="I21" s="1288"/>
      <c r="J21" s="1288"/>
      <c r="K21" s="1288"/>
      <c r="L21" s="1288"/>
      <c r="M21" s="1288"/>
      <c r="N21" s="1291"/>
      <c r="O21" s="907"/>
      <c r="P21" s="907"/>
      <c r="Q21" s="907"/>
      <c r="R21" s="907"/>
      <c r="S21" s="907"/>
      <c r="V21" s="907"/>
      <c r="W21" s="907"/>
      <c r="X21" s="907"/>
      <c r="AA21" s="907"/>
    </row>
    <row r="22" spans="1:27">
      <c r="A22" s="923"/>
      <c r="B22" s="1292" t="str">
        <f ca="1">IFERROR(__xludf.DUMMYFUNCTION("QUERY('管理表'!A:AP,""select B,C,D,G,J,K,L,N,O,Q,T where ((C = '津吉' and R = '""&amp;$D$1&amp;""' and S = '""&amp;$N$22&amp;""')) and not(AH = '退職')"",0)"),"#N/A")</f>
        <v>#N/A</v>
      </c>
      <c r="C22" s="1292"/>
      <c r="D22" s="1292"/>
      <c r="E22" s="1293"/>
      <c r="F22" s="1292"/>
      <c r="G22" s="1292"/>
      <c r="H22" s="1292"/>
      <c r="I22" s="1292"/>
      <c r="J22" s="1292"/>
      <c r="K22" s="1292"/>
      <c r="L22" s="1292"/>
      <c r="M22" s="1292"/>
      <c r="N22" s="1294"/>
      <c r="O22" s="918"/>
      <c r="R22" s="907"/>
      <c r="S22" s="918"/>
      <c r="V22" s="907"/>
      <c r="W22" s="907"/>
      <c r="X22" s="907"/>
      <c r="AA22" s="907"/>
    </row>
    <row r="23" spans="1:27">
      <c r="A23" s="907"/>
      <c r="B23" s="907"/>
      <c r="C23" s="907"/>
      <c r="D23" s="907"/>
      <c r="E23" s="907"/>
      <c r="F23" s="907"/>
      <c r="G23" s="907"/>
      <c r="H23" s="907"/>
      <c r="I23" s="907"/>
      <c r="J23" s="907"/>
      <c r="K23" s="907"/>
      <c r="L23" s="907"/>
      <c r="M23" s="907"/>
      <c r="N23" s="907"/>
      <c r="O23" s="907"/>
      <c r="R23" s="907"/>
      <c r="V23" s="907"/>
      <c r="W23" s="907"/>
      <c r="X23" s="907"/>
      <c r="AA23" s="907"/>
    </row>
    <row r="24" spans="1:27">
      <c r="A24" s="907"/>
      <c r="B24" s="907"/>
      <c r="C24" s="907"/>
      <c r="D24" s="907"/>
      <c r="E24" s="907"/>
      <c r="F24" s="907"/>
      <c r="G24" s="907"/>
      <c r="H24" s="907"/>
      <c r="I24" s="907"/>
      <c r="J24" s="907"/>
      <c r="K24" s="907"/>
      <c r="L24" s="907"/>
      <c r="M24" s="907"/>
      <c r="N24" s="907"/>
      <c r="O24" s="907"/>
      <c r="AA24" s="907"/>
    </row>
    <row r="25" spans="1:27">
      <c r="A25" s="907"/>
      <c r="B25" s="907"/>
      <c r="C25" s="907" t="s">
        <v>4438</v>
      </c>
      <c r="D25" s="907" t="s">
        <v>4439</v>
      </c>
      <c r="E25" s="907"/>
      <c r="F25" s="907"/>
      <c r="G25" s="907"/>
      <c r="H25" s="907"/>
      <c r="I25" s="907"/>
      <c r="J25" s="907"/>
      <c r="K25" s="907"/>
      <c r="L25" s="907"/>
      <c r="M25" s="907"/>
      <c r="N25" s="907"/>
      <c r="O25" s="907"/>
      <c r="AA25" s="907"/>
    </row>
    <row r="26" spans="1:27">
      <c r="A26" s="907"/>
      <c r="B26" s="907"/>
      <c r="C26" s="907" t="s">
        <v>4395</v>
      </c>
      <c r="D26" s="907" t="s">
        <v>4439</v>
      </c>
      <c r="E26" s="907"/>
      <c r="F26" s="907"/>
      <c r="G26" s="907"/>
      <c r="H26" s="907"/>
      <c r="I26" s="907"/>
      <c r="J26" s="907"/>
      <c r="K26" s="907"/>
      <c r="L26" s="907"/>
      <c r="M26" s="907"/>
      <c r="N26" s="907"/>
      <c r="O26" s="907"/>
      <c r="AA26" s="907"/>
    </row>
    <row r="27" spans="1:27">
      <c r="A27" s="907"/>
      <c r="B27" s="907"/>
      <c r="C27" s="907" t="s">
        <v>4392</v>
      </c>
      <c r="D27" s="907" t="s">
        <v>4439</v>
      </c>
      <c r="E27" s="907"/>
      <c r="F27" s="907"/>
      <c r="G27" s="907"/>
      <c r="H27" s="907"/>
      <c r="I27" s="907"/>
      <c r="J27" s="907"/>
      <c r="K27" s="907"/>
      <c r="L27" s="907"/>
      <c r="M27" s="907"/>
      <c r="N27" s="907"/>
      <c r="O27" s="907"/>
      <c r="AA27" s="907"/>
    </row>
    <row r="28" spans="1:27">
      <c r="A28" s="907"/>
      <c r="B28" s="907"/>
      <c r="C28" s="907" t="s">
        <v>4440</v>
      </c>
      <c r="D28" s="907" t="s">
        <v>4439</v>
      </c>
      <c r="E28" s="907"/>
      <c r="F28" s="907"/>
      <c r="G28" s="907"/>
      <c r="AA28" s="907"/>
    </row>
    <row r="29" spans="1:27">
      <c r="A29" s="907"/>
      <c r="B29" s="907"/>
      <c r="C29" s="907"/>
      <c r="D29" s="907"/>
      <c r="E29" s="907"/>
      <c r="F29" s="907"/>
      <c r="G29" s="907"/>
      <c r="AA29" s="907"/>
    </row>
    <row r="30" spans="1:27">
      <c r="A30" s="907"/>
      <c r="B30" s="907"/>
      <c r="C30" s="907"/>
      <c r="D30" s="907"/>
      <c r="E30" s="907"/>
      <c r="F30" s="907"/>
      <c r="G30" s="907"/>
      <c r="AA30" s="907"/>
    </row>
    <row r="31" spans="1:27">
      <c r="A31" s="907"/>
      <c r="B31" s="907"/>
      <c r="C31" s="907"/>
      <c r="D31" s="907"/>
      <c r="E31" s="907"/>
      <c r="F31" s="907"/>
      <c r="G31" s="907"/>
      <c r="AA31" s="907"/>
    </row>
    <row r="32" spans="1:27">
      <c r="A32" s="907"/>
      <c r="B32" s="907"/>
      <c r="C32" s="907"/>
      <c r="D32" s="907"/>
      <c r="E32" s="907"/>
      <c r="F32" s="907"/>
      <c r="G32" s="907"/>
      <c r="U32" s="907"/>
      <c r="AA32" s="907"/>
    </row>
    <row r="33" spans="1:27">
      <c r="A33" s="907"/>
      <c r="B33" s="907"/>
      <c r="C33" s="907"/>
      <c r="D33" s="907"/>
      <c r="E33" s="907"/>
      <c r="F33" s="907"/>
      <c r="G33" s="907"/>
      <c r="U33" s="907"/>
      <c r="AA33" s="907"/>
    </row>
    <row r="34" spans="1:27">
      <c r="A34" s="907"/>
      <c r="B34" s="907"/>
      <c r="C34" s="907"/>
      <c r="D34" s="907"/>
      <c r="E34" s="907"/>
      <c r="F34" s="907"/>
      <c r="G34" s="907"/>
      <c r="U34" s="907"/>
      <c r="AA34" s="907"/>
    </row>
    <row r="35" spans="1:27">
      <c r="A35" s="907"/>
      <c r="B35" s="907"/>
      <c r="C35" s="907"/>
      <c r="D35" s="907"/>
      <c r="E35" s="907"/>
      <c r="F35" s="907"/>
      <c r="G35" s="907"/>
      <c r="U35" s="907"/>
      <c r="AA35" s="907"/>
    </row>
    <row r="36" spans="1:27">
      <c r="A36" s="907"/>
      <c r="B36" s="907"/>
      <c r="C36" s="907"/>
      <c r="D36" s="907"/>
      <c r="E36" s="907"/>
      <c r="F36" s="907"/>
      <c r="G36" s="907"/>
      <c r="U36" s="907"/>
      <c r="AA36" s="907"/>
    </row>
    <row r="37" spans="1:27">
      <c r="A37" s="907"/>
      <c r="B37" s="907"/>
      <c r="C37" s="907"/>
      <c r="D37" s="907"/>
      <c r="E37" s="907"/>
      <c r="F37" s="907"/>
      <c r="G37" s="907"/>
      <c r="U37" s="907"/>
      <c r="AA37" s="907"/>
    </row>
    <row r="38" spans="1:27">
      <c r="A38" s="907"/>
      <c r="B38" s="907"/>
      <c r="C38" s="907"/>
      <c r="D38" s="907"/>
      <c r="E38" s="907"/>
      <c r="F38" s="907"/>
      <c r="G38" s="907"/>
      <c r="U38" s="907"/>
      <c r="AA38" s="907"/>
    </row>
    <row r="39" spans="1:27">
      <c r="A39" s="907"/>
      <c r="B39" s="907"/>
      <c r="C39" s="907"/>
      <c r="D39" s="907"/>
      <c r="E39" s="907"/>
      <c r="F39" s="907"/>
      <c r="G39" s="907"/>
      <c r="U39" s="907"/>
    </row>
    <row r="40" spans="1:27">
      <c r="A40" s="907"/>
      <c r="B40" s="907"/>
      <c r="C40" s="907"/>
      <c r="D40" s="907"/>
      <c r="E40" s="907"/>
      <c r="F40" s="907"/>
      <c r="G40" s="907"/>
      <c r="Q40" s="907"/>
      <c r="R40" s="907"/>
      <c r="U40" s="907"/>
    </row>
    <row r="41" spans="1:27">
      <c r="A41" s="907"/>
      <c r="B41" s="907"/>
      <c r="C41" s="907"/>
      <c r="D41" s="907"/>
      <c r="E41" s="907"/>
      <c r="F41" s="907"/>
      <c r="G41" s="907"/>
      <c r="Q41" s="907"/>
      <c r="R41" s="907"/>
      <c r="U41" s="907"/>
    </row>
    <row r="42" spans="1:27">
      <c r="A42" s="907"/>
      <c r="B42" s="907"/>
      <c r="C42" s="907"/>
      <c r="D42" s="907"/>
      <c r="E42" s="907"/>
      <c r="F42" s="907"/>
      <c r="G42" s="907"/>
      <c r="S42" s="907"/>
      <c r="T42" s="907"/>
      <c r="U42" s="907"/>
      <c r="V42" s="907"/>
      <c r="W42" s="907"/>
      <c r="X42" s="907"/>
      <c r="Y42" s="907"/>
      <c r="Z42" s="907"/>
    </row>
    <row r="43" spans="1:27">
      <c r="A43" s="907"/>
      <c r="B43" s="907"/>
      <c r="C43" s="907"/>
      <c r="D43" s="907"/>
      <c r="E43" s="907"/>
      <c r="F43" s="907"/>
      <c r="G43" s="907"/>
      <c r="S43" s="907"/>
      <c r="T43" s="907"/>
      <c r="U43" s="907"/>
      <c r="V43" s="907"/>
      <c r="W43" s="907"/>
      <c r="X43" s="907"/>
      <c r="Y43" s="907"/>
      <c r="Z43" s="907"/>
    </row>
    <row r="44" spans="1:27">
      <c r="A44" s="907"/>
      <c r="B44" s="907"/>
      <c r="C44" s="907"/>
      <c r="D44" s="907"/>
      <c r="E44" s="907"/>
      <c r="F44" s="907"/>
      <c r="G44" s="907"/>
      <c r="S44" s="907"/>
      <c r="T44" s="907"/>
      <c r="U44" s="907"/>
      <c r="V44" s="907"/>
      <c r="W44" s="907"/>
      <c r="X44" s="907"/>
      <c r="Y44" s="907"/>
      <c r="Z44" s="907"/>
    </row>
    <row r="45" spans="1:27">
      <c r="A45" s="907"/>
      <c r="B45" s="907"/>
      <c r="C45" s="907"/>
      <c r="D45" s="907"/>
      <c r="E45" s="907"/>
      <c r="F45" s="907"/>
      <c r="G45" s="907"/>
      <c r="S45" s="907"/>
      <c r="T45" s="907"/>
      <c r="U45" s="907"/>
      <c r="V45" s="907"/>
      <c r="W45" s="907"/>
      <c r="X45" s="907"/>
      <c r="Y45" s="907"/>
      <c r="Z45" s="907"/>
    </row>
    <row r="46" spans="1:27">
      <c r="A46" s="907"/>
      <c r="B46" s="907"/>
      <c r="C46" s="907"/>
      <c r="D46" s="907"/>
      <c r="E46" s="907"/>
      <c r="F46" s="907"/>
      <c r="G46" s="907"/>
      <c r="S46" s="907"/>
      <c r="T46" s="907"/>
      <c r="U46" s="907"/>
      <c r="V46" s="907"/>
      <c r="W46" s="907"/>
      <c r="X46" s="907"/>
      <c r="Y46" s="907"/>
      <c r="Z46" s="907"/>
    </row>
    <row r="47" spans="1:27">
      <c r="A47" s="907"/>
      <c r="B47" s="907"/>
      <c r="C47" s="907"/>
      <c r="D47" s="907"/>
      <c r="E47" s="907"/>
      <c r="F47" s="907"/>
      <c r="G47" s="907"/>
      <c r="Q47" s="907"/>
      <c r="R47" s="907"/>
      <c r="S47" s="907"/>
      <c r="T47" s="907"/>
      <c r="U47" s="907"/>
      <c r="V47" s="907"/>
      <c r="W47" s="907"/>
      <c r="X47" s="907"/>
      <c r="Y47" s="907"/>
      <c r="Z47" s="907"/>
    </row>
    <row r="48" spans="1:27">
      <c r="A48" s="907"/>
      <c r="B48" s="907"/>
      <c r="C48" s="907"/>
      <c r="D48" s="907"/>
      <c r="E48" s="907"/>
      <c r="F48" s="907"/>
      <c r="G48" s="907"/>
      <c r="Q48" s="907"/>
      <c r="R48" s="907"/>
      <c r="S48" s="907"/>
      <c r="T48" s="907"/>
      <c r="U48" s="907"/>
      <c r="V48" s="907"/>
      <c r="W48" s="907"/>
      <c r="X48" s="907"/>
      <c r="Y48" s="907"/>
      <c r="Z48" s="907"/>
    </row>
    <row r="49" spans="1:27">
      <c r="A49" s="907"/>
      <c r="B49" s="907"/>
      <c r="C49" s="907"/>
      <c r="D49" s="907"/>
      <c r="E49" s="907"/>
      <c r="F49" s="907"/>
      <c r="G49" s="907"/>
      <c r="Q49" s="907"/>
      <c r="R49" s="907"/>
      <c r="S49" s="907"/>
      <c r="T49" s="907"/>
      <c r="U49" s="907"/>
      <c r="V49" s="907"/>
      <c r="W49" s="907"/>
      <c r="X49" s="907"/>
      <c r="Y49" s="907"/>
      <c r="Z49" s="907"/>
    </row>
    <row r="50" spans="1:27">
      <c r="A50" s="907"/>
      <c r="B50" s="907"/>
      <c r="C50" s="907"/>
      <c r="D50" s="907"/>
      <c r="E50" s="907"/>
      <c r="F50" s="907"/>
      <c r="G50" s="907"/>
      <c r="H50" s="907"/>
      <c r="I50" s="907"/>
      <c r="J50" s="907"/>
      <c r="K50" s="907"/>
      <c r="L50" s="907"/>
      <c r="M50" s="907"/>
      <c r="N50" s="907"/>
      <c r="O50" s="907"/>
      <c r="P50" s="907"/>
      <c r="Q50" s="907"/>
      <c r="R50" s="907"/>
      <c r="S50" s="907"/>
      <c r="T50" s="907"/>
      <c r="U50" s="907"/>
      <c r="V50" s="907"/>
      <c r="W50" s="907"/>
      <c r="X50" s="907"/>
      <c r="Y50" s="907"/>
      <c r="Z50" s="907"/>
    </row>
    <row r="51" spans="1:27">
      <c r="A51" s="907"/>
      <c r="B51" s="907"/>
      <c r="C51" s="907"/>
      <c r="D51" s="907"/>
      <c r="E51" s="907"/>
      <c r="F51" s="907"/>
      <c r="G51" s="907"/>
      <c r="H51" s="907"/>
      <c r="I51" s="907"/>
      <c r="J51" s="907"/>
      <c r="K51" s="907"/>
      <c r="L51" s="907"/>
      <c r="M51" s="907"/>
      <c r="N51" s="907"/>
      <c r="O51" s="907"/>
      <c r="P51" s="907"/>
      <c r="Q51" s="907"/>
      <c r="R51" s="907"/>
      <c r="S51" s="907"/>
      <c r="T51" s="907"/>
      <c r="U51" s="907"/>
      <c r="V51" s="907"/>
      <c r="W51" s="907"/>
      <c r="X51" s="907"/>
      <c r="Y51" s="907"/>
      <c r="Z51" s="907"/>
    </row>
    <row r="52" spans="1:27">
      <c r="A52" s="907"/>
      <c r="B52" s="907"/>
      <c r="C52" s="907"/>
      <c r="D52" s="907"/>
      <c r="E52" s="907"/>
      <c r="F52" s="907"/>
      <c r="G52" s="907"/>
      <c r="H52" s="907"/>
      <c r="I52" s="907"/>
      <c r="J52" s="907"/>
      <c r="K52" s="907"/>
      <c r="L52" s="907"/>
      <c r="M52" s="907"/>
      <c r="N52" s="907"/>
      <c r="O52" s="907"/>
      <c r="P52" s="907"/>
      <c r="Q52" s="907"/>
      <c r="R52" s="907"/>
      <c r="S52" s="907"/>
      <c r="T52" s="907"/>
      <c r="U52" s="907"/>
      <c r="V52" s="907"/>
      <c r="W52" s="907"/>
      <c r="X52" s="907"/>
      <c r="Y52" s="907"/>
      <c r="Z52" s="907"/>
    </row>
    <row r="53" spans="1:27">
      <c r="A53" s="907"/>
      <c r="B53" s="907"/>
      <c r="C53" s="907"/>
      <c r="D53" s="907"/>
      <c r="E53" s="907"/>
      <c r="F53" s="907"/>
      <c r="G53" s="907"/>
      <c r="H53" s="907"/>
      <c r="I53" s="907"/>
      <c r="J53" s="907"/>
      <c r="K53" s="907"/>
      <c r="L53" s="907"/>
      <c r="M53" s="907"/>
      <c r="N53" s="907"/>
      <c r="O53" s="907"/>
      <c r="P53" s="907"/>
      <c r="Q53" s="907"/>
      <c r="R53" s="907"/>
      <c r="S53" s="907"/>
      <c r="T53" s="907"/>
      <c r="U53" s="907"/>
      <c r="V53" s="907"/>
      <c r="W53" s="907"/>
      <c r="X53" s="907"/>
      <c r="Y53" s="907"/>
      <c r="Z53" s="907"/>
    </row>
    <row r="54" spans="1:27">
      <c r="A54" s="907"/>
      <c r="B54" s="907"/>
      <c r="C54" s="907"/>
      <c r="D54" s="907"/>
      <c r="E54" s="907"/>
      <c r="F54" s="907"/>
      <c r="G54" s="907"/>
      <c r="H54" s="907"/>
      <c r="I54" s="907"/>
      <c r="J54" s="907"/>
      <c r="K54" s="907"/>
      <c r="L54" s="907"/>
      <c r="M54" s="907"/>
      <c r="N54" s="907"/>
      <c r="O54" s="907"/>
      <c r="P54" s="907"/>
      <c r="Q54" s="907"/>
      <c r="R54" s="907"/>
      <c r="S54" s="907"/>
      <c r="T54" s="907"/>
      <c r="U54" s="907"/>
      <c r="V54" s="907"/>
      <c r="W54" s="907"/>
      <c r="X54" s="907"/>
      <c r="Y54" s="907"/>
      <c r="Z54" s="907"/>
    </row>
    <row r="55" spans="1:27">
      <c r="A55" s="907"/>
      <c r="B55" s="907"/>
      <c r="C55" s="907"/>
      <c r="D55" s="907"/>
      <c r="E55" s="907"/>
      <c r="F55" s="907"/>
      <c r="G55" s="907"/>
      <c r="Q55" s="907"/>
      <c r="R55" s="907"/>
      <c r="S55" s="907"/>
      <c r="T55" s="907"/>
      <c r="U55" s="907"/>
      <c r="V55" s="907"/>
      <c r="W55" s="907"/>
      <c r="X55" s="907"/>
      <c r="Y55" s="907"/>
      <c r="Z55" s="907"/>
    </row>
    <row r="56" spans="1:27">
      <c r="A56" s="907"/>
      <c r="B56" s="907"/>
      <c r="C56" s="907"/>
      <c r="D56" s="907"/>
      <c r="E56" s="907"/>
      <c r="F56" s="907"/>
      <c r="G56" s="907"/>
      <c r="Q56" s="907"/>
      <c r="R56" s="907"/>
      <c r="S56" s="907"/>
      <c r="T56" s="907"/>
      <c r="U56" s="907"/>
      <c r="V56" s="907"/>
      <c r="W56" s="907"/>
      <c r="X56" s="907"/>
      <c r="Y56" s="907"/>
      <c r="Z56" s="907"/>
    </row>
    <row r="57" spans="1:27">
      <c r="A57" s="907"/>
      <c r="B57" s="907"/>
      <c r="C57" s="907"/>
      <c r="D57" s="907"/>
      <c r="E57" s="907"/>
      <c r="F57" s="907"/>
      <c r="G57" s="907"/>
      <c r="Q57" s="907"/>
      <c r="R57" s="907"/>
      <c r="S57" s="907"/>
      <c r="T57" s="907"/>
      <c r="U57" s="907"/>
      <c r="V57" s="907"/>
      <c r="W57" s="907"/>
      <c r="X57" s="907"/>
      <c r="Y57" s="907"/>
      <c r="Z57" s="907"/>
    </row>
    <row r="58" spans="1:27">
      <c r="A58" s="907"/>
      <c r="B58" s="907"/>
      <c r="C58" s="907"/>
      <c r="D58" s="907"/>
      <c r="E58" s="907"/>
      <c r="F58" s="907"/>
      <c r="G58" s="907"/>
      <c r="Q58" s="907"/>
      <c r="R58" s="907"/>
      <c r="S58" s="907"/>
      <c r="T58" s="907"/>
      <c r="U58" s="907"/>
      <c r="V58" s="907"/>
      <c r="W58" s="907"/>
      <c r="X58" s="907"/>
      <c r="Y58" s="907"/>
      <c r="Z58" s="907"/>
    </row>
    <row r="59" spans="1:27">
      <c r="A59" s="907"/>
      <c r="B59" s="907"/>
      <c r="C59" s="907"/>
      <c r="D59" s="907"/>
      <c r="E59" s="907"/>
      <c r="F59" s="907"/>
      <c r="G59" s="907"/>
      <c r="Q59" s="907"/>
      <c r="R59" s="907"/>
      <c r="S59" s="907"/>
      <c r="T59" s="907"/>
      <c r="U59" s="907"/>
      <c r="V59" s="907"/>
      <c r="W59" s="907"/>
      <c r="X59" s="907"/>
      <c r="Y59" s="907"/>
      <c r="Z59" s="907"/>
      <c r="AA59" s="907"/>
    </row>
    <row r="60" spans="1:27">
      <c r="A60" s="907"/>
      <c r="B60" s="907"/>
      <c r="C60" s="907"/>
      <c r="D60" s="907"/>
      <c r="E60" s="907"/>
      <c r="F60" s="907"/>
      <c r="G60" s="907"/>
      <c r="Q60" s="907"/>
      <c r="R60" s="907"/>
      <c r="S60" s="907"/>
      <c r="T60" s="907"/>
      <c r="U60" s="907"/>
      <c r="V60" s="907"/>
      <c r="W60" s="907"/>
      <c r="X60" s="907"/>
      <c r="Y60" s="907"/>
      <c r="Z60" s="907"/>
      <c r="AA60" s="907"/>
    </row>
    <row r="61" spans="1:27">
      <c r="A61" s="907"/>
      <c r="B61" s="907"/>
      <c r="C61" s="907"/>
      <c r="D61" s="907"/>
      <c r="E61" s="907"/>
      <c r="F61" s="907"/>
      <c r="G61" s="907"/>
      <c r="Q61" s="907"/>
      <c r="R61" s="907"/>
      <c r="S61" s="907"/>
      <c r="T61" s="907"/>
      <c r="U61" s="907"/>
      <c r="V61" s="907"/>
      <c r="W61" s="907"/>
      <c r="X61" s="907"/>
      <c r="Y61" s="907"/>
      <c r="Z61" s="907"/>
      <c r="AA61" s="907"/>
    </row>
    <row r="62" spans="1:27">
      <c r="A62" s="907"/>
      <c r="B62" s="907"/>
      <c r="C62" s="907"/>
      <c r="D62" s="907"/>
      <c r="E62" s="907"/>
      <c r="F62" s="907"/>
      <c r="G62" s="907"/>
      <c r="Q62" s="907"/>
      <c r="R62" s="907"/>
      <c r="S62" s="907"/>
      <c r="T62" s="907"/>
      <c r="U62" s="907"/>
      <c r="V62" s="907"/>
      <c r="W62" s="907"/>
      <c r="X62" s="907"/>
      <c r="Y62" s="907"/>
      <c r="Z62" s="907"/>
      <c r="AA62" s="907"/>
    </row>
    <row r="63" spans="1:27">
      <c r="A63" s="907"/>
      <c r="B63" s="907"/>
      <c r="C63" s="907"/>
      <c r="D63" s="907"/>
      <c r="E63" s="907"/>
      <c r="F63" s="907"/>
      <c r="G63" s="907"/>
      <c r="Q63" s="907"/>
      <c r="R63" s="907"/>
      <c r="S63" s="907"/>
      <c r="T63" s="907"/>
      <c r="U63" s="907"/>
      <c r="V63" s="907"/>
      <c r="W63" s="907"/>
      <c r="X63" s="907"/>
      <c r="Y63" s="907"/>
      <c r="Z63" s="907"/>
      <c r="AA63" s="907"/>
    </row>
    <row r="64" spans="1:27">
      <c r="A64" s="907"/>
      <c r="B64" s="907"/>
      <c r="C64" s="907"/>
      <c r="D64" s="907"/>
      <c r="E64" s="907"/>
      <c r="F64" s="907"/>
      <c r="G64" s="907"/>
      <c r="Q64" s="907"/>
      <c r="R64" s="907"/>
      <c r="S64" s="907"/>
      <c r="T64" s="907"/>
      <c r="U64" s="907"/>
      <c r="V64" s="907"/>
      <c r="W64" s="907"/>
      <c r="X64" s="907"/>
      <c r="Y64" s="907"/>
      <c r="Z64" s="907"/>
      <c r="AA64" s="907"/>
    </row>
    <row r="65" spans="1:27">
      <c r="A65" s="907"/>
      <c r="B65" s="907"/>
      <c r="C65" s="907"/>
      <c r="D65" s="907"/>
      <c r="E65" s="907"/>
      <c r="F65" s="907"/>
      <c r="G65" s="907"/>
      <c r="Q65" s="907"/>
      <c r="R65" s="907"/>
      <c r="S65" s="907"/>
      <c r="T65" s="907"/>
      <c r="U65" s="907"/>
      <c r="V65" s="907"/>
      <c r="W65" s="907"/>
      <c r="X65" s="907"/>
      <c r="Y65" s="907"/>
      <c r="Z65" s="907"/>
      <c r="AA65" s="907"/>
    </row>
    <row r="66" spans="1:27">
      <c r="A66" s="907"/>
      <c r="B66" s="907"/>
      <c r="C66" s="907"/>
      <c r="D66" s="907"/>
      <c r="E66" s="907"/>
      <c r="F66" s="907"/>
      <c r="G66" s="907"/>
      <c r="Q66" s="907"/>
      <c r="R66" s="907"/>
      <c r="S66" s="907"/>
      <c r="T66" s="907"/>
      <c r="U66" s="907"/>
      <c r="V66" s="907"/>
      <c r="W66" s="907"/>
      <c r="X66" s="907"/>
      <c r="Y66" s="907"/>
      <c r="Z66" s="907"/>
      <c r="AA66" s="907"/>
    </row>
    <row r="67" spans="1:27">
      <c r="A67" s="907"/>
      <c r="B67" s="907"/>
      <c r="C67" s="907"/>
      <c r="D67" s="907"/>
      <c r="E67" s="907"/>
      <c r="F67" s="907"/>
      <c r="G67" s="907"/>
      <c r="Q67" s="907"/>
      <c r="R67" s="907"/>
      <c r="S67" s="907"/>
      <c r="T67" s="907"/>
      <c r="U67" s="907"/>
      <c r="V67" s="907"/>
      <c r="W67" s="907"/>
      <c r="X67" s="907"/>
      <c r="Y67" s="907"/>
      <c r="Z67" s="907"/>
      <c r="AA67" s="907"/>
    </row>
    <row r="68" spans="1:27">
      <c r="A68" s="907"/>
      <c r="B68" s="907"/>
      <c r="C68" s="907"/>
      <c r="D68" s="907"/>
      <c r="E68" s="907"/>
      <c r="F68" s="907"/>
      <c r="G68" s="907"/>
      <c r="Q68" s="907"/>
      <c r="R68" s="907"/>
      <c r="S68" s="907"/>
      <c r="T68" s="907"/>
      <c r="U68" s="907"/>
      <c r="V68" s="907"/>
      <c r="W68" s="907"/>
      <c r="X68" s="907"/>
      <c r="Y68" s="907"/>
      <c r="Z68" s="907"/>
      <c r="AA68" s="907"/>
    </row>
    <row r="69" spans="1:27">
      <c r="A69" s="907"/>
      <c r="B69" s="907"/>
      <c r="C69" s="907"/>
      <c r="D69" s="907"/>
      <c r="E69" s="907"/>
      <c r="F69" s="907"/>
      <c r="G69" s="907"/>
      <c r="Q69" s="907"/>
      <c r="R69" s="907"/>
      <c r="S69" s="907"/>
      <c r="T69" s="907"/>
      <c r="U69" s="907"/>
      <c r="V69" s="907"/>
      <c r="W69" s="907"/>
      <c r="X69" s="907"/>
      <c r="Y69" s="907"/>
      <c r="Z69" s="907"/>
      <c r="AA69" s="907"/>
    </row>
    <row r="70" spans="1:27">
      <c r="A70" s="907"/>
      <c r="B70" s="907"/>
      <c r="C70" s="907"/>
      <c r="D70" s="907"/>
      <c r="E70" s="907"/>
      <c r="F70" s="907"/>
      <c r="G70" s="907"/>
      <c r="Q70" s="907"/>
      <c r="R70" s="907"/>
      <c r="S70" s="907"/>
      <c r="T70" s="907"/>
      <c r="U70" s="907"/>
      <c r="V70" s="907"/>
      <c r="W70" s="907"/>
      <c r="X70" s="907"/>
      <c r="Y70" s="907"/>
      <c r="Z70" s="907"/>
      <c r="AA70" s="907"/>
    </row>
    <row r="71" spans="1:27">
      <c r="A71" s="907"/>
      <c r="B71" s="907"/>
      <c r="C71" s="907"/>
      <c r="D71" s="907"/>
      <c r="E71" s="907"/>
      <c r="F71" s="907"/>
      <c r="G71" s="907"/>
      <c r="Q71" s="907"/>
      <c r="R71" s="907"/>
      <c r="S71" s="907"/>
      <c r="T71" s="907"/>
      <c r="U71" s="907"/>
      <c r="V71" s="907"/>
      <c r="W71" s="907"/>
      <c r="X71" s="907"/>
      <c r="Y71" s="907"/>
      <c r="Z71" s="907"/>
      <c r="AA71" s="907"/>
    </row>
    <row r="72" spans="1:27">
      <c r="A72" s="907"/>
      <c r="B72" s="907"/>
      <c r="C72" s="907"/>
      <c r="D72" s="907"/>
      <c r="E72" s="907"/>
      <c r="F72" s="907"/>
      <c r="G72" s="907"/>
      <c r="Q72" s="907"/>
      <c r="R72" s="907"/>
      <c r="S72" s="907"/>
      <c r="T72" s="907"/>
      <c r="U72" s="907"/>
      <c r="V72" s="907"/>
      <c r="W72" s="907"/>
      <c r="X72" s="907"/>
      <c r="Y72" s="907"/>
      <c r="Z72" s="907"/>
      <c r="AA72" s="907"/>
    </row>
    <row r="73" spans="1:27">
      <c r="A73" s="907"/>
      <c r="B73" s="907"/>
      <c r="C73" s="907"/>
      <c r="D73" s="907"/>
      <c r="E73" s="907"/>
      <c r="F73" s="907"/>
      <c r="G73" s="907"/>
      <c r="Q73" s="907"/>
      <c r="R73" s="907"/>
      <c r="S73" s="907"/>
      <c r="T73" s="907"/>
      <c r="U73" s="907"/>
      <c r="V73" s="907"/>
      <c r="W73" s="907"/>
      <c r="X73" s="907"/>
      <c r="Y73" s="907"/>
      <c r="Z73" s="907"/>
      <c r="AA73" s="907"/>
    </row>
    <row r="74" spans="1:27">
      <c r="A74" s="907"/>
      <c r="B74" s="907"/>
      <c r="C74" s="907"/>
      <c r="D74" s="907"/>
      <c r="E74" s="907"/>
      <c r="F74" s="907"/>
      <c r="G74" s="907"/>
      <c r="Q74" s="907"/>
      <c r="R74" s="907"/>
      <c r="S74" s="907"/>
      <c r="T74" s="907"/>
      <c r="U74" s="907"/>
      <c r="V74" s="907"/>
      <c r="W74" s="907"/>
      <c r="X74" s="907"/>
      <c r="Y74" s="907"/>
      <c r="Z74" s="907"/>
      <c r="AA74" s="907"/>
    </row>
    <row r="75" spans="1:27">
      <c r="A75" s="907"/>
      <c r="B75" s="907"/>
      <c r="C75" s="907"/>
      <c r="D75" s="907"/>
      <c r="E75" s="907"/>
      <c r="F75" s="907"/>
      <c r="G75" s="907"/>
      <c r="Q75" s="907"/>
      <c r="R75" s="907"/>
      <c r="S75" s="907"/>
      <c r="T75" s="907"/>
      <c r="U75" s="907"/>
      <c r="V75" s="907"/>
      <c r="W75" s="907"/>
      <c r="X75" s="907"/>
      <c r="Y75" s="907"/>
      <c r="Z75" s="907"/>
      <c r="AA75" s="907"/>
    </row>
    <row r="76" spans="1:27">
      <c r="A76" s="907"/>
      <c r="B76" s="907"/>
      <c r="C76" s="907"/>
      <c r="D76" s="907"/>
      <c r="E76" s="907"/>
      <c r="F76" s="907"/>
      <c r="G76" s="907"/>
      <c r="Q76" s="907"/>
      <c r="R76" s="907"/>
      <c r="S76" s="907"/>
      <c r="T76" s="907"/>
      <c r="U76" s="907"/>
      <c r="V76" s="907"/>
      <c r="W76" s="907"/>
      <c r="X76" s="907"/>
      <c r="Y76" s="907"/>
      <c r="Z76" s="907"/>
      <c r="AA76" s="907"/>
    </row>
    <row r="77" spans="1:27">
      <c r="A77" s="907"/>
      <c r="B77" s="907"/>
      <c r="C77" s="907"/>
      <c r="D77" s="907"/>
      <c r="E77" s="907"/>
      <c r="F77" s="907"/>
      <c r="G77" s="907"/>
      <c r="H77" s="907"/>
      <c r="I77" s="907"/>
      <c r="J77" s="907"/>
      <c r="K77" s="907"/>
      <c r="L77" s="907"/>
      <c r="M77" s="907"/>
      <c r="N77" s="907"/>
      <c r="O77" s="907"/>
      <c r="P77" s="907"/>
      <c r="Q77" s="907"/>
      <c r="R77" s="907"/>
      <c r="S77" s="907"/>
      <c r="T77" s="907"/>
      <c r="U77" s="907"/>
      <c r="V77" s="907"/>
      <c r="W77" s="907"/>
      <c r="X77" s="907"/>
      <c r="Y77" s="907"/>
      <c r="Z77" s="907"/>
      <c r="AA77" s="907"/>
    </row>
    <row r="78" spans="1:27">
      <c r="A78" s="907"/>
      <c r="B78" s="907"/>
      <c r="C78" s="907"/>
      <c r="D78" s="907"/>
      <c r="E78" s="907"/>
      <c r="F78" s="907"/>
      <c r="G78" s="907"/>
      <c r="H78" s="907"/>
      <c r="I78" s="907"/>
      <c r="J78" s="907"/>
      <c r="K78" s="907"/>
      <c r="L78" s="907"/>
      <c r="M78" s="907"/>
      <c r="N78" s="907"/>
      <c r="O78" s="907"/>
      <c r="P78" s="907"/>
      <c r="Q78" s="907"/>
      <c r="R78" s="907"/>
      <c r="S78" s="907"/>
      <c r="T78" s="907"/>
      <c r="U78" s="907"/>
      <c r="V78" s="907"/>
      <c r="W78" s="907"/>
      <c r="X78" s="907"/>
      <c r="Y78" s="907"/>
      <c r="Z78" s="907"/>
      <c r="AA78" s="907"/>
    </row>
    <row r="79" spans="1:27">
      <c r="A79" s="907"/>
      <c r="B79" s="907"/>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row>
    <row r="80" spans="1:27">
      <c r="A80" s="907"/>
      <c r="B80" s="907"/>
      <c r="C80" s="907"/>
      <c r="D80" s="907"/>
      <c r="E80" s="907"/>
      <c r="F80" s="907"/>
      <c r="G80" s="907"/>
      <c r="H80" s="907"/>
      <c r="I80" s="907"/>
      <c r="J80" s="907"/>
      <c r="K80" s="907"/>
      <c r="L80" s="907"/>
      <c r="M80" s="907"/>
      <c r="N80" s="907"/>
      <c r="O80" s="907"/>
      <c r="P80" s="907"/>
      <c r="Q80" s="907"/>
      <c r="R80" s="907"/>
      <c r="S80" s="907"/>
      <c r="T80" s="907"/>
      <c r="U80" s="907"/>
      <c r="V80" s="907"/>
      <c r="W80" s="907"/>
      <c r="X80" s="907"/>
      <c r="Y80" s="907"/>
      <c r="Z80" s="907"/>
      <c r="AA80" s="907"/>
    </row>
    <row r="81" spans="1:27">
      <c r="A81" s="907"/>
      <c r="B81" s="907"/>
      <c r="C81" s="907"/>
      <c r="D81" s="907"/>
      <c r="E81" s="907"/>
      <c r="F81" s="907"/>
      <c r="G81" s="907"/>
      <c r="H81" s="907"/>
      <c r="I81" s="907"/>
      <c r="J81" s="907"/>
      <c r="K81" s="907"/>
      <c r="L81" s="907"/>
      <c r="M81" s="907"/>
      <c r="N81" s="907"/>
      <c r="O81" s="907"/>
      <c r="P81" s="907"/>
      <c r="Q81" s="907"/>
      <c r="R81" s="907"/>
      <c r="S81" s="907"/>
      <c r="T81" s="907"/>
      <c r="U81" s="907"/>
      <c r="V81" s="907"/>
      <c r="W81" s="907"/>
      <c r="X81" s="907"/>
      <c r="Y81" s="907"/>
      <c r="Z81" s="907"/>
      <c r="AA81" s="907"/>
    </row>
    <row r="82" spans="1:27">
      <c r="A82" s="907"/>
      <c r="B82" s="907"/>
      <c r="C82" s="907"/>
      <c r="D82" s="907"/>
      <c r="E82" s="907"/>
      <c r="F82" s="907"/>
      <c r="G82" s="907"/>
      <c r="H82" s="907"/>
      <c r="I82" s="907"/>
      <c r="J82" s="907"/>
      <c r="K82" s="907"/>
      <c r="L82" s="907"/>
      <c r="M82" s="907"/>
      <c r="N82" s="907"/>
      <c r="O82" s="907"/>
      <c r="P82" s="907"/>
      <c r="Q82" s="907"/>
      <c r="R82" s="907"/>
      <c r="S82" s="907"/>
      <c r="T82" s="907"/>
      <c r="U82" s="907"/>
      <c r="V82" s="907"/>
      <c r="W82" s="907"/>
      <c r="X82" s="907"/>
      <c r="Y82" s="907"/>
      <c r="Z82" s="907"/>
      <c r="AA82" s="907"/>
    </row>
    <row r="83" spans="1:27">
      <c r="A83" s="907"/>
      <c r="B83" s="907"/>
      <c r="C83" s="907"/>
      <c r="D83" s="907"/>
      <c r="E83" s="907"/>
      <c r="F83" s="907"/>
      <c r="G83" s="907"/>
      <c r="H83" s="907"/>
      <c r="I83" s="907"/>
      <c r="J83" s="907"/>
      <c r="K83" s="907"/>
      <c r="L83" s="907"/>
      <c r="M83" s="907"/>
      <c r="N83" s="907"/>
      <c r="O83" s="907"/>
      <c r="P83" s="907"/>
      <c r="Q83" s="907"/>
      <c r="R83" s="907"/>
      <c r="S83" s="907"/>
      <c r="T83" s="907"/>
      <c r="U83" s="907"/>
      <c r="V83" s="907"/>
      <c r="W83" s="907"/>
      <c r="X83" s="907"/>
      <c r="Y83" s="907"/>
      <c r="Z83" s="907"/>
      <c r="AA83" s="907"/>
    </row>
    <row r="84" spans="1:27">
      <c r="A84" s="907"/>
      <c r="B84" s="907"/>
      <c r="C84" s="907"/>
      <c r="D84" s="907"/>
      <c r="E84" s="907"/>
      <c r="F84" s="907"/>
      <c r="G84" s="907"/>
      <c r="H84" s="907"/>
      <c r="I84" s="907"/>
      <c r="J84" s="907"/>
      <c r="K84" s="907"/>
      <c r="L84" s="907"/>
      <c r="M84" s="907"/>
      <c r="N84" s="907"/>
      <c r="O84" s="907"/>
      <c r="P84" s="907"/>
      <c r="Q84" s="907"/>
      <c r="R84" s="907"/>
      <c r="S84" s="907"/>
      <c r="T84" s="907"/>
      <c r="U84" s="907"/>
      <c r="V84" s="907"/>
      <c r="W84" s="907"/>
      <c r="X84" s="907"/>
      <c r="Y84" s="907"/>
      <c r="Z84" s="907"/>
      <c r="AA84" s="907"/>
    </row>
    <row r="85" spans="1:27">
      <c r="A85" s="907"/>
      <c r="B85" s="907"/>
      <c r="C85" s="907"/>
      <c r="D85" s="907"/>
      <c r="E85" s="907"/>
      <c r="F85" s="907"/>
      <c r="G85" s="907"/>
      <c r="H85" s="907"/>
      <c r="I85" s="907"/>
      <c r="J85" s="907"/>
      <c r="K85" s="907"/>
      <c r="L85" s="907"/>
      <c r="M85" s="907"/>
      <c r="N85" s="907"/>
      <c r="O85" s="907"/>
      <c r="P85" s="907"/>
      <c r="Q85" s="907"/>
      <c r="R85" s="907"/>
      <c r="S85" s="907"/>
      <c r="T85" s="907"/>
      <c r="U85" s="907"/>
      <c r="V85" s="907"/>
      <c r="W85" s="907"/>
      <c r="X85" s="907"/>
      <c r="Y85" s="907"/>
      <c r="Z85" s="907"/>
      <c r="AA85" s="907"/>
    </row>
    <row r="86" spans="1:27">
      <c r="A86" s="907"/>
      <c r="B86" s="907"/>
      <c r="C86" s="907"/>
      <c r="D86" s="907"/>
      <c r="E86" s="907"/>
      <c r="F86" s="907"/>
      <c r="G86" s="907"/>
      <c r="H86" s="907"/>
      <c r="I86" s="907"/>
      <c r="J86" s="907"/>
      <c r="K86" s="907"/>
      <c r="L86" s="907"/>
      <c r="M86" s="907"/>
      <c r="N86" s="907"/>
      <c r="O86" s="907"/>
      <c r="P86" s="907"/>
      <c r="Q86" s="907"/>
      <c r="R86" s="907"/>
      <c r="S86" s="907"/>
      <c r="T86" s="907"/>
      <c r="U86" s="907"/>
      <c r="V86" s="907"/>
      <c r="W86" s="907"/>
      <c r="X86" s="907"/>
      <c r="Y86" s="907"/>
      <c r="Z86" s="907"/>
      <c r="AA86" s="907"/>
    </row>
    <row r="87" spans="1:27">
      <c r="A87" s="907"/>
      <c r="B87" s="907"/>
      <c r="C87" s="907"/>
      <c r="D87" s="907"/>
      <c r="E87" s="907"/>
      <c r="F87" s="907"/>
      <c r="G87" s="907"/>
      <c r="H87" s="907"/>
      <c r="I87" s="907"/>
      <c r="J87" s="907"/>
      <c r="K87" s="907"/>
      <c r="L87" s="907"/>
      <c r="M87" s="907"/>
      <c r="N87" s="907"/>
      <c r="O87" s="907"/>
      <c r="P87" s="907"/>
      <c r="Q87" s="907"/>
      <c r="R87" s="907"/>
      <c r="S87" s="907"/>
      <c r="T87" s="907"/>
      <c r="U87" s="907"/>
      <c r="V87" s="907"/>
      <c r="W87" s="907"/>
      <c r="X87" s="907"/>
      <c r="Y87" s="907"/>
      <c r="Z87" s="907"/>
      <c r="AA87" s="907"/>
    </row>
    <row r="88" spans="1:27">
      <c r="A88" s="907"/>
      <c r="B88" s="907"/>
      <c r="C88" s="907"/>
      <c r="D88" s="907"/>
      <c r="E88" s="907"/>
      <c r="F88" s="907"/>
      <c r="G88" s="907"/>
      <c r="H88" s="907"/>
      <c r="I88" s="907"/>
      <c r="J88" s="907"/>
      <c r="K88" s="907"/>
      <c r="L88" s="907"/>
      <c r="M88" s="907"/>
      <c r="N88" s="907"/>
      <c r="O88" s="907"/>
      <c r="P88" s="907"/>
      <c r="Q88" s="907"/>
      <c r="R88" s="907"/>
      <c r="S88" s="907"/>
      <c r="T88" s="907"/>
      <c r="U88" s="907"/>
      <c r="V88" s="907"/>
      <c r="W88" s="907"/>
      <c r="X88" s="907"/>
      <c r="Y88" s="907"/>
      <c r="Z88" s="907"/>
      <c r="AA88" s="907"/>
    </row>
    <row r="89" spans="1:27">
      <c r="A89" s="907"/>
      <c r="B89" s="907"/>
      <c r="C89" s="907"/>
      <c r="D89" s="907"/>
      <c r="E89" s="907"/>
      <c r="F89" s="907"/>
      <c r="G89" s="907"/>
      <c r="H89" s="907"/>
      <c r="I89" s="907"/>
      <c r="J89" s="907"/>
      <c r="K89" s="907"/>
      <c r="L89" s="907"/>
      <c r="M89" s="907"/>
      <c r="N89" s="907"/>
      <c r="O89" s="907"/>
      <c r="P89" s="907"/>
      <c r="Q89" s="907"/>
      <c r="R89" s="907"/>
      <c r="S89" s="907"/>
      <c r="T89" s="907"/>
      <c r="U89" s="907"/>
      <c r="V89" s="907"/>
      <c r="W89" s="907"/>
      <c r="X89" s="907"/>
      <c r="Y89" s="907"/>
      <c r="Z89" s="907"/>
      <c r="AA89" s="907"/>
    </row>
    <row r="90" spans="1:27">
      <c r="A90" s="907"/>
      <c r="B90" s="907"/>
      <c r="C90" s="907"/>
      <c r="D90" s="907"/>
      <c r="E90" s="907"/>
      <c r="F90" s="907"/>
      <c r="G90" s="907"/>
      <c r="H90" s="907"/>
      <c r="I90" s="907"/>
      <c r="J90" s="907"/>
      <c r="K90" s="907"/>
      <c r="L90" s="907"/>
      <c r="M90" s="907"/>
      <c r="N90" s="907"/>
      <c r="O90" s="907"/>
      <c r="P90" s="907"/>
      <c r="Q90" s="907"/>
      <c r="R90" s="907"/>
      <c r="S90" s="907"/>
      <c r="T90" s="907"/>
      <c r="U90" s="907"/>
      <c r="V90" s="907"/>
      <c r="W90" s="907"/>
      <c r="X90" s="907"/>
      <c r="Y90" s="907"/>
      <c r="Z90" s="907"/>
      <c r="AA90" s="907"/>
    </row>
    <row r="91" spans="1:27">
      <c r="A91" s="907"/>
      <c r="B91" s="907"/>
      <c r="C91" s="907"/>
      <c r="D91" s="907"/>
      <c r="E91" s="907"/>
      <c r="F91" s="907"/>
      <c r="G91" s="907"/>
      <c r="H91" s="907"/>
      <c r="I91" s="907"/>
      <c r="J91" s="907"/>
      <c r="K91" s="907"/>
      <c r="L91" s="907"/>
      <c r="M91" s="907"/>
      <c r="N91" s="907"/>
      <c r="O91" s="907"/>
      <c r="P91" s="907"/>
      <c r="Q91" s="907"/>
      <c r="R91" s="907"/>
      <c r="S91" s="907"/>
      <c r="T91" s="907"/>
      <c r="U91" s="907"/>
      <c r="V91" s="907"/>
      <c r="W91" s="907"/>
      <c r="X91" s="907"/>
      <c r="Y91" s="907"/>
      <c r="Z91" s="907"/>
      <c r="AA91" s="907"/>
    </row>
    <row r="92" spans="1:27">
      <c r="A92" s="907"/>
      <c r="B92" s="907"/>
      <c r="C92" s="907"/>
      <c r="D92" s="907"/>
      <c r="E92" s="907"/>
      <c r="F92" s="907"/>
      <c r="G92" s="907"/>
      <c r="H92" s="907"/>
      <c r="I92" s="907"/>
      <c r="J92" s="907"/>
      <c r="K92" s="907"/>
      <c r="L92" s="907"/>
      <c r="M92" s="907"/>
      <c r="N92" s="907"/>
      <c r="O92" s="907"/>
      <c r="P92" s="907"/>
      <c r="Q92" s="907"/>
      <c r="R92" s="907"/>
      <c r="S92" s="907"/>
      <c r="T92" s="907"/>
      <c r="U92" s="907"/>
      <c r="V92" s="907"/>
      <c r="W92" s="907"/>
      <c r="X92" s="907"/>
      <c r="Y92" s="907"/>
      <c r="Z92" s="907"/>
      <c r="AA92" s="907"/>
    </row>
    <row r="93" spans="1:27">
      <c r="A93" s="907"/>
      <c r="B93" s="907"/>
      <c r="C93" s="907"/>
      <c r="D93" s="907"/>
      <c r="E93" s="907"/>
      <c r="F93" s="907"/>
      <c r="G93" s="907"/>
      <c r="H93" s="907"/>
      <c r="I93" s="907"/>
      <c r="J93" s="907"/>
      <c r="K93" s="907"/>
      <c r="L93" s="907"/>
      <c r="M93" s="907"/>
      <c r="N93" s="907"/>
      <c r="O93" s="907"/>
      <c r="P93" s="907"/>
      <c r="Q93" s="907"/>
      <c r="R93" s="907"/>
      <c r="S93" s="907"/>
      <c r="T93" s="907"/>
      <c r="U93" s="907"/>
      <c r="V93" s="907"/>
      <c r="W93" s="907"/>
      <c r="X93" s="907"/>
      <c r="Y93" s="907"/>
      <c r="Z93" s="907"/>
      <c r="AA93" s="907"/>
    </row>
    <row r="94" spans="1:27">
      <c r="A94" s="907"/>
      <c r="B94" s="907"/>
      <c r="C94" s="907"/>
      <c r="D94" s="907"/>
      <c r="E94" s="907"/>
      <c r="F94" s="907"/>
      <c r="G94" s="907"/>
      <c r="H94" s="907"/>
      <c r="I94" s="907"/>
      <c r="J94" s="907"/>
      <c r="K94" s="907"/>
      <c r="L94" s="907"/>
      <c r="M94" s="907"/>
      <c r="N94" s="907"/>
      <c r="O94" s="907"/>
      <c r="P94" s="907"/>
      <c r="Q94" s="907"/>
      <c r="R94" s="907"/>
      <c r="S94" s="907"/>
      <c r="T94" s="907"/>
      <c r="U94" s="907"/>
      <c r="V94" s="907"/>
      <c r="W94" s="907"/>
      <c r="X94" s="907"/>
      <c r="Y94" s="907"/>
      <c r="Z94" s="907"/>
      <c r="AA94" s="907"/>
    </row>
    <row r="95" spans="1:27">
      <c r="A95" s="907"/>
      <c r="B95" s="907"/>
      <c r="C95" s="907"/>
      <c r="D95" s="907"/>
      <c r="E95" s="907"/>
      <c r="F95" s="907"/>
      <c r="G95" s="907"/>
      <c r="H95" s="907"/>
      <c r="I95" s="907"/>
      <c r="J95" s="907"/>
      <c r="K95" s="907"/>
      <c r="L95" s="907"/>
      <c r="M95" s="907"/>
      <c r="N95" s="907"/>
      <c r="O95" s="907"/>
      <c r="P95" s="907"/>
      <c r="Q95" s="907"/>
      <c r="R95" s="907"/>
      <c r="S95" s="907"/>
      <c r="T95" s="907"/>
      <c r="U95" s="907"/>
      <c r="V95" s="907"/>
      <c r="W95" s="907"/>
      <c r="X95" s="907"/>
      <c r="Y95" s="907"/>
      <c r="Z95" s="907"/>
      <c r="AA95" s="907"/>
    </row>
    <row r="96" spans="1:27">
      <c r="A96" s="907"/>
      <c r="B96" s="907"/>
      <c r="C96" s="907"/>
      <c r="D96" s="907"/>
      <c r="E96" s="907"/>
      <c r="F96" s="907"/>
      <c r="G96" s="907"/>
      <c r="H96" s="907"/>
      <c r="I96" s="907"/>
      <c r="J96" s="907"/>
      <c r="K96" s="907"/>
      <c r="L96" s="907"/>
      <c r="M96" s="907"/>
      <c r="N96" s="907"/>
      <c r="O96" s="907"/>
      <c r="P96" s="907"/>
      <c r="Q96" s="907"/>
      <c r="R96" s="907"/>
      <c r="S96" s="907"/>
      <c r="T96" s="907"/>
      <c r="U96" s="907"/>
      <c r="V96" s="907"/>
      <c r="W96" s="907"/>
      <c r="X96" s="907"/>
      <c r="Y96" s="907"/>
      <c r="Z96" s="907"/>
      <c r="AA96" s="907"/>
    </row>
    <row r="97" spans="1:27">
      <c r="A97" s="907"/>
      <c r="B97" s="907"/>
      <c r="C97" s="907"/>
      <c r="D97" s="907"/>
      <c r="E97" s="907"/>
      <c r="F97" s="907"/>
      <c r="G97" s="907"/>
      <c r="H97" s="907"/>
      <c r="I97" s="907"/>
      <c r="J97" s="907"/>
      <c r="K97" s="907"/>
      <c r="L97" s="907"/>
      <c r="M97" s="907"/>
      <c r="N97" s="907"/>
      <c r="O97" s="907"/>
      <c r="P97" s="907"/>
      <c r="Q97" s="907"/>
      <c r="R97" s="907"/>
      <c r="S97" s="907"/>
      <c r="T97" s="907"/>
      <c r="U97" s="907"/>
      <c r="V97" s="907"/>
      <c r="W97" s="907"/>
      <c r="X97" s="907"/>
      <c r="Y97" s="907"/>
      <c r="Z97" s="907"/>
      <c r="AA97" s="907"/>
    </row>
    <row r="98" spans="1:27">
      <c r="A98" s="907"/>
      <c r="B98" s="907"/>
      <c r="C98" s="907"/>
      <c r="D98" s="907"/>
      <c r="E98" s="907"/>
      <c r="F98" s="907"/>
      <c r="G98" s="907"/>
      <c r="H98" s="907"/>
      <c r="I98" s="907"/>
      <c r="J98" s="907"/>
      <c r="K98" s="907"/>
      <c r="L98" s="907"/>
      <c r="M98" s="907"/>
      <c r="N98" s="907"/>
      <c r="O98" s="907"/>
      <c r="P98" s="907"/>
      <c r="Q98" s="907"/>
      <c r="R98" s="907"/>
      <c r="S98" s="907"/>
      <c r="T98" s="907"/>
      <c r="U98" s="907"/>
      <c r="V98" s="907"/>
      <c r="W98" s="907"/>
      <c r="X98" s="907"/>
      <c r="Y98" s="907"/>
      <c r="Z98" s="907"/>
      <c r="AA98" s="907"/>
    </row>
    <row r="99" spans="1:27">
      <c r="A99" s="907"/>
      <c r="B99" s="907"/>
      <c r="C99" s="907"/>
      <c r="D99" s="907"/>
      <c r="E99" s="907"/>
      <c r="F99" s="907"/>
      <c r="G99" s="907"/>
      <c r="H99" s="907"/>
      <c r="I99" s="907"/>
      <c r="J99" s="907"/>
      <c r="K99" s="907"/>
      <c r="L99" s="907"/>
      <c r="M99" s="907"/>
      <c r="N99" s="907"/>
      <c r="O99" s="907"/>
      <c r="P99" s="907"/>
      <c r="Q99" s="907"/>
      <c r="R99" s="907"/>
      <c r="S99" s="907"/>
      <c r="T99" s="907"/>
      <c r="U99" s="907"/>
      <c r="V99" s="907"/>
      <c r="W99" s="907"/>
      <c r="X99" s="907"/>
      <c r="Y99" s="907"/>
      <c r="Z99" s="907"/>
      <c r="AA99" s="907"/>
    </row>
    <row r="100" spans="1:27">
      <c r="A100" s="907"/>
      <c r="B100" s="907"/>
      <c r="C100" s="907"/>
      <c r="D100" s="907"/>
      <c r="E100" s="907"/>
      <c r="F100" s="907"/>
      <c r="G100" s="907"/>
      <c r="H100" s="907"/>
      <c r="I100" s="907"/>
      <c r="J100" s="907"/>
      <c r="K100" s="907"/>
      <c r="L100" s="907"/>
      <c r="M100" s="907"/>
      <c r="N100" s="907"/>
      <c r="O100" s="907"/>
      <c r="P100" s="907"/>
      <c r="Q100" s="907"/>
      <c r="R100" s="907"/>
      <c r="S100" s="907"/>
      <c r="T100" s="907"/>
      <c r="U100" s="907"/>
      <c r="V100" s="907"/>
      <c r="W100" s="907"/>
      <c r="X100" s="907"/>
      <c r="Y100" s="907"/>
      <c r="Z100" s="907"/>
      <c r="AA100" s="907"/>
    </row>
    <row r="101" spans="1:27">
      <c r="A101" s="907"/>
      <c r="B101" s="907"/>
      <c r="C101" s="907"/>
      <c r="D101" s="907"/>
      <c r="E101" s="907"/>
      <c r="F101" s="907"/>
      <c r="G101" s="907"/>
      <c r="H101" s="907"/>
      <c r="I101" s="907"/>
      <c r="J101" s="907"/>
      <c r="K101" s="907"/>
      <c r="L101" s="907"/>
      <c r="M101" s="907"/>
      <c r="N101" s="907"/>
      <c r="O101" s="907"/>
      <c r="P101" s="907"/>
      <c r="Q101" s="907"/>
      <c r="R101" s="907"/>
      <c r="S101" s="907"/>
      <c r="T101" s="907"/>
      <c r="U101" s="907"/>
      <c r="V101" s="907"/>
      <c r="W101" s="907"/>
      <c r="X101" s="907"/>
      <c r="Y101" s="907"/>
      <c r="Z101" s="907"/>
      <c r="AA101" s="907"/>
    </row>
    <row r="102" spans="1:27">
      <c r="A102" s="907"/>
      <c r="B102" s="907"/>
      <c r="C102" s="907"/>
      <c r="D102" s="907"/>
      <c r="E102" s="907"/>
      <c r="F102" s="907"/>
      <c r="G102" s="907"/>
      <c r="H102" s="907"/>
      <c r="I102" s="907"/>
      <c r="J102" s="907"/>
      <c r="K102" s="907"/>
      <c r="L102" s="907"/>
      <c r="M102" s="907"/>
      <c r="N102" s="907"/>
      <c r="O102" s="907"/>
      <c r="P102" s="907"/>
      <c r="Q102" s="907"/>
      <c r="R102" s="907"/>
      <c r="S102" s="907"/>
      <c r="T102" s="907"/>
      <c r="U102" s="907"/>
      <c r="V102" s="907"/>
      <c r="W102" s="907"/>
      <c r="X102" s="907"/>
      <c r="Y102" s="907"/>
      <c r="Z102" s="907"/>
      <c r="AA102" s="907"/>
    </row>
    <row r="103" spans="1:27">
      <c r="A103" s="907"/>
      <c r="B103" s="907"/>
      <c r="C103" s="907"/>
      <c r="D103" s="907"/>
      <c r="E103" s="907"/>
      <c r="F103" s="907"/>
      <c r="G103" s="907"/>
      <c r="H103" s="907"/>
      <c r="I103" s="907"/>
      <c r="J103" s="907"/>
      <c r="K103" s="907"/>
      <c r="L103" s="907"/>
      <c r="M103" s="907"/>
      <c r="N103" s="907"/>
      <c r="O103" s="907"/>
      <c r="P103" s="907"/>
      <c r="Q103" s="907"/>
      <c r="R103" s="907"/>
      <c r="S103" s="907"/>
      <c r="T103" s="907"/>
      <c r="U103" s="907"/>
      <c r="V103" s="907"/>
      <c r="W103" s="907"/>
      <c r="X103" s="907"/>
      <c r="Y103" s="907"/>
      <c r="Z103" s="907"/>
      <c r="AA103" s="907"/>
    </row>
    <row r="104" spans="1:27">
      <c r="A104" s="907"/>
      <c r="B104" s="907"/>
      <c r="C104" s="907"/>
      <c r="D104" s="907"/>
      <c r="E104" s="907"/>
      <c r="F104" s="907"/>
      <c r="G104" s="907"/>
      <c r="H104" s="907"/>
      <c r="I104" s="907"/>
      <c r="J104" s="907"/>
      <c r="K104" s="907"/>
      <c r="L104" s="907"/>
      <c r="M104" s="907"/>
      <c r="N104" s="907"/>
      <c r="O104" s="907"/>
      <c r="P104" s="907"/>
      <c r="Q104" s="907"/>
      <c r="R104" s="907"/>
      <c r="S104" s="907"/>
      <c r="T104" s="907"/>
      <c r="U104" s="907"/>
      <c r="V104" s="907"/>
      <c r="W104" s="907"/>
      <c r="X104" s="907"/>
      <c r="Y104" s="907"/>
      <c r="Z104" s="907"/>
      <c r="AA104" s="907"/>
    </row>
    <row r="105" spans="1:27">
      <c r="A105" s="907"/>
      <c r="B105" s="907"/>
      <c r="C105" s="907"/>
      <c r="D105" s="907"/>
      <c r="E105" s="907"/>
      <c r="F105" s="907"/>
      <c r="G105" s="907"/>
      <c r="H105" s="907"/>
      <c r="I105" s="907"/>
      <c r="J105" s="907"/>
      <c r="K105" s="907"/>
      <c r="L105" s="907"/>
      <c r="M105" s="907"/>
      <c r="N105" s="907"/>
      <c r="O105" s="907"/>
      <c r="P105" s="907"/>
      <c r="Q105" s="907"/>
      <c r="R105" s="907"/>
      <c r="S105" s="907"/>
      <c r="T105" s="907"/>
      <c r="U105" s="907"/>
      <c r="V105" s="907"/>
      <c r="W105" s="907"/>
      <c r="X105" s="907"/>
      <c r="Y105" s="907"/>
      <c r="Z105" s="907"/>
      <c r="AA105" s="907"/>
    </row>
    <row r="106" spans="1:27">
      <c r="A106" s="907"/>
      <c r="B106" s="907"/>
      <c r="C106" s="907"/>
      <c r="D106" s="907"/>
      <c r="E106" s="907"/>
      <c r="F106" s="907"/>
      <c r="G106" s="907"/>
      <c r="H106" s="907"/>
      <c r="I106" s="907"/>
      <c r="J106" s="907"/>
      <c r="K106" s="907"/>
      <c r="L106" s="907"/>
      <c r="M106" s="907"/>
      <c r="N106" s="907"/>
      <c r="O106" s="907"/>
      <c r="P106" s="907"/>
      <c r="Q106" s="907"/>
      <c r="R106" s="907"/>
      <c r="S106" s="907"/>
      <c r="T106" s="907"/>
      <c r="U106" s="907"/>
      <c r="V106" s="907"/>
      <c r="W106" s="907"/>
      <c r="X106" s="907"/>
      <c r="Y106" s="907"/>
      <c r="Z106" s="907"/>
      <c r="AA106" s="907"/>
    </row>
    <row r="107" spans="1:27">
      <c r="A107" s="907"/>
      <c r="B107" s="907"/>
      <c r="C107" s="907"/>
      <c r="D107" s="907"/>
      <c r="E107" s="907"/>
      <c r="F107" s="907"/>
      <c r="G107" s="907"/>
      <c r="H107" s="907"/>
      <c r="I107" s="907"/>
      <c r="J107" s="907"/>
      <c r="K107" s="907"/>
      <c r="L107" s="907"/>
      <c r="M107" s="907"/>
      <c r="N107" s="907"/>
      <c r="O107" s="907"/>
      <c r="P107" s="907"/>
      <c r="Q107" s="907"/>
      <c r="R107" s="907"/>
      <c r="S107" s="907"/>
      <c r="T107" s="907"/>
      <c r="U107" s="907"/>
      <c r="V107" s="907"/>
      <c r="W107" s="907"/>
      <c r="X107" s="907"/>
      <c r="Y107" s="907"/>
      <c r="Z107" s="907"/>
      <c r="AA107" s="907"/>
    </row>
    <row r="108" spans="1:27">
      <c r="A108" s="907"/>
      <c r="B108" s="907"/>
      <c r="C108" s="907"/>
      <c r="D108" s="907"/>
      <c r="E108" s="907"/>
      <c r="F108" s="907"/>
      <c r="G108" s="907"/>
      <c r="H108" s="907"/>
      <c r="I108" s="907"/>
      <c r="J108" s="907"/>
      <c r="K108" s="907"/>
      <c r="L108" s="907"/>
      <c r="M108" s="907"/>
      <c r="N108" s="907"/>
      <c r="O108" s="907"/>
      <c r="P108" s="907"/>
      <c r="Q108" s="907"/>
      <c r="R108" s="907"/>
      <c r="S108" s="907"/>
      <c r="T108" s="907"/>
      <c r="U108" s="907"/>
      <c r="V108" s="907"/>
      <c r="W108" s="907"/>
      <c r="X108" s="907"/>
      <c r="Y108" s="907"/>
      <c r="Z108" s="907"/>
      <c r="AA108" s="907"/>
    </row>
    <row r="109" spans="1:27">
      <c r="A109" s="907"/>
      <c r="B109" s="907"/>
      <c r="C109" s="907"/>
      <c r="D109" s="907"/>
      <c r="E109" s="907"/>
      <c r="F109" s="907"/>
      <c r="G109" s="907"/>
      <c r="H109" s="907"/>
      <c r="I109" s="907"/>
      <c r="J109" s="907"/>
      <c r="K109" s="907"/>
      <c r="L109" s="907"/>
      <c r="M109" s="907"/>
      <c r="N109" s="907"/>
      <c r="O109" s="907"/>
      <c r="P109" s="907"/>
      <c r="Q109" s="907"/>
      <c r="R109" s="907"/>
      <c r="S109" s="907"/>
      <c r="T109" s="907"/>
      <c r="U109" s="907"/>
      <c r="V109" s="907"/>
      <c r="W109" s="907"/>
      <c r="X109" s="907"/>
      <c r="Y109" s="907"/>
      <c r="Z109" s="907"/>
      <c r="AA109" s="907"/>
    </row>
    <row r="110" spans="1:27">
      <c r="A110" s="907"/>
      <c r="B110" s="907"/>
      <c r="C110" s="907"/>
      <c r="D110" s="907"/>
      <c r="E110" s="907"/>
      <c r="F110" s="907"/>
      <c r="G110" s="907"/>
      <c r="H110" s="907"/>
      <c r="I110" s="907"/>
      <c r="J110" s="907"/>
      <c r="K110" s="907"/>
      <c r="L110" s="907"/>
      <c r="M110" s="907"/>
      <c r="N110" s="907"/>
      <c r="O110" s="907"/>
      <c r="P110" s="907"/>
      <c r="Q110" s="907"/>
      <c r="R110" s="907"/>
      <c r="S110" s="907"/>
      <c r="T110" s="907"/>
      <c r="U110" s="907"/>
      <c r="V110" s="907"/>
      <c r="W110" s="907"/>
      <c r="X110" s="907"/>
      <c r="Y110" s="907"/>
      <c r="Z110" s="907"/>
      <c r="AA110" s="907"/>
    </row>
    <row r="111" spans="1:27">
      <c r="A111" s="907"/>
      <c r="B111" s="907"/>
      <c r="C111" s="907"/>
      <c r="D111" s="907"/>
      <c r="E111" s="907"/>
      <c r="F111" s="907"/>
      <c r="G111" s="907"/>
      <c r="H111" s="907"/>
      <c r="I111" s="907"/>
      <c r="J111" s="907"/>
      <c r="K111" s="907"/>
      <c r="L111" s="907"/>
      <c r="M111" s="907"/>
      <c r="N111" s="907"/>
      <c r="O111" s="907"/>
      <c r="P111" s="907"/>
      <c r="Q111" s="907"/>
      <c r="R111" s="907"/>
      <c r="S111" s="907"/>
      <c r="T111" s="907"/>
      <c r="U111" s="907"/>
      <c r="V111" s="907"/>
      <c r="W111" s="907"/>
      <c r="X111" s="907"/>
      <c r="Y111" s="907"/>
      <c r="Z111" s="907"/>
      <c r="AA111" s="907"/>
    </row>
    <row r="112" spans="1:27">
      <c r="A112" s="907"/>
      <c r="B112" s="907"/>
      <c r="C112" s="907"/>
      <c r="D112" s="907"/>
      <c r="E112" s="907"/>
      <c r="F112" s="907"/>
      <c r="G112" s="907"/>
      <c r="H112" s="907"/>
      <c r="I112" s="907"/>
      <c r="J112" s="907"/>
      <c r="K112" s="907"/>
      <c r="L112" s="907"/>
      <c r="M112" s="907"/>
      <c r="N112" s="907"/>
      <c r="O112" s="907"/>
      <c r="P112" s="907"/>
      <c r="Q112" s="907"/>
      <c r="R112" s="907"/>
      <c r="S112" s="907"/>
      <c r="T112" s="907"/>
      <c r="U112" s="907"/>
      <c r="V112" s="907"/>
      <c r="W112" s="907"/>
      <c r="X112" s="907"/>
      <c r="Y112" s="907"/>
      <c r="Z112" s="907"/>
      <c r="AA112" s="907"/>
    </row>
    <row r="113" spans="1:27">
      <c r="A113" s="907"/>
      <c r="B113" s="907"/>
      <c r="C113" s="907"/>
      <c r="D113" s="907"/>
      <c r="E113" s="907"/>
      <c r="F113" s="907"/>
      <c r="G113" s="907"/>
      <c r="H113" s="907"/>
      <c r="I113" s="907"/>
      <c r="J113" s="907"/>
      <c r="K113" s="907"/>
      <c r="L113" s="907"/>
      <c r="M113" s="907"/>
      <c r="N113" s="907"/>
      <c r="O113" s="907"/>
      <c r="P113" s="907"/>
      <c r="Q113" s="907"/>
      <c r="R113" s="907"/>
      <c r="S113" s="907"/>
      <c r="T113" s="907"/>
      <c r="U113" s="907"/>
      <c r="V113" s="907"/>
      <c r="W113" s="907"/>
      <c r="X113" s="907"/>
      <c r="Y113" s="907"/>
      <c r="Z113" s="907"/>
      <c r="AA113" s="907"/>
    </row>
    <row r="114" spans="1:27">
      <c r="A114" s="907"/>
      <c r="B114" s="907"/>
      <c r="C114" s="907"/>
      <c r="D114" s="907"/>
      <c r="E114" s="907"/>
      <c r="F114" s="907"/>
      <c r="G114" s="907"/>
      <c r="H114" s="907"/>
      <c r="I114" s="907"/>
      <c r="J114" s="907"/>
      <c r="K114" s="907"/>
      <c r="L114" s="907"/>
      <c r="M114" s="907"/>
      <c r="N114" s="907"/>
      <c r="O114" s="907"/>
      <c r="P114" s="907"/>
      <c r="Q114" s="907"/>
      <c r="R114" s="907"/>
      <c r="S114" s="907"/>
      <c r="T114" s="907"/>
      <c r="U114" s="907"/>
      <c r="V114" s="907"/>
      <c r="W114" s="907"/>
      <c r="X114" s="907"/>
      <c r="Y114" s="907"/>
      <c r="Z114" s="907"/>
      <c r="AA114" s="907"/>
    </row>
    <row r="115" spans="1:27">
      <c r="A115" s="907"/>
      <c r="B115" s="907"/>
      <c r="C115" s="907"/>
      <c r="D115" s="907"/>
      <c r="E115" s="907"/>
      <c r="F115" s="907"/>
      <c r="G115" s="907"/>
      <c r="H115" s="907"/>
      <c r="I115" s="907"/>
      <c r="J115" s="907"/>
      <c r="K115" s="907"/>
      <c r="L115" s="907"/>
      <c r="M115" s="907"/>
      <c r="N115" s="907"/>
      <c r="O115" s="907"/>
      <c r="P115" s="907"/>
      <c r="Q115" s="907"/>
      <c r="R115" s="907"/>
      <c r="S115" s="907"/>
      <c r="T115" s="907"/>
      <c r="U115" s="907"/>
      <c r="V115" s="907"/>
      <c r="W115" s="907"/>
      <c r="X115" s="907"/>
      <c r="Y115" s="907"/>
      <c r="Z115" s="907"/>
      <c r="AA115" s="907"/>
    </row>
    <row r="116" spans="1:27">
      <c r="A116" s="907"/>
      <c r="B116" s="907"/>
      <c r="C116" s="907"/>
      <c r="D116" s="907"/>
      <c r="E116" s="907"/>
      <c r="F116" s="907"/>
      <c r="G116" s="907"/>
      <c r="H116" s="907"/>
      <c r="I116" s="907"/>
      <c r="J116" s="907"/>
      <c r="K116" s="907"/>
      <c r="L116" s="907"/>
      <c r="M116" s="907"/>
      <c r="N116" s="907"/>
      <c r="O116" s="907"/>
      <c r="P116" s="907"/>
      <c r="Q116" s="907"/>
      <c r="R116" s="907"/>
      <c r="S116" s="907"/>
      <c r="T116" s="907"/>
      <c r="U116" s="907"/>
      <c r="V116" s="907"/>
      <c r="W116" s="907"/>
      <c r="X116" s="907"/>
      <c r="Y116" s="907"/>
      <c r="Z116" s="907"/>
      <c r="AA116" s="907"/>
    </row>
    <row r="117" spans="1:27">
      <c r="A117" s="907"/>
      <c r="B117" s="907"/>
      <c r="C117" s="907"/>
      <c r="D117" s="907"/>
      <c r="E117" s="907"/>
      <c r="F117" s="907"/>
      <c r="G117" s="907"/>
      <c r="H117" s="907"/>
      <c r="I117" s="907"/>
      <c r="J117" s="907"/>
      <c r="K117" s="907"/>
      <c r="L117" s="907"/>
      <c r="M117" s="907"/>
      <c r="N117" s="907"/>
      <c r="O117" s="907"/>
      <c r="P117" s="907"/>
      <c r="Q117" s="907"/>
      <c r="R117" s="907"/>
      <c r="S117" s="907"/>
      <c r="T117" s="907"/>
      <c r="U117" s="907"/>
      <c r="V117" s="907"/>
      <c r="W117" s="907"/>
      <c r="X117" s="907"/>
      <c r="Y117" s="907"/>
      <c r="Z117" s="907"/>
      <c r="AA117" s="907"/>
    </row>
    <row r="118" spans="1:27">
      <c r="A118" s="907"/>
      <c r="B118" s="907"/>
      <c r="C118" s="907"/>
      <c r="D118" s="907"/>
      <c r="E118" s="907"/>
      <c r="F118" s="907"/>
      <c r="G118" s="907"/>
      <c r="H118" s="907"/>
      <c r="I118" s="907"/>
      <c r="J118" s="907"/>
      <c r="K118" s="907"/>
      <c r="L118" s="907"/>
      <c r="M118" s="907"/>
      <c r="N118" s="907"/>
      <c r="O118" s="907"/>
      <c r="P118" s="907"/>
      <c r="Q118" s="907"/>
      <c r="R118" s="907"/>
      <c r="S118" s="907"/>
      <c r="T118" s="907"/>
      <c r="U118" s="907"/>
      <c r="V118" s="907"/>
      <c r="W118" s="907"/>
      <c r="X118" s="907"/>
      <c r="Y118" s="907"/>
      <c r="Z118" s="907"/>
      <c r="AA118" s="907"/>
    </row>
    <row r="119" spans="1:27">
      <c r="A119" s="907"/>
      <c r="B119" s="907"/>
      <c r="C119" s="907"/>
      <c r="D119" s="907"/>
      <c r="E119" s="907"/>
      <c r="F119" s="907"/>
      <c r="G119" s="907"/>
      <c r="H119" s="907"/>
      <c r="I119" s="907"/>
      <c r="J119" s="907"/>
      <c r="K119" s="907"/>
      <c r="L119" s="907"/>
      <c r="M119" s="907"/>
      <c r="N119" s="907"/>
      <c r="O119" s="907"/>
      <c r="P119" s="907"/>
      <c r="Q119" s="907"/>
      <c r="R119" s="907"/>
      <c r="S119" s="907"/>
      <c r="T119" s="907"/>
      <c r="U119" s="907"/>
      <c r="V119" s="907"/>
      <c r="W119" s="907"/>
      <c r="X119" s="907"/>
      <c r="Y119" s="907"/>
      <c r="Z119" s="907"/>
      <c r="AA119" s="907"/>
    </row>
    <row r="120" spans="1:27">
      <c r="A120" s="907"/>
      <c r="B120" s="907"/>
      <c r="C120" s="907"/>
      <c r="D120" s="907"/>
      <c r="E120" s="907"/>
      <c r="F120" s="907"/>
      <c r="G120" s="907"/>
      <c r="H120" s="907"/>
      <c r="I120" s="907"/>
      <c r="J120" s="907"/>
      <c r="K120" s="907"/>
      <c r="L120" s="907"/>
      <c r="M120" s="907"/>
      <c r="N120" s="907"/>
      <c r="O120" s="907"/>
      <c r="P120" s="907"/>
      <c r="Q120" s="907"/>
      <c r="R120" s="907"/>
      <c r="S120" s="907"/>
      <c r="T120" s="907"/>
      <c r="U120" s="907"/>
      <c r="V120" s="907"/>
      <c r="W120" s="907"/>
      <c r="X120" s="907"/>
      <c r="Y120" s="907"/>
      <c r="Z120" s="907"/>
      <c r="AA120" s="907"/>
    </row>
    <row r="121" spans="1:27">
      <c r="A121" s="907"/>
      <c r="B121" s="907"/>
      <c r="C121" s="907"/>
      <c r="D121" s="907"/>
      <c r="E121" s="907"/>
      <c r="F121" s="907"/>
      <c r="G121" s="907"/>
      <c r="H121" s="907"/>
      <c r="I121" s="907"/>
      <c r="J121" s="907"/>
      <c r="K121" s="907"/>
      <c r="L121" s="907"/>
      <c r="M121" s="907"/>
      <c r="N121" s="907"/>
      <c r="O121" s="907"/>
      <c r="P121" s="907"/>
      <c r="Q121" s="907"/>
      <c r="R121" s="907"/>
      <c r="S121" s="907"/>
      <c r="T121" s="907"/>
      <c r="U121" s="907"/>
      <c r="V121" s="907"/>
      <c r="W121" s="907"/>
      <c r="X121" s="907"/>
      <c r="Y121" s="907"/>
      <c r="Z121" s="907"/>
      <c r="AA121" s="907"/>
    </row>
    <row r="122" spans="1:27">
      <c r="A122" s="907"/>
      <c r="B122" s="907"/>
      <c r="C122" s="907"/>
      <c r="D122" s="907"/>
      <c r="E122" s="907"/>
      <c r="F122" s="907"/>
      <c r="G122" s="907"/>
      <c r="H122" s="907"/>
      <c r="I122" s="907"/>
      <c r="J122" s="907"/>
      <c r="K122" s="907"/>
      <c r="L122" s="907"/>
      <c r="M122" s="907"/>
      <c r="N122" s="907"/>
      <c r="O122" s="907"/>
      <c r="P122" s="907"/>
      <c r="Q122" s="907"/>
      <c r="R122" s="907"/>
      <c r="S122" s="907"/>
      <c r="T122" s="907"/>
      <c r="U122" s="907"/>
      <c r="V122" s="907"/>
      <c r="W122" s="907"/>
      <c r="X122" s="907"/>
      <c r="Y122" s="907"/>
      <c r="Z122" s="907"/>
      <c r="AA122" s="907"/>
    </row>
    <row r="123" spans="1:27">
      <c r="A123" s="907"/>
      <c r="B123" s="907"/>
      <c r="C123" s="907"/>
      <c r="D123" s="907"/>
      <c r="E123" s="907"/>
      <c r="F123" s="907"/>
      <c r="G123" s="907"/>
      <c r="H123" s="907"/>
      <c r="I123" s="907"/>
      <c r="J123" s="907"/>
      <c r="K123" s="907"/>
      <c r="L123" s="907"/>
      <c r="M123" s="907"/>
      <c r="N123" s="907"/>
      <c r="O123" s="907"/>
      <c r="P123" s="907"/>
      <c r="Q123" s="907"/>
      <c r="R123" s="907"/>
      <c r="S123" s="907"/>
      <c r="T123" s="907"/>
      <c r="U123" s="907"/>
      <c r="V123" s="907"/>
      <c r="W123" s="907"/>
      <c r="X123" s="907"/>
      <c r="Y123" s="907"/>
      <c r="Z123" s="907"/>
      <c r="AA123" s="907"/>
    </row>
    <row r="124" spans="1:27">
      <c r="A124" s="907"/>
      <c r="B124" s="907"/>
      <c r="C124" s="907"/>
      <c r="D124" s="907"/>
      <c r="E124" s="907"/>
      <c r="F124" s="907"/>
      <c r="G124" s="907"/>
      <c r="H124" s="907"/>
      <c r="I124" s="907"/>
      <c r="J124" s="907"/>
      <c r="K124" s="907"/>
      <c r="L124" s="907"/>
      <c r="M124" s="907"/>
      <c r="N124" s="907"/>
      <c r="O124" s="907"/>
      <c r="P124" s="907"/>
      <c r="Q124" s="907"/>
      <c r="R124" s="907"/>
      <c r="S124" s="907"/>
      <c r="T124" s="907"/>
      <c r="U124" s="907"/>
      <c r="V124" s="907"/>
      <c r="W124" s="907"/>
      <c r="X124" s="907"/>
      <c r="Y124" s="907"/>
      <c r="Z124" s="907"/>
      <c r="AA124" s="907"/>
    </row>
    <row r="125" spans="1:27">
      <c r="A125" s="907"/>
      <c r="B125" s="907"/>
      <c r="C125" s="907"/>
      <c r="D125" s="907"/>
      <c r="E125" s="907"/>
      <c r="F125" s="907"/>
      <c r="G125" s="907"/>
      <c r="H125" s="907"/>
      <c r="I125" s="907"/>
      <c r="J125" s="907"/>
      <c r="K125" s="907"/>
      <c r="L125" s="907"/>
      <c r="M125" s="907"/>
      <c r="N125" s="907"/>
      <c r="O125" s="907"/>
      <c r="P125" s="907"/>
      <c r="Q125" s="907"/>
      <c r="R125" s="907"/>
      <c r="S125" s="907"/>
      <c r="T125" s="907"/>
      <c r="U125" s="907"/>
      <c r="V125" s="907"/>
      <c r="W125" s="907"/>
      <c r="X125" s="907"/>
      <c r="Y125" s="907"/>
      <c r="Z125" s="907"/>
      <c r="AA125" s="907"/>
    </row>
    <row r="126" spans="1:27">
      <c r="A126" s="907"/>
      <c r="B126" s="907"/>
      <c r="C126" s="907"/>
      <c r="D126" s="907"/>
      <c r="E126" s="907"/>
      <c r="F126" s="907"/>
      <c r="G126" s="907"/>
      <c r="H126" s="907"/>
      <c r="I126" s="907"/>
      <c r="J126" s="907"/>
      <c r="K126" s="907"/>
      <c r="L126" s="907"/>
      <c r="M126" s="907"/>
      <c r="N126" s="907"/>
      <c r="O126" s="907"/>
      <c r="P126" s="907"/>
      <c r="Q126" s="907"/>
      <c r="R126" s="907"/>
      <c r="S126" s="907"/>
      <c r="T126" s="907"/>
      <c r="U126" s="907"/>
      <c r="V126" s="907"/>
      <c r="W126" s="907"/>
      <c r="X126" s="907"/>
      <c r="Y126" s="907"/>
      <c r="Z126" s="907"/>
      <c r="AA126" s="907"/>
    </row>
    <row r="127" spans="1:27">
      <c r="A127" s="907"/>
      <c r="B127" s="907"/>
      <c r="C127" s="907"/>
      <c r="D127" s="907"/>
      <c r="E127" s="907"/>
      <c r="F127" s="907"/>
      <c r="G127" s="907"/>
      <c r="H127" s="907"/>
      <c r="I127" s="907"/>
      <c r="J127" s="907"/>
      <c r="K127" s="907"/>
      <c r="L127" s="907"/>
      <c r="M127" s="907"/>
      <c r="N127" s="907"/>
      <c r="O127" s="907"/>
      <c r="P127" s="907"/>
      <c r="Q127" s="907"/>
      <c r="R127" s="907"/>
      <c r="S127" s="907"/>
      <c r="T127" s="907"/>
      <c r="U127" s="907"/>
      <c r="V127" s="907"/>
      <c r="W127" s="907"/>
      <c r="X127" s="907"/>
      <c r="Y127" s="907"/>
      <c r="Z127" s="907"/>
      <c r="AA127" s="907"/>
    </row>
    <row r="128" spans="1:27">
      <c r="A128" s="907"/>
      <c r="B128" s="907"/>
      <c r="C128" s="907"/>
      <c r="D128" s="907"/>
      <c r="E128" s="907"/>
      <c r="F128" s="907"/>
      <c r="G128" s="907"/>
      <c r="H128" s="907"/>
      <c r="I128" s="907"/>
      <c r="J128" s="907"/>
      <c r="K128" s="907"/>
      <c r="L128" s="907"/>
      <c r="M128" s="907"/>
      <c r="N128" s="907"/>
      <c r="O128" s="907"/>
      <c r="P128" s="907"/>
      <c r="Q128" s="907"/>
      <c r="R128" s="907"/>
      <c r="S128" s="907"/>
      <c r="T128" s="907"/>
      <c r="U128" s="907"/>
      <c r="V128" s="907"/>
      <c r="W128" s="907"/>
      <c r="X128" s="907"/>
      <c r="Y128" s="907"/>
      <c r="Z128" s="907"/>
      <c r="AA128" s="907"/>
    </row>
    <row r="129" spans="1:27">
      <c r="A129" s="907"/>
      <c r="B129" s="907"/>
      <c r="C129" s="907"/>
      <c r="D129" s="907"/>
      <c r="E129" s="907"/>
      <c r="F129" s="907"/>
      <c r="G129" s="907"/>
      <c r="H129" s="907"/>
      <c r="I129" s="907"/>
      <c r="J129" s="907"/>
      <c r="K129" s="907"/>
      <c r="L129" s="907"/>
      <c r="M129" s="907"/>
      <c r="N129" s="907"/>
      <c r="O129" s="907"/>
      <c r="P129" s="907"/>
      <c r="Q129" s="907"/>
      <c r="R129" s="907"/>
      <c r="S129" s="907"/>
      <c r="T129" s="907"/>
      <c r="U129" s="907"/>
      <c r="V129" s="907"/>
      <c r="W129" s="907"/>
      <c r="X129" s="907"/>
      <c r="Y129" s="907"/>
      <c r="Z129" s="907"/>
      <c r="AA129" s="907"/>
    </row>
    <row r="130" spans="1:27">
      <c r="A130" s="907"/>
      <c r="B130" s="907"/>
      <c r="C130" s="907"/>
      <c r="D130" s="907"/>
      <c r="E130" s="907"/>
      <c r="F130" s="907"/>
      <c r="G130" s="907"/>
      <c r="H130" s="907"/>
      <c r="I130" s="907"/>
      <c r="J130" s="907"/>
      <c r="K130" s="907"/>
      <c r="L130" s="907"/>
      <c r="M130" s="907"/>
      <c r="N130" s="907"/>
      <c r="O130" s="907"/>
      <c r="P130" s="907"/>
      <c r="Q130" s="907"/>
      <c r="R130" s="907"/>
      <c r="S130" s="907"/>
      <c r="T130" s="907"/>
      <c r="U130" s="907"/>
      <c r="V130" s="907"/>
      <c r="W130" s="907"/>
      <c r="X130" s="907"/>
      <c r="Y130" s="907"/>
      <c r="Z130" s="907"/>
      <c r="AA130" s="907"/>
    </row>
    <row r="131" spans="1:27">
      <c r="A131" s="907"/>
      <c r="B131" s="907"/>
      <c r="C131" s="907"/>
      <c r="D131" s="907"/>
      <c r="E131" s="907"/>
      <c r="F131" s="907"/>
      <c r="G131" s="907"/>
      <c r="H131" s="907"/>
      <c r="I131" s="907"/>
      <c r="J131" s="907"/>
      <c r="K131" s="907"/>
      <c r="L131" s="907"/>
      <c r="M131" s="907"/>
      <c r="N131" s="907"/>
      <c r="O131" s="907"/>
      <c r="P131" s="907"/>
      <c r="Q131" s="907"/>
      <c r="R131" s="907"/>
      <c r="S131" s="907"/>
      <c r="T131" s="907"/>
      <c r="U131" s="907"/>
      <c r="V131" s="907"/>
      <c r="W131" s="907"/>
      <c r="X131" s="907"/>
      <c r="Y131" s="907"/>
      <c r="Z131" s="907"/>
      <c r="AA131" s="907"/>
    </row>
    <row r="132" spans="1:27">
      <c r="A132" s="907"/>
      <c r="B132" s="907"/>
      <c r="C132" s="907"/>
      <c r="D132" s="907"/>
      <c r="E132" s="907"/>
      <c r="F132" s="907"/>
      <c r="G132" s="907"/>
      <c r="H132" s="907"/>
      <c r="I132" s="907"/>
      <c r="J132" s="907"/>
      <c r="K132" s="907"/>
      <c r="L132" s="907"/>
      <c r="M132" s="907"/>
      <c r="N132" s="907"/>
      <c r="O132" s="907"/>
      <c r="P132" s="907"/>
      <c r="Q132" s="907"/>
      <c r="R132" s="907"/>
      <c r="S132" s="907"/>
      <c r="T132" s="907"/>
      <c r="U132" s="907"/>
      <c r="V132" s="907"/>
      <c r="W132" s="907"/>
      <c r="X132" s="907"/>
      <c r="Y132" s="907"/>
      <c r="Z132" s="907"/>
      <c r="AA132" s="907"/>
    </row>
    <row r="133" spans="1:27">
      <c r="A133" s="907"/>
      <c r="B133" s="907"/>
      <c r="C133" s="907"/>
      <c r="D133" s="907"/>
      <c r="E133" s="907"/>
      <c r="F133" s="907"/>
      <c r="G133" s="907"/>
      <c r="H133" s="907"/>
      <c r="I133" s="907"/>
      <c r="J133" s="907"/>
      <c r="K133" s="907"/>
      <c r="L133" s="907"/>
      <c r="M133" s="907"/>
      <c r="N133" s="907"/>
      <c r="O133" s="907"/>
      <c r="P133" s="907"/>
      <c r="Q133" s="907"/>
      <c r="R133" s="907"/>
      <c r="S133" s="907"/>
      <c r="T133" s="907"/>
      <c r="U133" s="907"/>
      <c r="V133" s="907"/>
      <c r="W133" s="907"/>
      <c r="X133" s="907"/>
      <c r="Y133" s="907"/>
      <c r="Z133" s="907"/>
      <c r="AA133" s="907"/>
    </row>
    <row r="134" spans="1:27">
      <c r="A134" s="907"/>
      <c r="B134" s="907"/>
      <c r="C134" s="907"/>
      <c r="D134" s="907"/>
      <c r="E134" s="907"/>
      <c r="F134" s="907"/>
      <c r="G134" s="907"/>
      <c r="H134" s="907"/>
      <c r="I134" s="907"/>
      <c r="J134" s="907"/>
      <c r="K134" s="907"/>
      <c r="L134" s="907"/>
      <c r="M134" s="907"/>
      <c r="N134" s="907"/>
      <c r="O134" s="907"/>
      <c r="P134" s="907"/>
      <c r="Q134" s="907"/>
      <c r="R134" s="907"/>
      <c r="S134" s="907"/>
      <c r="T134" s="907"/>
      <c r="U134" s="907"/>
      <c r="V134" s="907"/>
      <c r="W134" s="907"/>
      <c r="X134" s="907"/>
      <c r="Y134" s="907"/>
      <c r="Z134" s="907"/>
      <c r="AA134" s="907"/>
    </row>
    <row r="135" spans="1:27">
      <c r="A135" s="907"/>
      <c r="B135" s="907"/>
      <c r="C135" s="907"/>
      <c r="D135" s="907"/>
      <c r="E135" s="907"/>
      <c r="F135" s="907"/>
      <c r="G135" s="907"/>
      <c r="H135" s="907"/>
      <c r="I135" s="907"/>
      <c r="J135" s="907"/>
      <c r="K135" s="907"/>
      <c r="L135" s="907"/>
      <c r="M135" s="907"/>
      <c r="N135" s="907"/>
      <c r="O135" s="907"/>
      <c r="P135" s="907"/>
      <c r="Q135" s="907"/>
      <c r="R135" s="907"/>
      <c r="S135" s="907"/>
      <c r="T135" s="907"/>
      <c r="U135" s="907"/>
      <c r="V135" s="907"/>
      <c r="W135" s="907"/>
      <c r="X135" s="907"/>
      <c r="Y135" s="907"/>
      <c r="Z135" s="907"/>
      <c r="AA135" s="907"/>
    </row>
    <row r="136" spans="1:27">
      <c r="A136" s="907"/>
      <c r="B136" s="907"/>
      <c r="C136" s="907"/>
      <c r="D136" s="907"/>
      <c r="E136" s="907"/>
      <c r="F136" s="907"/>
      <c r="G136" s="907"/>
      <c r="H136" s="907"/>
      <c r="I136" s="907"/>
      <c r="J136" s="907"/>
      <c r="K136" s="907"/>
      <c r="L136" s="907"/>
      <c r="M136" s="907"/>
      <c r="N136" s="907"/>
      <c r="O136" s="907"/>
      <c r="P136" s="907"/>
      <c r="Q136" s="907"/>
      <c r="R136" s="907"/>
      <c r="S136" s="907"/>
      <c r="T136" s="907"/>
      <c r="U136" s="907"/>
      <c r="V136" s="907"/>
      <c r="W136" s="907"/>
      <c r="X136" s="907"/>
      <c r="Y136" s="907"/>
      <c r="Z136" s="907"/>
      <c r="AA136" s="907"/>
    </row>
    <row r="137" spans="1:27">
      <c r="A137" s="907"/>
      <c r="B137" s="907"/>
      <c r="C137" s="907"/>
      <c r="D137" s="907"/>
      <c r="E137" s="907"/>
      <c r="F137" s="907"/>
      <c r="G137" s="907"/>
      <c r="H137" s="907"/>
      <c r="I137" s="907"/>
      <c r="J137" s="907"/>
      <c r="K137" s="907"/>
      <c r="L137" s="907"/>
      <c r="M137" s="907"/>
      <c r="N137" s="907"/>
      <c r="O137" s="907"/>
      <c r="P137" s="907"/>
      <c r="Q137" s="907"/>
      <c r="R137" s="907"/>
      <c r="S137" s="907"/>
      <c r="T137" s="907"/>
      <c r="U137" s="907"/>
      <c r="V137" s="907"/>
      <c r="W137" s="907"/>
      <c r="X137" s="907"/>
      <c r="Y137" s="907"/>
      <c r="Z137" s="907"/>
      <c r="AA137" s="907"/>
    </row>
    <row r="138" spans="1:27">
      <c r="A138" s="907"/>
      <c r="B138" s="907"/>
      <c r="C138" s="907"/>
      <c r="D138" s="907"/>
      <c r="E138" s="907"/>
      <c r="F138" s="907"/>
      <c r="G138" s="907"/>
      <c r="H138" s="907"/>
      <c r="I138" s="907"/>
      <c r="J138" s="907"/>
      <c r="K138" s="907"/>
      <c r="L138" s="907"/>
      <c r="M138" s="907"/>
      <c r="N138" s="907"/>
      <c r="O138" s="907"/>
      <c r="P138" s="907"/>
      <c r="Q138" s="907"/>
      <c r="R138" s="907"/>
      <c r="S138" s="907"/>
      <c r="T138" s="907"/>
      <c r="U138" s="907"/>
      <c r="V138" s="907"/>
      <c r="W138" s="907"/>
      <c r="X138" s="907"/>
      <c r="Y138" s="907"/>
      <c r="Z138" s="907"/>
      <c r="AA138" s="907"/>
    </row>
    <row r="139" spans="1:27">
      <c r="A139" s="907"/>
      <c r="B139" s="907"/>
      <c r="C139" s="907"/>
      <c r="D139" s="907"/>
      <c r="E139" s="907"/>
      <c r="F139" s="907"/>
      <c r="G139" s="907"/>
      <c r="H139" s="907"/>
      <c r="I139" s="907"/>
      <c r="J139" s="907"/>
      <c r="K139" s="907"/>
      <c r="L139" s="907"/>
      <c r="M139" s="907"/>
      <c r="N139" s="907"/>
      <c r="O139" s="907"/>
      <c r="P139" s="907"/>
      <c r="Q139" s="907"/>
      <c r="R139" s="907"/>
      <c r="S139" s="907"/>
      <c r="T139" s="907"/>
      <c r="U139" s="907"/>
      <c r="V139" s="907"/>
      <c r="W139" s="907"/>
      <c r="X139" s="907"/>
      <c r="Y139" s="907"/>
      <c r="Z139" s="907"/>
      <c r="AA139" s="907"/>
    </row>
    <row r="140" spans="1:27">
      <c r="A140" s="907"/>
      <c r="B140" s="907"/>
      <c r="C140" s="907"/>
      <c r="D140" s="907"/>
      <c r="E140" s="907"/>
      <c r="F140" s="907"/>
      <c r="G140" s="907"/>
      <c r="H140" s="907"/>
      <c r="I140" s="907"/>
      <c r="J140" s="907"/>
      <c r="K140" s="907"/>
      <c r="L140" s="907"/>
      <c r="M140" s="907"/>
      <c r="N140" s="907"/>
      <c r="O140" s="907"/>
      <c r="P140" s="907"/>
      <c r="Q140" s="907"/>
      <c r="R140" s="907"/>
      <c r="S140" s="907"/>
      <c r="T140" s="907"/>
      <c r="U140" s="907"/>
      <c r="V140" s="907"/>
      <c r="W140" s="907"/>
      <c r="X140" s="907"/>
      <c r="Y140" s="907"/>
      <c r="Z140" s="907"/>
      <c r="AA140" s="907"/>
    </row>
    <row r="141" spans="1:27">
      <c r="A141" s="907"/>
      <c r="B141" s="907"/>
      <c r="C141" s="907"/>
      <c r="D141" s="907"/>
      <c r="E141" s="907"/>
      <c r="F141" s="907"/>
      <c r="G141" s="907"/>
      <c r="H141" s="907"/>
      <c r="I141" s="907"/>
      <c r="J141" s="907"/>
      <c r="K141" s="907"/>
      <c r="L141" s="907"/>
      <c r="M141" s="907"/>
      <c r="N141" s="907"/>
      <c r="O141" s="907"/>
      <c r="P141" s="907"/>
      <c r="Q141" s="907"/>
      <c r="R141" s="907"/>
      <c r="S141" s="907"/>
      <c r="T141" s="907"/>
      <c r="U141" s="907"/>
      <c r="V141" s="907"/>
      <c r="W141" s="907"/>
      <c r="X141" s="907"/>
      <c r="Y141" s="907"/>
      <c r="Z141" s="907"/>
      <c r="AA141" s="907"/>
    </row>
    <row r="142" spans="1:27">
      <c r="A142" s="907"/>
      <c r="B142" s="907"/>
      <c r="C142" s="907"/>
      <c r="D142" s="907"/>
      <c r="E142" s="907"/>
      <c r="F142" s="907"/>
      <c r="G142" s="907"/>
      <c r="H142" s="907"/>
      <c r="I142" s="907"/>
      <c r="J142" s="907"/>
      <c r="K142" s="907"/>
      <c r="L142" s="907"/>
      <c r="M142" s="907"/>
      <c r="N142" s="907"/>
      <c r="O142" s="907"/>
      <c r="P142" s="907"/>
      <c r="Q142" s="907"/>
      <c r="R142" s="907"/>
      <c r="S142" s="907"/>
      <c r="T142" s="907"/>
      <c r="U142" s="907"/>
      <c r="V142" s="907"/>
      <c r="W142" s="907"/>
      <c r="X142" s="907"/>
      <c r="Y142" s="907"/>
      <c r="Z142" s="907"/>
      <c r="AA142" s="907"/>
    </row>
    <row r="143" spans="1:27">
      <c r="A143" s="907"/>
      <c r="B143" s="907"/>
      <c r="C143" s="907"/>
      <c r="D143" s="907"/>
      <c r="E143" s="907"/>
      <c r="F143" s="907"/>
      <c r="G143" s="907"/>
      <c r="H143" s="907"/>
      <c r="I143" s="907"/>
      <c r="J143" s="907"/>
      <c r="K143" s="907"/>
      <c r="L143" s="907"/>
      <c r="M143" s="907"/>
      <c r="N143" s="907"/>
      <c r="O143" s="907"/>
      <c r="P143" s="907"/>
      <c r="Q143" s="907"/>
      <c r="R143" s="907"/>
      <c r="S143" s="907"/>
      <c r="T143" s="907"/>
      <c r="U143" s="907"/>
      <c r="V143" s="907"/>
      <c r="W143" s="907"/>
      <c r="X143" s="907"/>
      <c r="Y143" s="907"/>
      <c r="Z143" s="907"/>
      <c r="AA143" s="907"/>
    </row>
    <row r="144" spans="1:27">
      <c r="A144" s="907"/>
      <c r="B144" s="907"/>
      <c r="C144" s="907"/>
      <c r="D144" s="907"/>
      <c r="E144" s="907"/>
      <c r="F144" s="907"/>
      <c r="G144" s="907"/>
      <c r="H144" s="907"/>
      <c r="I144" s="907"/>
      <c r="J144" s="907"/>
      <c r="K144" s="907"/>
      <c r="L144" s="907"/>
      <c r="M144" s="907"/>
      <c r="N144" s="907"/>
      <c r="O144" s="907"/>
      <c r="P144" s="907"/>
      <c r="Q144" s="907"/>
      <c r="R144" s="907"/>
      <c r="S144" s="907"/>
      <c r="T144" s="907"/>
      <c r="U144" s="907"/>
      <c r="V144" s="907"/>
      <c r="W144" s="907"/>
      <c r="X144" s="907"/>
      <c r="Y144" s="907"/>
      <c r="Z144" s="907"/>
      <c r="AA144" s="907"/>
    </row>
    <row r="145" spans="1:27">
      <c r="A145" s="907"/>
      <c r="B145" s="907"/>
      <c r="C145" s="907"/>
      <c r="D145" s="907"/>
      <c r="E145" s="907"/>
      <c r="F145" s="907"/>
      <c r="G145" s="907"/>
      <c r="H145" s="907"/>
      <c r="I145" s="907"/>
      <c r="J145" s="907"/>
      <c r="K145" s="907"/>
      <c r="L145" s="907"/>
      <c r="M145" s="907"/>
      <c r="N145" s="907"/>
      <c r="O145" s="907"/>
      <c r="P145" s="907"/>
      <c r="Q145" s="907"/>
      <c r="R145" s="907"/>
      <c r="S145" s="907"/>
      <c r="T145" s="907"/>
      <c r="U145" s="907"/>
      <c r="V145" s="907"/>
      <c r="W145" s="907"/>
      <c r="X145" s="907"/>
      <c r="Y145" s="907"/>
      <c r="Z145" s="907"/>
      <c r="AA145" s="907"/>
    </row>
    <row r="146" spans="1:27">
      <c r="A146" s="907"/>
      <c r="B146" s="907"/>
      <c r="C146" s="907"/>
      <c r="D146" s="907"/>
      <c r="E146" s="907"/>
      <c r="F146" s="907"/>
      <c r="G146" s="907"/>
      <c r="H146" s="907"/>
      <c r="I146" s="907"/>
      <c r="J146" s="907"/>
      <c r="K146" s="907"/>
      <c r="L146" s="907"/>
      <c r="M146" s="907"/>
      <c r="N146" s="907"/>
      <c r="O146" s="907"/>
      <c r="P146" s="907"/>
      <c r="Q146" s="907"/>
      <c r="R146" s="907"/>
      <c r="S146" s="907"/>
      <c r="T146" s="907"/>
      <c r="U146" s="907"/>
      <c r="V146" s="907"/>
      <c r="W146" s="907"/>
      <c r="X146" s="907"/>
      <c r="Y146" s="907"/>
      <c r="Z146" s="907"/>
      <c r="AA146" s="907"/>
    </row>
    <row r="147" spans="1:27">
      <c r="A147" s="907"/>
      <c r="B147" s="907"/>
      <c r="C147" s="907"/>
      <c r="D147" s="907"/>
      <c r="E147" s="907"/>
      <c r="F147" s="907"/>
      <c r="G147" s="907"/>
      <c r="H147" s="907"/>
      <c r="I147" s="907"/>
      <c r="J147" s="907"/>
      <c r="K147" s="907"/>
      <c r="L147" s="907"/>
      <c r="M147" s="907"/>
      <c r="N147" s="907"/>
      <c r="O147" s="907"/>
      <c r="P147" s="907"/>
      <c r="Q147" s="907"/>
      <c r="R147" s="907"/>
      <c r="S147" s="907"/>
      <c r="T147" s="907"/>
      <c r="U147" s="907"/>
      <c r="V147" s="907"/>
      <c r="W147" s="907"/>
      <c r="X147" s="907"/>
      <c r="Y147" s="907"/>
      <c r="Z147" s="907"/>
      <c r="AA147" s="907"/>
    </row>
    <row r="148" spans="1:27">
      <c r="A148" s="907"/>
      <c r="B148" s="907"/>
      <c r="C148" s="907"/>
      <c r="D148" s="907"/>
      <c r="E148" s="907"/>
      <c r="F148" s="907"/>
      <c r="G148" s="907"/>
      <c r="H148" s="907"/>
      <c r="I148" s="907"/>
      <c r="J148" s="907"/>
      <c r="K148" s="907"/>
      <c r="L148" s="907"/>
      <c r="M148" s="907"/>
      <c r="N148" s="907"/>
      <c r="O148" s="907"/>
      <c r="P148" s="907"/>
      <c r="Q148" s="907"/>
      <c r="R148" s="907"/>
      <c r="S148" s="907"/>
      <c r="T148" s="907"/>
      <c r="U148" s="907"/>
      <c r="V148" s="907"/>
      <c r="W148" s="907"/>
      <c r="X148" s="907"/>
      <c r="Y148" s="907"/>
      <c r="Z148" s="907"/>
      <c r="AA148" s="907"/>
    </row>
    <row r="149" spans="1:27">
      <c r="A149" s="907"/>
      <c r="B149" s="907"/>
      <c r="C149" s="907"/>
      <c r="D149" s="907"/>
      <c r="E149" s="907"/>
      <c r="F149" s="907"/>
      <c r="G149" s="907"/>
      <c r="H149" s="907"/>
      <c r="I149" s="907"/>
      <c r="J149" s="907"/>
      <c r="K149" s="907"/>
      <c r="L149" s="907"/>
      <c r="M149" s="907"/>
      <c r="N149" s="907"/>
      <c r="O149" s="907"/>
      <c r="P149" s="907"/>
      <c r="Q149" s="907"/>
      <c r="R149" s="907"/>
      <c r="S149" s="907"/>
      <c r="T149" s="907"/>
      <c r="U149" s="907"/>
      <c r="V149" s="907"/>
      <c r="W149" s="907"/>
      <c r="X149" s="907"/>
      <c r="Y149" s="907"/>
      <c r="Z149" s="907"/>
      <c r="AA149" s="907"/>
    </row>
    <row r="150" spans="1:27">
      <c r="A150" s="907"/>
      <c r="B150" s="907"/>
      <c r="C150" s="907"/>
      <c r="D150" s="907"/>
      <c r="E150" s="907"/>
      <c r="F150" s="907"/>
      <c r="G150" s="907"/>
      <c r="H150" s="907"/>
      <c r="I150" s="907"/>
      <c r="J150" s="907"/>
      <c r="K150" s="907"/>
      <c r="L150" s="907"/>
      <c r="M150" s="907"/>
      <c r="N150" s="907"/>
      <c r="O150" s="907"/>
      <c r="P150" s="907"/>
      <c r="Q150" s="907"/>
      <c r="R150" s="907"/>
      <c r="S150" s="907"/>
      <c r="T150" s="907"/>
      <c r="U150" s="907"/>
      <c r="V150" s="907"/>
      <c r="W150" s="907"/>
      <c r="X150" s="907"/>
      <c r="Y150" s="907"/>
      <c r="Z150" s="907"/>
      <c r="AA150" s="907"/>
    </row>
    <row r="151" spans="1:27">
      <c r="A151" s="907"/>
      <c r="B151" s="907"/>
      <c r="C151" s="907"/>
      <c r="D151" s="907"/>
      <c r="E151" s="907"/>
      <c r="F151" s="907"/>
      <c r="G151" s="907"/>
      <c r="H151" s="907"/>
      <c r="I151" s="907"/>
      <c r="J151" s="907"/>
      <c r="K151" s="907"/>
      <c r="L151" s="907"/>
      <c r="M151" s="907"/>
      <c r="N151" s="907"/>
      <c r="O151" s="907"/>
      <c r="P151" s="907"/>
      <c r="Q151" s="907"/>
      <c r="R151" s="907"/>
      <c r="S151" s="907"/>
      <c r="T151" s="907"/>
      <c r="U151" s="907"/>
      <c r="V151" s="907"/>
      <c r="W151" s="907"/>
      <c r="X151" s="907"/>
      <c r="Y151" s="907"/>
      <c r="Z151" s="907"/>
      <c r="AA151" s="907"/>
    </row>
    <row r="152" spans="1:27">
      <c r="A152" s="907"/>
      <c r="B152" s="907"/>
      <c r="C152" s="907"/>
      <c r="D152" s="907"/>
      <c r="E152" s="907"/>
      <c r="F152" s="907"/>
      <c r="G152" s="907"/>
      <c r="H152" s="907"/>
      <c r="I152" s="907"/>
      <c r="J152" s="907"/>
      <c r="K152" s="907"/>
      <c r="L152" s="907"/>
      <c r="M152" s="907"/>
      <c r="N152" s="907"/>
      <c r="O152" s="907"/>
      <c r="P152" s="907"/>
      <c r="Q152" s="907"/>
      <c r="R152" s="907"/>
      <c r="S152" s="907"/>
      <c r="T152" s="907"/>
      <c r="U152" s="907"/>
      <c r="V152" s="907"/>
      <c r="W152" s="907"/>
      <c r="X152" s="907"/>
      <c r="Y152" s="907"/>
      <c r="Z152" s="907"/>
      <c r="AA152" s="907"/>
    </row>
    <row r="153" spans="1:27">
      <c r="A153" s="907"/>
      <c r="B153" s="907"/>
      <c r="C153" s="907"/>
      <c r="D153" s="907"/>
      <c r="E153" s="907"/>
      <c r="F153" s="907"/>
      <c r="G153" s="907"/>
      <c r="H153" s="907"/>
      <c r="I153" s="907"/>
      <c r="J153" s="907"/>
      <c r="K153" s="907"/>
      <c r="L153" s="907"/>
      <c r="M153" s="907"/>
      <c r="N153" s="907"/>
      <c r="O153" s="907"/>
      <c r="P153" s="907"/>
      <c r="Q153" s="907"/>
      <c r="R153" s="907"/>
      <c r="S153" s="907"/>
      <c r="T153" s="907"/>
      <c r="U153" s="907"/>
      <c r="V153" s="907"/>
      <c r="W153" s="907"/>
      <c r="X153" s="907"/>
      <c r="Y153" s="907"/>
      <c r="Z153" s="907"/>
      <c r="AA153" s="907"/>
    </row>
    <row r="154" spans="1:27">
      <c r="A154" s="907"/>
      <c r="B154" s="907"/>
      <c r="C154" s="907"/>
      <c r="D154" s="907"/>
      <c r="E154" s="907"/>
      <c r="F154" s="907"/>
      <c r="G154" s="907"/>
      <c r="H154" s="907"/>
      <c r="I154" s="907"/>
      <c r="J154" s="907"/>
      <c r="K154" s="907"/>
      <c r="L154" s="907"/>
      <c r="M154" s="907"/>
      <c r="N154" s="907"/>
      <c r="O154" s="907"/>
      <c r="P154" s="907"/>
      <c r="Q154" s="907"/>
      <c r="R154" s="907"/>
      <c r="S154" s="907"/>
      <c r="T154" s="907"/>
      <c r="U154" s="907"/>
      <c r="V154" s="907"/>
      <c r="W154" s="907"/>
      <c r="X154" s="907"/>
      <c r="Y154" s="907"/>
      <c r="Z154" s="907"/>
      <c r="AA154" s="907"/>
    </row>
    <row r="155" spans="1:27">
      <c r="A155" s="907"/>
      <c r="B155" s="907"/>
      <c r="C155" s="907"/>
      <c r="D155" s="907"/>
      <c r="E155" s="907"/>
      <c r="F155" s="907"/>
      <c r="G155" s="907"/>
      <c r="H155" s="907"/>
      <c r="I155" s="907"/>
      <c r="J155" s="907"/>
      <c r="K155" s="907"/>
      <c r="L155" s="907"/>
      <c r="M155" s="907"/>
      <c r="N155" s="907"/>
      <c r="O155" s="907"/>
      <c r="P155" s="907"/>
      <c r="Q155" s="907"/>
      <c r="R155" s="907"/>
      <c r="S155" s="907"/>
      <c r="T155" s="907"/>
      <c r="U155" s="907"/>
      <c r="V155" s="907"/>
      <c r="W155" s="907"/>
      <c r="X155" s="907"/>
      <c r="Y155" s="907"/>
      <c r="Z155" s="907"/>
      <c r="AA155" s="907"/>
    </row>
    <row r="156" spans="1:27">
      <c r="A156" s="907"/>
      <c r="B156" s="907"/>
      <c r="C156" s="907"/>
      <c r="D156" s="907"/>
      <c r="E156" s="907"/>
      <c r="F156" s="907"/>
      <c r="G156" s="907"/>
      <c r="H156" s="907"/>
      <c r="I156" s="907"/>
      <c r="J156" s="907"/>
      <c r="K156" s="907"/>
      <c r="L156" s="907"/>
      <c r="M156" s="907"/>
      <c r="N156" s="907"/>
      <c r="O156" s="907"/>
      <c r="P156" s="907"/>
      <c r="Q156" s="907"/>
      <c r="R156" s="907"/>
      <c r="S156" s="907"/>
      <c r="T156" s="907"/>
      <c r="U156" s="907"/>
      <c r="V156" s="907"/>
      <c r="W156" s="907"/>
      <c r="X156" s="907"/>
      <c r="Y156" s="907"/>
      <c r="Z156" s="907"/>
      <c r="AA156" s="907"/>
    </row>
    <row r="157" spans="1:27">
      <c r="A157" s="907"/>
      <c r="B157" s="907"/>
      <c r="C157" s="907"/>
      <c r="D157" s="907"/>
      <c r="E157" s="907"/>
      <c r="F157" s="907"/>
      <c r="G157" s="907"/>
      <c r="H157" s="907"/>
      <c r="I157" s="907"/>
      <c r="J157" s="907"/>
      <c r="K157" s="907"/>
      <c r="L157" s="907"/>
      <c r="M157" s="907"/>
      <c r="N157" s="907"/>
      <c r="O157" s="907"/>
      <c r="P157" s="907"/>
      <c r="Q157" s="907"/>
      <c r="R157" s="907"/>
      <c r="S157" s="907"/>
      <c r="T157" s="907"/>
      <c r="U157" s="907"/>
      <c r="V157" s="907"/>
      <c r="W157" s="907"/>
      <c r="X157" s="907"/>
      <c r="Y157" s="907"/>
      <c r="Z157" s="907"/>
      <c r="AA157" s="907"/>
    </row>
    <row r="158" spans="1:27">
      <c r="A158" s="907"/>
      <c r="B158" s="907"/>
      <c r="C158" s="907"/>
      <c r="D158" s="907"/>
      <c r="E158" s="907"/>
      <c r="F158" s="907"/>
      <c r="G158" s="907"/>
      <c r="H158" s="907"/>
      <c r="I158" s="907"/>
      <c r="J158" s="907"/>
      <c r="K158" s="907"/>
      <c r="L158" s="907"/>
      <c r="M158" s="907"/>
      <c r="N158" s="907"/>
      <c r="O158" s="907"/>
      <c r="P158" s="907"/>
      <c r="Q158" s="907"/>
      <c r="R158" s="907"/>
      <c r="S158" s="907"/>
      <c r="T158" s="907"/>
      <c r="U158" s="907"/>
      <c r="V158" s="907"/>
      <c r="W158" s="907"/>
      <c r="X158" s="907"/>
      <c r="Y158" s="907"/>
      <c r="Z158" s="907"/>
      <c r="AA158" s="907"/>
    </row>
    <row r="159" spans="1:27">
      <c r="A159" s="907"/>
      <c r="B159" s="907"/>
      <c r="C159" s="907"/>
      <c r="D159" s="907"/>
      <c r="E159" s="907"/>
      <c r="F159" s="907"/>
      <c r="G159" s="907"/>
      <c r="H159" s="907"/>
      <c r="I159" s="907"/>
      <c r="J159" s="907"/>
      <c r="K159" s="907"/>
      <c r="L159" s="907"/>
      <c r="M159" s="907"/>
      <c r="N159" s="907"/>
      <c r="O159" s="907"/>
      <c r="P159" s="907"/>
      <c r="Q159" s="907"/>
      <c r="R159" s="907"/>
      <c r="S159" s="907"/>
      <c r="T159" s="907"/>
      <c r="U159" s="907"/>
      <c r="V159" s="907"/>
      <c r="W159" s="907"/>
      <c r="X159" s="907"/>
      <c r="Y159" s="907"/>
      <c r="Z159" s="907"/>
      <c r="AA159" s="907"/>
    </row>
    <row r="160" spans="1:27">
      <c r="A160" s="907"/>
      <c r="B160" s="907"/>
      <c r="C160" s="907"/>
      <c r="D160" s="907"/>
      <c r="E160" s="907"/>
      <c r="F160" s="907"/>
      <c r="G160" s="907"/>
      <c r="H160" s="907"/>
      <c r="I160" s="907"/>
      <c r="J160" s="907"/>
      <c r="K160" s="907"/>
      <c r="L160" s="907"/>
      <c r="M160" s="907"/>
      <c r="N160" s="907"/>
      <c r="O160" s="907"/>
      <c r="P160" s="907"/>
      <c r="Q160" s="907"/>
      <c r="R160" s="907"/>
      <c r="S160" s="907"/>
      <c r="T160" s="907"/>
      <c r="U160" s="907"/>
      <c r="V160" s="907"/>
      <c r="W160" s="907"/>
      <c r="X160" s="907"/>
      <c r="Y160" s="907"/>
      <c r="Z160" s="907"/>
      <c r="AA160" s="907"/>
    </row>
    <row r="161" spans="1:27">
      <c r="A161" s="907"/>
      <c r="B161" s="907"/>
      <c r="C161" s="907"/>
      <c r="D161" s="907"/>
      <c r="E161" s="907"/>
      <c r="F161" s="907"/>
      <c r="G161" s="907"/>
      <c r="H161" s="907"/>
      <c r="I161" s="907"/>
      <c r="J161" s="907"/>
      <c r="K161" s="907"/>
      <c r="L161" s="907"/>
      <c r="M161" s="907"/>
      <c r="N161" s="907"/>
      <c r="O161" s="907"/>
      <c r="P161" s="907"/>
      <c r="Q161" s="907"/>
      <c r="R161" s="907"/>
      <c r="S161" s="907"/>
      <c r="T161" s="907"/>
      <c r="U161" s="907"/>
      <c r="V161" s="907"/>
      <c r="W161" s="907"/>
      <c r="X161" s="907"/>
      <c r="Y161" s="907"/>
      <c r="Z161" s="907"/>
      <c r="AA161" s="907"/>
    </row>
    <row r="162" spans="1:27">
      <c r="A162" s="907"/>
      <c r="B162" s="907"/>
      <c r="C162" s="907"/>
      <c r="D162" s="907"/>
      <c r="E162" s="907"/>
      <c r="F162" s="907"/>
      <c r="G162" s="907"/>
      <c r="H162" s="907"/>
      <c r="I162" s="907"/>
      <c r="J162" s="907"/>
      <c r="K162" s="907"/>
      <c r="L162" s="907"/>
      <c r="M162" s="907"/>
      <c r="N162" s="907"/>
      <c r="O162" s="907"/>
      <c r="P162" s="907"/>
      <c r="Q162" s="907"/>
      <c r="R162" s="907"/>
      <c r="S162" s="907"/>
      <c r="T162" s="907"/>
      <c r="U162" s="907"/>
      <c r="V162" s="907"/>
      <c r="W162" s="907"/>
      <c r="X162" s="907"/>
      <c r="Y162" s="907"/>
      <c r="Z162" s="907"/>
      <c r="AA162" s="907"/>
    </row>
    <row r="163" spans="1:27">
      <c r="A163" s="907"/>
      <c r="B163" s="907"/>
      <c r="C163" s="907"/>
      <c r="D163" s="907"/>
      <c r="E163" s="907"/>
      <c r="F163" s="907"/>
      <c r="G163" s="907"/>
      <c r="H163" s="907"/>
      <c r="I163" s="907"/>
      <c r="J163" s="907"/>
      <c r="K163" s="907"/>
      <c r="L163" s="907"/>
      <c r="M163" s="907"/>
      <c r="N163" s="907"/>
      <c r="O163" s="907"/>
      <c r="P163" s="907"/>
      <c r="Q163" s="907"/>
      <c r="R163" s="907"/>
      <c r="S163" s="907"/>
      <c r="T163" s="907"/>
      <c r="U163" s="907"/>
      <c r="V163" s="907"/>
      <c r="W163" s="907"/>
      <c r="X163" s="907"/>
      <c r="Y163" s="907"/>
      <c r="Z163" s="907"/>
      <c r="AA163" s="907"/>
    </row>
    <row r="164" spans="1:27">
      <c r="A164" s="907"/>
      <c r="B164" s="907"/>
      <c r="C164" s="907"/>
      <c r="D164" s="907"/>
      <c r="E164" s="907"/>
      <c r="F164" s="907"/>
      <c r="G164" s="907"/>
      <c r="H164" s="907"/>
      <c r="I164" s="907"/>
      <c r="J164" s="907"/>
      <c r="K164" s="907"/>
      <c r="L164" s="907"/>
      <c r="M164" s="907"/>
      <c r="N164" s="907"/>
      <c r="O164" s="907"/>
      <c r="P164" s="907"/>
      <c r="Q164" s="907"/>
      <c r="R164" s="907"/>
      <c r="S164" s="907"/>
      <c r="T164" s="907"/>
      <c r="U164" s="907"/>
      <c r="V164" s="907"/>
      <c r="W164" s="907"/>
      <c r="X164" s="907"/>
      <c r="Y164" s="907"/>
      <c r="Z164" s="907"/>
      <c r="AA164" s="907"/>
    </row>
    <row r="165" spans="1:27">
      <c r="A165" s="907"/>
      <c r="B165" s="907"/>
      <c r="C165" s="907"/>
      <c r="D165" s="907"/>
      <c r="E165" s="907"/>
      <c r="F165" s="907"/>
      <c r="G165" s="907"/>
      <c r="H165" s="907"/>
      <c r="I165" s="907"/>
      <c r="J165" s="907"/>
      <c r="K165" s="907"/>
      <c r="L165" s="907"/>
      <c r="M165" s="907"/>
      <c r="N165" s="907"/>
      <c r="O165" s="907"/>
      <c r="P165" s="907"/>
      <c r="Q165" s="907"/>
      <c r="R165" s="907"/>
      <c r="S165" s="907"/>
      <c r="T165" s="907"/>
      <c r="U165" s="907"/>
      <c r="V165" s="907"/>
      <c r="W165" s="907"/>
      <c r="X165" s="907"/>
      <c r="Y165" s="907"/>
      <c r="Z165" s="907"/>
      <c r="AA165" s="907"/>
    </row>
    <row r="166" spans="1:27">
      <c r="A166" s="907"/>
      <c r="B166" s="907"/>
      <c r="C166" s="907"/>
      <c r="D166" s="907"/>
      <c r="E166" s="907"/>
      <c r="F166" s="907"/>
      <c r="G166" s="907"/>
      <c r="H166" s="907"/>
      <c r="I166" s="907"/>
      <c r="J166" s="907"/>
      <c r="K166" s="907"/>
      <c r="L166" s="907"/>
      <c r="M166" s="907"/>
      <c r="N166" s="907"/>
      <c r="O166" s="907"/>
      <c r="P166" s="907"/>
      <c r="Q166" s="907"/>
      <c r="R166" s="907"/>
      <c r="S166" s="907"/>
      <c r="T166" s="907"/>
      <c r="U166" s="907"/>
      <c r="V166" s="907"/>
      <c r="W166" s="907"/>
      <c r="X166" s="907"/>
      <c r="Y166" s="907"/>
      <c r="Z166" s="907"/>
      <c r="AA166" s="907"/>
    </row>
    <row r="167" spans="1:27">
      <c r="A167" s="907"/>
      <c r="B167" s="907"/>
      <c r="C167" s="907"/>
      <c r="D167" s="907"/>
      <c r="E167" s="907"/>
      <c r="F167" s="907"/>
      <c r="G167" s="907"/>
      <c r="H167" s="907"/>
      <c r="I167" s="907"/>
      <c r="J167" s="907"/>
      <c r="K167" s="907"/>
      <c r="L167" s="907"/>
      <c r="M167" s="907"/>
      <c r="N167" s="907"/>
      <c r="O167" s="907"/>
      <c r="P167" s="907"/>
      <c r="Q167" s="907"/>
      <c r="R167" s="907"/>
      <c r="S167" s="907"/>
      <c r="T167" s="907"/>
      <c r="U167" s="907"/>
      <c r="V167" s="907"/>
      <c r="W167" s="907"/>
      <c r="X167" s="907"/>
      <c r="Y167" s="907"/>
      <c r="Z167" s="907"/>
      <c r="AA167" s="907"/>
    </row>
    <row r="168" spans="1:27">
      <c r="A168" s="907"/>
      <c r="B168" s="907"/>
      <c r="C168" s="907"/>
      <c r="D168" s="907"/>
      <c r="E168" s="907"/>
      <c r="F168" s="907"/>
      <c r="G168" s="907"/>
      <c r="H168" s="907"/>
      <c r="I168" s="907"/>
      <c r="J168" s="907"/>
      <c r="K168" s="907"/>
      <c r="L168" s="907"/>
      <c r="M168" s="907"/>
      <c r="N168" s="907"/>
      <c r="O168" s="907"/>
      <c r="P168" s="907"/>
      <c r="Q168" s="907"/>
      <c r="R168" s="907"/>
      <c r="S168" s="907"/>
      <c r="T168" s="907"/>
      <c r="U168" s="907"/>
      <c r="V168" s="907"/>
      <c r="W168" s="907"/>
      <c r="X168" s="907"/>
      <c r="Y168" s="907"/>
      <c r="Z168" s="907"/>
      <c r="AA168" s="907"/>
    </row>
    <row r="169" spans="1:27">
      <c r="A169" s="907"/>
      <c r="B169" s="907"/>
      <c r="C169" s="907"/>
      <c r="D169" s="907"/>
      <c r="E169" s="907"/>
      <c r="F169" s="907"/>
      <c r="G169" s="907"/>
      <c r="H169" s="907"/>
      <c r="I169" s="907"/>
      <c r="J169" s="907"/>
      <c r="K169" s="907"/>
      <c r="L169" s="907"/>
      <c r="M169" s="907"/>
      <c r="N169" s="907"/>
      <c r="O169" s="907"/>
      <c r="P169" s="907"/>
      <c r="Q169" s="907"/>
      <c r="R169" s="907"/>
      <c r="S169" s="907"/>
      <c r="T169" s="907"/>
      <c r="U169" s="907"/>
      <c r="V169" s="907"/>
      <c r="W169" s="907"/>
      <c r="X169" s="907"/>
      <c r="Y169" s="907"/>
      <c r="Z169" s="907"/>
      <c r="AA169" s="907"/>
    </row>
    <row r="170" spans="1:27">
      <c r="A170" s="907"/>
      <c r="B170" s="907"/>
      <c r="C170" s="907"/>
      <c r="D170" s="907"/>
      <c r="E170" s="907"/>
      <c r="F170" s="907"/>
      <c r="G170" s="907"/>
      <c r="H170" s="907"/>
      <c r="I170" s="907"/>
      <c r="J170" s="907"/>
      <c r="K170" s="907"/>
      <c r="L170" s="907"/>
      <c r="M170" s="907"/>
      <c r="N170" s="907"/>
      <c r="O170" s="907"/>
      <c r="P170" s="907"/>
      <c r="Q170" s="907"/>
      <c r="R170" s="907"/>
      <c r="S170" s="907"/>
      <c r="T170" s="907"/>
      <c r="U170" s="907"/>
      <c r="V170" s="907"/>
      <c r="W170" s="907"/>
      <c r="X170" s="907"/>
      <c r="Y170" s="907"/>
      <c r="Z170" s="907"/>
      <c r="AA170" s="907"/>
    </row>
    <row r="171" spans="1:27">
      <c r="A171" s="907"/>
      <c r="B171" s="907"/>
      <c r="C171" s="907"/>
      <c r="D171" s="907"/>
      <c r="E171" s="907"/>
      <c r="F171" s="907"/>
      <c r="G171" s="907"/>
      <c r="H171" s="907"/>
      <c r="I171" s="907"/>
      <c r="J171" s="907"/>
      <c r="K171" s="907"/>
      <c r="L171" s="907"/>
      <c r="M171" s="907"/>
      <c r="N171" s="907"/>
      <c r="O171" s="907"/>
      <c r="P171" s="907"/>
      <c r="Q171" s="907"/>
      <c r="R171" s="907"/>
      <c r="S171" s="907"/>
      <c r="T171" s="907"/>
      <c r="U171" s="907"/>
      <c r="V171" s="907"/>
      <c r="W171" s="907"/>
      <c r="X171" s="907"/>
      <c r="Y171" s="907"/>
      <c r="Z171" s="907"/>
      <c r="AA171" s="907"/>
    </row>
    <row r="172" spans="1:27">
      <c r="A172" s="907"/>
      <c r="B172" s="907"/>
      <c r="C172" s="907"/>
      <c r="D172" s="907"/>
      <c r="E172" s="907"/>
      <c r="F172" s="907"/>
      <c r="G172" s="907"/>
      <c r="H172" s="907"/>
      <c r="I172" s="907"/>
      <c r="J172" s="907"/>
      <c r="K172" s="907"/>
      <c r="L172" s="907"/>
      <c r="M172" s="907"/>
      <c r="N172" s="907"/>
      <c r="O172" s="907"/>
      <c r="P172" s="907"/>
      <c r="Q172" s="907"/>
      <c r="R172" s="907"/>
      <c r="S172" s="907"/>
      <c r="T172" s="907"/>
      <c r="U172" s="907"/>
      <c r="V172" s="907"/>
      <c r="W172" s="907"/>
      <c r="X172" s="907"/>
      <c r="Y172" s="907"/>
      <c r="Z172" s="907"/>
      <c r="AA172" s="907"/>
    </row>
    <row r="173" spans="1:27">
      <c r="A173" s="907"/>
      <c r="B173" s="907"/>
      <c r="C173" s="907"/>
      <c r="D173" s="907"/>
      <c r="E173" s="907"/>
      <c r="F173" s="907"/>
      <c r="G173" s="907"/>
      <c r="H173" s="907"/>
      <c r="I173" s="907"/>
      <c r="J173" s="907"/>
      <c r="K173" s="907"/>
      <c r="L173" s="907"/>
      <c r="M173" s="907"/>
      <c r="N173" s="907"/>
      <c r="O173" s="907"/>
      <c r="P173" s="907"/>
      <c r="Q173" s="907"/>
      <c r="R173" s="907"/>
      <c r="S173" s="907"/>
      <c r="T173" s="907"/>
      <c r="U173" s="907"/>
      <c r="V173" s="907"/>
      <c r="W173" s="907"/>
      <c r="X173" s="907"/>
      <c r="Y173" s="907"/>
      <c r="Z173" s="907"/>
      <c r="AA173" s="907"/>
    </row>
    <row r="174" spans="1:27">
      <c r="A174" s="907"/>
      <c r="B174" s="907"/>
      <c r="C174" s="907"/>
      <c r="D174" s="907"/>
      <c r="E174" s="907"/>
      <c r="F174" s="907"/>
      <c r="G174" s="907"/>
      <c r="H174" s="907"/>
      <c r="I174" s="907"/>
      <c r="J174" s="907"/>
      <c r="K174" s="907"/>
      <c r="L174" s="907"/>
      <c r="M174" s="907"/>
      <c r="N174" s="907"/>
      <c r="O174" s="907"/>
      <c r="P174" s="907"/>
      <c r="Q174" s="907"/>
      <c r="R174" s="907"/>
      <c r="S174" s="907"/>
      <c r="T174" s="907"/>
      <c r="U174" s="907"/>
      <c r="V174" s="907"/>
      <c r="W174" s="907"/>
      <c r="X174" s="907"/>
      <c r="Y174" s="907"/>
      <c r="Z174" s="907"/>
      <c r="AA174" s="907"/>
    </row>
    <row r="175" spans="1:27">
      <c r="A175" s="907"/>
      <c r="B175" s="907"/>
      <c r="C175" s="907"/>
      <c r="D175" s="907"/>
      <c r="E175" s="907"/>
      <c r="F175" s="907"/>
      <c r="G175" s="907"/>
      <c r="H175" s="907"/>
      <c r="I175" s="907"/>
      <c r="J175" s="907"/>
      <c r="K175" s="907"/>
      <c r="L175" s="907"/>
      <c r="M175" s="907"/>
      <c r="N175" s="907"/>
      <c r="O175" s="907"/>
      <c r="P175" s="907"/>
      <c r="Q175" s="907"/>
      <c r="R175" s="907"/>
      <c r="S175" s="907"/>
      <c r="T175" s="907"/>
      <c r="U175" s="907"/>
      <c r="V175" s="907"/>
      <c r="W175" s="907"/>
      <c r="X175" s="907"/>
      <c r="Y175" s="907"/>
      <c r="Z175" s="907"/>
      <c r="AA175" s="907"/>
    </row>
    <row r="176" spans="1:27">
      <c r="A176" s="907"/>
      <c r="B176" s="907"/>
      <c r="C176" s="907"/>
      <c r="D176" s="907"/>
      <c r="E176" s="907"/>
      <c r="F176" s="907"/>
      <c r="G176" s="907"/>
      <c r="H176" s="907"/>
      <c r="I176" s="907"/>
      <c r="J176" s="907"/>
      <c r="K176" s="907"/>
      <c r="L176" s="907"/>
      <c r="M176" s="907"/>
      <c r="N176" s="907"/>
      <c r="O176" s="907"/>
      <c r="P176" s="907"/>
      <c r="Q176" s="907"/>
      <c r="R176" s="907"/>
      <c r="S176" s="907"/>
      <c r="T176" s="907"/>
      <c r="U176" s="907"/>
      <c r="V176" s="907"/>
      <c r="W176" s="907"/>
      <c r="X176" s="907"/>
      <c r="Y176" s="907"/>
      <c r="Z176" s="907"/>
      <c r="AA176" s="907"/>
    </row>
    <row r="177" spans="1:27">
      <c r="A177" s="907"/>
      <c r="B177" s="907"/>
      <c r="C177" s="907"/>
      <c r="D177" s="907"/>
      <c r="E177" s="907"/>
      <c r="F177" s="907"/>
      <c r="G177" s="907"/>
      <c r="H177" s="907"/>
      <c r="I177" s="907"/>
      <c r="J177" s="907"/>
      <c r="K177" s="907"/>
      <c r="L177" s="907"/>
      <c r="M177" s="907"/>
      <c r="N177" s="907"/>
      <c r="O177" s="907"/>
      <c r="P177" s="907"/>
      <c r="Q177" s="907"/>
      <c r="R177" s="907"/>
      <c r="S177" s="907"/>
      <c r="T177" s="907"/>
      <c r="U177" s="907"/>
      <c r="V177" s="907"/>
      <c r="W177" s="907"/>
      <c r="X177" s="907"/>
      <c r="Y177" s="907"/>
      <c r="Z177" s="907"/>
      <c r="AA177" s="907"/>
    </row>
    <row r="178" spans="1:27">
      <c r="A178" s="907"/>
      <c r="B178" s="907"/>
      <c r="C178" s="907"/>
      <c r="D178" s="907"/>
      <c r="E178" s="907"/>
      <c r="F178" s="907"/>
      <c r="G178" s="907"/>
      <c r="H178" s="907"/>
      <c r="I178" s="907"/>
      <c r="J178" s="907"/>
      <c r="K178" s="907"/>
      <c r="L178" s="907"/>
      <c r="M178" s="907"/>
      <c r="N178" s="907"/>
      <c r="O178" s="907"/>
      <c r="P178" s="907"/>
      <c r="Q178" s="907"/>
      <c r="R178" s="907"/>
      <c r="S178" s="907"/>
      <c r="T178" s="907"/>
      <c r="U178" s="907"/>
      <c r="V178" s="907"/>
      <c r="W178" s="907"/>
      <c r="X178" s="907"/>
      <c r="Y178" s="907"/>
      <c r="Z178" s="907"/>
      <c r="AA178" s="907"/>
    </row>
    <row r="179" spans="1:27">
      <c r="A179" s="907"/>
      <c r="B179" s="907"/>
      <c r="C179" s="907"/>
      <c r="D179" s="907"/>
      <c r="E179" s="907"/>
      <c r="F179" s="907"/>
      <c r="G179" s="907"/>
      <c r="H179" s="907"/>
      <c r="I179" s="907"/>
      <c r="J179" s="907"/>
      <c r="K179" s="907"/>
      <c r="L179" s="907"/>
      <c r="M179" s="907"/>
      <c r="N179" s="907"/>
      <c r="O179" s="907"/>
      <c r="P179" s="907"/>
      <c r="Q179" s="907"/>
      <c r="R179" s="907"/>
      <c r="S179" s="907"/>
      <c r="T179" s="907"/>
      <c r="U179" s="907"/>
      <c r="V179" s="907"/>
      <c r="W179" s="907"/>
      <c r="X179" s="907"/>
      <c r="Y179" s="907"/>
      <c r="Z179" s="907"/>
      <c r="AA179" s="907"/>
    </row>
    <row r="180" spans="1:27">
      <c r="A180" s="907"/>
      <c r="B180" s="907"/>
      <c r="C180" s="907"/>
      <c r="D180" s="907"/>
      <c r="E180" s="907"/>
      <c r="F180" s="907"/>
      <c r="G180" s="907"/>
      <c r="H180" s="907"/>
      <c r="I180" s="907"/>
      <c r="J180" s="907"/>
      <c r="K180" s="907"/>
      <c r="L180" s="907"/>
      <c r="M180" s="907"/>
      <c r="N180" s="907"/>
      <c r="O180" s="907"/>
      <c r="P180" s="907"/>
      <c r="Q180" s="907"/>
      <c r="R180" s="907"/>
      <c r="S180" s="907"/>
      <c r="T180" s="907"/>
      <c r="U180" s="907"/>
      <c r="V180" s="907"/>
      <c r="W180" s="907"/>
      <c r="X180" s="907"/>
      <c r="Y180" s="907"/>
      <c r="Z180" s="907"/>
      <c r="AA180" s="907"/>
    </row>
    <row r="181" spans="1:27">
      <c r="A181" s="907"/>
      <c r="B181" s="907"/>
      <c r="C181" s="907"/>
      <c r="D181" s="907"/>
      <c r="E181" s="907"/>
      <c r="F181" s="907"/>
      <c r="G181" s="907"/>
      <c r="H181" s="907"/>
      <c r="I181" s="907"/>
      <c r="J181" s="907"/>
      <c r="K181" s="907"/>
      <c r="L181" s="907"/>
      <c r="M181" s="907"/>
      <c r="N181" s="907"/>
      <c r="O181" s="907"/>
      <c r="P181" s="907"/>
      <c r="Q181" s="907"/>
      <c r="R181" s="907"/>
      <c r="S181" s="907"/>
      <c r="T181" s="907"/>
      <c r="U181" s="907"/>
      <c r="V181" s="907"/>
      <c r="W181" s="907"/>
      <c r="X181" s="907"/>
      <c r="Y181" s="907"/>
      <c r="Z181" s="907"/>
      <c r="AA181" s="907"/>
    </row>
    <row r="182" spans="1:27">
      <c r="A182" s="907"/>
      <c r="B182" s="907"/>
      <c r="C182" s="907"/>
      <c r="D182" s="907"/>
      <c r="E182" s="907"/>
      <c r="F182" s="907"/>
      <c r="G182" s="907"/>
      <c r="H182" s="907"/>
      <c r="I182" s="907"/>
      <c r="J182" s="907"/>
      <c r="K182" s="907"/>
      <c r="L182" s="907"/>
      <c r="M182" s="907"/>
      <c r="N182" s="907"/>
      <c r="O182" s="907"/>
      <c r="P182" s="907"/>
      <c r="Q182" s="907"/>
      <c r="R182" s="907"/>
      <c r="S182" s="907"/>
      <c r="T182" s="907"/>
      <c r="U182" s="907"/>
      <c r="V182" s="907"/>
      <c r="W182" s="907"/>
      <c r="X182" s="907"/>
      <c r="Y182" s="907"/>
      <c r="Z182" s="907"/>
      <c r="AA182" s="907"/>
    </row>
    <row r="183" spans="1:27">
      <c r="A183" s="907"/>
      <c r="B183" s="907"/>
      <c r="C183" s="907"/>
      <c r="D183" s="907"/>
      <c r="E183" s="907"/>
      <c r="F183" s="907"/>
      <c r="G183" s="907"/>
      <c r="H183" s="907"/>
      <c r="I183" s="907"/>
      <c r="J183" s="907"/>
      <c r="K183" s="907"/>
      <c r="L183" s="907"/>
      <c r="M183" s="907"/>
      <c r="N183" s="907"/>
      <c r="O183" s="907"/>
      <c r="P183" s="907"/>
      <c r="Q183" s="907"/>
      <c r="R183" s="907"/>
      <c r="S183" s="907"/>
      <c r="T183" s="907"/>
      <c r="U183" s="907"/>
      <c r="V183" s="907"/>
      <c r="W183" s="907"/>
      <c r="X183" s="907"/>
      <c r="Y183" s="907"/>
      <c r="Z183" s="907"/>
      <c r="AA183" s="907"/>
    </row>
    <row r="184" spans="1:27">
      <c r="A184" s="907"/>
      <c r="B184" s="907"/>
      <c r="C184" s="907"/>
      <c r="D184" s="907"/>
      <c r="E184" s="907"/>
      <c r="F184" s="907"/>
      <c r="G184" s="907"/>
      <c r="H184" s="907"/>
      <c r="I184" s="907"/>
      <c r="J184" s="907"/>
      <c r="K184" s="907"/>
      <c r="L184" s="907"/>
      <c r="M184" s="907"/>
      <c r="N184" s="907"/>
      <c r="O184" s="907"/>
      <c r="P184" s="907"/>
      <c r="Q184" s="907"/>
      <c r="R184" s="907"/>
      <c r="S184" s="907"/>
      <c r="T184" s="907"/>
      <c r="U184" s="907"/>
      <c r="V184" s="907"/>
      <c r="W184" s="907"/>
      <c r="X184" s="907"/>
      <c r="Y184" s="907"/>
      <c r="Z184" s="907"/>
      <c r="AA184" s="907"/>
    </row>
    <row r="185" spans="1:27">
      <c r="A185" s="907"/>
      <c r="B185" s="907"/>
      <c r="C185" s="907"/>
      <c r="D185" s="907"/>
      <c r="E185" s="907"/>
      <c r="F185" s="907"/>
      <c r="G185" s="907"/>
      <c r="H185" s="907"/>
      <c r="I185" s="907"/>
      <c r="J185" s="907"/>
      <c r="K185" s="907"/>
      <c r="L185" s="907"/>
      <c r="M185" s="907"/>
      <c r="N185" s="907"/>
      <c r="O185" s="907"/>
      <c r="P185" s="907"/>
      <c r="Q185" s="907"/>
      <c r="R185" s="907"/>
      <c r="S185" s="907"/>
      <c r="T185" s="907"/>
      <c r="U185" s="907"/>
      <c r="V185" s="907"/>
      <c r="W185" s="907"/>
      <c r="X185" s="907"/>
      <c r="Y185" s="907"/>
      <c r="Z185" s="907"/>
      <c r="AA185" s="907"/>
    </row>
    <row r="186" spans="1:27">
      <c r="A186" s="907"/>
      <c r="B186" s="907"/>
      <c r="C186" s="907"/>
      <c r="D186" s="907"/>
      <c r="E186" s="907"/>
      <c r="F186" s="907"/>
      <c r="G186" s="907"/>
      <c r="H186" s="907"/>
      <c r="I186" s="907"/>
      <c r="J186" s="907"/>
      <c r="K186" s="907"/>
      <c r="L186" s="907"/>
      <c r="M186" s="907"/>
      <c r="N186" s="907"/>
      <c r="O186" s="907"/>
      <c r="P186" s="907"/>
      <c r="Q186" s="907"/>
      <c r="R186" s="907"/>
      <c r="S186" s="907"/>
      <c r="T186" s="907"/>
      <c r="U186" s="907"/>
      <c r="V186" s="907"/>
      <c r="W186" s="907"/>
      <c r="X186" s="907"/>
      <c r="Y186" s="907"/>
      <c r="Z186" s="907"/>
      <c r="AA186" s="907"/>
    </row>
    <row r="187" spans="1:27">
      <c r="A187" s="907"/>
      <c r="B187" s="907"/>
      <c r="C187" s="907"/>
      <c r="D187" s="907"/>
      <c r="E187" s="907"/>
      <c r="F187" s="907"/>
      <c r="G187" s="907"/>
      <c r="H187" s="907"/>
      <c r="I187" s="907"/>
      <c r="J187" s="907"/>
      <c r="K187" s="907"/>
      <c r="L187" s="907"/>
      <c r="M187" s="907"/>
      <c r="N187" s="907"/>
      <c r="O187" s="907"/>
      <c r="P187" s="907"/>
      <c r="Q187" s="907"/>
      <c r="R187" s="907"/>
      <c r="S187" s="907"/>
      <c r="T187" s="907"/>
      <c r="U187" s="907"/>
      <c r="V187" s="907"/>
      <c r="W187" s="907"/>
      <c r="X187" s="907"/>
      <c r="Y187" s="907"/>
      <c r="Z187" s="907"/>
      <c r="AA187" s="907"/>
    </row>
    <row r="188" spans="1:27">
      <c r="A188" s="907"/>
      <c r="B188" s="907"/>
      <c r="C188" s="907"/>
      <c r="D188" s="907"/>
      <c r="E188" s="907"/>
      <c r="F188" s="907"/>
      <c r="G188" s="907"/>
      <c r="H188" s="907"/>
      <c r="I188" s="907"/>
      <c r="J188" s="907"/>
      <c r="K188" s="907"/>
      <c r="L188" s="907"/>
      <c r="M188" s="907"/>
      <c r="N188" s="907"/>
      <c r="O188" s="907"/>
      <c r="P188" s="907"/>
      <c r="Q188" s="907"/>
      <c r="R188" s="907"/>
      <c r="S188" s="907"/>
      <c r="T188" s="907"/>
      <c r="U188" s="907"/>
      <c r="V188" s="907"/>
      <c r="W188" s="907"/>
      <c r="X188" s="907"/>
      <c r="Y188" s="907"/>
      <c r="Z188" s="907"/>
      <c r="AA188" s="907"/>
    </row>
    <row r="189" spans="1:27">
      <c r="A189" s="907"/>
      <c r="B189" s="907"/>
      <c r="C189" s="907"/>
      <c r="D189" s="907"/>
      <c r="E189" s="907"/>
      <c r="F189" s="907"/>
      <c r="G189" s="907"/>
      <c r="H189" s="907"/>
      <c r="I189" s="907"/>
      <c r="J189" s="907"/>
      <c r="K189" s="907"/>
      <c r="L189" s="907"/>
      <c r="M189" s="907"/>
      <c r="N189" s="907"/>
      <c r="O189" s="907"/>
      <c r="P189" s="907"/>
      <c r="Q189" s="907"/>
      <c r="R189" s="907"/>
      <c r="S189" s="907"/>
      <c r="T189" s="907"/>
      <c r="U189" s="907"/>
      <c r="V189" s="907"/>
      <c r="W189" s="907"/>
      <c r="X189" s="907"/>
      <c r="Y189" s="907"/>
      <c r="Z189" s="907"/>
      <c r="AA189" s="907"/>
    </row>
    <row r="190" spans="1:27">
      <c r="A190" s="907"/>
      <c r="B190" s="907"/>
      <c r="C190" s="907"/>
      <c r="D190" s="907"/>
      <c r="E190" s="907"/>
      <c r="F190" s="907"/>
      <c r="G190" s="907"/>
      <c r="H190" s="907"/>
      <c r="I190" s="907"/>
      <c r="J190" s="907"/>
      <c r="K190" s="907"/>
      <c r="L190" s="907"/>
      <c r="M190" s="907"/>
      <c r="N190" s="907"/>
      <c r="O190" s="907"/>
      <c r="P190" s="907"/>
      <c r="Q190" s="907"/>
      <c r="R190" s="907"/>
      <c r="S190" s="907"/>
      <c r="T190" s="907"/>
      <c r="U190" s="907"/>
      <c r="V190" s="907"/>
      <c r="W190" s="907"/>
      <c r="X190" s="907"/>
      <c r="Y190" s="907"/>
      <c r="Z190" s="907"/>
      <c r="AA190" s="907"/>
    </row>
    <row r="191" spans="1:27">
      <c r="A191" s="907"/>
      <c r="B191" s="907"/>
      <c r="C191" s="907"/>
      <c r="D191" s="907"/>
      <c r="E191" s="907"/>
      <c r="F191" s="907"/>
      <c r="G191" s="907"/>
      <c r="H191" s="907"/>
      <c r="I191" s="907"/>
      <c r="J191" s="907"/>
      <c r="K191" s="907"/>
      <c r="L191" s="907"/>
      <c r="M191" s="907"/>
      <c r="N191" s="907"/>
      <c r="O191" s="907"/>
      <c r="P191" s="907"/>
      <c r="Q191" s="907"/>
      <c r="R191" s="907"/>
      <c r="S191" s="907"/>
      <c r="T191" s="907"/>
      <c r="U191" s="907"/>
      <c r="V191" s="907"/>
      <c r="W191" s="907"/>
      <c r="X191" s="907"/>
      <c r="Y191" s="907"/>
      <c r="Z191" s="907"/>
      <c r="AA191" s="907"/>
    </row>
    <row r="192" spans="1:27">
      <c r="A192" s="907"/>
      <c r="B192" s="907"/>
      <c r="C192" s="907"/>
      <c r="D192" s="907"/>
      <c r="E192" s="907"/>
      <c r="F192" s="907"/>
      <c r="G192" s="907"/>
      <c r="H192" s="907"/>
      <c r="I192" s="907"/>
      <c r="J192" s="907"/>
      <c r="K192" s="907"/>
      <c r="L192" s="907"/>
      <c r="M192" s="907"/>
      <c r="N192" s="907"/>
      <c r="O192" s="907"/>
      <c r="P192" s="907"/>
      <c r="Q192" s="907"/>
      <c r="R192" s="907"/>
      <c r="S192" s="907"/>
      <c r="T192" s="907"/>
      <c r="U192" s="907"/>
      <c r="V192" s="907"/>
      <c r="W192" s="907"/>
      <c r="X192" s="907"/>
      <c r="Y192" s="907"/>
      <c r="Z192" s="907"/>
      <c r="AA192" s="907"/>
    </row>
    <row r="193" spans="1:27">
      <c r="A193" s="907"/>
      <c r="B193" s="907"/>
      <c r="C193" s="907"/>
      <c r="D193" s="907"/>
      <c r="E193" s="907"/>
      <c r="F193" s="907"/>
      <c r="G193" s="907"/>
      <c r="H193" s="907"/>
      <c r="I193" s="907"/>
      <c r="J193" s="907"/>
      <c r="K193" s="907"/>
      <c r="L193" s="907"/>
      <c r="M193" s="907"/>
      <c r="N193" s="907"/>
      <c r="O193" s="907"/>
      <c r="P193" s="907"/>
      <c r="Q193" s="907"/>
      <c r="R193" s="907"/>
      <c r="S193" s="907"/>
      <c r="T193" s="907"/>
      <c r="U193" s="907"/>
      <c r="V193" s="907"/>
      <c r="W193" s="907"/>
      <c r="X193" s="907"/>
      <c r="Y193" s="907"/>
      <c r="Z193" s="907"/>
      <c r="AA193" s="907"/>
    </row>
    <row r="194" spans="1:27">
      <c r="A194" s="907"/>
      <c r="B194" s="907"/>
      <c r="C194" s="907"/>
      <c r="D194" s="907"/>
      <c r="E194" s="907"/>
      <c r="F194" s="907"/>
      <c r="G194" s="907"/>
      <c r="H194" s="907"/>
      <c r="I194" s="907"/>
      <c r="J194" s="907"/>
      <c r="K194" s="907"/>
      <c r="L194" s="907"/>
      <c r="M194" s="907"/>
      <c r="N194" s="907"/>
      <c r="O194" s="907"/>
      <c r="P194" s="907"/>
      <c r="Q194" s="907"/>
      <c r="R194" s="907"/>
      <c r="S194" s="907"/>
      <c r="T194" s="907"/>
      <c r="U194" s="907"/>
      <c r="V194" s="907"/>
      <c r="W194" s="907"/>
      <c r="X194" s="907"/>
      <c r="Y194" s="907"/>
      <c r="Z194" s="907"/>
      <c r="AA194" s="907"/>
    </row>
    <row r="195" spans="1:27">
      <c r="A195" s="907"/>
      <c r="B195" s="907"/>
      <c r="C195" s="907"/>
      <c r="D195" s="907"/>
      <c r="E195" s="907"/>
      <c r="F195" s="907"/>
      <c r="G195" s="907"/>
      <c r="H195" s="907"/>
      <c r="I195" s="907"/>
      <c r="J195" s="907"/>
      <c r="K195" s="907"/>
      <c r="L195" s="907"/>
      <c r="M195" s="907"/>
      <c r="N195" s="907"/>
      <c r="O195" s="907"/>
      <c r="P195" s="907"/>
      <c r="Q195" s="907"/>
      <c r="R195" s="907"/>
      <c r="S195" s="907"/>
      <c r="T195" s="907"/>
      <c r="U195" s="907"/>
      <c r="V195" s="907"/>
      <c r="W195" s="907"/>
      <c r="X195" s="907"/>
      <c r="Y195" s="907"/>
      <c r="Z195" s="907"/>
      <c r="AA195" s="907"/>
    </row>
    <row r="196" spans="1:27">
      <c r="A196" s="907"/>
      <c r="B196" s="907"/>
      <c r="C196" s="907"/>
      <c r="D196" s="907"/>
      <c r="E196" s="907"/>
      <c r="F196" s="907"/>
      <c r="G196" s="907"/>
      <c r="H196" s="907"/>
      <c r="I196" s="907"/>
      <c r="J196" s="907"/>
      <c r="K196" s="907"/>
      <c r="L196" s="907"/>
      <c r="M196" s="907"/>
      <c r="N196" s="907"/>
      <c r="O196" s="907"/>
      <c r="P196" s="907"/>
      <c r="Q196" s="907"/>
      <c r="R196" s="907"/>
      <c r="S196" s="907"/>
      <c r="T196" s="907"/>
      <c r="U196" s="907"/>
      <c r="V196" s="907"/>
      <c r="W196" s="907"/>
      <c r="X196" s="907"/>
      <c r="Y196" s="907"/>
      <c r="Z196" s="907"/>
      <c r="AA196" s="907"/>
    </row>
    <row r="197" spans="1:27">
      <c r="A197" s="907"/>
      <c r="B197" s="907"/>
      <c r="C197" s="907"/>
      <c r="D197" s="907"/>
      <c r="E197" s="907"/>
      <c r="F197" s="907"/>
      <c r="G197" s="907"/>
      <c r="H197" s="907"/>
      <c r="I197" s="907"/>
      <c r="J197" s="907"/>
      <c r="K197" s="907"/>
      <c r="L197" s="907"/>
      <c r="M197" s="907"/>
      <c r="N197" s="907"/>
      <c r="O197" s="907"/>
      <c r="P197" s="907"/>
      <c r="Q197" s="907"/>
      <c r="R197" s="907"/>
      <c r="S197" s="907"/>
      <c r="T197" s="907"/>
      <c r="U197" s="907"/>
      <c r="V197" s="907"/>
      <c r="W197" s="907"/>
      <c r="X197" s="907"/>
      <c r="Y197" s="907"/>
      <c r="Z197" s="907"/>
      <c r="AA197" s="907"/>
    </row>
    <row r="198" spans="1:27">
      <c r="A198" s="907"/>
      <c r="B198" s="907"/>
      <c r="C198" s="907"/>
      <c r="D198" s="907"/>
      <c r="E198" s="907"/>
      <c r="F198" s="907"/>
      <c r="G198" s="907"/>
      <c r="H198" s="907"/>
      <c r="I198" s="907"/>
      <c r="J198" s="907"/>
      <c r="K198" s="907"/>
      <c r="L198" s="907"/>
      <c r="M198" s="907"/>
      <c r="N198" s="907"/>
      <c r="O198" s="907"/>
      <c r="P198" s="907"/>
      <c r="Q198" s="907"/>
      <c r="R198" s="907"/>
      <c r="S198" s="907"/>
      <c r="T198" s="907"/>
      <c r="U198" s="907"/>
      <c r="V198" s="907"/>
      <c r="W198" s="907"/>
      <c r="X198" s="907"/>
      <c r="Y198" s="907"/>
      <c r="Z198" s="907"/>
      <c r="AA198" s="907"/>
    </row>
    <row r="199" spans="1:27">
      <c r="A199" s="907"/>
      <c r="B199" s="907"/>
      <c r="C199" s="907"/>
      <c r="D199" s="907"/>
      <c r="E199" s="907"/>
      <c r="F199" s="907"/>
      <c r="G199" s="907"/>
      <c r="H199" s="907"/>
      <c r="I199" s="907"/>
      <c r="J199" s="907"/>
      <c r="K199" s="907"/>
      <c r="L199" s="907"/>
      <c r="M199" s="907"/>
      <c r="N199" s="907"/>
      <c r="O199" s="907"/>
      <c r="P199" s="907"/>
      <c r="Q199" s="907"/>
      <c r="R199" s="907"/>
      <c r="S199" s="907"/>
      <c r="T199" s="907"/>
      <c r="U199" s="907"/>
      <c r="V199" s="907"/>
      <c r="W199" s="907"/>
      <c r="X199" s="907"/>
      <c r="Y199" s="907"/>
      <c r="Z199" s="907"/>
      <c r="AA199" s="907"/>
    </row>
    <row r="200" spans="1:27">
      <c r="A200" s="907"/>
      <c r="B200" s="907"/>
      <c r="C200" s="907"/>
      <c r="D200" s="907"/>
      <c r="E200" s="907"/>
      <c r="F200" s="907"/>
      <c r="G200" s="907"/>
      <c r="H200" s="907"/>
      <c r="I200" s="907"/>
      <c r="J200" s="907"/>
      <c r="K200" s="907"/>
      <c r="L200" s="907"/>
      <c r="M200" s="907"/>
      <c r="N200" s="907"/>
      <c r="O200" s="907"/>
      <c r="P200" s="907"/>
      <c r="Q200" s="907"/>
      <c r="R200" s="907"/>
      <c r="S200" s="907"/>
      <c r="T200" s="907"/>
      <c r="U200" s="907"/>
      <c r="V200" s="907"/>
      <c r="W200" s="907"/>
      <c r="X200" s="907"/>
      <c r="Y200" s="907"/>
      <c r="Z200" s="907"/>
      <c r="AA200" s="907"/>
    </row>
    <row r="201" spans="1:27">
      <c r="A201" s="907"/>
      <c r="B201" s="907"/>
      <c r="C201" s="907"/>
      <c r="D201" s="907"/>
      <c r="E201" s="907"/>
      <c r="F201" s="907"/>
      <c r="G201" s="907"/>
      <c r="H201" s="907"/>
      <c r="I201" s="907"/>
      <c r="J201" s="907"/>
      <c r="K201" s="907"/>
      <c r="L201" s="907"/>
      <c r="M201" s="907"/>
      <c r="N201" s="907"/>
      <c r="O201" s="907"/>
      <c r="P201" s="907"/>
      <c r="Q201" s="907"/>
      <c r="R201" s="907"/>
      <c r="S201" s="907"/>
      <c r="T201" s="907"/>
      <c r="U201" s="907"/>
      <c r="V201" s="907"/>
      <c r="W201" s="907"/>
      <c r="X201" s="907"/>
      <c r="Y201" s="907"/>
      <c r="Z201" s="907"/>
      <c r="AA201" s="907"/>
    </row>
    <row r="202" spans="1:27">
      <c r="A202" s="907"/>
      <c r="B202" s="907"/>
      <c r="C202" s="907"/>
      <c r="D202" s="907"/>
      <c r="E202" s="907"/>
      <c r="F202" s="907"/>
      <c r="G202" s="907"/>
      <c r="H202" s="907"/>
      <c r="I202" s="907"/>
      <c r="J202" s="907"/>
      <c r="K202" s="907"/>
      <c r="L202" s="907"/>
      <c r="M202" s="907"/>
      <c r="N202" s="907"/>
      <c r="O202" s="907"/>
      <c r="P202" s="907"/>
      <c r="Q202" s="907"/>
      <c r="R202" s="907"/>
      <c r="S202" s="907"/>
      <c r="T202" s="907"/>
      <c r="U202" s="907"/>
      <c r="V202" s="907"/>
      <c r="W202" s="907"/>
      <c r="X202" s="907"/>
      <c r="Y202" s="907"/>
      <c r="Z202" s="907"/>
      <c r="AA202" s="907"/>
    </row>
    <row r="203" spans="1:27">
      <c r="A203" s="907"/>
      <c r="B203" s="907"/>
      <c r="C203" s="907"/>
      <c r="D203" s="907"/>
      <c r="E203" s="907"/>
      <c r="F203" s="907"/>
      <c r="G203" s="907"/>
      <c r="H203" s="907"/>
      <c r="I203" s="907"/>
      <c r="J203" s="907"/>
      <c r="K203" s="907"/>
      <c r="L203" s="907"/>
      <c r="M203" s="907"/>
      <c r="N203" s="907"/>
      <c r="O203" s="907"/>
      <c r="P203" s="907"/>
      <c r="Q203" s="907"/>
      <c r="R203" s="907"/>
      <c r="S203" s="907"/>
      <c r="T203" s="907"/>
      <c r="U203" s="907"/>
      <c r="V203" s="907"/>
      <c r="W203" s="907"/>
      <c r="X203" s="907"/>
      <c r="Y203" s="907"/>
      <c r="Z203" s="907"/>
      <c r="AA203" s="907"/>
    </row>
    <row r="204" spans="1:27">
      <c r="A204" s="907"/>
      <c r="B204" s="907"/>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row>
    <row r="205" spans="1:27">
      <c r="A205" s="907"/>
      <c r="B205" s="907"/>
      <c r="C205" s="907"/>
      <c r="D205" s="907"/>
      <c r="E205" s="907"/>
      <c r="F205" s="907"/>
      <c r="G205" s="907"/>
      <c r="H205" s="907"/>
      <c r="I205" s="907"/>
      <c r="J205" s="907"/>
      <c r="K205" s="907"/>
      <c r="L205" s="907"/>
      <c r="M205" s="907"/>
      <c r="N205" s="907"/>
      <c r="O205" s="907"/>
      <c r="P205" s="907"/>
      <c r="Q205" s="907"/>
      <c r="R205" s="907"/>
      <c r="S205" s="907"/>
      <c r="T205" s="907"/>
      <c r="U205" s="907"/>
      <c r="V205" s="907"/>
      <c r="W205" s="907"/>
      <c r="X205" s="907"/>
      <c r="Y205" s="907"/>
      <c r="Z205" s="907"/>
      <c r="AA205" s="907"/>
    </row>
    <row r="206" spans="1:27">
      <c r="A206" s="907"/>
      <c r="B206" s="907"/>
      <c r="C206" s="907"/>
      <c r="D206" s="907"/>
      <c r="E206" s="907"/>
      <c r="F206" s="907"/>
      <c r="G206" s="907"/>
      <c r="H206" s="907"/>
      <c r="I206" s="907"/>
      <c r="J206" s="907"/>
      <c r="K206" s="907"/>
      <c r="L206" s="907"/>
      <c r="M206" s="907"/>
      <c r="N206" s="907"/>
      <c r="O206" s="907"/>
      <c r="P206" s="907"/>
      <c r="Q206" s="907"/>
      <c r="R206" s="907"/>
      <c r="S206" s="907"/>
      <c r="T206" s="907"/>
      <c r="U206" s="907"/>
      <c r="V206" s="907"/>
      <c r="W206" s="907"/>
      <c r="X206" s="907"/>
      <c r="Y206" s="907"/>
      <c r="Z206" s="907"/>
      <c r="AA206" s="907"/>
    </row>
    <row r="207" spans="1:27">
      <c r="A207" s="907"/>
      <c r="B207" s="907"/>
      <c r="C207" s="907"/>
      <c r="D207" s="907"/>
      <c r="E207" s="907"/>
      <c r="F207" s="907"/>
      <c r="G207" s="907"/>
      <c r="H207" s="907"/>
      <c r="I207" s="907"/>
      <c r="J207" s="907"/>
      <c r="K207" s="907"/>
      <c r="L207" s="907"/>
      <c r="M207" s="907"/>
      <c r="N207" s="907"/>
      <c r="O207" s="907"/>
      <c r="P207" s="907"/>
      <c r="Q207" s="907"/>
      <c r="R207" s="907"/>
      <c r="S207" s="907"/>
      <c r="T207" s="907"/>
      <c r="U207" s="907"/>
      <c r="V207" s="907"/>
      <c r="W207" s="907"/>
      <c r="X207" s="907"/>
      <c r="Y207" s="907"/>
      <c r="Z207" s="907"/>
      <c r="AA207" s="907"/>
    </row>
    <row r="208" spans="1:27">
      <c r="A208" s="907"/>
      <c r="B208" s="907"/>
      <c r="C208" s="907"/>
      <c r="D208" s="907"/>
      <c r="E208" s="907"/>
      <c r="F208" s="907"/>
      <c r="G208" s="907"/>
      <c r="H208" s="907"/>
      <c r="I208" s="907"/>
      <c r="J208" s="907"/>
      <c r="K208" s="907"/>
      <c r="L208" s="907"/>
      <c r="M208" s="907"/>
      <c r="N208" s="907"/>
      <c r="O208" s="907"/>
      <c r="P208" s="907"/>
      <c r="Q208" s="907"/>
      <c r="R208" s="907"/>
      <c r="S208" s="907"/>
      <c r="T208" s="907"/>
      <c r="U208" s="907"/>
      <c r="V208" s="907"/>
      <c r="W208" s="907"/>
      <c r="X208" s="907"/>
      <c r="Y208" s="907"/>
      <c r="Z208" s="907"/>
      <c r="AA208" s="907"/>
    </row>
    <row r="209" spans="1:27">
      <c r="A209" s="907"/>
      <c r="B209" s="907"/>
      <c r="C209" s="907"/>
      <c r="D209" s="907"/>
      <c r="E209" s="907"/>
      <c r="F209" s="907"/>
      <c r="G209" s="907"/>
      <c r="H209" s="907"/>
      <c r="I209" s="907"/>
      <c r="J209" s="907"/>
      <c r="K209" s="907"/>
      <c r="L209" s="907"/>
      <c r="M209" s="907"/>
      <c r="N209" s="907"/>
      <c r="O209" s="907"/>
      <c r="P209" s="907"/>
      <c r="Q209" s="907"/>
      <c r="R209" s="907"/>
      <c r="S209" s="907"/>
      <c r="T209" s="907"/>
      <c r="U209" s="907"/>
      <c r="V209" s="907"/>
      <c r="W209" s="907"/>
      <c r="X209" s="907"/>
      <c r="Y209" s="907"/>
      <c r="Z209" s="907"/>
      <c r="AA209" s="907"/>
    </row>
    <row r="210" spans="1:27">
      <c r="A210" s="907"/>
      <c r="B210" s="907"/>
      <c r="C210" s="907"/>
      <c r="D210" s="907"/>
      <c r="E210" s="907"/>
      <c r="F210" s="907"/>
      <c r="G210" s="907"/>
      <c r="H210" s="907"/>
      <c r="I210" s="907"/>
      <c r="J210" s="907"/>
      <c r="K210" s="907"/>
      <c r="L210" s="907"/>
      <c r="M210" s="907"/>
      <c r="N210" s="907"/>
      <c r="O210" s="907"/>
      <c r="P210" s="907"/>
      <c r="Q210" s="907"/>
      <c r="R210" s="907"/>
      <c r="S210" s="907"/>
      <c r="T210" s="907"/>
      <c r="U210" s="907"/>
      <c r="V210" s="907"/>
      <c r="W210" s="907"/>
      <c r="X210" s="907"/>
      <c r="Y210" s="907"/>
      <c r="Z210" s="907"/>
      <c r="AA210" s="907"/>
    </row>
    <row r="211" spans="1:27">
      <c r="A211" s="907"/>
      <c r="B211" s="907"/>
      <c r="C211" s="907"/>
      <c r="D211" s="907"/>
      <c r="E211" s="907"/>
      <c r="F211" s="907"/>
      <c r="G211" s="907"/>
      <c r="H211" s="907"/>
      <c r="I211" s="907"/>
      <c r="J211" s="907"/>
      <c r="K211" s="907"/>
      <c r="L211" s="907"/>
      <c r="M211" s="907"/>
      <c r="N211" s="907"/>
      <c r="O211" s="907"/>
      <c r="P211" s="907"/>
      <c r="Q211" s="907"/>
      <c r="R211" s="907"/>
      <c r="S211" s="907"/>
      <c r="T211" s="907"/>
      <c r="U211" s="907"/>
      <c r="V211" s="907"/>
      <c r="W211" s="907"/>
      <c r="X211" s="907"/>
      <c r="Y211" s="907"/>
      <c r="Z211" s="907"/>
      <c r="AA211" s="907"/>
    </row>
    <row r="212" spans="1:27">
      <c r="A212" s="907"/>
      <c r="B212" s="907"/>
      <c r="C212" s="907"/>
      <c r="D212" s="907"/>
      <c r="E212" s="907"/>
      <c r="F212" s="907"/>
      <c r="G212" s="907"/>
      <c r="H212" s="907"/>
      <c r="I212" s="907"/>
      <c r="J212" s="907"/>
      <c r="K212" s="907"/>
      <c r="L212" s="907"/>
      <c r="M212" s="907"/>
      <c r="N212" s="907"/>
      <c r="O212" s="907"/>
      <c r="P212" s="907"/>
      <c r="Q212" s="907"/>
      <c r="R212" s="907"/>
      <c r="S212" s="907"/>
      <c r="T212" s="907"/>
      <c r="U212" s="907"/>
      <c r="V212" s="907"/>
      <c r="W212" s="907"/>
      <c r="X212" s="907"/>
      <c r="Y212" s="907"/>
      <c r="Z212" s="907"/>
      <c r="AA212" s="907"/>
    </row>
    <row r="213" spans="1:27">
      <c r="A213" s="907"/>
      <c r="B213" s="907"/>
      <c r="C213" s="907"/>
      <c r="D213" s="907"/>
      <c r="E213" s="907"/>
      <c r="F213" s="907"/>
      <c r="G213" s="907"/>
      <c r="H213" s="907"/>
      <c r="I213" s="907"/>
      <c r="J213" s="907"/>
      <c r="K213" s="907"/>
      <c r="L213" s="907"/>
      <c r="M213" s="907"/>
      <c r="N213" s="907"/>
      <c r="O213" s="907"/>
      <c r="P213" s="907"/>
      <c r="Q213" s="907"/>
      <c r="R213" s="907"/>
      <c r="S213" s="907"/>
      <c r="T213" s="907"/>
      <c r="U213" s="907"/>
      <c r="V213" s="907"/>
      <c r="W213" s="907"/>
      <c r="X213" s="907"/>
      <c r="Y213" s="907"/>
      <c r="Z213" s="907"/>
      <c r="AA213" s="907"/>
    </row>
    <row r="214" spans="1:27">
      <c r="A214" s="907"/>
      <c r="B214" s="907"/>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row>
    <row r="215" spans="1:27">
      <c r="A215" s="907"/>
      <c r="B215" s="907"/>
      <c r="C215" s="907"/>
      <c r="D215" s="907"/>
      <c r="E215" s="907"/>
      <c r="F215" s="907"/>
      <c r="G215" s="907"/>
      <c r="H215" s="907"/>
      <c r="I215" s="907"/>
      <c r="J215" s="907"/>
      <c r="K215" s="907"/>
      <c r="L215" s="907"/>
      <c r="M215" s="907"/>
      <c r="N215" s="907"/>
      <c r="O215" s="907"/>
      <c r="P215" s="907"/>
      <c r="Q215" s="907"/>
      <c r="R215" s="907"/>
      <c r="S215" s="907"/>
      <c r="T215" s="907"/>
      <c r="U215" s="907"/>
      <c r="V215" s="907"/>
      <c r="W215" s="907"/>
      <c r="X215" s="907"/>
      <c r="Y215" s="907"/>
      <c r="Z215" s="907"/>
      <c r="AA215" s="907"/>
    </row>
    <row r="216" spans="1:27">
      <c r="A216" s="907"/>
      <c r="B216" s="907"/>
      <c r="C216" s="907"/>
      <c r="D216" s="907"/>
      <c r="E216" s="907"/>
      <c r="F216" s="907"/>
      <c r="G216" s="907"/>
      <c r="H216" s="907"/>
      <c r="I216" s="907"/>
      <c r="J216" s="907"/>
      <c r="K216" s="907"/>
      <c r="L216" s="907"/>
      <c r="M216" s="907"/>
      <c r="N216" s="907"/>
      <c r="O216" s="907"/>
      <c r="P216" s="907"/>
      <c r="Q216" s="907"/>
      <c r="R216" s="907"/>
      <c r="S216" s="907"/>
      <c r="T216" s="907"/>
      <c r="U216" s="907"/>
      <c r="V216" s="907"/>
      <c r="W216" s="907"/>
      <c r="X216" s="907"/>
      <c r="Y216" s="907"/>
      <c r="Z216" s="907"/>
      <c r="AA216" s="907"/>
    </row>
    <row r="217" spans="1:27">
      <c r="A217" s="907"/>
      <c r="B217" s="907"/>
      <c r="C217" s="907"/>
      <c r="D217" s="907"/>
      <c r="E217" s="907"/>
      <c r="F217" s="907"/>
      <c r="G217" s="907"/>
      <c r="H217" s="907"/>
      <c r="I217" s="907"/>
      <c r="J217" s="907"/>
      <c r="K217" s="907"/>
      <c r="L217" s="907"/>
      <c r="M217" s="907"/>
      <c r="N217" s="907"/>
      <c r="O217" s="907"/>
      <c r="P217" s="907"/>
      <c r="Q217" s="907"/>
      <c r="R217" s="907"/>
      <c r="S217" s="907"/>
      <c r="T217" s="907"/>
      <c r="U217" s="907"/>
      <c r="V217" s="907"/>
      <c r="W217" s="907"/>
      <c r="X217" s="907"/>
      <c r="Y217" s="907"/>
      <c r="Z217" s="907"/>
      <c r="AA217" s="907"/>
    </row>
    <row r="218" spans="1:27">
      <c r="A218" s="907"/>
      <c r="B218" s="907"/>
      <c r="C218" s="907"/>
      <c r="D218" s="907"/>
      <c r="E218" s="907"/>
      <c r="F218" s="907"/>
      <c r="G218" s="907"/>
      <c r="H218" s="907"/>
      <c r="I218" s="907"/>
      <c r="J218" s="907"/>
      <c r="K218" s="907"/>
      <c r="L218" s="907"/>
      <c r="M218" s="907"/>
      <c r="N218" s="907"/>
      <c r="O218" s="907"/>
      <c r="P218" s="907"/>
      <c r="Q218" s="907"/>
      <c r="R218" s="907"/>
      <c r="S218" s="907"/>
      <c r="T218" s="907"/>
      <c r="U218" s="907"/>
      <c r="V218" s="907"/>
      <c r="W218" s="907"/>
      <c r="X218" s="907"/>
      <c r="Y218" s="907"/>
      <c r="Z218" s="907"/>
      <c r="AA218" s="907"/>
    </row>
    <row r="219" spans="1:27">
      <c r="A219" s="907"/>
      <c r="B219" s="907"/>
      <c r="C219" s="907"/>
      <c r="D219" s="907"/>
      <c r="E219" s="907"/>
      <c r="F219" s="907"/>
      <c r="G219" s="907"/>
      <c r="H219" s="907"/>
      <c r="I219" s="907"/>
      <c r="J219" s="907"/>
      <c r="K219" s="907"/>
      <c r="L219" s="907"/>
      <c r="M219" s="907"/>
      <c r="N219" s="907"/>
      <c r="O219" s="907"/>
      <c r="P219" s="907"/>
      <c r="Q219" s="907"/>
      <c r="R219" s="907"/>
      <c r="S219" s="907"/>
      <c r="T219" s="907"/>
      <c r="U219" s="907"/>
      <c r="V219" s="907"/>
      <c r="W219" s="907"/>
      <c r="X219" s="907"/>
      <c r="Y219" s="907"/>
      <c r="Z219" s="907"/>
      <c r="AA219" s="907"/>
    </row>
    <row r="220" spans="1:27">
      <c r="A220" s="907"/>
      <c r="B220" s="907"/>
      <c r="C220" s="907"/>
      <c r="D220" s="907"/>
      <c r="E220" s="907"/>
      <c r="F220" s="907"/>
      <c r="G220" s="907"/>
      <c r="H220" s="907"/>
      <c r="I220" s="907"/>
      <c r="J220" s="907"/>
      <c r="K220" s="907"/>
      <c r="L220" s="907"/>
      <c r="M220" s="907"/>
      <c r="N220" s="907"/>
      <c r="O220" s="907"/>
      <c r="P220" s="907"/>
      <c r="Q220" s="907"/>
      <c r="R220" s="907"/>
      <c r="S220" s="907"/>
      <c r="T220" s="907"/>
      <c r="U220" s="907"/>
      <c r="V220" s="907"/>
      <c r="W220" s="907"/>
      <c r="X220" s="907"/>
      <c r="Y220" s="907"/>
      <c r="Z220" s="907"/>
      <c r="AA220" s="907"/>
    </row>
    <row r="221" spans="1:27">
      <c r="A221" s="907"/>
      <c r="B221" s="907"/>
      <c r="C221" s="907"/>
      <c r="D221" s="907"/>
      <c r="E221" s="907"/>
      <c r="F221" s="907"/>
      <c r="G221" s="907"/>
      <c r="H221" s="907"/>
      <c r="I221" s="907"/>
      <c r="J221" s="907"/>
      <c r="K221" s="907"/>
      <c r="L221" s="907"/>
      <c r="M221" s="907"/>
      <c r="N221" s="907"/>
      <c r="O221" s="907"/>
      <c r="P221" s="907"/>
      <c r="Q221" s="907"/>
      <c r="R221" s="907"/>
      <c r="S221" s="907"/>
      <c r="T221" s="907"/>
      <c r="U221" s="907"/>
      <c r="V221" s="907"/>
      <c r="W221" s="907"/>
      <c r="X221" s="907"/>
      <c r="Y221" s="907"/>
      <c r="Z221" s="907"/>
      <c r="AA221" s="907"/>
    </row>
    <row r="222" spans="1:27">
      <c r="A222" s="907"/>
      <c r="B222" s="907"/>
      <c r="C222" s="907"/>
      <c r="D222" s="907"/>
      <c r="E222" s="907"/>
      <c r="F222" s="907"/>
      <c r="G222" s="907"/>
      <c r="H222" s="907"/>
      <c r="I222" s="907"/>
      <c r="J222" s="907"/>
      <c r="K222" s="907"/>
      <c r="L222" s="907"/>
      <c r="M222" s="907"/>
      <c r="N222" s="907"/>
      <c r="O222" s="907"/>
      <c r="P222" s="907"/>
      <c r="Q222" s="907"/>
      <c r="R222" s="907"/>
      <c r="S222" s="907"/>
      <c r="T222" s="907"/>
      <c r="U222" s="907"/>
      <c r="V222" s="907"/>
      <c r="W222" s="907"/>
      <c r="X222" s="907"/>
      <c r="Y222" s="907"/>
      <c r="Z222" s="907"/>
      <c r="AA222" s="907"/>
    </row>
    <row r="223" spans="1:27">
      <c r="A223" s="907"/>
      <c r="B223" s="907"/>
      <c r="C223" s="907"/>
      <c r="D223" s="907"/>
      <c r="E223" s="907"/>
      <c r="F223" s="907"/>
      <c r="G223" s="907"/>
      <c r="H223" s="907"/>
      <c r="I223" s="907"/>
      <c r="J223" s="907"/>
      <c r="K223" s="907"/>
      <c r="L223" s="907"/>
      <c r="M223" s="907"/>
      <c r="N223" s="907"/>
      <c r="O223" s="907"/>
      <c r="P223" s="907"/>
      <c r="Q223" s="907"/>
      <c r="R223" s="907"/>
      <c r="S223" s="907"/>
      <c r="T223" s="907"/>
      <c r="U223" s="907"/>
      <c r="V223" s="907"/>
      <c r="W223" s="907"/>
      <c r="X223" s="907"/>
      <c r="Y223" s="907"/>
      <c r="Z223" s="907"/>
      <c r="AA223" s="907"/>
    </row>
    <row r="224" spans="1:27">
      <c r="A224" s="907"/>
      <c r="B224" s="907"/>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row>
    <row r="225" spans="1:27">
      <c r="A225" s="907"/>
      <c r="B225" s="907"/>
      <c r="C225" s="907"/>
      <c r="D225" s="907"/>
      <c r="E225" s="907"/>
      <c r="F225" s="907"/>
      <c r="G225" s="907"/>
      <c r="H225" s="907"/>
      <c r="I225" s="907"/>
      <c r="J225" s="907"/>
      <c r="K225" s="907"/>
      <c r="L225" s="907"/>
      <c r="M225" s="907"/>
      <c r="N225" s="907"/>
      <c r="O225" s="907"/>
      <c r="P225" s="907"/>
      <c r="Q225" s="907"/>
      <c r="R225" s="907"/>
      <c r="S225" s="907"/>
      <c r="T225" s="907"/>
      <c r="U225" s="907"/>
      <c r="V225" s="907"/>
      <c r="W225" s="907"/>
      <c r="X225" s="907"/>
      <c r="Y225" s="907"/>
      <c r="Z225" s="907"/>
      <c r="AA225" s="907"/>
    </row>
    <row r="226" spans="1:27">
      <c r="A226" s="907"/>
      <c r="B226" s="907"/>
      <c r="C226" s="907"/>
      <c r="D226" s="907"/>
      <c r="E226" s="907"/>
      <c r="F226" s="907"/>
      <c r="G226" s="907"/>
      <c r="H226" s="907"/>
      <c r="I226" s="907"/>
      <c r="J226" s="907"/>
      <c r="K226" s="907"/>
      <c r="L226" s="907"/>
      <c r="M226" s="907"/>
      <c r="N226" s="907"/>
      <c r="O226" s="907"/>
      <c r="P226" s="907"/>
      <c r="Q226" s="907"/>
      <c r="R226" s="907"/>
      <c r="S226" s="907"/>
      <c r="T226" s="907"/>
      <c r="U226" s="907"/>
      <c r="V226" s="907"/>
      <c r="W226" s="907"/>
      <c r="X226" s="907"/>
      <c r="Y226" s="907"/>
      <c r="Z226" s="907"/>
      <c r="AA226" s="907"/>
    </row>
    <row r="227" spans="1:27">
      <c r="A227" s="907"/>
      <c r="B227" s="907"/>
      <c r="C227" s="907"/>
      <c r="D227" s="907"/>
      <c r="E227" s="907"/>
      <c r="F227" s="907"/>
      <c r="G227" s="907"/>
      <c r="H227" s="907"/>
      <c r="I227" s="907"/>
      <c r="J227" s="907"/>
      <c r="K227" s="907"/>
      <c r="L227" s="907"/>
      <c r="M227" s="907"/>
      <c r="N227" s="907"/>
      <c r="O227" s="907"/>
      <c r="P227" s="907"/>
      <c r="Q227" s="907"/>
      <c r="R227" s="907"/>
      <c r="S227" s="907"/>
      <c r="T227" s="907"/>
      <c r="U227" s="907"/>
      <c r="V227" s="907"/>
      <c r="W227" s="907"/>
      <c r="X227" s="907"/>
      <c r="Y227" s="907"/>
      <c r="Z227" s="907"/>
      <c r="AA227" s="907"/>
    </row>
    <row r="228" spans="1:27">
      <c r="A228" s="907"/>
      <c r="B228" s="907"/>
      <c r="C228" s="907"/>
      <c r="D228" s="907"/>
      <c r="E228" s="907"/>
      <c r="F228" s="907"/>
      <c r="G228" s="907"/>
      <c r="H228" s="907"/>
      <c r="I228" s="907"/>
      <c r="J228" s="907"/>
      <c r="K228" s="907"/>
      <c r="L228" s="907"/>
      <c r="M228" s="907"/>
      <c r="N228" s="907"/>
      <c r="O228" s="907"/>
      <c r="P228" s="907"/>
      <c r="Q228" s="907"/>
      <c r="R228" s="907"/>
      <c r="S228" s="907"/>
      <c r="T228" s="907"/>
      <c r="U228" s="907"/>
      <c r="V228" s="907"/>
      <c r="W228" s="907"/>
      <c r="X228" s="907"/>
      <c r="Y228" s="907"/>
      <c r="Z228" s="907"/>
      <c r="AA228" s="907"/>
    </row>
    <row r="229" spans="1:27">
      <c r="A229" s="907"/>
      <c r="B229" s="907"/>
      <c r="C229" s="907"/>
      <c r="D229" s="907"/>
      <c r="E229" s="907"/>
      <c r="F229" s="907"/>
      <c r="G229" s="907"/>
      <c r="H229" s="907"/>
      <c r="I229" s="907"/>
      <c r="J229" s="907"/>
      <c r="K229" s="907"/>
      <c r="L229" s="907"/>
      <c r="M229" s="907"/>
      <c r="N229" s="907"/>
      <c r="O229" s="907"/>
      <c r="P229" s="907"/>
      <c r="Q229" s="907"/>
      <c r="R229" s="907"/>
      <c r="S229" s="907"/>
      <c r="T229" s="907"/>
      <c r="U229" s="907"/>
      <c r="V229" s="907"/>
      <c r="W229" s="907"/>
      <c r="X229" s="907"/>
      <c r="Y229" s="907"/>
      <c r="Z229" s="907"/>
      <c r="AA229" s="907"/>
    </row>
    <row r="230" spans="1:27">
      <c r="A230" s="907"/>
      <c r="B230" s="907"/>
      <c r="C230" s="907"/>
      <c r="D230" s="907"/>
      <c r="E230" s="907"/>
      <c r="F230" s="907"/>
      <c r="G230" s="907"/>
      <c r="H230" s="907"/>
      <c r="I230" s="907"/>
      <c r="J230" s="907"/>
      <c r="K230" s="907"/>
      <c r="L230" s="907"/>
      <c r="M230" s="907"/>
      <c r="N230" s="907"/>
      <c r="O230" s="907"/>
      <c r="P230" s="907"/>
      <c r="Q230" s="907"/>
      <c r="R230" s="907"/>
      <c r="S230" s="907"/>
      <c r="T230" s="907"/>
      <c r="U230" s="907"/>
      <c r="V230" s="907"/>
      <c r="W230" s="907"/>
      <c r="X230" s="907"/>
      <c r="Y230" s="907"/>
      <c r="Z230" s="907"/>
      <c r="AA230" s="907"/>
    </row>
    <row r="231" spans="1:27">
      <c r="A231" s="907"/>
      <c r="B231" s="907"/>
      <c r="C231" s="907"/>
      <c r="D231" s="907"/>
      <c r="E231" s="907"/>
      <c r="F231" s="907"/>
      <c r="G231" s="907"/>
      <c r="H231" s="907"/>
      <c r="I231" s="907"/>
      <c r="J231" s="907"/>
      <c r="K231" s="907"/>
      <c r="L231" s="907"/>
      <c r="M231" s="907"/>
      <c r="N231" s="907"/>
      <c r="O231" s="907"/>
      <c r="P231" s="907"/>
      <c r="Q231" s="907"/>
      <c r="R231" s="907"/>
      <c r="S231" s="907"/>
      <c r="T231" s="907"/>
      <c r="U231" s="907"/>
      <c r="V231" s="907"/>
      <c r="W231" s="907"/>
      <c r="X231" s="907"/>
      <c r="Y231" s="907"/>
      <c r="Z231" s="907"/>
      <c r="AA231" s="907"/>
    </row>
    <row r="232" spans="1:27">
      <c r="A232" s="907"/>
      <c r="B232" s="907"/>
      <c r="C232" s="907"/>
      <c r="D232" s="907"/>
      <c r="E232" s="907"/>
      <c r="F232" s="907"/>
      <c r="G232" s="907"/>
      <c r="H232" s="907"/>
      <c r="I232" s="907"/>
      <c r="J232" s="907"/>
      <c r="K232" s="907"/>
      <c r="L232" s="907"/>
      <c r="M232" s="907"/>
      <c r="N232" s="907"/>
      <c r="O232" s="907"/>
      <c r="P232" s="907"/>
      <c r="Q232" s="907"/>
      <c r="R232" s="907"/>
      <c r="S232" s="907"/>
      <c r="T232" s="907"/>
      <c r="U232" s="907"/>
      <c r="V232" s="907"/>
      <c r="W232" s="907"/>
      <c r="X232" s="907"/>
      <c r="Y232" s="907"/>
      <c r="Z232" s="907"/>
      <c r="AA232" s="907"/>
    </row>
    <row r="233" spans="1:27">
      <c r="A233" s="907"/>
      <c r="B233" s="907"/>
      <c r="C233" s="907"/>
      <c r="D233" s="907"/>
      <c r="E233" s="907"/>
      <c r="F233" s="907"/>
      <c r="G233" s="907"/>
      <c r="H233" s="907"/>
      <c r="I233" s="907"/>
      <c r="J233" s="907"/>
      <c r="K233" s="907"/>
      <c r="L233" s="907"/>
      <c r="M233" s="907"/>
      <c r="N233" s="907"/>
      <c r="O233" s="907"/>
      <c r="P233" s="907"/>
      <c r="Q233" s="907"/>
      <c r="R233" s="907"/>
      <c r="S233" s="907"/>
      <c r="T233" s="907"/>
      <c r="U233" s="907"/>
      <c r="V233" s="907"/>
      <c r="W233" s="907"/>
      <c r="X233" s="907"/>
      <c r="Y233" s="907"/>
      <c r="Z233" s="907"/>
      <c r="AA233" s="907"/>
    </row>
    <row r="234" spans="1:27">
      <c r="A234" s="907"/>
      <c r="B234" s="907"/>
      <c r="C234" s="907"/>
      <c r="D234" s="907"/>
      <c r="E234" s="907"/>
      <c r="F234" s="907"/>
      <c r="G234" s="907"/>
      <c r="H234" s="907"/>
      <c r="I234" s="907"/>
      <c r="J234" s="907"/>
      <c r="K234" s="907"/>
      <c r="L234" s="907"/>
      <c r="M234" s="907"/>
      <c r="N234" s="907"/>
      <c r="O234" s="907"/>
      <c r="P234" s="907"/>
      <c r="Q234" s="907"/>
      <c r="R234" s="907"/>
      <c r="S234" s="907"/>
      <c r="T234" s="907"/>
      <c r="U234" s="907"/>
      <c r="V234" s="907"/>
      <c r="W234" s="907"/>
      <c r="X234" s="907"/>
      <c r="Y234" s="907"/>
      <c r="Z234" s="907"/>
      <c r="AA234" s="907"/>
    </row>
    <row r="235" spans="1:27">
      <c r="A235" s="907"/>
      <c r="B235" s="907"/>
      <c r="C235" s="907"/>
      <c r="D235" s="907"/>
      <c r="E235" s="907"/>
      <c r="F235" s="907"/>
      <c r="G235" s="907"/>
      <c r="H235" s="907"/>
      <c r="I235" s="907"/>
      <c r="J235" s="907"/>
      <c r="K235" s="907"/>
      <c r="L235" s="907"/>
      <c r="M235" s="907"/>
      <c r="N235" s="907"/>
      <c r="O235" s="907"/>
      <c r="P235" s="907"/>
      <c r="Q235" s="907"/>
      <c r="R235" s="907"/>
      <c r="S235" s="907"/>
      <c r="T235" s="907"/>
      <c r="U235" s="907"/>
      <c r="V235" s="907"/>
      <c r="W235" s="907"/>
      <c r="X235" s="907"/>
      <c r="Y235" s="907"/>
      <c r="Z235" s="907"/>
      <c r="AA235" s="907"/>
    </row>
    <row r="236" spans="1:27">
      <c r="A236" s="907"/>
      <c r="B236" s="907"/>
      <c r="C236" s="907"/>
      <c r="D236" s="907"/>
      <c r="E236" s="907"/>
      <c r="F236" s="907"/>
      <c r="G236" s="907"/>
      <c r="H236" s="907"/>
      <c r="I236" s="907"/>
      <c r="J236" s="907"/>
      <c r="K236" s="907"/>
      <c r="L236" s="907"/>
      <c r="M236" s="907"/>
      <c r="N236" s="907"/>
      <c r="O236" s="907"/>
      <c r="P236" s="907"/>
      <c r="Q236" s="907"/>
      <c r="R236" s="907"/>
      <c r="S236" s="907"/>
      <c r="T236" s="907"/>
      <c r="U236" s="907"/>
      <c r="V236" s="907"/>
      <c r="W236" s="907"/>
      <c r="X236" s="907"/>
      <c r="Y236" s="907"/>
      <c r="Z236" s="907"/>
      <c r="AA236" s="907"/>
    </row>
    <row r="237" spans="1:27">
      <c r="A237" s="907"/>
      <c r="B237" s="907"/>
      <c r="C237" s="907"/>
      <c r="D237" s="907"/>
      <c r="E237" s="907"/>
      <c r="F237" s="907"/>
      <c r="G237" s="907"/>
      <c r="H237" s="907"/>
      <c r="I237" s="907"/>
      <c r="J237" s="907"/>
      <c r="K237" s="907"/>
      <c r="L237" s="907"/>
      <c r="M237" s="907"/>
      <c r="N237" s="907"/>
      <c r="O237" s="907"/>
      <c r="P237" s="907"/>
      <c r="Q237" s="907"/>
      <c r="R237" s="907"/>
      <c r="S237" s="907"/>
      <c r="T237" s="907"/>
      <c r="U237" s="907"/>
      <c r="V237" s="907"/>
      <c r="W237" s="907"/>
      <c r="X237" s="907"/>
      <c r="Y237" s="907"/>
      <c r="Z237" s="907"/>
      <c r="AA237" s="907"/>
    </row>
    <row r="238" spans="1:27">
      <c r="A238" s="907"/>
      <c r="B238" s="907"/>
      <c r="C238" s="907"/>
      <c r="D238" s="907"/>
      <c r="E238" s="907"/>
      <c r="F238" s="907"/>
      <c r="G238" s="907"/>
      <c r="H238" s="907"/>
      <c r="I238" s="907"/>
      <c r="J238" s="907"/>
      <c r="K238" s="907"/>
      <c r="L238" s="907"/>
      <c r="M238" s="907"/>
      <c r="N238" s="907"/>
      <c r="O238" s="907"/>
      <c r="P238" s="907"/>
      <c r="Q238" s="907"/>
      <c r="R238" s="907"/>
      <c r="S238" s="907"/>
      <c r="T238" s="907"/>
      <c r="U238" s="907"/>
      <c r="V238" s="907"/>
      <c r="W238" s="907"/>
      <c r="X238" s="907"/>
      <c r="Y238" s="907"/>
      <c r="Z238" s="907"/>
      <c r="AA238" s="907"/>
    </row>
    <row r="239" spans="1:27">
      <c r="A239" s="907"/>
      <c r="B239" s="907"/>
      <c r="C239" s="907"/>
      <c r="D239" s="907"/>
      <c r="E239" s="907"/>
      <c r="F239" s="907"/>
      <c r="G239" s="907"/>
      <c r="H239" s="907"/>
      <c r="I239" s="907"/>
      <c r="J239" s="907"/>
      <c r="K239" s="907"/>
      <c r="L239" s="907"/>
      <c r="M239" s="907"/>
      <c r="N239" s="907"/>
      <c r="O239" s="907"/>
      <c r="P239" s="907"/>
      <c r="Q239" s="907"/>
      <c r="R239" s="907"/>
      <c r="S239" s="907"/>
      <c r="T239" s="907"/>
      <c r="U239" s="907"/>
      <c r="V239" s="907"/>
      <c r="W239" s="907"/>
      <c r="X239" s="907"/>
      <c r="Y239" s="907"/>
      <c r="Z239" s="907"/>
      <c r="AA239" s="907"/>
    </row>
    <row r="240" spans="1:27">
      <c r="A240" s="907"/>
      <c r="B240" s="907"/>
      <c r="C240" s="907"/>
      <c r="D240" s="907"/>
      <c r="E240" s="907"/>
      <c r="F240" s="907"/>
      <c r="G240" s="907"/>
      <c r="H240" s="907"/>
      <c r="I240" s="907"/>
      <c r="J240" s="907"/>
      <c r="K240" s="907"/>
      <c r="L240" s="907"/>
      <c r="M240" s="907"/>
      <c r="N240" s="907"/>
      <c r="O240" s="907"/>
      <c r="P240" s="907"/>
      <c r="Q240" s="907"/>
      <c r="R240" s="907"/>
      <c r="S240" s="907"/>
      <c r="T240" s="907"/>
      <c r="U240" s="907"/>
      <c r="V240" s="907"/>
      <c r="W240" s="907"/>
      <c r="X240" s="907"/>
      <c r="Y240" s="907"/>
      <c r="Z240" s="907"/>
      <c r="AA240" s="907"/>
    </row>
    <row r="241" spans="1:27">
      <c r="A241" s="907"/>
      <c r="B241" s="907"/>
      <c r="C241" s="907"/>
      <c r="D241" s="907"/>
      <c r="E241" s="907"/>
      <c r="F241" s="907"/>
      <c r="G241" s="907"/>
      <c r="H241" s="907"/>
      <c r="I241" s="907"/>
      <c r="J241" s="907"/>
      <c r="K241" s="907"/>
      <c r="L241" s="907"/>
      <c r="M241" s="907"/>
      <c r="N241" s="907"/>
      <c r="O241" s="907"/>
      <c r="P241" s="907"/>
      <c r="Q241" s="907"/>
      <c r="R241" s="907"/>
      <c r="S241" s="907"/>
      <c r="T241" s="907"/>
      <c r="U241" s="907"/>
      <c r="V241" s="907"/>
      <c r="W241" s="907"/>
      <c r="X241" s="907"/>
      <c r="Y241" s="907"/>
      <c r="Z241" s="907"/>
      <c r="AA241" s="907"/>
    </row>
    <row r="242" spans="1:27">
      <c r="A242" s="907"/>
      <c r="B242" s="907"/>
      <c r="C242" s="907"/>
      <c r="D242" s="907"/>
      <c r="E242" s="907"/>
      <c r="F242" s="907"/>
      <c r="G242" s="907"/>
      <c r="H242" s="907"/>
      <c r="I242" s="907"/>
      <c r="J242" s="907"/>
      <c r="K242" s="907"/>
      <c r="L242" s="907"/>
      <c r="M242" s="907"/>
      <c r="N242" s="907"/>
      <c r="O242" s="907"/>
      <c r="P242" s="907"/>
      <c r="Q242" s="907"/>
      <c r="R242" s="907"/>
      <c r="S242" s="907"/>
      <c r="T242" s="907"/>
      <c r="U242" s="907"/>
      <c r="V242" s="907"/>
      <c r="W242" s="907"/>
      <c r="X242" s="907"/>
      <c r="Y242" s="907"/>
      <c r="Z242" s="907"/>
      <c r="AA242" s="907"/>
    </row>
    <row r="243" spans="1:27">
      <c r="A243" s="907"/>
      <c r="B243" s="907"/>
      <c r="C243" s="907"/>
      <c r="D243" s="907"/>
      <c r="E243" s="907"/>
      <c r="F243" s="907"/>
      <c r="G243" s="907"/>
      <c r="H243" s="907"/>
      <c r="I243" s="907"/>
      <c r="J243" s="907"/>
      <c r="K243" s="907"/>
      <c r="L243" s="907"/>
      <c r="M243" s="907"/>
      <c r="N243" s="907"/>
      <c r="O243" s="907"/>
      <c r="P243" s="907"/>
      <c r="Q243" s="907"/>
      <c r="R243" s="907"/>
      <c r="S243" s="907"/>
      <c r="T243" s="907"/>
      <c r="U243" s="907"/>
      <c r="V243" s="907"/>
      <c r="W243" s="907"/>
      <c r="X243" s="907"/>
      <c r="Y243" s="907"/>
      <c r="Z243" s="907"/>
      <c r="AA243" s="907"/>
    </row>
    <row r="244" spans="1:27">
      <c r="A244" s="907"/>
      <c r="B244" s="907"/>
      <c r="C244" s="907"/>
      <c r="D244" s="907"/>
      <c r="E244" s="907"/>
      <c r="F244" s="907"/>
      <c r="G244" s="907"/>
      <c r="H244" s="907"/>
      <c r="I244" s="907"/>
      <c r="J244" s="907"/>
      <c r="K244" s="907"/>
      <c r="L244" s="907"/>
      <c r="M244" s="907"/>
      <c r="N244" s="907"/>
      <c r="O244" s="907"/>
      <c r="P244" s="907"/>
      <c r="Q244" s="907"/>
      <c r="R244" s="907"/>
      <c r="S244" s="907"/>
      <c r="T244" s="907"/>
      <c r="U244" s="907"/>
      <c r="V244" s="907"/>
      <c r="W244" s="907"/>
      <c r="X244" s="907"/>
      <c r="Y244" s="907"/>
      <c r="Z244" s="907"/>
      <c r="AA244" s="907"/>
    </row>
    <row r="245" spans="1:27">
      <c r="A245" s="907"/>
      <c r="B245" s="907"/>
      <c r="C245" s="907"/>
      <c r="D245" s="907"/>
      <c r="E245" s="907"/>
      <c r="F245" s="907"/>
      <c r="G245" s="907"/>
      <c r="H245" s="907"/>
      <c r="I245" s="907"/>
      <c r="J245" s="907"/>
      <c r="K245" s="907"/>
      <c r="L245" s="907"/>
      <c r="M245" s="907"/>
      <c r="N245" s="907"/>
      <c r="O245" s="907"/>
      <c r="P245" s="907"/>
      <c r="Q245" s="907"/>
      <c r="R245" s="907"/>
      <c r="S245" s="907"/>
      <c r="T245" s="907"/>
      <c r="U245" s="907"/>
      <c r="V245" s="907"/>
      <c r="W245" s="907"/>
      <c r="X245" s="907"/>
      <c r="Y245" s="907"/>
      <c r="Z245" s="907"/>
      <c r="AA245" s="907"/>
    </row>
    <row r="246" spans="1:27">
      <c r="A246" s="907"/>
      <c r="B246" s="907"/>
      <c r="C246" s="907"/>
      <c r="D246" s="907"/>
      <c r="E246" s="907"/>
      <c r="F246" s="907"/>
      <c r="G246" s="907"/>
      <c r="H246" s="907"/>
      <c r="I246" s="907"/>
      <c r="J246" s="907"/>
      <c r="K246" s="907"/>
      <c r="L246" s="907"/>
      <c r="M246" s="907"/>
      <c r="N246" s="907"/>
      <c r="O246" s="907"/>
      <c r="P246" s="907"/>
      <c r="Q246" s="907"/>
      <c r="R246" s="907"/>
      <c r="S246" s="907"/>
      <c r="T246" s="907"/>
      <c r="U246" s="907"/>
      <c r="V246" s="907"/>
      <c r="W246" s="907"/>
      <c r="X246" s="907"/>
      <c r="Y246" s="907"/>
      <c r="Z246" s="907"/>
      <c r="AA246" s="907"/>
    </row>
    <row r="247" spans="1:27">
      <c r="A247" s="907"/>
      <c r="B247" s="907"/>
      <c r="C247" s="907"/>
      <c r="D247" s="907"/>
      <c r="E247" s="907"/>
      <c r="F247" s="907"/>
      <c r="G247" s="907"/>
      <c r="H247" s="907"/>
      <c r="I247" s="907"/>
      <c r="J247" s="907"/>
      <c r="K247" s="907"/>
      <c r="L247" s="907"/>
      <c r="M247" s="907"/>
      <c r="N247" s="907"/>
      <c r="O247" s="907"/>
      <c r="P247" s="907"/>
      <c r="Q247" s="907"/>
      <c r="R247" s="907"/>
      <c r="S247" s="907"/>
      <c r="T247" s="907"/>
      <c r="U247" s="907"/>
      <c r="V247" s="907"/>
      <c r="W247" s="907"/>
      <c r="X247" s="907"/>
      <c r="Y247" s="907"/>
      <c r="Z247" s="907"/>
      <c r="AA247" s="907"/>
    </row>
    <row r="248" spans="1:27">
      <c r="A248" s="907"/>
      <c r="B248" s="907"/>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row>
    <row r="249" spans="1:27">
      <c r="A249" s="907"/>
      <c r="B249" s="907"/>
      <c r="C249" s="907"/>
      <c r="D249" s="907"/>
      <c r="E249" s="907"/>
      <c r="F249" s="907"/>
      <c r="G249" s="907"/>
      <c r="H249" s="907"/>
      <c r="I249" s="907"/>
      <c r="J249" s="907"/>
      <c r="K249" s="907"/>
      <c r="L249" s="907"/>
      <c r="M249" s="907"/>
      <c r="N249" s="907"/>
      <c r="O249" s="907"/>
      <c r="P249" s="907"/>
      <c r="Q249" s="907"/>
      <c r="R249" s="907"/>
      <c r="S249" s="907"/>
      <c r="T249" s="907"/>
      <c r="U249" s="907"/>
      <c r="V249" s="907"/>
      <c r="W249" s="907"/>
      <c r="X249" s="907"/>
      <c r="Y249" s="907"/>
      <c r="Z249" s="907"/>
      <c r="AA249" s="907"/>
    </row>
    <row r="250" spans="1:27">
      <c r="A250" s="907"/>
      <c r="B250" s="907"/>
      <c r="C250" s="907"/>
      <c r="D250" s="907"/>
      <c r="E250" s="907"/>
      <c r="F250" s="907"/>
      <c r="G250" s="907"/>
      <c r="H250" s="907"/>
      <c r="I250" s="907"/>
      <c r="J250" s="907"/>
      <c r="K250" s="907"/>
      <c r="L250" s="907"/>
      <c r="M250" s="907"/>
      <c r="N250" s="907"/>
      <c r="O250" s="907"/>
      <c r="P250" s="907"/>
      <c r="Q250" s="907"/>
      <c r="R250" s="907"/>
      <c r="S250" s="907"/>
      <c r="T250" s="907"/>
      <c r="U250" s="907"/>
      <c r="V250" s="907"/>
      <c r="W250" s="907"/>
      <c r="X250" s="907"/>
      <c r="Y250" s="907"/>
      <c r="Z250" s="907"/>
      <c r="AA250" s="907"/>
    </row>
    <row r="251" spans="1:27">
      <c r="A251" s="907"/>
      <c r="B251" s="907"/>
      <c r="C251" s="907"/>
      <c r="D251" s="907"/>
      <c r="E251" s="907"/>
      <c r="F251" s="907"/>
      <c r="G251" s="907"/>
      <c r="H251" s="907"/>
      <c r="I251" s="907"/>
      <c r="J251" s="907"/>
      <c r="K251" s="907"/>
      <c r="L251" s="907"/>
      <c r="M251" s="907"/>
      <c r="N251" s="907"/>
      <c r="O251" s="907"/>
      <c r="P251" s="907"/>
      <c r="Q251" s="907"/>
      <c r="R251" s="907"/>
      <c r="S251" s="907"/>
      <c r="T251" s="907"/>
      <c r="U251" s="907"/>
      <c r="V251" s="907"/>
      <c r="W251" s="907"/>
      <c r="X251" s="907"/>
      <c r="Y251" s="907"/>
      <c r="Z251" s="907"/>
      <c r="AA251" s="907"/>
    </row>
    <row r="252" spans="1:27">
      <c r="A252" s="907"/>
      <c r="B252" s="907"/>
      <c r="C252" s="907"/>
      <c r="D252" s="907"/>
      <c r="E252" s="907"/>
      <c r="F252" s="907"/>
      <c r="G252" s="907"/>
      <c r="H252" s="907"/>
      <c r="I252" s="907"/>
      <c r="J252" s="907"/>
      <c r="K252" s="907"/>
      <c r="L252" s="907"/>
      <c r="M252" s="907"/>
      <c r="N252" s="907"/>
      <c r="O252" s="907"/>
      <c r="P252" s="907"/>
      <c r="Q252" s="907"/>
      <c r="R252" s="907"/>
      <c r="S252" s="907"/>
      <c r="T252" s="907"/>
      <c r="U252" s="907"/>
      <c r="V252" s="907"/>
      <c r="W252" s="907"/>
      <c r="X252" s="907"/>
      <c r="Y252" s="907"/>
      <c r="Z252" s="907"/>
      <c r="AA252" s="907"/>
    </row>
    <row r="253" spans="1:27">
      <c r="A253" s="907"/>
      <c r="B253" s="907"/>
      <c r="C253" s="907"/>
      <c r="D253" s="907"/>
      <c r="E253" s="907"/>
      <c r="F253" s="907"/>
      <c r="G253" s="907"/>
      <c r="H253" s="907"/>
      <c r="I253" s="907"/>
      <c r="J253" s="907"/>
      <c r="K253" s="907"/>
      <c r="L253" s="907"/>
      <c r="M253" s="907"/>
      <c r="N253" s="907"/>
      <c r="O253" s="907"/>
      <c r="P253" s="907"/>
      <c r="Q253" s="907"/>
      <c r="R253" s="907"/>
      <c r="S253" s="907"/>
      <c r="T253" s="907"/>
      <c r="U253" s="907"/>
      <c r="V253" s="907"/>
      <c r="W253" s="907"/>
      <c r="X253" s="907"/>
      <c r="Y253" s="907"/>
      <c r="Z253" s="907"/>
      <c r="AA253" s="907"/>
    </row>
    <row r="254" spans="1:27">
      <c r="A254" s="907"/>
      <c r="B254" s="907"/>
      <c r="C254" s="907"/>
      <c r="D254" s="907"/>
      <c r="E254" s="907"/>
      <c r="F254" s="907"/>
      <c r="G254" s="907"/>
      <c r="H254" s="907"/>
      <c r="I254" s="907"/>
      <c r="J254" s="907"/>
      <c r="K254" s="907"/>
      <c r="L254" s="907"/>
      <c r="M254" s="907"/>
      <c r="N254" s="907"/>
      <c r="O254" s="907"/>
      <c r="P254" s="907"/>
      <c r="Q254" s="907"/>
      <c r="R254" s="907"/>
      <c r="S254" s="907"/>
      <c r="T254" s="907"/>
      <c r="U254" s="907"/>
      <c r="V254" s="907"/>
      <c r="W254" s="907"/>
      <c r="X254" s="907"/>
      <c r="Y254" s="907"/>
      <c r="Z254" s="907"/>
      <c r="AA254" s="907"/>
    </row>
    <row r="255" spans="1:27">
      <c r="A255" s="907"/>
      <c r="B255" s="907"/>
      <c r="C255" s="907"/>
      <c r="D255" s="907"/>
      <c r="E255" s="907"/>
      <c r="F255" s="907"/>
      <c r="G255" s="907"/>
      <c r="H255" s="907"/>
      <c r="I255" s="907"/>
      <c r="J255" s="907"/>
      <c r="K255" s="907"/>
      <c r="L255" s="907"/>
      <c r="M255" s="907"/>
      <c r="N255" s="907"/>
      <c r="O255" s="907"/>
      <c r="P255" s="907"/>
      <c r="Q255" s="907"/>
      <c r="R255" s="907"/>
      <c r="S255" s="907"/>
      <c r="T255" s="907"/>
      <c r="U255" s="907"/>
      <c r="V255" s="907"/>
      <c r="W255" s="907"/>
      <c r="X255" s="907"/>
      <c r="Y255" s="907"/>
      <c r="Z255" s="907"/>
      <c r="AA255" s="907"/>
    </row>
    <row r="256" spans="1:27">
      <c r="A256" s="907"/>
      <c r="B256" s="907"/>
      <c r="C256" s="907"/>
      <c r="D256" s="907"/>
      <c r="E256" s="907"/>
      <c r="F256" s="907"/>
      <c r="G256" s="907"/>
      <c r="H256" s="907"/>
      <c r="I256" s="907"/>
      <c r="J256" s="907"/>
      <c r="K256" s="907"/>
      <c r="L256" s="907"/>
      <c r="M256" s="907"/>
      <c r="N256" s="907"/>
      <c r="O256" s="907"/>
      <c r="P256" s="907"/>
      <c r="Q256" s="907"/>
      <c r="R256" s="907"/>
      <c r="S256" s="907"/>
      <c r="T256" s="907"/>
      <c r="U256" s="907"/>
      <c r="V256" s="907"/>
      <c r="W256" s="907"/>
      <c r="X256" s="907"/>
      <c r="Y256" s="907"/>
      <c r="Z256" s="907"/>
      <c r="AA256" s="907"/>
    </row>
    <row r="257" spans="1:27">
      <c r="A257" s="907"/>
      <c r="B257" s="907"/>
      <c r="C257" s="907"/>
      <c r="D257" s="907"/>
      <c r="E257" s="907"/>
      <c r="F257" s="907"/>
      <c r="G257" s="907"/>
      <c r="H257" s="907"/>
      <c r="I257" s="907"/>
      <c r="J257" s="907"/>
      <c r="K257" s="907"/>
      <c r="L257" s="907"/>
      <c r="M257" s="907"/>
      <c r="N257" s="907"/>
      <c r="O257" s="907"/>
      <c r="P257" s="907"/>
      <c r="Q257" s="907"/>
      <c r="R257" s="907"/>
      <c r="S257" s="907"/>
      <c r="T257" s="907"/>
      <c r="U257" s="907"/>
      <c r="V257" s="907"/>
      <c r="W257" s="907"/>
      <c r="X257" s="907"/>
      <c r="Y257" s="907"/>
      <c r="Z257" s="907"/>
      <c r="AA257" s="907"/>
    </row>
    <row r="258" spans="1:27">
      <c r="A258" s="907"/>
      <c r="B258" s="907"/>
      <c r="C258" s="907"/>
      <c r="D258" s="907"/>
      <c r="E258" s="907"/>
      <c r="F258" s="907"/>
      <c r="G258" s="907"/>
      <c r="H258" s="907"/>
      <c r="I258" s="907"/>
      <c r="J258" s="907"/>
      <c r="K258" s="907"/>
      <c r="L258" s="907"/>
      <c r="M258" s="907"/>
      <c r="N258" s="907"/>
      <c r="O258" s="907"/>
      <c r="P258" s="907"/>
      <c r="Q258" s="907"/>
      <c r="R258" s="907"/>
      <c r="S258" s="907"/>
      <c r="T258" s="907"/>
      <c r="U258" s="907"/>
      <c r="V258" s="907"/>
      <c r="W258" s="907"/>
      <c r="X258" s="907"/>
      <c r="Y258" s="907"/>
      <c r="Z258" s="907"/>
      <c r="AA258" s="907"/>
    </row>
    <row r="259" spans="1:27">
      <c r="A259" s="907"/>
      <c r="B259" s="907"/>
      <c r="C259" s="907"/>
      <c r="D259" s="907"/>
      <c r="E259" s="907"/>
      <c r="F259" s="907"/>
      <c r="G259" s="907"/>
      <c r="H259" s="907"/>
      <c r="I259" s="907"/>
      <c r="J259" s="907"/>
      <c r="K259" s="907"/>
      <c r="L259" s="907"/>
      <c r="M259" s="907"/>
      <c r="N259" s="907"/>
      <c r="O259" s="907"/>
      <c r="P259" s="907"/>
      <c r="Q259" s="907"/>
      <c r="R259" s="907"/>
      <c r="S259" s="907"/>
      <c r="T259" s="907"/>
      <c r="U259" s="907"/>
      <c r="V259" s="907"/>
      <c r="W259" s="907"/>
      <c r="X259" s="907"/>
      <c r="Y259" s="907"/>
      <c r="Z259" s="907"/>
      <c r="AA259" s="907"/>
    </row>
    <row r="260" spans="1:27">
      <c r="A260" s="907"/>
      <c r="B260" s="907"/>
      <c r="C260" s="907"/>
      <c r="D260" s="907"/>
      <c r="E260" s="907"/>
      <c r="F260" s="907"/>
      <c r="G260" s="907"/>
      <c r="H260" s="907"/>
      <c r="I260" s="907"/>
      <c r="J260" s="907"/>
      <c r="K260" s="907"/>
      <c r="L260" s="907"/>
      <c r="M260" s="907"/>
      <c r="N260" s="907"/>
      <c r="O260" s="907"/>
      <c r="P260" s="907"/>
      <c r="Q260" s="907"/>
      <c r="R260" s="907"/>
      <c r="S260" s="907"/>
      <c r="T260" s="907"/>
      <c r="U260" s="907"/>
      <c r="V260" s="907"/>
      <c r="W260" s="907"/>
      <c r="X260" s="907"/>
      <c r="Y260" s="907"/>
      <c r="Z260" s="907"/>
      <c r="AA260" s="907"/>
    </row>
    <row r="261" spans="1:27">
      <c r="A261" s="907"/>
      <c r="B261" s="907"/>
      <c r="C261" s="907"/>
      <c r="D261" s="907"/>
      <c r="E261" s="907"/>
      <c r="F261" s="907"/>
      <c r="G261" s="907"/>
      <c r="H261" s="907"/>
      <c r="I261" s="907"/>
      <c r="J261" s="907"/>
      <c r="K261" s="907"/>
      <c r="L261" s="907"/>
      <c r="M261" s="907"/>
      <c r="N261" s="907"/>
      <c r="O261" s="907"/>
      <c r="P261" s="907"/>
      <c r="Q261" s="907"/>
      <c r="R261" s="907"/>
      <c r="S261" s="907"/>
      <c r="T261" s="907"/>
      <c r="U261" s="907"/>
      <c r="V261" s="907"/>
      <c r="W261" s="907"/>
      <c r="X261" s="907"/>
      <c r="Y261" s="907"/>
      <c r="Z261" s="907"/>
      <c r="AA261" s="907"/>
    </row>
    <row r="262" spans="1:27">
      <c r="A262" s="907"/>
      <c r="B262" s="907"/>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row>
    <row r="263" spans="1:27">
      <c r="A263" s="907"/>
      <c r="B263" s="907"/>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row>
    <row r="264" spans="1:27">
      <c r="A264" s="907"/>
      <c r="B264" s="907"/>
      <c r="C264" s="907"/>
      <c r="D264" s="907"/>
      <c r="E264" s="907"/>
      <c r="F264" s="907"/>
      <c r="G264" s="907"/>
      <c r="H264" s="907"/>
      <c r="I264" s="907"/>
      <c r="J264" s="907"/>
      <c r="K264" s="907"/>
      <c r="L264" s="907"/>
      <c r="M264" s="907"/>
      <c r="N264" s="907"/>
      <c r="O264" s="907"/>
      <c r="P264" s="907"/>
      <c r="Q264" s="907"/>
      <c r="R264" s="907"/>
      <c r="S264" s="907"/>
      <c r="T264" s="907"/>
      <c r="U264" s="907"/>
      <c r="V264" s="907"/>
      <c r="W264" s="907"/>
      <c r="X264" s="907"/>
      <c r="Y264" s="907"/>
      <c r="Z264" s="907"/>
      <c r="AA264" s="907"/>
    </row>
    <row r="265" spans="1:27">
      <c r="A265" s="907"/>
      <c r="B265" s="907"/>
      <c r="C265" s="907"/>
      <c r="D265" s="907"/>
      <c r="E265" s="907"/>
      <c r="F265" s="907"/>
      <c r="G265" s="907"/>
      <c r="H265" s="907"/>
      <c r="I265" s="907"/>
      <c r="J265" s="907"/>
      <c r="K265" s="907"/>
      <c r="L265" s="907"/>
      <c r="M265" s="907"/>
      <c r="N265" s="907"/>
      <c r="O265" s="907"/>
      <c r="P265" s="907"/>
      <c r="Q265" s="907"/>
      <c r="R265" s="907"/>
      <c r="S265" s="907"/>
      <c r="T265" s="907"/>
      <c r="U265" s="907"/>
      <c r="V265" s="907"/>
      <c r="W265" s="907"/>
      <c r="X265" s="907"/>
      <c r="Y265" s="907"/>
      <c r="Z265" s="907"/>
      <c r="AA265" s="907"/>
    </row>
    <row r="266" spans="1:27">
      <c r="A266" s="907"/>
      <c r="B266" s="907"/>
      <c r="C266" s="907"/>
      <c r="D266" s="907"/>
      <c r="E266" s="907"/>
      <c r="F266" s="907"/>
      <c r="G266" s="907"/>
      <c r="H266" s="907"/>
      <c r="I266" s="907"/>
      <c r="J266" s="907"/>
      <c r="K266" s="907"/>
      <c r="L266" s="907"/>
      <c r="M266" s="907"/>
      <c r="N266" s="907"/>
      <c r="O266" s="907"/>
      <c r="P266" s="907"/>
      <c r="Q266" s="907"/>
      <c r="R266" s="907"/>
      <c r="S266" s="907"/>
      <c r="T266" s="907"/>
      <c r="U266" s="907"/>
      <c r="V266" s="907"/>
      <c r="W266" s="907"/>
      <c r="X266" s="907"/>
      <c r="Y266" s="907"/>
      <c r="Z266" s="907"/>
      <c r="AA266" s="907"/>
    </row>
    <row r="267" spans="1:27">
      <c r="A267" s="907"/>
      <c r="B267" s="907"/>
      <c r="C267" s="907"/>
      <c r="D267" s="907"/>
      <c r="E267" s="907"/>
      <c r="F267" s="907"/>
      <c r="G267" s="907"/>
      <c r="H267" s="907"/>
      <c r="I267" s="907"/>
      <c r="J267" s="907"/>
      <c r="K267" s="907"/>
      <c r="L267" s="907"/>
      <c r="M267" s="907"/>
      <c r="N267" s="907"/>
      <c r="O267" s="907"/>
      <c r="P267" s="907"/>
      <c r="Q267" s="907"/>
      <c r="R267" s="907"/>
      <c r="S267" s="907"/>
      <c r="T267" s="907"/>
      <c r="U267" s="907"/>
      <c r="V267" s="907"/>
      <c r="W267" s="907"/>
      <c r="X267" s="907"/>
      <c r="Y267" s="907"/>
      <c r="Z267" s="907"/>
      <c r="AA267" s="907"/>
    </row>
    <row r="268" spans="1:27">
      <c r="A268" s="907"/>
      <c r="B268" s="907"/>
      <c r="C268" s="907"/>
      <c r="D268" s="907"/>
      <c r="E268" s="907"/>
      <c r="F268" s="907"/>
      <c r="G268" s="907"/>
      <c r="H268" s="907"/>
      <c r="I268" s="907"/>
      <c r="J268" s="907"/>
      <c r="K268" s="907"/>
      <c r="L268" s="907"/>
      <c r="M268" s="907"/>
      <c r="N268" s="907"/>
      <c r="O268" s="907"/>
      <c r="P268" s="907"/>
      <c r="Q268" s="907"/>
      <c r="R268" s="907"/>
      <c r="S268" s="907"/>
      <c r="T268" s="907"/>
      <c r="U268" s="907"/>
      <c r="V268" s="907"/>
      <c r="W268" s="907"/>
      <c r="X268" s="907"/>
      <c r="Y268" s="907"/>
      <c r="Z268" s="907"/>
      <c r="AA268" s="907"/>
    </row>
    <row r="269" spans="1:27">
      <c r="A269" s="907"/>
      <c r="B269" s="907"/>
      <c r="C269" s="907"/>
      <c r="D269" s="907"/>
      <c r="E269" s="907"/>
      <c r="F269" s="907"/>
      <c r="G269" s="907"/>
      <c r="H269" s="907"/>
      <c r="I269" s="907"/>
      <c r="J269" s="907"/>
      <c r="K269" s="907"/>
      <c r="L269" s="907"/>
      <c r="M269" s="907"/>
      <c r="N269" s="907"/>
      <c r="O269" s="907"/>
      <c r="P269" s="907"/>
      <c r="Q269" s="907"/>
      <c r="R269" s="907"/>
      <c r="S269" s="907"/>
      <c r="T269" s="907"/>
      <c r="U269" s="907"/>
      <c r="V269" s="907"/>
      <c r="W269" s="907"/>
      <c r="X269" s="907"/>
      <c r="Y269" s="907"/>
      <c r="Z269" s="907"/>
      <c r="AA269" s="907"/>
    </row>
    <row r="270" spans="1:27">
      <c r="A270" s="907"/>
      <c r="B270" s="907"/>
      <c r="C270" s="907"/>
      <c r="D270" s="907"/>
      <c r="E270" s="907"/>
      <c r="F270" s="907"/>
      <c r="G270" s="907"/>
      <c r="H270" s="907"/>
      <c r="I270" s="907"/>
      <c r="J270" s="907"/>
      <c r="K270" s="907"/>
      <c r="L270" s="907"/>
      <c r="M270" s="907"/>
      <c r="N270" s="907"/>
      <c r="O270" s="907"/>
      <c r="P270" s="907"/>
      <c r="Q270" s="907"/>
      <c r="R270" s="907"/>
      <c r="S270" s="907"/>
      <c r="T270" s="907"/>
      <c r="U270" s="907"/>
      <c r="V270" s="907"/>
      <c r="W270" s="907"/>
      <c r="X270" s="907"/>
      <c r="Y270" s="907"/>
      <c r="Z270" s="907"/>
      <c r="AA270" s="907"/>
    </row>
    <row r="271" spans="1:27">
      <c r="A271" s="907"/>
      <c r="B271" s="907"/>
      <c r="C271" s="907"/>
      <c r="D271" s="907"/>
      <c r="E271" s="907"/>
      <c r="F271" s="907"/>
      <c r="G271" s="907"/>
      <c r="H271" s="907"/>
      <c r="I271" s="907"/>
      <c r="J271" s="907"/>
      <c r="K271" s="907"/>
      <c r="L271" s="907"/>
      <c r="M271" s="907"/>
      <c r="N271" s="907"/>
      <c r="O271" s="907"/>
      <c r="P271" s="907"/>
      <c r="Q271" s="907"/>
      <c r="R271" s="907"/>
      <c r="S271" s="907"/>
      <c r="T271" s="907"/>
      <c r="U271" s="907"/>
      <c r="V271" s="907"/>
      <c r="W271" s="907"/>
      <c r="X271" s="907"/>
      <c r="Y271" s="907"/>
      <c r="Z271" s="907"/>
      <c r="AA271" s="907"/>
    </row>
    <row r="272" spans="1:27">
      <c r="A272" s="907"/>
      <c r="B272" s="907"/>
      <c r="C272" s="907"/>
      <c r="D272" s="907"/>
      <c r="E272" s="907"/>
      <c r="F272" s="907"/>
      <c r="G272" s="907"/>
      <c r="H272" s="907"/>
      <c r="I272" s="907"/>
      <c r="J272" s="907"/>
      <c r="K272" s="907"/>
      <c r="L272" s="907"/>
      <c r="M272" s="907"/>
      <c r="N272" s="907"/>
      <c r="O272" s="907"/>
      <c r="P272" s="907"/>
      <c r="Q272" s="907"/>
      <c r="R272" s="907"/>
      <c r="S272" s="907"/>
      <c r="T272" s="907"/>
      <c r="U272" s="907"/>
      <c r="V272" s="907"/>
      <c r="W272" s="907"/>
      <c r="X272" s="907"/>
      <c r="Y272" s="907"/>
      <c r="Z272" s="907"/>
      <c r="AA272" s="907"/>
    </row>
    <row r="273" spans="1:27">
      <c r="A273" s="907"/>
      <c r="B273" s="907"/>
      <c r="C273" s="907"/>
      <c r="D273" s="907"/>
      <c r="E273" s="907"/>
      <c r="F273" s="907"/>
      <c r="G273" s="907"/>
      <c r="H273" s="907"/>
      <c r="I273" s="907"/>
      <c r="J273" s="907"/>
      <c r="K273" s="907"/>
      <c r="L273" s="907"/>
      <c r="M273" s="907"/>
      <c r="N273" s="907"/>
      <c r="O273" s="907"/>
      <c r="P273" s="907"/>
      <c r="Q273" s="907"/>
      <c r="R273" s="907"/>
      <c r="S273" s="907"/>
      <c r="T273" s="907"/>
      <c r="U273" s="907"/>
      <c r="V273" s="907"/>
      <c r="W273" s="907"/>
      <c r="X273" s="907"/>
      <c r="Y273" s="907"/>
      <c r="Z273" s="907"/>
      <c r="AA273" s="907"/>
    </row>
    <row r="274" spans="1:27">
      <c r="A274" s="907"/>
      <c r="B274" s="907"/>
      <c r="C274" s="907"/>
      <c r="D274" s="907"/>
      <c r="E274" s="907"/>
      <c r="F274" s="907"/>
      <c r="G274" s="907"/>
      <c r="H274" s="907"/>
      <c r="I274" s="907"/>
      <c r="J274" s="907"/>
      <c r="K274" s="907"/>
      <c r="L274" s="907"/>
      <c r="M274" s="907"/>
      <c r="N274" s="907"/>
      <c r="O274" s="907"/>
      <c r="P274" s="907"/>
      <c r="Q274" s="907"/>
      <c r="R274" s="907"/>
      <c r="S274" s="907"/>
      <c r="T274" s="907"/>
      <c r="U274" s="907"/>
      <c r="V274" s="907"/>
      <c r="W274" s="907"/>
      <c r="X274" s="907"/>
      <c r="Y274" s="907"/>
      <c r="Z274" s="907"/>
      <c r="AA274" s="907"/>
    </row>
    <row r="275" spans="1:27">
      <c r="A275" s="907"/>
      <c r="B275" s="907"/>
      <c r="C275" s="907"/>
      <c r="D275" s="907"/>
      <c r="E275" s="907"/>
      <c r="F275" s="907"/>
      <c r="G275" s="907"/>
      <c r="H275" s="907"/>
      <c r="I275" s="907"/>
      <c r="J275" s="907"/>
      <c r="K275" s="907"/>
      <c r="L275" s="907"/>
      <c r="M275" s="907"/>
      <c r="N275" s="907"/>
      <c r="O275" s="907"/>
      <c r="P275" s="907"/>
      <c r="Q275" s="907"/>
      <c r="R275" s="907"/>
      <c r="S275" s="907"/>
      <c r="T275" s="907"/>
      <c r="U275" s="907"/>
      <c r="V275" s="907"/>
      <c r="W275" s="907"/>
      <c r="X275" s="907"/>
      <c r="Y275" s="907"/>
      <c r="Z275" s="907"/>
      <c r="AA275" s="907"/>
    </row>
    <row r="276" spans="1:27">
      <c r="A276" s="907"/>
      <c r="B276" s="907"/>
      <c r="C276" s="907"/>
      <c r="D276" s="907"/>
      <c r="E276" s="907"/>
      <c r="F276" s="907"/>
      <c r="G276" s="907"/>
      <c r="H276" s="907"/>
      <c r="I276" s="907"/>
      <c r="J276" s="907"/>
      <c r="K276" s="907"/>
      <c r="L276" s="907"/>
      <c r="M276" s="907"/>
      <c r="N276" s="907"/>
      <c r="O276" s="907"/>
      <c r="P276" s="907"/>
      <c r="Q276" s="907"/>
      <c r="R276" s="907"/>
      <c r="S276" s="907"/>
      <c r="T276" s="907"/>
      <c r="U276" s="907"/>
      <c r="V276" s="907"/>
      <c r="W276" s="907"/>
      <c r="X276" s="907"/>
      <c r="Y276" s="907"/>
      <c r="Z276" s="907"/>
      <c r="AA276" s="907"/>
    </row>
    <row r="277" spans="1:27">
      <c r="A277" s="907"/>
      <c r="B277" s="907"/>
      <c r="C277" s="907"/>
      <c r="D277" s="907"/>
      <c r="E277" s="907"/>
      <c r="F277" s="907"/>
      <c r="G277" s="907"/>
      <c r="H277" s="907"/>
      <c r="I277" s="907"/>
      <c r="J277" s="907"/>
      <c r="K277" s="907"/>
      <c r="L277" s="907"/>
      <c r="M277" s="907"/>
      <c r="N277" s="907"/>
      <c r="O277" s="907"/>
      <c r="P277" s="907"/>
      <c r="Q277" s="907"/>
      <c r="R277" s="907"/>
      <c r="S277" s="907"/>
      <c r="T277" s="907"/>
      <c r="U277" s="907"/>
      <c r="V277" s="907"/>
      <c r="W277" s="907"/>
      <c r="X277" s="907"/>
      <c r="Y277" s="907"/>
      <c r="Z277" s="907"/>
      <c r="AA277" s="907"/>
    </row>
    <row r="278" spans="1:27">
      <c r="A278" s="907"/>
      <c r="B278" s="907"/>
      <c r="C278" s="907"/>
      <c r="D278" s="907"/>
      <c r="E278" s="907"/>
      <c r="F278" s="907"/>
      <c r="G278" s="907"/>
      <c r="H278" s="907"/>
      <c r="I278" s="907"/>
      <c r="J278" s="907"/>
      <c r="K278" s="907"/>
      <c r="L278" s="907"/>
      <c r="M278" s="907"/>
      <c r="N278" s="907"/>
      <c r="O278" s="907"/>
      <c r="P278" s="907"/>
      <c r="Q278" s="907"/>
      <c r="R278" s="907"/>
      <c r="S278" s="907"/>
      <c r="T278" s="907"/>
      <c r="U278" s="907"/>
      <c r="V278" s="907"/>
      <c r="W278" s="907"/>
      <c r="X278" s="907"/>
      <c r="Y278" s="907"/>
      <c r="Z278" s="907"/>
      <c r="AA278" s="907"/>
    </row>
    <row r="279" spans="1:27">
      <c r="A279" s="907"/>
      <c r="B279" s="907"/>
      <c r="C279" s="907"/>
      <c r="D279" s="907"/>
      <c r="E279" s="907"/>
      <c r="F279" s="907"/>
      <c r="G279" s="907"/>
      <c r="H279" s="907"/>
      <c r="I279" s="907"/>
      <c r="J279" s="907"/>
      <c r="K279" s="907"/>
      <c r="L279" s="907"/>
      <c r="M279" s="907"/>
      <c r="N279" s="907"/>
      <c r="O279" s="907"/>
      <c r="P279" s="907"/>
      <c r="Q279" s="907"/>
      <c r="R279" s="907"/>
      <c r="S279" s="907"/>
      <c r="T279" s="907"/>
      <c r="U279" s="907"/>
      <c r="V279" s="907"/>
      <c r="W279" s="907"/>
      <c r="X279" s="907"/>
      <c r="Y279" s="907"/>
      <c r="Z279" s="907"/>
      <c r="AA279" s="907"/>
    </row>
    <row r="280" spans="1:27">
      <c r="A280" s="907"/>
      <c r="B280" s="907"/>
      <c r="C280" s="907"/>
      <c r="D280" s="907"/>
      <c r="E280" s="907"/>
      <c r="F280" s="907"/>
      <c r="G280" s="907"/>
      <c r="H280" s="907"/>
      <c r="I280" s="907"/>
      <c r="J280" s="907"/>
      <c r="K280" s="907"/>
      <c r="L280" s="907"/>
      <c r="M280" s="907"/>
      <c r="N280" s="907"/>
      <c r="O280" s="907"/>
      <c r="P280" s="907"/>
      <c r="Q280" s="907"/>
      <c r="R280" s="907"/>
      <c r="S280" s="907"/>
      <c r="T280" s="907"/>
      <c r="U280" s="907"/>
      <c r="V280" s="907"/>
      <c r="W280" s="907"/>
      <c r="X280" s="907"/>
      <c r="Y280" s="907"/>
      <c r="Z280" s="907"/>
      <c r="AA280" s="907"/>
    </row>
    <row r="281" spans="1:27">
      <c r="A281" s="907"/>
      <c r="B281" s="907"/>
      <c r="C281" s="907"/>
      <c r="D281" s="907"/>
      <c r="E281" s="907"/>
      <c r="F281" s="907"/>
      <c r="G281" s="907"/>
      <c r="H281" s="907"/>
      <c r="I281" s="907"/>
      <c r="J281" s="907"/>
      <c r="K281" s="907"/>
      <c r="L281" s="907"/>
      <c r="M281" s="907"/>
      <c r="N281" s="907"/>
      <c r="O281" s="907"/>
      <c r="P281" s="907"/>
      <c r="Q281" s="907"/>
      <c r="R281" s="907"/>
      <c r="S281" s="907"/>
      <c r="T281" s="907"/>
      <c r="U281" s="907"/>
      <c r="V281" s="907"/>
      <c r="W281" s="907"/>
      <c r="X281" s="907"/>
      <c r="Y281" s="907"/>
      <c r="Z281" s="907"/>
      <c r="AA281" s="907"/>
    </row>
    <row r="282" spans="1:27">
      <c r="A282" s="907"/>
      <c r="B282" s="907"/>
      <c r="C282" s="907"/>
      <c r="D282" s="907"/>
      <c r="E282" s="907"/>
      <c r="F282" s="907"/>
      <c r="G282" s="907"/>
      <c r="H282" s="907"/>
      <c r="I282" s="907"/>
      <c r="J282" s="907"/>
      <c r="K282" s="907"/>
      <c r="L282" s="907"/>
      <c r="M282" s="907"/>
      <c r="N282" s="907"/>
      <c r="O282" s="907"/>
      <c r="P282" s="907"/>
      <c r="Q282" s="907"/>
      <c r="R282" s="907"/>
      <c r="S282" s="907"/>
      <c r="T282" s="907"/>
      <c r="U282" s="907"/>
      <c r="V282" s="907"/>
      <c r="W282" s="907"/>
      <c r="X282" s="907"/>
      <c r="Y282" s="907"/>
      <c r="Z282" s="907"/>
      <c r="AA282" s="907"/>
    </row>
    <row r="283" spans="1:27">
      <c r="A283" s="907"/>
      <c r="B283" s="907"/>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row>
    <row r="284" spans="1:27">
      <c r="A284" s="907"/>
      <c r="B284" s="907"/>
      <c r="C284" s="907"/>
      <c r="D284" s="907"/>
      <c r="E284" s="907"/>
      <c r="F284" s="907"/>
      <c r="G284" s="907"/>
      <c r="H284" s="907"/>
      <c r="I284" s="907"/>
      <c r="J284" s="907"/>
      <c r="K284" s="907"/>
      <c r="L284" s="907"/>
      <c r="M284" s="907"/>
      <c r="N284" s="907"/>
      <c r="O284" s="907"/>
      <c r="P284" s="907"/>
      <c r="Q284" s="907"/>
      <c r="R284" s="907"/>
      <c r="S284" s="907"/>
      <c r="T284" s="907"/>
      <c r="U284" s="907"/>
      <c r="V284" s="907"/>
      <c r="W284" s="907"/>
      <c r="X284" s="907"/>
      <c r="Y284" s="907"/>
      <c r="Z284" s="907"/>
      <c r="AA284" s="907"/>
    </row>
    <row r="285" spans="1:27">
      <c r="A285" s="907"/>
      <c r="B285" s="907"/>
      <c r="C285" s="907"/>
      <c r="D285" s="907"/>
      <c r="E285" s="907"/>
      <c r="F285" s="907"/>
      <c r="G285" s="907"/>
      <c r="H285" s="907"/>
      <c r="I285" s="907"/>
      <c r="J285" s="907"/>
      <c r="K285" s="907"/>
      <c r="L285" s="907"/>
      <c r="M285" s="907"/>
      <c r="N285" s="907"/>
      <c r="O285" s="907"/>
      <c r="P285" s="907"/>
      <c r="Q285" s="907"/>
      <c r="R285" s="907"/>
      <c r="S285" s="907"/>
      <c r="T285" s="907"/>
      <c r="U285" s="907"/>
      <c r="V285" s="907"/>
      <c r="W285" s="907"/>
      <c r="X285" s="907"/>
      <c r="Y285" s="907"/>
      <c r="Z285" s="907"/>
      <c r="AA285" s="907"/>
    </row>
    <row r="286" spans="1:27">
      <c r="A286" s="907"/>
      <c r="B286" s="907"/>
      <c r="C286" s="907"/>
      <c r="D286" s="907"/>
      <c r="E286" s="907"/>
      <c r="F286" s="907"/>
      <c r="G286" s="907"/>
      <c r="H286" s="907"/>
      <c r="I286" s="907"/>
      <c r="J286" s="907"/>
      <c r="K286" s="907"/>
      <c r="L286" s="907"/>
      <c r="M286" s="907"/>
      <c r="N286" s="907"/>
      <c r="O286" s="907"/>
      <c r="P286" s="907"/>
      <c r="Q286" s="907"/>
      <c r="R286" s="907"/>
      <c r="S286" s="907"/>
      <c r="T286" s="907"/>
      <c r="U286" s="907"/>
      <c r="V286" s="907"/>
      <c r="W286" s="907"/>
      <c r="X286" s="907"/>
      <c r="Y286" s="907"/>
      <c r="Z286" s="907"/>
      <c r="AA286" s="907"/>
    </row>
    <row r="287" spans="1:27">
      <c r="A287" s="907"/>
      <c r="B287" s="907"/>
      <c r="C287" s="907"/>
      <c r="D287" s="907"/>
      <c r="E287" s="907"/>
      <c r="F287" s="907"/>
      <c r="G287" s="907"/>
      <c r="H287" s="907"/>
      <c r="I287" s="907"/>
      <c r="J287" s="907"/>
      <c r="K287" s="907"/>
      <c r="L287" s="907"/>
      <c r="M287" s="907"/>
      <c r="N287" s="907"/>
      <c r="O287" s="907"/>
      <c r="P287" s="907"/>
      <c r="Q287" s="907"/>
      <c r="R287" s="907"/>
      <c r="S287" s="907"/>
      <c r="T287" s="907"/>
      <c r="U287" s="907"/>
      <c r="V287" s="907"/>
      <c r="W287" s="907"/>
      <c r="X287" s="907"/>
      <c r="Y287" s="907"/>
      <c r="Z287" s="907"/>
      <c r="AA287" s="907"/>
    </row>
    <row r="288" spans="1:27">
      <c r="A288" s="907"/>
      <c r="B288" s="907"/>
      <c r="C288" s="907"/>
      <c r="D288" s="907"/>
      <c r="E288" s="907"/>
      <c r="F288" s="907"/>
      <c r="G288" s="907"/>
      <c r="H288" s="907"/>
      <c r="I288" s="907"/>
      <c r="J288" s="907"/>
      <c r="K288" s="907"/>
      <c r="L288" s="907"/>
      <c r="M288" s="907"/>
      <c r="N288" s="907"/>
      <c r="O288" s="907"/>
      <c r="P288" s="907"/>
      <c r="Q288" s="907"/>
      <c r="R288" s="907"/>
      <c r="S288" s="907"/>
      <c r="T288" s="907"/>
      <c r="U288" s="907"/>
      <c r="V288" s="907"/>
      <c r="W288" s="907"/>
      <c r="X288" s="907"/>
      <c r="Y288" s="907"/>
      <c r="Z288" s="907"/>
      <c r="AA288" s="907"/>
    </row>
    <row r="289" spans="1:27">
      <c r="A289" s="907"/>
      <c r="B289" s="907"/>
      <c r="C289" s="907"/>
      <c r="D289" s="907"/>
      <c r="E289" s="907"/>
      <c r="F289" s="907"/>
      <c r="G289" s="907"/>
      <c r="H289" s="907"/>
      <c r="I289" s="907"/>
      <c r="J289" s="907"/>
      <c r="K289" s="907"/>
      <c r="L289" s="907"/>
      <c r="M289" s="907"/>
      <c r="N289" s="907"/>
      <c r="O289" s="907"/>
      <c r="P289" s="907"/>
      <c r="Q289" s="907"/>
      <c r="R289" s="907"/>
      <c r="S289" s="907"/>
      <c r="T289" s="907"/>
      <c r="U289" s="907"/>
      <c r="V289" s="907"/>
      <c r="W289" s="907"/>
      <c r="X289" s="907"/>
      <c r="Y289" s="907"/>
      <c r="Z289" s="907"/>
      <c r="AA289" s="907"/>
    </row>
    <row r="290" spans="1:27">
      <c r="A290" s="907"/>
      <c r="B290" s="907"/>
      <c r="C290" s="907"/>
      <c r="D290" s="907"/>
      <c r="E290" s="907"/>
      <c r="F290" s="907"/>
      <c r="G290" s="907"/>
      <c r="H290" s="907"/>
      <c r="I290" s="907"/>
      <c r="J290" s="907"/>
      <c r="K290" s="907"/>
      <c r="L290" s="907"/>
      <c r="M290" s="907"/>
      <c r="N290" s="907"/>
      <c r="O290" s="907"/>
      <c r="P290" s="907"/>
      <c r="Q290" s="907"/>
      <c r="R290" s="907"/>
      <c r="S290" s="907"/>
      <c r="T290" s="907"/>
      <c r="U290" s="907"/>
      <c r="V290" s="907"/>
      <c r="W290" s="907"/>
      <c r="X290" s="907"/>
      <c r="Y290" s="907"/>
      <c r="Z290" s="907"/>
      <c r="AA290" s="907"/>
    </row>
    <row r="291" spans="1:27">
      <c r="A291" s="907"/>
      <c r="B291" s="907"/>
      <c r="C291" s="907"/>
      <c r="D291" s="907"/>
      <c r="E291" s="907"/>
      <c r="F291" s="907"/>
      <c r="G291" s="907"/>
      <c r="H291" s="907"/>
      <c r="I291" s="907"/>
      <c r="J291" s="907"/>
      <c r="K291" s="907"/>
      <c r="L291" s="907"/>
      <c r="M291" s="907"/>
      <c r="N291" s="907"/>
      <c r="O291" s="907"/>
      <c r="P291" s="907"/>
      <c r="Q291" s="907"/>
      <c r="R291" s="907"/>
      <c r="S291" s="907"/>
      <c r="T291" s="907"/>
      <c r="U291" s="907"/>
      <c r="V291" s="907"/>
      <c r="W291" s="907"/>
      <c r="X291" s="907"/>
      <c r="Y291" s="907"/>
      <c r="Z291" s="907"/>
      <c r="AA291" s="907"/>
    </row>
    <row r="292" spans="1:27">
      <c r="A292" s="907"/>
      <c r="B292" s="907"/>
      <c r="C292" s="907"/>
      <c r="D292" s="907"/>
      <c r="E292" s="907"/>
      <c r="F292" s="907"/>
      <c r="G292" s="907"/>
      <c r="H292" s="907"/>
      <c r="I292" s="907"/>
      <c r="J292" s="907"/>
      <c r="K292" s="907"/>
      <c r="L292" s="907"/>
      <c r="M292" s="907"/>
      <c r="N292" s="907"/>
      <c r="O292" s="907"/>
      <c r="P292" s="907"/>
      <c r="Q292" s="907"/>
      <c r="R292" s="907"/>
      <c r="S292" s="907"/>
      <c r="T292" s="907"/>
      <c r="U292" s="907"/>
      <c r="V292" s="907"/>
      <c r="W292" s="907"/>
      <c r="X292" s="907"/>
      <c r="Y292" s="907"/>
      <c r="Z292" s="907"/>
      <c r="AA292" s="907"/>
    </row>
    <row r="293" spans="1:27">
      <c r="A293" s="907"/>
      <c r="B293" s="907"/>
      <c r="C293" s="907"/>
      <c r="D293" s="907"/>
      <c r="E293" s="907"/>
      <c r="F293" s="907"/>
      <c r="G293" s="907"/>
      <c r="H293" s="907"/>
      <c r="I293" s="907"/>
      <c r="J293" s="907"/>
      <c r="K293" s="907"/>
      <c r="L293" s="907"/>
      <c r="M293" s="907"/>
      <c r="N293" s="907"/>
      <c r="O293" s="907"/>
      <c r="P293" s="907"/>
      <c r="Q293" s="907"/>
      <c r="R293" s="907"/>
      <c r="S293" s="907"/>
      <c r="T293" s="907"/>
      <c r="U293" s="907"/>
      <c r="V293" s="907"/>
      <c r="W293" s="907"/>
      <c r="X293" s="907"/>
      <c r="Y293" s="907"/>
      <c r="Z293" s="907"/>
      <c r="AA293" s="907"/>
    </row>
    <row r="294" spans="1:27">
      <c r="A294" s="907"/>
      <c r="B294" s="907"/>
      <c r="C294" s="907"/>
      <c r="D294" s="907"/>
      <c r="E294" s="907"/>
      <c r="F294" s="907"/>
      <c r="G294" s="907"/>
      <c r="H294" s="907"/>
      <c r="I294" s="907"/>
      <c r="J294" s="907"/>
      <c r="K294" s="907"/>
      <c r="L294" s="907"/>
      <c r="M294" s="907"/>
      <c r="N294" s="907"/>
      <c r="O294" s="907"/>
      <c r="P294" s="907"/>
      <c r="Q294" s="907"/>
      <c r="R294" s="907"/>
      <c r="S294" s="907"/>
      <c r="T294" s="907"/>
      <c r="U294" s="907"/>
      <c r="V294" s="907"/>
      <c r="W294" s="907"/>
      <c r="X294" s="907"/>
      <c r="Y294" s="907"/>
      <c r="Z294" s="907"/>
      <c r="AA294" s="907"/>
    </row>
    <row r="295" spans="1:27">
      <c r="A295" s="907"/>
      <c r="B295" s="907"/>
      <c r="C295" s="907"/>
      <c r="D295" s="907"/>
      <c r="E295" s="907"/>
      <c r="F295" s="907"/>
      <c r="G295" s="907"/>
      <c r="H295" s="907"/>
      <c r="I295" s="907"/>
      <c r="J295" s="907"/>
      <c r="K295" s="907"/>
      <c r="L295" s="907"/>
      <c r="M295" s="907"/>
      <c r="N295" s="907"/>
      <c r="O295" s="907"/>
      <c r="P295" s="907"/>
      <c r="Q295" s="907"/>
      <c r="R295" s="907"/>
      <c r="S295" s="907"/>
      <c r="T295" s="907"/>
      <c r="U295" s="907"/>
      <c r="V295" s="907"/>
      <c r="W295" s="907"/>
      <c r="X295" s="907"/>
      <c r="Y295" s="907"/>
      <c r="Z295" s="907"/>
      <c r="AA295" s="907"/>
    </row>
    <row r="296" spans="1:27">
      <c r="A296" s="907"/>
      <c r="B296" s="907"/>
      <c r="C296" s="907"/>
      <c r="D296" s="907"/>
      <c r="E296" s="907"/>
      <c r="F296" s="907"/>
      <c r="G296" s="907"/>
      <c r="H296" s="907"/>
      <c r="I296" s="907"/>
      <c r="J296" s="907"/>
      <c r="K296" s="907"/>
      <c r="L296" s="907"/>
      <c r="M296" s="907"/>
      <c r="N296" s="907"/>
      <c r="O296" s="907"/>
      <c r="P296" s="907"/>
      <c r="Q296" s="907"/>
      <c r="R296" s="907"/>
      <c r="S296" s="907"/>
      <c r="T296" s="907"/>
      <c r="U296" s="907"/>
      <c r="V296" s="907"/>
      <c r="W296" s="907"/>
      <c r="X296" s="907"/>
      <c r="Y296" s="907"/>
      <c r="Z296" s="907"/>
      <c r="AA296" s="907"/>
    </row>
    <row r="297" spans="1:27">
      <c r="A297" s="907"/>
      <c r="B297" s="907"/>
      <c r="C297" s="907"/>
      <c r="D297" s="907"/>
      <c r="E297" s="907"/>
      <c r="F297" s="907"/>
      <c r="G297" s="907"/>
      <c r="H297" s="907"/>
      <c r="I297" s="907"/>
      <c r="J297" s="907"/>
      <c r="K297" s="907"/>
      <c r="L297" s="907"/>
      <c r="M297" s="907"/>
      <c r="N297" s="907"/>
      <c r="O297" s="907"/>
      <c r="P297" s="907"/>
      <c r="Q297" s="907"/>
      <c r="R297" s="907"/>
      <c r="S297" s="907"/>
      <c r="T297" s="907"/>
      <c r="U297" s="907"/>
      <c r="V297" s="907"/>
      <c r="W297" s="907"/>
      <c r="X297" s="907"/>
      <c r="Y297" s="907"/>
      <c r="Z297" s="907"/>
      <c r="AA297" s="907"/>
    </row>
    <row r="298" spans="1:27">
      <c r="A298" s="907"/>
      <c r="B298" s="907"/>
      <c r="C298" s="907"/>
      <c r="D298" s="907"/>
      <c r="E298" s="907"/>
      <c r="F298" s="907"/>
      <c r="G298" s="907"/>
      <c r="H298" s="907"/>
      <c r="I298" s="907"/>
      <c r="J298" s="907"/>
      <c r="K298" s="907"/>
      <c r="L298" s="907"/>
      <c r="M298" s="907"/>
      <c r="N298" s="907"/>
      <c r="O298" s="907"/>
      <c r="P298" s="907"/>
      <c r="Q298" s="907"/>
      <c r="R298" s="907"/>
      <c r="S298" s="907"/>
      <c r="T298" s="907"/>
      <c r="U298" s="907"/>
      <c r="V298" s="907"/>
      <c r="W298" s="907"/>
      <c r="X298" s="907"/>
      <c r="Y298" s="907"/>
      <c r="Z298" s="907"/>
      <c r="AA298" s="907"/>
    </row>
    <row r="299" spans="1:27">
      <c r="A299" s="907"/>
      <c r="B299" s="907"/>
      <c r="C299" s="907"/>
      <c r="D299" s="907"/>
      <c r="E299" s="907"/>
      <c r="F299" s="907"/>
      <c r="G299" s="907"/>
      <c r="H299" s="907"/>
      <c r="I299" s="907"/>
      <c r="J299" s="907"/>
      <c r="K299" s="907"/>
      <c r="L299" s="907"/>
      <c r="M299" s="907"/>
      <c r="N299" s="907"/>
      <c r="O299" s="907"/>
      <c r="P299" s="907"/>
      <c r="Q299" s="907"/>
      <c r="R299" s="907"/>
      <c r="S299" s="907"/>
      <c r="T299" s="907"/>
      <c r="U299" s="907"/>
      <c r="V299" s="907"/>
      <c r="W299" s="907"/>
      <c r="X299" s="907"/>
      <c r="Y299" s="907"/>
      <c r="Z299" s="907"/>
      <c r="AA299" s="907"/>
    </row>
    <row r="300" spans="1:27">
      <c r="A300" s="907"/>
      <c r="B300" s="907"/>
      <c r="C300" s="907"/>
      <c r="D300" s="907"/>
      <c r="E300" s="907"/>
      <c r="F300" s="907"/>
      <c r="G300" s="907"/>
      <c r="H300" s="907"/>
      <c r="I300" s="907"/>
      <c r="J300" s="907"/>
      <c r="K300" s="907"/>
      <c r="L300" s="907"/>
      <c r="M300" s="907"/>
      <c r="N300" s="907"/>
      <c r="O300" s="907"/>
      <c r="P300" s="907"/>
      <c r="Q300" s="907"/>
      <c r="R300" s="907"/>
      <c r="S300" s="907"/>
      <c r="T300" s="907"/>
      <c r="U300" s="907"/>
      <c r="V300" s="907"/>
      <c r="W300" s="907"/>
      <c r="X300" s="907"/>
      <c r="Y300" s="907"/>
      <c r="Z300" s="907"/>
      <c r="AA300" s="907"/>
    </row>
    <row r="301" spans="1:27">
      <c r="A301" s="907"/>
      <c r="B301" s="907"/>
      <c r="C301" s="907"/>
      <c r="D301" s="907"/>
      <c r="E301" s="907"/>
      <c r="F301" s="907"/>
      <c r="G301" s="907"/>
      <c r="H301" s="907"/>
      <c r="I301" s="907"/>
      <c r="J301" s="907"/>
      <c r="K301" s="907"/>
      <c r="L301" s="907"/>
      <c r="M301" s="907"/>
      <c r="N301" s="907"/>
      <c r="O301" s="907"/>
      <c r="P301" s="907"/>
      <c r="Q301" s="907"/>
      <c r="R301" s="907"/>
      <c r="S301" s="907"/>
      <c r="T301" s="907"/>
      <c r="U301" s="907"/>
      <c r="V301" s="907"/>
      <c r="W301" s="907"/>
      <c r="X301" s="907"/>
      <c r="Y301" s="907"/>
      <c r="Z301" s="907"/>
      <c r="AA301" s="907"/>
    </row>
    <row r="302" spans="1:27">
      <c r="A302" s="907"/>
      <c r="B302" s="907"/>
      <c r="C302" s="907"/>
      <c r="D302" s="907"/>
      <c r="E302" s="907"/>
      <c r="F302" s="907"/>
      <c r="G302" s="907"/>
      <c r="H302" s="907"/>
      <c r="I302" s="907"/>
      <c r="J302" s="907"/>
      <c r="K302" s="907"/>
      <c r="L302" s="907"/>
      <c r="M302" s="907"/>
      <c r="N302" s="907"/>
      <c r="O302" s="907"/>
      <c r="P302" s="907"/>
      <c r="Q302" s="907"/>
      <c r="R302" s="907"/>
      <c r="S302" s="907"/>
      <c r="T302" s="907"/>
      <c r="U302" s="907"/>
      <c r="V302" s="907"/>
      <c r="W302" s="907"/>
      <c r="X302" s="907"/>
      <c r="Y302" s="907"/>
      <c r="Z302" s="907"/>
      <c r="AA302" s="907"/>
    </row>
    <row r="303" spans="1:27">
      <c r="A303" s="907"/>
      <c r="B303" s="907"/>
      <c r="C303" s="907"/>
      <c r="D303" s="907"/>
      <c r="E303" s="907"/>
      <c r="F303" s="907"/>
      <c r="G303" s="907"/>
      <c r="H303" s="907"/>
      <c r="I303" s="907"/>
      <c r="J303" s="907"/>
      <c r="K303" s="907"/>
      <c r="L303" s="907"/>
      <c r="M303" s="907"/>
      <c r="N303" s="907"/>
      <c r="O303" s="907"/>
      <c r="P303" s="907"/>
      <c r="Q303" s="907"/>
      <c r="R303" s="907"/>
      <c r="S303" s="907"/>
      <c r="T303" s="907"/>
      <c r="U303" s="907"/>
      <c r="V303" s="907"/>
      <c r="W303" s="907"/>
      <c r="X303" s="907"/>
      <c r="Y303" s="907"/>
      <c r="Z303" s="907"/>
      <c r="AA303" s="907"/>
    </row>
    <row r="304" spans="1:27">
      <c r="A304" s="907"/>
      <c r="B304" s="907"/>
      <c r="C304" s="907"/>
      <c r="D304" s="907"/>
      <c r="E304" s="907"/>
      <c r="F304" s="907"/>
      <c r="G304" s="907"/>
      <c r="H304" s="907"/>
      <c r="I304" s="907"/>
      <c r="J304" s="907"/>
      <c r="K304" s="907"/>
      <c r="L304" s="907"/>
      <c r="M304" s="907"/>
      <c r="N304" s="907"/>
      <c r="O304" s="907"/>
      <c r="P304" s="907"/>
      <c r="Q304" s="907"/>
      <c r="R304" s="907"/>
      <c r="S304" s="907"/>
      <c r="T304" s="907"/>
      <c r="U304" s="907"/>
      <c r="V304" s="907"/>
      <c r="W304" s="907"/>
      <c r="X304" s="907"/>
      <c r="Y304" s="907"/>
      <c r="Z304" s="907"/>
      <c r="AA304" s="907"/>
    </row>
    <row r="305" spans="1:27">
      <c r="A305" s="907"/>
      <c r="B305" s="907"/>
      <c r="C305" s="907"/>
      <c r="D305" s="907"/>
      <c r="E305" s="907"/>
      <c r="F305" s="907"/>
      <c r="G305" s="907"/>
      <c r="H305" s="907"/>
      <c r="I305" s="907"/>
      <c r="J305" s="907"/>
      <c r="K305" s="907"/>
      <c r="L305" s="907"/>
      <c r="M305" s="907"/>
      <c r="N305" s="907"/>
      <c r="O305" s="907"/>
      <c r="P305" s="907"/>
      <c r="Q305" s="907"/>
      <c r="R305" s="907"/>
      <c r="S305" s="907"/>
      <c r="T305" s="907"/>
      <c r="U305" s="907"/>
      <c r="V305" s="907"/>
      <c r="W305" s="907"/>
      <c r="X305" s="907"/>
      <c r="Y305" s="907"/>
      <c r="Z305" s="907"/>
      <c r="AA305" s="907"/>
    </row>
    <row r="306" spans="1:27">
      <c r="A306" s="907"/>
      <c r="B306" s="907"/>
      <c r="C306" s="907"/>
      <c r="D306" s="907"/>
      <c r="E306" s="907"/>
      <c r="F306" s="907"/>
      <c r="G306" s="907"/>
      <c r="H306" s="907"/>
      <c r="I306" s="907"/>
      <c r="J306" s="907"/>
      <c r="K306" s="907"/>
      <c r="L306" s="907"/>
      <c r="M306" s="907"/>
      <c r="N306" s="907"/>
      <c r="O306" s="907"/>
      <c r="P306" s="907"/>
      <c r="Q306" s="907"/>
      <c r="R306" s="907"/>
      <c r="S306" s="907"/>
      <c r="T306" s="907"/>
      <c r="U306" s="907"/>
      <c r="V306" s="907"/>
      <c r="W306" s="907"/>
      <c r="X306" s="907"/>
      <c r="Y306" s="907"/>
      <c r="Z306" s="907"/>
      <c r="AA306" s="907"/>
    </row>
    <row r="307" spans="1:27">
      <c r="A307" s="907"/>
      <c r="B307" s="907"/>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row>
    <row r="308" spans="1:27">
      <c r="A308" s="907"/>
      <c r="B308" s="907"/>
      <c r="C308" s="907"/>
      <c r="D308" s="907"/>
      <c r="E308" s="907"/>
      <c r="F308" s="907"/>
      <c r="G308" s="907"/>
      <c r="H308" s="907"/>
      <c r="I308" s="907"/>
      <c r="J308" s="907"/>
      <c r="K308" s="907"/>
      <c r="L308" s="907"/>
      <c r="M308" s="907"/>
      <c r="N308" s="907"/>
      <c r="O308" s="907"/>
      <c r="P308" s="907"/>
      <c r="Q308" s="907"/>
      <c r="R308" s="907"/>
      <c r="S308" s="907"/>
      <c r="T308" s="907"/>
      <c r="U308" s="907"/>
      <c r="V308" s="907"/>
      <c r="W308" s="907"/>
      <c r="X308" s="907"/>
      <c r="Y308" s="907"/>
      <c r="Z308" s="907"/>
      <c r="AA308" s="907"/>
    </row>
    <row r="309" spans="1:27">
      <c r="A309" s="907"/>
      <c r="B309" s="907"/>
      <c r="C309" s="907"/>
      <c r="D309" s="907"/>
      <c r="E309" s="907"/>
      <c r="F309" s="907"/>
      <c r="G309" s="907"/>
      <c r="H309" s="907"/>
      <c r="I309" s="907"/>
      <c r="J309" s="907"/>
      <c r="K309" s="907"/>
      <c r="L309" s="907"/>
      <c r="M309" s="907"/>
      <c r="N309" s="907"/>
      <c r="O309" s="907"/>
      <c r="P309" s="907"/>
      <c r="Q309" s="907"/>
      <c r="R309" s="907"/>
      <c r="S309" s="907"/>
      <c r="T309" s="907"/>
      <c r="U309" s="907"/>
      <c r="V309" s="907"/>
      <c r="W309" s="907"/>
      <c r="X309" s="907"/>
      <c r="Y309" s="907"/>
      <c r="Z309" s="907"/>
      <c r="AA309" s="907"/>
    </row>
    <row r="310" spans="1:27">
      <c r="A310" s="907"/>
      <c r="B310" s="907"/>
      <c r="C310" s="907"/>
      <c r="D310" s="907"/>
      <c r="E310" s="907"/>
      <c r="F310" s="907"/>
      <c r="G310" s="907"/>
      <c r="H310" s="907"/>
      <c r="I310" s="907"/>
      <c r="J310" s="907"/>
      <c r="K310" s="907"/>
      <c r="L310" s="907"/>
      <c r="M310" s="907"/>
      <c r="N310" s="907"/>
      <c r="O310" s="907"/>
      <c r="P310" s="907"/>
      <c r="Q310" s="907"/>
      <c r="R310" s="907"/>
      <c r="S310" s="907"/>
      <c r="T310" s="907"/>
      <c r="U310" s="907"/>
      <c r="V310" s="907"/>
      <c r="W310" s="907"/>
      <c r="X310" s="907"/>
      <c r="Y310" s="907"/>
      <c r="Z310" s="907"/>
      <c r="AA310" s="907"/>
    </row>
    <row r="311" spans="1:27">
      <c r="A311" s="907"/>
      <c r="B311" s="907"/>
      <c r="C311" s="907"/>
      <c r="D311" s="907"/>
      <c r="E311" s="907"/>
      <c r="F311" s="907"/>
      <c r="G311" s="907"/>
      <c r="H311" s="907"/>
      <c r="I311" s="907"/>
      <c r="J311" s="907"/>
      <c r="K311" s="907"/>
      <c r="L311" s="907"/>
      <c r="M311" s="907"/>
      <c r="N311" s="907"/>
      <c r="O311" s="907"/>
      <c r="P311" s="907"/>
      <c r="Q311" s="907"/>
      <c r="R311" s="907"/>
      <c r="S311" s="907"/>
      <c r="T311" s="907"/>
      <c r="U311" s="907"/>
      <c r="V311" s="907"/>
      <c r="W311" s="907"/>
      <c r="X311" s="907"/>
      <c r="Y311" s="907"/>
      <c r="Z311" s="907"/>
      <c r="AA311" s="907"/>
    </row>
    <row r="312" spans="1:27">
      <c r="A312" s="907"/>
      <c r="B312" s="907"/>
      <c r="C312" s="907"/>
      <c r="D312" s="907"/>
      <c r="E312" s="907"/>
      <c r="F312" s="907"/>
      <c r="G312" s="907"/>
      <c r="H312" s="907"/>
      <c r="I312" s="907"/>
      <c r="J312" s="907"/>
      <c r="K312" s="907"/>
      <c r="L312" s="907"/>
      <c r="M312" s="907"/>
      <c r="N312" s="907"/>
      <c r="O312" s="907"/>
      <c r="P312" s="907"/>
      <c r="Q312" s="907"/>
      <c r="R312" s="907"/>
      <c r="S312" s="907"/>
      <c r="T312" s="907"/>
      <c r="U312" s="907"/>
      <c r="V312" s="907"/>
      <c r="W312" s="907"/>
      <c r="X312" s="907"/>
      <c r="Y312" s="907"/>
      <c r="Z312" s="907"/>
      <c r="AA312" s="907"/>
    </row>
    <row r="313" spans="1:27">
      <c r="A313" s="907"/>
      <c r="B313" s="907"/>
      <c r="C313" s="907"/>
      <c r="D313" s="907"/>
      <c r="E313" s="907"/>
      <c r="F313" s="907"/>
      <c r="G313" s="907"/>
      <c r="H313" s="907"/>
      <c r="I313" s="907"/>
      <c r="J313" s="907"/>
      <c r="K313" s="907"/>
      <c r="L313" s="907"/>
      <c r="M313" s="907"/>
      <c r="N313" s="907"/>
      <c r="O313" s="907"/>
      <c r="P313" s="907"/>
      <c r="Q313" s="907"/>
      <c r="R313" s="907"/>
      <c r="S313" s="907"/>
      <c r="T313" s="907"/>
      <c r="U313" s="907"/>
      <c r="V313" s="907"/>
      <c r="W313" s="907"/>
      <c r="X313" s="907"/>
      <c r="Y313" s="907"/>
      <c r="Z313" s="907"/>
      <c r="AA313" s="907"/>
    </row>
    <row r="314" spans="1:27">
      <c r="A314" s="907"/>
      <c r="B314" s="907"/>
      <c r="C314" s="907"/>
      <c r="D314" s="907"/>
      <c r="E314" s="907"/>
      <c r="F314" s="907"/>
      <c r="G314" s="907"/>
      <c r="H314" s="907"/>
      <c r="I314" s="907"/>
      <c r="J314" s="907"/>
      <c r="K314" s="907"/>
      <c r="L314" s="907"/>
      <c r="M314" s="907"/>
      <c r="N314" s="907"/>
      <c r="O314" s="907"/>
      <c r="P314" s="907"/>
      <c r="Q314" s="907"/>
      <c r="R314" s="907"/>
      <c r="S314" s="907"/>
      <c r="T314" s="907"/>
      <c r="U314" s="907"/>
      <c r="V314" s="907"/>
      <c r="W314" s="907"/>
      <c r="X314" s="907"/>
      <c r="Y314" s="907"/>
      <c r="Z314" s="907"/>
      <c r="AA314" s="907"/>
    </row>
    <row r="315" spans="1:27">
      <c r="A315" s="907"/>
      <c r="B315" s="907"/>
      <c r="C315" s="907"/>
      <c r="D315" s="907"/>
      <c r="E315" s="907"/>
      <c r="F315" s="907"/>
      <c r="G315" s="907"/>
      <c r="H315" s="907"/>
      <c r="I315" s="907"/>
      <c r="J315" s="907"/>
      <c r="K315" s="907"/>
      <c r="L315" s="907"/>
      <c r="M315" s="907"/>
      <c r="N315" s="907"/>
      <c r="O315" s="907"/>
      <c r="P315" s="907"/>
      <c r="Q315" s="907"/>
      <c r="R315" s="907"/>
      <c r="S315" s="907"/>
      <c r="T315" s="907"/>
      <c r="U315" s="907"/>
      <c r="V315" s="907"/>
      <c r="W315" s="907"/>
      <c r="X315" s="907"/>
      <c r="Y315" s="907"/>
      <c r="Z315" s="907"/>
      <c r="AA315" s="907"/>
    </row>
    <row r="316" spans="1:27">
      <c r="A316" s="907"/>
      <c r="B316" s="907"/>
      <c r="C316" s="907"/>
      <c r="D316" s="907"/>
      <c r="E316" s="907"/>
      <c r="F316" s="907"/>
      <c r="G316" s="907"/>
      <c r="H316" s="907"/>
      <c r="I316" s="907"/>
      <c r="J316" s="907"/>
      <c r="K316" s="907"/>
      <c r="L316" s="907"/>
      <c r="M316" s="907"/>
      <c r="N316" s="907"/>
      <c r="O316" s="907"/>
      <c r="P316" s="907"/>
      <c r="Q316" s="907"/>
      <c r="R316" s="907"/>
      <c r="S316" s="907"/>
      <c r="T316" s="907"/>
      <c r="U316" s="907"/>
      <c r="V316" s="907"/>
      <c r="W316" s="907"/>
      <c r="X316" s="907"/>
      <c r="Y316" s="907"/>
      <c r="Z316" s="907"/>
      <c r="AA316" s="907"/>
    </row>
    <row r="317" spans="1:27">
      <c r="A317" s="907"/>
      <c r="B317" s="907"/>
      <c r="C317" s="907"/>
      <c r="D317" s="907"/>
      <c r="E317" s="907"/>
      <c r="F317" s="907"/>
      <c r="G317" s="907"/>
      <c r="H317" s="907"/>
      <c r="I317" s="907"/>
      <c r="J317" s="907"/>
      <c r="K317" s="907"/>
      <c r="L317" s="907"/>
      <c r="M317" s="907"/>
      <c r="N317" s="907"/>
      <c r="O317" s="907"/>
      <c r="P317" s="907"/>
      <c r="Q317" s="907"/>
      <c r="R317" s="907"/>
      <c r="S317" s="907"/>
      <c r="T317" s="907"/>
      <c r="U317" s="907"/>
      <c r="V317" s="907"/>
      <c r="W317" s="907"/>
      <c r="X317" s="907"/>
      <c r="Y317" s="907"/>
      <c r="Z317" s="907"/>
      <c r="AA317" s="907"/>
    </row>
    <row r="318" spans="1:27">
      <c r="A318" s="907"/>
      <c r="B318" s="907"/>
      <c r="C318" s="907"/>
      <c r="D318" s="907"/>
      <c r="E318" s="907"/>
      <c r="F318" s="907"/>
      <c r="G318" s="907"/>
      <c r="H318" s="907"/>
      <c r="I318" s="907"/>
      <c r="J318" s="907"/>
      <c r="K318" s="907"/>
      <c r="L318" s="907"/>
      <c r="M318" s="907"/>
      <c r="N318" s="907"/>
      <c r="O318" s="907"/>
      <c r="P318" s="907"/>
      <c r="Q318" s="907"/>
      <c r="R318" s="907"/>
      <c r="S318" s="907"/>
      <c r="T318" s="907"/>
      <c r="U318" s="907"/>
      <c r="V318" s="907"/>
      <c r="W318" s="907"/>
      <c r="X318" s="907"/>
      <c r="Y318" s="907"/>
      <c r="Z318" s="907"/>
      <c r="AA318" s="907"/>
    </row>
    <row r="319" spans="1:27">
      <c r="A319" s="907"/>
      <c r="B319" s="907"/>
      <c r="C319" s="907"/>
      <c r="D319" s="907"/>
      <c r="E319" s="907"/>
      <c r="F319" s="907"/>
      <c r="G319" s="907"/>
      <c r="H319" s="907"/>
      <c r="I319" s="907"/>
      <c r="J319" s="907"/>
      <c r="K319" s="907"/>
      <c r="L319" s="907"/>
      <c r="M319" s="907"/>
      <c r="N319" s="907"/>
      <c r="O319" s="907"/>
      <c r="P319" s="907"/>
      <c r="Q319" s="907"/>
      <c r="R319" s="907"/>
      <c r="S319" s="907"/>
      <c r="T319" s="907"/>
      <c r="U319" s="907"/>
      <c r="V319" s="907"/>
      <c r="W319" s="907"/>
      <c r="X319" s="907"/>
      <c r="Y319" s="907"/>
      <c r="Z319" s="907"/>
      <c r="AA319" s="907"/>
    </row>
    <row r="320" spans="1:27">
      <c r="A320" s="907"/>
      <c r="B320" s="907"/>
      <c r="C320" s="907"/>
      <c r="D320" s="907"/>
      <c r="E320" s="907"/>
      <c r="F320" s="907"/>
      <c r="G320" s="907"/>
      <c r="H320" s="907"/>
      <c r="I320" s="907"/>
      <c r="J320" s="907"/>
      <c r="K320" s="907"/>
      <c r="L320" s="907"/>
      <c r="M320" s="907"/>
      <c r="N320" s="907"/>
      <c r="O320" s="907"/>
      <c r="P320" s="907"/>
      <c r="Q320" s="907"/>
      <c r="R320" s="907"/>
      <c r="S320" s="907"/>
      <c r="T320" s="907"/>
      <c r="U320" s="907"/>
      <c r="V320" s="907"/>
      <c r="W320" s="907"/>
      <c r="X320" s="907"/>
      <c r="Y320" s="907"/>
      <c r="Z320" s="907"/>
      <c r="AA320" s="907"/>
    </row>
    <row r="321" spans="1:27">
      <c r="A321" s="907"/>
      <c r="B321" s="907"/>
      <c r="C321" s="907"/>
      <c r="D321" s="907"/>
      <c r="E321" s="907"/>
      <c r="F321" s="907"/>
      <c r="G321" s="907"/>
      <c r="H321" s="907"/>
      <c r="I321" s="907"/>
      <c r="J321" s="907"/>
      <c r="K321" s="907"/>
      <c r="L321" s="907"/>
      <c r="M321" s="907"/>
      <c r="N321" s="907"/>
      <c r="O321" s="907"/>
      <c r="P321" s="907"/>
      <c r="Q321" s="907"/>
      <c r="R321" s="907"/>
      <c r="S321" s="907"/>
      <c r="T321" s="907"/>
      <c r="U321" s="907"/>
      <c r="V321" s="907"/>
      <c r="W321" s="907"/>
      <c r="X321" s="907"/>
      <c r="Y321" s="907"/>
      <c r="Z321" s="907"/>
      <c r="AA321" s="907"/>
    </row>
    <row r="322" spans="1:27">
      <c r="A322" s="907"/>
      <c r="B322" s="907"/>
      <c r="C322" s="907"/>
      <c r="D322" s="907"/>
      <c r="E322" s="907"/>
      <c r="F322" s="907"/>
      <c r="G322" s="907"/>
      <c r="H322" s="907"/>
      <c r="I322" s="907"/>
      <c r="J322" s="907"/>
      <c r="K322" s="907"/>
      <c r="L322" s="907"/>
      <c r="M322" s="907"/>
      <c r="N322" s="907"/>
      <c r="O322" s="907"/>
      <c r="P322" s="907"/>
      <c r="Q322" s="907"/>
      <c r="R322" s="907"/>
      <c r="S322" s="907"/>
      <c r="T322" s="907"/>
      <c r="U322" s="907"/>
      <c r="V322" s="907"/>
      <c r="W322" s="907"/>
      <c r="X322" s="907"/>
      <c r="Y322" s="907"/>
      <c r="Z322" s="907"/>
      <c r="AA322" s="907"/>
    </row>
    <row r="323" spans="1:27">
      <c r="A323" s="907"/>
      <c r="B323" s="907"/>
      <c r="C323" s="907"/>
      <c r="D323" s="907"/>
      <c r="E323" s="907"/>
      <c r="F323" s="907"/>
      <c r="G323" s="907"/>
      <c r="H323" s="907"/>
      <c r="I323" s="907"/>
      <c r="J323" s="907"/>
      <c r="K323" s="907"/>
      <c r="L323" s="907"/>
      <c r="M323" s="907"/>
      <c r="N323" s="907"/>
      <c r="O323" s="907"/>
      <c r="P323" s="907"/>
      <c r="Q323" s="907"/>
      <c r="R323" s="907"/>
      <c r="S323" s="907"/>
      <c r="T323" s="907"/>
      <c r="U323" s="907"/>
      <c r="V323" s="907"/>
      <c r="W323" s="907"/>
      <c r="X323" s="907"/>
      <c r="Y323" s="907"/>
      <c r="Z323" s="907"/>
      <c r="AA323" s="907"/>
    </row>
    <row r="324" spans="1:27">
      <c r="A324" s="907"/>
      <c r="B324" s="907"/>
      <c r="C324" s="907"/>
      <c r="D324" s="907"/>
      <c r="E324" s="907"/>
      <c r="F324" s="907"/>
      <c r="G324" s="907"/>
      <c r="H324" s="907"/>
      <c r="I324" s="907"/>
      <c r="J324" s="907"/>
      <c r="K324" s="907"/>
      <c r="L324" s="907"/>
      <c r="M324" s="907"/>
      <c r="N324" s="907"/>
      <c r="O324" s="907"/>
      <c r="P324" s="907"/>
      <c r="Q324" s="907"/>
      <c r="R324" s="907"/>
      <c r="S324" s="907"/>
      <c r="T324" s="907"/>
      <c r="U324" s="907"/>
      <c r="V324" s="907"/>
      <c r="W324" s="907"/>
      <c r="X324" s="907"/>
      <c r="Y324" s="907"/>
      <c r="Z324" s="907"/>
      <c r="AA324" s="907"/>
    </row>
    <row r="325" spans="1:27">
      <c r="A325" s="907"/>
      <c r="B325" s="907"/>
      <c r="C325" s="907"/>
      <c r="D325" s="907"/>
      <c r="E325" s="907"/>
      <c r="F325" s="907"/>
      <c r="G325" s="907"/>
      <c r="H325" s="907"/>
      <c r="I325" s="907"/>
      <c r="J325" s="907"/>
      <c r="K325" s="907"/>
      <c r="L325" s="907"/>
      <c r="M325" s="907"/>
      <c r="N325" s="907"/>
      <c r="O325" s="907"/>
      <c r="P325" s="907"/>
      <c r="Q325" s="907"/>
      <c r="R325" s="907"/>
      <c r="S325" s="907"/>
      <c r="T325" s="907"/>
      <c r="U325" s="907"/>
      <c r="V325" s="907"/>
      <c r="W325" s="907"/>
      <c r="X325" s="907"/>
      <c r="Y325" s="907"/>
      <c r="Z325" s="907"/>
      <c r="AA325" s="907"/>
    </row>
    <row r="326" spans="1:27">
      <c r="A326" s="907"/>
      <c r="B326" s="907"/>
      <c r="C326" s="907"/>
      <c r="D326" s="907"/>
      <c r="E326" s="907"/>
      <c r="F326" s="907"/>
      <c r="G326" s="907"/>
      <c r="H326" s="907"/>
      <c r="I326" s="907"/>
      <c r="J326" s="907"/>
      <c r="K326" s="907"/>
      <c r="L326" s="907"/>
      <c r="M326" s="907"/>
      <c r="N326" s="907"/>
      <c r="O326" s="907"/>
      <c r="P326" s="907"/>
      <c r="Q326" s="907"/>
      <c r="R326" s="907"/>
      <c r="S326" s="907"/>
      <c r="T326" s="907"/>
      <c r="U326" s="907"/>
      <c r="V326" s="907"/>
      <c r="W326" s="907"/>
      <c r="X326" s="907"/>
      <c r="Y326" s="907"/>
      <c r="Z326" s="907"/>
      <c r="AA326" s="907"/>
    </row>
    <row r="327" spans="1:27">
      <c r="A327" s="907"/>
      <c r="B327" s="907"/>
      <c r="C327" s="907"/>
      <c r="D327" s="907"/>
      <c r="E327" s="907"/>
      <c r="F327" s="907"/>
      <c r="G327" s="907"/>
      <c r="H327" s="907"/>
      <c r="I327" s="907"/>
      <c r="J327" s="907"/>
      <c r="K327" s="907"/>
      <c r="L327" s="907"/>
      <c r="M327" s="907"/>
      <c r="N327" s="907"/>
      <c r="O327" s="907"/>
      <c r="P327" s="907"/>
      <c r="Q327" s="907"/>
      <c r="R327" s="907"/>
      <c r="S327" s="907"/>
      <c r="T327" s="907"/>
      <c r="U327" s="907"/>
      <c r="V327" s="907"/>
      <c r="W327" s="907"/>
      <c r="X327" s="907"/>
      <c r="Y327" s="907"/>
      <c r="Z327" s="907"/>
      <c r="AA327" s="907"/>
    </row>
    <row r="328" spans="1:27">
      <c r="A328" s="907"/>
      <c r="B328" s="907"/>
      <c r="C328" s="907"/>
      <c r="D328" s="907"/>
      <c r="E328" s="907"/>
      <c r="F328" s="907"/>
      <c r="G328" s="907"/>
      <c r="H328" s="907"/>
      <c r="I328" s="907"/>
      <c r="J328" s="907"/>
      <c r="K328" s="907"/>
      <c r="L328" s="907"/>
      <c r="M328" s="907"/>
      <c r="N328" s="907"/>
      <c r="O328" s="907"/>
      <c r="P328" s="907"/>
      <c r="Q328" s="907"/>
      <c r="R328" s="907"/>
      <c r="S328" s="907"/>
      <c r="T328" s="907"/>
      <c r="U328" s="907"/>
      <c r="V328" s="907"/>
      <c r="W328" s="907"/>
      <c r="X328" s="907"/>
      <c r="Y328" s="907"/>
      <c r="Z328" s="907"/>
      <c r="AA328" s="907"/>
    </row>
    <row r="329" spans="1:27">
      <c r="A329" s="907"/>
      <c r="B329" s="907"/>
      <c r="C329" s="907"/>
      <c r="D329" s="907"/>
      <c r="E329" s="907"/>
      <c r="F329" s="907"/>
      <c r="G329" s="907"/>
      <c r="H329" s="907"/>
      <c r="I329" s="907"/>
      <c r="J329" s="907"/>
      <c r="K329" s="907"/>
      <c r="L329" s="907"/>
      <c r="M329" s="907"/>
      <c r="N329" s="907"/>
      <c r="O329" s="907"/>
      <c r="P329" s="907"/>
      <c r="Q329" s="907"/>
      <c r="R329" s="907"/>
      <c r="S329" s="907"/>
      <c r="T329" s="907"/>
      <c r="U329" s="907"/>
      <c r="V329" s="907"/>
      <c r="W329" s="907"/>
      <c r="X329" s="907"/>
      <c r="Y329" s="907"/>
      <c r="Z329" s="907"/>
      <c r="AA329" s="907"/>
    </row>
    <row r="330" spans="1:27">
      <c r="A330" s="907"/>
      <c r="B330" s="907"/>
      <c r="C330" s="907"/>
      <c r="D330" s="907"/>
      <c r="E330" s="907"/>
      <c r="F330" s="907"/>
      <c r="G330" s="907"/>
      <c r="H330" s="907"/>
      <c r="I330" s="907"/>
      <c r="J330" s="907"/>
      <c r="K330" s="907"/>
      <c r="L330" s="907"/>
      <c r="M330" s="907"/>
      <c r="N330" s="907"/>
      <c r="O330" s="907"/>
      <c r="P330" s="907"/>
      <c r="Q330" s="907"/>
      <c r="R330" s="907"/>
      <c r="S330" s="907"/>
      <c r="T330" s="907"/>
      <c r="U330" s="907"/>
      <c r="V330" s="907"/>
      <c r="W330" s="907"/>
      <c r="X330" s="907"/>
      <c r="Y330" s="907"/>
      <c r="Z330" s="907"/>
      <c r="AA330" s="907"/>
    </row>
    <row r="331" spans="1:27">
      <c r="A331" s="907"/>
      <c r="B331" s="907"/>
      <c r="C331" s="907"/>
      <c r="D331" s="907"/>
      <c r="E331" s="907"/>
      <c r="F331" s="907"/>
      <c r="G331" s="907"/>
      <c r="H331" s="907"/>
      <c r="I331" s="907"/>
      <c r="J331" s="907"/>
      <c r="K331" s="907"/>
      <c r="L331" s="907"/>
      <c r="M331" s="907"/>
      <c r="N331" s="907"/>
      <c r="O331" s="907"/>
      <c r="P331" s="907"/>
      <c r="Q331" s="907"/>
      <c r="R331" s="907"/>
      <c r="S331" s="907"/>
      <c r="T331" s="907"/>
      <c r="U331" s="907"/>
      <c r="V331" s="907"/>
      <c r="W331" s="907"/>
      <c r="X331" s="907"/>
      <c r="Y331" s="907"/>
      <c r="Z331" s="907"/>
      <c r="AA331" s="907"/>
    </row>
    <row r="332" spans="1:27">
      <c r="A332" s="907"/>
      <c r="B332" s="907"/>
      <c r="C332" s="907"/>
      <c r="D332" s="907"/>
      <c r="E332" s="907"/>
      <c r="F332" s="907"/>
      <c r="G332" s="907"/>
      <c r="H332" s="907"/>
      <c r="I332" s="907"/>
      <c r="J332" s="907"/>
      <c r="K332" s="907"/>
      <c r="L332" s="907"/>
      <c r="M332" s="907"/>
      <c r="N332" s="907"/>
      <c r="O332" s="907"/>
      <c r="P332" s="907"/>
      <c r="Q332" s="907"/>
      <c r="R332" s="907"/>
      <c r="S332" s="907"/>
      <c r="T332" s="907"/>
      <c r="U332" s="907"/>
      <c r="V332" s="907"/>
      <c r="W332" s="907"/>
      <c r="X332" s="907"/>
      <c r="Y332" s="907"/>
      <c r="Z332" s="907"/>
      <c r="AA332" s="907"/>
    </row>
    <row r="333" spans="1:27">
      <c r="A333" s="907"/>
      <c r="B333" s="907"/>
      <c r="C333" s="907"/>
      <c r="D333" s="907"/>
      <c r="E333" s="907"/>
      <c r="F333" s="907"/>
      <c r="G333" s="907"/>
      <c r="H333" s="907"/>
      <c r="I333" s="907"/>
      <c r="J333" s="907"/>
      <c r="K333" s="907"/>
      <c r="L333" s="907"/>
      <c r="M333" s="907"/>
      <c r="N333" s="907"/>
      <c r="O333" s="907"/>
      <c r="P333" s="907"/>
      <c r="Q333" s="907"/>
      <c r="R333" s="907"/>
      <c r="S333" s="907"/>
      <c r="T333" s="907"/>
      <c r="U333" s="907"/>
      <c r="V333" s="907"/>
      <c r="W333" s="907"/>
      <c r="X333" s="907"/>
      <c r="Y333" s="907"/>
      <c r="Z333" s="907"/>
      <c r="AA333" s="907"/>
    </row>
    <row r="334" spans="1:27">
      <c r="A334" s="907"/>
      <c r="B334" s="907"/>
      <c r="C334" s="907"/>
      <c r="D334" s="907"/>
      <c r="E334" s="907"/>
      <c r="F334" s="907"/>
      <c r="G334" s="907"/>
      <c r="H334" s="907"/>
      <c r="I334" s="907"/>
      <c r="J334" s="907"/>
      <c r="K334" s="907"/>
      <c r="L334" s="907"/>
      <c r="M334" s="907"/>
      <c r="N334" s="907"/>
      <c r="O334" s="907"/>
      <c r="P334" s="907"/>
      <c r="Q334" s="907"/>
      <c r="R334" s="907"/>
      <c r="S334" s="907"/>
      <c r="T334" s="907"/>
      <c r="U334" s="907"/>
      <c r="V334" s="907"/>
      <c r="W334" s="907"/>
      <c r="X334" s="907"/>
      <c r="Y334" s="907"/>
      <c r="Z334" s="907"/>
      <c r="AA334" s="907"/>
    </row>
    <row r="335" spans="1:27">
      <c r="A335" s="907"/>
      <c r="B335" s="907"/>
      <c r="C335" s="907"/>
      <c r="D335" s="907"/>
      <c r="E335" s="907"/>
      <c r="F335" s="907"/>
      <c r="G335" s="907"/>
      <c r="H335" s="907"/>
      <c r="I335" s="907"/>
      <c r="J335" s="907"/>
      <c r="K335" s="907"/>
      <c r="L335" s="907"/>
      <c r="M335" s="907"/>
      <c r="N335" s="907"/>
      <c r="O335" s="907"/>
      <c r="P335" s="907"/>
      <c r="Q335" s="907"/>
      <c r="R335" s="907"/>
      <c r="S335" s="907"/>
      <c r="T335" s="907"/>
      <c r="U335" s="907"/>
      <c r="V335" s="907"/>
      <c r="W335" s="907"/>
      <c r="X335" s="907"/>
      <c r="Y335" s="907"/>
      <c r="Z335" s="907"/>
      <c r="AA335" s="907"/>
    </row>
    <row r="336" spans="1:27">
      <c r="A336" s="907"/>
      <c r="B336" s="907"/>
      <c r="C336" s="907"/>
      <c r="D336" s="907"/>
      <c r="E336" s="907"/>
      <c r="F336" s="907"/>
      <c r="G336" s="907"/>
      <c r="H336" s="907"/>
      <c r="I336" s="907"/>
      <c r="J336" s="907"/>
      <c r="K336" s="907"/>
      <c r="L336" s="907"/>
      <c r="M336" s="907"/>
      <c r="N336" s="907"/>
      <c r="O336" s="907"/>
      <c r="P336" s="907"/>
      <c r="Q336" s="907"/>
      <c r="R336" s="907"/>
      <c r="S336" s="907"/>
      <c r="T336" s="907"/>
      <c r="U336" s="907"/>
      <c r="V336" s="907"/>
      <c r="W336" s="907"/>
      <c r="X336" s="907"/>
      <c r="Y336" s="907"/>
      <c r="Z336" s="907"/>
      <c r="AA336" s="907"/>
    </row>
    <row r="337" spans="1:27">
      <c r="A337" s="907"/>
      <c r="B337" s="907"/>
      <c r="C337" s="907"/>
      <c r="D337" s="907"/>
      <c r="E337" s="907"/>
      <c r="F337" s="907"/>
      <c r="G337" s="907"/>
      <c r="H337" s="907"/>
      <c r="I337" s="907"/>
      <c r="J337" s="907"/>
      <c r="K337" s="907"/>
      <c r="L337" s="907"/>
      <c r="M337" s="907"/>
      <c r="N337" s="907"/>
      <c r="O337" s="907"/>
      <c r="P337" s="907"/>
      <c r="Q337" s="907"/>
      <c r="R337" s="907"/>
      <c r="S337" s="907"/>
      <c r="T337" s="907"/>
      <c r="U337" s="907"/>
      <c r="V337" s="907"/>
      <c r="W337" s="907"/>
      <c r="X337" s="907"/>
      <c r="Y337" s="907"/>
      <c r="Z337" s="907"/>
      <c r="AA337" s="907"/>
    </row>
    <row r="338" spans="1:27">
      <c r="A338" s="907"/>
      <c r="B338" s="907"/>
      <c r="C338" s="907"/>
      <c r="D338" s="907"/>
      <c r="E338" s="907"/>
      <c r="F338" s="907"/>
      <c r="G338" s="907"/>
      <c r="H338" s="907"/>
      <c r="I338" s="907"/>
      <c r="J338" s="907"/>
      <c r="K338" s="907"/>
      <c r="L338" s="907"/>
      <c r="M338" s="907"/>
      <c r="N338" s="907"/>
      <c r="O338" s="907"/>
      <c r="P338" s="907"/>
      <c r="Q338" s="907"/>
      <c r="R338" s="907"/>
      <c r="S338" s="907"/>
      <c r="T338" s="907"/>
      <c r="U338" s="907"/>
      <c r="V338" s="907"/>
      <c r="W338" s="907"/>
      <c r="X338" s="907"/>
      <c r="Y338" s="907"/>
      <c r="Z338" s="907"/>
      <c r="AA338" s="907"/>
    </row>
    <row r="339" spans="1:27">
      <c r="A339" s="907"/>
      <c r="B339" s="907"/>
      <c r="C339" s="907"/>
      <c r="D339" s="907"/>
      <c r="E339" s="907"/>
      <c r="F339" s="907"/>
      <c r="G339" s="907"/>
      <c r="H339" s="907"/>
      <c r="I339" s="907"/>
      <c r="J339" s="907"/>
      <c r="K339" s="907"/>
      <c r="L339" s="907"/>
      <c r="M339" s="907"/>
      <c r="N339" s="907"/>
      <c r="O339" s="907"/>
      <c r="P339" s="907"/>
      <c r="Q339" s="907"/>
      <c r="R339" s="907"/>
      <c r="S339" s="907"/>
      <c r="T339" s="907"/>
      <c r="U339" s="907"/>
      <c r="V339" s="907"/>
      <c r="W339" s="907"/>
      <c r="X339" s="907"/>
      <c r="Y339" s="907"/>
      <c r="Z339" s="907"/>
      <c r="AA339" s="907"/>
    </row>
    <row r="340" spans="1:27">
      <c r="A340" s="907"/>
      <c r="B340" s="907"/>
      <c r="C340" s="907"/>
      <c r="D340" s="907"/>
      <c r="E340" s="907"/>
      <c r="F340" s="907"/>
      <c r="G340" s="907"/>
      <c r="H340" s="907"/>
      <c r="I340" s="907"/>
      <c r="J340" s="907"/>
      <c r="K340" s="907"/>
      <c r="L340" s="907"/>
      <c r="M340" s="907"/>
      <c r="N340" s="907"/>
      <c r="O340" s="907"/>
      <c r="P340" s="907"/>
      <c r="Q340" s="907"/>
      <c r="R340" s="907"/>
      <c r="S340" s="907"/>
      <c r="T340" s="907"/>
      <c r="U340" s="907"/>
      <c r="V340" s="907"/>
      <c r="W340" s="907"/>
      <c r="X340" s="907"/>
      <c r="Y340" s="907"/>
      <c r="Z340" s="907"/>
      <c r="AA340" s="907"/>
    </row>
    <row r="341" spans="1:27">
      <c r="A341" s="907"/>
      <c r="B341" s="907"/>
      <c r="C341" s="907"/>
      <c r="D341" s="907"/>
      <c r="E341" s="907"/>
      <c r="F341" s="907"/>
      <c r="G341" s="907"/>
      <c r="H341" s="907"/>
      <c r="I341" s="907"/>
      <c r="J341" s="907"/>
      <c r="K341" s="907"/>
      <c r="L341" s="907"/>
      <c r="M341" s="907"/>
      <c r="N341" s="907"/>
      <c r="O341" s="907"/>
      <c r="P341" s="907"/>
      <c r="Q341" s="907"/>
      <c r="R341" s="907"/>
      <c r="S341" s="907"/>
      <c r="T341" s="907"/>
      <c r="U341" s="907"/>
      <c r="V341" s="907"/>
      <c r="W341" s="907"/>
      <c r="X341" s="907"/>
      <c r="Y341" s="907"/>
      <c r="Z341" s="907"/>
      <c r="AA341" s="907"/>
    </row>
    <row r="342" spans="1:27">
      <c r="A342" s="907"/>
      <c r="B342" s="907"/>
      <c r="C342" s="907"/>
      <c r="D342" s="907"/>
      <c r="E342" s="907"/>
      <c r="F342" s="907"/>
      <c r="G342" s="907"/>
      <c r="H342" s="907"/>
      <c r="I342" s="907"/>
      <c r="J342" s="907"/>
      <c r="K342" s="907"/>
      <c r="L342" s="907"/>
      <c r="M342" s="907"/>
      <c r="N342" s="907"/>
      <c r="O342" s="907"/>
      <c r="P342" s="907"/>
      <c r="Q342" s="907"/>
      <c r="R342" s="907"/>
      <c r="S342" s="907"/>
      <c r="T342" s="907"/>
      <c r="U342" s="907"/>
      <c r="V342" s="907"/>
      <c r="W342" s="907"/>
      <c r="X342" s="907"/>
      <c r="Y342" s="907"/>
      <c r="Z342" s="907"/>
      <c r="AA342" s="907"/>
    </row>
    <row r="343" spans="1:27">
      <c r="A343" s="907"/>
      <c r="B343" s="907"/>
      <c r="C343" s="907"/>
      <c r="D343" s="907"/>
      <c r="E343" s="907"/>
      <c r="F343" s="907"/>
      <c r="G343" s="907"/>
      <c r="H343" s="907"/>
      <c r="I343" s="907"/>
      <c r="J343" s="907"/>
      <c r="K343" s="907"/>
      <c r="L343" s="907"/>
      <c r="M343" s="907"/>
      <c r="N343" s="907"/>
      <c r="O343" s="907"/>
      <c r="P343" s="907"/>
      <c r="Q343" s="907"/>
      <c r="R343" s="907"/>
      <c r="S343" s="907"/>
      <c r="T343" s="907"/>
      <c r="U343" s="907"/>
      <c r="V343" s="907"/>
      <c r="W343" s="907"/>
      <c r="X343" s="907"/>
      <c r="Y343" s="907"/>
      <c r="Z343" s="907"/>
      <c r="AA343" s="907"/>
    </row>
    <row r="344" spans="1:27">
      <c r="A344" s="907"/>
      <c r="B344" s="907"/>
      <c r="C344" s="907"/>
      <c r="D344" s="907"/>
      <c r="E344" s="907"/>
      <c r="F344" s="907"/>
      <c r="G344" s="907"/>
      <c r="H344" s="907"/>
      <c r="I344" s="907"/>
      <c r="J344" s="907"/>
      <c r="K344" s="907"/>
      <c r="L344" s="907"/>
      <c r="M344" s="907"/>
      <c r="N344" s="907"/>
      <c r="O344" s="907"/>
      <c r="P344" s="907"/>
      <c r="Q344" s="907"/>
      <c r="R344" s="907"/>
      <c r="S344" s="907"/>
      <c r="T344" s="907"/>
      <c r="U344" s="907"/>
      <c r="V344" s="907"/>
      <c r="W344" s="907"/>
      <c r="X344" s="907"/>
      <c r="Y344" s="907"/>
      <c r="Z344" s="907"/>
      <c r="AA344" s="907"/>
    </row>
    <row r="345" spans="1:27">
      <c r="A345" s="907"/>
      <c r="B345" s="907"/>
      <c r="C345" s="907"/>
      <c r="D345" s="907"/>
      <c r="E345" s="907"/>
      <c r="F345" s="907"/>
      <c r="G345" s="907"/>
      <c r="H345" s="907"/>
      <c r="I345" s="907"/>
      <c r="J345" s="907"/>
      <c r="K345" s="907"/>
      <c r="L345" s="907"/>
      <c r="M345" s="907"/>
      <c r="N345" s="907"/>
      <c r="O345" s="907"/>
      <c r="P345" s="907"/>
      <c r="Q345" s="907"/>
      <c r="R345" s="907"/>
      <c r="S345" s="907"/>
      <c r="T345" s="907"/>
      <c r="U345" s="907"/>
      <c r="V345" s="907"/>
      <c r="W345" s="907"/>
      <c r="X345" s="907"/>
      <c r="Y345" s="907"/>
      <c r="Z345" s="907"/>
      <c r="AA345" s="907"/>
    </row>
    <row r="346" spans="1:27">
      <c r="A346" s="907"/>
      <c r="B346" s="907"/>
      <c r="C346" s="907"/>
      <c r="D346" s="907"/>
      <c r="E346" s="907"/>
      <c r="F346" s="907"/>
      <c r="G346" s="907"/>
      <c r="H346" s="907"/>
      <c r="I346" s="907"/>
      <c r="J346" s="907"/>
      <c r="K346" s="907"/>
      <c r="L346" s="907"/>
      <c r="M346" s="907"/>
      <c r="N346" s="907"/>
      <c r="O346" s="907"/>
      <c r="P346" s="907"/>
      <c r="Q346" s="907"/>
      <c r="R346" s="907"/>
      <c r="S346" s="907"/>
      <c r="T346" s="907"/>
      <c r="U346" s="907"/>
      <c r="V346" s="907"/>
      <c r="W346" s="907"/>
      <c r="X346" s="907"/>
      <c r="Y346" s="907"/>
      <c r="Z346" s="907"/>
      <c r="AA346" s="907"/>
    </row>
    <row r="347" spans="1:27">
      <c r="A347" s="907"/>
      <c r="B347" s="907"/>
      <c r="C347" s="907"/>
      <c r="D347" s="907"/>
      <c r="E347" s="907"/>
      <c r="F347" s="907"/>
      <c r="G347" s="907"/>
      <c r="H347" s="907"/>
      <c r="I347" s="907"/>
      <c r="J347" s="907"/>
      <c r="K347" s="907"/>
      <c r="L347" s="907"/>
      <c r="M347" s="907"/>
      <c r="N347" s="907"/>
      <c r="O347" s="907"/>
      <c r="P347" s="907"/>
      <c r="Q347" s="907"/>
      <c r="R347" s="907"/>
      <c r="S347" s="907"/>
      <c r="T347" s="907"/>
      <c r="U347" s="907"/>
      <c r="V347" s="907"/>
      <c r="W347" s="907"/>
      <c r="X347" s="907"/>
      <c r="Y347" s="907"/>
      <c r="Z347" s="907"/>
      <c r="AA347" s="907"/>
    </row>
    <row r="348" spans="1:27">
      <c r="A348" s="907"/>
      <c r="B348" s="907"/>
      <c r="C348" s="907"/>
      <c r="D348" s="907"/>
      <c r="E348" s="907"/>
      <c r="F348" s="907"/>
      <c r="G348" s="907"/>
      <c r="H348" s="907"/>
      <c r="I348" s="907"/>
      <c r="J348" s="907"/>
      <c r="K348" s="907"/>
      <c r="L348" s="907"/>
      <c r="M348" s="907"/>
      <c r="N348" s="907"/>
      <c r="O348" s="907"/>
      <c r="P348" s="907"/>
      <c r="Q348" s="907"/>
      <c r="R348" s="907"/>
      <c r="S348" s="907"/>
      <c r="T348" s="907"/>
      <c r="U348" s="907"/>
      <c r="V348" s="907"/>
      <c r="W348" s="907"/>
      <c r="X348" s="907"/>
      <c r="Y348" s="907"/>
      <c r="Z348" s="907"/>
      <c r="AA348" s="907"/>
    </row>
    <row r="349" spans="1:27">
      <c r="A349" s="907"/>
      <c r="B349" s="907"/>
      <c r="C349" s="907"/>
      <c r="D349" s="907"/>
      <c r="E349" s="907"/>
      <c r="F349" s="907"/>
      <c r="G349" s="907"/>
      <c r="H349" s="907"/>
      <c r="I349" s="907"/>
      <c r="J349" s="907"/>
      <c r="K349" s="907"/>
      <c r="L349" s="907"/>
      <c r="M349" s="907"/>
      <c r="N349" s="907"/>
      <c r="O349" s="907"/>
      <c r="P349" s="907"/>
      <c r="Q349" s="907"/>
      <c r="R349" s="907"/>
      <c r="S349" s="907"/>
      <c r="T349" s="907"/>
      <c r="U349" s="907"/>
      <c r="V349" s="907"/>
      <c r="W349" s="907"/>
      <c r="X349" s="907"/>
      <c r="Y349" s="907"/>
      <c r="Z349" s="907"/>
      <c r="AA349" s="907"/>
    </row>
    <row r="350" spans="1:27">
      <c r="A350" s="907"/>
      <c r="B350" s="907"/>
      <c r="C350" s="907"/>
      <c r="D350" s="907"/>
      <c r="E350" s="907"/>
      <c r="F350" s="907"/>
      <c r="G350" s="907"/>
      <c r="H350" s="907"/>
      <c r="I350" s="907"/>
      <c r="J350" s="907"/>
      <c r="K350" s="907"/>
      <c r="L350" s="907"/>
      <c r="M350" s="907"/>
      <c r="N350" s="907"/>
      <c r="O350" s="907"/>
      <c r="P350" s="907"/>
      <c r="Q350" s="907"/>
      <c r="R350" s="907"/>
      <c r="S350" s="907"/>
      <c r="T350" s="907"/>
      <c r="U350" s="907"/>
      <c r="V350" s="907"/>
      <c r="W350" s="907"/>
      <c r="X350" s="907"/>
      <c r="Y350" s="907"/>
      <c r="Z350" s="907"/>
      <c r="AA350" s="907"/>
    </row>
    <row r="351" spans="1:27">
      <c r="A351" s="907"/>
      <c r="B351" s="907"/>
      <c r="C351" s="907"/>
      <c r="D351" s="907"/>
      <c r="E351" s="907"/>
      <c r="F351" s="907"/>
      <c r="G351" s="907"/>
      <c r="H351" s="907"/>
      <c r="I351" s="907"/>
      <c r="J351" s="907"/>
      <c r="K351" s="907"/>
      <c r="L351" s="907"/>
      <c r="M351" s="907"/>
      <c r="N351" s="907"/>
      <c r="O351" s="907"/>
      <c r="P351" s="907"/>
      <c r="Q351" s="907"/>
      <c r="R351" s="907"/>
      <c r="S351" s="907"/>
      <c r="T351" s="907"/>
      <c r="U351" s="907"/>
      <c r="V351" s="907"/>
      <c r="W351" s="907"/>
      <c r="X351" s="907"/>
      <c r="Y351" s="907"/>
      <c r="Z351" s="907"/>
      <c r="AA351" s="907"/>
    </row>
    <row r="352" spans="1:27">
      <c r="A352" s="907"/>
      <c r="B352" s="907"/>
      <c r="C352" s="907"/>
      <c r="D352" s="907"/>
      <c r="E352" s="907"/>
      <c r="F352" s="907"/>
      <c r="G352" s="907"/>
      <c r="H352" s="907"/>
      <c r="I352" s="907"/>
      <c r="J352" s="907"/>
      <c r="K352" s="907"/>
      <c r="L352" s="907"/>
      <c r="M352" s="907"/>
      <c r="N352" s="907"/>
      <c r="O352" s="907"/>
      <c r="P352" s="907"/>
      <c r="Q352" s="907"/>
      <c r="R352" s="907"/>
      <c r="S352" s="907"/>
      <c r="T352" s="907"/>
      <c r="U352" s="907"/>
      <c r="V352" s="907"/>
      <c r="W352" s="907"/>
      <c r="X352" s="907"/>
      <c r="Y352" s="907"/>
      <c r="Z352" s="907"/>
      <c r="AA352" s="907"/>
    </row>
    <row r="353" spans="1:27">
      <c r="A353" s="907"/>
      <c r="B353" s="907"/>
      <c r="C353" s="907"/>
      <c r="D353" s="907"/>
      <c r="E353" s="907"/>
      <c r="F353" s="907"/>
      <c r="G353" s="907"/>
      <c r="H353" s="907"/>
      <c r="I353" s="907"/>
      <c r="J353" s="907"/>
      <c r="K353" s="907"/>
      <c r="L353" s="907"/>
      <c r="M353" s="907"/>
      <c r="N353" s="907"/>
      <c r="O353" s="907"/>
      <c r="P353" s="907"/>
      <c r="Q353" s="907"/>
      <c r="R353" s="907"/>
      <c r="S353" s="907"/>
      <c r="T353" s="907"/>
      <c r="U353" s="907"/>
      <c r="V353" s="907"/>
      <c r="W353" s="907"/>
      <c r="X353" s="907"/>
      <c r="Y353" s="907"/>
      <c r="Z353" s="907"/>
      <c r="AA353" s="907"/>
    </row>
    <row r="354" spans="1:27">
      <c r="A354" s="907"/>
      <c r="B354" s="907"/>
      <c r="C354" s="907"/>
      <c r="D354" s="907"/>
      <c r="E354" s="907"/>
      <c r="F354" s="907"/>
      <c r="G354" s="907"/>
      <c r="H354" s="907"/>
      <c r="I354" s="907"/>
      <c r="J354" s="907"/>
      <c r="K354" s="907"/>
      <c r="L354" s="907"/>
      <c r="M354" s="907"/>
      <c r="N354" s="907"/>
      <c r="O354" s="907"/>
      <c r="P354" s="907"/>
      <c r="Q354" s="907"/>
      <c r="R354" s="907"/>
      <c r="S354" s="907"/>
      <c r="T354" s="907"/>
      <c r="U354" s="907"/>
      <c r="V354" s="907"/>
      <c r="W354" s="907"/>
      <c r="X354" s="907"/>
      <c r="Y354" s="907"/>
      <c r="Z354" s="907"/>
      <c r="AA354" s="907"/>
    </row>
    <row r="355" spans="1:27">
      <c r="A355" s="907"/>
      <c r="B355" s="907"/>
      <c r="C355" s="907"/>
      <c r="D355" s="907"/>
      <c r="E355" s="907"/>
      <c r="F355" s="907"/>
      <c r="G355" s="907"/>
      <c r="H355" s="907"/>
      <c r="I355" s="907"/>
      <c r="J355" s="907"/>
      <c r="K355" s="907"/>
      <c r="L355" s="907"/>
      <c r="M355" s="907"/>
      <c r="N355" s="907"/>
      <c r="O355" s="907"/>
      <c r="P355" s="907"/>
      <c r="Q355" s="907"/>
      <c r="R355" s="907"/>
      <c r="S355" s="907"/>
      <c r="T355" s="907"/>
      <c r="U355" s="907"/>
      <c r="V355" s="907"/>
      <c r="W355" s="907"/>
      <c r="X355" s="907"/>
      <c r="Y355" s="907"/>
      <c r="Z355" s="907"/>
      <c r="AA355" s="907"/>
    </row>
    <row r="356" spans="1:27">
      <c r="A356" s="907"/>
      <c r="B356" s="907"/>
      <c r="C356" s="907"/>
      <c r="D356" s="907"/>
      <c r="E356" s="907"/>
      <c r="F356" s="907"/>
      <c r="G356" s="907"/>
      <c r="H356" s="907"/>
      <c r="I356" s="907"/>
      <c r="J356" s="907"/>
      <c r="K356" s="907"/>
      <c r="L356" s="907"/>
      <c r="M356" s="907"/>
      <c r="N356" s="907"/>
      <c r="O356" s="907"/>
      <c r="P356" s="907"/>
      <c r="Q356" s="907"/>
      <c r="R356" s="907"/>
      <c r="S356" s="907"/>
      <c r="T356" s="907"/>
      <c r="U356" s="907"/>
      <c r="V356" s="907"/>
      <c r="W356" s="907"/>
      <c r="X356" s="907"/>
      <c r="Y356" s="907"/>
      <c r="Z356" s="907"/>
      <c r="AA356" s="907"/>
    </row>
    <row r="357" spans="1:27">
      <c r="A357" s="907"/>
      <c r="B357" s="907"/>
      <c r="C357" s="907"/>
      <c r="D357" s="907"/>
      <c r="E357" s="907"/>
      <c r="F357" s="907"/>
      <c r="G357" s="907"/>
      <c r="H357" s="907"/>
      <c r="I357" s="907"/>
      <c r="J357" s="907"/>
      <c r="K357" s="907"/>
      <c r="L357" s="907"/>
      <c r="M357" s="907"/>
      <c r="N357" s="907"/>
      <c r="O357" s="907"/>
      <c r="P357" s="907"/>
      <c r="Q357" s="907"/>
      <c r="R357" s="907"/>
      <c r="S357" s="907"/>
      <c r="T357" s="907"/>
      <c r="U357" s="907"/>
      <c r="V357" s="907"/>
      <c r="W357" s="907"/>
      <c r="X357" s="907"/>
      <c r="Y357" s="907"/>
      <c r="Z357" s="907"/>
      <c r="AA357" s="907"/>
    </row>
    <row r="358" spans="1:27">
      <c r="A358" s="907"/>
      <c r="B358" s="907"/>
      <c r="C358" s="907"/>
      <c r="D358" s="907"/>
      <c r="E358" s="907"/>
      <c r="F358" s="907"/>
      <c r="G358" s="907"/>
      <c r="H358" s="907"/>
      <c r="I358" s="907"/>
      <c r="J358" s="907"/>
      <c r="K358" s="907"/>
      <c r="L358" s="907"/>
      <c r="M358" s="907"/>
      <c r="N358" s="907"/>
      <c r="O358" s="907"/>
      <c r="P358" s="907"/>
      <c r="Q358" s="907"/>
      <c r="R358" s="907"/>
      <c r="S358" s="907"/>
      <c r="T358" s="907"/>
      <c r="U358" s="907"/>
      <c r="V358" s="907"/>
      <c r="W358" s="907"/>
      <c r="X358" s="907"/>
      <c r="Y358" s="907"/>
      <c r="Z358" s="907"/>
      <c r="AA358" s="907"/>
    </row>
    <row r="359" spans="1:27">
      <c r="A359" s="907"/>
      <c r="B359" s="907"/>
      <c r="C359" s="907"/>
      <c r="D359" s="907"/>
      <c r="E359" s="907"/>
      <c r="F359" s="907"/>
      <c r="G359" s="907"/>
      <c r="H359" s="907"/>
      <c r="I359" s="907"/>
      <c r="J359" s="907"/>
      <c r="K359" s="907"/>
      <c r="L359" s="907"/>
      <c r="M359" s="907"/>
      <c r="N359" s="907"/>
      <c r="O359" s="907"/>
      <c r="P359" s="907"/>
      <c r="Q359" s="907"/>
      <c r="R359" s="907"/>
      <c r="S359" s="907"/>
      <c r="T359" s="907"/>
      <c r="U359" s="907"/>
      <c r="V359" s="907"/>
      <c r="W359" s="907"/>
      <c r="X359" s="907"/>
      <c r="Y359" s="907"/>
      <c r="Z359" s="907"/>
      <c r="AA359" s="907"/>
    </row>
    <row r="360" spans="1:27">
      <c r="A360" s="907"/>
      <c r="B360" s="907"/>
      <c r="C360" s="907"/>
      <c r="D360" s="907"/>
      <c r="E360" s="907"/>
      <c r="F360" s="907"/>
      <c r="G360" s="907"/>
      <c r="H360" s="907"/>
      <c r="I360" s="907"/>
      <c r="J360" s="907"/>
      <c r="K360" s="907"/>
      <c r="L360" s="907"/>
      <c r="M360" s="907"/>
      <c r="N360" s="907"/>
      <c r="O360" s="907"/>
      <c r="P360" s="907"/>
      <c r="Q360" s="907"/>
      <c r="R360" s="907"/>
      <c r="S360" s="907"/>
      <c r="T360" s="907"/>
      <c r="U360" s="907"/>
      <c r="V360" s="907"/>
      <c r="W360" s="907"/>
      <c r="X360" s="907"/>
      <c r="Y360" s="907"/>
      <c r="Z360" s="907"/>
      <c r="AA360" s="907"/>
    </row>
    <row r="361" spans="1:27">
      <c r="A361" s="907"/>
      <c r="B361" s="907"/>
      <c r="C361" s="907"/>
      <c r="D361" s="907"/>
      <c r="E361" s="907"/>
      <c r="F361" s="907"/>
      <c r="G361" s="907"/>
      <c r="H361" s="907"/>
      <c r="I361" s="907"/>
      <c r="J361" s="907"/>
      <c r="K361" s="907"/>
      <c r="L361" s="907"/>
      <c r="M361" s="907"/>
      <c r="N361" s="907"/>
      <c r="O361" s="907"/>
      <c r="P361" s="907"/>
      <c r="Q361" s="907"/>
      <c r="R361" s="907"/>
      <c r="S361" s="907"/>
      <c r="T361" s="907"/>
      <c r="U361" s="907"/>
      <c r="V361" s="907"/>
      <c r="W361" s="907"/>
      <c r="X361" s="907"/>
      <c r="Y361" s="907"/>
      <c r="Z361" s="907"/>
      <c r="AA361" s="907"/>
    </row>
    <row r="362" spans="1:27">
      <c r="A362" s="907"/>
      <c r="B362" s="907"/>
      <c r="C362" s="907"/>
      <c r="D362" s="907"/>
      <c r="E362" s="907"/>
      <c r="F362" s="907"/>
      <c r="G362" s="907"/>
      <c r="H362" s="907"/>
      <c r="I362" s="907"/>
      <c r="J362" s="907"/>
      <c r="K362" s="907"/>
      <c r="L362" s="907"/>
      <c r="M362" s="907"/>
      <c r="N362" s="907"/>
      <c r="O362" s="907"/>
      <c r="P362" s="907"/>
      <c r="Q362" s="907"/>
      <c r="R362" s="907"/>
      <c r="S362" s="907"/>
      <c r="T362" s="907"/>
      <c r="U362" s="907"/>
      <c r="V362" s="907"/>
      <c r="W362" s="907"/>
      <c r="X362" s="907"/>
      <c r="Y362" s="907"/>
      <c r="Z362" s="907"/>
      <c r="AA362" s="907"/>
    </row>
    <row r="363" spans="1:27">
      <c r="A363" s="907"/>
      <c r="B363" s="907"/>
      <c r="C363" s="907"/>
      <c r="D363" s="907"/>
      <c r="E363" s="907"/>
      <c r="F363" s="907"/>
      <c r="G363" s="907"/>
      <c r="H363" s="907"/>
      <c r="I363" s="907"/>
      <c r="J363" s="907"/>
      <c r="K363" s="907"/>
      <c r="L363" s="907"/>
      <c r="M363" s="907"/>
      <c r="N363" s="907"/>
      <c r="O363" s="907"/>
      <c r="P363" s="907"/>
      <c r="Q363" s="907"/>
      <c r="R363" s="907"/>
      <c r="S363" s="907"/>
      <c r="T363" s="907"/>
      <c r="U363" s="907"/>
      <c r="V363" s="907"/>
      <c r="W363" s="907"/>
      <c r="X363" s="907"/>
      <c r="Y363" s="907"/>
      <c r="Z363" s="907"/>
      <c r="AA363" s="907"/>
    </row>
    <row r="364" spans="1:27">
      <c r="A364" s="907"/>
      <c r="B364" s="907"/>
      <c r="C364" s="907"/>
      <c r="D364" s="907"/>
      <c r="E364" s="907"/>
      <c r="F364" s="907"/>
      <c r="G364" s="907"/>
      <c r="H364" s="907"/>
      <c r="I364" s="907"/>
      <c r="J364" s="907"/>
      <c r="K364" s="907"/>
      <c r="L364" s="907"/>
      <c r="M364" s="907"/>
      <c r="N364" s="907"/>
      <c r="O364" s="907"/>
      <c r="P364" s="907"/>
      <c r="Q364" s="907"/>
      <c r="R364" s="907"/>
      <c r="S364" s="907"/>
      <c r="T364" s="907"/>
      <c r="U364" s="907"/>
      <c r="V364" s="907"/>
      <c r="W364" s="907"/>
      <c r="X364" s="907"/>
      <c r="Y364" s="907"/>
      <c r="Z364" s="907"/>
      <c r="AA364" s="907"/>
    </row>
    <row r="365" spans="1:27">
      <c r="A365" s="907"/>
      <c r="B365" s="907"/>
      <c r="C365" s="907"/>
      <c r="D365" s="907"/>
      <c r="E365" s="907"/>
      <c r="F365" s="907"/>
      <c r="G365" s="907"/>
      <c r="H365" s="907"/>
      <c r="I365" s="907"/>
      <c r="J365" s="907"/>
      <c r="K365" s="907"/>
      <c r="L365" s="907"/>
      <c r="M365" s="907"/>
      <c r="N365" s="907"/>
      <c r="O365" s="907"/>
      <c r="P365" s="907"/>
      <c r="Q365" s="907"/>
      <c r="R365" s="907"/>
      <c r="S365" s="907"/>
      <c r="T365" s="907"/>
      <c r="U365" s="907"/>
      <c r="V365" s="907"/>
      <c r="W365" s="907"/>
      <c r="X365" s="907"/>
      <c r="Y365" s="907"/>
      <c r="Z365" s="907"/>
      <c r="AA365" s="907"/>
    </row>
    <row r="366" spans="1:27">
      <c r="A366" s="907"/>
      <c r="B366" s="907"/>
      <c r="C366" s="907"/>
      <c r="D366" s="907"/>
      <c r="E366" s="907"/>
      <c r="F366" s="907"/>
      <c r="G366" s="907"/>
      <c r="H366" s="907"/>
      <c r="I366" s="907"/>
      <c r="J366" s="907"/>
      <c r="K366" s="907"/>
      <c r="L366" s="907"/>
      <c r="M366" s="907"/>
      <c r="N366" s="907"/>
      <c r="O366" s="907"/>
      <c r="P366" s="907"/>
      <c r="Q366" s="907"/>
      <c r="R366" s="907"/>
      <c r="S366" s="907"/>
      <c r="T366" s="907"/>
      <c r="U366" s="907"/>
      <c r="V366" s="907"/>
      <c r="W366" s="907"/>
      <c r="X366" s="907"/>
      <c r="Y366" s="907"/>
      <c r="Z366" s="907"/>
      <c r="AA366" s="907"/>
    </row>
    <row r="367" spans="1:27">
      <c r="A367" s="907"/>
      <c r="B367" s="907"/>
      <c r="C367" s="907"/>
      <c r="D367" s="907"/>
      <c r="E367" s="907"/>
      <c r="F367" s="907"/>
      <c r="G367" s="907"/>
      <c r="H367" s="907"/>
      <c r="I367" s="907"/>
      <c r="J367" s="907"/>
      <c r="K367" s="907"/>
      <c r="L367" s="907"/>
      <c r="M367" s="907"/>
      <c r="N367" s="907"/>
      <c r="O367" s="907"/>
      <c r="P367" s="907"/>
      <c r="Q367" s="907"/>
      <c r="R367" s="907"/>
      <c r="S367" s="907"/>
      <c r="T367" s="907"/>
      <c r="U367" s="907"/>
      <c r="V367" s="907"/>
      <c r="W367" s="907"/>
      <c r="X367" s="907"/>
      <c r="Y367" s="907"/>
      <c r="Z367" s="907"/>
      <c r="AA367" s="907"/>
    </row>
    <row r="368" spans="1:27">
      <c r="A368" s="907"/>
      <c r="B368" s="907"/>
      <c r="C368" s="907"/>
      <c r="D368" s="907"/>
      <c r="E368" s="907"/>
      <c r="F368" s="907"/>
      <c r="G368" s="907"/>
      <c r="H368" s="907"/>
      <c r="I368" s="907"/>
      <c r="J368" s="907"/>
      <c r="K368" s="907"/>
      <c r="L368" s="907"/>
      <c r="M368" s="907"/>
      <c r="N368" s="907"/>
      <c r="O368" s="907"/>
      <c r="P368" s="907"/>
      <c r="Q368" s="907"/>
      <c r="R368" s="907"/>
      <c r="S368" s="907"/>
      <c r="T368" s="907"/>
      <c r="U368" s="907"/>
      <c r="V368" s="907"/>
      <c r="W368" s="907"/>
      <c r="X368" s="907"/>
      <c r="Y368" s="907"/>
      <c r="Z368" s="907"/>
      <c r="AA368" s="907"/>
    </row>
    <row r="369" spans="1:27">
      <c r="A369" s="907"/>
      <c r="B369" s="907"/>
      <c r="C369" s="907"/>
      <c r="D369" s="907"/>
      <c r="E369" s="907"/>
      <c r="F369" s="907"/>
      <c r="G369" s="907"/>
      <c r="H369" s="907"/>
      <c r="I369" s="907"/>
      <c r="J369" s="907"/>
      <c r="K369" s="907"/>
      <c r="L369" s="907"/>
      <c r="M369" s="907"/>
      <c r="N369" s="907"/>
      <c r="O369" s="907"/>
      <c r="P369" s="907"/>
      <c r="Q369" s="907"/>
      <c r="R369" s="907"/>
      <c r="S369" s="907"/>
      <c r="T369" s="907"/>
      <c r="U369" s="907"/>
      <c r="V369" s="907"/>
      <c r="W369" s="907"/>
      <c r="X369" s="907"/>
      <c r="Y369" s="907"/>
      <c r="Z369" s="907"/>
      <c r="AA369" s="907"/>
    </row>
    <row r="370" spans="1:27">
      <c r="A370" s="907"/>
      <c r="B370" s="907"/>
      <c r="C370" s="907"/>
      <c r="D370" s="907"/>
      <c r="E370" s="907"/>
      <c r="F370" s="907"/>
      <c r="G370" s="907"/>
      <c r="H370" s="907"/>
      <c r="I370" s="907"/>
      <c r="J370" s="907"/>
      <c r="K370" s="907"/>
      <c r="L370" s="907"/>
      <c r="M370" s="907"/>
      <c r="N370" s="907"/>
      <c r="O370" s="907"/>
      <c r="P370" s="907"/>
      <c r="Q370" s="907"/>
      <c r="R370" s="907"/>
      <c r="S370" s="907"/>
      <c r="T370" s="907"/>
      <c r="U370" s="907"/>
      <c r="V370" s="907"/>
      <c r="W370" s="907"/>
      <c r="X370" s="907"/>
      <c r="Y370" s="907"/>
      <c r="Z370" s="907"/>
      <c r="AA370" s="907"/>
    </row>
    <row r="371" spans="1:27">
      <c r="A371" s="907"/>
      <c r="B371" s="907"/>
      <c r="C371" s="907"/>
      <c r="D371" s="907"/>
      <c r="E371" s="907"/>
      <c r="F371" s="907"/>
      <c r="G371" s="907"/>
      <c r="H371" s="907"/>
      <c r="I371" s="907"/>
      <c r="J371" s="907"/>
      <c r="K371" s="907"/>
      <c r="L371" s="907"/>
      <c r="M371" s="907"/>
      <c r="N371" s="907"/>
      <c r="O371" s="907"/>
      <c r="P371" s="907"/>
      <c r="Q371" s="907"/>
      <c r="R371" s="907"/>
      <c r="S371" s="907"/>
      <c r="T371" s="907"/>
      <c r="U371" s="907"/>
      <c r="V371" s="907"/>
      <c r="W371" s="907"/>
      <c r="X371" s="907"/>
      <c r="Y371" s="907"/>
      <c r="Z371" s="907"/>
      <c r="AA371" s="907"/>
    </row>
    <row r="372" spans="1:27">
      <c r="A372" s="907"/>
      <c r="B372" s="907"/>
      <c r="C372" s="907"/>
      <c r="D372" s="907"/>
      <c r="E372" s="907"/>
      <c r="F372" s="907"/>
      <c r="G372" s="907"/>
      <c r="H372" s="907"/>
      <c r="I372" s="907"/>
      <c r="J372" s="907"/>
      <c r="K372" s="907"/>
      <c r="L372" s="907"/>
      <c r="M372" s="907"/>
      <c r="N372" s="907"/>
      <c r="O372" s="907"/>
      <c r="P372" s="907"/>
      <c r="Q372" s="907"/>
      <c r="R372" s="907"/>
      <c r="S372" s="907"/>
      <c r="T372" s="907"/>
      <c r="U372" s="907"/>
      <c r="V372" s="907"/>
      <c r="W372" s="907"/>
      <c r="X372" s="907"/>
      <c r="Y372" s="907"/>
      <c r="Z372" s="907"/>
      <c r="AA372" s="907"/>
    </row>
    <row r="373" spans="1:27">
      <c r="A373" s="907"/>
      <c r="B373" s="907"/>
      <c r="C373" s="907"/>
      <c r="D373" s="907"/>
      <c r="E373" s="907"/>
      <c r="F373" s="907"/>
      <c r="G373" s="907"/>
      <c r="H373" s="907"/>
      <c r="I373" s="907"/>
      <c r="J373" s="907"/>
      <c r="K373" s="907"/>
      <c r="L373" s="907"/>
      <c r="M373" s="907"/>
      <c r="N373" s="907"/>
      <c r="O373" s="907"/>
      <c r="P373" s="907"/>
      <c r="Q373" s="907"/>
      <c r="R373" s="907"/>
      <c r="S373" s="907"/>
      <c r="T373" s="907"/>
      <c r="U373" s="907"/>
      <c r="V373" s="907"/>
      <c r="W373" s="907"/>
      <c r="X373" s="907"/>
      <c r="Y373" s="907"/>
      <c r="Z373" s="907"/>
      <c r="AA373" s="907"/>
    </row>
    <row r="374" spans="1:27">
      <c r="A374" s="907"/>
      <c r="B374" s="907"/>
      <c r="C374" s="907"/>
      <c r="D374" s="907"/>
      <c r="E374" s="907"/>
      <c r="F374" s="907"/>
      <c r="G374" s="907"/>
      <c r="H374" s="907"/>
      <c r="I374" s="907"/>
      <c r="J374" s="907"/>
      <c r="K374" s="907"/>
      <c r="L374" s="907"/>
      <c r="M374" s="907"/>
      <c r="N374" s="907"/>
      <c r="O374" s="907"/>
      <c r="P374" s="907"/>
      <c r="Q374" s="907"/>
      <c r="R374" s="907"/>
      <c r="S374" s="907"/>
      <c r="T374" s="907"/>
      <c r="U374" s="907"/>
      <c r="V374" s="907"/>
      <c r="W374" s="907"/>
      <c r="X374" s="907"/>
      <c r="Y374" s="907"/>
      <c r="Z374" s="907"/>
      <c r="AA374" s="907"/>
    </row>
    <row r="375" spans="1:27">
      <c r="A375" s="907"/>
      <c r="B375" s="907"/>
      <c r="C375" s="907"/>
      <c r="D375" s="907"/>
      <c r="E375" s="907"/>
      <c r="F375" s="907"/>
      <c r="G375" s="907"/>
      <c r="H375" s="907"/>
      <c r="I375" s="907"/>
      <c r="J375" s="907"/>
      <c r="K375" s="907"/>
      <c r="L375" s="907"/>
      <c r="M375" s="907"/>
      <c r="N375" s="907"/>
      <c r="O375" s="907"/>
      <c r="P375" s="907"/>
      <c r="Q375" s="907"/>
      <c r="R375" s="907"/>
      <c r="S375" s="907"/>
      <c r="T375" s="907"/>
      <c r="U375" s="907"/>
      <c r="V375" s="907"/>
      <c r="W375" s="907"/>
      <c r="X375" s="907"/>
      <c r="Y375" s="907"/>
      <c r="Z375" s="907"/>
      <c r="AA375" s="907"/>
    </row>
    <row r="376" spans="1:27">
      <c r="A376" s="907"/>
      <c r="B376" s="907"/>
      <c r="C376" s="907"/>
      <c r="D376" s="907"/>
      <c r="E376" s="907"/>
      <c r="F376" s="907"/>
      <c r="G376" s="907"/>
      <c r="H376" s="907"/>
      <c r="I376" s="907"/>
      <c r="J376" s="907"/>
      <c r="K376" s="907"/>
      <c r="L376" s="907"/>
      <c r="M376" s="907"/>
      <c r="N376" s="907"/>
      <c r="O376" s="907"/>
      <c r="P376" s="907"/>
      <c r="Q376" s="907"/>
      <c r="R376" s="907"/>
      <c r="S376" s="907"/>
      <c r="T376" s="907"/>
      <c r="U376" s="907"/>
      <c r="V376" s="907"/>
      <c r="W376" s="907"/>
      <c r="X376" s="907"/>
      <c r="Y376" s="907"/>
      <c r="Z376" s="907"/>
      <c r="AA376" s="907"/>
    </row>
    <row r="377" spans="1:27">
      <c r="A377" s="907"/>
      <c r="B377" s="907"/>
      <c r="C377" s="907"/>
      <c r="D377" s="907"/>
      <c r="E377" s="907"/>
      <c r="F377" s="907"/>
      <c r="G377" s="907"/>
      <c r="H377" s="907"/>
      <c r="I377" s="907"/>
      <c r="J377" s="907"/>
      <c r="K377" s="907"/>
      <c r="L377" s="907"/>
      <c r="M377" s="907"/>
      <c r="N377" s="907"/>
      <c r="O377" s="907"/>
      <c r="P377" s="907"/>
      <c r="Q377" s="907"/>
      <c r="R377" s="907"/>
      <c r="S377" s="907"/>
      <c r="T377" s="907"/>
      <c r="U377" s="907"/>
      <c r="V377" s="907"/>
      <c r="W377" s="907"/>
      <c r="X377" s="907"/>
      <c r="Y377" s="907"/>
      <c r="Z377" s="907"/>
      <c r="AA377" s="907"/>
    </row>
    <row r="378" spans="1:27">
      <c r="A378" s="907"/>
      <c r="B378" s="907"/>
      <c r="C378" s="907"/>
      <c r="D378" s="907"/>
      <c r="E378" s="907"/>
      <c r="F378" s="907"/>
      <c r="G378" s="907"/>
      <c r="H378" s="907"/>
      <c r="I378" s="907"/>
      <c r="J378" s="907"/>
      <c r="K378" s="907"/>
      <c r="L378" s="907"/>
      <c r="M378" s="907"/>
      <c r="N378" s="907"/>
      <c r="O378" s="907"/>
      <c r="P378" s="907"/>
      <c r="Q378" s="907"/>
      <c r="R378" s="907"/>
      <c r="S378" s="907"/>
      <c r="T378" s="907"/>
      <c r="U378" s="907"/>
      <c r="V378" s="907"/>
      <c r="W378" s="907"/>
      <c r="X378" s="907"/>
      <c r="Y378" s="907"/>
      <c r="Z378" s="907"/>
      <c r="AA378" s="907"/>
    </row>
    <row r="379" spans="1:27">
      <c r="A379" s="907"/>
      <c r="B379" s="907"/>
      <c r="C379" s="907"/>
      <c r="D379" s="907"/>
      <c r="E379" s="907"/>
      <c r="F379" s="907"/>
      <c r="G379" s="907"/>
      <c r="H379" s="907"/>
      <c r="I379" s="907"/>
      <c r="J379" s="907"/>
      <c r="K379" s="907"/>
      <c r="L379" s="907"/>
      <c r="M379" s="907"/>
      <c r="N379" s="907"/>
      <c r="O379" s="907"/>
      <c r="P379" s="907"/>
      <c r="Q379" s="907"/>
      <c r="R379" s="907"/>
      <c r="S379" s="907"/>
      <c r="T379" s="907"/>
      <c r="U379" s="907"/>
      <c r="V379" s="907"/>
      <c r="W379" s="907"/>
      <c r="X379" s="907"/>
      <c r="Y379" s="907"/>
      <c r="Z379" s="907"/>
      <c r="AA379" s="907"/>
    </row>
    <row r="380" spans="1:27">
      <c r="A380" s="907"/>
      <c r="B380" s="907"/>
      <c r="C380" s="907"/>
      <c r="D380" s="907"/>
      <c r="E380" s="907"/>
      <c r="F380" s="907"/>
      <c r="G380" s="907"/>
      <c r="H380" s="907"/>
      <c r="I380" s="907"/>
      <c r="J380" s="907"/>
      <c r="K380" s="907"/>
      <c r="L380" s="907"/>
      <c r="M380" s="907"/>
      <c r="N380" s="907"/>
      <c r="O380" s="907"/>
      <c r="P380" s="907"/>
      <c r="Q380" s="907"/>
      <c r="R380" s="907"/>
      <c r="S380" s="907"/>
      <c r="T380" s="907"/>
      <c r="U380" s="907"/>
      <c r="V380" s="907"/>
      <c r="W380" s="907"/>
      <c r="X380" s="907"/>
      <c r="Y380" s="907"/>
      <c r="Z380" s="907"/>
      <c r="AA380" s="907"/>
    </row>
    <row r="381" spans="1:27">
      <c r="A381" s="907"/>
      <c r="B381" s="907"/>
      <c r="C381" s="907"/>
      <c r="D381" s="907"/>
      <c r="E381" s="907"/>
      <c r="F381" s="907"/>
      <c r="G381" s="907"/>
      <c r="H381" s="907"/>
      <c r="I381" s="907"/>
      <c r="J381" s="907"/>
      <c r="K381" s="907"/>
      <c r="L381" s="907"/>
      <c r="M381" s="907"/>
      <c r="N381" s="907"/>
      <c r="O381" s="907"/>
      <c r="P381" s="907"/>
      <c r="Q381" s="907"/>
      <c r="R381" s="907"/>
      <c r="S381" s="907"/>
      <c r="T381" s="907"/>
      <c r="U381" s="907"/>
      <c r="V381" s="907"/>
      <c r="W381" s="907"/>
      <c r="X381" s="907"/>
      <c r="Y381" s="907"/>
      <c r="Z381" s="907"/>
      <c r="AA381" s="907"/>
    </row>
    <row r="382" spans="1:27">
      <c r="A382" s="907"/>
      <c r="B382" s="907"/>
      <c r="C382" s="907"/>
      <c r="D382" s="907"/>
      <c r="E382" s="907"/>
      <c r="F382" s="907"/>
      <c r="G382" s="907"/>
      <c r="H382" s="907"/>
      <c r="I382" s="907"/>
      <c r="J382" s="907"/>
      <c r="K382" s="907"/>
      <c r="L382" s="907"/>
      <c r="M382" s="907"/>
      <c r="N382" s="907"/>
      <c r="O382" s="907"/>
      <c r="P382" s="907"/>
      <c r="Q382" s="907"/>
      <c r="R382" s="907"/>
      <c r="S382" s="907"/>
      <c r="T382" s="907"/>
      <c r="U382" s="907"/>
      <c r="V382" s="907"/>
      <c r="W382" s="907"/>
      <c r="X382" s="907"/>
      <c r="Y382" s="907"/>
      <c r="Z382" s="907"/>
      <c r="AA382" s="907"/>
    </row>
    <row r="383" spans="1:27">
      <c r="A383" s="907"/>
      <c r="B383" s="907"/>
      <c r="C383" s="907"/>
      <c r="D383" s="907"/>
      <c r="E383" s="907"/>
      <c r="F383" s="907"/>
      <c r="G383" s="907"/>
      <c r="H383" s="907"/>
      <c r="I383" s="907"/>
      <c r="J383" s="907"/>
      <c r="K383" s="907"/>
      <c r="L383" s="907"/>
      <c r="M383" s="907"/>
      <c r="N383" s="907"/>
      <c r="O383" s="907"/>
      <c r="P383" s="907"/>
      <c r="Q383" s="907"/>
      <c r="R383" s="907"/>
      <c r="S383" s="907"/>
      <c r="T383" s="907"/>
      <c r="U383" s="907"/>
      <c r="V383" s="907"/>
      <c r="W383" s="907"/>
      <c r="X383" s="907"/>
      <c r="Y383" s="907"/>
      <c r="Z383" s="907"/>
      <c r="AA383" s="907"/>
    </row>
    <row r="384" spans="1:27">
      <c r="A384" s="907"/>
      <c r="B384" s="907"/>
      <c r="C384" s="907"/>
      <c r="D384" s="907"/>
      <c r="E384" s="907"/>
      <c r="F384" s="907"/>
      <c r="G384" s="907"/>
      <c r="H384" s="907"/>
      <c r="I384" s="907"/>
      <c r="J384" s="907"/>
      <c r="K384" s="907"/>
      <c r="L384" s="907"/>
      <c r="M384" s="907"/>
      <c r="N384" s="907"/>
      <c r="O384" s="907"/>
      <c r="P384" s="907"/>
      <c r="Q384" s="907"/>
      <c r="R384" s="907"/>
      <c r="S384" s="907"/>
      <c r="T384" s="907"/>
      <c r="U384" s="907"/>
      <c r="V384" s="907"/>
      <c r="W384" s="907"/>
      <c r="X384" s="907"/>
      <c r="Y384" s="907"/>
      <c r="Z384" s="907"/>
      <c r="AA384" s="907"/>
    </row>
    <row r="385" spans="1:27">
      <c r="A385" s="907"/>
      <c r="B385" s="907"/>
      <c r="C385" s="907"/>
      <c r="D385" s="907"/>
      <c r="E385" s="907"/>
      <c r="F385" s="907"/>
      <c r="G385" s="907"/>
      <c r="H385" s="907"/>
      <c r="I385" s="907"/>
      <c r="J385" s="907"/>
      <c r="K385" s="907"/>
      <c r="L385" s="907"/>
      <c r="M385" s="907"/>
      <c r="N385" s="907"/>
      <c r="O385" s="907"/>
      <c r="P385" s="907"/>
      <c r="Q385" s="907"/>
      <c r="R385" s="907"/>
      <c r="S385" s="907"/>
      <c r="T385" s="907"/>
      <c r="U385" s="907"/>
      <c r="V385" s="907"/>
      <c r="W385" s="907"/>
      <c r="X385" s="907"/>
      <c r="Y385" s="907"/>
      <c r="Z385" s="907"/>
      <c r="AA385" s="907"/>
    </row>
    <row r="386" spans="1:27">
      <c r="A386" s="907"/>
      <c r="B386" s="907"/>
      <c r="C386" s="907"/>
      <c r="D386" s="907"/>
      <c r="E386" s="907"/>
      <c r="F386" s="907"/>
      <c r="G386" s="907"/>
      <c r="H386" s="907"/>
      <c r="I386" s="907"/>
      <c r="J386" s="907"/>
      <c r="K386" s="907"/>
      <c r="L386" s="907"/>
      <c r="M386" s="907"/>
      <c r="N386" s="907"/>
      <c r="O386" s="907"/>
      <c r="P386" s="907"/>
      <c r="Q386" s="907"/>
      <c r="R386" s="907"/>
      <c r="S386" s="907"/>
      <c r="T386" s="907"/>
      <c r="U386" s="907"/>
      <c r="V386" s="907"/>
      <c r="W386" s="907"/>
      <c r="X386" s="907"/>
      <c r="Y386" s="907"/>
      <c r="Z386" s="907"/>
      <c r="AA386" s="907"/>
    </row>
    <row r="387" spans="1:27">
      <c r="A387" s="907"/>
      <c r="B387" s="907"/>
      <c r="C387" s="907"/>
      <c r="D387" s="907"/>
      <c r="E387" s="907"/>
      <c r="F387" s="907"/>
      <c r="G387" s="907"/>
      <c r="H387" s="907"/>
      <c r="I387" s="907"/>
      <c r="J387" s="907"/>
      <c r="K387" s="907"/>
      <c r="L387" s="907"/>
      <c r="M387" s="907"/>
      <c r="N387" s="907"/>
      <c r="O387" s="907"/>
      <c r="P387" s="907"/>
      <c r="Q387" s="907"/>
      <c r="R387" s="907"/>
      <c r="S387" s="907"/>
      <c r="T387" s="907"/>
      <c r="U387" s="907"/>
      <c r="V387" s="907"/>
      <c r="W387" s="907"/>
      <c r="X387" s="907"/>
      <c r="Y387" s="907"/>
      <c r="Z387" s="907"/>
      <c r="AA387" s="907"/>
    </row>
    <row r="388" spans="1:27">
      <c r="A388" s="907"/>
      <c r="B388" s="907"/>
      <c r="C388" s="907"/>
      <c r="D388" s="907"/>
      <c r="E388" s="907"/>
      <c r="F388" s="907"/>
      <c r="G388" s="907"/>
      <c r="H388" s="907"/>
      <c r="I388" s="907"/>
      <c r="J388" s="907"/>
      <c r="K388" s="907"/>
      <c r="L388" s="907"/>
      <c r="M388" s="907"/>
      <c r="N388" s="907"/>
      <c r="O388" s="907"/>
      <c r="P388" s="907"/>
      <c r="Q388" s="907"/>
      <c r="R388" s="907"/>
      <c r="S388" s="907"/>
      <c r="T388" s="907"/>
      <c r="U388" s="907"/>
      <c r="V388" s="907"/>
      <c r="W388" s="907"/>
      <c r="X388" s="907"/>
      <c r="Y388" s="907"/>
      <c r="Z388" s="907"/>
      <c r="AA388" s="907"/>
    </row>
    <row r="389" spans="1:27">
      <c r="A389" s="907"/>
      <c r="B389" s="907"/>
      <c r="C389" s="907"/>
      <c r="D389" s="907"/>
      <c r="E389" s="907"/>
      <c r="F389" s="907"/>
      <c r="G389" s="907"/>
      <c r="H389" s="907"/>
      <c r="I389" s="907"/>
      <c r="J389" s="907"/>
      <c r="K389" s="907"/>
      <c r="L389" s="907"/>
      <c r="M389" s="907"/>
      <c r="N389" s="907"/>
      <c r="O389" s="907"/>
      <c r="P389" s="907"/>
      <c r="Q389" s="907"/>
      <c r="R389" s="907"/>
      <c r="S389" s="907"/>
      <c r="T389" s="907"/>
      <c r="U389" s="907"/>
      <c r="V389" s="907"/>
      <c r="W389" s="907"/>
      <c r="X389" s="907"/>
      <c r="Y389" s="907"/>
      <c r="Z389" s="907"/>
      <c r="AA389" s="907"/>
    </row>
    <row r="390" spans="1:27">
      <c r="A390" s="907"/>
      <c r="B390" s="907"/>
      <c r="C390" s="907"/>
      <c r="D390" s="907"/>
      <c r="E390" s="907"/>
      <c r="F390" s="907"/>
      <c r="G390" s="907"/>
      <c r="H390" s="907"/>
      <c r="I390" s="907"/>
      <c r="J390" s="907"/>
      <c r="K390" s="907"/>
      <c r="L390" s="907"/>
      <c r="M390" s="907"/>
      <c r="N390" s="907"/>
      <c r="O390" s="907"/>
      <c r="P390" s="907"/>
      <c r="Q390" s="907"/>
      <c r="R390" s="907"/>
      <c r="S390" s="907"/>
      <c r="T390" s="907"/>
      <c r="U390" s="907"/>
      <c r="V390" s="907"/>
      <c r="W390" s="907"/>
      <c r="X390" s="907"/>
      <c r="Y390" s="907"/>
      <c r="Z390" s="907"/>
      <c r="AA390" s="907"/>
    </row>
    <row r="391" spans="1:27">
      <c r="A391" s="907"/>
      <c r="B391" s="907"/>
      <c r="C391" s="907"/>
      <c r="D391" s="907"/>
      <c r="E391" s="907"/>
      <c r="F391" s="907"/>
      <c r="G391" s="907"/>
      <c r="H391" s="907"/>
      <c r="I391" s="907"/>
      <c r="J391" s="907"/>
      <c r="K391" s="907"/>
      <c r="L391" s="907"/>
      <c r="M391" s="907"/>
      <c r="N391" s="907"/>
      <c r="O391" s="907"/>
      <c r="P391" s="907"/>
      <c r="Q391" s="907"/>
      <c r="R391" s="907"/>
      <c r="S391" s="907"/>
      <c r="T391" s="907"/>
      <c r="U391" s="907"/>
      <c r="V391" s="907"/>
      <c r="W391" s="907"/>
      <c r="X391" s="907"/>
      <c r="Y391" s="907"/>
      <c r="Z391" s="907"/>
      <c r="AA391" s="907"/>
    </row>
    <row r="392" spans="1:27">
      <c r="A392" s="907"/>
      <c r="B392" s="907"/>
      <c r="C392" s="907"/>
      <c r="D392" s="907"/>
      <c r="E392" s="907"/>
      <c r="F392" s="907"/>
      <c r="G392" s="907"/>
      <c r="H392" s="907"/>
      <c r="I392" s="907"/>
      <c r="J392" s="907"/>
      <c r="K392" s="907"/>
      <c r="L392" s="907"/>
      <c r="M392" s="907"/>
      <c r="N392" s="907"/>
      <c r="O392" s="907"/>
      <c r="P392" s="907"/>
      <c r="Q392" s="907"/>
      <c r="R392" s="907"/>
      <c r="S392" s="907"/>
      <c r="T392" s="907"/>
      <c r="U392" s="907"/>
      <c r="V392" s="907"/>
      <c r="W392" s="907"/>
      <c r="X392" s="907"/>
      <c r="Y392" s="907"/>
      <c r="Z392" s="907"/>
      <c r="AA392" s="907"/>
    </row>
    <row r="393" spans="1:27">
      <c r="A393" s="907"/>
      <c r="B393" s="907"/>
      <c r="C393" s="907"/>
      <c r="D393" s="907"/>
      <c r="E393" s="907"/>
      <c r="F393" s="907"/>
      <c r="G393" s="907"/>
      <c r="H393" s="907"/>
      <c r="I393" s="907"/>
      <c r="J393" s="907"/>
      <c r="K393" s="907"/>
      <c r="L393" s="907"/>
      <c r="M393" s="907"/>
      <c r="N393" s="907"/>
      <c r="O393" s="907"/>
      <c r="P393" s="907"/>
      <c r="Q393" s="907"/>
      <c r="R393" s="907"/>
      <c r="S393" s="907"/>
      <c r="T393" s="907"/>
      <c r="U393" s="907"/>
      <c r="V393" s="907"/>
      <c r="W393" s="907"/>
      <c r="X393" s="907"/>
      <c r="Y393" s="907"/>
      <c r="Z393" s="907"/>
      <c r="AA393" s="907"/>
    </row>
    <row r="394" spans="1:27">
      <c r="A394" s="907"/>
      <c r="B394" s="907"/>
      <c r="C394" s="907"/>
      <c r="D394" s="907"/>
      <c r="E394" s="907"/>
      <c r="F394" s="907"/>
      <c r="G394" s="907"/>
      <c r="H394" s="907"/>
      <c r="I394" s="907"/>
      <c r="J394" s="907"/>
      <c r="K394" s="907"/>
      <c r="L394" s="907"/>
      <c r="M394" s="907"/>
      <c r="N394" s="907"/>
      <c r="O394" s="907"/>
      <c r="P394" s="907"/>
      <c r="Q394" s="907"/>
      <c r="R394" s="907"/>
      <c r="S394" s="907"/>
      <c r="T394" s="907"/>
      <c r="U394" s="907"/>
      <c r="V394" s="907"/>
      <c r="W394" s="907"/>
      <c r="X394" s="907"/>
      <c r="Y394" s="907"/>
      <c r="Z394" s="907"/>
      <c r="AA394" s="907"/>
    </row>
    <row r="395" spans="1:27">
      <c r="A395" s="907"/>
      <c r="B395" s="907"/>
      <c r="C395" s="907"/>
      <c r="D395" s="907"/>
      <c r="E395" s="907"/>
      <c r="F395" s="907"/>
      <c r="G395" s="907"/>
      <c r="H395" s="907"/>
      <c r="I395" s="907"/>
      <c r="J395" s="907"/>
      <c r="K395" s="907"/>
      <c r="L395" s="907"/>
      <c r="M395" s="907"/>
      <c r="N395" s="907"/>
      <c r="O395" s="907"/>
      <c r="P395" s="907"/>
      <c r="Q395" s="907"/>
      <c r="R395" s="907"/>
      <c r="S395" s="907"/>
      <c r="T395" s="907"/>
      <c r="U395" s="907"/>
      <c r="V395" s="907"/>
      <c r="W395" s="907"/>
      <c r="X395" s="907"/>
      <c r="Y395" s="907"/>
      <c r="Z395" s="907"/>
      <c r="AA395" s="907"/>
    </row>
    <row r="396" spans="1:27">
      <c r="A396" s="907"/>
      <c r="B396" s="907"/>
      <c r="C396" s="907"/>
      <c r="D396" s="907"/>
      <c r="E396" s="907"/>
      <c r="F396" s="907"/>
      <c r="G396" s="907"/>
      <c r="H396" s="907"/>
      <c r="I396" s="907"/>
      <c r="J396" s="907"/>
      <c r="K396" s="907"/>
      <c r="L396" s="907"/>
      <c r="M396" s="907"/>
      <c r="N396" s="907"/>
      <c r="O396" s="907"/>
      <c r="P396" s="907"/>
      <c r="Q396" s="907"/>
      <c r="R396" s="907"/>
      <c r="S396" s="907"/>
      <c r="T396" s="907"/>
      <c r="U396" s="907"/>
      <c r="V396" s="907"/>
      <c r="W396" s="907"/>
      <c r="X396" s="907"/>
      <c r="Y396" s="907"/>
      <c r="Z396" s="907"/>
      <c r="AA396" s="907"/>
    </row>
    <row r="397" spans="1:27">
      <c r="A397" s="907"/>
      <c r="B397" s="907"/>
      <c r="C397" s="907"/>
      <c r="D397" s="907"/>
      <c r="E397" s="907"/>
      <c r="F397" s="907"/>
      <c r="G397" s="907"/>
      <c r="H397" s="907"/>
      <c r="I397" s="907"/>
      <c r="J397" s="907"/>
      <c r="K397" s="907"/>
      <c r="L397" s="907"/>
      <c r="M397" s="907"/>
      <c r="N397" s="907"/>
      <c r="O397" s="907"/>
      <c r="P397" s="907"/>
      <c r="Q397" s="907"/>
      <c r="R397" s="907"/>
      <c r="S397" s="907"/>
      <c r="T397" s="907"/>
      <c r="U397" s="907"/>
      <c r="V397" s="907"/>
      <c r="W397" s="907"/>
      <c r="X397" s="907"/>
      <c r="Y397" s="907"/>
      <c r="Z397" s="907"/>
      <c r="AA397" s="907"/>
    </row>
    <row r="398" spans="1:27">
      <c r="A398" s="907"/>
      <c r="B398" s="907"/>
      <c r="C398" s="907"/>
      <c r="D398" s="907"/>
      <c r="E398" s="907"/>
      <c r="F398" s="907"/>
      <c r="G398" s="907"/>
      <c r="H398" s="907"/>
      <c r="I398" s="907"/>
      <c r="J398" s="907"/>
      <c r="K398" s="907"/>
      <c r="L398" s="907"/>
      <c r="M398" s="907"/>
      <c r="N398" s="907"/>
      <c r="O398" s="907"/>
      <c r="P398" s="907"/>
      <c r="Q398" s="907"/>
      <c r="R398" s="907"/>
      <c r="S398" s="907"/>
      <c r="T398" s="907"/>
      <c r="U398" s="907"/>
      <c r="V398" s="907"/>
      <c r="W398" s="907"/>
      <c r="X398" s="907"/>
      <c r="Y398" s="907"/>
      <c r="Z398" s="907"/>
      <c r="AA398" s="907"/>
    </row>
    <row r="399" spans="1:27">
      <c r="A399" s="907"/>
      <c r="B399" s="907"/>
      <c r="C399" s="907"/>
      <c r="D399" s="907"/>
      <c r="E399" s="907"/>
      <c r="F399" s="907"/>
      <c r="G399" s="907"/>
      <c r="H399" s="907"/>
      <c r="I399" s="907"/>
      <c r="J399" s="907"/>
      <c r="K399" s="907"/>
      <c r="L399" s="907"/>
      <c r="M399" s="907"/>
      <c r="N399" s="907"/>
      <c r="O399" s="907"/>
      <c r="P399" s="907"/>
      <c r="Q399" s="907"/>
      <c r="R399" s="907"/>
      <c r="S399" s="907"/>
      <c r="T399" s="907"/>
      <c r="U399" s="907"/>
      <c r="V399" s="907"/>
      <c r="W399" s="907"/>
      <c r="X399" s="907"/>
      <c r="Y399" s="907"/>
      <c r="Z399" s="907"/>
      <c r="AA399" s="907"/>
    </row>
    <row r="400" spans="1:27">
      <c r="A400" s="907"/>
      <c r="B400" s="907"/>
      <c r="C400" s="907"/>
      <c r="D400" s="907"/>
      <c r="E400" s="907"/>
      <c r="F400" s="907"/>
      <c r="G400" s="907"/>
      <c r="H400" s="907"/>
      <c r="I400" s="907"/>
      <c r="J400" s="907"/>
      <c r="K400" s="907"/>
      <c r="L400" s="907"/>
      <c r="M400" s="907"/>
      <c r="N400" s="907"/>
      <c r="O400" s="907"/>
      <c r="P400" s="907"/>
      <c r="Q400" s="907"/>
      <c r="R400" s="907"/>
      <c r="S400" s="907"/>
      <c r="T400" s="907"/>
      <c r="U400" s="907"/>
      <c r="V400" s="907"/>
      <c r="W400" s="907"/>
      <c r="X400" s="907"/>
      <c r="Y400" s="907"/>
      <c r="Z400" s="907"/>
      <c r="AA400" s="907"/>
    </row>
    <row r="401" spans="1:27">
      <c r="A401" s="907"/>
      <c r="B401" s="907"/>
      <c r="C401" s="907"/>
      <c r="D401" s="907"/>
      <c r="E401" s="907"/>
      <c r="F401" s="907"/>
      <c r="G401" s="907"/>
      <c r="H401" s="907"/>
      <c r="I401" s="907"/>
      <c r="J401" s="907"/>
      <c r="K401" s="907"/>
      <c r="L401" s="907"/>
      <c r="M401" s="907"/>
      <c r="N401" s="907"/>
      <c r="O401" s="907"/>
      <c r="P401" s="907"/>
      <c r="Q401" s="907"/>
      <c r="R401" s="907"/>
      <c r="S401" s="907"/>
      <c r="T401" s="907"/>
      <c r="U401" s="907"/>
      <c r="V401" s="907"/>
      <c r="W401" s="907"/>
      <c r="X401" s="907"/>
      <c r="Y401" s="907"/>
      <c r="Z401" s="907"/>
      <c r="AA401" s="907"/>
    </row>
    <row r="402" spans="1:27">
      <c r="A402" s="907"/>
      <c r="B402" s="907"/>
      <c r="C402" s="907"/>
      <c r="D402" s="907"/>
      <c r="E402" s="907"/>
      <c r="F402" s="907"/>
      <c r="G402" s="907"/>
      <c r="H402" s="907"/>
      <c r="I402" s="907"/>
      <c r="J402" s="907"/>
      <c r="K402" s="907"/>
      <c r="L402" s="907"/>
      <c r="M402" s="907"/>
      <c r="N402" s="907"/>
      <c r="O402" s="907"/>
      <c r="P402" s="907"/>
      <c r="Q402" s="907"/>
      <c r="R402" s="907"/>
      <c r="S402" s="907"/>
      <c r="T402" s="907"/>
      <c r="U402" s="907"/>
      <c r="V402" s="907"/>
      <c r="W402" s="907"/>
      <c r="X402" s="907"/>
      <c r="Y402" s="907"/>
      <c r="Z402" s="907"/>
      <c r="AA402" s="907"/>
    </row>
    <row r="403" spans="1:27">
      <c r="A403" s="907"/>
      <c r="B403" s="907"/>
      <c r="C403" s="907"/>
      <c r="D403" s="907"/>
      <c r="E403" s="907"/>
      <c r="F403" s="907"/>
      <c r="G403" s="907"/>
      <c r="H403" s="907"/>
      <c r="I403" s="907"/>
      <c r="J403" s="907"/>
      <c r="K403" s="907"/>
      <c r="L403" s="907"/>
      <c r="M403" s="907"/>
      <c r="N403" s="907"/>
      <c r="O403" s="907"/>
      <c r="P403" s="907"/>
      <c r="Q403" s="907"/>
      <c r="R403" s="907"/>
      <c r="S403" s="907"/>
      <c r="T403" s="907"/>
      <c r="U403" s="907"/>
      <c r="V403" s="907"/>
      <c r="W403" s="907"/>
      <c r="X403" s="907"/>
      <c r="Y403" s="907"/>
      <c r="Z403" s="907"/>
      <c r="AA403" s="907"/>
    </row>
    <row r="404" spans="1:27">
      <c r="A404" s="907"/>
      <c r="B404" s="907"/>
      <c r="C404" s="907"/>
      <c r="D404" s="907"/>
      <c r="E404" s="907"/>
      <c r="F404" s="907"/>
      <c r="G404" s="907"/>
      <c r="H404" s="907"/>
      <c r="I404" s="907"/>
      <c r="J404" s="907"/>
      <c r="K404" s="907"/>
      <c r="L404" s="907"/>
      <c r="M404" s="907"/>
      <c r="N404" s="907"/>
      <c r="O404" s="907"/>
      <c r="P404" s="907"/>
      <c r="Q404" s="907"/>
      <c r="R404" s="907"/>
      <c r="S404" s="907"/>
      <c r="T404" s="907"/>
      <c r="U404" s="907"/>
      <c r="V404" s="907"/>
      <c r="W404" s="907"/>
      <c r="X404" s="907"/>
      <c r="Y404" s="907"/>
      <c r="Z404" s="907"/>
      <c r="AA404" s="907"/>
    </row>
    <row r="405" spans="1:27">
      <c r="A405" s="907"/>
      <c r="B405" s="907"/>
      <c r="C405" s="907"/>
      <c r="D405" s="907"/>
      <c r="E405" s="907"/>
      <c r="F405" s="907"/>
      <c r="G405" s="907"/>
      <c r="H405" s="907"/>
      <c r="I405" s="907"/>
      <c r="J405" s="907"/>
      <c r="K405" s="907"/>
      <c r="L405" s="907"/>
      <c r="M405" s="907"/>
      <c r="N405" s="907"/>
      <c r="O405" s="907"/>
      <c r="P405" s="907"/>
      <c r="Q405" s="907"/>
      <c r="R405" s="907"/>
      <c r="S405" s="907"/>
      <c r="T405" s="907"/>
      <c r="U405" s="907"/>
      <c r="V405" s="907"/>
      <c r="W405" s="907"/>
      <c r="X405" s="907"/>
      <c r="Y405" s="907"/>
      <c r="Z405" s="907"/>
      <c r="AA405" s="907"/>
    </row>
    <row r="406" spans="1:27">
      <c r="A406" s="907"/>
      <c r="B406" s="907"/>
      <c r="C406" s="907"/>
      <c r="D406" s="907"/>
      <c r="E406" s="907"/>
      <c r="F406" s="907"/>
      <c r="G406" s="907"/>
      <c r="H406" s="907"/>
      <c r="I406" s="907"/>
      <c r="J406" s="907"/>
      <c r="K406" s="907"/>
      <c r="L406" s="907"/>
      <c r="M406" s="907"/>
      <c r="N406" s="907"/>
      <c r="O406" s="907"/>
      <c r="P406" s="907"/>
      <c r="Q406" s="907"/>
      <c r="R406" s="907"/>
      <c r="S406" s="907"/>
      <c r="T406" s="907"/>
      <c r="U406" s="907"/>
      <c r="V406" s="907"/>
      <c r="W406" s="907"/>
      <c r="X406" s="907"/>
      <c r="Y406" s="907"/>
      <c r="Z406" s="907"/>
      <c r="AA406" s="907"/>
    </row>
    <row r="407" spans="1:27">
      <c r="A407" s="907"/>
      <c r="B407" s="907"/>
      <c r="C407" s="907"/>
      <c r="D407" s="907"/>
      <c r="E407" s="907"/>
      <c r="F407" s="907"/>
      <c r="G407" s="907"/>
      <c r="H407" s="907"/>
      <c r="I407" s="907"/>
      <c r="J407" s="907"/>
      <c r="K407" s="907"/>
      <c r="L407" s="907"/>
      <c r="M407" s="907"/>
      <c r="N407" s="907"/>
      <c r="O407" s="907"/>
      <c r="P407" s="907"/>
      <c r="Q407" s="907"/>
      <c r="R407" s="907"/>
      <c r="S407" s="907"/>
      <c r="T407" s="907"/>
      <c r="U407" s="907"/>
      <c r="V407" s="907"/>
      <c r="W407" s="907"/>
      <c r="X407" s="907"/>
      <c r="Y407" s="907"/>
      <c r="Z407" s="907"/>
      <c r="AA407" s="907"/>
    </row>
    <row r="408" spans="1:27">
      <c r="A408" s="907"/>
      <c r="B408" s="907"/>
      <c r="C408" s="907"/>
      <c r="D408" s="907"/>
      <c r="E408" s="907"/>
      <c r="F408" s="907"/>
      <c r="G408" s="907"/>
      <c r="H408" s="907"/>
      <c r="I408" s="907"/>
      <c r="J408" s="907"/>
      <c r="K408" s="907"/>
      <c r="L408" s="907"/>
      <c r="M408" s="907"/>
      <c r="N408" s="907"/>
      <c r="O408" s="907"/>
      <c r="P408" s="907"/>
      <c r="Q408" s="907"/>
      <c r="R408" s="907"/>
      <c r="S408" s="907"/>
      <c r="T408" s="907"/>
      <c r="U408" s="907"/>
      <c r="V408" s="907"/>
      <c r="W408" s="907"/>
      <c r="X408" s="907"/>
      <c r="Y408" s="907"/>
      <c r="Z408" s="907"/>
      <c r="AA408" s="907"/>
    </row>
    <row r="409" spans="1:27">
      <c r="A409" s="907"/>
      <c r="B409" s="907"/>
      <c r="C409" s="907"/>
      <c r="D409" s="907"/>
      <c r="E409" s="907"/>
      <c r="F409" s="907"/>
      <c r="G409" s="907"/>
      <c r="H409" s="907"/>
      <c r="I409" s="907"/>
      <c r="J409" s="907"/>
      <c r="K409" s="907"/>
      <c r="L409" s="907"/>
      <c r="M409" s="907"/>
      <c r="N409" s="907"/>
      <c r="O409" s="907"/>
      <c r="P409" s="907"/>
      <c r="Q409" s="907"/>
      <c r="R409" s="907"/>
      <c r="S409" s="907"/>
      <c r="T409" s="907"/>
      <c r="U409" s="907"/>
      <c r="V409" s="907"/>
      <c r="W409" s="907"/>
      <c r="X409" s="907"/>
      <c r="Y409" s="907"/>
      <c r="Z409" s="907"/>
      <c r="AA409" s="907"/>
    </row>
    <row r="410" spans="1:27">
      <c r="A410" s="907"/>
      <c r="B410" s="907"/>
      <c r="C410" s="907"/>
      <c r="D410" s="907"/>
      <c r="E410" s="907"/>
      <c r="F410" s="907"/>
      <c r="G410" s="907"/>
      <c r="H410" s="907"/>
      <c r="I410" s="907"/>
      <c r="J410" s="907"/>
      <c r="K410" s="907"/>
      <c r="L410" s="907"/>
      <c r="M410" s="907"/>
      <c r="N410" s="907"/>
      <c r="O410" s="907"/>
      <c r="P410" s="907"/>
      <c r="Q410" s="907"/>
      <c r="R410" s="907"/>
      <c r="S410" s="907"/>
      <c r="T410" s="907"/>
      <c r="U410" s="907"/>
      <c r="V410" s="907"/>
      <c r="W410" s="907"/>
      <c r="X410" s="907"/>
      <c r="Y410" s="907"/>
      <c r="Z410" s="907"/>
      <c r="AA410" s="907"/>
    </row>
    <row r="411" spans="1:27">
      <c r="A411" s="907"/>
      <c r="B411" s="907"/>
      <c r="C411" s="907"/>
      <c r="D411" s="907"/>
      <c r="E411" s="907"/>
      <c r="F411" s="907"/>
      <c r="G411" s="907"/>
      <c r="H411" s="907"/>
      <c r="I411" s="907"/>
      <c r="J411" s="907"/>
      <c r="K411" s="907"/>
      <c r="L411" s="907"/>
      <c r="M411" s="907"/>
      <c r="N411" s="907"/>
      <c r="O411" s="907"/>
      <c r="P411" s="907"/>
      <c r="Q411" s="907"/>
      <c r="R411" s="907"/>
      <c r="S411" s="907"/>
      <c r="T411" s="907"/>
      <c r="U411" s="907"/>
      <c r="V411" s="907"/>
      <c r="W411" s="907"/>
      <c r="X411" s="907"/>
      <c r="Y411" s="907"/>
      <c r="Z411" s="907"/>
      <c r="AA411" s="907"/>
    </row>
    <row r="412" spans="1:27">
      <c r="A412" s="907"/>
      <c r="B412" s="907"/>
      <c r="C412" s="907"/>
      <c r="D412" s="907"/>
      <c r="E412" s="907"/>
      <c r="F412" s="907"/>
      <c r="G412" s="907"/>
      <c r="H412" s="907"/>
      <c r="I412" s="907"/>
      <c r="J412" s="907"/>
      <c r="K412" s="907"/>
      <c r="L412" s="907"/>
      <c r="M412" s="907"/>
      <c r="N412" s="907"/>
      <c r="O412" s="907"/>
      <c r="P412" s="907"/>
      <c r="Q412" s="907"/>
      <c r="R412" s="907"/>
      <c r="S412" s="907"/>
      <c r="T412" s="907"/>
      <c r="U412" s="907"/>
      <c r="V412" s="907"/>
      <c r="W412" s="907"/>
      <c r="X412" s="907"/>
      <c r="Y412" s="907"/>
      <c r="Z412" s="907"/>
      <c r="AA412" s="907"/>
    </row>
    <row r="413" spans="1:27">
      <c r="A413" s="907"/>
      <c r="B413" s="907"/>
      <c r="C413" s="907"/>
      <c r="D413" s="907"/>
      <c r="E413" s="907"/>
      <c r="F413" s="907"/>
      <c r="G413" s="907"/>
      <c r="H413" s="907"/>
      <c r="I413" s="907"/>
      <c r="J413" s="907"/>
      <c r="K413" s="907"/>
      <c r="L413" s="907"/>
      <c r="M413" s="907"/>
      <c r="N413" s="907"/>
      <c r="O413" s="907"/>
      <c r="P413" s="907"/>
      <c r="Q413" s="907"/>
      <c r="R413" s="907"/>
      <c r="S413" s="907"/>
      <c r="T413" s="907"/>
      <c r="U413" s="907"/>
      <c r="V413" s="907"/>
      <c r="W413" s="907"/>
      <c r="X413" s="907"/>
      <c r="Y413" s="907"/>
      <c r="Z413" s="907"/>
      <c r="AA413" s="907"/>
    </row>
    <row r="414" spans="1:27">
      <c r="A414" s="907"/>
      <c r="B414" s="907"/>
      <c r="C414" s="907"/>
      <c r="D414" s="907"/>
      <c r="E414" s="907"/>
      <c r="F414" s="907"/>
      <c r="G414" s="907"/>
      <c r="H414" s="907"/>
      <c r="I414" s="907"/>
      <c r="J414" s="907"/>
      <c r="K414" s="907"/>
      <c r="L414" s="907"/>
      <c r="M414" s="907"/>
      <c r="N414" s="907"/>
      <c r="O414" s="907"/>
      <c r="P414" s="907"/>
      <c r="Q414" s="907"/>
      <c r="R414" s="907"/>
      <c r="S414" s="907"/>
      <c r="T414" s="907"/>
      <c r="U414" s="907"/>
      <c r="V414" s="907"/>
      <c r="W414" s="907"/>
      <c r="X414" s="907"/>
      <c r="Y414" s="907"/>
      <c r="Z414" s="907"/>
      <c r="AA414" s="907"/>
    </row>
    <row r="415" spans="1:27">
      <c r="A415" s="907"/>
      <c r="B415" s="907"/>
      <c r="C415" s="907"/>
      <c r="D415" s="907"/>
      <c r="E415" s="907"/>
      <c r="F415" s="907"/>
      <c r="G415" s="907"/>
      <c r="H415" s="907"/>
      <c r="I415" s="907"/>
      <c r="J415" s="907"/>
      <c r="K415" s="907"/>
      <c r="L415" s="907"/>
      <c r="M415" s="907"/>
      <c r="N415" s="907"/>
      <c r="O415" s="907"/>
      <c r="P415" s="907"/>
      <c r="Q415" s="907"/>
      <c r="R415" s="907"/>
      <c r="S415" s="907"/>
      <c r="T415" s="907"/>
      <c r="U415" s="907"/>
      <c r="V415" s="907"/>
      <c r="W415" s="907"/>
      <c r="X415" s="907"/>
      <c r="Y415" s="907"/>
      <c r="Z415" s="907"/>
      <c r="AA415" s="907"/>
    </row>
    <row r="416" spans="1:27">
      <c r="A416" s="907"/>
      <c r="B416" s="907"/>
      <c r="C416" s="907"/>
      <c r="D416" s="907"/>
      <c r="E416" s="907"/>
      <c r="F416" s="907"/>
      <c r="G416" s="907"/>
      <c r="H416" s="907"/>
      <c r="I416" s="907"/>
      <c r="J416" s="907"/>
      <c r="K416" s="907"/>
      <c r="L416" s="907"/>
      <c r="M416" s="907"/>
      <c r="N416" s="907"/>
      <c r="O416" s="907"/>
      <c r="P416" s="907"/>
      <c r="Q416" s="907"/>
      <c r="R416" s="907"/>
      <c r="S416" s="907"/>
      <c r="T416" s="907"/>
      <c r="U416" s="907"/>
      <c r="V416" s="907"/>
      <c r="W416" s="907"/>
      <c r="X416" s="907"/>
      <c r="Y416" s="907"/>
      <c r="Z416" s="907"/>
      <c r="AA416" s="907"/>
    </row>
    <row r="417" spans="1:27">
      <c r="A417" s="907"/>
      <c r="B417" s="907"/>
      <c r="C417" s="907"/>
      <c r="D417" s="907"/>
      <c r="E417" s="907"/>
      <c r="F417" s="907"/>
      <c r="G417" s="907"/>
      <c r="H417" s="907"/>
      <c r="I417" s="907"/>
      <c r="J417" s="907"/>
      <c r="K417" s="907"/>
      <c r="L417" s="907"/>
      <c r="M417" s="907"/>
      <c r="N417" s="907"/>
      <c r="O417" s="907"/>
      <c r="P417" s="907"/>
      <c r="Q417" s="907"/>
      <c r="R417" s="907"/>
      <c r="S417" s="907"/>
      <c r="T417" s="907"/>
      <c r="U417" s="907"/>
      <c r="V417" s="907"/>
      <c r="W417" s="907"/>
      <c r="X417" s="907"/>
      <c r="Y417" s="907"/>
      <c r="Z417" s="907"/>
      <c r="AA417" s="907"/>
    </row>
    <row r="418" spans="1:27">
      <c r="A418" s="907"/>
      <c r="B418" s="907"/>
      <c r="C418" s="907"/>
      <c r="D418" s="907"/>
      <c r="E418" s="907"/>
      <c r="F418" s="907"/>
      <c r="G418" s="907"/>
      <c r="H418" s="907"/>
      <c r="I418" s="907"/>
      <c r="J418" s="907"/>
      <c r="K418" s="907"/>
      <c r="L418" s="907"/>
      <c r="M418" s="907"/>
      <c r="N418" s="907"/>
      <c r="O418" s="907"/>
      <c r="P418" s="907"/>
      <c r="Q418" s="907"/>
      <c r="R418" s="907"/>
      <c r="S418" s="907"/>
      <c r="T418" s="907"/>
      <c r="U418" s="907"/>
      <c r="V418" s="907"/>
      <c r="W418" s="907"/>
      <c r="X418" s="907"/>
      <c r="Y418" s="907"/>
      <c r="Z418" s="907"/>
      <c r="AA418" s="907"/>
    </row>
    <row r="419" spans="1:27">
      <c r="A419" s="907"/>
      <c r="B419" s="907"/>
      <c r="C419" s="907"/>
      <c r="D419" s="907"/>
      <c r="E419" s="907"/>
      <c r="F419" s="907"/>
      <c r="G419" s="907"/>
      <c r="H419" s="907"/>
      <c r="I419" s="907"/>
      <c r="J419" s="907"/>
      <c r="K419" s="907"/>
      <c r="L419" s="907"/>
      <c r="M419" s="907"/>
      <c r="N419" s="907"/>
      <c r="O419" s="907"/>
      <c r="P419" s="907"/>
      <c r="Q419" s="907"/>
      <c r="R419" s="907"/>
      <c r="S419" s="907"/>
      <c r="T419" s="907"/>
      <c r="U419" s="907"/>
      <c r="V419" s="907"/>
      <c r="W419" s="907"/>
      <c r="X419" s="907"/>
      <c r="Y419" s="907"/>
      <c r="Z419" s="907"/>
      <c r="AA419" s="907"/>
    </row>
    <row r="420" spans="1:27">
      <c r="A420" s="907"/>
      <c r="B420" s="907"/>
      <c r="C420" s="907"/>
      <c r="D420" s="907"/>
      <c r="E420" s="907"/>
      <c r="F420" s="907"/>
      <c r="G420" s="907"/>
      <c r="H420" s="907"/>
      <c r="I420" s="907"/>
      <c r="J420" s="907"/>
      <c r="K420" s="907"/>
      <c r="L420" s="907"/>
      <c r="M420" s="907"/>
      <c r="N420" s="907"/>
      <c r="O420" s="907"/>
      <c r="P420" s="907"/>
      <c r="Q420" s="907"/>
      <c r="R420" s="907"/>
      <c r="S420" s="907"/>
      <c r="T420" s="907"/>
      <c r="U420" s="907"/>
      <c r="V420" s="907"/>
      <c r="W420" s="907"/>
      <c r="X420" s="907"/>
      <c r="Y420" s="907"/>
      <c r="Z420" s="907"/>
      <c r="AA420" s="907"/>
    </row>
    <row r="421" spans="1:27">
      <c r="A421" s="907"/>
      <c r="B421" s="907"/>
      <c r="C421" s="907"/>
      <c r="D421" s="907"/>
      <c r="E421" s="907"/>
      <c r="F421" s="907"/>
      <c r="G421" s="907"/>
      <c r="H421" s="907"/>
      <c r="I421" s="907"/>
      <c r="J421" s="907"/>
      <c r="K421" s="907"/>
      <c r="L421" s="907"/>
      <c r="M421" s="907"/>
      <c r="N421" s="907"/>
      <c r="O421" s="907"/>
      <c r="P421" s="907"/>
      <c r="Q421" s="907"/>
      <c r="R421" s="907"/>
      <c r="S421" s="907"/>
      <c r="T421" s="907"/>
      <c r="U421" s="907"/>
      <c r="V421" s="907"/>
      <c r="W421" s="907"/>
      <c r="X421" s="907"/>
      <c r="Y421" s="907"/>
      <c r="Z421" s="907"/>
      <c r="AA421" s="907"/>
    </row>
    <row r="422" spans="1:27">
      <c r="A422" s="907"/>
      <c r="B422" s="907"/>
      <c r="C422" s="907"/>
      <c r="D422" s="907"/>
      <c r="E422" s="907"/>
      <c r="F422" s="907"/>
      <c r="G422" s="907"/>
      <c r="H422" s="907"/>
      <c r="I422" s="907"/>
      <c r="J422" s="907"/>
      <c r="K422" s="907"/>
      <c r="L422" s="907"/>
      <c r="M422" s="907"/>
      <c r="N422" s="907"/>
      <c r="O422" s="907"/>
      <c r="P422" s="907"/>
      <c r="Q422" s="907"/>
      <c r="R422" s="907"/>
      <c r="S422" s="907"/>
      <c r="T422" s="907"/>
      <c r="U422" s="907"/>
      <c r="V422" s="907"/>
      <c r="W422" s="907"/>
      <c r="X422" s="907"/>
      <c r="Y422" s="907"/>
      <c r="Z422" s="907"/>
      <c r="AA422" s="907"/>
    </row>
    <row r="423" spans="1:27">
      <c r="A423" s="907"/>
      <c r="B423" s="907"/>
      <c r="C423" s="907"/>
      <c r="D423" s="907"/>
      <c r="E423" s="907"/>
      <c r="F423" s="907"/>
      <c r="G423" s="907"/>
      <c r="H423" s="907"/>
      <c r="I423" s="907"/>
      <c r="J423" s="907"/>
      <c r="K423" s="907"/>
      <c r="L423" s="907"/>
      <c r="M423" s="907"/>
      <c r="N423" s="907"/>
      <c r="O423" s="907"/>
      <c r="P423" s="907"/>
      <c r="Q423" s="907"/>
      <c r="R423" s="907"/>
      <c r="S423" s="907"/>
      <c r="T423" s="907"/>
      <c r="U423" s="907"/>
      <c r="V423" s="907"/>
      <c r="W423" s="907"/>
      <c r="X423" s="907"/>
      <c r="Y423" s="907"/>
      <c r="Z423" s="907"/>
      <c r="AA423" s="907"/>
    </row>
    <row r="424" spans="1:27">
      <c r="A424" s="907"/>
      <c r="B424" s="907"/>
      <c r="C424" s="907"/>
      <c r="D424" s="907"/>
      <c r="E424" s="907"/>
      <c r="F424" s="907"/>
      <c r="G424" s="907"/>
      <c r="H424" s="907"/>
      <c r="I424" s="907"/>
      <c r="J424" s="907"/>
      <c r="K424" s="907"/>
      <c r="L424" s="907"/>
      <c r="M424" s="907"/>
      <c r="N424" s="907"/>
      <c r="O424" s="907"/>
      <c r="P424" s="907"/>
      <c r="Q424" s="907"/>
      <c r="R424" s="907"/>
      <c r="S424" s="907"/>
      <c r="T424" s="907"/>
      <c r="U424" s="907"/>
      <c r="V424" s="907"/>
      <c r="W424" s="907"/>
      <c r="X424" s="907"/>
      <c r="Y424" s="907"/>
      <c r="Z424" s="907"/>
      <c r="AA424" s="907"/>
    </row>
    <row r="425" spans="1:27">
      <c r="A425" s="907"/>
      <c r="B425" s="907"/>
      <c r="C425" s="907"/>
      <c r="D425" s="907"/>
      <c r="E425" s="907"/>
      <c r="F425" s="907"/>
      <c r="G425" s="907"/>
      <c r="H425" s="907"/>
      <c r="I425" s="907"/>
      <c r="J425" s="907"/>
      <c r="K425" s="907"/>
      <c r="L425" s="907"/>
      <c r="M425" s="907"/>
      <c r="N425" s="907"/>
      <c r="O425" s="907"/>
      <c r="P425" s="907"/>
      <c r="Q425" s="907"/>
      <c r="R425" s="907"/>
      <c r="S425" s="907"/>
      <c r="T425" s="907"/>
      <c r="U425" s="907"/>
      <c r="V425" s="907"/>
      <c r="W425" s="907"/>
      <c r="X425" s="907"/>
      <c r="Y425" s="907"/>
      <c r="Z425" s="907"/>
      <c r="AA425" s="907"/>
    </row>
    <row r="426" spans="1:27">
      <c r="A426" s="907"/>
      <c r="B426" s="907"/>
      <c r="C426" s="907"/>
      <c r="D426" s="907"/>
      <c r="E426" s="907"/>
      <c r="F426" s="907"/>
      <c r="G426" s="907"/>
      <c r="H426" s="907"/>
      <c r="I426" s="907"/>
      <c r="J426" s="907"/>
      <c r="K426" s="907"/>
      <c r="L426" s="907"/>
      <c r="M426" s="907"/>
      <c r="N426" s="907"/>
      <c r="O426" s="907"/>
      <c r="P426" s="907"/>
      <c r="Q426" s="907"/>
      <c r="R426" s="907"/>
      <c r="S426" s="907"/>
      <c r="T426" s="907"/>
      <c r="U426" s="907"/>
      <c r="V426" s="907"/>
      <c r="W426" s="907"/>
      <c r="X426" s="907"/>
      <c r="Y426" s="907"/>
      <c r="Z426" s="907"/>
      <c r="AA426" s="907"/>
    </row>
    <row r="427" spans="1:27">
      <c r="A427" s="907"/>
      <c r="B427" s="907"/>
      <c r="C427" s="907"/>
      <c r="D427" s="907"/>
      <c r="E427" s="907"/>
      <c r="F427" s="907"/>
      <c r="G427" s="907"/>
      <c r="H427" s="907"/>
      <c r="I427" s="907"/>
      <c r="J427" s="907"/>
      <c r="K427" s="907"/>
      <c r="L427" s="907"/>
      <c r="M427" s="907"/>
      <c r="N427" s="907"/>
      <c r="O427" s="907"/>
      <c r="P427" s="907"/>
      <c r="Q427" s="907"/>
      <c r="R427" s="907"/>
      <c r="S427" s="907"/>
      <c r="T427" s="907"/>
      <c r="U427" s="907"/>
      <c r="V427" s="907"/>
      <c r="W427" s="907"/>
      <c r="X427" s="907"/>
      <c r="Y427" s="907"/>
      <c r="Z427" s="907"/>
      <c r="AA427" s="907"/>
    </row>
    <row r="428" spans="1:27">
      <c r="A428" s="907"/>
      <c r="B428" s="907"/>
      <c r="C428" s="907"/>
      <c r="D428" s="907"/>
      <c r="E428" s="907"/>
      <c r="F428" s="907"/>
      <c r="G428" s="907"/>
      <c r="H428" s="907"/>
      <c r="I428" s="907"/>
      <c r="J428" s="907"/>
      <c r="K428" s="907"/>
      <c r="L428" s="907"/>
      <c r="M428" s="907"/>
      <c r="N428" s="907"/>
      <c r="O428" s="907"/>
      <c r="P428" s="907"/>
      <c r="Q428" s="907"/>
      <c r="R428" s="907"/>
      <c r="S428" s="907"/>
      <c r="T428" s="907"/>
      <c r="U428" s="907"/>
      <c r="V428" s="907"/>
      <c r="W428" s="907"/>
      <c r="X428" s="907"/>
      <c r="Y428" s="907"/>
      <c r="Z428" s="907"/>
      <c r="AA428" s="907"/>
    </row>
    <row r="429" spans="1:27">
      <c r="A429" s="907"/>
      <c r="B429" s="907"/>
      <c r="C429" s="907"/>
      <c r="D429" s="907"/>
      <c r="E429" s="907"/>
      <c r="F429" s="907"/>
      <c r="G429" s="907"/>
      <c r="H429" s="907"/>
      <c r="I429" s="907"/>
      <c r="J429" s="907"/>
      <c r="K429" s="907"/>
      <c r="L429" s="907"/>
      <c r="M429" s="907"/>
      <c r="N429" s="907"/>
      <c r="O429" s="907"/>
      <c r="P429" s="907"/>
      <c r="Q429" s="907"/>
      <c r="R429" s="907"/>
      <c r="S429" s="907"/>
      <c r="T429" s="907"/>
      <c r="U429" s="907"/>
      <c r="V429" s="907"/>
      <c r="W429" s="907"/>
      <c r="X429" s="907"/>
      <c r="Y429" s="907"/>
      <c r="Z429" s="907"/>
      <c r="AA429" s="907"/>
    </row>
    <row r="430" spans="1:27">
      <c r="A430" s="907"/>
      <c r="B430" s="907"/>
      <c r="C430" s="907"/>
      <c r="D430" s="907"/>
      <c r="E430" s="907"/>
      <c r="F430" s="907"/>
      <c r="G430" s="907"/>
      <c r="H430" s="907"/>
      <c r="I430" s="907"/>
      <c r="J430" s="907"/>
      <c r="K430" s="907"/>
      <c r="L430" s="907"/>
      <c r="M430" s="907"/>
      <c r="N430" s="907"/>
      <c r="O430" s="907"/>
      <c r="P430" s="907"/>
      <c r="Q430" s="907"/>
      <c r="R430" s="907"/>
      <c r="S430" s="907"/>
      <c r="T430" s="907"/>
      <c r="U430" s="907"/>
      <c r="V430" s="907"/>
      <c r="W430" s="907"/>
      <c r="X430" s="907"/>
      <c r="Y430" s="907"/>
      <c r="Z430" s="907"/>
      <c r="AA430" s="907"/>
    </row>
    <row r="431" spans="1:27">
      <c r="A431" s="907"/>
      <c r="B431" s="907"/>
      <c r="C431" s="907"/>
      <c r="D431" s="907"/>
      <c r="E431" s="907"/>
      <c r="F431" s="907"/>
      <c r="G431" s="907"/>
      <c r="H431" s="907"/>
      <c r="I431" s="907"/>
      <c r="J431" s="907"/>
      <c r="K431" s="907"/>
      <c r="L431" s="907"/>
      <c r="M431" s="907"/>
      <c r="N431" s="907"/>
      <c r="O431" s="907"/>
      <c r="P431" s="907"/>
      <c r="Q431" s="907"/>
      <c r="R431" s="907"/>
      <c r="S431" s="907"/>
      <c r="T431" s="907"/>
      <c r="U431" s="907"/>
      <c r="V431" s="907"/>
      <c r="W431" s="907"/>
      <c r="X431" s="907"/>
      <c r="Y431" s="907"/>
      <c r="Z431" s="907"/>
      <c r="AA431" s="907"/>
    </row>
    <row r="432" spans="1:27">
      <c r="A432" s="907"/>
      <c r="B432" s="907"/>
      <c r="C432" s="907"/>
      <c r="D432" s="907"/>
      <c r="E432" s="907"/>
      <c r="F432" s="907"/>
      <c r="G432" s="907"/>
      <c r="H432" s="907"/>
      <c r="I432" s="907"/>
      <c r="J432" s="907"/>
      <c r="K432" s="907"/>
      <c r="L432" s="907"/>
      <c r="M432" s="907"/>
      <c r="N432" s="907"/>
      <c r="O432" s="907"/>
      <c r="P432" s="907"/>
      <c r="Q432" s="907"/>
      <c r="R432" s="907"/>
      <c r="S432" s="907"/>
      <c r="T432" s="907"/>
      <c r="U432" s="907"/>
      <c r="V432" s="907"/>
      <c r="W432" s="907"/>
      <c r="X432" s="907"/>
      <c r="Y432" s="907"/>
      <c r="Z432" s="907"/>
      <c r="AA432" s="907"/>
    </row>
    <row r="433" spans="1:27">
      <c r="A433" s="907"/>
      <c r="B433" s="907"/>
      <c r="C433" s="907"/>
      <c r="D433" s="907"/>
      <c r="E433" s="907"/>
      <c r="F433" s="907"/>
      <c r="G433" s="907"/>
      <c r="H433" s="907"/>
      <c r="I433" s="907"/>
      <c r="J433" s="907"/>
      <c r="K433" s="907"/>
      <c r="L433" s="907"/>
      <c r="M433" s="907"/>
      <c r="N433" s="907"/>
      <c r="O433" s="907"/>
      <c r="P433" s="907"/>
      <c r="Q433" s="907"/>
      <c r="R433" s="907"/>
      <c r="S433" s="907"/>
      <c r="T433" s="907"/>
      <c r="U433" s="907"/>
      <c r="V433" s="907"/>
      <c r="W433" s="907"/>
      <c r="X433" s="907"/>
      <c r="Y433" s="907"/>
      <c r="Z433" s="907"/>
      <c r="AA433" s="907"/>
    </row>
    <row r="434" spans="1:27">
      <c r="A434" s="907"/>
      <c r="B434" s="907"/>
      <c r="C434" s="907"/>
      <c r="D434" s="907"/>
      <c r="E434" s="907"/>
      <c r="F434" s="907"/>
      <c r="G434" s="907"/>
      <c r="H434" s="907"/>
      <c r="I434" s="907"/>
      <c r="J434" s="907"/>
      <c r="K434" s="907"/>
      <c r="L434" s="907"/>
      <c r="M434" s="907"/>
      <c r="N434" s="907"/>
      <c r="O434" s="907"/>
      <c r="P434" s="907"/>
      <c r="Q434" s="907"/>
      <c r="R434" s="907"/>
      <c r="S434" s="907"/>
      <c r="T434" s="907"/>
      <c r="U434" s="907"/>
      <c r="V434" s="907"/>
      <c r="W434" s="907"/>
      <c r="X434" s="907"/>
      <c r="Y434" s="907"/>
      <c r="Z434" s="907"/>
      <c r="AA434" s="907"/>
    </row>
    <row r="435" spans="1:27">
      <c r="A435" s="907"/>
      <c r="B435" s="907"/>
      <c r="C435" s="907"/>
      <c r="D435" s="907"/>
      <c r="E435" s="907"/>
      <c r="F435" s="907"/>
      <c r="G435" s="907"/>
      <c r="H435" s="907"/>
      <c r="I435" s="907"/>
      <c r="J435" s="907"/>
      <c r="K435" s="907"/>
      <c r="L435" s="907"/>
      <c r="M435" s="907"/>
      <c r="N435" s="907"/>
      <c r="O435" s="907"/>
      <c r="P435" s="907"/>
      <c r="Q435" s="907"/>
      <c r="R435" s="907"/>
      <c r="S435" s="907"/>
      <c r="T435" s="907"/>
      <c r="U435" s="907"/>
      <c r="V435" s="907"/>
      <c r="W435" s="907"/>
      <c r="X435" s="907"/>
      <c r="Y435" s="907"/>
      <c r="Z435" s="907"/>
      <c r="AA435" s="907"/>
    </row>
    <row r="436" spans="1:27">
      <c r="A436" s="907"/>
      <c r="B436" s="907"/>
      <c r="C436" s="907"/>
      <c r="D436" s="907"/>
      <c r="E436" s="907"/>
      <c r="F436" s="907"/>
      <c r="G436" s="907"/>
      <c r="H436" s="907"/>
      <c r="I436" s="907"/>
      <c r="J436" s="907"/>
      <c r="K436" s="907"/>
      <c r="L436" s="907"/>
      <c r="M436" s="907"/>
      <c r="N436" s="907"/>
      <c r="O436" s="907"/>
      <c r="P436" s="907"/>
      <c r="Q436" s="907"/>
      <c r="R436" s="907"/>
      <c r="S436" s="907"/>
      <c r="T436" s="907"/>
      <c r="U436" s="907"/>
      <c r="V436" s="907"/>
      <c r="W436" s="907"/>
      <c r="X436" s="907"/>
      <c r="Y436" s="907"/>
      <c r="Z436" s="907"/>
      <c r="AA436" s="907"/>
    </row>
    <row r="437" spans="1:27">
      <c r="A437" s="907"/>
      <c r="B437" s="907"/>
      <c r="C437" s="907"/>
      <c r="D437" s="907"/>
      <c r="E437" s="907"/>
      <c r="F437" s="907"/>
      <c r="G437" s="907"/>
      <c r="H437" s="907"/>
      <c r="I437" s="907"/>
      <c r="J437" s="907"/>
      <c r="K437" s="907"/>
      <c r="L437" s="907"/>
      <c r="M437" s="907"/>
      <c r="N437" s="907"/>
      <c r="O437" s="907"/>
      <c r="P437" s="907"/>
      <c r="Q437" s="907"/>
      <c r="R437" s="907"/>
      <c r="S437" s="907"/>
      <c r="T437" s="907"/>
      <c r="U437" s="907"/>
      <c r="V437" s="907"/>
      <c r="W437" s="907"/>
      <c r="X437" s="907"/>
      <c r="Y437" s="907"/>
      <c r="Z437" s="907"/>
      <c r="AA437" s="907"/>
    </row>
    <row r="438" spans="1:27">
      <c r="A438" s="907"/>
      <c r="B438" s="907"/>
      <c r="C438" s="907"/>
      <c r="D438" s="907"/>
      <c r="E438" s="907"/>
      <c r="F438" s="907"/>
      <c r="G438" s="907"/>
      <c r="H438" s="907"/>
      <c r="I438" s="907"/>
      <c r="J438" s="907"/>
      <c r="K438" s="907"/>
      <c r="L438" s="907"/>
      <c r="M438" s="907"/>
      <c r="N438" s="907"/>
      <c r="O438" s="907"/>
      <c r="P438" s="907"/>
      <c r="Q438" s="907"/>
      <c r="R438" s="907"/>
      <c r="S438" s="907"/>
      <c r="T438" s="907"/>
      <c r="U438" s="907"/>
      <c r="V438" s="907"/>
      <c r="W438" s="907"/>
      <c r="X438" s="907"/>
      <c r="Y438" s="907"/>
      <c r="Z438" s="907"/>
      <c r="AA438" s="907"/>
    </row>
    <row r="439" spans="1:27">
      <c r="A439" s="907"/>
      <c r="B439" s="907"/>
      <c r="C439" s="907"/>
      <c r="D439" s="907"/>
      <c r="E439" s="907"/>
      <c r="F439" s="907"/>
      <c r="G439" s="907"/>
      <c r="H439" s="907"/>
      <c r="I439" s="907"/>
      <c r="J439" s="907"/>
      <c r="K439" s="907"/>
      <c r="L439" s="907"/>
      <c r="M439" s="907"/>
      <c r="N439" s="907"/>
      <c r="O439" s="907"/>
      <c r="P439" s="907"/>
      <c r="Q439" s="907"/>
      <c r="R439" s="907"/>
      <c r="S439" s="907"/>
      <c r="T439" s="907"/>
      <c r="U439" s="907"/>
      <c r="V439" s="907"/>
      <c r="W439" s="907"/>
      <c r="X439" s="907"/>
      <c r="Y439" s="907"/>
      <c r="Z439" s="907"/>
      <c r="AA439" s="907"/>
    </row>
    <row r="440" spans="1:27">
      <c r="A440" s="907"/>
      <c r="B440" s="907"/>
      <c r="C440" s="907"/>
      <c r="D440" s="907"/>
      <c r="E440" s="907"/>
      <c r="F440" s="907"/>
      <c r="G440" s="907"/>
      <c r="H440" s="907"/>
      <c r="I440" s="907"/>
      <c r="J440" s="907"/>
      <c r="K440" s="907"/>
      <c r="L440" s="907"/>
      <c r="M440" s="907"/>
      <c r="N440" s="907"/>
      <c r="O440" s="907"/>
      <c r="P440" s="907"/>
      <c r="Q440" s="907"/>
      <c r="R440" s="907"/>
      <c r="S440" s="907"/>
      <c r="T440" s="907"/>
      <c r="U440" s="907"/>
      <c r="V440" s="907"/>
      <c r="W440" s="907"/>
      <c r="X440" s="907"/>
      <c r="Y440" s="907"/>
      <c r="Z440" s="907"/>
      <c r="AA440" s="907"/>
    </row>
    <row r="441" spans="1:27">
      <c r="A441" s="907"/>
      <c r="B441" s="907"/>
      <c r="C441" s="907"/>
      <c r="D441" s="907"/>
      <c r="E441" s="907"/>
      <c r="F441" s="907"/>
      <c r="G441" s="907"/>
      <c r="H441" s="907"/>
      <c r="I441" s="907"/>
      <c r="J441" s="907"/>
      <c r="K441" s="907"/>
      <c r="L441" s="907"/>
      <c r="M441" s="907"/>
      <c r="N441" s="907"/>
      <c r="O441" s="907"/>
      <c r="P441" s="907"/>
      <c r="Q441" s="907"/>
      <c r="R441" s="907"/>
      <c r="S441" s="907"/>
      <c r="T441" s="907"/>
      <c r="U441" s="907"/>
      <c r="V441" s="907"/>
      <c r="W441" s="907"/>
      <c r="X441" s="907"/>
      <c r="Y441" s="907"/>
      <c r="Z441" s="907"/>
      <c r="AA441" s="907"/>
    </row>
    <row r="442" spans="1:27">
      <c r="A442" s="907"/>
      <c r="B442" s="907"/>
      <c r="C442" s="907"/>
      <c r="D442" s="907"/>
      <c r="E442" s="907"/>
      <c r="F442" s="907"/>
      <c r="G442" s="907"/>
      <c r="H442" s="907"/>
      <c r="I442" s="907"/>
      <c r="J442" s="907"/>
      <c r="K442" s="907"/>
      <c r="L442" s="907"/>
      <c r="M442" s="907"/>
      <c r="N442" s="907"/>
      <c r="O442" s="907"/>
      <c r="P442" s="907"/>
      <c r="Q442" s="907"/>
      <c r="R442" s="907"/>
      <c r="S442" s="907"/>
      <c r="T442" s="907"/>
      <c r="U442" s="907"/>
      <c r="V442" s="907"/>
      <c r="W442" s="907"/>
      <c r="X442" s="907"/>
      <c r="Y442" s="907"/>
      <c r="Z442" s="907"/>
      <c r="AA442" s="907"/>
    </row>
    <row r="443" spans="1:27">
      <c r="A443" s="907"/>
      <c r="B443" s="907"/>
      <c r="C443" s="907"/>
      <c r="D443" s="907"/>
      <c r="E443" s="907"/>
      <c r="F443" s="907"/>
      <c r="G443" s="907"/>
      <c r="H443" s="907"/>
      <c r="I443" s="907"/>
      <c r="J443" s="907"/>
      <c r="K443" s="907"/>
      <c r="L443" s="907"/>
      <c r="M443" s="907"/>
      <c r="N443" s="907"/>
      <c r="O443" s="907"/>
      <c r="P443" s="907"/>
      <c r="Q443" s="907"/>
      <c r="R443" s="907"/>
      <c r="S443" s="907"/>
      <c r="T443" s="907"/>
      <c r="U443" s="907"/>
      <c r="V443" s="907"/>
      <c r="W443" s="907"/>
      <c r="X443" s="907"/>
      <c r="Y443" s="907"/>
      <c r="Z443" s="907"/>
      <c r="AA443" s="907"/>
    </row>
    <row r="444" spans="1:27">
      <c r="A444" s="907"/>
      <c r="B444" s="907"/>
      <c r="C444" s="907"/>
      <c r="D444" s="907"/>
      <c r="E444" s="907"/>
      <c r="F444" s="907"/>
      <c r="G444" s="907"/>
      <c r="H444" s="907"/>
      <c r="I444" s="907"/>
      <c r="J444" s="907"/>
      <c r="K444" s="907"/>
      <c r="L444" s="907"/>
      <c r="M444" s="907"/>
      <c r="N444" s="907"/>
      <c r="O444" s="907"/>
      <c r="P444" s="907"/>
      <c r="Q444" s="907"/>
      <c r="R444" s="907"/>
      <c r="S444" s="907"/>
      <c r="T444" s="907"/>
      <c r="U444" s="907"/>
      <c r="V444" s="907"/>
      <c r="W444" s="907"/>
      <c r="X444" s="907"/>
      <c r="Y444" s="907"/>
      <c r="Z444" s="907"/>
      <c r="AA444" s="907"/>
    </row>
    <row r="445" spans="1:27">
      <c r="A445" s="907"/>
      <c r="B445" s="907"/>
      <c r="C445" s="907"/>
      <c r="D445" s="907"/>
      <c r="E445" s="907"/>
      <c r="F445" s="907"/>
      <c r="G445" s="907"/>
      <c r="H445" s="907"/>
      <c r="I445" s="907"/>
      <c r="J445" s="907"/>
      <c r="K445" s="907"/>
      <c r="L445" s="907"/>
      <c r="M445" s="907"/>
      <c r="N445" s="907"/>
      <c r="O445" s="907"/>
      <c r="P445" s="907"/>
      <c r="Q445" s="907"/>
      <c r="R445" s="907"/>
      <c r="S445" s="907"/>
      <c r="T445" s="907"/>
      <c r="U445" s="907"/>
      <c r="V445" s="907"/>
      <c r="W445" s="907"/>
      <c r="X445" s="907"/>
      <c r="Y445" s="907"/>
      <c r="Z445" s="907"/>
      <c r="AA445" s="907"/>
    </row>
    <row r="446" spans="1:27">
      <c r="A446" s="907"/>
      <c r="B446" s="907"/>
      <c r="C446" s="907"/>
      <c r="D446" s="907"/>
      <c r="E446" s="907"/>
      <c r="F446" s="907"/>
      <c r="G446" s="907"/>
      <c r="H446" s="907"/>
      <c r="I446" s="907"/>
      <c r="J446" s="907"/>
      <c r="K446" s="907"/>
      <c r="L446" s="907"/>
      <c r="M446" s="907"/>
      <c r="N446" s="907"/>
      <c r="O446" s="907"/>
      <c r="P446" s="907"/>
      <c r="Q446" s="907"/>
      <c r="R446" s="907"/>
      <c r="S446" s="907"/>
      <c r="T446" s="907"/>
      <c r="U446" s="907"/>
      <c r="V446" s="907"/>
      <c r="W446" s="907"/>
      <c r="X446" s="907"/>
      <c r="Y446" s="907"/>
      <c r="Z446" s="907"/>
      <c r="AA446" s="907"/>
    </row>
    <row r="447" spans="1:27">
      <c r="A447" s="907"/>
      <c r="B447" s="907"/>
      <c r="C447" s="907"/>
      <c r="D447" s="907"/>
      <c r="E447" s="907"/>
      <c r="F447" s="907"/>
      <c r="G447" s="907"/>
      <c r="H447" s="907"/>
      <c r="I447" s="907"/>
      <c r="J447" s="907"/>
      <c r="K447" s="907"/>
      <c r="L447" s="907"/>
      <c r="M447" s="907"/>
      <c r="N447" s="907"/>
      <c r="O447" s="907"/>
      <c r="P447" s="907"/>
      <c r="Q447" s="907"/>
      <c r="R447" s="907"/>
      <c r="S447" s="907"/>
      <c r="T447" s="907"/>
      <c r="U447" s="907"/>
      <c r="V447" s="907"/>
      <c r="W447" s="907"/>
      <c r="X447" s="907"/>
      <c r="Y447" s="907"/>
      <c r="Z447" s="907"/>
      <c r="AA447" s="907"/>
    </row>
    <row r="448" spans="1:27">
      <c r="A448" s="907"/>
      <c r="B448" s="907"/>
      <c r="C448" s="907"/>
      <c r="D448" s="907"/>
      <c r="E448" s="907"/>
      <c r="F448" s="907"/>
      <c r="G448" s="907"/>
      <c r="H448" s="907"/>
      <c r="I448" s="907"/>
      <c r="J448" s="907"/>
      <c r="K448" s="907"/>
      <c r="L448" s="907"/>
      <c r="M448" s="907"/>
      <c r="N448" s="907"/>
      <c r="O448" s="907"/>
      <c r="P448" s="907"/>
      <c r="Q448" s="907"/>
      <c r="R448" s="907"/>
      <c r="S448" s="907"/>
      <c r="T448" s="907"/>
      <c r="U448" s="907"/>
      <c r="V448" s="907"/>
      <c r="W448" s="907"/>
      <c r="X448" s="907"/>
      <c r="Y448" s="907"/>
      <c r="Z448" s="907"/>
      <c r="AA448" s="907"/>
    </row>
    <row r="449" spans="1:27">
      <c r="A449" s="907"/>
      <c r="B449" s="907"/>
      <c r="C449" s="907"/>
      <c r="D449" s="907"/>
      <c r="E449" s="907"/>
      <c r="F449" s="907"/>
      <c r="G449" s="907"/>
      <c r="H449" s="907"/>
      <c r="I449" s="907"/>
      <c r="J449" s="907"/>
      <c r="K449" s="907"/>
      <c r="L449" s="907"/>
      <c r="M449" s="907"/>
      <c r="N449" s="907"/>
      <c r="O449" s="907"/>
      <c r="P449" s="907"/>
      <c r="Q449" s="907"/>
      <c r="R449" s="907"/>
      <c r="S449" s="907"/>
      <c r="T449" s="907"/>
      <c r="U449" s="907"/>
      <c r="V449" s="907"/>
      <c r="W449" s="907"/>
      <c r="X449" s="907"/>
      <c r="Y449" s="907"/>
      <c r="Z449" s="907"/>
      <c r="AA449" s="907"/>
    </row>
    <row r="450" spans="1:27">
      <c r="A450" s="907"/>
      <c r="B450" s="907"/>
      <c r="C450" s="907"/>
      <c r="D450" s="907"/>
      <c r="E450" s="907"/>
      <c r="F450" s="907"/>
      <c r="G450" s="907"/>
      <c r="H450" s="907"/>
      <c r="I450" s="907"/>
      <c r="J450" s="907"/>
      <c r="K450" s="907"/>
      <c r="L450" s="907"/>
      <c r="M450" s="907"/>
      <c r="N450" s="907"/>
      <c r="O450" s="907"/>
      <c r="P450" s="907"/>
      <c r="Q450" s="907"/>
      <c r="R450" s="907"/>
      <c r="S450" s="907"/>
      <c r="T450" s="907"/>
      <c r="U450" s="907"/>
      <c r="V450" s="907"/>
      <c r="W450" s="907"/>
      <c r="X450" s="907"/>
      <c r="Y450" s="907"/>
      <c r="Z450" s="907"/>
      <c r="AA450" s="907"/>
    </row>
    <row r="451" spans="1:27">
      <c r="A451" s="907"/>
      <c r="B451" s="907"/>
      <c r="C451" s="907"/>
      <c r="D451" s="907"/>
      <c r="E451" s="907"/>
      <c r="F451" s="907"/>
      <c r="G451" s="907"/>
      <c r="H451" s="907"/>
      <c r="I451" s="907"/>
      <c r="J451" s="907"/>
      <c r="K451" s="907"/>
      <c r="L451" s="907"/>
      <c r="M451" s="907"/>
      <c r="N451" s="907"/>
      <c r="O451" s="907"/>
      <c r="P451" s="907"/>
      <c r="Q451" s="907"/>
      <c r="R451" s="907"/>
      <c r="S451" s="907"/>
      <c r="T451" s="907"/>
      <c r="U451" s="907"/>
      <c r="V451" s="907"/>
      <c r="W451" s="907"/>
      <c r="X451" s="907"/>
      <c r="Y451" s="907"/>
      <c r="Z451" s="907"/>
      <c r="AA451" s="907"/>
    </row>
    <row r="452" spans="1:27">
      <c r="A452" s="907"/>
      <c r="B452" s="907"/>
      <c r="C452" s="907"/>
      <c r="D452" s="907"/>
      <c r="E452" s="907"/>
      <c r="F452" s="907"/>
      <c r="G452" s="907"/>
      <c r="H452" s="907"/>
      <c r="I452" s="907"/>
      <c r="J452" s="907"/>
      <c r="K452" s="907"/>
      <c r="L452" s="907"/>
      <c r="M452" s="907"/>
      <c r="N452" s="907"/>
      <c r="O452" s="907"/>
      <c r="P452" s="907"/>
      <c r="Q452" s="907"/>
      <c r="R452" s="907"/>
      <c r="S452" s="907"/>
      <c r="T452" s="907"/>
      <c r="U452" s="907"/>
      <c r="V452" s="907"/>
      <c r="W452" s="907"/>
      <c r="X452" s="907"/>
      <c r="Y452" s="907"/>
      <c r="Z452" s="907"/>
      <c r="AA452" s="907"/>
    </row>
    <row r="453" spans="1:27">
      <c r="A453" s="907"/>
      <c r="B453" s="907"/>
      <c r="C453" s="907"/>
      <c r="D453" s="907"/>
      <c r="E453" s="907"/>
      <c r="F453" s="907"/>
      <c r="G453" s="907"/>
      <c r="H453" s="907"/>
      <c r="I453" s="907"/>
      <c r="J453" s="907"/>
      <c r="K453" s="907"/>
      <c r="L453" s="907"/>
      <c r="M453" s="907"/>
      <c r="N453" s="907"/>
      <c r="O453" s="907"/>
      <c r="P453" s="907"/>
      <c r="Q453" s="907"/>
      <c r="R453" s="907"/>
      <c r="S453" s="907"/>
      <c r="T453" s="907"/>
      <c r="U453" s="907"/>
      <c r="V453" s="907"/>
      <c r="W453" s="907"/>
      <c r="X453" s="907"/>
      <c r="Y453" s="907"/>
      <c r="Z453" s="907"/>
      <c r="AA453" s="907"/>
    </row>
    <row r="454" spans="1:27">
      <c r="A454" s="907"/>
      <c r="B454" s="907"/>
      <c r="C454" s="907"/>
      <c r="D454" s="907"/>
      <c r="E454" s="907"/>
      <c r="F454" s="907"/>
      <c r="G454" s="907"/>
      <c r="H454" s="907"/>
      <c r="I454" s="907"/>
      <c r="J454" s="907"/>
      <c r="K454" s="907"/>
      <c r="L454" s="907"/>
      <c r="M454" s="907"/>
      <c r="N454" s="907"/>
      <c r="O454" s="907"/>
      <c r="P454" s="907"/>
      <c r="Q454" s="907"/>
      <c r="R454" s="907"/>
      <c r="S454" s="907"/>
      <c r="T454" s="907"/>
      <c r="U454" s="907"/>
      <c r="V454" s="907"/>
      <c r="W454" s="907"/>
      <c r="X454" s="907"/>
      <c r="Y454" s="907"/>
      <c r="Z454" s="907"/>
      <c r="AA454" s="907"/>
    </row>
    <row r="455" spans="1:27">
      <c r="A455" s="907"/>
      <c r="B455" s="907"/>
      <c r="C455" s="907"/>
      <c r="D455" s="907"/>
      <c r="E455" s="907"/>
      <c r="F455" s="907"/>
      <c r="G455" s="907"/>
      <c r="H455" s="907"/>
      <c r="I455" s="907"/>
      <c r="J455" s="907"/>
      <c r="K455" s="907"/>
      <c r="L455" s="907"/>
      <c r="M455" s="907"/>
      <c r="N455" s="907"/>
      <c r="O455" s="907"/>
      <c r="P455" s="907"/>
      <c r="Q455" s="907"/>
      <c r="R455" s="907"/>
      <c r="S455" s="907"/>
      <c r="T455" s="907"/>
      <c r="U455" s="907"/>
      <c r="V455" s="907"/>
      <c r="W455" s="907"/>
      <c r="X455" s="907"/>
      <c r="Y455" s="907"/>
      <c r="Z455" s="907"/>
      <c r="AA455" s="907"/>
    </row>
    <row r="456" spans="1:27">
      <c r="A456" s="907"/>
      <c r="B456" s="907"/>
      <c r="C456" s="907"/>
      <c r="D456" s="907"/>
      <c r="E456" s="907"/>
      <c r="F456" s="907"/>
      <c r="G456" s="907"/>
      <c r="H456" s="907"/>
      <c r="I456" s="907"/>
      <c r="J456" s="907"/>
      <c r="K456" s="907"/>
      <c r="L456" s="907"/>
      <c r="M456" s="907"/>
      <c r="N456" s="907"/>
      <c r="O456" s="907"/>
      <c r="P456" s="907"/>
      <c r="Q456" s="907"/>
      <c r="R456" s="907"/>
      <c r="S456" s="907"/>
      <c r="T456" s="907"/>
      <c r="U456" s="907"/>
      <c r="V456" s="907"/>
      <c r="W456" s="907"/>
      <c r="X456" s="907"/>
      <c r="Y456" s="907"/>
      <c r="Z456" s="907"/>
      <c r="AA456" s="907"/>
    </row>
    <row r="457" spans="1:27">
      <c r="A457" s="907"/>
      <c r="B457" s="907"/>
      <c r="C457" s="907"/>
      <c r="D457" s="907"/>
      <c r="E457" s="907"/>
      <c r="F457" s="907"/>
      <c r="G457" s="907"/>
      <c r="H457" s="907"/>
      <c r="I457" s="907"/>
      <c r="J457" s="907"/>
      <c r="K457" s="907"/>
      <c r="L457" s="907"/>
      <c r="M457" s="907"/>
      <c r="N457" s="907"/>
      <c r="O457" s="907"/>
      <c r="P457" s="907"/>
      <c r="Q457" s="907"/>
      <c r="R457" s="907"/>
      <c r="S457" s="907"/>
      <c r="T457" s="907"/>
      <c r="U457" s="907"/>
      <c r="V457" s="907"/>
      <c r="W457" s="907"/>
      <c r="X457" s="907"/>
      <c r="Y457" s="907"/>
      <c r="Z457" s="907"/>
      <c r="AA457" s="907"/>
    </row>
    <row r="458" spans="1:27">
      <c r="A458" s="907"/>
      <c r="B458" s="907"/>
      <c r="C458" s="907"/>
      <c r="D458" s="907"/>
      <c r="E458" s="907"/>
      <c r="F458" s="907"/>
      <c r="G458" s="907"/>
      <c r="H458" s="907"/>
      <c r="I458" s="907"/>
      <c r="J458" s="907"/>
      <c r="K458" s="907"/>
      <c r="L458" s="907"/>
      <c r="M458" s="907"/>
      <c r="N458" s="907"/>
      <c r="O458" s="907"/>
      <c r="P458" s="907"/>
      <c r="Q458" s="907"/>
      <c r="R458" s="907"/>
      <c r="S458" s="907"/>
      <c r="T458" s="907"/>
      <c r="U458" s="907"/>
      <c r="V458" s="907"/>
      <c r="W458" s="907"/>
      <c r="X458" s="907"/>
      <c r="Y458" s="907"/>
      <c r="Z458" s="907"/>
      <c r="AA458" s="907"/>
    </row>
    <row r="459" spans="1:27">
      <c r="A459" s="907"/>
      <c r="B459" s="907"/>
      <c r="C459" s="907"/>
      <c r="D459" s="907"/>
      <c r="E459" s="907"/>
      <c r="F459" s="907"/>
      <c r="G459" s="907"/>
      <c r="H459" s="907"/>
      <c r="I459" s="907"/>
      <c r="J459" s="907"/>
      <c r="K459" s="907"/>
      <c r="L459" s="907"/>
      <c r="M459" s="907"/>
      <c r="N459" s="907"/>
      <c r="O459" s="907"/>
      <c r="P459" s="907"/>
      <c r="Q459" s="907"/>
      <c r="R459" s="907"/>
      <c r="S459" s="907"/>
      <c r="T459" s="907"/>
      <c r="U459" s="907"/>
      <c r="V459" s="907"/>
      <c r="W459" s="907"/>
      <c r="X459" s="907"/>
      <c r="Y459" s="907"/>
      <c r="Z459" s="907"/>
      <c r="AA459" s="907"/>
    </row>
    <row r="460" spans="1:27">
      <c r="A460" s="907"/>
      <c r="B460" s="907"/>
      <c r="C460" s="907"/>
      <c r="D460" s="907"/>
      <c r="E460" s="907"/>
      <c r="F460" s="907"/>
      <c r="G460" s="907"/>
      <c r="H460" s="907"/>
      <c r="I460" s="907"/>
      <c r="J460" s="907"/>
      <c r="K460" s="907"/>
      <c r="L460" s="907"/>
      <c r="M460" s="907"/>
      <c r="N460" s="907"/>
      <c r="O460" s="907"/>
      <c r="P460" s="907"/>
      <c r="Q460" s="907"/>
      <c r="R460" s="907"/>
      <c r="S460" s="907"/>
      <c r="T460" s="907"/>
      <c r="U460" s="907"/>
      <c r="V460" s="907"/>
      <c r="W460" s="907"/>
      <c r="X460" s="907"/>
      <c r="Y460" s="907"/>
      <c r="Z460" s="907"/>
      <c r="AA460" s="907"/>
    </row>
    <row r="461" spans="1:27">
      <c r="A461" s="907"/>
      <c r="B461" s="907"/>
      <c r="C461" s="907"/>
      <c r="D461" s="907"/>
      <c r="E461" s="907"/>
      <c r="F461" s="907"/>
      <c r="G461" s="907"/>
      <c r="H461" s="907"/>
      <c r="I461" s="907"/>
      <c r="J461" s="907"/>
      <c r="K461" s="907"/>
      <c r="L461" s="907"/>
      <c r="M461" s="907"/>
      <c r="N461" s="907"/>
      <c r="O461" s="907"/>
      <c r="P461" s="907"/>
      <c r="Q461" s="907"/>
      <c r="R461" s="907"/>
      <c r="S461" s="907"/>
      <c r="T461" s="907"/>
      <c r="U461" s="907"/>
      <c r="V461" s="907"/>
      <c r="W461" s="907"/>
      <c r="X461" s="907"/>
      <c r="Y461" s="907"/>
      <c r="Z461" s="907"/>
      <c r="AA461" s="907"/>
    </row>
    <row r="462" spans="1:27">
      <c r="A462" s="907"/>
      <c r="B462" s="907"/>
      <c r="C462" s="907"/>
      <c r="D462" s="907"/>
      <c r="E462" s="907"/>
      <c r="F462" s="907"/>
      <c r="G462" s="907"/>
      <c r="H462" s="907"/>
      <c r="I462" s="907"/>
      <c r="J462" s="907"/>
      <c r="K462" s="907"/>
      <c r="L462" s="907"/>
      <c r="M462" s="907"/>
      <c r="N462" s="907"/>
      <c r="O462" s="907"/>
      <c r="P462" s="907"/>
      <c r="Q462" s="907"/>
      <c r="R462" s="907"/>
      <c r="S462" s="907"/>
      <c r="T462" s="907"/>
      <c r="U462" s="907"/>
      <c r="V462" s="907"/>
      <c r="W462" s="907"/>
      <c r="X462" s="907"/>
      <c r="Y462" s="907"/>
      <c r="Z462" s="907"/>
      <c r="AA462" s="907"/>
    </row>
    <row r="463" spans="1:27">
      <c r="A463" s="907"/>
      <c r="B463" s="907"/>
      <c r="C463" s="907"/>
      <c r="D463" s="907"/>
      <c r="E463" s="907"/>
      <c r="F463" s="907"/>
      <c r="G463" s="907"/>
      <c r="H463" s="907"/>
      <c r="I463" s="907"/>
      <c r="J463" s="907"/>
      <c r="K463" s="907"/>
      <c r="L463" s="907"/>
      <c r="M463" s="907"/>
      <c r="N463" s="907"/>
      <c r="O463" s="907"/>
      <c r="P463" s="907"/>
      <c r="Q463" s="907"/>
      <c r="R463" s="907"/>
      <c r="S463" s="907"/>
      <c r="T463" s="907"/>
      <c r="U463" s="907"/>
      <c r="V463" s="907"/>
      <c r="W463" s="907"/>
      <c r="X463" s="907"/>
      <c r="Y463" s="907"/>
      <c r="Z463" s="907"/>
      <c r="AA463" s="907"/>
    </row>
    <row r="464" spans="1:27">
      <c r="A464" s="907"/>
      <c r="B464" s="907"/>
      <c r="C464" s="907"/>
      <c r="D464" s="907"/>
      <c r="E464" s="907"/>
      <c r="F464" s="907"/>
      <c r="G464" s="907"/>
      <c r="H464" s="907"/>
      <c r="I464" s="907"/>
      <c r="J464" s="907"/>
      <c r="K464" s="907"/>
      <c r="L464" s="907"/>
      <c r="M464" s="907"/>
      <c r="N464" s="907"/>
      <c r="O464" s="907"/>
      <c r="P464" s="907"/>
      <c r="Q464" s="907"/>
      <c r="R464" s="907"/>
      <c r="S464" s="907"/>
      <c r="T464" s="907"/>
      <c r="U464" s="907"/>
      <c r="V464" s="907"/>
      <c r="W464" s="907"/>
      <c r="X464" s="907"/>
      <c r="Y464" s="907"/>
      <c r="Z464" s="907"/>
      <c r="AA464" s="907"/>
    </row>
    <row r="465" spans="1:27">
      <c r="A465" s="907"/>
      <c r="B465" s="907"/>
      <c r="C465" s="907"/>
      <c r="D465" s="907"/>
      <c r="E465" s="907"/>
      <c r="F465" s="907"/>
      <c r="G465" s="907"/>
      <c r="H465" s="907"/>
      <c r="I465" s="907"/>
      <c r="J465" s="907"/>
      <c r="K465" s="907"/>
      <c r="L465" s="907"/>
      <c r="M465" s="907"/>
      <c r="N465" s="907"/>
      <c r="O465" s="907"/>
      <c r="P465" s="907"/>
      <c r="Q465" s="907"/>
      <c r="R465" s="907"/>
      <c r="S465" s="907"/>
      <c r="T465" s="907"/>
      <c r="U465" s="907"/>
      <c r="V465" s="907"/>
      <c r="W465" s="907"/>
      <c r="X465" s="907"/>
      <c r="Y465" s="907"/>
      <c r="Z465" s="907"/>
      <c r="AA465" s="907"/>
    </row>
    <row r="466" spans="1:27">
      <c r="A466" s="907"/>
      <c r="B466" s="907"/>
      <c r="C466" s="907"/>
      <c r="D466" s="907"/>
      <c r="E466" s="907"/>
      <c r="F466" s="907"/>
      <c r="G466" s="907"/>
      <c r="H466" s="907"/>
      <c r="I466" s="907"/>
      <c r="J466" s="907"/>
      <c r="K466" s="907"/>
      <c r="L466" s="907"/>
      <c r="M466" s="907"/>
      <c r="N466" s="907"/>
      <c r="O466" s="907"/>
      <c r="P466" s="907"/>
      <c r="Q466" s="907"/>
      <c r="R466" s="907"/>
      <c r="S466" s="907"/>
      <c r="T466" s="907"/>
      <c r="U466" s="907"/>
      <c r="V466" s="907"/>
      <c r="W466" s="907"/>
      <c r="X466" s="907"/>
      <c r="Y466" s="907"/>
      <c r="Z466" s="907"/>
      <c r="AA466" s="907"/>
    </row>
    <row r="467" spans="1:27">
      <c r="A467" s="907"/>
      <c r="B467" s="907"/>
      <c r="C467" s="907"/>
      <c r="D467" s="907"/>
      <c r="E467" s="907"/>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row>
    <row r="468" spans="1:27">
      <c r="A468" s="907"/>
      <c r="B468" s="907"/>
      <c r="C468" s="907"/>
      <c r="D468" s="907"/>
      <c r="E468" s="90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row>
    <row r="469" spans="1:27">
      <c r="A469" s="907"/>
      <c r="B469" s="907"/>
      <c r="C469" s="907"/>
      <c r="D469" s="907"/>
      <c r="E469" s="907"/>
      <c r="F469" s="907"/>
      <c r="G469" s="907"/>
      <c r="H469" s="907"/>
      <c r="I469" s="907"/>
      <c r="J469" s="907"/>
      <c r="K469" s="907"/>
      <c r="L469" s="907"/>
      <c r="M469" s="907"/>
      <c r="N469" s="907"/>
      <c r="O469" s="907"/>
      <c r="P469" s="907"/>
      <c r="Q469" s="907"/>
      <c r="R469" s="907"/>
      <c r="S469" s="907"/>
      <c r="T469" s="907"/>
      <c r="U469" s="907"/>
      <c r="V469" s="907"/>
      <c r="W469" s="907"/>
      <c r="X469" s="907"/>
      <c r="Y469" s="907"/>
      <c r="Z469" s="907"/>
      <c r="AA469" s="907"/>
    </row>
    <row r="470" spans="1:27">
      <c r="A470" s="907"/>
      <c r="B470" s="907"/>
      <c r="C470" s="907"/>
      <c r="D470" s="907"/>
      <c r="E470" s="907"/>
      <c r="F470" s="907"/>
      <c r="G470" s="907"/>
      <c r="H470" s="907"/>
      <c r="I470" s="907"/>
      <c r="J470" s="907"/>
      <c r="K470" s="907"/>
      <c r="L470" s="907"/>
      <c r="M470" s="907"/>
      <c r="N470" s="907"/>
      <c r="O470" s="907"/>
      <c r="P470" s="907"/>
      <c r="Q470" s="907"/>
      <c r="R470" s="907"/>
      <c r="S470" s="907"/>
      <c r="T470" s="907"/>
      <c r="U470" s="907"/>
      <c r="V470" s="907"/>
      <c r="W470" s="907"/>
      <c r="X470" s="907"/>
      <c r="Y470" s="907"/>
      <c r="Z470" s="907"/>
      <c r="AA470" s="907"/>
    </row>
    <row r="471" spans="1:27">
      <c r="A471" s="907"/>
      <c r="B471" s="907"/>
      <c r="C471" s="907"/>
      <c r="D471" s="907"/>
      <c r="E471" s="907"/>
      <c r="F471" s="907"/>
      <c r="G471" s="907"/>
      <c r="H471" s="907"/>
      <c r="I471" s="907"/>
      <c r="J471" s="907"/>
      <c r="K471" s="907"/>
      <c r="L471" s="907"/>
      <c r="M471" s="907"/>
      <c r="N471" s="907"/>
      <c r="O471" s="907"/>
      <c r="P471" s="907"/>
      <c r="Q471" s="907"/>
      <c r="R471" s="907"/>
      <c r="S471" s="907"/>
      <c r="T471" s="907"/>
      <c r="U471" s="907"/>
      <c r="V471" s="907"/>
      <c r="W471" s="907"/>
      <c r="X471" s="907"/>
      <c r="Y471" s="907"/>
      <c r="Z471" s="907"/>
      <c r="AA471" s="907"/>
    </row>
    <row r="472" spans="1:27">
      <c r="A472" s="907"/>
      <c r="B472" s="907"/>
      <c r="C472" s="907"/>
      <c r="D472" s="907"/>
      <c r="E472" s="907"/>
      <c r="F472" s="907"/>
      <c r="G472" s="907"/>
      <c r="H472" s="907"/>
      <c r="I472" s="907"/>
      <c r="J472" s="907"/>
      <c r="K472" s="907"/>
      <c r="L472" s="907"/>
      <c r="M472" s="907"/>
      <c r="N472" s="907"/>
      <c r="O472" s="907"/>
      <c r="P472" s="907"/>
      <c r="Q472" s="907"/>
      <c r="R472" s="907"/>
      <c r="S472" s="907"/>
      <c r="T472" s="907"/>
      <c r="U472" s="907"/>
      <c r="V472" s="907"/>
      <c r="W472" s="907"/>
      <c r="X472" s="907"/>
      <c r="Y472" s="907"/>
      <c r="Z472" s="907"/>
      <c r="AA472" s="907"/>
    </row>
    <row r="473" spans="1:27">
      <c r="A473" s="907"/>
      <c r="B473" s="907"/>
      <c r="C473" s="907"/>
      <c r="D473" s="907"/>
      <c r="E473" s="907"/>
      <c r="F473" s="907"/>
      <c r="G473" s="907"/>
      <c r="H473" s="907"/>
      <c r="I473" s="907"/>
      <c r="J473" s="907"/>
      <c r="K473" s="907"/>
      <c r="L473" s="907"/>
      <c r="M473" s="907"/>
      <c r="N473" s="907"/>
      <c r="O473" s="907"/>
      <c r="P473" s="907"/>
      <c r="Q473" s="907"/>
      <c r="R473" s="907"/>
      <c r="S473" s="907"/>
      <c r="T473" s="907"/>
      <c r="U473" s="907"/>
      <c r="V473" s="907"/>
      <c r="W473" s="907"/>
      <c r="X473" s="907"/>
      <c r="Y473" s="907"/>
      <c r="Z473" s="907"/>
      <c r="AA473" s="907"/>
    </row>
    <row r="474" spans="1:27">
      <c r="A474" s="907"/>
      <c r="B474" s="907"/>
      <c r="C474" s="907"/>
      <c r="D474" s="907"/>
      <c r="E474" s="907"/>
      <c r="F474" s="907"/>
      <c r="G474" s="907"/>
      <c r="H474" s="907"/>
      <c r="I474" s="907"/>
      <c r="J474" s="907"/>
      <c r="K474" s="907"/>
      <c r="L474" s="907"/>
      <c r="M474" s="907"/>
      <c r="N474" s="907"/>
      <c r="O474" s="907"/>
      <c r="P474" s="907"/>
      <c r="Q474" s="907"/>
      <c r="R474" s="907"/>
      <c r="S474" s="907"/>
      <c r="T474" s="907"/>
      <c r="U474" s="907"/>
      <c r="V474" s="907"/>
      <c r="W474" s="907"/>
      <c r="X474" s="907"/>
      <c r="Y474" s="907"/>
      <c r="Z474" s="907"/>
      <c r="AA474" s="907"/>
    </row>
    <row r="475" spans="1:27">
      <c r="A475" s="907"/>
      <c r="B475" s="907"/>
      <c r="C475" s="907"/>
      <c r="D475" s="907"/>
      <c r="E475" s="907"/>
      <c r="F475" s="907"/>
      <c r="G475" s="907"/>
      <c r="H475" s="907"/>
      <c r="I475" s="907"/>
      <c r="J475" s="907"/>
      <c r="K475" s="907"/>
      <c r="L475" s="907"/>
      <c r="M475" s="907"/>
      <c r="N475" s="907"/>
      <c r="O475" s="907"/>
      <c r="P475" s="907"/>
      <c r="Q475" s="907"/>
      <c r="R475" s="907"/>
      <c r="S475" s="907"/>
      <c r="T475" s="907"/>
      <c r="U475" s="907"/>
      <c r="V475" s="907"/>
      <c r="W475" s="907"/>
      <c r="X475" s="907"/>
      <c r="Y475" s="907"/>
      <c r="Z475" s="907"/>
      <c r="AA475" s="907"/>
    </row>
    <row r="476" spans="1:27">
      <c r="A476" s="907"/>
      <c r="B476" s="907"/>
      <c r="C476" s="907"/>
      <c r="D476" s="907"/>
      <c r="E476" s="907"/>
      <c r="F476" s="907"/>
      <c r="G476" s="907"/>
      <c r="H476" s="907"/>
      <c r="I476" s="907"/>
      <c r="J476" s="907"/>
      <c r="K476" s="907"/>
      <c r="L476" s="907"/>
      <c r="M476" s="907"/>
      <c r="N476" s="907"/>
      <c r="O476" s="907"/>
      <c r="P476" s="907"/>
      <c r="Q476" s="907"/>
      <c r="R476" s="907"/>
      <c r="S476" s="907"/>
      <c r="T476" s="907"/>
      <c r="U476" s="907"/>
      <c r="V476" s="907"/>
      <c r="W476" s="907"/>
      <c r="X476" s="907"/>
      <c r="Y476" s="907"/>
      <c r="Z476" s="907"/>
      <c r="AA476" s="907"/>
    </row>
    <row r="477" spans="1:27">
      <c r="A477" s="907"/>
      <c r="B477" s="907"/>
      <c r="C477" s="907"/>
      <c r="D477" s="907"/>
      <c r="E477" s="907"/>
      <c r="F477" s="907"/>
      <c r="G477" s="907"/>
      <c r="H477" s="907"/>
      <c r="I477" s="907"/>
      <c r="J477" s="907"/>
      <c r="K477" s="907"/>
      <c r="L477" s="907"/>
      <c r="M477" s="907"/>
      <c r="N477" s="907"/>
      <c r="O477" s="907"/>
      <c r="P477" s="907"/>
      <c r="Q477" s="907"/>
      <c r="R477" s="907"/>
      <c r="S477" s="907"/>
      <c r="T477" s="907"/>
      <c r="U477" s="907"/>
      <c r="V477" s="907"/>
      <c r="W477" s="907"/>
      <c r="X477" s="907"/>
      <c r="Y477" s="907"/>
      <c r="Z477" s="907"/>
      <c r="AA477" s="907"/>
    </row>
    <row r="478" spans="1:27">
      <c r="A478" s="907"/>
      <c r="B478" s="907"/>
      <c r="C478" s="907"/>
      <c r="D478" s="907"/>
      <c r="E478" s="907"/>
      <c r="F478" s="907"/>
      <c r="G478" s="907"/>
      <c r="H478" s="907"/>
      <c r="I478" s="907"/>
      <c r="J478" s="907"/>
      <c r="K478" s="907"/>
      <c r="L478" s="907"/>
      <c r="M478" s="907"/>
      <c r="N478" s="907"/>
      <c r="O478" s="907"/>
      <c r="P478" s="907"/>
      <c r="Q478" s="907"/>
      <c r="R478" s="907"/>
      <c r="S478" s="907"/>
      <c r="T478" s="907"/>
      <c r="U478" s="907"/>
      <c r="V478" s="907"/>
      <c r="W478" s="907"/>
      <c r="X478" s="907"/>
      <c r="Y478" s="907"/>
      <c r="Z478" s="907"/>
      <c r="AA478" s="907"/>
    </row>
    <row r="479" spans="1:27">
      <c r="A479" s="907"/>
      <c r="B479" s="907"/>
      <c r="C479" s="907"/>
      <c r="D479" s="907"/>
      <c r="E479" s="907"/>
      <c r="F479" s="907"/>
      <c r="G479" s="907"/>
      <c r="H479" s="907"/>
      <c r="I479" s="907"/>
      <c r="J479" s="907"/>
      <c r="K479" s="907"/>
      <c r="L479" s="907"/>
      <c r="M479" s="907"/>
      <c r="N479" s="907"/>
      <c r="O479" s="907"/>
      <c r="P479" s="907"/>
      <c r="Q479" s="907"/>
      <c r="R479" s="907"/>
      <c r="S479" s="907"/>
      <c r="T479" s="907"/>
      <c r="U479" s="907"/>
      <c r="V479" s="907"/>
      <c r="W479" s="907"/>
      <c r="X479" s="907"/>
      <c r="Y479" s="907"/>
      <c r="Z479" s="907"/>
      <c r="AA479" s="907"/>
    </row>
    <row r="480" spans="1:27">
      <c r="A480" s="907"/>
      <c r="B480" s="907"/>
      <c r="C480" s="907"/>
      <c r="D480" s="907"/>
      <c r="E480" s="907"/>
      <c r="F480" s="907"/>
      <c r="G480" s="907"/>
      <c r="H480" s="907"/>
      <c r="I480" s="907"/>
      <c r="J480" s="907"/>
      <c r="K480" s="907"/>
      <c r="L480" s="907"/>
      <c r="M480" s="907"/>
      <c r="N480" s="907"/>
      <c r="O480" s="907"/>
      <c r="P480" s="907"/>
      <c r="Q480" s="907"/>
      <c r="R480" s="907"/>
      <c r="S480" s="907"/>
      <c r="T480" s="907"/>
      <c r="U480" s="907"/>
      <c r="V480" s="907"/>
      <c r="W480" s="907"/>
      <c r="X480" s="907"/>
      <c r="Y480" s="907"/>
      <c r="Z480" s="907"/>
      <c r="AA480" s="907"/>
    </row>
    <row r="481" spans="1:27">
      <c r="A481" s="907"/>
      <c r="B481" s="907"/>
      <c r="C481" s="907"/>
      <c r="D481" s="907"/>
      <c r="E481" s="907"/>
      <c r="F481" s="907"/>
      <c r="G481" s="907"/>
      <c r="H481" s="907"/>
      <c r="I481" s="907"/>
      <c r="J481" s="907"/>
      <c r="K481" s="907"/>
      <c r="L481" s="907"/>
      <c r="M481" s="907"/>
      <c r="N481" s="907"/>
      <c r="O481" s="907"/>
      <c r="P481" s="907"/>
      <c r="Q481" s="907"/>
      <c r="R481" s="907"/>
      <c r="S481" s="907"/>
      <c r="T481" s="907"/>
      <c r="U481" s="907"/>
      <c r="V481" s="907"/>
      <c r="W481" s="907"/>
      <c r="X481" s="907"/>
      <c r="Y481" s="907"/>
      <c r="Z481" s="907"/>
      <c r="AA481" s="907"/>
    </row>
    <row r="482" spans="1:27">
      <c r="A482" s="907"/>
      <c r="B482" s="907"/>
      <c r="C482" s="907"/>
      <c r="D482" s="907"/>
      <c r="E482" s="907"/>
      <c r="F482" s="907"/>
      <c r="G482" s="907"/>
      <c r="H482" s="907"/>
      <c r="I482" s="907"/>
      <c r="J482" s="907"/>
      <c r="K482" s="907"/>
      <c r="L482" s="907"/>
      <c r="M482" s="907"/>
      <c r="N482" s="907"/>
      <c r="O482" s="907"/>
      <c r="P482" s="907"/>
      <c r="Q482" s="907"/>
      <c r="R482" s="907"/>
      <c r="S482" s="907"/>
      <c r="T482" s="907"/>
      <c r="U482" s="907"/>
      <c r="V482" s="907"/>
      <c r="W482" s="907"/>
      <c r="X482" s="907"/>
      <c r="Y482" s="907"/>
      <c r="Z482" s="907"/>
      <c r="AA482" s="907"/>
    </row>
    <row r="483" spans="1:27">
      <c r="A483" s="907"/>
      <c r="B483" s="907"/>
      <c r="C483" s="907"/>
      <c r="D483" s="907"/>
      <c r="E483" s="907"/>
      <c r="F483" s="907"/>
      <c r="G483" s="907"/>
      <c r="H483" s="907"/>
      <c r="I483" s="907"/>
      <c r="J483" s="907"/>
      <c r="K483" s="907"/>
      <c r="L483" s="907"/>
      <c r="M483" s="907"/>
      <c r="N483" s="907"/>
      <c r="O483" s="907"/>
      <c r="P483" s="907"/>
      <c r="Q483" s="907"/>
      <c r="R483" s="907"/>
      <c r="S483" s="907"/>
      <c r="T483" s="907"/>
      <c r="U483" s="907"/>
      <c r="V483" s="907"/>
      <c r="W483" s="907"/>
      <c r="X483" s="907"/>
      <c r="Y483" s="907"/>
      <c r="Z483" s="907"/>
      <c r="AA483" s="907"/>
    </row>
    <row r="484" spans="1:27">
      <c r="A484" s="907"/>
      <c r="B484" s="907"/>
      <c r="C484" s="907"/>
      <c r="D484" s="907"/>
      <c r="E484" s="907"/>
      <c r="F484" s="907"/>
      <c r="G484" s="907"/>
      <c r="H484" s="907"/>
      <c r="I484" s="907"/>
      <c r="J484" s="907"/>
      <c r="K484" s="907"/>
      <c r="L484" s="907"/>
      <c r="M484" s="907"/>
      <c r="N484" s="907"/>
      <c r="O484" s="907"/>
      <c r="P484" s="907"/>
      <c r="Q484" s="907"/>
      <c r="R484" s="907"/>
      <c r="S484" s="907"/>
      <c r="T484" s="907"/>
      <c r="U484" s="907"/>
      <c r="V484" s="907"/>
      <c r="W484" s="907"/>
      <c r="X484" s="907"/>
      <c r="Y484" s="907"/>
      <c r="Z484" s="907"/>
      <c r="AA484" s="907"/>
    </row>
    <row r="485" spans="1:27">
      <c r="A485" s="907"/>
      <c r="B485" s="907"/>
      <c r="C485" s="907"/>
      <c r="D485" s="907"/>
      <c r="E485" s="907"/>
      <c r="F485" s="907"/>
      <c r="G485" s="907"/>
      <c r="H485" s="907"/>
      <c r="I485" s="907"/>
      <c r="J485" s="907"/>
      <c r="K485" s="907"/>
      <c r="L485" s="907"/>
      <c r="M485" s="907"/>
      <c r="N485" s="907"/>
      <c r="O485" s="907"/>
      <c r="P485" s="907"/>
      <c r="Q485" s="907"/>
      <c r="R485" s="907"/>
      <c r="S485" s="907"/>
      <c r="T485" s="907"/>
      <c r="U485" s="907"/>
      <c r="V485" s="907"/>
      <c r="W485" s="907"/>
      <c r="X485" s="907"/>
      <c r="Y485" s="907"/>
      <c r="Z485" s="907"/>
      <c r="AA485" s="907"/>
    </row>
    <row r="486" spans="1:27">
      <c r="A486" s="907"/>
      <c r="B486" s="907"/>
      <c r="C486" s="907"/>
      <c r="D486" s="907"/>
      <c r="E486" s="907"/>
      <c r="F486" s="907"/>
      <c r="G486" s="907"/>
      <c r="H486" s="907"/>
      <c r="I486" s="907"/>
      <c r="J486" s="907"/>
      <c r="K486" s="907"/>
      <c r="L486" s="907"/>
      <c r="M486" s="907"/>
      <c r="N486" s="907"/>
      <c r="O486" s="907"/>
      <c r="P486" s="907"/>
      <c r="Q486" s="907"/>
      <c r="R486" s="907"/>
      <c r="S486" s="907"/>
      <c r="T486" s="907"/>
      <c r="U486" s="907"/>
      <c r="V486" s="907"/>
      <c r="W486" s="907"/>
      <c r="X486" s="907"/>
      <c r="Y486" s="907"/>
      <c r="Z486" s="907"/>
      <c r="AA486" s="907"/>
    </row>
    <row r="487" spans="1:27">
      <c r="A487" s="907"/>
      <c r="B487" s="907"/>
      <c r="C487" s="907"/>
      <c r="D487" s="907"/>
      <c r="E487" s="907"/>
      <c r="F487" s="907"/>
      <c r="G487" s="907"/>
      <c r="H487" s="907"/>
      <c r="I487" s="907"/>
      <c r="J487" s="907"/>
      <c r="K487" s="907"/>
      <c r="L487" s="907"/>
      <c r="M487" s="907"/>
      <c r="N487" s="907"/>
      <c r="O487" s="907"/>
      <c r="P487" s="907"/>
      <c r="Q487" s="907"/>
      <c r="R487" s="907"/>
      <c r="S487" s="907"/>
      <c r="T487" s="907"/>
      <c r="U487" s="907"/>
      <c r="V487" s="907"/>
      <c r="W487" s="907"/>
      <c r="X487" s="907"/>
      <c r="Y487" s="907"/>
      <c r="Z487" s="907"/>
      <c r="AA487" s="907"/>
    </row>
    <row r="488" spans="1:27">
      <c r="A488" s="907"/>
      <c r="B488" s="907"/>
      <c r="C488" s="907"/>
      <c r="D488" s="907"/>
      <c r="E488" s="907"/>
      <c r="F488" s="907"/>
      <c r="G488" s="907"/>
      <c r="H488" s="907"/>
      <c r="I488" s="907"/>
      <c r="J488" s="907"/>
      <c r="K488" s="907"/>
      <c r="L488" s="907"/>
      <c r="M488" s="907"/>
      <c r="N488" s="907"/>
      <c r="O488" s="907"/>
      <c r="P488" s="907"/>
      <c r="Q488" s="907"/>
      <c r="R488" s="907"/>
      <c r="S488" s="907"/>
      <c r="T488" s="907"/>
      <c r="U488" s="907"/>
      <c r="V488" s="907"/>
      <c r="W488" s="907"/>
      <c r="X488" s="907"/>
      <c r="Y488" s="907"/>
      <c r="Z488" s="907"/>
      <c r="AA488" s="907"/>
    </row>
    <row r="489" spans="1:27">
      <c r="A489" s="907"/>
      <c r="B489" s="907"/>
      <c r="C489" s="907"/>
      <c r="D489" s="907"/>
      <c r="E489" s="907"/>
      <c r="F489" s="907"/>
      <c r="G489" s="907"/>
      <c r="H489" s="907"/>
      <c r="I489" s="907"/>
      <c r="J489" s="907"/>
      <c r="K489" s="907"/>
      <c r="L489" s="907"/>
      <c r="M489" s="907"/>
      <c r="N489" s="907"/>
      <c r="O489" s="907"/>
      <c r="P489" s="907"/>
      <c r="Q489" s="907"/>
      <c r="R489" s="907"/>
      <c r="S489" s="907"/>
      <c r="T489" s="907"/>
      <c r="U489" s="907"/>
      <c r="V489" s="907"/>
      <c r="W489" s="907"/>
      <c r="X489" s="907"/>
      <c r="Y489" s="907"/>
      <c r="Z489" s="907"/>
      <c r="AA489" s="907"/>
    </row>
    <row r="490" spans="1:27">
      <c r="A490" s="907"/>
      <c r="B490" s="907"/>
      <c r="C490" s="907"/>
      <c r="D490" s="907"/>
      <c r="E490" s="907"/>
      <c r="F490" s="907"/>
      <c r="G490" s="907"/>
      <c r="H490" s="907"/>
      <c r="I490" s="907"/>
      <c r="J490" s="907"/>
      <c r="K490" s="907"/>
      <c r="L490" s="907"/>
      <c r="M490" s="907"/>
      <c r="N490" s="907"/>
      <c r="O490" s="907"/>
      <c r="P490" s="907"/>
      <c r="Q490" s="907"/>
      <c r="R490" s="907"/>
      <c r="S490" s="907"/>
      <c r="T490" s="907"/>
      <c r="U490" s="907"/>
      <c r="V490" s="907"/>
      <c r="W490" s="907"/>
      <c r="X490" s="907"/>
      <c r="Y490" s="907"/>
      <c r="Z490" s="907"/>
      <c r="AA490" s="907"/>
    </row>
    <row r="491" spans="1:27">
      <c r="A491" s="907"/>
      <c r="B491" s="907"/>
      <c r="C491" s="907"/>
      <c r="D491" s="907"/>
      <c r="E491" s="907"/>
      <c r="F491" s="907"/>
      <c r="G491" s="907"/>
      <c r="H491" s="907"/>
      <c r="I491" s="907"/>
      <c r="J491" s="907"/>
      <c r="K491" s="907"/>
      <c r="L491" s="907"/>
      <c r="M491" s="907"/>
      <c r="N491" s="907"/>
      <c r="O491" s="907"/>
      <c r="P491" s="907"/>
      <c r="Q491" s="907"/>
      <c r="R491" s="907"/>
      <c r="S491" s="907"/>
      <c r="T491" s="907"/>
      <c r="U491" s="907"/>
      <c r="V491" s="907"/>
      <c r="W491" s="907"/>
      <c r="X491" s="907"/>
      <c r="Y491" s="907"/>
      <c r="Z491" s="907"/>
      <c r="AA491" s="907"/>
    </row>
    <row r="492" spans="1:27">
      <c r="A492" s="907"/>
      <c r="B492" s="907"/>
      <c r="C492" s="907"/>
      <c r="D492" s="907"/>
      <c r="E492" s="907"/>
      <c r="F492" s="907"/>
      <c r="G492" s="907"/>
      <c r="H492" s="907"/>
      <c r="I492" s="907"/>
      <c r="J492" s="907"/>
      <c r="K492" s="907"/>
      <c r="L492" s="907"/>
      <c r="M492" s="907"/>
      <c r="N492" s="907"/>
      <c r="O492" s="907"/>
      <c r="P492" s="907"/>
      <c r="Q492" s="907"/>
      <c r="R492" s="907"/>
      <c r="S492" s="907"/>
      <c r="T492" s="907"/>
      <c r="U492" s="907"/>
      <c r="V492" s="907"/>
      <c r="W492" s="907"/>
      <c r="X492" s="907"/>
      <c r="Y492" s="907"/>
      <c r="Z492" s="907"/>
      <c r="AA492" s="907"/>
    </row>
    <row r="493" spans="1:27">
      <c r="A493" s="907"/>
      <c r="B493" s="907"/>
      <c r="C493" s="907"/>
      <c r="D493" s="907"/>
      <c r="E493" s="907"/>
      <c r="F493" s="907"/>
      <c r="G493" s="907"/>
      <c r="H493" s="907"/>
      <c r="I493" s="907"/>
      <c r="J493" s="907"/>
      <c r="K493" s="907"/>
      <c r="L493" s="907"/>
      <c r="M493" s="907"/>
      <c r="N493" s="907"/>
      <c r="O493" s="907"/>
      <c r="P493" s="907"/>
      <c r="Q493" s="907"/>
      <c r="R493" s="907"/>
      <c r="S493" s="907"/>
      <c r="T493" s="907"/>
      <c r="U493" s="907"/>
      <c r="V493" s="907"/>
      <c r="W493" s="907"/>
      <c r="X493" s="907"/>
      <c r="Y493" s="907"/>
      <c r="Z493" s="907"/>
      <c r="AA493" s="907"/>
    </row>
    <row r="494" spans="1:27">
      <c r="A494" s="907"/>
      <c r="B494" s="907"/>
      <c r="C494" s="907"/>
      <c r="D494" s="907"/>
      <c r="E494" s="907"/>
      <c r="F494" s="907"/>
      <c r="G494" s="907"/>
      <c r="H494" s="907"/>
      <c r="I494" s="907"/>
      <c r="J494" s="907"/>
      <c r="K494" s="907"/>
      <c r="L494" s="907"/>
      <c r="M494" s="907"/>
      <c r="N494" s="907"/>
      <c r="O494" s="907"/>
      <c r="P494" s="907"/>
      <c r="Q494" s="907"/>
      <c r="R494" s="907"/>
      <c r="S494" s="907"/>
      <c r="T494" s="907"/>
      <c r="U494" s="907"/>
      <c r="V494" s="907"/>
      <c r="W494" s="907"/>
      <c r="X494" s="907"/>
      <c r="Y494" s="907"/>
      <c r="Z494" s="907"/>
      <c r="AA494" s="907"/>
    </row>
    <row r="495" spans="1:27">
      <c r="A495" s="907"/>
      <c r="B495" s="907"/>
      <c r="C495" s="907"/>
      <c r="D495" s="907"/>
      <c r="E495" s="907"/>
      <c r="F495" s="907"/>
      <c r="G495" s="907"/>
      <c r="H495" s="907"/>
      <c r="I495" s="907"/>
      <c r="J495" s="907"/>
      <c r="K495" s="907"/>
      <c r="L495" s="907"/>
      <c r="M495" s="907"/>
      <c r="N495" s="907"/>
      <c r="O495" s="907"/>
      <c r="P495" s="907"/>
      <c r="Q495" s="907"/>
      <c r="R495" s="907"/>
      <c r="S495" s="907"/>
      <c r="T495" s="907"/>
      <c r="U495" s="907"/>
      <c r="V495" s="907"/>
      <c r="W495" s="907"/>
      <c r="X495" s="907"/>
      <c r="Y495" s="907"/>
      <c r="Z495" s="907"/>
      <c r="AA495" s="907"/>
    </row>
    <row r="496" spans="1:27">
      <c r="A496" s="907"/>
      <c r="B496" s="907"/>
      <c r="C496" s="907"/>
      <c r="D496" s="907"/>
      <c r="E496" s="907"/>
      <c r="F496" s="907"/>
      <c r="G496" s="907"/>
      <c r="H496" s="907"/>
      <c r="I496" s="907"/>
      <c r="J496" s="907"/>
      <c r="K496" s="907"/>
      <c r="L496" s="907"/>
      <c r="M496" s="907"/>
      <c r="N496" s="907"/>
      <c r="O496" s="907"/>
      <c r="P496" s="907"/>
      <c r="Q496" s="907"/>
      <c r="R496" s="907"/>
      <c r="S496" s="907"/>
      <c r="T496" s="907"/>
      <c r="U496" s="907"/>
      <c r="V496" s="907"/>
      <c r="W496" s="907"/>
      <c r="X496" s="907"/>
      <c r="Y496" s="907"/>
      <c r="Z496" s="907"/>
      <c r="AA496" s="907"/>
    </row>
    <row r="497" spans="1:27">
      <c r="A497" s="907"/>
      <c r="B497" s="907"/>
      <c r="C497" s="907"/>
      <c r="D497" s="907"/>
      <c r="E497" s="907"/>
      <c r="F497" s="907"/>
      <c r="G497" s="907"/>
      <c r="H497" s="907"/>
      <c r="I497" s="907"/>
      <c r="J497" s="907"/>
      <c r="K497" s="907"/>
      <c r="L497" s="907"/>
      <c r="M497" s="907"/>
      <c r="N497" s="907"/>
      <c r="O497" s="907"/>
      <c r="P497" s="907"/>
      <c r="Q497" s="907"/>
      <c r="R497" s="907"/>
      <c r="S497" s="907"/>
      <c r="T497" s="907"/>
      <c r="U497" s="907"/>
      <c r="V497" s="907"/>
      <c r="W497" s="907"/>
      <c r="X497" s="907"/>
      <c r="Y497" s="907"/>
      <c r="Z497" s="907"/>
      <c r="AA497" s="907"/>
    </row>
    <row r="498" spans="1:27">
      <c r="A498" s="907"/>
      <c r="B498" s="907"/>
      <c r="C498" s="907"/>
      <c r="D498" s="907"/>
      <c r="E498" s="907"/>
      <c r="F498" s="907"/>
      <c r="G498" s="907"/>
      <c r="H498" s="907"/>
      <c r="I498" s="907"/>
      <c r="J498" s="907"/>
      <c r="K498" s="907"/>
      <c r="L498" s="907"/>
      <c r="M498" s="907"/>
      <c r="N498" s="907"/>
      <c r="O498" s="907"/>
      <c r="P498" s="907"/>
      <c r="Q498" s="907"/>
      <c r="R498" s="907"/>
      <c r="S498" s="907"/>
      <c r="T498" s="907"/>
      <c r="U498" s="907"/>
      <c r="V498" s="907"/>
      <c r="W498" s="907"/>
      <c r="X498" s="907"/>
      <c r="Y498" s="907"/>
      <c r="Z498" s="907"/>
      <c r="AA498" s="907"/>
    </row>
    <row r="499" spans="1:27">
      <c r="A499" s="907"/>
      <c r="B499" s="907"/>
      <c r="C499" s="907"/>
      <c r="D499" s="907"/>
      <c r="E499" s="907"/>
      <c r="F499" s="907"/>
      <c r="G499" s="907"/>
      <c r="H499" s="907"/>
      <c r="I499" s="907"/>
      <c r="J499" s="907"/>
      <c r="K499" s="907"/>
      <c r="L499" s="907"/>
      <c r="M499" s="907"/>
      <c r="N499" s="907"/>
      <c r="O499" s="907"/>
      <c r="P499" s="907"/>
      <c r="Q499" s="907"/>
      <c r="R499" s="907"/>
      <c r="S499" s="907"/>
      <c r="T499" s="907"/>
      <c r="U499" s="907"/>
      <c r="V499" s="907"/>
      <c r="W499" s="907"/>
      <c r="X499" s="907"/>
      <c r="Y499" s="907"/>
      <c r="Z499" s="907"/>
      <c r="AA499" s="907"/>
    </row>
    <row r="500" spans="1:27">
      <c r="A500" s="907"/>
      <c r="B500" s="907"/>
      <c r="C500" s="907"/>
      <c r="D500" s="907"/>
      <c r="E500" s="907"/>
      <c r="F500" s="907"/>
      <c r="G500" s="907"/>
      <c r="H500" s="907"/>
      <c r="I500" s="907"/>
      <c r="J500" s="907"/>
      <c r="K500" s="907"/>
      <c r="L500" s="907"/>
      <c r="M500" s="907"/>
      <c r="N500" s="907"/>
      <c r="O500" s="907"/>
      <c r="P500" s="907"/>
      <c r="Q500" s="907"/>
      <c r="R500" s="907"/>
      <c r="S500" s="907"/>
      <c r="T500" s="907"/>
      <c r="U500" s="907"/>
      <c r="V500" s="907"/>
      <c r="W500" s="907"/>
      <c r="X500" s="907"/>
      <c r="Y500" s="907"/>
      <c r="Z500" s="907"/>
      <c r="AA500" s="907"/>
    </row>
    <row r="501" spans="1:27">
      <c r="A501" s="907"/>
      <c r="B501" s="907"/>
      <c r="C501" s="907"/>
      <c r="D501" s="907"/>
      <c r="E501" s="907"/>
      <c r="F501" s="907"/>
      <c r="G501" s="907"/>
      <c r="H501" s="907"/>
      <c r="I501" s="907"/>
      <c r="J501" s="907"/>
      <c r="K501" s="907"/>
      <c r="L501" s="907"/>
      <c r="M501" s="907"/>
      <c r="N501" s="907"/>
      <c r="O501" s="907"/>
      <c r="P501" s="907"/>
      <c r="Q501" s="907"/>
      <c r="R501" s="907"/>
      <c r="S501" s="907"/>
      <c r="T501" s="907"/>
      <c r="U501" s="907"/>
      <c r="V501" s="907"/>
      <c r="W501" s="907"/>
      <c r="X501" s="907"/>
      <c r="Y501" s="907"/>
      <c r="Z501" s="907"/>
      <c r="AA501" s="907"/>
    </row>
    <row r="502" spans="1:27">
      <c r="A502" s="907"/>
      <c r="B502" s="907"/>
      <c r="C502" s="907"/>
      <c r="D502" s="907"/>
      <c r="E502" s="907"/>
      <c r="F502" s="907"/>
      <c r="G502" s="907"/>
      <c r="H502" s="907"/>
      <c r="I502" s="907"/>
      <c r="J502" s="907"/>
      <c r="K502" s="907"/>
      <c r="L502" s="907"/>
      <c r="M502" s="907"/>
      <c r="N502" s="907"/>
      <c r="O502" s="907"/>
      <c r="P502" s="907"/>
      <c r="Q502" s="907"/>
      <c r="R502" s="907"/>
      <c r="S502" s="907"/>
      <c r="T502" s="907"/>
      <c r="U502" s="907"/>
      <c r="V502" s="907"/>
      <c r="W502" s="907"/>
      <c r="X502" s="907"/>
      <c r="Y502" s="907"/>
      <c r="Z502" s="907"/>
      <c r="AA502" s="907"/>
    </row>
    <row r="503" spans="1:27">
      <c r="A503" s="907"/>
      <c r="B503" s="907"/>
      <c r="C503" s="907"/>
      <c r="D503" s="907"/>
      <c r="E503" s="907"/>
      <c r="F503" s="907"/>
      <c r="G503" s="907"/>
      <c r="H503" s="907"/>
      <c r="I503" s="907"/>
      <c r="J503" s="907"/>
      <c r="K503" s="907"/>
      <c r="L503" s="907"/>
      <c r="M503" s="907"/>
      <c r="N503" s="907"/>
      <c r="O503" s="907"/>
      <c r="P503" s="907"/>
      <c r="Q503" s="907"/>
      <c r="R503" s="907"/>
      <c r="S503" s="907"/>
      <c r="T503" s="907"/>
      <c r="U503" s="907"/>
      <c r="V503" s="907"/>
      <c r="W503" s="907"/>
      <c r="X503" s="907"/>
      <c r="Y503" s="907"/>
      <c r="Z503" s="907"/>
      <c r="AA503" s="907"/>
    </row>
    <row r="504" spans="1:27">
      <c r="A504" s="907"/>
      <c r="B504" s="907"/>
      <c r="C504" s="907"/>
      <c r="D504" s="907"/>
      <c r="E504" s="907"/>
      <c r="F504" s="907"/>
      <c r="G504" s="907"/>
      <c r="H504" s="907"/>
      <c r="I504" s="907"/>
      <c r="J504" s="907"/>
      <c r="K504" s="907"/>
      <c r="L504" s="907"/>
      <c r="M504" s="907"/>
      <c r="N504" s="907"/>
      <c r="O504" s="907"/>
      <c r="P504" s="907"/>
      <c r="Q504" s="907"/>
      <c r="R504" s="907"/>
      <c r="S504" s="907"/>
      <c r="T504" s="907"/>
      <c r="U504" s="907"/>
      <c r="V504" s="907"/>
      <c r="W504" s="907"/>
      <c r="X504" s="907"/>
      <c r="Y504" s="907"/>
      <c r="Z504" s="907"/>
      <c r="AA504" s="907"/>
    </row>
    <row r="505" spans="1:27">
      <c r="A505" s="907"/>
      <c r="B505" s="907"/>
      <c r="C505" s="907"/>
      <c r="D505" s="907"/>
      <c r="E505" s="907"/>
      <c r="F505" s="907"/>
      <c r="G505" s="907"/>
      <c r="H505" s="907"/>
      <c r="I505" s="907"/>
      <c r="J505" s="907"/>
      <c r="K505" s="907"/>
      <c r="L505" s="907"/>
      <c r="M505" s="907"/>
      <c r="N505" s="907"/>
      <c r="O505" s="907"/>
      <c r="P505" s="907"/>
      <c r="Q505" s="907"/>
      <c r="R505" s="907"/>
      <c r="S505" s="907"/>
      <c r="T505" s="907"/>
      <c r="U505" s="907"/>
      <c r="V505" s="907"/>
      <c r="W505" s="907"/>
      <c r="X505" s="907"/>
      <c r="Y505" s="907"/>
      <c r="Z505" s="907"/>
      <c r="AA505" s="907"/>
    </row>
    <row r="506" spans="1:27">
      <c r="A506" s="907"/>
      <c r="B506" s="907"/>
      <c r="C506" s="907"/>
      <c r="D506" s="907"/>
      <c r="E506" s="907"/>
      <c r="F506" s="907"/>
      <c r="G506" s="907"/>
      <c r="H506" s="907"/>
      <c r="I506" s="907"/>
      <c r="J506" s="907"/>
      <c r="K506" s="907"/>
      <c r="L506" s="907"/>
      <c r="M506" s="907"/>
      <c r="N506" s="907"/>
      <c r="O506" s="907"/>
      <c r="P506" s="907"/>
      <c r="Q506" s="907"/>
      <c r="R506" s="907"/>
      <c r="S506" s="907"/>
      <c r="T506" s="907"/>
      <c r="U506" s="907"/>
      <c r="V506" s="907"/>
      <c r="W506" s="907"/>
      <c r="X506" s="907"/>
      <c r="Y506" s="907"/>
      <c r="Z506" s="907"/>
      <c r="AA506" s="907"/>
    </row>
    <row r="507" spans="1:27">
      <c r="A507" s="907"/>
      <c r="B507" s="907"/>
      <c r="C507" s="907"/>
      <c r="D507" s="907"/>
      <c r="E507" s="907"/>
      <c r="F507" s="907"/>
      <c r="G507" s="907"/>
      <c r="H507" s="907"/>
      <c r="I507" s="907"/>
      <c r="J507" s="907"/>
      <c r="K507" s="907"/>
      <c r="L507" s="907"/>
      <c r="M507" s="907"/>
      <c r="N507" s="907"/>
      <c r="O507" s="907"/>
      <c r="P507" s="907"/>
      <c r="Q507" s="907"/>
      <c r="R507" s="907"/>
      <c r="S507" s="907"/>
      <c r="T507" s="907"/>
      <c r="U507" s="907"/>
      <c r="V507" s="907"/>
      <c r="W507" s="907"/>
      <c r="X507" s="907"/>
      <c r="Y507" s="907"/>
      <c r="Z507" s="907"/>
      <c r="AA507" s="907"/>
    </row>
    <row r="508" spans="1:27">
      <c r="A508" s="907"/>
      <c r="B508" s="907"/>
      <c r="C508" s="907"/>
      <c r="D508" s="907"/>
      <c r="E508" s="907"/>
      <c r="F508" s="907"/>
      <c r="G508" s="907"/>
      <c r="H508" s="907"/>
      <c r="I508" s="907"/>
      <c r="J508" s="907"/>
      <c r="K508" s="907"/>
      <c r="L508" s="907"/>
      <c r="M508" s="907"/>
      <c r="N508" s="907"/>
      <c r="O508" s="907"/>
      <c r="P508" s="907"/>
      <c r="Q508" s="907"/>
      <c r="R508" s="907"/>
      <c r="S508" s="907"/>
      <c r="T508" s="907"/>
      <c r="U508" s="907"/>
      <c r="V508" s="907"/>
      <c r="W508" s="907"/>
      <c r="X508" s="907"/>
      <c r="Y508" s="907"/>
      <c r="Z508" s="907"/>
      <c r="AA508" s="907"/>
    </row>
    <row r="509" spans="1:27">
      <c r="A509" s="907"/>
      <c r="B509" s="907"/>
      <c r="C509" s="907"/>
      <c r="D509" s="907"/>
      <c r="E509" s="907"/>
      <c r="F509" s="907"/>
      <c r="G509" s="907"/>
      <c r="H509" s="907"/>
      <c r="I509" s="907"/>
      <c r="J509" s="907"/>
      <c r="K509" s="907"/>
      <c r="L509" s="907"/>
      <c r="M509" s="907"/>
      <c r="N509" s="907"/>
      <c r="O509" s="907"/>
      <c r="P509" s="907"/>
      <c r="Q509" s="907"/>
      <c r="R509" s="907"/>
      <c r="S509" s="907"/>
      <c r="T509" s="907"/>
      <c r="U509" s="907"/>
      <c r="V509" s="907"/>
      <c r="W509" s="907"/>
      <c r="X509" s="907"/>
      <c r="Y509" s="907"/>
      <c r="Z509" s="907"/>
      <c r="AA509" s="907"/>
    </row>
    <row r="510" spans="1:27">
      <c r="A510" s="907"/>
      <c r="B510" s="907"/>
      <c r="C510" s="907"/>
      <c r="D510" s="907"/>
      <c r="E510" s="907"/>
      <c r="F510" s="907"/>
      <c r="G510" s="907"/>
      <c r="H510" s="907"/>
      <c r="I510" s="907"/>
      <c r="J510" s="907"/>
      <c r="K510" s="907"/>
      <c r="L510" s="907"/>
      <c r="M510" s="907"/>
      <c r="N510" s="907"/>
      <c r="O510" s="907"/>
      <c r="P510" s="907"/>
      <c r="Q510" s="907"/>
      <c r="R510" s="907"/>
      <c r="S510" s="907"/>
      <c r="T510" s="907"/>
      <c r="U510" s="907"/>
      <c r="V510" s="907"/>
      <c r="W510" s="907"/>
      <c r="X510" s="907"/>
      <c r="Y510" s="907"/>
      <c r="Z510" s="907"/>
      <c r="AA510" s="907"/>
    </row>
    <row r="511" spans="1:27">
      <c r="A511" s="907"/>
      <c r="B511" s="907"/>
      <c r="C511" s="907"/>
      <c r="D511" s="907"/>
      <c r="E511" s="907"/>
      <c r="F511" s="907"/>
      <c r="G511" s="907"/>
      <c r="H511" s="907"/>
      <c r="I511" s="907"/>
      <c r="J511" s="907"/>
      <c r="K511" s="907"/>
      <c r="L511" s="907"/>
      <c r="M511" s="907"/>
      <c r="N511" s="907"/>
      <c r="O511" s="907"/>
      <c r="P511" s="907"/>
      <c r="Q511" s="907"/>
      <c r="R511" s="907"/>
      <c r="S511" s="907"/>
      <c r="T511" s="907"/>
      <c r="U511" s="907"/>
      <c r="V511" s="907"/>
      <c r="W511" s="907"/>
      <c r="X511" s="907"/>
      <c r="Y511" s="907"/>
      <c r="Z511" s="907"/>
      <c r="AA511" s="907"/>
    </row>
    <row r="512" spans="1:27">
      <c r="A512" s="907"/>
      <c r="B512" s="907"/>
      <c r="C512" s="907"/>
      <c r="D512" s="907"/>
      <c r="E512" s="907"/>
      <c r="F512" s="907"/>
      <c r="G512" s="907"/>
      <c r="H512" s="907"/>
      <c r="I512" s="907"/>
      <c r="J512" s="907"/>
      <c r="K512" s="907"/>
      <c r="L512" s="907"/>
      <c r="M512" s="907"/>
      <c r="N512" s="907"/>
      <c r="O512" s="907"/>
      <c r="P512" s="907"/>
      <c r="Q512" s="907"/>
      <c r="R512" s="907"/>
      <c r="S512" s="907"/>
      <c r="T512" s="907"/>
      <c r="U512" s="907"/>
      <c r="V512" s="907"/>
      <c r="W512" s="907"/>
      <c r="X512" s="907"/>
      <c r="Y512" s="907"/>
      <c r="Z512" s="907"/>
      <c r="AA512" s="907"/>
    </row>
    <row r="513" spans="1:27">
      <c r="A513" s="907"/>
      <c r="B513" s="907"/>
      <c r="C513" s="907"/>
      <c r="D513" s="907"/>
      <c r="E513" s="907"/>
      <c r="F513" s="907"/>
      <c r="G513" s="907"/>
      <c r="H513" s="907"/>
      <c r="I513" s="907"/>
      <c r="J513" s="907"/>
      <c r="K513" s="907"/>
      <c r="L513" s="907"/>
      <c r="M513" s="907"/>
      <c r="N513" s="907"/>
      <c r="O513" s="907"/>
      <c r="P513" s="907"/>
      <c r="Q513" s="907"/>
      <c r="R513" s="907"/>
      <c r="S513" s="907"/>
      <c r="T513" s="907"/>
      <c r="U513" s="907"/>
      <c r="V513" s="907"/>
      <c r="W513" s="907"/>
      <c r="X513" s="907"/>
      <c r="Y513" s="907"/>
      <c r="Z513" s="907"/>
      <c r="AA513" s="907"/>
    </row>
    <row r="514" spans="1:27">
      <c r="A514" s="907"/>
      <c r="B514" s="907"/>
      <c r="C514" s="907"/>
      <c r="D514" s="907"/>
      <c r="E514" s="907"/>
      <c r="F514" s="907"/>
      <c r="G514" s="907"/>
      <c r="H514" s="907"/>
      <c r="I514" s="907"/>
      <c r="J514" s="907"/>
      <c r="K514" s="907"/>
      <c r="L514" s="907"/>
      <c r="M514" s="907"/>
      <c r="N514" s="907"/>
      <c r="O514" s="907"/>
      <c r="P514" s="907"/>
      <c r="Q514" s="907"/>
      <c r="R514" s="907"/>
      <c r="S514" s="907"/>
      <c r="T514" s="907"/>
      <c r="U514" s="907"/>
      <c r="V514" s="907"/>
      <c r="W514" s="907"/>
      <c r="X514" s="907"/>
      <c r="Y514" s="907"/>
      <c r="Z514" s="907"/>
      <c r="AA514" s="907"/>
    </row>
    <row r="515" spans="1:27">
      <c r="A515" s="907"/>
      <c r="B515" s="907"/>
      <c r="C515" s="907"/>
      <c r="D515" s="907"/>
      <c r="E515" s="907"/>
      <c r="F515" s="907"/>
      <c r="G515" s="907"/>
      <c r="H515" s="907"/>
      <c r="I515" s="907"/>
      <c r="J515" s="907"/>
      <c r="K515" s="907"/>
      <c r="L515" s="907"/>
      <c r="M515" s="907"/>
      <c r="N515" s="907"/>
      <c r="O515" s="907"/>
      <c r="P515" s="907"/>
      <c r="Q515" s="907"/>
      <c r="R515" s="907"/>
      <c r="S515" s="907"/>
      <c r="T515" s="907"/>
      <c r="U515" s="907"/>
      <c r="V515" s="907"/>
      <c r="W515" s="907"/>
      <c r="X515" s="907"/>
      <c r="Y515" s="907"/>
      <c r="Z515" s="907"/>
      <c r="AA515" s="907"/>
    </row>
    <row r="516" spans="1:27">
      <c r="A516" s="907"/>
      <c r="B516" s="907"/>
      <c r="C516" s="907"/>
      <c r="D516" s="907"/>
      <c r="E516" s="907"/>
      <c r="F516" s="907"/>
      <c r="G516" s="907"/>
      <c r="H516" s="907"/>
      <c r="I516" s="907"/>
      <c r="J516" s="907"/>
      <c r="K516" s="907"/>
      <c r="L516" s="907"/>
      <c r="M516" s="907"/>
      <c r="N516" s="907"/>
      <c r="O516" s="907"/>
      <c r="P516" s="907"/>
      <c r="Q516" s="907"/>
      <c r="R516" s="907"/>
      <c r="S516" s="907"/>
      <c r="T516" s="907"/>
      <c r="U516" s="907"/>
      <c r="V516" s="907"/>
      <c r="W516" s="907"/>
      <c r="X516" s="907"/>
      <c r="Y516" s="907"/>
      <c r="Z516" s="907"/>
      <c r="AA516" s="907"/>
    </row>
    <row r="517" spans="1:27">
      <c r="A517" s="907"/>
      <c r="B517" s="907"/>
      <c r="C517" s="907"/>
      <c r="D517" s="907"/>
      <c r="E517" s="907"/>
      <c r="F517" s="907"/>
      <c r="G517" s="907"/>
      <c r="H517" s="907"/>
      <c r="I517" s="907"/>
      <c r="J517" s="907"/>
      <c r="K517" s="907"/>
      <c r="L517" s="907"/>
      <c r="M517" s="907"/>
      <c r="N517" s="907"/>
      <c r="O517" s="907"/>
      <c r="P517" s="907"/>
      <c r="Q517" s="907"/>
      <c r="R517" s="907"/>
      <c r="S517" s="907"/>
      <c r="T517" s="907"/>
      <c r="U517" s="907"/>
      <c r="V517" s="907"/>
      <c r="W517" s="907"/>
      <c r="X517" s="907"/>
      <c r="Y517" s="907"/>
      <c r="Z517" s="907"/>
      <c r="AA517" s="907"/>
    </row>
    <row r="518" spans="1:27">
      <c r="A518" s="907"/>
      <c r="B518" s="907"/>
      <c r="C518" s="907"/>
      <c r="D518" s="907"/>
      <c r="E518" s="907"/>
      <c r="F518" s="907"/>
      <c r="G518" s="907"/>
      <c r="H518" s="907"/>
      <c r="I518" s="907"/>
      <c r="J518" s="907"/>
      <c r="K518" s="907"/>
      <c r="L518" s="907"/>
      <c r="M518" s="907"/>
      <c r="N518" s="907"/>
      <c r="O518" s="907"/>
      <c r="P518" s="907"/>
      <c r="Q518" s="907"/>
      <c r="R518" s="907"/>
      <c r="S518" s="907"/>
      <c r="T518" s="907"/>
      <c r="U518" s="907"/>
      <c r="V518" s="907"/>
      <c r="W518" s="907"/>
      <c r="X518" s="907"/>
      <c r="Y518" s="907"/>
      <c r="Z518" s="907"/>
      <c r="AA518" s="907"/>
    </row>
    <row r="519" spans="1:27">
      <c r="A519" s="907"/>
      <c r="B519" s="907"/>
      <c r="C519" s="907"/>
      <c r="D519" s="907"/>
      <c r="E519" s="907"/>
      <c r="F519" s="907"/>
      <c r="G519" s="907"/>
      <c r="H519" s="907"/>
      <c r="I519" s="907"/>
      <c r="J519" s="907"/>
      <c r="K519" s="907"/>
      <c r="L519" s="907"/>
      <c r="M519" s="907"/>
      <c r="N519" s="907"/>
      <c r="O519" s="907"/>
      <c r="P519" s="907"/>
      <c r="Q519" s="907"/>
      <c r="R519" s="907"/>
      <c r="S519" s="907"/>
      <c r="T519" s="907"/>
      <c r="U519" s="907"/>
      <c r="V519" s="907"/>
      <c r="W519" s="907"/>
      <c r="X519" s="907"/>
      <c r="Y519" s="907"/>
      <c r="Z519" s="907"/>
      <c r="AA519" s="907"/>
    </row>
    <row r="520" spans="1:27">
      <c r="A520" s="907"/>
      <c r="B520" s="907"/>
      <c r="C520" s="907"/>
      <c r="D520" s="907"/>
      <c r="E520" s="907"/>
      <c r="F520" s="907"/>
      <c r="G520" s="907"/>
      <c r="H520" s="907"/>
      <c r="I520" s="907"/>
      <c r="J520" s="907"/>
      <c r="K520" s="907"/>
      <c r="L520" s="907"/>
      <c r="M520" s="907"/>
      <c r="N520" s="907"/>
      <c r="O520" s="907"/>
      <c r="P520" s="907"/>
      <c r="Q520" s="907"/>
      <c r="R520" s="907"/>
      <c r="S520" s="907"/>
      <c r="T520" s="907"/>
      <c r="U520" s="907"/>
      <c r="V520" s="907"/>
      <c r="W520" s="907"/>
      <c r="X520" s="907"/>
      <c r="Y520" s="907"/>
      <c r="Z520" s="907"/>
      <c r="AA520" s="907"/>
    </row>
    <row r="521" spans="1:27">
      <c r="A521" s="907"/>
      <c r="B521" s="907"/>
      <c r="C521" s="907"/>
      <c r="D521" s="907"/>
      <c r="E521" s="907"/>
      <c r="F521" s="907"/>
      <c r="G521" s="907"/>
      <c r="H521" s="907"/>
      <c r="I521" s="907"/>
      <c r="J521" s="907"/>
      <c r="K521" s="907"/>
      <c r="L521" s="907"/>
      <c r="M521" s="907"/>
      <c r="N521" s="907"/>
      <c r="O521" s="907"/>
      <c r="P521" s="907"/>
      <c r="Q521" s="907"/>
      <c r="R521" s="907"/>
      <c r="S521" s="907"/>
      <c r="T521" s="907"/>
      <c r="U521" s="907"/>
      <c r="V521" s="907"/>
      <c r="W521" s="907"/>
      <c r="X521" s="907"/>
      <c r="Y521" s="907"/>
      <c r="Z521" s="907"/>
      <c r="AA521" s="907"/>
    </row>
    <row r="522" spans="1:27">
      <c r="A522" s="907"/>
      <c r="B522" s="907"/>
      <c r="C522" s="907"/>
      <c r="D522" s="907"/>
      <c r="E522" s="907"/>
      <c r="F522" s="907"/>
      <c r="G522" s="907"/>
      <c r="H522" s="907"/>
      <c r="I522" s="907"/>
      <c r="J522" s="907"/>
      <c r="K522" s="907"/>
      <c r="L522" s="907"/>
      <c r="M522" s="907"/>
      <c r="N522" s="907"/>
      <c r="O522" s="907"/>
      <c r="P522" s="907"/>
      <c r="Q522" s="907"/>
      <c r="R522" s="907"/>
      <c r="S522" s="907"/>
      <c r="T522" s="907"/>
      <c r="U522" s="907"/>
      <c r="V522" s="907"/>
      <c r="W522" s="907"/>
      <c r="X522" s="907"/>
      <c r="Y522" s="907"/>
      <c r="Z522" s="907"/>
      <c r="AA522" s="907"/>
    </row>
    <row r="523" spans="1:27">
      <c r="A523" s="907"/>
      <c r="B523" s="907"/>
      <c r="C523" s="907"/>
      <c r="D523" s="907"/>
      <c r="E523" s="907"/>
      <c r="F523" s="907"/>
      <c r="G523" s="907"/>
      <c r="H523" s="907"/>
      <c r="I523" s="907"/>
      <c r="J523" s="907"/>
      <c r="K523" s="907"/>
      <c r="L523" s="907"/>
      <c r="M523" s="907"/>
      <c r="N523" s="907"/>
      <c r="O523" s="907"/>
      <c r="P523" s="907"/>
      <c r="Q523" s="907"/>
      <c r="R523" s="907"/>
      <c r="S523" s="907"/>
      <c r="T523" s="907"/>
      <c r="U523" s="907"/>
      <c r="V523" s="907"/>
      <c r="W523" s="907"/>
      <c r="X523" s="907"/>
      <c r="Y523" s="907"/>
      <c r="Z523" s="907"/>
      <c r="AA523" s="907"/>
    </row>
    <row r="524" spans="1:27">
      <c r="A524" s="907"/>
      <c r="B524" s="907"/>
      <c r="C524" s="907"/>
      <c r="D524" s="907"/>
      <c r="E524" s="907"/>
      <c r="F524" s="907"/>
      <c r="G524" s="907"/>
      <c r="H524" s="907"/>
      <c r="I524" s="907"/>
      <c r="J524" s="907"/>
      <c r="K524" s="907"/>
      <c r="L524" s="907"/>
      <c r="M524" s="907"/>
      <c r="N524" s="907"/>
      <c r="O524" s="907"/>
      <c r="P524" s="907"/>
      <c r="Q524" s="907"/>
      <c r="R524" s="907"/>
      <c r="S524" s="907"/>
      <c r="T524" s="907"/>
      <c r="U524" s="907"/>
      <c r="V524" s="907"/>
      <c r="W524" s="907"/>
      <c r="X524" s="907"/>
      <c r="Y524" s="907"/>
      <c r="Z524" s="907"/>
      <c r="AA524" s="907"/>
    </row>
    <row r="525" spans="1:27">
      <c r="A525" s="907"/>
      <c r="B525" s="907"/>
      <c r="C525" s="907"/>
      <c r="D525" s="907"/>
      <c r="E525" s="907"/>
      <c r="F525" s="907"/>
      <c r="G525" s="907"/>
      <c r="H525" s="907"/>
      <c r="I525" s="907"/>
      <c r="J525" s="907"/>
      <c r="K525" s="907"/>
      <c r="L525" s="907"/>
      <c r="M525" s="907"/>
      <c r="N525" s="907"/>
      <c r="O525" s="907"/>
      <c r="P525" s="907"/>
      <c r="Q525" s="907"/>
      <c r="R525" s="907"/>
      <c r="S525" s="907"/>
      <c r="T525" s="907"/>
      <c r="U525" s="907"/>
      <c r="V525" s="907"/>
      <c r="W525" s="907"/>
      <c r="X525" s="907"/>
      <c r="Y525" s="907"/>
      <c r="Z525" s="907"/>
      <c r="AA525" s="907"/>
    </row>
    <row r="526" spans="1:27">
      <c r="A526" s="907"/>
      <c r="B526" s="907"/>
      <c r="C526" s="907"/>
      <c r="D526" s="907"/>
      <c r="E526" s="907"/>
      <c r="F526" s="907"/>
      <c r="G526" s="907"/>
      <c r="H526" s="907"/>
      <c r="I526" s="907"/>
      <c r="J526" s="907"/>
      <c r="K526" s="907"/>
      <c r="L526" s="907"/>
      <c r="M526" s="907"/>
      <c r="N526" s="907"/>
      <c r="O526" s="907"/>
      <c r="P526" s="907"/>
      <c r="Q526" s="907"/>
      <c r="R526" s="907"/>
      <c r="S526" s="907"/>
      <c r="T526" s="907"/>
      <c r="U526" s="907"/>
      <c r="V526" s="907"/>
      <c r="W526" s="907"/>
      <c r="X526" s="907"/>
      <c r="Y526" s="907"/>
      <c r="Z526" s="907"/>
      <c r="AA526" s="907"/>
    </row>
    <row r="527" spans="1:27">
      <c r="A527" s="907"/>
      <c r="B527" s="907"/>
      <c r="C527" s="907"/>
      <c r="D527" s="907"/>
      <c r="E527" s="907"/>
      <c r="F527" s="907"/>
      <c r="G527" s="907"/>
      <c r="H527" s="907"/>
      <c r="I527" s="907"/>
      <c r="J527" s="907"/>
      <c r="K527" s="907"/>
      <c r="L527" s="907"/>
      <c r="M527" s="907"/>
      <c r="N527" s="907"/>
      <c r="O527" s="907"/>
      <c r="P527" s="907"/>
      <c r="Q527" s="907"/>
      <c r="R527" s="907"/>
      <c r="S527" s="907"/>
      <c r="T527" s="907"/>
      <c r="U527" s="907"/>
      <c r="V527" s="907"/>
      <c r="W527" s="907"/>
      <c r="X527" s="907"/>
      <c r="Y527" s="907"/>
      <c r="Z527" s="907"/>
      <c r="AA527" s="907"/>
    </row>
    <row r="528" spans="1:27">
      <c r="A528" s="907"/>
      <c r="B528" s="907"/>
      <c r="C528" s="907"/>
      <c r="D528" s="907"/>
      <c r="E528" s="907"/>
      <c r="F528" s="907"/>
      <c r="G528" s="907"/>
      <c r="H528" s="907"/>
      <c r="I528" s="907"/>
      <c r="J528" s="907"/>
      <c r="K528" s="907"/>
      <c r="L528" s="907"/>
      <c r="M528" s="907"/>
      <c r="N528" s="907"/>
      <c r="O528" s="907"/>
      <c r="P528" s="907"/>
      <c r="Q528" s="907"/>
      <c r="R528" s="907"/>
      <c r="S528" s="907"/>
      <c r="T528" s="907"/>
      <c r="U528" s="907"/>
      <c r="V528" s="907"/>
      <c r="W528" s="907"/>
      <c r="X528" s="907"/>
      <c r="Y528" s="907"/>
      <c r="Z528" s="907"/>
      <c r="AA528" s="907"/>
    </row>
    <row r="529" spans="1:27">
      <c r="A529" s="907"/>
      <c r="B529" s="907"/>
      <c r="C529" s="907"/>
      <c r="D529" s="907"/>
      <c r="E529" s="907"/>
      <c r="F529" s="907"/>
      <c r="G529" s="907"/>
      <c r="H529" s="907"/>
      <c r="I529" s="907"/>
      <c r="J529" s="907"/>
      <c r="K529" s="907"/>
      <c r="L529" s="907"/>
      <c r="M529" s="907"/>
      <c r="N529" s="907"/>
      <c r="O529" s="907"/>
      <c r="P529" s="907"/>
      <c r="Q529" s="907"/>
      <c r="R529" s="907"/>
      <c r="S529" s="907"/>
      <c r="T529" s="907"/>
      <c r="U529" s="907"/>
      <c r="V529" s="907"/>
      <c r="W529" s="907"/>
      <c r="X529" s="907"/>
      <c r="Y529" s="907"/>
      <c r="Z529" s="907"/>
      <c r="AA529" s="907"/>
    </row>
    <row r="530" spans="1:27">
      <c r="A530" s="907"/>
      <c r="B530" s="907"/>
      <c r="C530" s="907"/>
      <c r="D530" s="907"/>
      <c r="E530" s="907"/>
      <c r="F530" s="907"/>
      <c r="G530" s="907"/>
      <c r="H530" s="907"/>
      <c r="I530" s="907"/>
      <c r="J530" s="907"/>
      <c r="K530" s="907"/>
      <c r="L530" s="907"/>
      <c r="M530" s="907"/>
      <c r="N530" s="907"/>
      <c r="O530" s="907"/>
      <c r="P530" s="907"/>
      <c r="Q530" s="907"/>
      <c r="R530" s="907"/>
      <c r="S530" s="907"/>
      <c r="T530" s="907"/>
      <c r="U530" s="907"/>
      <c r="V530" s="907"/>
      <c r="W530" s="907"/>
      <c r="X530" s="907"/>
      <c r="Y530" s="907"/>
      <c r="Z530" s="907"/>
      <c r="AA530" s="907"/>
    </row>
    <row r="531" spans="1:27">
      <c r="A531" s="907"/>
      <c r="B531" s="907"/>
      <c r="C531" s="907"/>
      <c r="D531" s="907"/>
      <c r="E531" s="907"/>
      <c r="F531" s="907"/>
      <c r="G531" s="907"/>
      <c r="H531" s="907"/>
      <c r="I531" s="907"/>
      <c r="J531" s="907"/>
      <c r="K531" s="907"/>
      <c r="L531" s="907"/>
      <c r="M531" s="907"/>
      <c r="N531" s="907"/>
      <c r="O531" s="907"/>
      <c r="P531" s="907"/>
      <c r="Q531" s="907"/>
      <c r="R531" s="907"/>
      <c r="S531" s="907"/>
      <c r="T531" s="907"/>
      <c r="U531" s="907"/>
      <c r="V531" s="907"/>
      <c r="W531" s="907"/>
      <c r="X531" s="907"/>
      <c r="Y531" s="907"/>
      <c r="Z531" s="907"/>
      <c r="AA531" s="907"/>
    </row>
    <row r="532" spans="1:27">
      <c r="A532" s="907"/>
      <c r="B532" s="907"/>
      <c r="C532" s="907"/>
      <c r="D532" s="907"/>
      <c r="E532" s="907"/>
      <c r="F532" s="907"/>
      <c r="G532" s="907"/>
      <c r="H532" s="907"/>
      <c r="I532" s="907"/>
      <c r="J532" s="907"/>
      <c r="K532" s="907"/>
      <c r="L532" s="907"/>
      <c r="M532" s="907"/>
      <c r="N532" s="907"/>
      <c r="O532" s="907"/>
      <c r="P532" s="907"/>
      <c r="Q532" s="907"/>
      <c r="R532" s="907"/>
      <c r="S532" s="907"/>
      <c r="T532" s="907"/>
      <c r="U532" s="907"/>
      <c r="V532" s="907"/>
      <c r="W532" s="907"/>
      <c r="X532" s="907"/>
      <c r="Y532" s="907"/>
      <c r="Z532" s="907"/>
      <c r="AA532" s="907"/>
    </row>
    <row r="533" spans="1:27">
      <c r="A533" s="907"/>
      <c r="B533" s="907"/>
      <c r="C533" s="907"/>
      <c r="D533" s="907"/>
      <c r="E533" s="907"/>
      <c r="F533" s="907"/>
      <c r="G533" s="907"/>
      <c r="H533" s="907"/>
      <c r="I533" s="907"/>
      <c r="J533" s="907"/>
      <c r="K533" s="907"/>
      <c r="L533" s="907"/>
      <c r="M533" s="907"/>
      <c r="N533" s="907"/>
      <c r="O533" s="907"/>
      <c r="P533" s="907"/>
      <c r="Q533" s="907"/>
      <c r="R533" s="907"/>
      <c r="S533" s="907"/>
      <c r="T533" s="907"/>
      <c r="U533" s="907"/>
      <c r="V533" s="907"/>
      <c r="W533" s="907"/>
      <c r="X533" s="907"/>
      <c r="Y533" s="907"/>
      <c r="Z533" s="907"/>
      <c r="AA533" s="907"/>
    </row>
    <row r="534" spans="1:27">
      <c r="A534" s="907"/>
      <c r="B534" s="907"/>
      <c r="C534" s="907"/>
      <c r="D534" s="907"/>
      <c r="E534" s="907"/>
      <c r="F534" s="907"/>
      <c r="G534" s="907"/>
      <c r="H534" s="907"/>
      <c r="I534" s="907"/>
      <c r="J534" s="907"/>
      <c r="K534" s="907"/>
      <c r="L534" s="907"/>
      <c r="M534" s="907"/>
      <c r="N534" s="907"/>
      <c r="O534" s="907"/>
      <c r="P534" s="907"/>
      <c r="Q534" s="907"/>
      <c r="R534" s="907"/>
      <c r="S534" s="907"/>
      <c r="T534" s="907"/>
      <c r="U534" s="907"/>
      <c r="V534" s="907"/>
      <c r="W534" s="907"/>
      <c r="X534" s="907"/>
      <c r="Y534" s="907"/>
      <c r="Z534" s="907"/>
      <c r="AA534" s="907"/>
    </row>
    <row r="535" spans="1:27">
      <c r="A535" s="907"/>
      <c r="B535" s="907"/>
      <c r="C535" s="907"/>
      <c r="D535" s="907"/>
      <c r="E535" s="907"/>
      <c r="F535" s="907"/>
      <c r="G535" s="907"/>
      <c r="H535" s="907"/>
      <c r="I535" s="907"/>
      <c r="J535" s="907"/>
      <c r="K535" s="907"/>
      <c r="L535" s="907"/>
      <c r="M535" s="907"/>
      <c r="N535" s="907"/>
      <c r="O535" s="907"/>
      <c r="P535" s="907"/>
      <c r="Q535" s="907"/>
      <c r="R535" s="907"/>
      <c r="S535" s="907"/>
      <c r="T535" s="907"/>
      <c r="U535" s="907"/>
      <c r="V535" s="907"/>
      <c r="W535" s="907"/>
      <c r="X535" s="907"/>
      <c r="Y535" s="907"/>
      <c r="Z535" s="907"/>
      <c r="AA535" s="907"/>
    </row>
    <row r="536" spans="1:27">
      <c r="A536" s="907"/>
      <c r="B536" s="907"/>
      <c r="C536" s="907"/>
      <c r="D536" s="907"/>
      <c r="E536" s="907"/>
      <c r="F536" s="907"/>
      <c r="G536" s="907"/>
      <c r="H536" s="907"/>
      <c r="I536" s="907"/>
      <c r="J536" s="907"/>
      <c r="K536" s="907"/>
      <c r="L536" s="907"/>
      <c r="M536" s="907"/>
      <c r="N536" s="907"/>
      <c r="O536" s="907"/>
      <c r="P536" s="907"/>
      <c r="Q536" s="907"/>
      <c r="R536" s="907"/>
      <c r="S536" s="907"/>
      <c r="T536" s="907"/>
      <c r="U536" s="907"/>
      <c r="V536" s="907"/>
      <c r="W536" s="907"/>
      <c r="X536" s="907"/>
      <c r="Y536" s="907"/>
      <c r="Z536" s="907"/>
      <c r="AA536" s="907"/>
    </row>
    <row r="537" spans="1:27">
      <c r="A537" s="907"/>
      <c r="B537" s="907"/>
      <c r="C537" s="907"/>
      <c r="D537" s="907"/>
      <c r="E537" s="907"/>
      <c r="F537" s="907"/>
      <c r="G537" s="907"/>
      <c r="H537" s="907"/>
      <c r="I537" s="907"/>
      <c r="J537" s="907"/>
      <c r="K537" s="907"/>
      <c r="L537" s="907"/>
      <c r="M537" s="907"/>
      <c r="N537" s="907"/>
      <c r="O537" s="907"/>
      <c r="P537" s="907"/>
      <c r="Q537" s="907"/>
      <c r="R537" s="907"/>
      <c r="S537" s="907"/>
      <c r="T537" s="907"/>
      <c r="U537" s="907"/>
      <c r="V537" s="907"/>
      <c r="W537" s="907"/>
      <c r="X537" s="907"/>
      <c r="Y537" s="907"/>
      <c r="Z537" s="907"/>
      <c r="AA537" s="907"/>
    </row>
    <row r="538" spans="1:27">
      <c r="A538" s="907"/>
      <c r="B538" s="907"/>
      <c r="C538" s="907"/>
      <c r="D538" s="907"/>
      <c r="E538" s="907"/>
      <c r="F538" s="907"/>
      <c r="G538" s="907"/>
      <c r="H538" s="907"/>
      <c r="I538" s="907"/>
      <c r="J538" s="907"/>
      <c r="K538" s="907"/>
      <c r="L538" s="907"/>
      <c r="M538" s="907"/>
      <c r="N538" s="907"/>
      <c r="O538" s="907"/>
      <c r="P538" s="907"/>
      <c r="Q538" s="907"/>
      <c r="R538" s="907"/>
      <c r="S538" s="907"/>
      <c r="T538" s="907"/>
      <c r="U538" s="907"/>
      <c r="V538" s="907"/>
      <c r="W538" s="907"/>
      <c r="X538" s="907"/>
      <c r="Y538" s="907"/>
      <c r="Z538" s="907"/>
      <c r="AA538" s="907"/>
    </row>
    <row r="539" spans="1:27">
      <c r="A539" s="907"/>
      <c r="B539" s="907"/>
      <c r="C539" s="907"/>
      <c r="D539" s="907"/>
      <c r="E539" s="907"/>
      <c r="F539" s="907"/>
      <c r="G539" s="907"/>
      <c r="H539" s="907"/>
      <c r="I539" s="907"/>
      <c r="J539" s="907"/>
      <c r="K539" s="907"/>
      <c r="L539" s="907"/>
      <c r="M539" s="907"/>
      <c r="N539" s="907"/>
      <c r="O539" s="907"/>
      <c r="P539" s="907"/>
      <c r="Q539" s="907"/>
      <c r="R539" s="907"/>
      <c r="S539" s="907"/>
      <c r="T539" s="907"/>
      <c r="U539" s="907"/>
      <c r="V539" s="907"/>
      <c r="W539" s="907"/>
      <c r="X539" s="907"/>
      <c r="Y539" s="907"/>
      <c r="Z539" s="907"/>
      <c r="AA539" s="907"/>
    </row>
    <row r="540" spans="1:27">
      <c r="A540" s="907"/>
      <c r="B540" s="907"/>
      <c r="C540" s="907"/>
      <c r="D540" s="907"/>
      <c r="E540" s="907"/>
      <c r="F540" s="907"/>
      <c r="G540" s="907"/>
      <c r="H540" s="907"/>
      <c r="I540" s="907"/>
      <c r="J540" s="907"/>
      <c r="K540" s="907"/>
      <c r="L540" s="907"/>
      <c r="M540" s="907"/>
      <c r="N540" s="907"/>
      <c r="O540" s="907"/>
      <c r="P540" s="907"/>
      <c r="Q540" s="907"/>
      <c r="R540" s="907"/>
      <c r="S540" s="907"/>
      <c r="T540" s="907"/>
      <c r="U540" s="907"/>
      <c r="V540" s="907"/>
      <c r="W540" s="907"/>
      <c r="X540" s="907"/>
      <c r="Y540" s="907"/>
      <c r="Z540" s="907"/>
      <c r="AA540" s="907"/>
    </row>
    <row r="541" spans="1:27">
      <c r="A541" s="907"/>
      <c r="B541" s="907"/>
      <c r="C541" s="907"/>
      <c r="D541" s="907"/>
      <c r="E541" s="907"/>
      <c r="F541" s="907"/>
      <c r="G541" s="907"/>
      <c r="H541" s="907"/>
      <c r="I541" s="907"/>
      <c r="J541" s="907"/>
      <c r="K541" s="907"/>
      <c r="L541" s="907"/>
      <c r="M541" s="907"/>
      <c r="N541" s="907"/>
      <c r="O541" s="907"/>
      <c r="P541" s="907"/>
      <c r="Q541" s="907"/>
      <c r="R541" s="907"/>
      <c r="S541" s="907"/>
      <c r="T541" s="907"/>
      <c r="U541" s="907"/>
      <c r="V541" s="907"/>
      <c r="W541" s="907"/>
      <c r="X541" s="907"/>
      <c r="Y541" s="907"/>
      <c r="Z541" s="907"/>
      <c r="AA541" s="907"/>
    </row>
    <row r="542" spans="1:27">
      <c r="A542" s="907"/>
      <c r="B542" s="907"/>
      <c r="C542" s="907"/>
      <c r="D542" s="907"/>
      <c r="E542" s="907"/>
      <c r="F542" s="907"/>
      <c r="G542" s="907"/>
      <c r="H542" s="907"/>
      <c r="I542" s="907"/>
      <c r="J542" s="907"/>
      <c r="K542" s="907"/>
      <c r="L542" s="907"/>
      <c r="M542" s="907"/>
      <c r="N542" s="907"/>
      <c r="O542" s="907"/>
      <c r="P542" s="907"/>
      <c r="Q542" s="907"/>
      <c r="R542" s="907"/>
      <c r="S542" s="907"/>
      <c r="T542" s="907"/>
      <c r="U542" s="907"/>
      <c r="V542" s="907"/>
      <c r="W542" s="907"/>
      <c r="X542" s="907"/>
      <c r="Y542" s="907"/>
      <c r="Z542" s="907"/>
      <c r="AA542" s="907"/>
    </row>
    <row r="543" spans="1:27">
      <c r="A543" s="907"/>
      <c r="B543" s="907"/>
      <c r="C543" s="907"/>
      <c r="D543" s="907"/>
      <c r="E543" s="907"/>
      <c r="F543" s="907"/>
      <c r="G543" s="907"/>
      <c r="H543" s="907"/>
      <c r="I543" s="907"/>
      <c r="J543" s="907"/>
      <c r="K543" s="907"/>
      <c r="L543" s="907"/>
      <c r="M543" s="907"/>
      <c r="N543" s="907"/>
      <c r="O543" s="907"/>
      <c r="P543" s="907"/>
      <c r="Q543" s="907"/>
      <c r="R543" s="907"/>
      <c r="S543" s="907"/>
      <c r="T543" s="907"/>
      <c r="U543" s="907"/>
      <c r="V543" s="907"/>
      <c r="W543" s="907"/>
      <c r="X543" s="907"/>
      <c r="Y543" s="907"/>
      <c r="Z543" s="907"/>
      <c r="AA543" s="907"/>
    </row>
    <row r="544" spans="1:27">
      <c r="A544" s="907"/>
      <c r="B544" s="907"/>
      <c r="C544" s="907"/>
      <c r="D544" s="907"/>
      <c r="E544" s="907"/>
      <c r="F544" s="907"/>
      <c r="G544" s="907"/>
      <c r="H544" s="907"/>
      <c r="I544" s="907"/>
      <c r="J544" s="907"/>
      <c r="K544" s="907"/>
      <c r="L544" s="907"/>
      <c r="M544" s="907"/>
      <c r="N544" s="907"/>
      <c r="O544" s="907"/>
      <c r="P544" s="907"/>
      <c r="Q544" s="907"/>
      <c r="R544" s="907"/>
      <c r="S544" s="907"/>
      <c r="T544" s="907"/>
      <c r="U544" s="907"/>
      <c r="V544" s="907"/>
      <c r="W544" s="907"/>
      <c r="X544" s="907"/>
      <c r="Y544" s="907"/>
      <c r="Z544" s="907"/>
      <c r="AA544" s="907"/>
    </row>
    <row r="545" spans="1:27">
      <c r="A545" s="907"/>
      <c r="B545" s="907"/>
      <c r="C545" s="907"/>
      <c r="D545" s="907"/>
      <c r="E545" s="907"/>
      <c r="F545" s="907"/>
      <c r="G545" s="907"/>
      <c r="H545" s="907"/>
      <c r="I545" s="907"/>
      <c r="J545" s="907"/>
      <c r="K545" s="907"/>
      <c r="L545" s="907"/>
      <c r="M545" s="907"/>
      <c r="N545" s="907"/>
      <c r="O545" s="907"/>
      <c r="P545" s="907"/>
      <c r="Q545" s="907"/>
      <c r="R545" s="907"/>
      <c r="S545" s="907"/>
      <c r="T545" s="907"/>
      <c r="U545" s="907"/>
      <c r="V545" s="907"/>
      <c r="W545" s="907"/>
      <c r="X545" s="907"/>
      <c r="Y545" s="907"/>
      <c r="Z545" s="907"/>
      <c r="AA545" s="907"/>
    </row>
    <row r="546" spans="1:27">
      <c r="A546" s="907"/>
      <c r="B546" s="907"/>
      <c r="C546" s="907"/>
      <c r="D546" s="907"/>
      <c r="E546" s="907"/>
      <c r="F546" s="907"/>
      <c r="G546" s="907"/>
      <c r="H546" s="907"/>
      <c r="I546" s="907"/>
      <c r="J546" s="907"/>
      <c r="K546" s="907"/>
      <c r="L546" s="907"/>
      <c r="M546" s="907"/>
      <c r="N546" s="907"/>
      <c r="O546" s="907"/>
      <c r="P546" s="907"/>
      <c r="Q546" s="907"/>
      <c r="R546" s="907"/>
      <c r="S546" s="907"/>
      <c r="T546" s="907"/>
      <c r="U546" s="907"/>
      <c r="V546" s="907"/>
      <c r="W546" s="907"/>
      <c r="X546" s="907"/>
      <c r="Y546" s="907"/>
      <c r="Z546" s="907"/>
      <c r="AA546" s="907"/>
    </row>
    <row r="547" spans="1:27">
      <c r="A547" s="907"/>
      <c r="B547" s="907"/>
      <c r="C547" s="907"/>
      <c r="D547" s="907"/>
      <c r="E547" s="907"/>
      <c r="F547" s="907"/>
      <c r="G547" s="907"/>
      <c r="H547" s="907"/>
      <c r="I547" s="907"/>
      <c r="J547" s="907"/>
      <c r="K547" s="907"/>
      <c r="L547" s="907"/>
      <c r="M547" s="907"/>
      <c r="N547" s="907"/>
      <c r="O547" s="907"/>
      <c r="P547" s="907"/>
      <c r="Q547" s="907"/>
      <c r="R547" s="907"/>
      <c r="S547" s="907"/>
      <c r="T547" s="907"/>
      <c r="U547" s="907"/>
      <c r="V547" s="907"/>
      <c r="W547" s="907"/>
      <c r="X547" s="907"/>
      <c r="Y547" s="907"/>
      <c r="Z547" s="907"/>
      <c r="AA547" s="907"/>
    </row>
    <row r="548" spans="1:27">
      <c r="A548" s="907"/>
      <c r="B548" s="907"/>
      <c r="C548" s="907"/>
      <c r="D548" s="907"/>
      <c r="E548" s="907"/>
      <c r="F548" s="907"/>
      <c r="G548" s="907"/>
      <c r="H548" s="907"/>
      <c r="I548" s="907"/>
      <c r="J548" s="907"/>
      <c r="K548" s="907"/>
      <c r="L548" s="907"/>
      <c r="M548" s="907"/>
      <c r="N548" s="907"/>
      <c r="O548" s="907"/>
      <c r="P548" s="907"/>
      <c r="Q548" s="907"/>
      <c r="R548" s="907"/>
      <c r="S548" s="907"/>
      <c r="T548" s="907"/>
      <c r="U548" s="907"/>
      <c r="V548" s="907"/>
      <c r="W548" s="907"/>
      <c r="X548" s="907"/>
      <c r="Y548" s="907"/>
      <c r="Z548" s="907"/>
      <c r="AA548" s="907"/>
    </row>
    <row r="549" spans="1:27">
      <c r="A549" s="907"/>
      <c r="B549" s="907"/>
      <c r="C549" s="907"/>
      <c r="D549" s="907"/>
      <c r="E549" s="907"/>
      <c r="F549" s="907"/>
      <c r="G549" s="907"/>
      <c r="H549" s="907"/>
      <c r="I549" s="907"/>
      <c r="J549" s="907"/>
      <c r="K549" s="907"/>
      <c r="L549" s="907"/>
      <c r="M549" s="907"/>
      <c r="N549" s="907"/>
      <c r="O549" s="907"/>
      <c r="P549" s="907"/>
      <c r="Q549" s="907"/>
      <c r="R549" s="907"/>
      <c r="S549" s="907"/>
      <c r="T549" s="907"/>
      <c r="U549" s="907"/>
      <c r="V549" s="907"/>
      <c r="W549" s="907"/>
      <c r="X549" s="907"/>
      <c r="Y549" s="907"/>
      <c r="Z549" s="907"/>
      <c r="AA549" s="907"/>
    </row>
    <row r="550" spans="1:27">
      <c r="A550" s="907"/>
      <c r="B550" s="907"/>
      <c r="C550" s="907"/>
      <c r="D550" s="907"/>
      <c r="E550" s="907"/>
      <c r="F550" s="907"/>
      <c r="G550" s="907"/>
      <c r="H550" s="907"/>
      <c r="I550" s="907"/>
      <c r="J550" s="907"/>
      <c r="K550" s="907"/>
      <c r="L550" s="907"/>
      <c r="M550" s="907"/>
      <c r="N550" s="907"/>
      <c r="O550" s="907"/>
      <c r="P550" s="907"/>
      <c r="Q550" s="907"/>
      <c r="R550" s="907"/>
      <c r="S550" s="907"/>
      <c r="T550" s="907"/>
      <c r="U550" s="907"/>
      <c r="V550" s="907"/>
      <c r="W550" s="907"/>
      <c r="X550" s="907"/>
      <c r="Y550" s="907"/>
      <c r="Z550" s="907"/>
      <c r="AA550" s="907"/>
    </row>
    <row r="551" spans="1:27">
      <c r="A551" s="907"/>
      <c r="B551" s="907"/>
      <c r="C551" s="907"/>
      <c r="D551" s="907"/>
      <c r="E551" s="907"/>
      <c r="F551" s="907"/>
      <c r="G551" s="907"/>
      <c r="H551" s="907"/>
      <c r="I551" s="907"/>
      <c r="J551" s="907"/>
      <c r="K551" s="907"/>
      <c r="L551" s="907"/>
      <c r="M551" s="907"/>
      <c r="N551" s="907"/>
      <c r="O551" s="907"/>
      <c r="P551" s="907"/>
      <c r="Q551" s="907"/>
      <c r="R551" s="907"/>
      <c r="S551" s="907"/>
      <c r="T551" s="907"/>
      <c r="U551" s="907"/>
      <c r="V551" s="907"/>
      <c r="W551" s="907"/>
      <c r="X551" s="907"/>
      <c r="Y551" s="907"/>
      <c r="Z551" s="907"/>
      <c r="AA551" s="907"/>
    </row>
    <row r="552" spans="1:27">
      <c r="A552" s="907"/>
      <c r="B552" s="907"/>
      <c r="C552" s="907"/>
      <c r="D552" s="907"/>
      <c r="E552" s="907"/>
      <c r="F552" s="907"/>
      <c r="G552" s="907"/>
      <c r="H552" s="907"/>
      <c r="I552" s="907"/>
      <c r="J552" s="907"/>
      <c r="K552" s="907"/>
      <c r="L552" s="907"/>
      <c r="M552" s="907"/>
      <c r="N552" s="907"/>
      <c r="O552" s="907"/>
      <c r="P552" s="907"/>
      <c r="Q552" s="907"/>
      <c r="R552" s="907"/>
      <c r="S552" s="907"/>
      <c r="T552" s="907"/>
      <c r="U552" s="907"/>
      <c r="V552" s="907"/>
      <c r="W552" s="907"/>
      <c r="X552" s="907"/>
      <c r="Y552" s="907"/>
      <c r="Z552" s="907"/>
      <c r="AA552" s="907"/>
    </row>
    <row r="553" spans="1:27">
      <c r="A553" s="907"/>
      <c r="B553" s="907"/>
      <c r="C553" s="907"/>
      <c r="D553" s="907"/>
      <c r="E553" s="907"/>
      <c r="F553" s="907"/>
      <c r="G553" s="907"/>
      <c r="H553" s="907"/>
      <c r="I553" s="907"/>
      <c r="J553" s="907"/>
      <c r="K553" s="907"/>
      <c r="L553" s="907"/>
      <c r="M553" s="907"/>
      <c r="N553" s="907"/>
      <c r="O553" s="907"/>
      <c r="P553" s="907"/>
      <c r="Q553" s="907"/>
      <c r="R553" s="907"/>
      <c r="S553" s="907"/>
      <c r="T553" s="907"/>
      <c r="U553" s="907"/>
      <c r="V553" s="907"/>
      <c r="W553" s="907"/>
      <c r="X553" s="907"/>
      <c r="Y553" s="907"/>
      <c r="Z553" s="907"/>
      <c r="AA553" s="907"/>
    </row>
    <row r="554" spans="1:27">
      <c r="A554" s="907"/>
      <c r="B554" s="907"/>
      <c r="C554" s="907"/>
      <c r="D554" s="907"/>
      <c r="E554" s="907"/>
      <c r="F554" s="907"/>
      <c r="G554" s="907"/>
      <c r="H554" s="907"/>
      <c r="I554" s="907"/>
      <c r="J554" s="907"/>
      <c r="K554" s="907"/>
      <c r="L554" s="907"/>
      <c r="M554" s="907"/>
      <c r="N554" s="907"/>
      <c r="O554" s="907"/>
      <c r="P554" s="907"/>
      <c r="Q554" s="907"/>
      <c r="R554" s="907"/>
      <c r="S554" s="907"/>
      <c r="T554" s="907"/>
      <c r="U554" s="907"/>
      <c r="V554" s="907"/>
      <c r="W554" s="907"/>
      <c r="X554" s="907"/>
      <c r="Y554" s="907"/>
      <c r="Z554" s="907"/>
      <c r="AA554" s="907"/>
    </row>
    <row r="555" spans="1:27">
      <c r="A555" s="907"/>
      <c r="B555" s="907"/>
      <c r="C555" s="907"/>
      <c r="D555" s="907"/>
      <c r="E555" s="907"/>
      <c r="F555" s="907"/>
      <c r="G555" s="907"/>
      <c r="H555" s="907"/>
      <c r="I555" s="907"/>
      <c r="J555" s="907"/>
      <c r="K555" s="907"/>
      <c r="L555" s="907"/>
      <c r="M555" s="907"/>
      <c r="N555" s="907"/>
      <c r="O555" s="907"/>
      <c r="P555" s="907"/>
      <c r="Q555" s="907"/>
      <c r="R555" s="907"/>
      <c r="S555" s="907"/>
      <c r="T555" s="907"/>
      <c r="U555" s="907"/>
      <c r="V555" s="907"/>
      <c r="W555" s="907"/>
      <c r="X555" s="907"/>
      <c r="Y555" s="907"/>
      <c r="Z555" s="907"/>
      <c r="AA555" s="907"/>
    </row>
    <row r="556" spans="1:27">
      <c r="A556" s="907"/>
      <c r="B556" s="907"/>
      <c r="C556" s="907"/>
      <c r="D556" s="907"/>
      <c r="E556" s="907"/>
      <c r="F556" s="907"/>
      <c r="G556" s="907"/>
      <c r="H556" s="907"/>
      <c r="I556" s="907"/>
      <c r="J556" s="907"/>
      <c r="K556" s="907"/>
      <c r="L556" s="907"/>
      <c r="M556" s="907"/>
      <c r="N556" s="907"/>
      <c r="O556" s="907"/>
      <c r="P556" s="907"/>
      <c r="Q556" s="907"/>
      <c r="R556" s="907"/>
      <c r="S556" s="907"/>
      <c r="T556" s="907"/>
      <c r="U556" s="907"/>
      <c r="V556" s="907"/>
      <c r="W556" s="907"/>
      <c r="X556" s="907"/>
      <c r="Y556" s="907"/>
      <c r="Z556" s="907"/>
      <c r="AA556" s="907"/>
    </row>
    <row r="557" spans="1:27">
      <c r="A557" s="907"/>
      <c r="B557" s="907"/>
      <c r="C557" s="907"/>
      <c r="D557" s="907"/>
      <c r="E557" s="907"/>
      <c r="F557" s="907"/>
      <c r="G557" s="907"/>
      <c r="H557" s="907"/>
      <c r="I557" s="907"/>
      <c r="J557" s="907"/>
      <c r="K557" s="907"/>
      <c r="L557" s="907"/>
      <c r="M557" s="907"/>
      <c r="N557" s="907"/>
      <c r="O557" s="907"/>
      <c r="P557" s="907"/>
      <c r="Q557" s="907"/>
      <c r="R557" s="907"/>
      <c r="S557" s="907"/>
      <c r="T557" s="907"/>
      <c r="U557" s="907"/>
      <c r="V557" s="907"/>
      <c r="W557" s="907"/>
      <c r="X557" s="907"/>
      <c r="Y557" s="907"/>
      <c r="Z557" s="907"/>
      <c r="AA557" s="907"/>
    </row>
    <row r="558" spans="1:27">
      <c r="A558" s="907"/>
      <c r="B558" s="907"/>
      <c r="C558" s="907"/>
      <c r="D558" s="907"/>
      <c r="E558" s="907"/>
      <c r="F558" s="907"/>
      <c r="G558" s="907"/>
      <c r="H558" s="907"/>
      <c r="I558" s="907"/>
      <c r="J558" s="907"/>
      <c r="K558" s="907"/>
      <c r="L558" s="907"/>
      <c r="M558" s="907"/>
      <c r="N558" s="907"/>
      <c r="O558" s="907"/>
      <c r="P558" s="907"/>
      <c r="Q558" s="907"/>
      <c r="R558" s="907"/>
      <c r="S558" s="907"/>
      <c r="T558" s="907"/>
      <c r="U558" s="907"/>
      <c r="V558" s="907"/>
      <c r="W558" s="907"/>
      <c r="X558" s="907"/>
      <c r="Y558" s="907"/>
      <c r="Z558" s="907"/>
      <c r="AA558" s="907"/>
    </row>
    <row r="559" spans="1:27">
      <c r="A559" s="907"/>
      <c r="B559" s="907"/>
      <c r="C559" s="907"/>
      <c r="D559" s="907"/>
      <c r="E559" s="907"/>
      <c r="F559" s="907"/>
      <c r="G559" s="907"/>
      <c r="H559" s="907"/>
      <c r="I559" s="907"/>
      <c r="J559" s="907"/>
      <c r="K559" s="907"/>
      <c r="L559" s="907"/>
      <c r="M559" s="907"/>
      <c r="N559" s="907"/>
      <c r="O559" s="907"/>
      <c r="P559" s="907"/>
      <c r="Q559" s="907"/>
      <c r="R559" s="907"/>
      <c r="S559" s="907"/>
      <c r="T559" s="907"/>
      <c r="U559" s="907"/>
      <c r="V559" s="907"/>
      <c r="W559" s="907"/>
      <c r="X559" s="907"/>
      <c r="Y559" s="907"/>
      <c r="Z559" s="907"/>
      <c r="AA559" s="907"/>
    </row>
    <row r="560" spans="1:27">
      <c r="A560" s="907"/>
      <c r="B560" s="907"/>
      <c r="C560" s="907"/>
      <c r="D560" s="907"/>
      <c r="E560" s="907"/>
      <c r="F560" s="907"/>
      <c r="G560" s="907"/>
      <c r="H560" s="907"/>
      <c r="I560" s="907"/>
      <c r="J560" s="907"/>
      <c r="K560" s="907"/>
      <c r="L560" s="907"/>
      <c r="M560" s="907"/>
      <c r="N560" s="907"/>
      <c r="O560" s="907"/>
      <c r="P560" s="907"/>
      <c r="Q560" s="907"/>
      <c r="R560" s="907"/>
      <c r="S560" s="907"/>
      <c r="T560" s="907"/>
      <c r="U560" s="907"/>
      <c r="V560" s="907"/>
      <c r="W560" s="907"/>
      <c r="X560" s="907"/>
      <c r="Y560" s="907"/>
      <c r="Z560" s="907"/>
      <c r="AA560" s="907"/>
    </row>
    <row r="561" spans="1:27">
      <c r="A561" s="907"/>
      <c r="B561" s="907"/>
      <c r="C561" s="907"/>
      <c r="D561" s="907"/>
      <c r="E561" s="907"/>
      <c r="F561" s="907"/>
      <c r="G561" s="907"/>
      <c r="H561" s="907"/>
      <c r="I561" s="907"/>
      <c r="J561" s="907"/>
      <c r="K561" s="907"/>
      <c r="L561" s="907"/>
      <c r="M561" s="907"/>
      <c r="N561" s="907"/>
      <c r="O561" s="907"/>
      <c r="P561" s="907"/>
      <c r="Q561" s="907"/>
      <c r="R561" s="907"/>
      <c r="S561" s="907"/>
      <c r="T561" s="907"/>
      <c r="U561" s="907"/>
      <c r="V561" s="907"/>
      <c r="W561" s="907"/>
      <c r="X561" s="907"/>
      <c r="Y561" s="907"/>
      <c r="Z561" s="907"/>
      <c r="AA561" s="907"/>
    </row>
    <row r="562" spans="1:27">
      <c r="A562" s="907"/>
      <c r="B562" s="907"/>
      <c r="C562" s="907"/>
      <c r="D562" s="907"/>
      <c r="E562" s="907"/>
      <c r="F562" s="907"/>
      <c r="G562" s="907"/>
      <c r="H562" s="907"/>
      <c r="I562" s="907"/>
      <c r="J562" s="907"/>
      <c r="K562" s="907"/>
      <c r="L562" s="907"/>
      <c r="M562" s="907"/>
      <c r="N562" s="907"/>
      <c r="O562" s="907"/>
      <c r="P562" s="907"/>
      <c r="Q562" s="907"/>
      <c r="R562" s="907"/>
      <c r="S562" s="907"/>
      <c r="T562" s="907"/>
      <c r="U562" s="907"/>
      <c r="V562" s="907"/>
      <c r="W562" s="907"/>
      <c r="X562" s="907"/>
      <c r="Y562" s="907"/>
      <c r="Z562" s="907"/>
      <c r="AA562" s="907"/>
    </row>
    <row r="563" spans="1:27">
      <c r="A563" s="907"/>
      <c r="B563" s="907"/>
      <c r="C563" s="907"/>
      <c r="D563" s="907"/>
      <c r="E563" s="907"/>
      <c r="F563" s="907"/>
      <c r="G563" s="907"/>
      <c r="H563" s="907"/>
      <c r="I563" s="907"/>
      <c r="J563" s="907"/>
      <c r="K563" s="907"/>
      <c r="L563" s="907"/>
      <c r="M563" s="907"/>
      <c r="N563" s="907"/>
      <c r="O563" s="907"/>
      <c r="P563" s="907"/>
      <c r="Q563" s="907"/>
      <c r="R563" s="907"/>
      <c r="S563" s="907"/>
      <c r="T563" s="907"/>
      <c r="U563" s="907"/>
      <c r="V563" s="907"/>
      <c r="W563" s="907"/>
      <c r="X563" s="907"/>
      <c r="Y563" s="907"/>
      <c r="Z563" s="907"/>
      <c r="AA563" s="907"/>
    </row>
    <row r="564" spans="1:27">
      <c r="A564" s="907"/>
      <c r="B564" s="907"/>
      <c r="C564" s="907"/>
      <c r="D564" s="907"/>
      <c r="E564" s="907"/>
      <c r="F564" s="907"/>
      <c r="G564" s="907"/>
      <c r="H564" s="907"/>
      <c r="I564" s="907"/>
      <c r="J564" s="907"/>
      <c r="K564" s="907"/>
      <c r="L564" s="907"/>
      <c r="M564" s="907"/>
      <c r="N564" s="907"/>
      <c r="O564" s="907"/>
      <c r="P564" s="907"/>
      <c r="Q564" s="907"/>
      <c r="R564" s="907"/>
      <c r="S564" s="907"/>
      <c r="T564" s="907"/>
      <c r="U564" s="907"/>
      <c r="V564" s="907"/>
      <c r="W564" s="907"/>
      <c r="X564" s="907"/>
      <c r="Y564" s="907"/>
      <c r="Z564" s="907"/>
      <c r="AA564" s="907"/>
    </row>
    <row r="565" spans="1:27">
      <c r="A565" s="907"/>
      <c r="B565" s="907"/>
      <c r="C565" s="907"/>
      <c r="D565" s="907"/>
      <c r="E565" s="907"/>
      <c r="F565" s="907"/>
      <c r="G565" s="907"/>
      <c r="H565" s="907"/>
      <c r="I565" s="907"/>
      <c r="J565" s="907"/>
      <c r="K565" s="907"/>
      <c r="L565" s="907"/>
      <c r="M565" s="907"/>
      <c r="N565" s="907"/>
      <c r="O565" s="907"/>
      <c r="P565" s="907"/>
      <c r="Q565" s="907"/>
      <c r="R565" s="907"/>
      <c r="S565" s="907"/>
      <c r="T565" s="907"/>
      <c r="U565" s="907"/>
      <c r="V565" s="907"/>
      <c r="W565" s="907"/>
      <c r="X565" s="907"/>
      <c r="Y565" s="907"/>
      <c r="Z565" s="907"/>
      <c r="AA565" s="907"/>
    </row>
    <row r="566" spans="1:27">
      <c r="A566" s="907"/>
      <c r="B566" s="907"/>
      <c r="C566" s="907"/>
      <c r="D566" s="907"/>
      <c r="E566" s="907"/>
      <c r="F566" s="907"/>
      <c r="G566" s="907"/>
      <c r="H566" s="907"/>
      <c r="I566" s="907"/>
      <c r="J566" s="907"/>
      <c r="K566" s="907"/>
      <c r="L566" s="907"/>
      <c r="M566" s="907"/>
      <c r="N566" s="907"/>
      <c r="O566" s="907"/>
      <c r="P566" s="907"/>
      <c r="Q566" s="907"/>
      <c r="R566" s="907"/>
      <c r="S566" s="907"/>
      <c r="T566" s="907"/>
      <c r="U566" s="907"/>
      <c r="V566" s="907"/>
      <c r="W566" s="907"/>
      <c r="X566" s="907"/>
      <c r="Y566" s="907"/>
      <c r="Z566" s="907"/>
      <c r="AA566" s="907"/>
    </row>
    <row r="567" spans="1:27">
      <c r="A567" s="907"/>
      <c r="B567" s="907"/>
      <c r="C567" s="907"/>
      <c r="D567" s="907"/>
      <c r="E567" s="907"/>
      <c r="F567" s="907"/>
      <c r="G567" s="907"/>
      <c r="H567" s="907"/>
      <c r="I567" s="907"/>
      <c r="J567" s="907"/>
      <c r="K567" s="907"/>
      <c r="L567" s="907"/>
      <c r="M567" s="907"/>
      <c r="N567" s="907"/>
      <c r="O567" s="907"/>
      <c r="P567" s="907"/>
      <c r="Q567" s="907"/>
      <c r="R567" s="907"/>
      <c r="S567" s="907"/>
      <c r="T567" s="907"/>
      <c r="U567" s="907"/>
      <c r="V567" s="907"/>
      <c r="W567" s="907"/>
      <c r="X567" s="907"/>
      <c r="Y567" s="907"/>
      <c r="Z567" s="907"/>
      <c r="AA567" s="907"/>
    </row>
    <row r="568" spans="1:27">
      <c r="A568" s="907"/>
      <c r="B568" s="907"/>
      <c r="C568" s="907"/>
      <c r="D568" s="907"/>
      <c r="E568" s="907"/>
      <c r="F568" s="907"/>
      <c r="G568" s="907"/>
      <c r="H568" s="907"/>
      <c r="I568" s="907"/>
      <c r="J568" s="907"/>
      <c r="K568" s="907"/>
      <c r="L568" s="907"/>
      <c r="M568" s="907"/>
      <c r="N568" s="907"/>
      <c r="O568" s="907"/>
      <c r="P568" s="907"/>
      <c r="Q568" s="907"/>
      <c r="R568" s="907"/>
      <c r="S568" s="907"/>
      <c r="T568" s="907"/>
      <c r="U568" s="907"/>
      <c r="V568" s="907"/>
      <c r="W568" s="907"/>
      <c r="X568" s="907"/>
      <c r="Y568" s="907"/>
      <c r="Z568" s="907"/>
      <c r="AA568" s="907"/>
    </row>
    <row r="569" spans="1:27">
      <c r="A569" s="907"/>
      <c r="B569" s="907"/>
      <c r="C569" s="907"/>
      <c r="D569" s="907"/>
      <c r="E569" s="907"/>
      <c r="F569" s="907"/>
      <c r="G569" s="907"/>
      <c r="H569" s="907"/>
      <c r="I569" s="907"/>
      <c r="J569" s="907"/>
      <c r="K569" s="907"/>
      <c r="L569" s="907"/>
      <c r="M569" s="907"/>
      <c r="N569" s="907"/>
      <c r="O569" s="907"/>
      <c r="P569" s="907"/>
      <c r="Q569" s="907"/>
      <c r="R569" s="907"/>
      <c r="S569" s="907"/>
      <c r="T569" s="907"/>
      <c r="U569" s="907"/>
      <c r="V569" s="907"/>
      <c r="W569" s="907"/>
      <c r="X569" s="907"/>
      <c r="Y569" s="907"/>
      <c r="Z569" s="907"/>
      <c r="AA569" s="907"/>
    </row>
    <row r="570" spans="1:27">
      <c r="A570" s="907"/>
      <c r="B570" s="907"/>
      <c r="C570" s="907"/>
      <c r="D570" s="907"/>
      <c r="E570" s="907"/>
      <c r="F570" s="907"/>
      <c r="G570" s="907"/>
      <c r="H570" s="907"/>
      <c r="I570" s="907"/>
      <c r="J570" s="907"/>
      <c r="K570" s="907"/>
      <c r="L570" s="907"/>
      <c r="M570" s="907"/>
      <c r="N570" s="907"/>
      <c r="O570" s="907"/>
      <c r="P570" s="907"/>
      <c r="Q570" s="907"/>
      <c r="R570" s="907"/>
      <c r="S570" s="907"/>
      <c r="T570" s="907"/>
      <c r="U570" s="907"/>
      <c r="V570" s="907"/>
      <c r="W570" s="907"/>
      <c r="X570" s="907"/>
      <c r="Y570" s="907"/>
      <c r="Z570" s="907"/>
      <c r="AA570" s="907"/>
    </row>
    <row r="571" spans="1:27">
      <c r="A571" s="907"/>
      <c r="B571" s="907"/>
      <c r="C571" s="907"/>
      <c r="D571" s="907"/>
      <c r="E571" s="907"/>
      <c r="F571" s="907"/>
      <c r="G571" s="907"/>
      <c r="H571" s="907"/>
      <c r="I571" s="907"/>
      <c r="J571" s="907"/>
      <c r="K571" s="907"/>
      <c r="L571" s="907"/>
      <c r="M571" s="907"/>
      <c r="N571" s="907"/>
      <c r="O571" s="907"/>
      <c r="P571" s="907"/>
      <c r="Q571" s="907"/>
      <c r="R571" s="907"/>
      <c r="S571" s="907"/>
      <c r="T571" s="907"/>
      <c r="U571" s="907"/>
      <c r="V571" s="907"/>
      <c r="W571" s="907"/>
      <c r="X571" s="907"/>
      <c r="Y571" s="907"/>
      <c r="Z571" s="907"/>
      <c r="AA571" s="907"/>
    </row>
    <row r="572" spans="1:27">
      <c r="A572" s="907"/>
      <c r="B572" s="907"/>
      <c r="C572" s="907"/>
      <c r="D572" s="907"/>
      <c r="E572" s="907"/>
      <c r="F572" s="907"/>
      <c r="G572" s="907"/>
      <c r="H572" s="907"/>
      <c r="I572" s="907"/>
      <c r="J572" s="907"/>
      <c r="K572" s="907"/>
      <c r="L572" s="907"/>
      <c r="M572" s="907"/>
      <c r="N572" s="907"/>
      <c r="O572" s="907"/>
      <c r="P572" s="907"/>
      <c r="Q572" s="907"/>
      <c r="R572" s="907"/>
      <c r="S572" s="907"/>
      <c r="T572" s="907"/>
      <c r="U572" s="907"/>
      <c r="V572" s="907"/>
      <c r="W572" s="907"/>
      <c r="X572" s="907"/>
      <c r="Y572" s="907"/>
      <c r="Z572" s="907"/>
      <c r="AA572" s="907"/>
    </row>
    <row r="573" spans="1:27">
      <c r="A573" s="907"/>
      <c r="B573" s="907"/>
      <c r="C573" s="907"/>
      <c r="D573" s="907"/>
      <c r="E573" s="907"/>
      <c r="F573" s="907"/>
      <c r="G573" s="907"/>
      <c r="H573" s="907"/>
      <c r="I573" s="907"/>
      <c r="J573" s="907"/>
      <c r="K573" s="907"/>
      <c r="L573" s="907"/>
      <c r="M573" s="907"/>
      <c r="N573" s="907"/>
      <c r="O573" s="907"/>
      <c r="P573" s="907"/>
      <c r="Q573" s="907"/>
      <c r="R573" s="907"/>
      <c r="S573" s="907"/>
      <c r="T573" s="907"/>
      <c r="U573" s="907"/>
      <c r="V573" s="907"/>
      <c r="W573" s="907"/>
      <c r="X573" s="907"/>
      <c r="Y573" s="907"/>
      <c r="Z573" s="907"/>
      <c r="AA573" s="907"/>
    </row>
    <row r="574" spans="1:27">
      <c r="A574" s="907"/>
      <c r="B574" s="907"/>
      <c r="C574" s="907"/>
      <c r="D574" s="907"/>
      <c r="E574" s="907"/>
      <c r="F574" s="907"/>
      <c r="G574" s="907"/>
      <c r="H574" s="907"/>
      <c r="I574" s="907"/>
      <c r="J574" s="907"/>
      <c r="K574" s="907"/>
      <c r="L574" s="907"/>
      <c r="M574" s="907"/>
      <c r="N574" s="907"/>
      <c r="O574" s="907"/>
      <c r="P574" s="907"/>
      <c r="Q574" s="907"/>
      <c r="R574" s="907"/>
      <c r="S574" s="907"/>
      <c r="T574" s="907"/>
      <c r="U574" s="907"/>
      <c r="V574" s="907"/>
      <c r="W574" s="907"/>
      <c r="X574" s="907"/>
      <c r="Y574" s="907"/>
      <c r="Z574" s="907"/>
      <c r="AA574" s="907"/>
    </row>
    <row r="575" spans="1:27">
      <c r="A575" s="907"/>
      <c r="B575" s="907"/>
      <c r="C575" s="907"/>
      <c r="D575" s="907"/>
      <c r="E575" s="907"/>
      <c r="F575" s="907"/>
      <c r="G575" s="907"/>
      <c r="H575" s="907"/>
      <c r="I575" s="907"/>
      <c r="J575" s="907"/>
      <c r="K575" s="907"/>
      <c r="L575" s="907"/>
      <c r="M575" s="907"/>
      <c r="N575" s="907"/>
      <c r="O575" s="907"/>
      <c r="P575" s="907"/>
      <c r="Q575" s="907"/>
      <c r="R575" s="907"/>
      <c r="S575" s="907"/>
      <c r="T575" s="907"/>
      <c r="U575" s="907"/>
      <c r="V575" s="907"/>
      <c r="W575" s="907"/>
      <c r="X575" s="907"/>
      <c r="Y575" s="907"/>
      <c r="Z575" s="907"/>
      <c r="AA575" s="907"/>
    </row>
    <row r="576" spans="1:27">
      <c r="A576" s="907"/>
      <c r="B576" s="907"/>
      <c r="C576" s="907"/>
      <c r="D576" s="907"/>
      <c r="E576" s="907"/>
      <c r="F576" s="907"/>
      <c r="G576" s="907"/>
      <c r="H576" s="907"/>
      <c r="I576" s="907"/>
      <c r="J576" s="907"/>
      <c r="K576" s="907"/>
      <c r="L576" s="907"/>
      <c r="M576" s="907"/>
      <c r="N576" s="907"/>
      <c r="O576" s="907"/>
      <c r="P576" s="907"/>
      <c r="Q576" s="907"/>
      <c r="R576" s="907"/>
      <c r="S576" s="907"/>
      <c r="T576" s="907"/>
      <c r="U576" s="907"/>
      <c r="V576" s="907"/>
      <c r="W576" s="907"/>
      <c r="X576" s="907"/>
      <c r="Y576" s="907"/>
      <c r="Z576" s="907"/>
      <c r="AA576" s="907"/>
    </row>
    <row r="577" spans="1:27">
      <c r="A577" s="907"/>
      <c r="B577" s="907"/>
      <c r="C577" s="907"/>
      <c r="D577" s="907"/>
      <c r="E577" s="907"/>
      <c r="F577" s="907"/>
      <c r="G577" s="907"/>
      <c r="H577" s="907"/>
      <c r="I577" s="907"/>
      <c r="J577" s="907"/>
      <c r="K577" s="907"/>
      <c r="L577" s="907"/>
      <c r="M577" s="907"/>
      <c r="N577" s="907"/>
      <c r="O577" s="907"/>
      <c r="P577" s="907"/>
      <c r="Q577" s="907"/>
      <c r="R577" s="907"/>
      <c r="S577" s="907"/>
      <c r="T577" s="907"/>
      <c r="U577" s="907"/>
      <c r="V577" s="907"/>
      <c r="W577" s="907"/>
      <c r="X577" s="907"/>
      <c r="Y577" s="907"/>
      <c r="Z577" s="907"/>
      <c r="AA577" s="907"/>
    </row>
    <row r="578" spans="1:27">
      <c r="A578" s="907"/>
      <c r="B578" s="907"/>
      <c r="C578" s="907"/>
      <c r="D578" s="907"/>
      <c r="E578" s="907"/>
      <c r="F578" s="907"/>
      <c r="G578" s="907"/>
      <c r="H578" s="907"/>
      <c r="I578" s="907"/>
      <c r="J578" s="907"/>
      <c r="K578" s="907"/>
      <c r="L578" s="907"/>
      <c r="M578" s="907"/>
      <c r="N578" s="907"/>
      <c r="O578" s="907"/>
      <c r="P578" s="907"/>
      <c r="Q578" s="907"/>
      <c r="R578" s="907"/>
      <c r="S578" s="907"/>
      <c r="T578" s="907"/>
      <c r="U578" s="907"/>
      <c r="V578" s="907"/>
      <c r="W578" s="907"/>
      <c r="X578" s="907"/>
      <c r="Y578" s="907"/>
      <c r="Z578" s="907"/>
      <c r="AA578" s="907"/>
    </row>
    <row r="579" spans="1:27">
      <c r="A579" s="907"/>
      <c r="B579" s="907"/>
      <c r="C579" s="907"/>
      <c r="D579" s="907"/>
      <c r="E579" s="907"/>
      <c r="F579" s="907"/>
      <c r="G579" s="907"/>
      <c r="H579" s="907"/>
      <c r="I579" s="907"/>
      <c r="J579" s="907"/>
      <c r="K579" s="907"/>
      <c r="L579" s="907"/>
      <c r="M579" s="907"/>
      <c r="N579" s="907"/>
      <c r="O579" s="907"/>
      <c r="P579" s="907"/>
      <c r="Q579" s="907"/>
      <c r="R579" s="907"/>
      <c r="S579" s="907"/>
      <c r="T579" s="907"/>
      <c r="U579" s="907"/>
      <c r="V579" s="907"/>
      <c r="W579" s="907"/>
      <c r="X579" s="907"/>
      <c r="Y579" s="907"/>
      <c r="Z579" s="907"/>
      <c r="AA579" s="907"/>
    </row>
    <row r="580" spans="1:27">
      <c r="A580" s="907"/>
      <c r="B580" s="907"/>
      <c r="C580" s="907"/>
      <c r="D580" s="907"/>
      <c r="E580" s="907"/>
      <c r="F580" s="907"/>
      <c r="G580" s="907"/>
      <c r="H580" s="907"/>
      <c r="I580" s="907"/>
      <c r="J580" s="907"/>
      <c r="K580" s="907"/>
      <c r="L580" s="907"/>
      <c r="M580" s="907"/>
      <c r="N580" s="907"/>
      <c r="O580" s="907"/>
      <c r="P580" s="907"/>
      <c r="Q580" s="907"/>
      <c r="R580" s="907"/>
      <c r="S580" s="907"/>
      <c r="T580" s="907"/>
      <c r="U580" s="907"/>
      <c r="V580" s="907"/>
      <c r="W580" s="907"/>
      <c r="X580" s="907"/>
      <c r="Y580" s="907"/>
      <c r="Z580" s="907"/>
      <c r="AA580" s="907"/>
    </row>
    <row r="581" spans="1:27">
      <c r="A581" s="907"/>
      <c r="B581" s="907"/>
      <c r="C581" s="907"/>
      <c r="D581" s="907"/>
      <c r="E581" s="907"/>
      <c r="F581" s="907"/>
      <c r="G581" s="907"/>
      <c r="H581" s="907"/>
      <c r="I581" s="907"/>
      <c r="J581" s="907"/>
      <c r="K581" s="907"/>
      <c r="L581" s="907"/>
      <c r="M581" s="907"/>
      <c r="N581" s="907"/>
      <c r="O581" s="907"/>
      <c r="P581" s="907"/>
      <c r="Q581" s="907"/>
      <c r="R581" s="907"/>
      <c r="S581" s="907"/>
      <c r="T581" s="907"/>
      <c r="U581" s="907"/>
      <c r="V581" s="907"/>
      <c r="W581" s="907"/>
      <c r="X581" s="907"/>
      <c r="Y581" s="907"/>
      <c r="Z581" s="907"/>
      <c r="AA581" s="907"/>
    </row>
    <row r="582" spans="1:27">
      <c r="A582" s="907"/>
      <c r="B582" s="907"/>
      <c r="C582" s="907"/>
      <c r="D582" s="907"/>
      <c r="E582" s="907"/>
      <c r="F582" s="907"/>
      <c r="G582" s="907"/>
      <c r="H582" s="907"/>
      <c r="I582" s="907"/>
      <c r="J582" s="907"/>
      <c r="K582" s="907"/>
      <c r="L582" s="907"/>
      <c r="M582" s="907"/>
      <c r="N582" s="907"/>
      <c r="O582" s="907"/>
      <c r="P582" s="907"/>
      <c r="Q582" s="907"/>
      <c r="R582" s="907"/>
      <c r="S582" s="907"/>
      <c r="T582" s="907"/>
      <c r="U582" s="907"/>
      <c r="V582" s="907"/>
      <c r="W582" s="907"/>
      <c r="X582" s="907"/>
      <c r="Y582" s="907"/>
      <c r="Z582" s="907"/>
      <c r="AA582" s="907"/>
    </row>
    <row r="583" spans="1:27">
      <c r="A583" s="907"/>
      <c r="B583" s="907"/>
      <c r="C583" s="907"/>
      <c r="D583" s="907"/>
      <c r="E583" s="907"/>
      <c r="F583" s="907"/>
      <c r="G583" s="907"/>
      <c r="H583" s="907"/>
      <c r="I583" s="907"/>
      <c r="J583" s="907"/>
      <c r="K583" s="907"/>
      <c r="L583" s="907"/>
      <c r="M583" s="907"/>
      <c r="N583" s="907"/>
      <c r="O583" s="907"/>
      <c r="P583" s="907"/>
      <c r="Q583" s="907"/>
      <c r="R583" s="907"/>
      <c r="S583" s="907"/>
      <c r="T583" s="907"/>
      <c r="U583" s="907"/>
      <c r="V583" s="907"/>
      <c r="W583" s="907"/>
      <c r="X583" s="907"/>
      <c r="Y583" s="907"/>
      <c r="Z583" s="907"/>
      <c r="AA583" s="907"/>
    </row>
    <row r="584" spans="1:27">
      <c r="A584" s="907"/>
      <c r="B584" s="907"/>
      <c r="C584" s="907"/>
      <c r="D584" s="907"/>
      <c r="E584" s="907"/>
      <c r="F584" s="907"/>
      <c r="G584" s="907"/>
      <c r="H584" s="907"/>
      <c r="I584" s="907"/>
      <c r="J584" s="907"/>
      <c r="K584" s="907"/>
      <c r="L584" s="907"/>
      <c r="M584" s="907"/>
      <c r="N584" s="907"/>
      <c r="O584" s="907"/>
      <c r="P584" s="907"/>
      <c r="Q584" s="907"/>
      <c r="R584" s="907"/>
      <c r="S584" s="907"/>
      <c r="T584" s="907"/>
      <c r="U584" s="907"/>
      <c r="V584" s="907"/>
      <c r="W584" s="907"/>
      <c r="X584" s="907"/>
      <c r="Y584" s="907"/>
      <c r="Z584" s="907"/>
      <c r="AA584" s="907"/>
    </row>
    <row r="585" spans="1:27">
      <c r="A585" s="907"/>
      <c r="B585" s="907"/>
      <c r="C585" s="907"/>
      <c r="D585" s="907"/>
      <c r="E585" s="907"/>
      <c r="F585" s="907"/>
      <c r="G585" s="907"/>
      <c r="H585" s="907"/>
      <c r="I585" s="907"/>
      <c r="J585" s="907"/>
      <c r="K585" s="907"/>
      <c r="L585" s="907"/>
      <c r="M585" s="907"/>
      <c r="N585" s="907"/>
      <c r="O585" s="907"/>
      <c r="P585" s="907"/>
      <c r="Q585" s="907"/>
      <c r="R585" s="907"/>
      <c r="S585" s="907"/>
      <c r="T585" s="907"/>
      <c r="U585" s="907"/>
      <c r="V585" s="907"/>
      <c r="W585" s="907"/>
      <c r="X585" s="907"/>
      <c r="Y585" s="907"/>
      <c r="Z585" s="907"/>
      <c r="AA585" s="907"/>
    </row>
    <row r="586" spans="1:27">
      <c r="A586" s="907"/>
      <c r="B586" s="907"/>
      <c r="C586" s="907"/>
      <c r="D586" s="907"/>
      <c r="E586" s="907"/>
      <c r="F586" s="907"/>
      <c r="G586" s="907"/>
      <c r="H586" s="907"/>
      <c r="I586" s="907"/>
      <c r="J586" s="907"/>
      <c r="K586" s="907"/>
      <c r="L586" s="907"/>
      <c r="M586" s="907"/>
      <c r="N586" s="907"/>
      <c r="O586" s="907"/>
      <c r="P586" s="907"/>
      <c r="Q586" s="907"/>
      <c r="R586" s="907"/>
      <c r="S586" s="907"/>
      <c r="T586" s="907"/>
      <c r="U586" s="907"/>
      <c r="V586" s="907"/>
      <c r="W586" s="907"/>
      <c r="X586" s="907"/>
      <c r="Y586" s="907"/>
      <c r="Z586" s="907"/>
      <c r="AA586" s="907"/>
    </row>
    <row r="587" spans="1:27">
      <c r="A587" s="907"/>
      <c r="B587" s="907"/>
      <c r="C587" s="907"/>
      <c r="D587" s="907"/>
      <c r="E587" s="907"/>
      <c r="F587" s="907"/>
      <c r="G587" s="907"/>
      <c r="H587" s="907"/>
      <c r="I587" s="907"/>
      <c r="J587" s="907"/>
      <c r="K587" s="907"/>
      <c r="L587" s="907"/>
      <c r="M587" s="907"/>
      <c r="N587" s="907"/>
      <c r="O587" s="907"/>
      <c r="P587" s="907"/>
      <c r="Q587" s="907"/>
      <c r="R587" s="907"/>
      <c r="S587" s="907"/>
      <c r="T587" s="907"/>
      <c r="U587" s="907"/>
      <c r="V587" s="907"/>
      <c r="W587" s="907"/>
      <c r="X587" s="907"/>
      <c r="Y587" s="907"/>
      <c r="Z587" s="907"/>
      <c r="AA587" s="907"/>
    </row>
    <row r="588" spans="1:27">
      <c r="A588" s="907"/>
      <c r="B588" s="907"/>
      <c r="C588" s="907"/>
      <c r="D588" s="907"/>
      <c r="E588" s="907"/>
      <c r="F588" s="907"/>
      <c r="G588" s="907"/>
      <c r="H588" s="907"/>
      <c r="I588" s="907"/>
      <c r="J588" s="907"/>
      <c r="K588" s="907"/>
      <c r="L588" s="907"/>
      <c r="M588" s="907"/>
      <c r="N588" s="907"/>
      <c r="O588" s="907"/>
      <c r="P588" s="907"/>
      <c r="Q588" s="907"/>
      <c r="R588" s="907"/>
      <c r="S588" s="907"/>
      <c r="T588" s="907"/>
      <c r="U588" s="907"/>
      <c r="V588" s="907"/>
      <c r="W588" s="907"/>
      <c r="X588" s="907"/>
      <c r="Y588" s="907"/>
      <c r="Z588" s="907"/>
      <c r="AA588" s="907"/>
    </row>
    <row r="589" spans="1:27">
      <c r="A589" s="907"/>
      <c r="B589" s="907"/>
      <c r="C589" s="907"/>
      <c r="D589" s="907"/>
      <c r="E589" s="907"/>
      <c r="F589" s="907"/>
      <c r="G589" s="907"/>
      <c r="H589" s="907"/>
      <c r="I589" s="907"/>
      <c r="J589" s="907"/>
      <c r="K589" s="907"/>
      <c r="L589" s="907"/>
      <c r="M589" s="907"/>
      <c r="N589" s="907"/>
      <c r="O589" s="907"/>
      <c r="P589" s="907"/>
      <c r="Q589" s="907"/>
      <c r="R589" s="907"/>
      <c r="S589" s="907"/>
      <c r="T589" s="907"/>
      <c r="U589" s="907"/>
      <c r="V589" s="907"/>
      <c r="W589" s="907"/>
      <c r="X589" s="907"/>
      <c r="Y589" s="907"/>
      <c r="Z589" s="907"/>
      <c r="AA589" s="907"/>
    </row>
    <row r="590" spans="1:27">
      <c r="A590" s="907"/>
      <c r="B590" s="907"/>
      <c r="C590" s="907"/>
      <c r="D590" s="907"/>
      <c r="E590" s="907"/>
      <c r="F590" s="907"/>
      <c r="G590" s="907"/>
      <c r="H590" s="907"/>
      <c r="I590" s="907"/>
      <c r="J590" s="907"/>
      <c r="K590" s="907"/>
      <c r="L590" s="907"/>
      <c r="M590" s="907"/>
      <c r="N590" s="907"/>
      <c r="O590" s="907"/>
      <c r="P590" s="907"/>
      <c r="Q590" s="907"/>
      <c r="R590" s="907"/>
      <c r="S590" s="907"/>
      <c r="T590" s="907"/>
      <c r="U590" s="907"/>
      <c r="V590" s="907"/>
      <c r="W590" s="907"/>
      <c r="X590" s="907"/>
      <c r="Y590" s="907"/>
      <c r="Z590" s="907"/>
      <c r="AA590" s="907"/>
    </row>
    <row r="591" spans="1:27">
      <c r="A591" s="907"/>
      <c r="B591" s="907"/>
      <c r="C591" s="907"/>
      <c r="D591" s="907"/>
      <c r="E591" s="907"/>
      <c r="F591" s="907"/>
      <c r="G591" s="907"/>
      <c r="H591" s="907"/>
      <c r="I591" s="907"/>
      <c r="J591" s="907"/>
      <c r="K591" s="907"/>
      <c r="L591" s="907"/>
      <c r="M591" s="907"/>
      <c r="N591" s="907"/>
      <c r="O591" s="907"/>
      <c r="P591" s="907"/>
      <c r="Q591" s="907"/>
      <c r="R591" s="907"/>
      <c r="S591" s="907"/>
      <c r="T591" s="907"/>
      <c r="U591" s="907"/>
      <c r="V591" s="907"/>
      <c r="W591" s="907"/>
      <c r="X591" s="907"/>
      <c r="Y591" s="907"/>
      <c r="Z591" s="907"/>
      <c r="AA591" s="907"/>
    </row>
    <row r="592" spans="1:27">
      <c r="A592" s="907"/>
      <c r="B592" s="907"/>
      <c r="C592" s="907"/>
      <c r="D592" s="907"/>
      <c r="E592" s="907"/>
      <c r="F592" s="907"/>
      <c r="G592" s="907"/>
      <c r="H592" s="907"/>
      <c r="I592" s="907"/>
      <c r="J592" s="907"/>
      <c r="K592" s="907"/>
      <c r="L592" s="907"/>
      <c r="M592" s="907"/>
      <c r="N592" s="907"/>
      <c r="O592" s="907"/>
      <c r="P592" s="907"/>
      <c r="Q592" s="907"/>
      <c r="R592" s="907"/>
      <c r="S592" s="907"/>
      <c r="T592" s="907"/>
      <c r="U592" s="907"/>
      <c r="V592" s="907"/>
      <c r="W592" s="907"/>
      <c r="X592" s="907"/>
      <c r="Y592" s="907"/>
      <c r="Z592" s="907"/>
      <c r="AA592" s="907"/>
    </row>
    <row r="593" spans="1:27">
      <c r="A593" s="907"/>
      <c r="B593" s="907"/>
      <c r="C593" s="907"/>
      <c r="D593" s="907"/>
      <c r="E593" s="907"/>
      <c r="F593" s="907"/>
      <c r="G593" s="907"/>
      <c r="H593" s="907"/>
      <c r="I593" s="907"/>
      <c r="J593" s="907"/>
      <c r="K593" s="907"/>
      <c r="L593" s="907"/>
      <c r="M593" s="907"/>
      <c r="N593" s="907"/>
      <c r="O593" s="907"/>
      <c r="P593" s="907"/>
      <c r="Q593" s="907"/>
      <c r="R593" s="907"/>
      <c r="S593" s="907"/>
      <c r="T593" s="907"/>
      <c r="U593" s="907"/>
      <c r="V593" s="907"/>
      <c r="W593" s="907"/>
      <c r="X593" s="907"/>
      <c r="Y593" s="907"/>
      <c r="Z593" s="907"/>
      <c r="AA593" s="907"/>
    </row>
    <row r="594" spans="1:27">
      <c r="A594" s="907"/>
      <c r="B594" s="907"/>
      <c r="C594" s="907"/>
      <c r="D594" s="907"/>
      <c r="E594" s="907"/>
      <c r="F594" s="907"/>
      <c r="G594" s="907"/>
      <c r="H594" s="907"/>
      <c r="I594" s="907"/>
      <c r="J594" s="907"/>
      <c r="K594" s="907"/>
      <c r="L594" s="907"/>
      <c r="M594" s="907"/>
      <c r="N594" s="907"/>
      <c r="O594" s="907"/>
      <c r="P594" s="907"/>
      <c r="Q594" s="907"/>
      <c r="R594" s="907"/>
      <c r="S594" s="907"/>
      <c r="T594" s="907"/>
      <c r="U594" s="907"/>
      <c r="V594" s="907"/>
      <c r="W594" s="907"/>
      <c r="X594" s="907"/>
      <c r="Y594" s="907"/>
      <c r="Z594" s="907"/>
      <c r="AA594" s="907"/>
    </row>
    <row r="595" spans="1:27">
      <c r="A595" s="907"/>
      <c r="B595" s="907"/>
      <c r="C595" s="907"/>
      <c r="D595" s="907"/>
      <c r="E595" s="907"/>
      <c r="F595" s="907"/>
      <c r="G595" s="907"/>
      <c r="H595" s="907"/>
      <c r="I595" s="907"/>
      <c r="J595" s="907"/>
      <c r="K595" s="907"/>
      <c r="L595" s="907"/>
      <c r="M595" s="907"/>
      <c r="N595" s="907"/>
      <c r="O595" s="907"/>
      <c r="P595" s="907"/>
      <c r="Q595" s="907"/>
      <c r="R595" s="907"/>
      <c r="S595" s="907"/>
      <c r="T595" s="907"/>
      <c r="U595" s="907"/>
      <c r="V595" s="907"/>
      <c r="W595" s="907"/>
      <c r="X595" s="907"/>
      <c r="Y595" s="907"/>
      <c r="Z595" s="907"/>
      <c r="AA595" s="907"/>
    </row>
    <row r="596" spans="1:27">
      <c r="A596" s="907"/>
      <c r="B596" s="907"/>
      <c r="C596" s="907"/>
      <c r="D596" s="907"/>
      <c r="E596" s="907"/>
      <c r="F596" s="907"/>
      <c r="G596" s="907"/>
      <c r="H596" s="907"/>
      <c r="I596" s="907"/>
      <c r="J596" s="907"/>
      <c r="K596" s="907"/>
      <c r="L596" s="907"/>
      <c r="M596" s="907"/>
      <c r="N596" s="907"/>
      <c r="O596" s="907"/>
      <c r="P596" s="907"/>
      <c r="Q596" s="907"/>
      <c r="R596" s="907"/>
      <c r="S596" s="907"/>
      <c r="T596" s="907"/>
      <c r="U596" s="907"/>
      <c r="V596" s="907"/>
      <c r="W596" s="907"/>
      <c r="X596" s="907"/>
      <c r="Y596" s="907"/>
      <c r="Z596" s="907"/>
      <c r="AA596" s="907"/>
    </row>
    <row r="597" spans="1:27">
      <c r="A597" s="907"/>
      <c r="B597" s="907"/>
      <c r="C597" s="907"/>
      <c r="D597" s="907"/>
      <c r="E597" s="907"/>
      <c r="F597" s="907"/>
      <c r="G597" s="907"/>
      <c r="H597" s="907"/>
      <c r="I597" s="907"/>
      <c r="J597" s="907"/>
      <c r="K597" s="907"/>
      <c r="L597" s="907"/>
      <c r="M597" s="907"/>
      <c r="N597" s="907"/>
      <c r="O597" s="907"/>
      <c r="P597" s="907"/>
      <c r="Q597" s="907"/>
      <c r="R597" s="907"/>
      <c r="S597" s="907"/>
      <c r="T597" s="907"/>
      <c r="U597" s="907"/>
      <c r="V597" s="907"/>
      <c r="W597" s="907"/>
      <c r="X597" s="907"/>
      <c r="Y597" s="907"/>
      <c r="Z597" s="907"/>
      <c r="AA597" s="907"/>
    </row>
    <row r="598" spans="1:27">
      <c r="A598" s="907"/>
      <c r="B598" s="907"/>
      <c r="C598" s="907"/>
      <c r="D598" s="907"/>
      <c r="E598" s="907"/>
      <c r="F598" s="907"/>
      <c r="G598" s="907"/>
      <c r="H598" s="907"/>
      <c r="I598" s="907"/>
      <c r="J598" s="907"/>
      <c r="K598" s="907"/>
      <c r="L598" s="907"/>
      <c r="M598" s="907"/>
      <c r="N598" s="907"/>
      <c r="O598" s="907"/>
      <c r="P598" s="907"/>
      <c r="Q598" s="907"/>
      <c r="R598" s="907"/>
      <c r="S598" s="907"/>
      <c r="T598" s="907"/>
      <c r="U598" s="907"/>
      <c r="V598" s="907"/>
      <c r="W598" s="907"/>
      <c r="X598" s="907"/>
      <c r="Y598" s="907"/>
      <c r="Z598" s="907"/>
      <c r="AA598" s="907"/>
    </row>
    <row r="599" spans="1:27">
      <c r="A599" s="907"/>
      <c r="B599" s="907"/>
      <c r="C599" s="907"/>
      <c r="D599" s="907"/>
      <c r="E599" s="907"/>
      <c r="F599" s="907"/>
      <c r="G599" s="907"/>
      <c r="H599" s="907"/>
      <c r="I599" s="907"/>
      <c r="J599" s="907"/>
      <c r="K599" s="907"/>
      <c r="L599" s="907"/>
      <c r="M599" s="907"/>
      <c r="N599" s="907"/>
      <c r="O599" s="907"/>
      <c r="P599" s="907"/>
      <c r="Q599" s="907"/>
      <c r="R599" s="907"/>
      <c r="S599" s="907"/>
      <c r="T599" s="907"/>
      <c r="U599" s="907"/>
      <c r="V599" s="907"/>
      <c r="W599" s="907"/>
      <c r="X599" s="907"/>
      <c r="Y599" s="907"/>
      <c r="Z599" s="907"/>
      <c r="AA599" s="907"/>
    </row>
    <row r="600" spans="1:27">
      <c r="A600" s="907"/>
      <c r="B600" s="907"/>
      <c r="C600" s="907"/>
      <c r="D600" s="907"/>
      <c r="E600" s="907"/>
      <c r="F600" s="907"/>
      <c r="G600" s="907"/>
      <c r="H600" s="907"/>
      <c r="I600" s="907"/>
      <c r="J600" s="907"/>
      <c r="K600" s="907"/>
      <c r="L600" s="907"/>
      <c r="M600" s="907"/>
      <c r="N600" s="907"/>
      <c r="O600" s="907"/>
      <c r="P600" s="907"/>
      <c r="Q600" s="907"/>
      <c r="R600" s="907"/>
      <c r="S600" s="907"/>
      <c r="T600" s="907"/>
      <c r="U600" s="907"/>
      <c r="V600" s="907"/>
      <c r="W600" s="907"/>
      <c r="X600" s="907"/>
      <c r="Y600" s="907"/>
      <c r="Z600" s="907"/>
      <c r="AA600" s="907"/>
    </row>
    <row r="601" spans="1:27">
      <c r="A601" s="907"/>
      <c r="B601" s="907"/>
      <c r="C601" s="907"/>
      <c r="D601" s="907"/>
      <c r="E601" s="907"/>
      <c r="F601" s="907"/>
      <c r="G601" s="907"/>
      <c r="H601" s="907"/>
      <c r="I601" s="907"/>
      <c r="J601" s="907"/>
      <c r="K601" s="907"/>
      <c r="L601" s="907"/>
      <c r="M601" s="907"/>
      <c r="N601" s="907"/>
      <c r="O601" s="907"/>
      <c r="P601" s="907"/>
      <c r="Q601" s="907"/>
      <c r="R601" s="907"/>
      <c r="S601" s="907"/>
      <c r="T601" s="907"/>
      <c r="U601" s="907"/>
      <c r="V601" s="907"/>
      <c r="W601" s="907"/>
      <c r="X601" s="907"/>
      <c r="Y601" s="907"/>
      <c r="Z601" s="907"/>
      <c r="AA601" s="907"/>
    </row>
    <row r="602" spans="1:27">
      <c r="A602" s="907"/>
      <c r="B602" s="907"/>
      <c r="C602" s="907"/>
      <c r="D602" s="907"/>
      <c r="E602" s="907"/>
      <c r="F602" s="907"/>
      <c r="G602" s="907"/>
      <c r="H602" s="907"/>
      <c r="I602" s="907"/>
      <c r="J602" s="907"/>
      <c r="K602" s="907"/>
      <c r="L602" s="907"/>
      <c r="M602" s="907"/>
      <c r="N602" s="907"/>
      <c r="O602" s="907"/>
      <c r="P602" s="907"/>
      <c r="Q602" s="907"/>
      <c r="R602" s="907"/>
      <c r="S602" s="907"/>
      <c r="T602" s="907"/>
      <c r="U602" s="907"/>
      <c r="V602" s="907"/>
      <c r="W602" s="907"/>
      <c r="X602" s="907"/>
      <c r="Y602" s="907"/>
      <c r="Z602" s="907"/>
      <c r="AA602" s="907"/>
    </row>
    <row r="603" spans="1:27">
      <c r="A603" s="907"/>
      <c r="B603" s="907"/>
      <c r="C603" s="907"/>
      <c r="D603" s="907"/>
      <c r="E603" s="907"/>
      <c r="F603" s="907"/>
      <c r="G603" s="907"/>
      <c r="H603" s="907"/>
      <c r="I603" s="907"/>
      <c r="J603" s="907"/>
      <c r="K603" s="907"/>
      <c r="L603" s="907"/>
      <c r="M603" s="907"/>
      <c r="N603" s="907"/>
      <c r="O603" s="907"/>
      <c r="P603" s="907"/>
      <c r="Q603" s="907"/>
      <c r="R603" s="907"/>
      <c r="S603" s="907"/>
      <c r="T603" s="907"/>
      <c r="U603" s="907"/>
      <c r="V603" s="907"/>
      <c r="W603" s="907"/>
      <c r="X603" s="907"/>
      <c r="Y603" s="907"/>
      <c r="Z603" s="907"/>
      <c r="AA603" s="907"/>
    </row>
    <row r="604" spans="1:27">
      <c r="A604" s="907"/>
      <c r="B604" s="907"/>
      <c r="C604" s="907"/>
      <c r="D604" s="907"/>
      <c r="E604" s="907"/>
      <c r="F604" s="907"/>
      <c r="G604" s="907"/>
      <c r="H604" s="907"/>
      <c r="I604" s="907"/>
      <c r="J604" s="907"/>
      <c r="K604" s="907"/>
      <c r="L604" s="907"/>
      <c r="M604" s="907"/>
      <c r="N604" s="907"/>
      <c r="O604" s="907"/>
      <c r="P604" s="907"/>
      <c r="Q604" s="907"/>
      <c r="R604" s="907"/>
      <c r="S604" s="907"/>
      <c r="T604" s="907"/>
      <c r="U604" s="907"/>
      <c r="V604" s="907"/>
      <c r="W604" s="907"/>
      <c r="X604" s="907"/>
      <c r="Y604" s="907"/>
      <c r="Z604" s="907"/>
      <c r="AA604" s="907"/>
    </row>
    <row r="605" spans="1:27">
      <c r="A605" s="907"/>
      <c r="B605" s="907"/>
      <c r="C605" s="907"/>
      <c r="D605" s="907"/>
      <c r="E605" s="907"/>
      <c r="F605" s="907"/>
      <c r="G605" s="907"/>
      <c r="H605" s="907"/>
      <c r="I605" s="907"/>
      <c r="J605" s="907"/>
      <c r="K605" s="907"/>
      <c r="L605" s="907"/>
      <c r="M605" s="907"/>
      <c r="N605" s="907"/>
      <c r="O605" s="907"/>
      <c r="P605" s="907"/>
      <c r="Q605" s="907"/>
      <c r="R605" s="907"/>
      <c r="S605" s="907"/>
      <c r="T605" s="907"/>
      <c r="U605" s="907"/>
      <c r="V605" s="907"/>
      <c r="W605" s="907"/>
      <c r="X605" s="907"/>
      <c r="Y605" s="907"/>
      <c r="Z605" s="907"/>
      <c r="AA605" s="907"/>
    </row>
    <row r="606" spans="1:27">
      <c r="A606" s="907"/>
      <c r="B606" s="907"/>
      <c r="C606" s="907"/>
      <c r="D606" s="907"/>
      <c r="E606" s="907"/>
      <c r="F606" s="907"/>
      <c r="G606" s="907"/>
      <c r="H606" s="907"/>
      <c r="I606" s="907"/>
      <c r="J606" s="907"/>
      <c r="K606" s="907"/>
      <c r="L606" s="907"/>
      <c r="M606" s="907"/>
      <c r="N606" s="907"/>
      <c r="O606" s="907"/>
      <c r="P606" s="907"/>
      <c r="Q606" s="907"/>
      <c r="R606" s="907"/>
      <c r="S606" s="907"/>
      <c r="T606" s="907"/>
      <c r="U606" s="907"/>
      <c r="V606" s="907"/>
      <c r="W606" s="907"/>
      <c r="X606" s="907"/>
      <c r="Y606" s="907"/>
      <c r="Z606" s="907"/>
      <c r="AA606" s="907"/>
    </row>
    <row r="607" spans="1:27">
      <c r="A607" s="907"/>
      <c r="B607" s="907"/>
      <c r="C607" s="907"/>
      <c r="D607" s="907"/>
      <c r="E607" s="907"/>
      <c r="F607" s="907"/>
      <c r="G607" s="907"/>
      <c r="H607" s="907"/>
      <c r="I607" s="907"/>
      <c r="J607" s="907"/>
      <c r="K607" s="907"/>
      <c r="L607" s="907"/>
      <c r="M607" s="907"/>
      <c r="N607" s="907"/>
      <c r="O607" s="907"/>
      <c r="P607" s="907"/>
      <c r="Q607" s="907"/>
      <c r="R607" s="907"/>
      <c r="S607" s="907"/>
      <c r="T607" s="907"/>
      <c r="U607" s="907"/>
      <c r="V607" s="907"/>
      <c r="W607" s="907"/>
      <c r="X607" s="907"/>
      <c r="Y607" s="907"/>
      <c r="Z607" s="907"/>
      <c r="AA607" s="907"/>
    </row>
    <row r="608" spans="1:27">
      <c r="A608" s="907"/>
      <c r="B608" s="907"/>
      <c r="C608" s="907"/>
      <c r="D608" s="907"/>
      <c r="E608" s="907"/>
      <c r="F608" s="907"/>
      <c r="G608" s="907"/>
      <c r="H608" s="907"/>
      <c r="I608" s="907"/>
      <c r="J608" s="907"/>
      <c r="K608" s="907"/>
      <c r="L608" s="907"/>
      <c r="M608" s="907"/>
      <c r="N608" s="907"/>
      <c r="O608" s="907"/>
      <c r="P608" s="907"/>
      <c r="Q608" s="907"/>
      <c r="R608" s="907"/>
      <c r="S608" s="907"/>
      <c r="T608" s="907"/>
      <c r="U608" s="907"/>
      <c r="V608" s="907"/>
      <c r="W608" s="907"/>
      <c r="X608" s="907"/>
      <c r="Y608" s="907"/>
      <c r="Z608" s="907"/>
      <c r="AA608" s="907"/>
    </row>
    <row r="609" spans="1:27">
      <c r="A609" s="907"/>
      <c r="B609" s="907"/>
      <c r="C609" s="907"/>
      <c r="D609" s="907"/>
      <c r="E609" s="907"/>
      <c r="F609" s="907"/>
      <c r="G609" s="907"/>
      <c r="H609" s="907"/>
      <c r="I609" s="907"/>
      <c r="J609" s="907"/>
      <c r="K609" s="907"/>
      <c r="L609" s="907"/>
      <c r="M609" s="907"/>
      <c r="N609" s="907"/>
      <c r="O609" s="907"/>
      <c r="P609" s="907"/>
      <c r="Q609" s="907"/>
      <c r="R609" s="907"/>
      <c r="S609" s="907"/>
      <c r="T609" s="907"/>
      <c r="U609" s="907"/>
      <c r="V609" s="907"/>
      <c r="W609" s="907"/>
      <c r="X609" s="907"/>
      <c r="Y609" s="907"/>
      <c r="Z609" s="907"/>
      <c r="AA609" s="907"/>
    </row>
    <row r="610" spans="1:27">
      <c r="A610" s="907"/>
      <c r="B610" s="907"/>
      <c r="C610" s="907"/>
      <c r="D610" s="907"/>
      <c r="E610" s="907"/>
      <c r="F610" s="907"/>
      <c r="G610" s="907"/>
      <c r="H610" s="907"/>
      <c r="I610" s="907"/>
      <c r="J610" s="907"/>
      <c r="K610" s="907"/>
      <c r="L610" s="907"/>
      <c r="M610" s="907"/>
      <c r="N610" s="907"/>
      <c r="O610" s="907"/>
      <c r="P610" s="907"/>
      <c r="Q610" s="907"/>
      <c r="R610" s="907"/>
      <c r="S610" s="907"/>
      <c r="T610" s="907"/>
      <c r="U610" s="907"/>
      <c r="V610" s="907"/>
      <c r="W610" s="907"/>
      <c r="X610" s="907"/>
      <c r="Y610" s="907"/>
      <c r="Z610" s="907"/>
      <c r="AA610" s="907"/>
    </row>
    <row r="611" spans="1:27">
      <c r="A611" s="907"/>
      <c r="B611" s="907"/>
      <c r="C611" s="907"/>
      <c r="D611" s="907"/>
      <c r="E611" s="907"/>
      <c r="F611" s="907"/>
      <c r="G611" s="907"/>
      <c r="H611" s="907"/>
      <c r="I611" s="907"/>
      <c r="J611" s="907"/>
      <c r="K611" s="907"/>
      <c r="L611" s="907"/>
      <c r="M611" s="907"/>
      <c r="N611" s="907"/>
      <c r="O611" s="907"/>
      <c r="P611" s="907"/>
      <c r="Q611" s="907"/>
      <c r="R611" s="907"/>
      <c r="S611" s="907"/>
      <c r="T611" s="907"/>
      <c r="U611" s="907"/>
      <c r="V611" s="907"/>
      <c r="W611" s="907"/>
      <c r="X611" s="907"/>
      <c r="Y611" s="907"/>
      <c r="Z611" s="907"/>
      <c r="AA611" s="907"/>
    </row>
    <row r="612" spans="1:27">
      <c r="A612" s="907"/>
      <c r="B612" s="907"/>
      <c r="C612" s="907"/>
      <c r="D612" s="907"/>
      <c r="E612" s="907"/>
      <c r="F612" s="907"/>
      <c r="G612" s="907"/>
      <c r="H612" s="907"/>
      <c r="I612" s="907"/>
      <c r="J612" s="907"/>
      <c r="K612" s="907"/>
      <c r="L612" s="907"/>
      <c r="M612" s="907"/>
      <c r="N612" s="907"/>
      <c r="O612" s="907"/>
      <c r="P612" s="907"/>
      <c r="Q612" s="907"/>
      <c r="R612" s="907"/>
      <c r="S612" s="907"/>
      <c r="T612" s="907"/>
      <c r="U612" s="907"/>
      <c r="V612" s="907"/>
      <c r="W612" s="907"/>
      <c r="X612" s="907"/>
      <c r="Y612" s="907"/>
      <c r="Z612" s="907"/>
      <c r="AA612" s="907"/>
    </row>
    <row r="613" spans="1:27">
      <c r="A613" s="907"/>
      <c r="B613" s="907"/>
      <c r="C613" s="907"/>
      <c r="D613" s="907"/>
      <c r="E613" s="907"/>
      <c r="F613" s="907"/>
      <c r="G613" s="907"/>
      <c r="H613" s="907"/>
      <c r="I613" s="907"/>
      <c r="J613" s="907"/>
      <c r="K613" s="907"/>
      <c r="L613" s="907"/>
      <c r="M613" s="907"/>
      <c r="N613" s="907"/>
      <c r="O613" s="907"/>
      <c r="P613" s="907"/>
      <c r="Q613" s="907"/>
      <c r="R613" s="907"/>
      <c r="S613" s="907"/>
      <c r="T613" s="907"/>
      <c r="U613" s="907"/>
      <c r="V613" s="907"/>
      <c r="W613" s="907"/>
      <c r="X613" s="907"/>
      <c r="Y613" s="907"/>
      <c r="Z613" s="907"/>
      <c r="AA613" s="907"/>
    </row>
    <row r="614" spans="1:27">
      <c r="A614" s="907"/>
      <c r="B614" s="907"/>
      <c r="C614" s="907"/>
      <c r="D614" s="907"/>
      <c r="E614" s="907"/>
      <c r="F614" s="907"/>
      <c r="G614" s="907"/>
      <c r="H614" s="907"/>
      <c r="I614" s="907"/>
      <c r="J614" s="907"/>
      <c r="K614" s="907"/>
      <c r="L614" s="907"/>
      <c r="M614" s="907"/>
      <c r="N614" s="907"/>
      <c r="O614" s="907"/>
      <c r="P614" s="907"/>
      <c r="Q614" s="907"/>
      <c r="R614" s="907"/>
      <c r="S614" s="907"/>
      <c r="T614" s="907"/>
      <c r="U614" s="907"/>
      <c r="V614" s="907"/>
      <c r="W614" s="907"/>
      <c r="X614" s="907"/>
      <c r="Y614" s="907"/>
      <c r="Z614" s="907"/>
      <c r="AA614" s="907"/>
    </row>
    <row r="615" spans="1:27">
      <c r="A615" s="907"/>
      <c r="B615" s="907"/>
      <c r="C615" s="907"/>
      <c r="D615" s="907"/>
      <c r="E615" s="907"/>
      <c r="F615" s="907"/>
      <c r="G615" s="907"/>
      <c r="H615" s="907"/>
      <c r="I615" s="907"/>
      <c r="J615" s="907"/>
      <c r="K615" s="907"/>
      <c r="L615" s="907"/>
      <c r="M615" s="907"/>
      <c r="N615" s="907"/>
      <c r="O615" s="907"/>
      <c r="P615" s="907"/>
      <c r="Q615" s="907"/>
      <c r="R615" s="907"/>
      <c r="S615" s="907"/>
      <c r="T615" s="907"/>
      <c r="U615" s="907"/>
      <c r="V615" s="907"/>
      <c r="W615" s="907"/>
      <c r="X615" s="907"/>
      <c r="Y615" s="907"/>
      <c r="Z615" s="907"/>
      <c r="AA615" s="907"/>
    </row>
    <row r="616" spans="1:27">
      <c r="A616" s="907"/>
      <c r="B616" s="907"/>
      <c r="C616" s="907"/>
      <c r="D616" s="907"/>
      <c r="E616" s="907"/>
      <c r="F616" s="907"/>
      <c r="G616" s="907"/>
      <c r="H616" s="907"/>
      <c r="I616" s="907"/>
      <c r="J616" s="907"/>
      <c r="K616" s="907"/>
      <c r="L616" s="907"/>
      <c r="M616" s="907"/>
      <c r="N616" s="907"/>
      <c r="O616" s="907"/>
      <c r="P616" s="907"/>
      <c r="Q616" s="907"/>
      <c r="R616" s="907"/>
      <c r="S616" s="907"/>
      <c r="T616" s="907"/>
      <c r="U616" s="907"/>
      <c r="V616" s="907"/>
      <c r="W616" s="907"/>
      <c r="X616" s="907"/>
      <c r="Y616" s="907"/>
      <c r="Z616" s="907"/>
      <c r="AA616" s="907"/>
    </row>
    <row r="617" spans="1:27">
      <c r="A617" s="907"/>
      <c r="B617" s="907"/>
      <c r="C617" s="907"/>
      <c r="D617" s="907"/>
      <c r="E617" s="907"/>
      <c r="F617" s="907"/>
      <c r="G617" s="907"/>
      <c r="H617" s="907"/>
      <c r="I617" s="907"/>
      <c r="J617" s="907"/>
      <c r="K617" s="907"/>
      <c r="L617" s="907"/>
      <c r="M617" s="907"/>
      <c r="N617" s="907"/>
      <c r="O617" s="907"/>
      <c r="P617" s="907"/>
      <c r="Q617" s="907"/>
      <c r="R617" s="907"/>
      <c r="S617" s="907"/>
      <c r="T617" s="907"/>
      <c r="U617" s="907"/>
      <c r="V617" s="907"/>
      <c r="W617" s="907"/>
      <c r="X617" s="907"/>
      <c r="Y617" s="907"/>
      <c r="Z617" s="907"/>
      <c r="AA617" s="907"/>
    </row>
    <row r="618" spans="1:27">
      <c r="A618" s="907"/>
      <c r="B618" s="907"/>
      <c r="C618" s="907"/>
      <c r="D618" s="907"/>
      <c r="E618" s="907"/>
      <c r="F618" s="907"/>
      <c r="G618" s="907"/>
      <c r="H618" s="907"/>
      <c r="I618" s="907"/>
      <c r="J618" s="907"/>
      <c r="K618" s="907"/>
      <c r="L618" s="907"/>
      <c r="M618" s="907"/>
      <c r="N618" s="907"/>
      <c r="O618" s="907"/>
      <c r="P618" s="907"/>
      <c r="Q618" s="907"/>
      <c r="R618" s="907"/>
      <c r="S618" s="907"/>
      <c r="T618" s="907"/>
      <c r="U618" s="907"/>
      <c r="V618" s="907"/>
      <c r="W618" s="907"/>
      <c r="X618" s="907"/>
      <c r="Y618" s="907"/>
      <c r="Z618" s="907"/>
      <c r="AA618" s="907"/>
    </row>
    <row r="619" spans="1:27">
      <c r="A619" s="907"/>
      <c r="B619" s="907"/>
      <c r="C619" s="907"/>
      <c r="D619" s="907"/>
      <c r="E619" s="907"/>
      <c r="F619" s="907"/>
      <c r="G619" s="907"/>
      <c r="H619" s="907"/>
      <c r="I619" s="907"/>
      <c r="J619" s="907"/>
      <c r="K619" s="907"/>
      <c r="L619" s="907"/>
      <c r="M619" s="907"/>
      <c r="N619" s="907"/>
      <c r="O619" s="907"/>
      <c r="P619" s="907"/>
      <c r="Q619" s="907"/>
      <c r="R619" s="907"/>
      <c r="S619" s="907"/>
      <c r="T619" s="907"/>
      <c r="U619" s="907"/>
      <c r="V619" s="907"/>
      <c r="W619" s="907"/>
      <c r="X619" s="907"/>
      <c r="Y619" s="907"/>
      <c r="Z619" s="907"/>
      <c r="AA619" s="907"/>
    </row>
    <row r="620" spans="1:27">
      <c r="A620" s="907"/>
      <c r="B620" s="907"/>
      <c r="C620" s="907"/>
      <c r="D620" s="907"/>
      <c r="E620" s="907"/>
      <c r="F620" s="907"/>
      <c r="G620" s="907"/>
      <c r="H620" s="907"/>
      <c r="I620" s="907"/>
      <c r="J620" s="907"/>
      <c r="K620" s="907"/>
      <c r="L620" s="907"/>
      <c r="M620" s="907"/>
      <c r="N620" s="907"/>
      <c r="O620" s="907"/>
      <c r="P620" s="907"/>
      <c r="Q620" s="907"/>
      <c r="R620" s="907"/>
      <c r="S620" s="907"/>
      <c r="T620" s="907"/>
      <c r="U620" s="907"/>
      <c r="V620" s="907"/>
      <c r="W620" s="907"/>
      <c r="X620" s="907"/>
      <c r="Y620" s="907"/>
      <c r="Z620" s="907"/>
      <c r="AA620" s="907"/>
    </row>
    <row r="621" spans="1:27">
      <c r="A621" s="907"/>
      <c r="B621" s="907"/>
      <c r="C621" s="907"/>
      <c r="D621" s="907"/>
      <c r="E621" s="907"/>
      <c r="F621" s="907"/>
      <c r="G621" s="907"/>
      <c r="H621" s="907"/>
      <c r="I621" s="907"/>
      <c r="J621" s="907"/>
      <c r="K621" s="907"/>
      <c r="L621" s="907"/>
      <c r="M621" s="907"/>
      <c r="N621" s="907"/>
      <c r="O621" s="907"/>
      <c r="P621" s="907"/>
      <c r="Q621" s="907"/>
      <c r="R621" s="907"/>
      <c r="S621" s="907"/>
      <c r="T621" s="907"/>
      <c r="U621" s="907"/>
      <c r="V621" s="907"/>
      <c r="W621" s="907"/>
      <c r="X621" s="907"/>
      <c r="Y621" s="907"/>
      <c r="Z621" s="907"/>
      <c r="AA621" s="907"/>
    </row>
    <row r="622" spans="1:27">
      <c r="A622" s="907"/>
      <c r="B622" s="907"/>
      <c r="C622" s="907"/>
      <c r="D622" s="907"/>
      <c r="E622" s="907"/>
      <c r="F622" s="907"/>
      <c r="G622" s="907"/>
      <c r="H622" s="907"/>
      <c r="I622" s="907"/>
      <c r="J622" s="907"/>
      <c r="K622" s="907"/>
      <c r="L622" s="907"/>
      <c r="M622" s="907"/>
      <c r="N622" s="907"/>
      <c r="O622" s="907"/>
      <c r="P622" s="907"/>
      <c r="Q622" s="907"/>
      <c r="R622" s="907"/>
      <c r="S622" s="907"/>
      <c r="T622" s="907"/>
      <c r="U622" s="907"/>
      <c r="V622" s="907"/>
      <c r="W622" s="907"/>
      <c r="X622" s="907"/>
      <c r="Y622" s="907"/>
      <c r="Z622" s="907"/>
      <c r="AA622" s="907"/>
    </row>
    <row r="623" spans="1:27">
      <c r="A623" s="907"/>
      <c r="B623" s="907"/>
      <c r="C623" s="907"/>
      <c r="D623" s="907"/>
      <c r="E623" s="907"/>
      <c r="F623" s="907"/>
      <c r="G623" s="907"/>
      <c r="H623" s="907"/>
      <c r="I623" s="907"/>
      <c r="J623" s="907"/>
      <c r="K623" s="907"/>
      <c r="L623" s="907"/>
      <c r="M623" s="907"/>
      <c r="N623" s="907"/>
      <c r="O623" s="907"/>
      <c r="P623" s="907"/>
      <c r="Q623" s="907"/>
      <c r="R623" s="907"/>
      <c r="S623" s="907"/>
      <c r="T623" s="907"/>
      <c r="U623" s="907"/>
      <c r="V623" s="907"/>
      <c r="W623" s="907"/>
      <c r="X623" s="907"/>
      <c r="Y623" s="907"/>
      <c r="Z623" s="907"/>
      <c r="AA623" s="907"/>
    </row>
    <row r="624" spans="1:27">
      <c r="A624" s="907"/>
      <c r="B624" s="907"/>
      <c r="C624" s="907"/>
      <c r="D624" s="907"/>
      <c r="E624" s="907"/>
      <c r="F624" s="907"/>
      <c r="G624" s="907"/>
      <c r="H624" s="907"/>
      <c r="I624" s="907"/>
      <c r="J624" s="907"/>
      <c r="K624" s="907"/>
      <c r="L624" s="907"/>
      <c r="M624" s="907"/>
      <c r="N624" s="907"/>
      <c r="O624" s="907"/>
      <c r="P624" s="907"/>
      <c r="Q624" s="907"/>
      <c r="R624" s="907"/>
      <c r="S624" s="907"/>
      <c r="T624" s="907"/>
      <c r="U624" s="907"/>
      <c r="V624" s="907"/>
      <c r="W624" s="907"/>
      <c r="X624" s="907"/>
      <c r="Y624" s="907"/>
      <c r="Z624" s="907"/>
      <c r="AA624" s="907"/>
    </row>
    <row r="625" spans="1:27">
      <c r="A625" s="907"/>
      <c r="B625" s="907"/>
      <c r="C625" s="907"/>
      <c r="D625" s="907"/>
      <c r="E625" s="907"/>
      <c r="F625" s="907"/>
      <c r="G625" s="907"/>
      <c r="H625" s="907"/>
      <c r="I625" s="907"/>
      <c r="J625" s="907"/>
      <c r="K625" s="907"/>
      <c r="L625" s="907"/>
      <c r="M625" s="907"/>
      <c r="N625" s="907"/>
      <c r="O625" s="907"/>
      <c r="P625" s="907"/>
      <c r="Q625" s="907"/>
      <c r="R625" s="907"/>
      <c r="S625" s="907"/>
      <c r="T625" s="907"/>
      <c r="U625" s="907"/>
      <c r="V625" s="907"/>
      <c r="W625" s="907"/>
      <c r="X625" s="907"/>
      <c r="Y625" s="907"/>
      <c r="Z625" s="907"/>
      <c r="AA625" s="907"/>
    </row>
    <row r="626" spans="1:27">
      <c r="A626" s="907"/>
      <c r="B626" s="907"/>
      <c r="C626" s="907"/>
      <c r="D626" s="907"/>
      <c r="E626" s="907"/>
      <c r="F626" s="907"/>
      <c r="G626" s="907"/>
      <c r="H626" s="907"/>
      <c r="I626" s="907"/>
      <c r="J626" s="907"/>
      <c r="K626" s="907"/>
      <c r="L626" s="907"/>
      <c r="M626" s="907"/>
      <c r="N626" s="907"/>
      <c r="O626" s="907"/>
      <c r="P626" s="907"/>
      <c r="Q626" s="907"/>
      <c r="R626" s="907"/>
      <c r="S626" s="907"/>
      <c r="T626" s="907"/>
      <c r="U626" s="907"/>
      <c r="V626" s="907"/>
      <c r="W626" s="907"/>
      <c r="X626" s="907"/>
      <c r="Y626" s="907"/>
      <c r="Z626" s="907"/>
      <c r="AA626" s="907"/>
    </row>
    <row r="627" spans="1:27">
      <c r="A627" s="907"/>
      <c r="B627" s="907"/>
      <c r="C627" s="907"/>
      <c r="D627" s="907"/>
      <c r="E627" s="907"/>
      <c r="F627" s="907"/>
      <c r="G627" s="907"/>
      <c r="H627" s="907"/>
      <c r="I627" s="907"/>
      <c r="J627" s="907"/>
      <c r="K627" s="907"/>
      <c r="L627" s="907"/>
      <c r="M627" s="907"/>
      <c r="N627" s="907"/>
      <c r="O627" s="907"/>
      <c r="P627" s="907"/>
      <c r="Q627" s="907"/>
      <c r="R627" s="907"/>
      <c r="S627" s="907"/>
      <c r="T627" s="907"/>
      <c r="U627" s="907"/>
      <c r="V627" s="907"/>
      <c r="W627" s="907"/>
      <c r="X627" s="907"/>
      <c r="Y627" s="907"/>
      <c r="Z627" s="907"/>
      <c r="AA627" s="907"/>
    </row>
    <row r="628" spans="1:27">
      <c r="A628" s="907"/>
      <c r="B628" s="907"/>
      <c r="C628" s="907"/>
      <c r="D628" s="907"/>
      <c r="E628" s="907"/>
      <c r="F628" s="907"/>
      <c r="G628" s="907"/>
      <c r="H628" s="907"/>
      <c r="I628" s="907"/>
      <c r="J628" s="907"/>
      <c r="K628" s="907"/>
      <c r="L628" s="907"/>
      <c r="M628" s="907"/>
      <c r="N628" s="907"/>
      <c r="O628" s="907"/>
      <c r="P628" s="907"/>
      <c r="Q628" s="907"/>
      <c r="R628" s="907"/>
      <c r="S628" s="907"/>
      <c r="T628" s="907"/>
      <c r="U628" s="907"/>
      <c r="V628" s="907"/>
      <c r="W628" s="907"/>
      <c r="X628" s="907"/>
      <c r="Y628" s="907"/>
      <c r="Z628" s="907"/>
      <c r="AA628" s="907"/>
    </row>
    <row r="629" spans="1:27">
      <c r="A629" s="907"/>
      <c r="B629" s="907"/>
      <c r="C629" s="907"/>
      <c r="D629" s="907"/>
      <c r="E629" s="907"/>
      <c r="F629" s="907"/>
      <c r="G629" s="907"/>
      <c r="H629" s="907"/>
      <c r="I629" s="907"/>
      <c r="J629" s="907"/>
      <c r="K629" s="907"/>
      <c r="L629" s="907"/>
      <c r="M629" s="907"/>
      <c r="N629" s="907"/>
      <c r="O629" s="907"/>
      <c r="P629" s="907"/>
      <c r="Q629" s="907"/>
      <c r="R629" s="907"/>
      <c r="S629" s="907"/>
      <c r="T629" s="907"/>
      <c r="U629" s="907"/>
      <c r="V629" s="907"/>
      <c r="W629" s="907"/>
      <c r="X629" s="907"/>
      <c r="Y629" s="907"/>
      <c r="Z629" s="907"/>
      <c r="AA629" s="907"/>
    </row>
    <row r="630" spans="1:27">
      <c r="A630" s="907"/>
      <c r="B630" s="907"/>
      <c r="C630" s="907"/>
      <c r="D630" s="907"/>
      <c r="E630" s="907"/>
      <c r="F630" s="907"/>
      <c r="G630" s="907"/>
      <c r="H630" s="907"/>
      <c r="I630" s="907"/>
      <c r="J630" s="907"/>
      <c r="K630" s="907"/>
      <c r="L630" s="907"/>
      <c r="M630" s="907"/>
      <c r="N630" s="907"/>
      <c r="O630" s="907"/>
      <c r="P630" s="907"/>
      <c r="Q630" s="907"/>
      <c r="R630" s="907"/>
      <c r="S630" s="907"/>
      <c r="T630" s="907"/>
      <c r="U630" s="907"/>
      <c r="V630" s="907"/>
      <c r="W630" s="907"/>
      <c r="X630" s="907"/>
      <c r="Y630" s="907"/>
      <c r="Z630" s="907"/>
      <c r="AA630" s="907"/>
    </row>
    <row r="631" spans="1:27">
      <c r="A631" s="907"/>
      <c r="B631" s="907"/>
      <c r="C631" s="907"/>
      <c r="D631" s="907"/>
      <c r="E631" s="907"/>
      <c r="F631" s="907"/>
      <c r="G631" s="907"/>
      <c r="H631" s="907"/>
      <c r="I631" s="907"/>
      <c r="J631" s="907"/>
      <c r="K631" s="907"/>
      <c r="L631" s="907"/>
      <c r="M631" s="907"/>
      <c r="N631" s="907"/>
      <c r="O631" s="907"/>
      <c r="P631" s="907"/>
      <c r="Q631" s="907"/>
      <c r="R631" s="907"/>
      <c r="S631" s="907"/>
      <c r="T631" s="907"/>
      <c r="U631" s="907"/>
      <c r="V631" s="907"/>
      <c r="W631" s="907"/>
      <c r="X631" s="907"/>
      <c r="Y631" s="907"/>
      <c r="Z631" s="907"/>
      <c r="AA631" s="907"/>
    </row>
    <row r="632" spans="1:27">
      <c r="A632" s="907"/>
      <c r="B632" s="907"/>
      <c r="C632" s="907"/>
      <c r="D632" s="907"/>
      <c r="E632" s="907"/>
      <c r="F632" s="907"/>
      <c r="G632" s="907"/>
      <c r="H632" s="907"/>
      <c r="I632" s="907"/>
      <c r="J632" s="907"/>
      <c r="K632" s="907"/>
      <c r="L632" s="907"/>
      <c r="M632" s="907"/>
      <c r="N632" s="907"/>
      <c r="O632" s="907"/>
      <c r="P632" s="907"/>
      <c r="Q632" s="907"/>
      <c r="R632" s="907"/>
      <c r="S632" s="907"/>
      <c r="T632" s="907"/>
      <c r="U632" s="907"/>
      <c r="V632" s="907"/>
      <c r="W632" s="907"/>
      <c r="X632" s="907"/>
      <c r="Y632" s="907"/>
      <c r="Z632" s="907"/>
      <c r="AA632" s="907"/>
    </row>
    <row r="633" spans="1:27">
      <c r="A633" s="907"/>
      <c r="B633" s="907"/>
      <c r="C633" s="907"/>
      <c r="D633" s="907"/>
      <c r="E633" s="907"/>
      <c r="F633" s="907"/>
      <c r="G633" s="907"/>
      <c r="H633" s="907"/>
      <c r="I633" s="907"/>
      <c r="J633" s="907"/>
      <c r="K633" s="907"/>
      <c r="L633" s="907"/>
      <c r="M633" s="907"/>
      <c r="N633" s="907"/>
      <c r="O633" s="907"/>
      <c r="P633" s="907"/>
      <c r="Q633" s="907"/>
      <c r="R633" s="907"/>
      <c r="S633" s="907"/>
      <c r="T633" s="907"/>
      <c r="U633" s="907"/>
      <c r="V633" s="907"/>
      <c r="W633" s="907"/>
      <c r="X633" s="907"/>
      <c r="Y633" s="907"/>
      <c r="Z633" s="907"/>
      <c r="AA633" s="907"/>
    </row>
    <row r="634" spans="1:27">
      <c r="A634" s="907"/>
      <c r="B634" s="907"/>
      <c r="C634" s="907"/>
      <c r="D634" s="907"/>
      <c r="E634" s="907"/>
      <c r="F634" s="907"/>
      <c r="G634" s="907"/>
      <c r="H634" s="907"/>
      <c r="I634" s="907"/>
      <c r="J634" s="907"/>
      <c r="K634" s="907"/>
      <c r="L634" s="907"/>
      <c r="M634" s="907"/>
      <c r="N634" s="907"/>
      <c r="O634" s="907"/>
      <c r="P634" s="907"/>
      <c r="Q634" s="907"/>
      <c r="R634" s="907"/>
      <c r="S634" s="907"/>
      <c r="T634" s="907"/>
      <c r="U634" s="907"/>
      <c r="V634" s="907"/>
      <c r="W634" s="907"/>
      <c r="X634" s="907"/>
      <c r="Y634" s="907"/>
      <c r="Z634" s="907"/>
      <c r="AA634" s="907"/>
    </row>
    <row r="635" spans="1:27">
      <c r="A635" s="907"/>
      <c r="B635" s="907"/>
      <c r="C635" s="907"/>
      <c r="D635" s="907"/>
      <c r="E635" s="907"/>
      <c r="F635" s="907"/>
      <c r="G635" s="907"/>
      <c r="H635" s="907"/>
      <c r="I635" s="907"/>
      <c r="J635" s="907"/>
      <c r="K635" s="907"/>
      <c r="L635" s="907"/>
      <c r="M635" s="907"/>
      <c r="N635" s="907"/>
      <c r="O635" s="907"/>
      <c r="P635" s="907"/>
      <c r="Q635" s="907"/>
      <c r="R635" s="907"/>
      <c r="S635" s="907"/>
      <c r="T635" s="907"/>
      <c r="U635" s="907"/>
      <c r="V635" s="907"/>
      <c r="W635" s="907"/>
      <c r="X635" s="907"/>
      <c r="Y635" s="907"/>
      <c r="Z635" s="907"/>
      <c r="AA635" s="907"/>
    </row>
    <row r="636" spans="1:27">
      <c r="A636" s="907"/>
      <c r="B636" s="907"/>
      <c r="C636" s="907"/>
      <c r="D636" s="907"/>
      <c r="E636" s="907"/>
      <c r="F636" s="907"/>
      <c r="G636" s="907"/>
      <c r="H636" s="907"/>
      <c r="I636" s="907"/>
      <c r="J636" s="907"/>
      <c r="K636" s="907"/>
      <c r="L636" s="907"/>
      <c r="M636" s="907"/>
      <c r="N636" s="907"/>
      <c r="O636" s="907"/>
      <c r="P636" s="907"/>
      <c r="Q636" s="907"/>
      <c r="R636" s="907"/>
      <c r="S636" s="907"/>
      <c r="T636" s="907"/>
      <c r="U636" s="907"/>
      <c r="V636" s="907"/>
      <c r="W636" s="907"/>
      <c r="X636" s="907"/>
      <c r="Y636" s="907"/>
      <c r="Z636" s="907"/>
      <c r="AA636" s="907"/>
    </row>
    <row r="637" spans="1:27">
      <c r="A637" s="907"/>
      <c r="B637" s="907"/>
      <c r="C637" s="907"/>
      <c r="D637" s="907"/>
      <c r="E637" s="907"/>
      <c r="F637" s="907"/>
      <c r="G637" s="907"/>
      <c r="H637" s="907"/>
      <c r="I637" s="907"/>
      <c r="J637" s="907"/>
      <c r="K637" s="907"/>
      <c r="L637" s="907"/>
      <c r="M637" s="907"/>
      <c r="N637" s="907"/>
      <c r="O637" s="907"/>
      <c r="P637" s="907"/>
      <c r="Q637" s="907"/>
      <c r="R637" s="907"/>
      <c r="S637" s="907"/>
      <c r="T637" s="907"/>
      <c r="U637" s="907"/>
      <c r="V637" s="907"/>
      <c r="W637" s="907"/>
      <c r="X637" s="907"/>
      <c r="Y637" s="907"/>
      <c r="Z637" s="907"/>
      <c r="AA637" s="907"/>
    </row>
    <row r="638" spans="1:27">
      <c r="A638" s="907"/>
      <c r="B638" s="907"/>
      <c r="C638" s="907"/>
      <c r="D638" s="907"/>
      <c r="E638" s="907"/>
      <c r="F638" s="907"/>
      <c r="G638" s="907"/>
      <c r="H638" s="907"/>
      <c r="I638" s="907"/>
      <c r="J638" s="907"/>
      <c r="K638" s="907"/>
      <c r="L638" s="907"/>
      <c r="M638" s="907"/>
      <c r="N638" s="907"/>
      <c r="O638" s="907"/>
      <c r="P638" s="907"/>
      <c r="Q638" s="907"/>
      <c r="R638" s="907"/>
      <c r="S638" s="907"/>
      <c r="T638" s="907"/>
      <c r="U638" s="907"/>
      <c r="V638" s="907"/>
      <c r="W638" s="907"/>
      <c r="X638" s="907"/>
      <c r="Y638" s="907"/>
      <c r="Z638" s="907"/>
      <c r="AA638" s="907"/>
    </row>
    <row r="639" spans="1:27">
      <c r="A639" s="907"/>
      <c r="B639" s="907"/>
      <c r="C639" s="907"/>
      <c r="D639" s="907"/>
      <c r="E639" s="907"/>
      <c r="F639" s="907"/>
      <c r="G639" s="907"/>
      <c r="H639" s="907"/>
      <c r="I639" s="907"/>
      <c r="J639" s="907"/>
      <c r="K639" s="907"/>
      <c r="L639" s="907"/>
      <c r="M639" s="907"/>
      <c r="N639" s="907"/>
      <c r="O639" s="907"/>
      <c r="P639" s="907"/>
      <c r="Q639" s="907"/>
      <c r="R639" s="907"/>
      <c r="S639" s="907"/>
      <c r="T639" s="907"/>
      <c r="U639" s="907"/>
      <c r="V639" s="907"/>
      <c r="W639" s="907"/>
      <c r="X639" s="907"/>
      <c r="Y639" s="907"/>
      <c r="Z639" s="907"/>
      <c r="AA639" s="907"/>
    </row>
    <row r="640" spans="1:27">
      <c r="A640" s="907"/>
      <c r="B640" s="907"/>
      <c r="C640" s="907"/>
      <c r="D640" s="907"/>
      <c r="E640" s="907"/>
      <c r="F640" s="907"/>
      <c r="G640" s="907"/>
      <c r="H640" s="907"/>
      <c r="I640" s="907"/>
      <c r="J640" s="907"/>
      <c r="K640" s="907"/>
      <c r="L640" s="907"/>
      <c r="M640" s="907"/>
      <c r="N640" s="907"/>
      <c r="O640" s="907"/>
      <c r="P640" s="907"/>
      <c r="Q640" s="907"/>
      <c r="R640" s="907"/>
      <c r="S640" s="907"/>
      <c r="T640" s="907"/>
      <c r="U640" s="907"/>
      <c r="V640" s="907"/>
      <c r="W640" s="907"/>
      <c r="X640" s="907"/>
      <c r="Y640" s="907"/>
      <c r="Z640" s="907"/>
      <c r="AA640" s="907"/>
    </row>
    <row r="641" spans="1:27">
      <c r="A641" s="907"/>
      <c r="B641" s="907"/>
      <c r="C641" s="907"/>
      <c r="D641" s="907"/>
      <c r="E641" s="907"/>
      <c r="F641" s="907"/>
      <c r="G641" s="907"/>
      <c r="H641" s="907"/>
      <c r="I641" s="907"/>
      <c r="J641" s="907"/>
      <c r="K641" s="907"/>
      <c r="L641" s="907"/>
      <c r="M641" s="907"/>
      <c r="N641" s="907"/>
      <c r="O641" s="907"/>
      <c r="P641" s="907"/>
      <c r="Q641" s="907"/>
      <c r="R641" s="907"/>
      <c r="S641" s="907"/>
      <c r="T641" s="907"/>
      <c r="U641" s="907"/>
      <c r="V641" s="907"/>
      <c r="W641" s="907"/>
      <c r="X641" s="907"/>
      <c r="Y641" s="907"/>
      <c r="Z641" s="907"/>
      <c r="AA641" s="907"/>
    </row>
    <row r="642" spans="1:27">
      <c r="A642" s="907"/>
      <c r="B642" s="907"/>
      <c r="C642" s="907"/>
      <c r="D642" s="907"/>
      <c r="E642" s="907"/>
      <c r="F642" s="907"/>
      <c r="G642" s="907"/>
      <c r="H642" s="907"/>
      <c r="I642" s="907"/>
      <c r="J642" s="907"/>
      <c r="K642" s="907"/>
      <c r="L642" s="907"/>
      <c r="M642" s="907"/>
      <c r="N642" s="907"/>
      <c r="O642" s="907"/>
      <c r="P642" s="907"/>
      <c r="Q642" s="907"/>
      <c r="R642" s="907"/>
      <c r="S642" s="907"/>
      <c r="T642" s="907"/>
      <c r="U642" s="907"/>
      <c r="V642" s="907"/>
      <c r="W642" s="907"/>
      <c r="X642" s="907"/>
      <c r="Y642" s="907"/>
      <c r="Z642" s="907"/>
      <c r="AA642" s="907"/>
    </row>
    <row r="643" spans="1:27">
      <c r="A643" s="907"/>
      <c r="B643" s="907"/>
      <c r="C643" s="907"/>
      <c r="D643" s="907"/>
      <c r="E643" s="907"/>
      <c r="F643" s="907"/>
      <c r="G643" s="907"/>
      <c r="H643" s="907"/>
      <c r="I643" s="907"/>
      <c r="J643" s="907"/>
      <c r="K643" s="907"/>
      <c r="L643" s="907"/>
      <c r="M643" s="907"/>
      <c r="N643" s="907"/>
      <c r="O643" s="907"/>
      <c r="P643" s="907"/>
      <c r="Q643" s="907"/>
      <c r="R643" s="907"/>
      <c r="S643" s="907"/>
      <c r="T643" s="907"/>
      <c r="U643" s="907"/>
      <c r="V643" s="907"/>
      <c r="W643" s="907"/>
      <c r="X643" s="907"/>
      <c r="Y643" s="907"/>
      <c r="Z643" s="907"/>
      <c r="AA643" s="907"/>
    </row>
    <row r="644" spans="1:27">
      <c r="A644" s="907"/>
      <c r="B644" s="907"/>
      <c r="C644" s="907"/>
      <c r="D644" s="907"/>
      <c r="E644" s="907"/>
      <c r="F644" s="907"/>
      <c r="G644" s="907"/>
      <c r="H644" s="907"/>
      <c r="I644" s="907"/>
      <c r="J644" s="907"/>
      <c r="K644" s="907"/>
      <c r="L644" s="907"/>
      <c r="M644" s="907"/>
      <c r="N644" s="907"/>
      <c r="O644" s="907"/>
      <c r="P644" s="907"/>
      <c r="Q644" s="907"/>
      <c r="R644" s="907"/>
      <c r="S644" s="907"/>
      <c r="T644" s="907"/>
      <c r="U644" s="907"/>
      <c r="V644" s="907"/>
      <c r="W644" s="907"/>
      <c r="X644" s="907"/>
      <c r="Y644" s="907"/>
      <c r="Z644" s="907"/>
      <c r="AA644" s="907"/>
    </row>
    <row r="645" spans="1:27">
      <c r="A645" s="907"/>
      <c r="B645" s="907"/>
      <c r="C645" s="907"/>
      <c r="D645" s="907"/>
      <c r="E645" s="907"/>
      <c r="F645" s="907"/>
      <c r="G645" s="907"/>
      <c r="H645" s="907"/>
      <c r="I645" s="907"/>
      <c r="J645" s="907"/>
      <c r="K645" s="907"/>
      <c r="L645" s="907"/>
      <c r="M645" s="907"/>
      <c r="N645" s="907"/>
      <c r="O645" s="907"/>
      <c r="P645" s="907"/>
      <c r="Q645" s="907"/>
      <c r="R645" s="907"/>
      <c r="S645" s="907"/>
      <c r="T645" s="907"/>
      <c r="U645" s="907"/>
      <c r="V645" s="907"/>
      <c r="W645" s="907"/>
      <c r="X645" s="907"/>
      <c r="Y645" s="907"/>
      <c r="Z645" s="907"/>
      <c r="AA645" s="907"/>
    </row>
    <row r="646" spans="1:27">
      <c r="A646" s="907"/>
      <c r="B646" s="907"/>
      <c r="C646" s="907"/>
      <c r="D646" s="907"/>
      <c r="E646" s="907"/>
      <c r="F646" s="907"/>
      <c r="G646" s="907"/>
      <c r="H646" s="907"/>
      <c r="I646" s="907"/>
      <c r="J646" s="907"/>
      <c r="K646" s="907"/>
      <c r="L646" s="907"/>
      <c r="M646" s="907"/>
      <c r="N646" s="907"/>
      <c r="O646" s="907"/>
      <c r="P646" s="907"/>
      <c r="Q646" s="907"/>
      <c r="R646" s="907"/>
      <c r="S646" s="907"/>
      <c r="T646" s="907"/>
      <c r="U646" s="907"/>
      <c r="V646" s="907"/>
      <c r="W646" s="907"/>
      <c r="X646" s="907"/>
      <c r="Y646" s="907"/>
      <c r="Z646" s="907"/>
      <c r="AA646" s="907"/>
    </row>
    <row r="647" spans="1:27">
      <c r="A647" s="907"/>
      <c r="B647" s="907"/>
      <c r="C647" s="907"/>
      <c r="D647" s="907"/>
      <c r="E647" s="907"/>
      <c r="F647" s="907"/>
      <c r="G647" s="907"/>
      <c r="H647" s="907"/>
      <c r="I647" s="907"/>
      <c r="J647" s="907"/>
      <c r="K647" s="907"/>
      <c r="L647" s="907"/>
      <c r="M647" s="907"/>
      <c r="N647" s="907"/>
      <c r="O647" s="907"/>
      <c r="P647" s="907"/>
      <c r="Q647" s="907"/>
      <c r="R647" s="907"/>
      <c r="S647" s="907"/>
      <c r="T647" s="907"/>
      <c r="U647" s="907"/>
      <c r="V647" s="907"/>
      <c r="W647" s="907"/>
      <c r="X647" s="907"/>
      <c r="Y647" s="907"/>
      <c r="Z647" s="907"/>
      <c r="AA647" s="907"/>
    </row>
    <row r="648" spans="1:27">
      <c r="A648" s="907"/>
      <c r="B648" s="907"/>
      <c r="C648" s="907"/>
      <c r="D648" s="907"/>
      <c r="E648" s="907"/>
      <c r="F648" s="907"/>
      <c r="G648" s="907"/>
      <c r="H648" s="907"/>
      <c r="I648" s="907"/>
      <c r="J648" s="907"/>
      <c r="K648" s="907"/>
      <c r="L648" s="907"/>
      <c r="M648" s="907"/>
      <c r="N648" s="907"/>
      <c r="O648" s="907"/>
      <c r="P648" s="907"/>
      <c r="Q648" s="907"/>
      <c r="R648" s="907"/>
      <c r="S648" s="907"/>
      <c r="T648" s="907"/>
      <c r="U648" s="907"/>
      <c r="V648" s="907"/>
      <c r="W648" s="907"/>
      <c r="X648" s="907"/>
      <c r="Y648" s="907"/>
      <c r="Z648" s="907"/>
      <c r="AA648" s="907"/>
    </row>
    <row r="649" spans="1:27">
      <c r="A649" s="907"/>
      <c r="B649" s="907"/>
      <c r="C649" s="907"/>
      <c r="D649" s="907"/>
      <c r="E649" s="907"/>
      <c r="F649" s="907"/>
      <c r="G649" s="907"/>
      <c r="H649" s="907"/>
      <c r="I649" s="907"/>
      <c r="J649" s="907"/>
      <c r="K649" s="907"/>
      <c r="L649" s="907"/>
      <c r="M649" s="907"/>
      <c r="N649" s="907"/>
      <c r="O649" s="907"/>
      <c r="P649" s="907"/>
      <c r="Q649" s="907"/>
      <c r="R649" s="907"/>
      <c r="S649" s="907"/>
      <c r="T649" s="907"/>
      <c r="U649" s="907"/>
      <c r="V649" s="907"/>
      <c r="W649" s="907"/>
      <c r="X649" s="907"/>
      <c r="Y649" s="907"/>
      <c r="Z649" s="907"/>
      <c r="AA649" s="907"/>
    </row>
    <row r="650" spans="1:27">
      <c r="A650" s="907"/>
      <c r="B650" s="907"/>
      <c r="C650" s="907"/>
      <c r="D650" s="907"/>
      <c r="E650" s="907"/>
      <c r="F650" s="907"/>
      <c r="G650" s="907"/>
      <c r="H650" s="907"/>
      <c r="I650" s="907"/>
      <c r="J650" s="907"/>
      <c r="K650" s="907"/>
      <c r="L650" s="907"/>
      <c r="M650" s="907"/>
      <c r="N650" s="907"/>
      <c r="O650" s="907"/>
      <c r="P650" s="907"/>
      <c r="Q650" s="907"/>
      <c r="R650" s="907"/>
      <c r="S650" s="907"/>
      <c r="T650" s="907"/>
      <c r="U650" s="907"/>
      <c r="V650" s="907"/>
      <c r="W650" s="907"/>
      <c r="X650" s="907"/>
      <c r="Y650" s="907"/>
      <c r="Z650" s="907"/>
      <c r="AA650" s="907"/>
    </row>
    <row r="651" spans="1:27">
      <c r="A651" s="907"/>
      <c r="B651" s="907"/>
      <c r="C651" s="907"/>
      <c r="D651" s="907"/>
      <c r="E651" s="907"/>
      <c r="F651" s="907"/>
      <c r="G651" s="907"/>
      <c r="H651" s="907"/>
      <c r="I651" s="907"/>
      <c r="J651" s="907"/>
      <c r="K651" s="907"/>
      <c r="L651" s="907"/>
      <c r="M651" s="907"/>
      <c r="N651" s="907"/>
      <c r="O651" s="907"/>
      <c r="P651" s="907"/>
      <c r="Q651" s="907"/>
      <c r="R651" s="907"/>
      <c r="S651" s="907"/>
      <c r="T651" s="907"/>
      <c r="U651" s="907"/>
      <c r="V651" s="907"/>
      <c r="W651" s="907"/>
      <c r="X651" s="907"/>
      <c r="Y651" s="907"/>
      <c r="Z651" s="907"/>
      <c r="AA651" s="907"/>
    </row>
    <row r="652" spans="1:27">
      <c r="A652" s="907"/>
      <c r="B652" s="907"/>
      <c r="C652" s="907"/>
      <c r="D652" s="907"/>
      <c r="E652" s="907"/>
      <c r="F652" s="907"/>
      <c r="G652" s="907"/>
      <c r="H652" s="907"/>
      <c r="I652" s="907"/>
      <c r="J652" s="907"/>
      <c r="K652" s="907"/>
      <c r="L652" s="907"/>
      <c r="M652" s="907"/>
      <c r="N652" s="907"/>
      <c r="O652" s="907"/>
      <c r="P652" s="907"/>
      <c r="Q652" s="907"/>
      <c r="R652" s="907"/>
      <c r="S652" s="907"/>
      <c r="T652" s="907"/>
      <c r="U652" s="907"/>
      <c r="V652" s="907"/>
      <c r="W652" s="907"/>
      <c r="X652" s="907"/>
      <c r="Y652" s="907"/>
      <c r="Z652" s="907"/>
      <c r="AA652" s="907"/>
    </row>
    <row r="653" spans="1:27">
      <c r="A653" s="907"/>
      <c r="B653" s="907"/>
      <c r="C653" s="907"/>
      <c r="D653" s="907"/>
      <c r="E653" s="907"/>
      <c r="F653" s="907"/>
      <c r="G653" s="907"/>
      <c r="H653" s="907"/>
      <c r="I653" s="907"/>
      <c r="J653" s="907"/>
      <c r="K653" s="907"/>
      <c r="L653" s="907"/>
      <c r="M653" s="907"/>
      <c r="N653" s="907"/>
      <c r="O653" s="907"/>
      <c r="P653" s="907"/>
      <c r="Q653" s="907"/>
      <c r="R653" s="907"/>
      <c r="S653" s="907"/>
      <c r="T653" s="907"/>
      <c r="U653" s="907"/>
      <c r="V653" s="907"/>
      <c r="W653" s="907"/>
      <c r="X653" s="907"/>
      <c r="Y653" s="907"/>
      <c r="Z653" s="907"/>
      <c r="AA653" s="907"/>
    </row>
    <row r="654" spans="1:27">
      <c r="A654" s="907"/>
      <c r="B654" s="907"/>
      <c r="C654" s="907"/>
      <c r="D654" s="907"/>
      <c r="E654" s="907"/>
      <c r="F654" s="907"/>
      <c r="G654" s="907"/>
      <c r="H654" s="907"/>
      <c r="I654" s="907"/>
      <c r="J654" s="907"/>
      <c r="K654" s="907"/>
      <c r="L654" s="907"/>
      <c r="M654" s="907"/>
      <c r="N654" s="907"/>
      <c r="O654" s="907"/>
      <c r="P654" s="907"/>
      <c r="Q654" s="907"/>
      <c r="R654" s="907"/>
      <c r="S654" s="907"/>
      <c r="T654" s="907"/>
      <c r="U654" s="907"/>
      <c r="V654" s="907"/>
      <c r="W654" s="907"/>
      <c r="X654" s="907"/>
      <c r="Y654" s="907"/>
      <c r="Z654" s="907"/>
      <c r="AA654" s="907"/>
    </row>
    <row r="655" spans="1:27">
      <c r="A655" s="907"/>
      <c r="B655" s="907"/>
      <c r="C655" s="907"/>
      <c r="D655" s="907"/>
      <c r="E655" s="907"/>
      <c r="F655" s="907"/>
      <c r="G655" s="907"/>
      <c r="H655" s="907"/>
      <c r="I655" s="907"/>
      <c r="J655" s="907"/>
      <c r="K655" s="907"/>
      <c r="L655" s="907"/>
      <c r="M655" s="907"/>
      <c r="N655" s="907"/>
      <c r="O655" s="907"/>
      <c r="P655" s="907"/>
      <c r="Q655" s="907"/>
      <c r="R655" s="907"/>
      <c r="S655" s="907"/>
      <c r="T655" s="907"/>
      <c r="U655" s="907"/>
      <c r="V655" s="907"/>
      <c r="W655" s="907"/>
      <c r="X655" s="907"/>
      <c r="Y655" s="907"/>
      <c r="Z655" s="907"/>
      <c r="AA655" s="907"/>
    </row>
    <row r="656" spans="1:27">
      <c r="A656" s="907"/>
      <c r="B656" s="907"/>
      <c r="C656" s="907"/>
      <c r="D656" s="907"/>
      <c r="E656" s="907"/>
      <c r="F656" s="907"/>
      <c r="G656" s="907"/>
      <c r="H656" s="907"/>
      <c r="I656" s="907"/>
      <c r="J656" s="907"/>
      <c r="K656" s="907"/>
      <c r="L656" s="907"/>
      <c r="M656" s="907"/>
      <c r="N656" s="907"/>
      <c r="O656" s="907"/>
      <c r="P656" s="907"/>
      <c r="Q656" s="907"/>
      <c r="R656" s="907"/>
      <c r="S656" s="907"/>
      <c r="T656" s="907"/>
      <c r="U656" s="907"/>
      <c r="V656" s="907"/>
      <c r="W656" s="907"/>
      <c r="X656" s="907"/>
      <c r="Y656" s="907"/>
      <c r="Z656" s="907"/>
      <c r="AA656" s="907"/>
    </row>
    <row r="657" spans="1:27">
      <c r="A657" s="907"/>
      <c r="B657" s="907"/>
      <c r="C657" s="907"/>
      <c r="D657" s="907"/>
      <c r="E657" s="907"/>
      <c r="F657" s="907"/>
      <c r="G657" s="907"/>
      <c r="H657" s="907"/>
      <c r="I657" s="907"/>
      <c r="J657" s="907"/>
      <c r="K657" s="907"/>
      <c r="L657" s="907"/>
      <c r="M657" s="907"/>
      <c r="N657" s="907"/>
      <c r="O657" s="907"/>
      <c r="P657" s="907"/>
      <c r="Q657" s="907"/>
      <c r="R657" s="907"/>
      <c r="S657" s="907"/>
      <c r="T657" s="907"/>
      <c r="U657" s="907"/>
      <c r="V657" s="907"/>
      <c r="W657" s="907"/>
      <c r="X657" s="907"/>
      <c r="Y657" s="907"/>
      <c r="Z657" s="907"/>
      <c r="AA657" s="907"/>
    </row>
    <row r="658" spans="1:27">
      <c r="A658" s="907"/>
      <c r="B658" s="907"/>
      <c r="C658" s="907"/>
      <c r="D658" s="907"/>
      <c r="E658" s="907"/>
      <c r="F658" s="907"/>
      <c r="G658" s="907"/>
      <c r="H658" s="907"/>
      <c r="I658" s="907"/>
      <c r="J658" s="907"/>
      <c r="K658" s="907"/>
      <c r="L658" s="907"/>
      <c r="M658" s="907"/>
      <c r="N658" s="907"/>
      <c r="O658" s="907"/>
      <c r="P658" s="907"/>
      <c r="Q658" s="907"/>
      <c r="R658" s="907"/>
      <c r="S658" s="907"/>
      <c r="T658" s="907"/>
      <c r="U658" s="907"/>
      <c r="V658" s="907"/>
      <c r="W658" s="907"/>
      <c r="X658" s="907"/>
      <c r="Y658" s="907"/>
      <c r="Z658" s="907"/>
      <c r="AA658" s="907"/>
    </row>
    <row r="659" spans="1:27">
      <c r="A659" s="907"/>
      <c r="B659" s="907"/>
      <c r="C659" s="907"/>
      <c r="D659" s="907"/>
      <c r="E659" s="907"/>
      <c r="F659" s="907"/>
      <c r="G659" s="907"/>
      <c r="H659" s="907"/>
      <c r="I659" s="907"/>
      <c r="J659" s="907"/>
      <c r="K659" s="907"/>
      <c r="L659" s="907"/>
      <c r="M659" s="907"/>
      <c r="N659" s="907"/>
      <c r="O659" s="907"/>
      <c r="P659" s="907"/>
      <c r="Q659" s="907"/>
      <c r="R659" s="907"/>
      <c r="S659" s="907"/>
      <c r="T659" s="907"/>
      <c r="U659" s="907"/>
      <c r="V659" s="907"/>
      <c r="W659" s="907"/>
      <c r="X659" s="907"/>
      <c r="Y659" s="907"/>
      <c r="Z659" s="907"/>
      <c r="AA659" s="907"/>
    </row>
    <row r="660" spans="1:27">
      <c r="A660" s="907"/>
      <c r="B660" s="907"/>
      <c r="C660" s="907"/>
      <c r="D660" s="907"/>
      <c r="E660" s="907"/>
      <c r="F660" s="907"/>
      <c r="G660" s="907"/>
      <c r="H660" s="907"/>
      <c r="I660" s="907"/>
      <c r="J660" s="907"/>
      <c r="K660" s="907"/>
      <c r="L660" s="907"/>
      <c r="M660" s="907"/>
      <c r="N660" s="907"/>
      <c r="O660" s="907"/>
      <c r="P660" s="907"/>
      <c r="Q660" s="907"/>
      <c r="R660" s="907"/>
      <c r="S660" s="907"/>
      <c r="T660" s="907"/>
      <c r="U660" s="907"/>
      <c r="V660" s="907"/>
      <c r="W660" s="907"/>
      <c r="X660" s="907"/>
      <c r="Y660" s="907"/>
      <c r="Z660" s="907"/>
      <c r="AA660" s="907"/>
    </row>
    <row r="661" spans="1:27">
      <c r="A661" s="907"/>
      <c r="B661" s="907"/>
      <c r="C661" s="907"/>
      <c r="D661" s="907"/>
      <c r="E661" s="907"/>
      <c r="F661" s="907"/>
      <c r="G661" s="907"/>
      <c r="H661" s="907"/>
      <c r="I661" s="907"/>
      <c r="J661" s="907"/>
      <c r="K661" s="907"/>
      <c r="L661" s="907"/>
      <c r="M661" s="907"/>
      <c r="N661" s="907"/>
      <c r="O661" s="907"/>
      <c r="P661" s="907"/>
      <c r="Q661" s="907"/>
      <c r="R661" s="907"/>
      <c r="S661" s="907"/>
      <c r="T661" s="907"/>
      <c r="U661" s="907"/>
      <c r="V661" s="907"/>
      <c r="W661" s="907"/>
      <c r="X661" s="907"/>
      <c r="Y661" s="907"/>
      <c r="Z661" s="907"/>
      <c r="AA661" s="907"/>
    </row>
    <row r="662" spans="1:27">
      <c r="A662" s="907"/>
      <c r="B662" s="907"/>
      <c r="C662" s="907"/>
      <c r="D662" s="907"/>
      <c r="E662" s="907"/>
      <c r="F662" s="907"/>
      <c r="G662" s="907"/>
      <c r="H662" s="907"/>
      <c r="I662" s="907"/>
      <c r="J662" s="907"/>
      <c r="K662" s="907"/>
      <c r="L662" s="907"/>
      <c r="M662" s="907"/>
      <c r="N662" s="907"/>
      <c r="O662" s="907"/>
      <c r="P662" s="907"/>
      <c r="Q662" s="907"/>
      <c r="R662" s="907"/>
      <c r="S662" s="907"/>
      <c r="T662" s="907"/>
      <c r="U662" s="907"/>
      <c r="V662" s="907"/>
      <c r="W662" s="907"/>
      <c r="X662" s="907"/>
      <c r="Y662" s="907"/>
      <c r="Z662" s="907"/>
      <c r="AA662" s="907"/>
    </row>
    <row r="663" spans="1:27">
      <c r="A663" s="907"/>
      <c r="B663" s="907"/>
      <c r="C663" s="907"/>
      <c r="D663" s="907"/>
      <c r="E663" s="907"/>
      <c r="F663" s="907"/>
      <c r="G663" s="907"/>
      <c r="H663" s="907"/>
      <c r="I663" s="907"/>
      <c r="J663" s="907"/>
      <c r="K663" s="907"/>
      <c r="L663" s="907"/>
      <c r="M663" s="907"/>
      <c r="N663" s="907"/>
      <c r="O663" s="907"/>
      <c r="P663" s="907"/>
      <c r="Q663" s="907"/>
      <c r="R663" s="907"/>
      <c r="S663" s="907"/>
      <c r="T663" s="907"/>
      <c r="U663" s="907"/>
      <c r="V663" s="907"/>
      <c r="W663" s="907"/>
      <c r="X663" s="907"/>
      <c r="Y663" s="907"/>
      <c r="Z663" s="907"/>
      <c r="AA663" s="907"/>
    </row>
    <row r="664" spans="1:27">
      <c r="A664" s="907"/>
      <c r="B664" s="907"/>
      <c r="C664" s="907"/>
      <c r="D664" s="907"/>
      <c r="E664" s="907"/>
      <c r="F664" s="907"/>
      <c r="G664" s="907"/>
      <c r="H664" s="907"/>
      <c r="I664" s="907"/>
      <c r="J664" s="907"/>
      <c r="K664" s="907"/>
      <c r="L664" s="907"/>
      <c r="M664" s="907"/>
      <c r="N664" s="907"/>
      <c r="O664" s="907"/>
      <c r="P664" s="907"/>
      <c r="Q664" s="907"/>
      <c r="R664" s="907"/>
      <c r="S664" s="907"/>
      <c r="T664" s="907"/>
      <c r="U664" s="907"/>
      <c r="V664" s="907"/>
      <c r="W664" s="907"/>
      <c r="X664" s="907"/>
      <c r="Y664" s="907"/>
      <c r="Z664" s="907"/>
      <c r="AA664" s="907"/>
    </row>
    <row r="665" spans="1:27">
      <c r="A665" s="907"/>
      <c r="B665" s="907"/>
      <c r="C665" s="907"/>
      <c r="D665" s="907"/>
      <c r="E665" s="907"/>
      <c r="F665" s="907"/>
      <c r="G665" s="907"/>
      <c r="H665" s="907"/>
      <c r="I665" s="907"/>
      <c r="J665" s="907"/>
      <c r="K665" s="907"/>
      <c r="L665" s="907"/>
      <c r="M665" s="907"/>
      <c r="N665" s="907"/>
      <c r="O665" s="907"/>
      <c r="P665" s="907"/>
      <c r="Q665" s="907"/>
      <c r="R665" s="907"/>
      <c r="S665" s="907"/>
      <c r="T665" s="907"/>
      <c r="U665" s="907"/>
      <c r="V665" s="907"/>
      <c r="W665" s="907"/>
      <c r="X665" s="907"/>
      <c r="Y665" s="907"/>
      <c r="Z665" s="907"/>
      <c r="AA665" s="907"/>
    </row>
    <row r="666" spans="1:27">
      <c r="A666" s="907"/>
      <c r="B666" s="907"/>
      <c r="C666" s="907"/>
      <c r="D666" s="907"/>
      <c r="E666" s="907"/>
      <c r="F666" s="907"/>
      <c r="G666" s="907"/>
      <c r="H666" s="907"/>
      <c r="I666" s="907"/>
      <c r="J666" s="907"/>
      <c r="K666" s="907"/>
      <c r="L666" s="907"/>
      <c r="M666" s="907"/>
      <c r="N666" s="907"/>
      <c r="O666" s="907"/>
      <c r="P666" s="907"/>
      <c r="Q666" s="907"/>
      <c r="R666" s="907"/>
      <c r="S666" s="907"/>
      <c r="T666" s="907"/>
      <c r="U666" s="907"/>
      <c r="V666" s="907"/>
      <c r="W666" s="907"/>
      <c r="X666" s="907"/>
      <c r="Y666" s="907"/>
      <c r="Z666" s="907"/>
      <c r="AA666" s="907"/>
    </row>
    <row r="667" spans="1:27">
      <c r="A667" s="907"/>
      <c r="B667" s="907"/>
      <c r="C667" s="907"/>
      <c r="D667" s="907"/>
      <c r="E667" s="907"/>
      <c r="F667" s="907"/>
      <c r="G667" s="907"/>
      <c r="H667" s="907"/>
      <c r="I667" s="907"/>
      <c r="J667" s="907"/>
      <c r="K667" s="907"/>
      <c r="L667" s="907"/>
      <c r="M667" s="907"/>
      <c r="N667" s="907"/>
      <c r="O667" s="907"/>
      <c r="P667" s="907"/>
      <c r="Q667" s="907"/>
      <c r="R667" s="907"/>
      <c r="S667" s="907"/>
      <c r="T667" s="907"/>
      <c r="U667" s="907"/>
      <c r="V667" s="907"/>
      <c r="W667" s="907"/>
      <c r="X667" s="907"/>
      <c r="Y667" s="907"/>
      <c r="Z667" s="907"/>
      <c r="AA667" s="907"/>
    </row>
    <row r="668" spans="1:27">
      <c r="A668" s="907"/>
      <c r="B668" s="907"/>
      <c r="C668" s="907"/>
      <c r="D668" s="907"/>
      <c r="E668" s="907"/>
      <c r="F668" s="907"/>
      <c r="G668" s="907"/>
      <c r="H668" s="907"/>
      <c r="I668" s="907"/>
      <c r="J668" s="907"/>
      <c r="K668" s="907"/>
      <c r="L668" s="907"/>
      <c r="M668" s="907"/>
      <c r="N668" s="907"/>
      <c r="O668" s="907"/>
      <c r="P668" s="907"/>
      <c r="Q668" s="907"/>
      <c r="R668" s="907"/>
      <c r="S668" s="907"/>
      <c r="T668" s="907"/>
      <c r="U668" s="907"/>
      <c r="V668" s="907"/>
      <c r="W668" s="907"/>
      <c r="X668" s="907"/>
      <c r="Y668" s="907"/>
      <c r="Z668" s="907"/>
      <c r="AA668" s="907"/>
    </row>
    <row r="669" spans="1:27">
      <c r="A669" s="907"/>
      <c r="B669" s="907"/>
      <c r="C669" s="907"/>
      <c r="D669" s="907"/>
      <c r="E669" s="907"/>
      <c r="F669" s="907"/>
      <c r="G669" s="907"/>
      <c r="H669" s="907"/>
      <c r="I669" s="907"/>
      <c r="J669" s="907"/>
      <c r="K669" s="907"/>
      <c r="L669" s="907"/>
      <c r="M669" s="907"/>
      <c r="N669" s="907"/>
      <c r="O669" s="907"/>
      <c r="P669" s="907"/>
      <c r="Q669" s="907"/>
      <c r="R669" s="907"/>
      <c r="S669" s="907"/>
      <c r="T669" s="907"/>
      <c r="U669" s="907"/>
      <c r="V669" s="907"/>
      <c r="W669" s="907"/>
      <c r="X669" s="907"/>
      <c r="Y669" s="907"/>
      <c r="Z669" s="907"/>
      <c r="AA669" s="907"/>
    </row>
    <row r="670" spans="1:27">
      <c r="A670" s="907"/>
      <c r="B670" s="907"/>
      <c r="C670" s="907"/>
      <c r="D670" s="907"/>
      <c r="E670" s="907"/>
      <c r="F670" s="907"/>
      <c r="G670" s="907"/>
      <c r="H670" s="907"/>
      <c r="I670" s="907"/>
      <c r="J670" s="907"/>
      <c r="K670" s="907"/>
      <c r="L670" s="907"/>
      <c r="M670" s="907"/>
      <c r="N670" s="907"/>
      <c r="O670" s="907"/>
      <c r="P670" s="907"/>
      <c r="Q670" s="907"/>
      <c r="R670" s="907"/>
      <c r="S670" s="907"/>
      <c r="T670" s="907"/>
      <c r="U670" s="907"/>
      <c r="V670" s="907"/>
      <c r="W670" s="907"/>
      <c r="X670" s="907"/>
      <c r="Y670" s="907"/>
      <c r="Z670" s="907"/>
      <c r="AA670" s="907"/>
    </row>
    <row r="671" spans="1:27">
      <c r="A671" s="907"/>
      <c r="B671" s="907"/>
      <c r="C671" s="907"/>
      <c r="D671" s="907"/>
      <c r="E671" s="907"/>
      <c r="F671" s="907"/>
      <c r="G671" s="907"/>
      <c r="H671" s="907"/>
      <c r="I671" s="907"/>
      <c r="J671" s="907"/>
      <c r="K671" s="907"/>
      <c r="L671" s="907"/>
      <c r="M671" s="907"/>
      <c r="N671" s="907"/>
      <c r="O671" s="907"/>
      <c r="P671" s="907"/>
      <c r="Q671" s="907"/>
      <c r="R671" s="907"/>
      <c r="S671" s="907"/>
      <c r="T671" s="907"/>
      <c r="U671" s="907"/>
      <c r="V671" s="907"/>
      <c r="W671" s="907"/>
      <c r="X671" s="907"/>
      <c r="Y671" s="907"/>
      <c r="Z671" s="907"/>
      <c r="AA671" s="907"/>
    </row>
    <row r="672" spans="1:27">
      <c r="A672" s="907"/>
      <c r="B672" s="907"/>
      <c r="C672" s="907"/>
      <c r="D672" s="907"/>
      <c r="E672" s="907"/>
      <c r="F672" s="907"/>
      <c r="G672" s="907"/>
      <c r="H672" s="907"/>
      <c r="I672" s="907"/>
      <c r="J672" s="907"/>
      <c r="K672" s="907"/>
      <c r="L672" s="907"/>
      <c r="M672" s="907"/>
      <c r="N672" s="907"/>
      <c r="O672" s="907"/>
      <c r="P672" s="907"/>
      <c r="Q672" s="907"/>
      <c r="R672" s="907"/>
      <c r="S672" s="907"/>
      <c r="T672" s="907"/>
      <c r="U672" s="907"/>
      <c r="V672" s="907"/>
      <c r="W672" s="907"/>
      <c r="X672" s="907"/>
      <c r="Y672" s="907"/>
      <c r="Z672" s="907"/>
      <c r="AA672" s="907"/>
    </row>
    <row r="673" spans="1:27">
      <c r="A673" s="907"/>
      <c r="B673" s="907"/>
      <c r="C673" s="907"/>
      <c r="D673" s="907"/>
      <c r="E673" s="907"/>
      <c r="F673" s="907"/>
      <c r="G673" s="907"/>
      <c r="H673" s="907"/>
      <c r="I673" s="907"/>
      <c r="J673" s="907"/>
      <c r="K673" s="907"/>
      <c r="L673" s="907"/>
      <c r="M673" s="907"/>
      <c r="N673" s="907"/>
      <c r="O673" s="907"/>
      <c r="P673" s="907"/>
      <c r="Q673" s="907"/>
      <c r="R673" s="907"/>
      <c r="S673" s="907"/>
      <c r="T673" s="907"/>
      <c r="U673" s="907"/>
      <c r="V673" s="907"/>
      <c r="W673" s="907"/>
      <c r="X673" s="907"/>
      <c r="Y673" s="907"/>
      <c r="Z673" s="907"/>
      <c r="AA673" s="907"/>
    </row>
    <row r="674" spans="1:27">
      <c r="A674" s="907"/>
      <c r="B674" s="907"/>
      <c r="C674" s="907"/>
      <c r="D674" s="907"/>
      <c r="E674" s="907"/>
      <c r="F674" s="907"/>
      <c r="G674" s="907"/>
      <c r="H674" s="907"/>
      <c r="I674" s="907"/>
      <c r="J674" s="907"/>
      <c r="K674" s="907"/>
      <c r="L674" s="907"/>
      <c r="M674" s="907"/>
      <c r="N674" s="907"/>
      <c r="O674" s="907"/>
      <c r="P674" s="907"/>
      <c r="Q674" s="907"/>
      <c r="R674" s="907"/>
      <c r="S674" s="907"/>
      <c r="T674" s="907"/>
      <c r="U674" s="907"/>
      <c r="V674" s="907"/>
      <c r="W674" s="907"/>
      <c r="X674" s="907"/>
      <c r="Y674" s="907"/>
      <c r="Z674" s="907"/>
      <c r="AA674" s="907"/>
    </row>
    <row r="675" spans="1:27">
      <c r="A675" s="907"/>
      <c r="B675" s="907"/>
      <c r="C675" s="907"/>
      <c r="D675" s="907"/>
      <c r="E675" s="907"/>
      <c r="F675" s="907"/>
      <c r="G675" s="907"/>
      <c r="H675" s="907"/>
      <c r="I675" s="907"/>
      <c r="J675" s="907"/>
      <c r="K675" s="907"/>
      <c r="L675" s="907"/>
      <c r="M675" s="907"/>
      <c r="N675" s="907"/>
      <c r="O675" s="907"/>
      <c r="P675" s="907"/>
      <c r="Q675" s="907"/>
      <c r="R675" s="907"/>
      <c r="S675" s="907"/>
      <c r="T675" s="907"/>
      <c r="U675" s="907"/>
      <c r="V675" s="907"/>
      <c r="W675" s="907"/>
      <c r="X675" s="907"/>
      <c r="Y675" s="907"/>
      <c r="Z675" s="907"/>
      <c r="AA675" s="907"/>
    </row>
    <row r="676" spans="1:27">
      <c r="A676" s="907"/>
      <c r="B676" s="907"/>
      <c r="C676" s="907"/>
      <c r="D676" s="907"/>
      <c r="E676" s="907"/>
      <c r="F676" s="907"/>
      <c r="G676" s="907"/>
      <c r="H676" s="907"/>
      <c r="I676" s="907"/>
      <c r="J676" s="907"/>
      <c r="K676" s="907"/>
      <c r="L676" s="907"/>
      <c r="M676" s="907"/>
      <c r="N676" s="907"/>
      <c r="O676" s="907"/>
      <c r="P676" s="907"/>
      <c r="Q676" s="907"/>
      <c r="R676" s="907"/>
      <c r="S676" s="907"/>
      <c r="T676" s="907"/>
      <c r="U676" s="907"/>
      <c r="V676" s="907"/>
      <c r="W676" s="907"/>
      <c r="X676" s="907"/>
      <c r="Y676" s="907"/>
      <c r="Z676" s="907"/>
      <c r="AA676" s="907"/>
    </row>
    <row r="677" spans="1:27">
      <c r="A677" s="907"/>
      <c r="B677" s="907"/>
      <c r="C677" s="907"/>
      <c r="D677" s="907"/>
      <c r="E677" s="907"/>
      <c r="F677" s="907"/>
      <c r="G677" s="907"/>
      <c r="H677" s="907"/>
      <c r="I677" s="907"/>
      <c r="J677" s="907"/>
      <c r="K677" s="907"/>
      <c r="L677" s="907"/>
      <c r="M677" s="907"/>
      <c r="N677" s="907"/>
      <c r="O677" s="907"/>
      <c r="P677" s="907"/>
      <c r="Q677" s="907"/>
      <c r="R677" s="907"/>
      <c r="S677" s="907"/>
      <c r="T677" s="907"/>
      <c r="U677" s="907"/>
      <c r="V677" s="907"/>
      <c r="W677" s="907"/>
      <c r="X677" s="907"/>
      <c r="Y677" s="907"/>
      <c r="Z677" s="907"/>
      <c r="AA677" s="907"/>
    </row>
    <row r="678" spans="1:27">
      <c r="A678" s="907"/>
      <c r="B678" s="907"/>
      <c r="C678" s="907"/>
      <c r="D678" s="907"/>
      <c r="E678" s="907"/>
      <c r="F678" s="907"/>
      <c r="G678" s="907"/>
      <c r="H678" s="907"/>
      <c r="I678" s="907"/>
      <c r="J678" s="907"/>
      <c r="K678" s="907"/>
      <c r="L678" s="907"/>
      <c r="M678" s="907"/>
      <c r="N678" s="907"/>
      <c r="O678" s="907"/>
      <c r="P678" s="907"/>
      <c r="Q678" s="907"/>
      <c r="R678" s="907"/>
      <c r="S678" s="907"/>
      <c r="T678" s="907"/>
      <c r="U678" s="907"/>
      <c r="V678" s="907"/>
      <c r="W678" s="907"/>
      <c r="X678" s="907"/>
      <c r="Y678" s="907"/>
      <c r="Z678" s="907"/>
      <c r="AA678" s="907"/>
    </row>
    <row r="679" spans="1:27">
      <c r="A679" s="907"/>
      <c r="B679" s="907"/>
      <c r="C679" s="907"/>
      <c r="D679" s="907"/>
      <c r="E679" s="907"/>
      <c r="F679" s="907"/>
      <c r="G679" s="907"/>
      <c r="H679" s="907"/>
      <c r="I679" s="907"/>
      <c r="J679" s="907"/>
      <c r="K679" s="907"/>
      <c r="L679" s="907"/>
      <c r="M679" s="907"/>
      <c r="N679" s="907"/>
      <c r="O679" s="907"/>
      <c r="P679" s="907"/>
      <c r="Q679" s="907"/>
      <c r="R679" s="907"/>
      <c r="S679" s="907"/>
      <c r="T679" s="907"/>
      <c r="U679" s="907"/>
      <c r="V679" s="907"/>
      <c r="W679" s="907"/>
      <c r="X679" s="907"/>
      <c r="Y679" s="907"/>
      <c r="Z679" s="907"/>
      <c r="AA679" s="907"/>
    </row>
    <row r="680" spans="1:27">
      <c r="A680" s="907"/>
      <c r="B680" s="907"/>
      <c r="C680" s="907"/>
      <c r="D680" s="907"/>
      <c r="E680" s="907"/>
      <c r="F680" s="907"/>
      <c r="G680" s="907"/>
      <c r="H680" s="907"/>
      <c r="I680" s="907"/>
      <c r="J680" s="907"/>
      <c r="K680" s="907"/>
      <c r="L680" s="907"/>
      <c r="M680" s="907"/>
      <c r="N680" s="907"/>
      <c r="O680" s="907"/>
      <c r="P680" s="907"/>
      <c r="Q680" s="907"/>
      <c r="R680" s="907"/>
      <c r="S680" s="907"/>
      <c r="T680" s="907"/>
      <c r="U680" s="907"/>
      <c r="V680" s="907"/>
      <c r="W680" s="907"/>
      <c r="X680" s="907"/>
      <c r="Y680" s="907"/>
      <c r="Z680" s="907"/>
      <c r="AA680" s="907"/>
    </row>
    <row r="681" spans="1:27">
      <c r="A681" s="907"/>
      <c r="B681" s="907"/>
      <c r="C681" s="907"/>
      <c r="D681" s="907"/>
      <c r="E681" s="907"/>
      <c r="F681" s="907"/>
      <c r="G681" s="907"/>
      <c r="H681" s="907"/>
      <c r="I681" s="907"/>
      <c r="J681" s="907"/>
      <c r="K681" s="907"/>
      <c r="L681" s="907"/>
      <c r="M681" s="907"/>
      <c r="N681" s="907"/>
      <c r="O681" s="907"/>
      <c r="P681" s="907"/>
      <c r="Q681" s="907"/>
      <c r="R681" s="907"/>
      <c r="S681" s="907"/>
      <c r="T681" s="907"/>
      <c r="U681" s="907"/>
      <c r="V681" s="907"/>
      <c r="W681" s="907"/>
      <c r="X681" s="907"/>
      <c r="Y681" s="907"/>
      <c r="Z681" s="907"/>
      <c r="AA681" s="907"/>
    </row>
    <row r="682" spans="1:27">
      <c r="A682" s="907"/>
      <c r="B682" s="907"/>
      <c r="C682" s="907"/>
      <c r="D682" s="907"/>
      <c r="E682" s="907"/>
      <c r="F682" s="907"/>
      <c r="G682" s="907"/>
      <c r="H682" s="907"/>
      <c r="I682" s="907"/>
      <c r="J682" s="907"/>
      <c r="K682" s="907"/>
      <c r="L682" s="907"/>
      <c r="M682" s="907"/>
      <c r="N682" s="907"/>
      <c r="O682" s="907"/>
      <c r="P682" s="907"/>
      <c r="Q682" s="907"/>
      <c r="R682" s="907"/>
      <c r="S682" s="907"/>
      <c r="T682" s="907"/>
      <c r="U682" s="907"/>
      <c r="V682" s="907"/>
      <c r="W682" s="907"/>
      <c r="X682" s="907"/>
      <c r="Y682" s="907"/>
      <c r="Z682" s="907"/>
      <c r="AA682" s="907"/>
    </row>
    <row r="683" spans="1:27">
      <c r="A683" s="907"/>
      <c r="B683" s="907"/>
      <c r="C683" s="907"/>
      <c r="D683" s="907"/>
      <c r="E683" s="907"/>
      <c r="F683" s="907"/>
      <c r="G683" s="907"/>
      <c r="H683" s="907"/>
      <c r="I683" s="907"/>
      <c r="J683" s="907"/>
      <c r="K683" s="907"/>
      <c r="L683" s="907"/>
      <c r="M683" s="907"/>
      <c r="N683" s="907"/>
      <c r="O683" s="907"/>
      <c r="P683" s="907"/>
      <c r="Q683" s="907"/>
      <c r="R683" s="907"/>
      <c r="S683" s="907"/>
      <c r="T683" s="907"/>
      <c r="U683" s="907"/>
      <c r="V683" s="907"/>
      <c r="W683" s="907"/>
      <c r="X683" s="907"/>
      <c r="Y683" s="907"/>
      <c r="Z683" s="907"/>
      <c r="AA683" s="907"/>
    </row>
    <row r="684" spans="1:27">
      <c r="A684" s="907"/>
      <c r="B684" s="907"/>
      <c r="C684" s="907"/>
      <c r="D684" s="907"/>
      <c r="E684" s="907"/>
      <c r="F684" s="907"/>
      <c r="G684" s="907"/>
      <c r="H684" s="907"/>
      <c r="I684" s="907"/>
      <c r="J684" s="907"/>
      <c r="K684" s="907"/>
      <c r="L684" s="907"/>
      <c r="M684" s="907"/>
      <c r="N684" s="907"/>
      <c r="O684" s="907"/>
      <c r="P684" s="907"/>
      <c r="Q684" s="907"/>
      <c r="R684" s="907"/>
      <c r="S684" s="907"/>
      <c r="T684" s="907"/>
      <c r="U684" s="907"/>
      <c r="V684" s="907"/>
      <c r="W684" s="907"/>
      <c r="X684" s="907"/>
      <c r="Y684" s="907"/>
      <c r="Z684" s="907"/>
      <c r="AA684" s="907"/>
    </row>
    <row r="685" spans="1:27">
      <c r="A685" s="907"/>
      <c r="B685" s="907"/>
      <c r="C685" s="907"/>
      <c r="D685" s="907"/>
      <c r="E685" s="907"/>
      <c r="F685" s="907"/>
      <c r="G685" s="907"/>
      <c r="H685" s="907"/>
      <c r="I685" s="907"/>
      <c r="J685" s="907"/>
      <c r="K685" s="907"/>
      <c r="L685" s="907"/>
      <c r="M685" s="907"/>
      <c r="N685" s="907"/>
      <c r="O685" s="907"/>
      <c r="P685" s="907"/>
      <c r="Q685" s="907"/>
      <c r="R685" s="907"/>
      <c r="S685" s="907"/>
      <c r="T685" s="907"/>
      <c r="U685" s="907"/>
      <c r="V685" s="907"/>
      <c r="W685" s="907"/>
      <c r="X685" s="907"/>
      <c r="Y685" s="907"/>
      <c r="Z685" s="907"/>
      <c r="AA685" s="907"/>
    </row>
    <row r="686" spans="1:27">
      <c r="A686" s="907"/>
      <c r="B686" s="907"/>
      <c r="C686" s="907"/>
      <c r="D686" s="907"/>
      <c r="E686" s="907"/>
      <c r="F686" s="907"/>
      <c r="G686" s="907"/>
      <c r="H686" s="907"/>
      <c r="I686" s="907"/>
      <c r="J686" s="907"/>
      <c r="K686" s="907"/>
      <c r="L686" s="907"/>
      <c r="M686" s="907"/>
      <c r="N686" s="907"/>
      <c r="O686" s="907"/>
      <c r="P686" s="907"/>
      <c r="Q686" s="907"/>
      <c r="R686" s="907"/>
      <c r="S686" s="907"/>
      <c r="T686" s="907"/>
      <c r="U686" s="907"/>
      <c r="V686" s="907"/>
      <c r="W686" s="907"/>
      <c r="X686" s="907"/>
      <c r="Y686" s="907"/>
      <c r="Z686" s="907"/>
      <c r="AA686" s="907"/>
    </row>
    <row r="687" spans="1:27">
      <c r="A687" s="907"/>
      <c r="B687" s="907"/>
      <c r="C687" s="907"/>
      <c r="D687" s="907"/>
      <c r="E687" s="907"/>
      <c r="F687" s="907"/>
      <c r="G687" s="907"/>
      <c r="H687" s="907"/>
      <c r="I687" s="907"/>
      <c r="J687" s="907"/>
      <c r="K687" s="907"/>
      <c r="L687" s="907"/>
      <c r="M687" s="907"/>
      <c r="N687" s="907"/>
      <c r="O687" s="907"/>
      <c r="P687" s="907"/>
      <c r="Q687" s="907"/>
      <c r="R687" s="907"/>
      <c r="S687" s="907"/>
      <c r="T687" s="907"/>
      <c r="U687" s="907"/>
      <c r="V687" s="907"/>
      <c r="W687" s="907"/>
      <c r="X687" s="907"/>
      <c r="Y687" s="907"/>
      <c r="Z687" s="907"/>
      <c r="AA687" s="907"/>
    </row>
    <row r="688" spans="1:27">
      <c r="A688" s="907"/>
      <c r="B688" s="907"/>
      <c r="C688" s="907"/>
      <c r="D688" s="907"/>
      <c r="E688" s="907"/>
      <c r="F688" s="907"/>
      <c r="G688" s="907"/>
      <c r="H688" s="907"/>
      <c r="I688" s="907"/>
      <c r="J688" s="907"/>
      <c r="K688" s="907"/>
      <c r="L688" s="907"/>
      <c r="M688" s="907"/>
      <c r="N688" s="907"/>
      <c r="O688" s="907"/>
      <c r="P688" s="907"/>
      <c r="Q688" s="907"/>
      <c r="R688" s="907"/>
      <c r="S688" s="907"/>
      <c r="T688" s="907"/>
      <c r="U688" s="907"/>
      <c r="V688" s="907"/>
      <c r="W688" s="907"/>
      <c r="X688" s="907"/>
      <c r="Y688" s="907"/>
      <c r="Z688" s="907"/>
      <c r="AA688" s="907"/>
    </row>
    <row r="689" spans="1:27">
      <c r="A689" s="907"/>
      <c r="B689" s="907"/>
      <c r="C689" s="907"/>
      <c r="D689" s="907"/>
      <c r="E689" s="907"/>
      <c r="F689" s="907"/>
      <c r="G689" s="907"/>
      <c r="H689" s="907"/>
      <c r="I689" s="907"/>
      <c r="J689" s="907"/>
      <c r="K689" s="907"/>
      <c r="L689" s="907"/>
      <c r="M689" s="907"/>
      <c r="N689" s="907"/>
      <c r="O689" s="907"/>
      <c r="P689" s="907"/>
      <c r="Q689" s="907"/>
      <c r="R689" s="907"/>
      <c r="S689" s="907"/>
      <c r="T689" s="907"/>
      <c r="U689" s="907"/>
      <c r="V689" s="907"/>
      <c r="W689" s="907"/>
      <c r="X689" s="907"/>
      <c r="Y689" s="907"/>
      <c r="Z689" s="907"/>
      <c r="AA689" s="907"/>
    </row>
    <row r="690" spans="1:27">
      <c r="A690" s="907"/>
      <c r="B690" s="907"/>
      <c r="C690" s="907"/>
      <c r="D690" s="907"/>
      <c r="E690" s="907"/>
      <c r="F690" s="907"/>
      <c r="G690" s="907"/>
      <c r="H690" s="907"/>
      <c r="I690" s="907"/>
      <c r="J690" s="907"/>
      <c r="K690" s="907"/>
      <c r="L690" s="907"/>
      <c r="M690" s="907"/>
      <c r="N690" s="907"/>
      <c r="O690" s="907"/>
      <c r="P690" s="907"/>
      <c r="Q690" s="907"/>
      <c r="R690" s="907"/>
      <c r="S690" s="907"/>
      <c r="T690" s="907"/>
      <c r="U690" s="907"/>
      <c r="V690" s="907"/>
      <c r="W690" s="907"/>
      <c r="X690" s="907"/>
      <c r="Y690" s="907"/>
      <c r="Z690" s="907"/>
      <c r="AA690" s="907"/>
    </row>
    <row r="691" spans="1:27">
      <c r="A691" s="907"/>
      <c r="B691" s="907"/>
      <c r="C691" s="907"/>
      <c r="D691" s="907"/>
      <c r="E691" s="907"/>
      <c r="F691" s="907"/>
      <c r="G691" s="907"/>
      <c r="H691" s="907"/>
      <c r="I691" s="907"/>
      <c r="J691" s="907"/>
      <c r="K691" s="907"/>
      <c r="L691" s="907"/>
      <c r="M691" s="907"/>
      <c r="N691" s="907"/>
      <c r="O691" s="907"/>
      <c r="P691" s="907"/>
      <c r="Q691" s="907"/>
      <c r="R691" s="907"/>
      <c r="S691" s="907"/>
      <c r="T691" s="907"/>
      <c r="U691" s="907"/>
      <c r="V691" s="907"/>
      <c r="W691" s="907"/>
      <c r="X691" s="907"/>
      <c r="Y691" s="907"/>
      <c r="Z691" s="907"/>
      <c r="AA691" s="907"/>
    </row>
    <row r="692" spans="1:27">
      <c r="A692" s="907"/>
      <c r="B692" s="907"/>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row>
    <row r="693" spans="1:27">
      <c r="A693" s="907"/>
      <c r="B693" s="907"/>
      <c r="C693" s="907"/>
      <c r="D693" s="907"/>
      <c r="E693" s="907"/>
      <c r="F693" s="907"/>
      <c r="G693" s="907"/>
      <c r="H693" s="907"/>
      <c r="I693" s="907"/>
      <c r="J693" s="907"/>
      <c r="K693" s="907"/>
      <c r="L693" s="907"/>
      <c r="M693" s="907"/>
      <c r="N693" s="907"/>
      <c r="O693" s="907"/>
      <c r="P693" s="907"/>
      <c r="Q693" s="907"/>
      <c r="R693" s="907"/>
      <c r="S693" s="907"/>
      <c r="T693" s="907"/>
      <c r="U693" s="907"/>
      <c r="V693" s="907"/>
      <c r="W693" s="907"/>
      <c r="X693" s="907"/>
      <c r="Y693" s="907"/>
      <c r="Z693" s="907"/>
      <c r="AA693" s="907"/>
    </row>
    <row r="694" spans="1:27">
      <c r="A694" s="907"/>
      <c r="B694" s="907"/>
      <c r="C694" s="907"/>
      <c r="D694" s="907"/>
      <c r="E694" s="907"/>
      <c r="F694" s="907"/>
      <c r="G694" s="907"/>
      <c r="H694" s="907"/>
      <c r="I694" s="907"/>
      <c r="J694" s="907"/>
      <c r="K694" s="907"/>
      <c r="L694" s="907"/>
      <c r="M694" s="907"/>
      <c r="N694" s="907"/>
      <c r="O694" s="907"/>
      <c r="P694" s="907"/>
      <c r="Q694" s="907"/>
      <c r="R694" s="907"/>
      <c r="S694" s="907"/>
      <c r="T694" s="907"/>
      <c r="U694" s="907"/>
      <c r="V694" s="907"/>
      <c r="W694" s="907"/>
      <c r="X694" s="907"/>
      <c r="Y694" s="907"/>
      <c r="Z694" s="907"/>
      <c r="AA694" s="907"/>
    </row>
    <row r="695" spans="1:27">
      <c r="A695" s="907"/>
      <c r="B695" s="907"/>
      <c r="C695" s="907"/>
      <c r="D695" s="907"/>
      <c r="E695" s="907"/>
      <c r="F695" s="907"/>
      <c r="G695" s="907"/>
      <c r="H695" s="907"/>
      <c r="I695" s="907"/>
      <c r="J695" s="907"/>
      <c r="K695" s="907"/>
      <c r="L695" s="907"/>
      <c r="M695" s="907"/>
      <c r="N695" s="907"/>
      <c r="O695" s="907"/>
      <c r="P695" s="907"/>
      <c r="Q695" s="907"/>
      <c r="R695" s="907"/>
      <c r="S695" s="907"/>
      <c r="T695" s="907"/>
      <c r="U695" s="907"/>
      <c r="V695" s="907"/>
      <c r="W695" s="907"/>
      <c r="X695" s="907"/>
      <c r="Y695" s="907"/>
      <c r="Z695" s="907"/>
      <c r="AA695" s="907"/>
    </row>
    <row r="696" spans="1:27">
      <c r="A696" s="907"/>
      <c r="B696" s="907"/>
      <c r="C696" s="907"/>
      <c r="D696" s="907"/>
      <c r="E696" s="907"/>
      <c r="F696" s="907"/>
      <c r="G696" s="907"/>
      <c r="H696" s="907"/>
      <c r="I696" s="907"/>
      <c r="J696" s="907"/>
      <c r="K696" s="907"/>
      <c r="L696" s="907"/>
      <c r="M696" s="907"/>
      <c r="N696" s="907"/>
      <c r="O696" s="907"/>
      <c r="P696" s="907"/>
      <c r="Q696" s="907"/>
      <c r="R696" s="907"/>
      <c r="S696" s="907"/>
      <c r="T696" s="907"/>
      <c r="U696" s="907"/>
      <c r="V696" s="907"/>
      <c r="W696" s="907"/>
      <c r="X696" s="907"/>
      <c r="Y696" s="907"/>
      <c r="Z696" s="907"/>
      <c r="AA696" s="907"/>
    </row>
    <row r="697" spans="1:27">
      <c r="A697" s="907"/>
      <c r="B697" s="907"/>
      <c r="C697" s="907"/>
      <c r="D697" s="907"/>
      <c r="E697" s="907"/>
      <c r="F697" s="907"/>
      <c r="G697" s="907"/>
      <c r="H697" s="907"/>
      <c r="I697" s="907"/>
      <c r="J697" s="907"/>
      <c r="K697" s="907"/>
      <c r="L697" s="907"/>
      <c r="M697" s="907"/>
      <c r="N697" s="907"/>
      <c r="O697" s="907"/>
      <c r="P697" s="907"/>
      <c r="Q697" s="907"/>
      <c r="R697" s="907"/>
      <c r="S697" s="907"/>
      <c r="T697" s="907"/>
      <c r="U697" s="907"/>
      <c r="V697" s="907"/>
      <c r="W697" s="907"/>
      <c r="X697" s="907"/>
      <c r="Y697" s="907"/>
      <c r="Z697" s="907"/>
      <c r="AA697" s="907"/>
    </row>
    <row r="698" spans="1:27">
      <c r="A698" s="907"/>
      <c r="B698" s="907"/>
      <c r="C698" s="907"/>
      <c r="D698" s="907"/>
      <c r="E698" s="907"/>
      <c r="F698" s="907"/>
      <c r="G698" s="907"/>
      <c r="H698" s="907"/>
      <c r="I698" s="907"/>
      <c r="J698" s="907"/>
      <c r="K698" s="907"/>
      <c r="L698" s="907"/>
      <c r="M698" s="907"/>
      <c r="N698" s="907"/>
      <c r="O698" s="907"/>
      <c r="P698" s="907"/>
      <c r="Q698" s="907"/>
      <c r="R698" s="907"/>
      <c r="S698" s="907"/>
      <c r="T698" s="907"/>
      <c r="U698" s="907"/>
      <c r="V698" s="907"/>
      <c r="W698" s="907"/>
      <c r="X698" s="907"/>
      <c r="Y698" s="907"/>
      <c r="Z698" s="907"/>
      <c r="AA698" s="907"/>
    </row>
    <row r="699" spans="1:27">
      <c r="A699" s="907"/>
      <c r="B699" s="907"/>
      <c r="C699" s="907"/>
      <c r="D699" s="907"/>
      <c r="E699" s="907"/>
      <c r="F699" s="907"/>
      <c r="G699" s="907"/>
      <c r="H699" s="907"/>
      <c r="I699" s="907"/>
      <c r="J699" s="907"/>
      <c r="K699" s="907"/>
      <c r="L699" s="907"/>
      <c r="M699" s="907"/>
      <c r="N699" s="907"/>
      <c r="O699" s="907"/>
      <c r="P699" s="907"/>
      <c r="Q699" s="907"/>
      <c r="R699" s="907"/>
      <c r="S699" s="907"/>
      <c r="T699" s="907"/>
      <c r="U699" s="907"/>
      <c r="V699" s="907"/>
      <c r="W699" s="907"/>
      <c r="X699" s="907"/>
      <c r="Y699" s="907"/>
      <c r="Z699" s="907"/>
      <c r="AA699" s="907"/>
    </row>
    <row r="700" spans="1:27">
      <c r="A700" s="907"/>
      <c r="B700" s="907"/>
      <c r="C700" s="907"/>
      <c r="D700" s="907"/>
      <c r="E700" s="907"/>
      <c r="F700" s="907"/>
      <c r="G700" s="907"/>
      <c r="H700" s="907"/>
      <c r="I700" s="907"/>
      <c r="J700" s="907"/>
      <c r="K700" s="907"/>
      <c r="L700" s="907"/>
      <c r="M700" s="907"/>
      <c r="N700" s="907"/>
      <c r="O700" s="907"/>
      <c r="P700" s="907"/>
      <c r="Q700" s="907"/>
      <c r="R700" s="907"/>
      <c r="S700" s="907"/>
      <c r="T700" s="907"/>
      <c r="U700" s="907"/>
      <c r="V700" s="907"/>
      <c r="W700" s="907"/>
      <c r="X700" s="907"/>
      <c r="Y700" s="907"/>
      <c r="Z700" s="907"/>
      <c r="AA700" s="907"/>
    </row>
    <row r="701" spans="1:27">
      <c r="A701" s="907"/>
      <c r="B701" s="907"/>
      <c r="C701" s="907"/>
      <c r="D701" s="907"/>
      <c r="E701" s="907"/>
      <c r="F701" s="907"/>
      <c r="G701" s="907"/>
      <c r="H701" s="907"/>
      <c r="I701" s="907"/>
      <c r="J701" s="907"/>
      <c r="K701" s="907"/>
      <c r="L701" s="907"/>
      <c r="M701" s="907"/>
      <c r="N701" s="907"/>
      <c r="O701" s="907"/>
      <c r="P701" s="907"/>
      <c r="Q701" s="907"/>
      <c r="R701" s="907"/>
      <c r="S701" s="907"/>
      <c r="T701" s="907"/>
      <c r="U701" s="907"/>
      <c r="V701" s="907"/>
      <c r="W701" s="907"/>
      <c r="X701" s="907"/>
      <c r="Y701" s="907"/>
      <c r="Z701" s="907"/>
      <c r="AA701" s="907"/>
    </row>
    <row r="702" spans="1:27">
      <c r="A702" s="907"/>
      <c r="B702" s="907"/>
      <c r="C702" s="907"/>
      <c r="D702" s="907"/>
      <c r="E702" s="907"/>
      <c r="F702" s="907"/>
      <c r="G702" s="907"/>
      <c r="H702" s="907"/>
      <c r="I702" s="907"/>
      <c r="J702" s="907"/>
      <c r="K702" s="907"/>
      <c r="L702" s="907"/>
      <c r="M702" s="907"/>
      <c r="N702" s="907"/>
      <c r="O702" s="907"/>
      <c r="P702" s="907"/>
      <c r="Q702" s="907"/>
      <c r="R702" s="907"/>
      <c r="S702" s="907"/>
      <c r="T702" s="907"/>
      <c r="U702" s="907"/>
      <c r="V702" s="907"/>
      <c r="W702" s="907"/>
      <c r="X702" s="907"/>
      <c r="Y702" s="907"/>
      <c r="Z702" s="907"/>
      <c r="AA702" s="907"/>
    </row>
    <row r="703" spans="1:27">
      <c r="A703" s="907"/>
      <c r="B703" s="907"/>
      <c r="C703" s="907"/>
      <c r="D703" s="907"/>
      <c r="E703" s="907"/>
      <c r="F703" s="907"/>
      <c r="G703" s="907"/>
      <c r="H703" s="907"/>
      <c r="I703" s="907"/>
      <c r="J703" s="907"/>
      <c r="K703" s="907"/>
      <c r="L703" s="907"/>
      <c r="M703" s="907"/>
      <c r="N703" s="907"/>
      <c r="O703" s="907"/>
      <c r="P703" s="907"/>
      <c r="Q703" s="907"/>
      <c r="R703" s="907"/>
      <c r="S703" s="907"/>
      <c r="T703" s="907"/>
      <c r="U703" s="907"/>
      <c r="V703" s="907"/>
      <c r="W703" s="907"/>
      <c r="X703" s="907"/>
      <c r="Y703" s="907"/>
      <c r="Z703" s="907"/>
      <c r="AA703" s="907"/>
    </row>
    <row r="704" spans="1:27">
      <c r="A704" s="907"/>
      <c r="B704" s="907"/>
      <c r="C704" s="907"/>
      <c r="D704" s="907"/>
      <c r="E704" s="907"/>
      <c r="F704" s="907"/>
      <c r="G704" s="907"/>
      <c r="H704" s="907"/>
      <c r="I704" s="907"/>
      <c r="J704" s="907"/>
      <c r="K704" s="907"/>
      <c r="L704" s="907"/>
      <c r="M704" s="907"/>
      <c r="N704" s="907"/>
      <c r="O704" s="907"/>
      <c r="P704" s="907"/>
      <c r="Q704" s="907"/>
      <c r="R704" s="907"/>
      <c r="S704" s="907"/>
      <c r="T704" s="907"/>
      <c r="U704" s="907"/>
      <c r="V704" s="907"/>
      <c r="W704" s="907"/>
      <c r="X704" s="907"/>
      <c r="Y704" s="907"/>
      <c r="Z704" s="907"/>
      <c r="AA704" s="907"/>
    </row>
    <row r="705" spans="1:27">
      <c r="A705" s="907"/>
      <c r="B705" s="907"/>
      <c r="C705" s="907"/>
      <c r="D705" s="907"/>
      <c r="E705" s="907"/>
      <c r="F705" s="907"/>
      <c r="G705" s="907"/>
      <c r="H705" s="907"/>
      <c r="I705" s="907"/>
      <c r="J705" s="907"/>
      <c r="K705" s="907"/>
      <c r="L705" s="907"/>
      <c r="M705" s="907"/>
      <c r="N705" s="907"/>
      <c r="O705" s="907"/>
      <c r="P705" s="907"/>
      <c r="Q705" s="907"/>
      <c r="R705" s="907"/>
      <c r="S705" s="907"/>
      <c r="T705" s="907"/>
      <c r="U705" s="907"/>
      <c r="V705" s="907"/>
      <c r="W705" s="907"/>
      <c r="X705" s="907"/>
      <c r="Y705" s="907"/>
      <c r="Z705" s="907"/>
      <c r="AA705" s="907"/>
    </row>
    <row r="706" spans="1:27">
      <c r="A706" s="907"/>
      <c r="B706" s="907"/>
      <c r="C706" s="907"/>
      <c r="D706" s="907"/>
      <c r="E706" s="907"/>
      <c r="F706" s="907"/>
      <c r="G706" s="907"/>
      <c r="H706" s="907"/>
      <c r="I706" s="907"/>
      <c r="J706" s="907"/>
      <c r="K706" s="907"/>
      <c r="L706" s="907"/>
      <c r="M706" s="907"/>
      <c r="N706" s="907"/>
      <c r="O706" s="907"/>
      <c r="P706" s="907"/>
      <c r="Q706" s="907"/>
      <c r="R706" s="907"/>
      <c r="S706" s="907"/>
      <c r="T706" s="907"/>
      <c r="U706" s="907"/>
      <c r="V706" s="907"/>
      <c r="W706" s="907"/>
      <c r="X706" s="907"/>
      <c r="Y706" s="907"/>
      <c r="Z706" s="907"/>
      <c r="AA706" s="907"/>
    </row>
    <row r="707" spans="1:27">
      <c r="A707" s="907"/>
      <c r="B707" s="907"/>
      <c r="C707" s="907"/>
      <c r="D707" s="907"/>
      <c r="E707" s="907"/>
      <c r="F707" s="907"/>
      <c r="G707" s="907"/>
      <c r="H707" s="907"/>
      <c r="I707" s="907"/>
      <c r="J707" s="907"/>
      <c r="K707" s="907"/>
      <c r="L707" s="907"/>
      <c r="M707" s="907"/>
      <c r="N707" s="907"/>
      <c r="O707" s="907"/>
      <c r="P707" s="907"/>
      <c r="Q707" s="907"/>
      <c r="R707" s="907"/>
      <c r="S707" s="907"/>
      <c r="T707" s="907"/>
      <c r="U707" s="907"/>
      <c r="V707" s="907"/>
      <c r="W707" s="907"/>
      <c r="X707" s="907"/>
      <c r="Y707" s="907"/>
      <c r="Z707" s="907"/>
      <c r="AA707" s="907"/>
    </row>
    <row r="708" spans="1:27">
      <c r="A708" s="907"/>
      <c r="B708" s="907"/>
      <c r="C708" s="907"/>
      <c r="D708" s="907"/>
      <c r="E708" s="907"/>
      <c r="F708" s="907"/>
      <c r="G708" s="907"/>
      <c r="H708" s="907"/>
      <c r="I708" s="907"/>
      <c r="J708" s="907"/>
      <c r="K708" s="907"/>
      <c r="L708" s="907"/>
      <c r="M708" s="907"/>
      <c r="N708" s="907"/>
      <c r="O708" s="907"/>
      <c r="P708" s="907"/>
      <c r="Q708" s="907"/>
      <c r="R708" s="907"/>
      <c r="S708" s="907"/>
      <c r="T708" s="907"/>
      <c r="U708" s="907"/>
      <c r="V708" s="907"/>
      <c r="W708" s="907"/>
      <c r="X708" s="907"/>
      <c r="Y708" s="907"/>
      <c r="Z708" s="907"/>
      <c r="AA708" s="907"/>
    </row>
    <row r="709" spans="1:27">
      <c r="A709" s="907"/>
      <c r="B709" s="907"/>
      <c r="C709" s="907"/>
      <c r="D709" s="907"/>
      <c r="E709" s="907"/>
      <c r="F709" s="907"/>
      <c r="G709" s="907"/>
      <c r="H709" s="907"/>
      <c r="I709" s="907"/>
      <c r="J709" s="907"/>
      <c r="K709" s="907"/>
      <c r="L709" s="907"/>
      <c r="M709" s="907"/>
      <c r="N709" s="907"/>
      <c r="O709" s="907"/>
      <c r="P709" s="907"/>
      <c r="Q709" s="907"/>
      <c r="R709" s="907"/>
      <c r="S709" s="907"/>
      <c r="T709" s="907"/>
      <c r="U709" s="907"/>
      <c r="V709" s="907"/>
      <c r="W709" s="907"/>
      <c r="X709" s="907"/>
      <c r="Y709" s="907"/>
      <c r="Z709" s="907"/>
      <c r="AA709" s="907"/>
    </row>
    <row r="710" spans="1:27">
      <c r="A710" s="907"/>
      <c r="B710" s="907"/>
      <c r="C710" s="907"/>
      <c r="D710" s="907"/>
      <c r="E710" s="907"/>
      <c r="F710" s="907"/>
      <c r="G710" s="907"/>
      <c r="H710" s="907"/>
      <c r="I710" s="907"/>
      <c r="J710" s="907"/>
      <c r="K710" s="907"/>
      <c r="L710" s="907"/>
      <c r="M710" s="907"/>
      <c r="N710" s="907"/>
      <c r="O710" s="907"/>
      <c r="P710" s="907"/>
      <c r="Q710" s="907"/>
      <c r="R710" s="907"/>
      <c r="S710" s="907"/>
      <c r="T710" s="907"/>
      <c r="U710" s="907"/>
      <c r="V710" s="907"/>
      <c r="W710" s="907"/>
      <c r="X710" s="907"/>
      <c r="Y710" s="907"/>
      <c r="Z710" s="907"/>
      <c r="AA710" s="907"/>
    </row>
    <row r="711" spans="1:27">
      <c r="A711" s="907"/>
      <c r="B711" s="907"/>
      <c r="C711" s="907"/>
      <c r="D711" s="907"/>
      <c r="E711" s="907"/>
      <c r="F711" s="907"/>
      <c r="G711" s="907"/>
      <c r="H711" s="907"/>
      <c r="I711" s="907"/>
      <c r="J711" s="907"/>
      <c r="K711" s="907"/>
      <c r="L711" s="907"/>
      <c r="M711" s="907"/>
      <c r="N711" s="907"/>
      <c r="O711" s="907"/>
      <c r="P711" s="907"/>
      <c r="Q711" s="907"/>
      <c r="R711" s="907"/>
      <c r="S711" s="907"/>
      <c r="T711" s="907"/>
      <c r="U711" s="907"/>
      <c r="V711" s="907"/>
      <c r="W711" s="907"/>
      <c r="X711" s="907"/>
      <c r="Y711" s="907"/>
      <c r="Z711" s="907"/>
      <c r="AA711" s="907"/>
    </row>
    <row r="712" spans="1:27">
      <c r="A712" s="907"/>
      <c r="B712" s="907"/>
      <c r="C712" s="907"/>
      <c r="D712" s="907"/>
      <c r="E712" s="907"/>
      <c r="F712" s="907"/>
      <c r="G712" s="907"/>
      <c r="H712" s="907"/>
      <c r="I712" s="907"/>
      <c r="J712" s="907"/>
      <c r="K712" s="907"/>
      <c r="L712" s="907"/>
      <c r="M712" s="907"/>
      <c r="N712" s="907"/>
      <c r="O712" s="907"/>
      <c r="P712" s="907"/>
      <c r="Q712" s="907"/>
      <c r="R712" s="907"/>
      <c r="S712" s="907"/>
      <c r="T712" s="907"/>
      <c r="U712" s="907"/>
      <c r="V712" s="907"/>
      <c r="W712" s="907"/>
      <c r="X712" s="907"/>
      <c r="Y712" s="907"/>
      <c r="Z712" s="907"/>
      <c r="AA712" s="907"/>
    </row>
    <row r="713" spans="1:27">
      <c r="A713" s="907"/>
      <c r="B713" s="907"/>
      <c r="C713" s="907"/>
      <c r="D713" s="907"/>
      <c r="E713" s="907"/>
      <c r="F713" s="907"/>
      <c r="G713" s="907"/>
      <c r="H713" s="907"/>
      <c r="I713" s="907"/>
      <c r="J713" s="907"/>
      <c r="K713" s="907"/>
      <c r="L713" s="907"/>
      <c r="M713" s="907"/>
      <c r="N713" s="907"/>
      <c r="O713" s="907"/>
      <c r="P713" s="907"/>
      <c r="Q713" s="907"/>
      <c r="R713" s="907"/>
      <c r="S713" s="907"/>
      <c r="T713" s="907"/>
      <c r="U713" s="907"/>
      <c r="V713" s="907"/>
      <c r="W713" s="907"/>
      <c r="X713" s="907"/>
      <c r="Y713" s="907"/>
      <c r="Z713" s="907"/>
      <c r="AA713" s="907"/>
    </row>
    <row r="714" spans="1:27">
      <c r="A714" s="907"/>
      <c r="B714" s="907"/>
      <c r="C714" s="907"/>
      <c r="D714" s="907"/>
      <c r="E714" s="907"/>
      <c r="F714" s="907"/>
      <c r="G714" s="907"/>
      <c r="H714" s="907"/>
      <c r="I714" s="907"/>
      <c r="J714" s="907"/>
      <c r="K714" s="907"/>
      <c r="L714" s="907"/>
      <c r="M714" s="907"/>
      <c r="N714" s="907"/>
      <c r="O714" s="907"/>
      <c r="P714" s="907"/>
      <c r="Q714" s="907"/>
      <c r="R714" s="907"/>
      <c r="S714" s="907"/>
      <c r="T714" s="907"/>
      <c r="U714" s="907"/>
      <c r="V714" s="907"/>
      <c r="W714" s="907"/>
      <c r="X714" s="907"/>
      <c r="Y714" s="907"/>
      <c r="Z714" s="907"/>
      <c r="AA714" s="907"/>
    </row>
    <row r="715" spans="1:27">
      <c r="A715" s="907"/>
      <c r="B715" s="907"/>
      <c r="C715" s="907"/>
      <c r="D715" s="907"/>
      <c r="E715" s="907"/>
      <c r="F715" s="907"/>
      <c r="G715" s="907"/>
      <c r="H715" s="907"/>
      <c r="I715" s="907"/>
      <c r="J715" s="907"/>
      <c r="K715" s="907"/>
      <c r="L715" s="907"/>
      <c r="M715" s="907"/>
      <c r="N715" s="907"/>
      <c r="O715" s="907"/>
      <c r="P715" s="907"/>
      <c r="Q715" s="907"/>
      <c r="R715" s="907"/>
      <c r="S715" s="907"/>
      <c r="T715" s="907"/>
      <c r="U715" s="907"/>
      <c r="V715" s="907"/>
      <c r="W715" s="907"/>
      <c r="X715" s="907"/>
      <c r="Y715" s="907"/>
      <c r="Z715" s="907"/>
      <c r="AA715" s="907"/>
    </row>
    <row r="716" spans="1:27">
      <c r="A716" s="907"/>
      <c r="B716" s="907"/>
      <c r="C716" s="907"/>
      <c r="D716" s="907"/>
      <c r="E716" s="907"/>
      <c r="F716" s="907"/>
      <c r="G716" s="907"/>
      <c r="H716" s="907"/>
      <c r="I716" s="907"/>
      <c r="J716" s="907"/>
      <c r="K716" s="907"/>
      <c r="L716" s="907"/>
      <c r="M716" s="907"/>
      <c r="N716" s="907"/>
      <c r="O716" s="907"/>
      <c r="P716" s="907"/>
      <c r="Q716" s="907"/>
      <c r="R716" s="907"/>
      <c r="S716" s="907"/>
      <c r="T716" s="907"/>
      <c r="U716" s="907"/>
      <c r="V716" s="907"/>
      <c r="W716" s="907"/>
      <c r="X716" s="907"/>
      <c r="Y716" s="907"/>
      <c r="Z716" s="907"/>
      <c r="AA716" s="907"/>
    </row>
    <row r="717" spans="1:27">
      <c r="A717" s="907"/>
      <c r="B717" s="907"/>
      <c r="C717" s="907"/>
      <c r="D717" s="907"/>
      <c r="E717" s="907"/>
      <c r="F717" s="907"/>
      <c r="G717" s="907"/>
      <c r="H717" s="907"/>
      <c r="I717" s="907"/>
      <c r="J717" s="907"/>
      <c r="K717" s="907"/>
      <c r="L717" s="907"/>
      <c r="M717" s="907"/>
      <c r="N717" s="907"/>
      <c r="O717" s="907"/>
      <c r="P717" s="907"/>
      <c r="Q717" s="907"/>
      <c r="R717" s="907"/>
      <c r="S717" s="907"/>
      <c r="T717" s="907"/>
      <c r="U717" s="907"/>
      <c r="V717" s="907"/>
      <c r="W717" s="907"/>
      <c r="X717" s="907"/>
      <c r="Y717" s="907"/>
      <c r="Z717" s="907"/>
      <c r="AA717" s="907"/>
    </row>
    <row r="718" spans="1:27">
      <c r="A718" s="907"/>
      <c r="B718" s="907"/>
      <c r="C718" s="907"/>
      <c r="D718" s="907"/>
      <c r="E718" s="907"/>
      <c r="F718" s="907"/>
      <c r="G718" s="907"/>
      <c r="H718" s="907"/>
      <c r="I718" s="907"/>
      <c r="J718" s="907"/>
      <c r="K718" s="907"/>
      <c r="L718" s="907"/>
      <c r="M718" s="907"/>
      <c r="N718" s="907"/>
      <c r="O718" s="907"/>
      <c r="P718" s="907"/>
      <c r="Q718" s="907"/>
      <c r="R718" s="907"/>
      <c r="S718" s="907"/>
      <c r="T718" s="907"/>
      <c r="U718" s="907"/>
      <c r="V718" s="907"/>
      <c r="W718" s="907"/>
      <c r="X718" s="907"/>
      <c r="Y718" s="907"/>
      <c r="Z718" s="907"/>
      <c r="AA718" s="907"/>
    </row>
    <row r="719" spans="1:27">
      <c r="A719" s="907"/>
      <c r="B719" s="907"/>
      <c r="C719" s="907"/>
      <c r="D719" s="907"/>
      <c r="E719" s="907"/>
      <c r="F719" s="907"/>
      <c r="G719" s="907"/>
      <c r="H719" s="907"/>
      <c r="I719" s="907"/>
      <c r="J719" s="907"/>
      <c r="K719" s="907"/>
      <c r="L719" s="907"/>
      <c r="M719" s="907"/>
      <c r="N719" s="907"/>
      <c r="O719" s="907"/>
      <c r="P719" s="907"/>
      <c r="Q719" s="907"/>
      <c r="R719" s="907"/>
      <c r="S719" s="907"/>
      <c r="T719" s="907"/>
      <c r="U719" s="907"/>
      <c r="V719" s="907"/>
      <c r="W719" s="907"/>
      <c r="X719" s="907"/>
      <c r="Y719" s="907"/>
      <c r="Z719" s="907"/>
      <c r="AA719" s="907"/>
    </row>
    <row r="720" spans="1:27">
      <c r="A720" s="907"/>
      <c r="B720" s="907"/>
      <c r="C720" s="907"/>
      <c r="D720" s="907"/>
      <c r="E720" s="907"/>
      <c r="F720" s="907"/>
      <c r="G720" s="907"/>
      <c r="H720" s="907"/>
      <c r="I720" s="907"/>
      <c r="J720" s="907"/>
      <c r="K720" s="907"/>
      <c r="L720" s="907"/>
      <c r="M720" s="907"/>
      <c r="N720" s="907"/>
      <c r="O720" s="907"/>
      <c r="P720" s="907"/>
      <c r="Q720" s="907"/>
      <c r="R720" s="907"/>
      <c r="S720" s="907"/>
      <c r="T720" s="907"/>
      <c r="U720" s="907"/>
      <c r="V720" s="907"/>
      <c r="W720" s="907"/>
      <c r="X720" s="907"/>
      <c r="Y720" s="907"/>
      <c r="Z720" s="907"/>
      <c r="AA720" s="907"/>
    </row>
    <row r="721" spans="1:27">
      <c r="A721" s="907"/>
      <c r="B721" s="907"/>
      <c r="C721" s="907"/>
      <c r="D721" s="907"/>
      <c r="E721" s="907"/>
      <c r="F721" s="907"/>
      <c r="G721" s="907"/>
      <c r="H721" s="907"/>
      <c r="I721" s="907"/>
      <c r="J721" s="907"/>
      <c r="K721" s="907"/>
      <c r="L721" s="907"/>
      <c r="M721" s="907"/>
      <c r="N721" s="907"/>
      <c r="O721" s="907"/>
      <c r="P721" s="907"/>
      <c r="Q721" s="907"/>
      <c r="R721" s="907"/>
      <c r="S721" s="907"/>
      <c r="T721" s="907"/>
      <c r="U721" s="907"/>
      <c r="V721" s="907"/>
      <c r="W721" s="907"/>
      <c r="X721" s="907"/>
      <c r="Y721" s="907"/>
      <c r="Z721" s="907"/>
      <c r="AA721" s="907"/>
    </row>
    <row r="722" spans="1:27">
      <c r="A722" s="907"/>
      <c r="B722" s="907"/>
      <c r="C722" s="907"/>
      <c r="D722" s="907"/>
      <c r="E722" s="907"/>
      <c r="F722" s="907"/>
      <c r="G722" s="907"/>
      <c r="H722" s="907"/>
      <c r="I722" s="907"/>
      <c r="J722" s="907"/>
      <c r="K722" s="907"/>
      <c r="L722" s="907"/>
      <c r="M722" s="907"/>
      <c r="N722" s="907"/>
      <c r="O722" s="907"/>
      <c r="P722" s="907"/>
      <c r="Q722" s="907"/>
      <c r="R722" s="907"/>
      <c r="S722" s="907"/>
      <c r="T722" s="907"/>
      <c r="U722" s="907"/>
      <c r="V722" s="907"/>
      <c r="W722" s="907"/>
      <c r="X722" s="907"/>
      <c r="Y722" s="907"/>
      <c r="Z722" s="907"/>
      <c r="AA722" s="907"/>
    </row>
    <row r="723" spans="1:27">
      <c r="A723" s="907"/>
      <c r="B723" s="907"/>
      <c r="C723" s="907"/>
      <c r="D723" s="907"/>
      <c r="E723" s="907"/>
      <c r="F723" s="907"/>
      <c r="G723" s="907"/>
      <c r="H723" s="907"/>
      <c r="I723" s="907"/>
      <c r="J723" s="907"/>
      <c r="K723" s="907"/>
      <c r="L723" s="907"/>
      <c r="M723" s="907"/>
      <c r="N723" s="907"/>
      <c r="O723" s="907"/>
      <c r="P723" s="907"/>
      <c r="Q723" s="907"/>
      <c r="R723" s="907"/>
      <c r="S723" s="907"/>
      <c r="T723" s="907"/>
      <c r="U723" s="907"/>
      <c r="V723" s="907"/>
      <c r="W723" s="907"/>
      <c r="X723" s="907"/>
      <c r="Y723" s="907"/>
      <c r="Z723" s="907"/>
      <c r="AA723" s="907"/>
    </row>
    <row r="724" spans="1:27">
      <c r="A724" s="907"/>
      <c r="B724" s="907"/>
      <c r="C724" s="907"/>
      <c r="D724" s="907"/>
      <c r="E724" s="907"/>
      <c r="F724" s="907"/>
      <c r="G724" s="907"/>
      <c r="H724" s="907"/>
      <c r="I724" s="907"/>
      <c r="J724" s="907"/>
      <c r="K724" s="907"/>
      <c r="L724" s="907"/>
      <c r="M724" s="907"/>
      <c r="N724" s="907"/>
      <c r="O724" s="907"/>
      <c r="P724" s="907"/>
      <c r="Q724" s="907"/>
      <c r="R724" s="907"/>
      <c r="S724" s="907"/>
      <c r="T724" s="907"/>
      <c r="U724" s="907"/>
      <c r="V724" s="907"/>
      <c r="W724" s="907"/>
      <c r="X724" s="907"/>
      <c r="Y724" s="907"/>
      <c r="Z724" s="907"/>
      <c r="AA724" s="907"/>
    </row>
    <row r="725" spans="1:27">
      <c r="A725" s="907"/>
      <c r="B725" s="907"/>
      <c r="C725" s="907"/>
      <c r="D725" s="907"/>
      <c r="E725" s="907"/>
      <c r="F725" s="907"/>
      <c r="G725" s="907"/>
      <c r="H725" s="907"/>
      <c r="I725" s="907"/>
      <c r="J725" s="907"/>
      <c r="K725" s="907"/>
      <c r="L725" s="907"/>
      <c r="M725" s="907"/>
      <c r="N725" s="907"/>
      <c r="O725" s="907"/>
      <c r="P725" s="907"/>
      <c r="Q725" s="907"/>
      <c r="R725" s="907"/>
      <c r="S725" s="907"/>
      <c r="T725" s="907"/>
      <c r="U725" s="907"/>
      <c r="V725" s="907"/>
      <c r="W725" s="907"/>
      <c r="X725" s="907"/>
      <c r="Y725" s="907"/>
      <c r="Z725" s="907"/>
      <c r="AA725" s="907"/>
    </row>
    <row r="726" spans="1:27">
      <c r="A726" s="907"/>
      <c r="B726" s="907"/>
      <c r="C726" s="907"/>
      <c r="D726" s="907"/>
      <c r="E726" s="907"/>
      <c r="F726" s="907"/>
      <c r="G726" s="907"/>
      <c r="H726" s="907"/>
      <c r="I726" s="907"/>
      <c r="J726" s="907"/>
      <c r="K726" s="907"/>
      <c r="L726" s="907"/>
      <c r="M726" s="907"/>
      <c r="N726" s="907"/>
      <c r="O726" s="907"/>
      <c r="P726" s="907"/>
      <c r="Q726" s="907"/>
      <c r="R726" s="907"/>
      <c r="S726" s="907"/>
      <c r="T726" s="907"/>
      <c r="U726" s="907"/>
      <c r="V726" s="907"/>
      <c r="W726" s="907"/>
      <c r="X726" s="907"/>
      <c r="Y726" s="907"/>
      <c r="Z726" s="907"/>
      <c r="AA726" s="907"/>
    </row>
    <row r="727" spans="1:27">
      <c r="A727" s="907"/>
      <c r="B727" s="907"/>
      <c r="C727" s="907"/>
      <c r="D727" s="907"/>
      <c r="E727" s="907"/>
      <c r="F727" s="907"/>
      <c r="G727" s="907"/>
      <c r="H727" s="907"/>
      <c r="I727" s="907"/>
      <c r="J727" s="907"/>
      <c r="K727" s="907"/>
      <c r="L727" s="907"/>
      <c r="M727" s="907"/>
      <c r="N727" s="907"/>
      <c r="O727" s="907"/>
      <c r="P727" s="907"/>
      <c r="Q727" s="907"/>
      <c r="R727" s="907"/>
      <c r="S727" s="907"/>
      <c r="T727" s="907"/>
      <c r="U727" s="907"/>
      <c r="V727" s="907"/>
      <c r="W727" s="907"/>
      <c r="X727" s="907"/>
      <c r="Y727" s="907"/>
      <c r="Z727" s="907"/>
      <c r="AA727" s="907"/>
    </row>
    <row r="728" spans="1:27">
      <c r="A728" s="907"/>
      <c r="B728" s="907"/>
      <c r="C728" s="907"/>
      <c r="D728" s="907"/>
      <c r="E728" s="907"/>
      <c r="F728" s="907"/>
      <c r="G728" s="907"/>
      <c r="H728" s="907"/>
      <c r="I728" s="907"/>
      <c r="J728" s="907"/>
      <c r="K728" s="907"/>
      <c r="L728" s="907"/>
      <c r="M728" s="907"/>
      <c r="N728" s="907"/>
      <c r="O728" s="907"/>
      <c r="P728" s="907"/>
      <c r="Q728" s="907"/>
      <c r="R728" s="907"/>
      <c r="S728" s="907"/>
      <c r="T728" s="907"/>
      <c r="U728" s="907"/>
      <c r="V728" s="907"/>
      <c r="W728" s="907"/>
      <c r="X728" s="907"/>
      <c r="Y728" s="907"/>
      <c r="Z728" s="907"/>
      <c r="AA728" s="907"/>
    </row>
    <row r="729" spans="1:27">
      <c r="A729" s="907"/>
      <c r="B729" s="907"/>
      <c r="C729" s="907"/>
      <c r="D729" s="907"/>
      <c r="E729" s="907"/>
      <c r="F729" s="907"/>
      <c r="G729" s="907"/>
      <c r="H729" s="907"/>
      <c r="I729" s="907"/>
      <c r="J729" s="907"/>
      <c r="K729" s="907"/>
      <c r="L729" s="907"/>
      <c r="M729" s="907"/>
      <c r="N729" s="907"/>
      <c r="O729" s="907"/>
      <c r="P729" s="907"/>
      <c r="Q729" s="907"/>
      <c r="R729" s="907"/>
      <c r="S729" s="907"/>
      <c r="T729" s="907"/>
      <c r="U729" s="907"/>
      <c r="V729" s="907"/>
      <c r="W729" s="907"/>
      <c r="X729" s="907"/>
      <c r="Y729" s="907"/>
      <c r="Z729" s="907"/>
      <c r="AA729" s="907"/>
    </row>
    <row r="730" spans="1:27">
      <c r="A730" s="907"/>
      <c r="B730" s="907"/>
      <c r="C730" s="907"/>
      <c r="D730" s="907"/>
      <c r="E730" s="907"/>
      <c r="F730" s="907"/>
      <c r="G730" s="907"/>
      <c r="H730" s="907"/>
      <c r="I730" s="907"/>
      <c r="J730" s="907"/>
      <c r="K730" s="907"/>
      <c r="L730" s="907"/>
      <c r="M730" s="907"/>
      <c r="N730" s="907"/>
      <c r="O730" s="907"/>
      <c r="P730" s="907"/>
      <c r="Q730" s="907"/>
      <c r="R730" s="907"/>
      <c r="S730" s="907"/>
      <c r="T730" s="907"/>
      <c r="U730" s="907"/>
      <c r="V730" s="907"/>
      <c r="W730" s="907"/>
      <c r="X730" s="907"/>
      <c r="Y730" s="907"/>
      <c r="Z730" s="907"/>
      <c r="AA730" s="907"/>
    </row>
    <row r="731" spans="1:27">
      <c r="A731" s="907"/>
      <c r="B731" s="907"/>
      <c r="C731" s="907"/>
      <c r="D731" s="907"/>
      <c r="E731" s="907"/>
      <c r="F731" s="907"/>
      <c r="G731" s="907"/>
      <c r="H731" s="907"/>
      <c r="I731" s="907"/>
      <c r="J731" s="907"/>
      <c r="K731" s="907"/>
      <c r="L731" s="907"/>
      <c r="M731" s="907"/>
      <c r="N731" s="907"/>
      <c r="O731" s="907"/>
      <c r="P731" s="907"/>
      <c r="Q731" s="907"/>
      <c r="R731" s="907"/>
      <c r="S731" s="907"/>
      <c r="T731" s="907"/>
      <c r="U731" s="907"/>
      <c r="V731" s="907"/>
      <c r="W731" s="907"/>
      <c r="X731" s="907"/>
      <c r="Y731" s="907"/>
      <c r="Z731" s="907"/>
      <c r="AA731" s="907"/>
    </row>
    <row r="732" spans="1:27">
      <c r="A732" s="907"/>
      <c r="B732" s="907"/>
      <c r="C732" s="907"/>
      <c r="D732" s="907"/>
      <c r="E732" s="907"/>
      <c r="F732" s="907"/>
      <c r="G732" s="907"/>
      <c r="H732" s="907"/>
      <c r="I732" s="907"/>
      <c r="J732" s="907"/>
      <c r="K732" s="907"/>
      <c r="L732" s="907"/>
      <c r="M732" s="907"/>
      <c r="N732" s="907"/>
      <c r="O732" s="907"/>
      <c r="P732" s="907"/>
      <c r="Q732" s="907"/>
      <c r="R732" s="907"/>
      <c r="S732" s="907"/>
      <c r="T732" s="907"/>
      <c r="U732" s="907"/>
      <c r="V732" s="907"/>
      <c r="W732" s="907"/>
      <c r="X732" s="907"/>
      <c r="Y732" s="907"/>
      <c r="Z732" s="907"/>
      <c r="AA732" s="907"/>
    </row>
    <row r="733" spans="1:27">
      <c r="A733" s="907"/>
      <c r="B733" s="907"/>
      <c r="C733" s="907"/>
      <c r="D733" s="907"/>
      <c r="E733" s="907"/>
      <c r="F733" s="907"/>
      <c r="G733" s="907"/>
      <c r="H733" s="907"/>
      <c r="I733" s="907"/>
      <c r="J733" s="907"/>
      <c r="K733" s="907"/>
      <c r="L733" s="907"/>
      <c r="M733" s="907"/>
      <c r="N733" s="907"/>
      <c r="O733" s="907"/>
      <c r="P733" s="907"/>
      <c r="Q733" s="907"/>
      <c r="R733" s="907"/>
      <c r="S733" s="907"/>
      <c r="T733" s="907"/>
      <c r="U733" s="907"/>
      <c r="V733" s="907"/>
      <c r="W733" s="907"/>
      <c r="X733" s="907"/>
      <c r="Y733" s="907"/>
      <c r="Z733" s="907"/>
      <c r="AA733" s="907"/>
    </row>
    <row r="734" spans="1:27">
      <c r="A734" s="907"/>
      <c r="B734" s="907"/>
      <c r="C734" s="907"/>
      <c r="D734" s="907"/>
      <c r="E734" s="907"/>
      <c r="F734" s="907"/>
      <c r="G734" s="907"/>
      <c r="H734" s="907"/>
      <c r="I734" s="907"/>
      <c r="J734" s="907"/>
      <c r="K734" s="907"/>
      <c r="L734" s="907"/>
      <c r="M734" s="907"/>
      <c r="N734" s="907"/>
      <c r="O734" s="907"/>
      <c r="P734" s="907"/>
      <c r="Q734" s="907"/>
      <c r="R734" s="907"/>
      <c r="S734" s="907"/>
      <c r="T734" s="907"/>
      <c r="U734" s="907"/>
      <c r="V734" s="907"/>
      <c r="W734" s="907"/>
      <c r="X734" s="907"/>
      <c r="Y734" s="907"/>
      <c r="Z734" s="907"/>
      <c r="AA734" s="907"/>
    </row>
    <row r="735" spans="1:27">
      <c r="A735" s="907"/>
      <c r="B735" s="907"/>
      <c r="C735" s="907"/>
      <c r="D735" s="907"/>
      <c r="E735" s="907"/>
      <c r="F735" s="907"/>
      <c r="G735" s="907"/>
      <c r="H735" s="907"/>
      <c r="I735" s="907"/>
      <c r="J735" s="907"/>
      <c r="K735" s="907"/>
      <c r="L735" s="907"/>
      <c r="M735" s="907"/>
      <c r="N735" s="907"/>
      <c r="O735" s="907"/>
      <c r="P735" s="907"/>
      <c r="Q735" s="907"/>
      <c r="R735" s="907"/>
      <c r="S735" s="907"/>
      <c r="T735" s="907"/>
      <c r="U735" s="907"/>
      <c r="V735" s="907"/>
      <c r="W735" s="907"/>
      <c r="X735" s="907"/>
      <c r="Y735" s="907"/>
      <c r="Z735" s="907"/>
      <c r="AA735" s="907"/>
    </row>
    <row r="736" spans="1:27">
      <c r="A736" s="907"/>
      <c r="B736" s="907"/>
      <c r="C736" s="907"/>
      <c r="D736" s="907"/>
      <c r="E736" s="907"/>
      <c r="F736" s="907"/>
      <c r="G736" s="907"/>
      <c r="H736" s="907"/>
      <c r="I736" s="907"/>
      <c r="J736" s="907"/>
      <c r="K736" s="907"/>
      <c r="L736" s="907"/>
      <c r="M736" s="907"/>
      <c r="N736" s="907"/>
      <c r="O736" s="907"/>
      <c r="P736" s="907"/>
      <c r="Q736" s="907"/>
      <c r="R736" s="907"/>
      <c r="S736" s="907"/>
      <c r="T736" s="907"/>
      <c r="U736" s="907"/>
      <c r="V736" s="907"/>
      <c r="W736" s="907"/>
      <c r="X736" s="907"/>
      <c r="Y736" s="907"/>
      <c r="Z736" s="907"/>
      <c r="AA736" s="907"/>
    </row>
    <row r="737" spans="1:27">
      <c r="A737" s="907"/>
      <c r="B737" s="907"/>
      <c r="C737" s="907"/>
      <c r="D737" s="907"/>
      <c r="E737" s="907"/>
      <c r="F737" s="907"/>
      <c r="G737" s="907"/>
      <c r="H737" s="907"/>
      <c r="I737" s="907"/>
      <c r="J737" s="907"/>
      <c r="K737" s="907"/>
      <c r="L737" s="907"/>
      <c r="M737" s="907"/>
      <c r="N737" s="907"/>
      <c r="O737" s="907"/>
      <c r="P737" s="907"/>
      <c r="Q737" s="907"/>
      <c r="R737" s="907"/>
      <c r="S737" s="907"/>
      <c r="T737" s="907"/>
      <c r="U737" s="907"/>
      <c r="V737" s="907"/>
      <c r="W737" s="907"/>
      <c r="X737" s="907"/>
      <c r="Y737" s="907"/>
      <c r="Z737" s="907"/>
      <c r="AA737" s="907"/>
    </row>
    <row r="738" spans="1:27">
      <c r="A738" s="907"/>
      <c r="B738" s="907"/>
      <c r="C738" s="907"/>
      <c r="D738" s="907"/>
      <c r="E738" s="907"/>
      <c r="F738" s="907"/>
      <c r="G738" s="907"/>
      <c r="H738" s="907"/>
      <c r="I738" s="907"/>
      <c r="J738" s="907"/>
      <c r="K738" s="907"/>
      <c r="L738" s="907"/>
      <c r="M738" s="907"/>
      <c r="N738" s="907"/>
      <c r="O738" s="907"/>
      <c r="P738" s="907"/>
      <c r="Q738" s="907"/>
      <c r="R738" s="907"/>
      <c r="S738" s="907"/>
      <c r="T738" s="907"/>
      <c r="U738" s="907"/>
      <c r="V738" s="907"/>
      <c r="W738" s="907"/>
      <c r="X738" s="907"/>
      <c r="Y738" s="907"/>
      <c r="Z738" s="907"/>
      <c r="AA738" s="907"/>
    </row>
    <row r="739" spans="1:27">
      <c r="A739" s="907"/>
      <c r="B739" s="907"/>
      <c r="C739" s="907"/>
      <c r="D739" s="907"/>
      <c r="E739" s="907"/>
      <c r="F739" s="907"/>
      <c r="G739" s="907"/>
      <c r="H739" s="907"/>
      <c r="I739" s="907"/>
      <c r="J739" s="907"/>
      <c r="K739" s="907"/>
      <c r="L739" s="907"/>
      <c r="M739" s="907"/>
      <c r="N739" s="907"/>
      <c r="O739" s="907"/>
      <c r="P739" s="907"/>
      <c r="Q739" s="907"/>
      <c r="R739" s="907"/>
      <c r="S739" s="907"/>
      <c r="T739" s="907"/>
      <c r="U739" s="907"/>
      <c r="V739" s="907"/>
      <c r="W739" s="907"/>
      <c r="X739" s="907"/>
      <c r="Y739" s="907"/>
      <c r="Z739" s="907"/>
      <c r="AA739" s="907"/>
    </row>
    <row r="740" spans="1:27">
      <c r="A740" s="907"/>
      <c r="B740" s="907"/>
      <c r="C740" s="907"/>
      <c r="D740" s="907"/>
      <c r="E740" s="907"/>
      <c r="F740" s="907"/>
      <c r="G740" s="907"/>
      <c r="H740" s="907"/>
      <c r="I740" s="907"/>
      <c r="J740" s="907"/>
      <c r="K740" s="907"/>
      <c r="L740" s="907"/>
      <c r="M740" s="907"/>
      <c r="N740" s="907"/>
      <c r="O740" s="907"/>
      <c r="P740" s="907"/>
      <c r="Q740" s="907"/>
      <c r="R740" s="907"/>
      <c r="S740" s="907"/>
      <c r="T740" s="907"/>
      <c r="U740" s="907"/>
      <c r="V740" s="907"/>
      <c r="W740" s="907"/>
      <c r="X740" s="907"/>
      <c r="Y740" s="907"/>
      <c r="Z740" s="907"/>
      <c r="AA740" s="907"/>
    </row>
    <row r="741" spans="1:27">
      <c r="A741" s="907"/>
      <c r="B741" s="907"/>
      <c r="C741" s="907"/>
      <c r="D741" s="907"/>
      <c r="E741" s="907"/>
      <c r="F741" s="907"/>
      <c r="G741" s="907"/>
      <c r="H741" s="907"/>
      <c r="I741" s="907"/>
      <c r="J741" s="907"/>
      <c r="K741" s="907"/>
      <c r="L741" s="907"/>
      <c r="M741" s="907"/>
      <c r="N741" s="907"/>
      <c r="O741" s="907"/>
      <c r="P741" s="907"/>
      <c r="Q741" s="907"/>
      <c r="R741" s="907"/>
      <c r="S741" s="907"/>
      <c r="T741" s="907"/>
      <c r="U741" s="907"/>
      <c r="V741" s="907"/>
      <c r="W741" s="907"/>
      <c r="X741" s="907"/>
      <c r="Y741" s="907"/>
      <c r="Z741" s="907"/>
      <c r="AA741" s="907"/>
    </row>
    <row r="742" spans="1:27">
      <c r="A742" s="907"/>
      <c r="B742" s="907"/>
      <c r="C742" s="907"/>
      <c r="D742" s="907"/>
      <c r="E742" s="907"/>
      <c r="F742" s="907"/>
      <c r="G742" s="907"/>
      <c r="H742" s="907"/>
      <c r="I742" s="907"/>
      <c r="J742" s="907"/>
      <c r="K742" s="907"/>
      <c r="L742" s="907"/>
      <c r="M742" s="907"/>
      <c r="N742" s="907"/>
      <c r="O742" s="907"/>
      <c r="P742" s="907"/>
      <c r="Q742" s="907"/>
      <c r="R742" s="907"/>
      <c r="S742" s="907"/>
      <c r="T742" s="907"/>
      <c r="U742" s="907"/>
      <c r="V742" s="907"/>
      <c r="W742" s="907"/>
      <c r="X742" s="907"/>
      <c r="Y742" s="907"/>
      <c r="Z742" s="907"/>
      <c r="AA742" s="907"/>
    </row>
    <row r="743" spans="1:27">
      <c r="A743" s="907"/>
      <c r="B743" s="907"/>
      <c r="C743" s="907"/>
      <c r="D743" s="907"/>
      <c r="E743" s="907"/>
      <c r="F743" s="907"/>
      <c r="G743" s="907"/>
      <c r="H743" s="907"/>
      <c r="I743" s="907"/>
      <c r="J743" s="907"/>
      <c r="K743" s="907"/>
      <c r="L743" s="907"/>
      <c r="M743" s="907"/>
      <c r="N743" s="907"/>
      <c r="O743" s="907"/>
      <c r="P743" s="907"/>
      <c r="Q743" s="907"/>
      <c r="R743" s="907"/>
      <c r="S743" s="907"/>
      <c r="T743" s="907"/>
      <c r="U743" s="907"/>
      <c r="V743" s="907"/>
      <c r="W743" s="907"/>
      <c r="X743" s="907"/>
      <c r="Y743" s="907"/>
      <c r="Z743" s="907"/>
      <c r="AA743" s="907"/>
    </row>
    <row r="744" spans="1:27">
      <c r="A744" s="907"/>
      <c r="B744" s="907"/>
      <c r="C744" s="907"/>
      <c r="D744" s="907"/>
      <c r="E744" s="907"/>
      <c r="F744" s="907"/>
      <c r="G744" s="907"/>
      <c r="H744" s="907"/>
      <c r="I744" s="907"/>
      <c r="J744" s="907"/>
      <c r="K744" s="907"/>
      <c r="L744" s="907"/>
      <c r="M744" s="907"/>
      <c r="N744" s="907"/>
      <c r="O744" s="907"/>
      <c r="P744" s="907"/>
      <c r="Q744" s="907"/>
      <c r="R744" s="907"/>
      <c r="S744" s="907"/>
      <c r="T744" s="907"/>
      <c r="U744" s="907"/>
      <c r="V744" s="907"/>
      <c r="W744" s="907"/>
      <c r="X744" s="907"/>
      <c r="Y744" s="907"/>
      <c r="Z744" s="907"/>
      <c r="AA744" s="907"/>
    </row>
    <row r="745" spans="1:27">
      <c r="A745" s="907"/>
      <c r="B745" s="907"/>
      <c r="C745" s="907"/>
      <c r="D745" s="907"/>
      <c r="E745" s="907"/>
      <c r="F745" s="907"/>
      <c r="G745" s="907"/>
      <c r="H745" s="907"/>
      <c r="I745" s="907"/>
      <c r="J745" s="907"/>
      <c r="K745" s="907"/>
      <c r="L745" s="907"/>
      <c r="M745" s="907"/>
      <c r="N745" s="907"/>
      <c r="O745" s="907"/>
      <c r="P745" s="907"/>
      <c r="Q745" s="907"/>
      <c r="R745" s="907"/>
      <c r="S745" s="907"/>
      <c r="T745" s="907"/>
      <c r="U745" s="907"/>
      <c r="V745" s="907"/>
      <c r="W745" s="907"/>
      <c r="X745" s="907"/>
      <c r="Y745" s="907"/>
      <c r="Z745" s="907"/>
      <c r="AA745" s="907"/>
    </row>
    <row r="746" spans="1:27">
      <c r="A746" s="907"/>
      <c r="B746" s="907"/>
      <c r="C746" s="907"/>
      <c r="D746" s="907"/>
      <c r="E746" s="907"/>
      <c r="F746" s="907"/>
      <c r="G746" s="907"/>
      <c r="H746" s="907"/>
      <c r="I746" s="907"/>
      <c r="J746" s="907"/>
      <c r="K746" s="907"/>
      <c r="L746" s="907"/>
      <c r="M746" s="907"/>
      <c r="N746" s="907"/>
      <c r="O746" s="907"/>
      <c r="P746" s="907"/>
      <c r="Q746" s="907"/>
      <c r="R746" s="907"/>
      <c r="S746" s="907"/>
      <c r="T746" s="907"/>
      <c r="U746" s="907"/>
      <c r="V746" s="907"/>
      <c r="W746" s="907"/>
      <c r="X746" s="907"/>
      <c r="Y746" s="907"/>
      <c r="Z746" s="907"/>
      <c r="AA746" s="907"/>
    </row>
    <row r="747" spans="1:27">
      <c r="A747" s="907"/>
      <c r="B747" s="907"/>
      <c r="C747" s="907"/>
      <c r="D747" s="907"/>
      <c r="E747" s="907"/>
      <c r="F747" s="907"/>
      <c r="G747" s="907"/>
      <c r="H747" s="907"/>
      <c r="I747" s="907"/>
      <c r="J747" s="907"/>
      <c r="K747" s="907"/>
      <c r="L747" s="907"/>
      <c r="M747" s="907"/>
      <c r="N747" s="907"/>
      <c r="O747" s="907"/>
      <c r="P747" s="907"/>
      <c r="Q747" s="907"/>
      <c r="R747" s="907"/>
      <c r="S747" s="907"/>
      <c r="T747" s="907"/>
      <c r="U747" s="907"/>
      <c r="V747" s="907"/>
      <c r="W747" s="907"/>
      <c r="X747" s="907"/>
      <c r="Y747" s="907"/>
      <c r="Z747" s="907"/>
      <c r="AA747" s="907"/>
    </row>
    <row r="748" spans="1:27">
      <c r="A748" s="907"/>
      <c r="B748" s="907"/>
      <c r="C748" s="907"/>
      <c r="D748" s="907"/>
      <c r="E748" s="907"/>
      <c r="F748" s="907"/>
      <c r="G748" s="907"/>
      <c r="H748" s="907"/>
      <c r="I748" s="907"/>
      <c r="J748" s="907"/>
      <c r="K748" s="907"/>
      <c r="L748" s="907"/>
      <c r="M748" s="907"/>
      <c r="N748" s="907"/>
      <c r="O748" s="907"/>
      <c r="P748" s="907"/>
      <c r="Q748" s="907"/>
      <c r="R748" s="907"/>
      <c r="S748" s="907"/>
      <c r="T748" s="907"/>
      <c r="U748" s="907"/>
      <c r="V748" s="907"/>
      <c r="W748" s="907"/>
      <c r="X748" s="907"/>
      <c r="Y748" s="907"/>
      <c r="Z748" s="907"/>
      <c r="AA748" s="907"/>
    </row>
    <row r="749" spans="1:27">
      <c r="A749" s="907"/>
      <c r="B749" s="907"/>
      <c r="C749" s="907"/>
      <c r="D749" s="907"/>
      <c r="E749" s="907"/>
      <c r="F749" s="907"/>
      <c r="G749" s="907"/>
      <c r="H749" s="907"/>
      <c r="I749" s="907"/>
      <c r="J749" s="907"/>
      <c r="K749" s="907"/>
      <c r="L749" s="907"/>
      <c r="M749" s="907"/>
      <c r="N749" s="907"/>
      <c r="O749" s="907"/>
      <c r="P749" s="907"/>
      <c r="Q749" s="907"/>
      <c r="R749" s="907"/>
      <c r="S749" s="907"/>
      <c r="T749" s="907"/>
      <c r="U749" s="907"/>
      <c r="V749" s="907"/>
      <c r="W749" s="907"/>
      <c r="X749" s="907"/>
      <c r="Y749" s="907"/>
      <c r="Z749" s="907"/>
      <c r="AA749" s="907"/>
    </row>
    <row r="750" spans="1:27">
      <c r="A750" s="907"/>
      <c r="B750" s="907"/>
      <c r="C750" s="907"/>
      <c r="D750" s="907"/>
      <c r="E750" s="907"/>
      <c r="F750" s="907"/>
      <c r="G750" s="907"/>
      <c r="H750" s="907"/>
      <c r="I750" s="907"/>
      <c r="J750" s="907"/>
      <c r="K750" s="907"/>
      <c r="L750" s="907"/>
      <c r="M750" s="907"/>
      <c r="N750" s="907"/>
      <c r="O750" s="907"/>
      <c r="P750" s="907"/>
      <c r="Q750" s="907"/>
      <c r="R750" s="907"/>
      <c r="S750" s="907"/>
      <c r="T750" s="907"/>
      <c r="U750" s="907"/>
      <c r="V750" s="907"/>
      <c r="W750" s="907"/>
      <c r="X750" s="907"/>
      <c r="Y750" s="907"/>
      <c r="Z750" s="907"/>
      <c r="AA750" s="907"/>
    </row>
    <row r="751" spans="1:27">
      <c r="A751" s="907"/>
      <c r="B751" s="907"/>
      <c r="C751" s="907"/>
      <c r="D751" s="907"/>
      <c r="E751" s="907"/>
      <c r="F751" s="907"/>
      <c r="G751" s="907"/>
      <c r="H751" s="907"/>
      <c r="I751" s="907"/>
      <c r="J751" s="907"/>
      <c r="K751" s="907"/>
      <c r="L751" s="907"/>
      <c r="M751" s="907"/>
      <c r="N751" s="907"/>
      <c r="O751" s="907"/>
      <c r="P751" s="907"/>
      <c r="Q751" s="907"/>
      <c r="R751" s="907"/>
      <c r="S751" s="907"/>
      <c r="T751" s="907"/>
      <c r="U751" s="907"/>
      <c r="V751" s="907"/>
      <c r="W751" s="907"/>
      <c r="X751" s="907"/>
      <c r="Y751" s="907"/>
      <c r="Z751" s="907"/>
      <c r="AA751" s="907"/>
    </row>
    <row r="752" spans="1:27">
      <c r="A752" s="907"/>
      <c r="B752" s="907"/>
      <c r="C752" s="907"/>
      <c r="D752" s="907"/>
      <c r="E752" s="907"/>
      <c r="F752" s="907"/>
      <c r="G752" s="907"/>
      <c r="H752" s="907"/>
      <c r="I752" s="907"/>
      <c r="J752" s="907"/>
      <c r="K752" s="907"/>
      <c r="L752" s="907"/>
      <c r="M752" s="907"/>
      <c r="N752" s="907"/>
      <c r="O752" s="907"/>
      <c r="P752" s="907"/>
      <c r="Q752" s="907"/>
      <c r="R752" s="907"/>
      <c r="S752" s="907"/>
      <c r="T752" s="907"/>
      <c r="U752" s="907"/>
      <c r="V752" s="907"/>
      <c r="W752" s="907"/>
      <c r="X752" s="907"/>
      <c r="Y752" s="907"/>
      <c r="Z752" s="907"/>
      <c r="AA752" s="907"/>
    </row>
    <row r="753" spans="1:27">
      <c r="A753" s="907"/>
      <c r="B753" s="907"/>
      <c r="C753" s="907"/>
      <c r="D753" s="907"/>
      <c r="E753" s="907"/>
      <c r="F753" s="907"/>
      <c r="G753" s="907"/>
      <c r="H753" s="907"/>
      <c r="I753" s="907"/>
      <c r="J753" s="907"/>
      <c r="K753" s="907"/>
      <c r="L753" s="907"/>
      <c r="M753" s="907"/>
      <c r="N753" s="907"/>
      <c r="O753" s="907"/>
      <c r="P753" s="907"/>
      <c r="Q753" s="907"/>
      <c r="R753" s="907"/>
      <c r="S753" s="907"/>
      <c r="T753" s="907"/>
      <c r="U753" s="907"/>
      <c r="V753" s="907"/>
      <c r="W753" s="907"/>
      <c r="X753" s="907"/>
      <c r="Y753" s="907"/>
      <c r="Z753" s="907"/>
      <c r="AA753" s="907"/>
    </row>
    <row r="754" spans="1:27">
      <c r="A754" s="907"/>
      <c r="B754" s="907"/>
      <c r="C754" s="907"/>
      <c r="D754" s="907"/>
      <c r="E754" s="907"/>
      <c r="F754" s="907"/>
      <c r="G754" s="907"/>
      <c r="H754" s="907"/>
      <c r="I754" s="907"/>
      <c r="J754" s="907"/>
      <c r="K754" s="907"/>
      <c r="L754" s="907"/>
      <c r="M754" s="907"/>
      <c r="N754" s="907"/>
      <c r="O754" s="907"/>
      <c r="P754" s="907"/>
      <c r="Q754" s="907"/>
      <c r="R754" s="907"/>
      <c r="S754" s="907"/>
      <c r="T754" s="907"/>
      <c r="U754" s="907"/>
      <c r="V754" s="907"/>
      <c r="W754" s="907"/>
      <c r="X754" s="907"/>
      <c r="Y754" s="907"/>
      <c r="Z754" s="907"/>
      <c r="AA754" s="907"/>
    </row>
    <row r="755" spans="1:27">
      <c r="A755" s="907"/>
      <c r="B755" s="907"/>
      <c r="C755" s="907"/>
      <c r="D755" s="907"/>
      <c r="E755" s="907"/>
      <c r="F755" s="907"/>
      <c r="G755" s="907"/>
      <c r="H755" s="907"/>
      <c r="I755" s="907"/>
      <c r="J755" s="907"/>
      <c r="K755" s="907"/>
      <c r="L755" s="907"/>
      <c r="M755" s="907"/>
      <c r="N755" s="907"/>
      <c r="O755" s="907"/>
      <c r="P755" s="907"/>
      <c r="Q755" s="907"/>
      <c r="R755" s="907"/>
      <c r="S755" s="907"/>
      <c r="T755" s="907"/>
      <c r="U755" s="907"/>
      <c r="V755" s="907"/>
      <c r="W755" s="907"/>
      <c r="X755" s="907"/>
      <c r="Y755" s="907"/>
      <c r="Z755" s="907"/>
      <c r="AA755" s="907"/>
    </row>
    <row r="756" spans="1:27">
      <c r="A756" s="907"/>
      <c r="B756" s="907"/>
      <c r="C756" s="907"/>
      <c r="D756" s="907"/>
      <c r="E756" s="907"/>
      <c r="F756" s="907"/>
      <c r="G756" s="907"/>
      <c r="H756" s="907"/>
      <c r="I756" s="907"/>
      <c r="J756" s="907"/>
      <c r="K756" s="907"/>
      <c r="L756" s="907"/>
      <c r="M756" s="907"/>
      <c r="N756" s="907"/>
      <c r="O756" s="907"/>
      <c r="P756" s="907"/>
      <c r="Q756" s="907"/>
      <c r="R756" s="907"/>
      <c r="S756" s="907"/>
      <c r="T756" s="907"/>
      <c r="U756" s="907"/>
      <c r="V756" s="907"/>
      <c r="W756" s="907"/>
      <c r="X756" s="907"/>
      <c r="Y756" s="907"/>
      <c r="Z756" s="907"/>
      <c r="AA756" s="907"/>
    </row>
    <row r="757" spans="1:27">
      <c r="A757" s="907"/>
      <c r="B757" s="907"/>
      <c r="C757" s="907"/>
      <c r="D757" s="907"/>
      <c r="E757" s="907"/>
      <c r="F757" s="907"/>
      <c r="G757" s="907"/>
      <c r="H757" s="907"/>
      <c r="I757" s="907"/>
      <c r="J757" s="907"/>
      <c r="K757" s="907"/>
      <c r="L757" s="907"/>
      <c r="M757" s="907"/>
      <c r="N757" s="907"/>
      <c r="O757" s="907"/>
      <c r="P757" s="907"/>
      <c r="Q757" s="907"/>
      <c r="R757" s="907"/>
      <c r="S757" s="907"/>
      <c r="T757" s="907"/>
      <c r="U757" s="907"/>
      <c r="V757" s="907"/>
      <c r="W757" s="907"/>
      <c r="X757" s="907"/>
      <c r="Y757" s="907"/>
      <c r="Z757" s="907"/>
      <c r="AA757" s="907"/>
    </row>
    <row r="758" spans="1:27">
      <c r="A758" s="907"/>
      <c r="B758" s="907"/>
      <c r="C758" s="907"/>
      <c r="D758" s="907"/>
      <c r="E758" s="907"/>
      <c r="F758" s="907"/>
      <c r="G758" s="907"/>
      <c r="H758" s="907"/>
      <c r="I758" s="907"/>
      <c r="J758" s="907"/>
      <c r="K758" s="907"/>
      <c r="L758" s="907"/>
      <c r="M758" s="907"/>
      <c r="N758" s="907"/>
      <c r="O758" s="907"/>
      <c r="P758" s="907"/>
      <c r="Q758" s="907"/>
      <c r="R758" s="907"/>
      <c r="S758" s="907"/>
      <c r="T758" s="907"/>
      <c r="U758" s="907"/>
      <c r="V758" s="907"/>
      <c r="W758" s="907"/>
      <c r="X758" s="907"/>
      <c r="Y758" s="907"/>
      <c r="Z758" s="907"/>
      <c r="AA758" s="907"/>
    </row>
    <row r="759" spans="1:27">
      <c r="A759" s="907"/>
      <c r="B759" s="907"/>
      <c r="C759" s="907"/>
      <c r="D759" s="907"/>
      <c r="E759" s="907"/>
      <c r="F759" s="907"/>
      <c r="G759" s="907"/>
      <c r="H759" s="907"/>
      <c r="I759" s="907"/>
      <c r="J759" s="907"/>
      <c r="K759" s="907"/>
      <c r="L759" s="907"/>
      <c r="M759" s="907"/>
      <c r="N759" s="907"/>
      <c r="O759" s="907"/>
      <c r="P759" s="907"/>
      <c r="Q759" s="907"/>
      <c r="R759" s="907"/>
      <c r="S759" s="907"/>
      <c r="T759" s="907"/>
      <c r="U759" s="907"/>
      <c r="V759" s="907"/>
      <c r="W759" s="907"/>
      <c r="X759" s="907"/>
      <c r="Y759" s="907"/>
      <c r="Z759" s="907"/>
      <c r="AA759" s="907"/>
    </row>
    <row r="760" spans="1:27">
      <c r="A760" s="907"/>
      <c r="B760" s="907"/>
      <c r="C760" s="907"/>
      <c r="D760" s="907"/>
      <c r="E760" s="907"/>
      <c r="F760" s="907"/>
      <c r="G760" s="907"/>
      <c r="H760" s="907"/>
      <c r="I760" s="907"/>
      <c r="J760" s="907"/>
      <c r="K760" s="907"/>
      <c r="L760" s="907"/>
      <c r="M760" s="907"/>
      <c r="N760" s="907"/>
      <c r="O760" s="907"/>
      <c r="P760" s="907"/>
      <c r="Q760" s="907"/>
      <c r="R760" s="907"/>
      <c r="S760" s="907"/>
      <c r="T760" s="907"/>
      <c r="U760" s="907"/>
      <c r="V760" s="907"/>
      <c r="W760" s="907"/>
      <c r="X760" s="907"/>
      <c r="Y760" s="907"/>
      <c r="Z760" s="907"/>
      <c r="AA760" s="907"/>
    </row>
    <row r="761" spans="1:27">
      <c r="A761" s="907"/>
      <c r="B761" s="907"/>
      <c r="C761" s="907"/>
      <c r="D761" s="907"/>
      <c r="E761" s="907"/>
      <c r="F761" s="907"/>
      <c r="G761" s="907"/>
      <c r="H761" s="907"/>
      <c r="I761" s="907"/>
      <c r="J761" s="907"/>
      <c r="K761" s="907"/>
      <c r="L761" s="907"/>
      <c r="M761" s="907"/>
      <c r="N761" s="907"/>
      <c r="O761" s="907"/>
      <c r="P761" s="907"/>
      <c r="Q761" s="907"/>
      <c r="R761" s="907"/>
      <c r="S761" s="907"/>
      <c r="T761" s="907"/>
      <c r="U761" s="907"/>
      <c r="V761" s="907"/>
      <c r="W761" s="907"/>
      <c r="X761" s="907"/>
      <c r="Y761" s="907"/>
      <c r="Z761" s="907"/>
      <c r="AA761" s="907"/>
    </row>
    <row r="762" spans="1:27">
      <c r="A762" s="907"/>
      <c r="B762" s="907"/>
      <c r="C762" s="907"/>
      <c r="D762" s="907"/>
      <c r="E762" s="907"/>
      <c r="F762" s="907"/>
      <c r="G762" s="907"/>
      <c r="H762" s="907"/>
      <c r="I762" s="907"/>
      <c r="J762" s="907"/>
      <c r="K762" s="907"/>
      <c r="L762" s="907"/>
      <c r="M762" s="907"/>
      <c r="N762" s="907"/>
      <c r="O762" s="907"/>
      <c r="P762" s="907"/>
      <c r="Q762" s="907"/>
      <c r="R762" s="907"/>
      <c r="S762" s="907"/>
      <c r="T762" s="907"/>
      <c r="U762" s="907"/>
      <c r="V762" s="907"/>
      <c r="W762" s="907"/>
      <c r="X762" s="907"/>
      <c r="Y762" s="907"/>
      <c r="Z762" s="907"/>
      <c r="AA762" s="907"/>
    </row>
    <row r="763" spans="1:27">
      <c r="A763" s="907"/>
      <c r="B763" s="907"/>
      <c r="C763" s="907"/>
      <c r="D763" s="907"/>
      <c r="E763" s="907"/>
      <c r="F763" s="907"/>
      <c r="G763" s="907"/>
      <c r="H763" s="907"/>
      <c r="I763" s="907"/>
      <c r="J763" s="907"/>
      <c r="K763" s="907"/>
      <c r="L763" s="907"/>
      <c r="M763" s="907"/>
      <c r="N763" s="907"/>
      <c r="O763" s="907"/>
      <c r="P763" s="907"/>
      <c r="Q763" s="907"/>
      <c r="R763" s="907"/>
      <c r="S763" s="907"/>
      <c r="T763" s="907"/>
      <c r="U763" s="907"/>
      <c r="V763" s="907"/>
      <c r="W763" s="907"/>
      <c r="X763" s="907"/>
      <c r="Y763" s="907"/>
      <c r="Z763" s="907"/>
      <c r="AA763" s="907"/>
    </row>
    <row r="764" spans="1:27">
      <c r="A764" s="907"/>
      <c r="B764" s="907"/>
      <c r="C764" s="907"/>
      <c r="D764" s="907"/>
      <c r="E764" s="907"/>
      <c r="F764" s="907"/>
      <c r="G764" s="907"/>
      <c r="H764" s="907"/>
      <c r="I764" s="907"/>
      <c r="J764" s="907"/>
      <c r="K764" s="907"/>
      <c r="L764" s="907"/>
      <c r="M764" s="907"/>
      <c r="N764" s="907"/>
      <c r="O764" s="907"/>
      <c r="P764" s="907"/>
      <c r="Q764" s="907"/>
      <c r="R764" s="907"/>
      <c r="S764" s="907"/>
      <c r="T764" s="907"/>
      <c r="U764" s="907"/>
      <c r="V764" s="907"/>
      <c r="W764" s="907"/>
      <c r="X764" s="907"/>
      <c r="Y764" s="907"/>
      <c r="Z764" s="907"/>
      <c r="AA764" s="907"/>
    </row>
    <row r="765" spans="1:27">
      <c r="A765" s="907"/>
      <c r="B765" s="907"/>
      <c r="C765" s="907"/>
      <c r="D765" s="907"/>
      <c r="E765" s="907"/>
      <c r="F765" s="907"/>
      <c r="G765" s="907"/>
      <c r="H765" s="907"/>
      <c r="I765" s="907"/>
      <c r="J765" s="907"/>
      <c r="K765" s="907"/>
      <c r="L765" s="907"/>
      <c r="M765" s="907"/>
      <c r="N765" s="907"/>
      <c r="O765" s="907"/>
      <c r="P765" s="907"/>
      <c r="Q765" s="907"/>
      <c r="R765" s="907"/>
      <c r="S765" s="907"/>
      <c r="T765" s="907"/>
      <c r="U765" s="907"/>
      <c r="V765" s="907"/>
      <c r="W765" s="907"/>
      <c r="X765" s="907"/>
      <c r="Y765" s="907"/>
      <c r="Z765" s="907"/>
      <c r="AA765" s="907"/>
    </row>
    <row r="766" spans="1:27">
      <c r="A766" s="907"/>
      <c r="B766" s="907"/>
      <c r="C766" s="907"/>
      <c r="D766" s="907"/>
      <c r="E766" s="907"/>
      <c r="F766" s="907"/>
      <c r="G766" s="907"/>
      <c r="H766" s="907"/>
      <c r="I766" s="907"/>
      <c r="J766" s="907"/>
      <c r="K766" s="907"/>
      <c r="L766" s="907"/>
      <c r="M766" s="907"/>
      <c r="N766" s="907"/>
      <c r="O766" s="907"/>
      <c r="P766" s="907"/>
      <c r="Q766" s="907"/>
      <c r="R766" s="907"/>
      <c r="S766" s="907"/>
      <c r="T766" s="907"/>
      <c r="U766" s="907"/>
      <c r="V766" s="907"/>
      <c r="W766" s="907"/>
      <c r="X766" s="907"/>
      <c r="Y766" s="907"/>
      <c r="Z766" s="907"/>
      <c r="AA766" s="907"/>
    </row>
    <row r="767" spans="1:27">
      <c r="A767" s="907"/>
      <c r="B767" s="907"/>
      <c r="C767" s="907"/>
      <c r="D767" s="907"/>
      <c r="E767" s="907"/>
      <c r="F767" s="907"/>
      <c r="G767" s="907"/>
      <c r="H767" s="907"/>
      <c r="I767" s="907"/>
      <c r="J767" s="907"/>
      <c r="K767" s="907"/>
      <c r="L767" s="907"/>
      <c r="M767" s="907"/>
      <c r="N767" s="907"/>
      <c r="O767" s="907"/>
      <c r="P767" s="907"/>
      <c r="Q767" s="907"/>
      <c r="R767" s="907"/>
      <c r="S767" s="907"/>
      <c r="T767" s="907"/>
      <c r="U767" s="907"/>
      <c r="V767" s="907"/>
      <c r="W767" s="907"/>
      <c r="X767" s="907"/>
      <c r="Y767" s="907"/>
      <c r="Z767" s="907"/>
      <c r="AA767" s="907"/>
    </row>
    <row r="768" spans="1:27">
      <c r="A768" s="907"/>
      <c r="B768" s="907"/>
      <c r="C768" s="907"/>
      <c r="D768" s="907"/>
      <c r="E768" s="907"/>
      <c r="F768" s="907"/>
      <c r="G768" s="907"/>
      <c r="H768" s="907"/>
      <c r="I768" s="907"/>
      <c r="J768" s="907"/>
      <c r="K768" s="907"/>
      <c r="L768" s="907"/>
      <c r="M768" s="907"/>
      <c r="N768" s="907"/>
      <c r="O768" s="907"/>
      <c r="P768" s="907"/>
      <c r="Q768" s="907"/>
      <c r="R768" s="907"/>
      <c r="S768" s="907"/>
      <c r="T768" s="907"/>
      <c r="U768" s="907"/>
      <c r="V768" s="907"/>
      <c r="W768" s="907"/>
      <c r="X768" s="907"/>
      <c r="Y768" s="907"/>
      <c r="Z768" s="907"/>
      <c r="AA768" s="907"/>
    </row>
    <row r="769" spans="1:27">
      <c r="A769" s="907"/>
      <c r="B769" s="907"/>
      <c r="C769" s="907"/>
      <c r="D769" s="907"/>
      <c r="E769" s="907"/>
      <c r="F769" s="907"/>
      <c r="G769" s="907"/>
      <c r="H769" s="907"/>
      <c r="I769" s="907"/>
      <c r="J769" s="907"/>
      <c r="K769" s="907"/>
      <c r="L769" s="907"/>
      <c r="M769" s="907"/>
      <c r="N769" s="907"/>
      <c r="O769" s="907"/>
      <c r="P769" s="907"/>
      <c r="Q769" s="907"/>
      <c r="R769" s="907"/>
      <c r="S769" s="907"/>
      <c r="T769" s="907"/>
      <c r="U769" s="907"/>
      <c r="V769" s="907"/>
      <c r="W769" s="907"/>
      <c r="X769" s="907"/>
      <c r="Y769" s="907"/>
      <c r="Z769" s="907"/>
      <c r="AA769" s="907"/>
    </row>
    <row r="770" spans="1:27">
      <c r="A770" s="907"/>
      <c r="B770" s="907"/>
      <c r="C770" s="907"/>
      <c r="D770" s="907"/>
      <c r="E770" s="907"/>
      <c r="F770" s="907"/>
      <c r="G770" s="907"/>
      <c r="H770" s="907"/>
      <c r="I770" s="907"/>
      <c r="J770" s="907"/>
      <c r="K770" s="907"/>
      <c r="L770" s="907"/>
      <c r="M770" s="907"/>
      <c r="N770" s="907"/>
      <c r="O770" s="907"/>
      <c r="P770" s="907"/>
      <c r="Q770" s="907"/>
      <c r="R770" s="907"/>
      <c r="S770" s="907"/>
      <c r="T770" s="907"/>
      <c r="U770" s="907"/>
      <c r="V770" s="907"/>
      <c r="W770" s="907"/>
      <c r="X770" s="907"/>
      <c r="Y770" s="907"/>
      <c r="Z770" s="907"/>
      <c r="AA770" s="907"/>
    </row>
    <row r="771" spans="1:27">
      <c r="A771" s="907"/>
      <c r="B771" s="907"/>
      <c r="C771" s="907"/>
      <c r="D771" s="907"/>
      <c r="E771" s="907"/>
      <c r="F771" s="907"/>
      <c r="G771" s="907"/>
      <c r="H771" s="907"/>
      <c r="I771" s="907"/>
      <c r="J771" s="907"/>
      <c r="K771" s="907"/>
      <c r="L771" s="907"/>
      <c r="M771" s="907"/>
      <c r="N771" s="907"/>
      <c r="O771" s="907"/>
      <c r="P771" s="907"/>
      <c r="Q771" s="907"/>
      <c r="R771" s="907"/>
      <c r="S771" s="907"/>
      <c r="T771" s="907"/>
      <c r="U771" s="907"/>
      <c r="V771" s="907"/>
      <c r="W771" s="907"/>
      <c r="X771" s="907"/>
      <c r="Y771" s="907"/>
      <c r="Z771" s="907"/>
      <c r="AA771" s="907"/>
    </row>
    <row r="772" spans="1:27">
      <c r="A772" s="907"/>
      <c r="B772" s="907"/>
      <c r="C772" s="907"/>
      <c r="D772" s="907"/>
      <c r="E772" s="907"/>
      <c r="F772" s="907"/>
      <c r="G772" s="907"/>
      <c r="H772" s="907"/>
      <c r="I772" s="907"/>
      <c r="J772" s="907"/>
      <c r="K772" s="907"/>
      <c r="L772" s="907"/>
      <c r="M772" s="907"/>
      <c r="N772" s="907"/>
      <c r="O772" s="907"/>
      <c r="P772" s="907"/>
      <c r="Q772" s="907"/>
      <c r="R772" s="907"/>
      <c r="S772" s="907"/>
      <c r="T772" s="907"/>
      <c r="U772" s="907"/>
      <c r="V772" s="907"/>
      <c r="W772" s="907"/>
      <c r="X772" s="907"/>
      <c r="Y772" s="907"/>
      <c r="Z772" s="907"/>
      <c r="AA772" s="907"/>
    </row>
    <row r="773" spans="1:27">
      <c r="A773" s="907"/>
      <c r="B773" s="907"/>
      <c r="C773" s="907"/>
      <c r="D773" s="907"/>
      <c r="E773" s="907"/>
      <c r="F773" s="907"/>
      <c r="G773" s="907"/>
      <c r="H773" s="907"/>
      <c r="I773" s="907"/>
      <c r="J773" s="907"/>
      <c r="K773" s="907"/>
      <c r="L773" s="907"/>
      <c r="M773" s="907"/>
      <c r="N773" s="907"/>
      <c r="O773" s="907"/>
      <c r="P773" s="907"/>
      <c r="Q773" s="907"/>
      <c r="R773" s="907"/>
      <c r="S773" s="907"/>
      <c r="T773" s="907"/>
      <c r="U773" s="907"/>
      <c r="V773" s="907"/>
      <c r="W773" s="907"/>
      <c r="X773" s="907"/>
      <c r="Y773" s="907"/>
      <c r="Z773" s="907"/>
      <c r="AA773" s="907"/>
    </row>
    <row r="774" spans="1:27">
      <c r="A774" s="907"/>
      <c r="B774" s="907"/>
      <c r="C774" s="907"/>
      <c r="D774" s="907"/>
      <c r="E774" s="907"/>
      <c r="F774" s="907"/>
      <c r="G774" s="907"/>
      <c r="H774" s="907"/>
      <c r="I774" s="907"/>
      <c r="J774" s="907"/>
      <c r="K774" s="907"/>
      <c r="L774" s="907"/>
      <c r="M774" s="907"/>
      <c r="N774" s="907"/>
      <c r="O774" s="907"/>
      <c r="P774" s="907"/>
      <c r="Q774" s="907"/>
      <c r="R774" s="907"/>
      <c r="S774" s="907"/>
      <c r="T774" s="907"/>
      <c r="U774" s="907"/>
      <c r="V774" s="907"/>
      <c r="W774" s="907"/>
      <c r="X774" s="907"/>
      <c r="Y774" s="907"/>
      <c r="Z774" s="907"/>
      <c r="AA774" s="907"/>
    </row>
    <row r="775" spans="1:27">
      <c r="A775" s="907"/>
      <c r="B775" s="907"/>
      <c r="C775" s="907"/>
      <c r="D775" s="907"/>
      <c r="E775" s="907"/>
      <c r="F775" s="907"/>
      <c r="G775" s="907"/>
      <c r="H775" s="907"/>
      <c r="I775" s="907"/>
      <c r="J775" s="907"/>
      <c r="K775" s="907"/>
      <c r="L775" s="907"/>
      <c r="M775" s="907"/>
      <c r="N775" s="907"/>
      <c r="O775" s="907"/>
      <c r="P775" s="907"/>
      <c r="Q775" s="907"/>
      <c r="R775" s="907"/>
      <c r="S775" s="907"/>
      <c r="T775" s="907"/>
      <c r="U775" s="907"/>
      <c r="V775" s="907"/>
      <c r="W775" s="907"/>
      <c r="X775" s="907"/>
      <c r="Y775" s="907"/>
      <c r="Z775" s="907"/>
      <c r="AA775" s="907"/>
    </row>
    <row r="776" spans="1:27">
      <c r="A776" s="907"/>
      <c r="B776" s="907"/>
      <c r="C776" s="907"/>
      <c r="D776" s="907"/>
      <c r="E776" s="907"/>
      <c r="F776" s="907"/>
      <c r="G776" s="907"/>
      <c r="H776" s="907"/>
      <c r="I776" s="907"/>
      <c r="J776" s="907"/>
      <c r="K776" s="907"/>
      <c r="L776" s="907"/>
      <c r="M776" s="907"/>
      <c r="N776" s="907"/>
      <c r="O776" s="907"/>
      <c r="P776" s="907"/>
      <c r="Q776" s="907"/>
      <c r="R776" s="907"/>
      <c r="S776" s="907"/>
      <c r="T776" s="907"/>
      <c r="U776" s="907"/>
      <c r="V776" s="907"/>
      <c r="W776" s="907"/>
      <c r="X776" s="907"/>
      <c r="Y776" s="907"/>
      <c r="Z776" s="907"/>
      <c r="AA776" s="907"/>
    </row>
    <row r="777" spans="1:27">
      <c r="A777" s="907"/>
      <c r="B777" s="907"/>
      <c r="C777" s="907"/>
      <c r="D777" s="907"/>
      <c r="E777" s="907"/>
      <c r="F777" s="907"/>
      <c r="G777" s="907"/>
      <c r="H777" s="907"/>
      <c r="I777" s="907"/>
      <c r="J777" s="907"/>
      <c r="K777" s="907"/>
      <c r="L777" s="907"/>
      <c r="M777" s="907"/>
      <c r="N777" s="907"/>
      <c r="O777" s="907"/>
      <c r="P777" s="907"/>
      <c r="Q777" s="907"/>
      <c r="R777" s="907"/>
      <c r="S777" s="907"/>
      <c r="T777" s="907"/>
      <c r="U777" s="907"/>
      <c r="V777" s="907"/>
      <c r="W777" s="907"/>
      <c r="X777" s="907"/>
      <c r="Y777" s="907"/>
      <c r="Z777" s="907"/>
      <c r="AA777" s="907"/>
    </row>
    <row r="778" spans="1:27">
      <c r="A778" s="907"/>
      <c r="B778" s="907"/>
      <c r="C778" s="907"/>
      <c r="D778" s="907"/>
      <c r="E778" s="907"/>
      <c r="F778" s="907"/>
      <c r="G778" s="907"/>
      <c r="H778" s="907"/>
      <c r="I778" s="907"/>
      <c r="J778" s="907"/>
      <c r="K778" s="907"/>
      <c r="L778" s="907"/>
      <c r="M778" s="907"/>
      <c r="N778" s="907"/>
      <c r="O778" s="907"/>
      <c r="P778" s="907"/>
      <c r="Q778" s="907"/>
      <c r="R778" s="907"/>
      <c r="S778" s="907"/>
      <c r="T778" s="907"/>
      <c r="U778" s="907"/>
      <c r="V778" s="907"/>
      <c r="W778" s="907"/>
      <c r="X778" s="907"/>
      <c r="Y778" s="907"/>
      <c r="Z778" s="907"/>
      <c r="AA778" s="907"/>
    </row>
  </sheetData>
  <mergeCells count="10">
    <mergeCell ref="A11:A15"/>
    <mergeCell ref="A16:A18"/>
    <mergeCell ref="A4:A5"/>
    <mergeCell ref="N4:N5"/>
    <mergeCell ref="A7:A8"/>
    <mergeCell ref="N7:N8"/>
    <mergeCell ref="A9:A10"/>
    <mergeCell ref="N9:N10"/>
    <mergeCell ref="N11:N15"/>
    <mergeCell ref="N16:N18"/>
  </mergeCells>
  <phoneticPr fontId="135"/>
  <conditionalFormatting sqref="D1">
    <cfRule type="expression" dxfId="9" priority="1">
      <formula>$AF1="退職"</formula>
    </cfRule>
    <cfRule type="expression" dxfId="8" priority="2">
      <formula>$AE1="退職"</formula>
    </cfRule>
  </conditionalFormatting>
  <printOptions horizontalCentered="1" gridLines="1"/>
  <pageMargins left="0.25" right="0.25" top="0.75" bottom="0.75" header="0" footer="0"/>
  <pageSetup paperSize="9"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AC814"/>
  <sheetViews>
    <sheetView workbookViewId="0"/>
  </sheetViews>
  <sheetFormatPr defaultColWidth="12.6328125" defaultRowHeight="15" customHeight="1"/>
  <cols>
    <col min="1" max="1" width="6.453125" customWidth="1"/>
    <col min="2" max="2" width="4" customWidth="1"/>
    <col min="3" max="3" width="6.453125" customWidth="1"/>
    <col min="4" max="4" width="13.453125" customWidth="1"/>
    <col min="5" max="5" width="37.7265625" customWidth="1"/>
    <col min="6" max="6" width="4.6328125" customWidth="1"/>
    <col min="7" max="7" width="9.90625" customWidth="1"/>
    <col min="8" max="8" width="4.6328125" customWidth="1"/>
    <col min="9" max="9" width="12" customWidth="1"/>
    <col min="10" max="10" width="9.90625" customWidth="1"/>
    <col min="11" max="11" width="12" customWidth="1"/>
    <col min="12" max="12" width="8.36328125" customWidth="1"/>
    <col min="13" max="13" width="8.36328125" hidden="1" customWidth="1"/>
    <col min="14" max="14" width="15.36328125" customWidth="1"/>
    <col min="15" max="15" width="20.26953125" customWidth="1"/>
    <col min="16" max="16" width="9.90625" customWidth="1"/>
    <col min="17" max="17" width="8.36328125" customWidth="1"/>
    <col min="18" max="18" width="12" customWidth="1"/>
    <col min="19" max="29" width="11.6328125" customWidth="1"/>
  </cols>
  <sheetData>
    <row r="1" spans="1:29">
      <c r="A1" s="907" t="s">
        <v>4441</v>
      </c>
      <c r="B1" s="906"/>
      <c r="C1" s="907"/>
      <c r="D1" s="908" t="s">
        <v>630</v>
      </c>
      <c r="E1" s="907"/>
      <c r="F1" s="907"/>
      <c r="G1" s="907"/>
      <c r="H1" s="907"/>
      <c r="I1" s="907"/>
      <c r="J1" s="907"/>
      <c r="K1" s="1216">
        <f ca="1">COUNTA(C4:C31)</f>
        <v>3</v>
      </c>
      <c r="L1" s="907" t="s">
        <v>4421</v>
      </c>
      <c r="M1" s="907"/>
      <c r="N1" s="907" t="s">
        <v>4415</v>
      </c>
      <c r="O1" s="907"/>
      <c r="P1" s="907"/>
      <c r="Q1" s="907"/>
      <c r="R1" s="1249"/>
      <c r="S1" s="1250"/>
      <c r="T1" s="907"/>
      <c r="U1" s="907"/>
      <c r="V1" s="907"/>
      <c r="W1" s="907"/>
      <c r="X1" s="907"/>
      <c r="Y1" s="907"/>
      <c r="Z1" s="907"/>
      <c r="AA1" s="907"/>
      <c r="AB1" s="907"/>
      <c r="AC1" s="907"/>
    </row>
    <row r="2" spans="1:29">
      <c r="A2" s="907"/>
      <c r="B2" s="906"/>
      <c r="C2" s="907"/>
      <c r="D2" s="907" t="s">
        <v>4442</v>
      </c>
      <c r="E2" s="907"/>
      <c r="F2" s="907"/>
      <c r="G2" s="907"/>
      <c r="H2" s="907"/>
      <c r="I2" s="907"/>
      <c r="J2" s="907"/>
      <c r="K2" s="907" t="s">
        <v>4443</v>
      </c>
      <c r="L2" s="907"/>
      <c r="M2" s="907"/>
      <c r="N2" s="907"/>
      <c r="O2" s="907"/>
      <c r="P2" s="907"/>
      <c r="Q2" s="907"/>
      <c r="R2" s="1256"/>
      <c r="S2" s="1257"/>
      <c r="T2" s="907"/>
      <c r="U2" s="907"/>
      <c r="V2" s="907"/>
      <c r="W2" s="907"/>
      <c r="X2" s="907"/>
      <c r="Y2" s="907"/>
      <c r="AA2" s="1249"/>
      <c r="AB2" s="1250"/>
      <c r="AC2" s="907"/>
    </row>
    <row r="3" spans="1:29">
      <c r="A3" s="1251" t="s">
        <v>4261</v>
      </c>
      <c r="B3" s="1252" t="str">
        <f ca="1">IFERROR(__xludf.DUMMYFUNCTION("QUERY('管理表'!A:AP,""select B,C,D,G,J,K,L,N,O,Q,T where ((C = '津吉' and R = '""&amp;$D$1&amp;$N4&amp;""'and S = '""&amp;$A4&amp;""')) and not(AH = '退職')"",1)"),"No")</f>
        <v>No</v>
      </c>
      <c r="C3" s="1252" t="str">
        <f ca="1">IFERROR(__xludf.DUMMYFUNCTION("""COMPUTED_VALUE"""),"勤務地")</f>
        <v>勤務地</v>
      </c>
      <c r="D3" s="1252" t="str">
        <f ca="1">IFERROR(__xludf.DUMMYFUNCTION("""COMPUTED_VALUE"""),"国籍")</f>
        <v>国籍</v>
      </c>
      <c r="E3" s="1252" t="str">
        <f ca="1">IFERROR(__xludf.DUMMYFUNCTION("""COMPUTED_VALUE"""),"フリガナ")</f>
        <v>フリガナ</v>
      </c>
      <c r="F3" s="1252" t="str">
        <f ca="1">IFERROR(__xludf.DUMMYFUNCTION("""COMPUTED_VALUE"""),"性別")</f>
        <v>性別</v>
      </c>
      <c r="G3" s="1252" t="str">
        <f ca="1">IFERROR(__xludf.DUMMYFUNCTION("""COMPUTED_VALUE"""),"生年月日")</f>
        <v>生年月日</v>
      </c>
      <c r="H3" s="1252" t="str">
        <f ca="1">IFERROR(__xludf.DUMMYFUNCTION("""COMPUTED_VALUE"""),"年齢")</f>
        <v>年齢</v>
      </c>
      <c r="I3" s="1252" t="str">
        <f ca="1">IFERROR(__xludf.DUMMYFUNCTION("""COMPUTED_VALUE"""),"登録支援機関")</f>
        <v>登録支援機関</v>
      </c>
      <c r="J3" s="1252" t="str">
        <f ca="1">IFERROR(__xludf.DUMMYFUNCTION("""COMPUTED_VALUE"""),"入社日")</f>
        <v>入社日</v>
      </c>
      <c r="K3" s="1252" t="str">
        <f ca="1">IFERROR(__xludf.DUMMYFUNCTION("""COMPUTED_VALUE"""),"実習区分")</f>
        <v>実習区分</v>
      </c>
      <c r="L3" s="1253" t="str">
        <f ca="1">IFERROR(__xludf.DUMMYFUNCTION("""COMPUTED_VALUE"""),"家賃負担")</f>
        <v>家賃負担</v>
      </c>
      <c r="M3" s="1252"/>
      <c r="N3" s="1254" t="s">
        <v>4262</v>
      </c>
      <c r="O3" s="1304" t="s">
        <v>4444</v>
      </c>
      <c r="P3" s="1216"/>
      <c r="Q3" s="907"/>
      <c r="R3" s="1256"/>
      <c r="S3" s="1257"/>
      <c r="T3" s="1249"/>
      <c r="U3" s="1250"/>
      <c r="V3" s="907"/>
      <c r="W3" s="907"/>
      <c r="X3" s="907"/>
      <c r="Y3" s="907"/>
      <c r="AA3" s="1256"/>
      <c r="AB3" s="1257"/>
      <c r="AC3" s="907"/>
    </row>
    <row r="4" spans="1:29">
      <c r="A4" s="1673" t="s">
        <v>4417</v>
      </c>
      <c r="B4" s="1302" t="str">
        <f ca="1">IFERROR(__xludf.DUMMYFUNCTION("QUERY('管理表'!A:AP,""select B,C,D,G,J,K,L,N,O,Q,T where ((C = '津吉' and R = '""&amp;$D$1&amp;""' and S = '""&amp;$N$4&amp;""')) and not(AH = '退職')"",0)"),"#N/A")</f>
        <v>#N/A</v>
      </c>
      <c r="C4" s="1302"/>
      <c r="D4" s="1302"/>
      <c r="E4" s="1302" t="s">
        <v>2067</v>
      </c>
      <c r="F4" s="1302"/>
      <c r="G4" s="1302"/>
      <c r="H4" s="1302"/>
      <c r="I4" s="1302"/>
      <c r="J4" s="1302"/>
      <c r="K4" s="1302"/>
      <c r="L4" s="1303"/>
      <c r="M4" s="1260"/>
      <c r="N4" s="1675" t="s">
        <v>764</v>
      </c>
      <c r="O4" s="1304" t="s">
        <v>4445</v>
      </c>
      <c r="P4" s="1216"/>
      <c r="Q4" s="907"/>
      <c r="R4" s="1256" t="s">
        <v>4446</v>
      </c>
      <c r="S4" s="1257"/>
      <c r="T4" s="1256"/>
      <c r="U4" s="1257"/>
      <c r="V4" s="907"/>
      <c r="W4" s="907"/>
      <c r="X4" s="907"/>
      <c r="Y4" s="907"/>
      <c r="AA4" s="1256"/>
      <c r="AB4" s="1257"/>
      <c r="AC4" s="907"/>
    </row>
    <row r="5" spans="1:29">
      <c r="A5" s="1674"/>
      <c r="B5" s="943"/>
      <c r="C5" s="943"/>
      <c r="D5" s="943"/>
      <c r="E5" s="943" t="s">
        <v>2044</v>
      </c>
      <c r="F5" s="943"/>
      <c r="G5" s="943"/>
      <c r="H5" s="943"/>
      <c r="I5" s="943"/>
      <c r="J5" s="943"/>
      <c r="K5" s="943"/>
      <c r="L5" s="1330"/>
      <c r="M5" s="1267"/>
      <c r="N5" s="1667"/>
      <c r="O5" s="964" t="s">
        <v>4447</v>
      </c>
      <c r="P5" s="907"/>
      <c r="Q5" s="907"/>
      <c r="R5" s="1256"/>
      <c r="S5" s="1257"/>
      <c r="T5" s="1256"/>
      <c r="U5" s="1257"/>
      <c r="V5" s="907"/>
      <c r="W5" s="907"/>
      <c r="X5" s="907"/>
      <c r="Y5" s="907"/>
      <c r="AA5" s="1256"/>
      <c r="AB5" s="1257"/>
      <c r="AC5" s="907"/>
    </row>
    <row r="6" spans="1:29">
      <c r="A6" s="1676" t="s">
        <v>4418</v>
      </c>
      <c r="B6" s="923" t="str">
        <f ca="1">IFERROR(__xludf.DUMMYFUNCTION("QUERY('管理表'!A:AP,""select B,C,D,G,J,K,L,N,O,Q,T where ((C = '津吉' and R = '""&amp;$D$1&amp;""' and S = '""&amp;$N$6&amp;""')) and not(AH = '退職')"",0)"),"#N/A")</f>
        <v>#N/A</v>
      </c>
      <c r="C6" s="923"/>
      <c r="D6" s="923"/>
      <c r="E6" s="1128" t="s">
        <v>2056</v>
      </c>
      <c r="F6" s="923"/>
      <c r="G6" s="923"/>
      <c r="H6" s="923"/>
      <c r="I6" s="923"/>
      <c r="J6" s="923"/>
      <c r="K6" s="923"/>
      <c r="L6" s="1269"/>
      <c r="M6" s="1267"/>
      <c r="N6" s="1270" t="s">
        <v>4448</v>
      </c>
      <c r="O6" s="964" t="s">
        <v>4449</v>
      </c>
      <c r="R6" s="1256"/>
      <c r="S6" s="1257"/>
      <c r="T6" s="1256"/>
      <c r="U6" s="1257"/>
      <c r="V6" s="907"/>
      <c r="W6" s="1249"/>
      <c r="X6" s="1273"/>
      <c r="Y6" s="1250"/>
      <c r="AA6" s="1256"/>
      <c r="AB6" s="1257"/>
      <c r="AC6" s="907"/>
    </row>
    <row r="7" spans="1:29">
      <c r="A7" s="1674"/>
      <c r="B7" s="923"/>
      <c r="C7" s="923"/>
      <c r="D7" s="923"/>
      <c r="E7" s="1128" t="s">
        <v>2031</v>
      </c>
      <c r="F7" s="923"/>
      <c r="G7" s="923"/>
      <c r="H7" s="923"/>
      <c r="I7" s="923"/>
      <c r="J7" s="923"/>
      <c r="K7" s="923"/>
      <c r="L7" s="1269"/>
      <c r="M7" s="1267"/>
      <c r="N7" s="1270"/>
      <c r="O7" s="1068"/>
      <c r="R7" s="1256"/>
      <c r="S7" s="1257"/>
      <c r="T7" s="1256"/>
      <c r="U7" s="1257"/>
      <c r="V7" s="907"/>
      <c r="W7" s="1256"/>
      <c r="X7" s="907"/>
      <c r="Y7" s="1257"/>
      <c r="AA7" s="1256"/>
      <c r="AB7" s="1257"/>
      <c r="AC7" s="907"/>
    </row>
    <row r="8" spans="1:29">
      <c r="A8" s="1676" t="s">
        <v>4450</v>
      </c>
      <c r="B8" s="923"/>
      <c r="C8" s="923"/>
      <c r="D8" s="923"/>
      <c r="E8" s="1128" t="s">
        <v>1961</v>
      </c>
      <c r="F8" s="923"/>
      <c r="G8" s="923"/>
      <c r="H8" s="923"/>
      <c r="I8" s="923"/>
      <c r="J8" s="923"/>
      <c r="K8" s="923"/>
      <c r="L8" s="1269"/>
      <c r="M8" s="1267"/>
      <c r="N8" s="1270"/>
      <c r="O8" s="1068"/>
      <c r="R8" s="1331" t="s">
        <v>4451</v>
      </c>
      <c r="S8" s="1257"/>
      <c r="T8" s="1256"/>
      <c r="U8" s="1257"/>
      <c r="V8" s="907"/>
      <c r="W8" s="1256"/>
      <c r="X8" s="907"/>
      <c r="Y8" s="1257"/>
      <c r="AA8" s="1256"/>
      <c r="AB8" s="1257"/>
      <c r="AC8" s="907"/>
    </row>
    <row r="9" spans="1:29">
      <c r="A9" s="1677"/>
      <c r="B9" s="923"/>
      <c r="C9" s="923"/>
      <c r="D9" s="923"/>
      <c r="E9" s="1128" t="s">
        <v>1938</v>
      </c>
      <c r="F9" s="923"/>
      <c r="G9" s="923"/>
      <c r="H9" s="923"/>
      <c r="I9" s="923"/>
      <c r="J9" s="923"/>
      <c r="K9" s="923"/>
      <c r="L9" s="1269"/>
      <c r="M9" s="1267"/>
      <c r="N9" s="1270"/>
      <c r="O9" s="1068"/>
      <c r="R9" s="1256"/>
      <c r="S9" s="1257"/>
      <c r="T9" s="1256"/>
      <c r="U9" s="1257"/>
      <c r="V9" s="907"/>
      <c r="W9" s="1256"/>
      <c r="X9" s="907"/>
      <c r="Y9" s="1257"/>
      <c r="AA9" s="1256"/>
      <c r="AB9" s="1257"/>
      <c r="AC9" s="907"/>
    </row>
    <row r="10" spans="1:29">
      <c r="A10" s="1674"/>
      <c r="B10" s="923"/>
      <c r="C10" s="923"/>
      <c r="D10" s="923"/>
      <c r="E10" s="1128" t="s">
        <v>1930</v>
      </c>
      <c r="F10" s="923"/>
      <c r="G10" s="923"/>
      <c r="H10" s="923"/>
      <c r="I10" s="923"/>
      <c r="J10" s="923"/>
      <c r="K10" s="923"/>
      <c r="L10" s="1269"/>
      <c r="M10" s="1267"/>
      <c r="N10" s="1270"/>
      <c r="O10" s="1068"/>
      <c r="R10" s="1256"/>
      <c r="S10" s="1257"/>
      <c r="T10" s="1256"/>
      <c r="U10" s="1257"/>
      <c r="V10" s="907"/>
      <c r="W10" s="1256"/>
      <c r="X10" s="907"/>
      <c r="Y10" s="1257"/>
      <c r="AA10" s="1256"/>
      <c r="AB10" s="1257"/>
      <c r="AC10" s="907"/>
    </row>
    <row r="11" spans="1:29">
      <c r="A11" s="1676" t="s">
        <v>4417</v>
      </c>
      <c r="B11" s="923"/>
      <c r="C11" s="923"/>
      <c r="D11" s="923"/>
      <c r="E11" s="1128" t="s">
        <v>1969</v>
      </c>
      <c r="F11" s="923"/>
      <c r="G11" s="923"/>
      <c r="H11" s="923"/>
      <c r="I11" s="923"/>
      <c r="J11" s="923"/>
      <c r="K11" s="923"/>
      <c r="L11" s="1269"/>
      <c r="M11" s="1267"/>
      <c r="N11" s="1665" t="s">
        <v>771</v>
      </c>
      <c r="O11" s="1068" t="s">
        <v>4452</v>
      </c>
      <c r="R11" s="1256"/>
      <c r="S11" s="1257"/>
      <c r="T11" s="1256"/>
      <c r="U11" s="1257"/>
      <c r="V11" s="907"/>
      <c r="W11" s="1256"/>
      <c r="X11" s="907"/>
      <c r="Y11" s="1257"/>
      <c r="AA11" s="1256"/>
      <c r="AB11" s="1257"/>
      <c r="AC11" s="907"/>
    </row>
    <row r="12" spans="1:29">
      <c r="A12" s="1674"/>
      <c r="B12" s="943"/>
      <c r="C12" s="943"/>
      <c r="D12" s="943"/>
      <c r="E12" s="943" t="s">
        <v>1987</v>
      </c>
      <c r="F12" s="943"/>
      <c r="G12" s="943"/>
      <c r="H12" s="943"/>
      <c r="I12" s="943"/>
      <c r="J12" s="943"/>
      <c r="K12" s="943"/>
      <c r="L12" s="1330"/>
      <c r="M12" s="1267"/>
      <c r="N12" s="1667"/>
      <c r="O12" s="918"/>
      <c r="R12" s="1256"/>
      <c r="S12" s="1257"/>
      <c r="T12" s="595" t="s">
        <v>1976</v>
      </c>
      <c r="U12" s="1257"/>
      <c r="V12" s="907"/>
      <c r="W12" s="1331"/>
      <c r="X12" s="907"/>
      <c r="Y12" s="1257"/>
      <c r="AA12" s="1331"/>
      <c r="AB12" s="1257"/>
      <c r="AC12" s="907"/>
    </row>
    <row r="13" spans="1:29">
      <c r="A13" s="1676" t="s">
        <v>4417</v>
      </c>
      <c r="B13" s="947" t="str">
        <f ca="1">IFERROR(__xludf.DUMMYFUNCTION("QUERY('管理表'!A:AP,""select B,C,D,G,J,K,L,N,O,Q,T where ((C = '津吉' and R = '""&amp;$D$1&amp;""' and S = '""&amp;$N$13&amp;""')) and not(AH = '退職')"",0)"),"#N/A")</f>
        <v>#N/A</v>
      </c>
      <c r="C13" s="947"/>
      <c r="D13" s="947"/>
      <c r="E13" s="947"/>
      <c r="F13" s="947"/>
      <c r="G13" s="947"/>
      <c r="H13" s="947"/>
      <c r="I13" s="947"/>
      <c r="J13" s="947"/>
      <c r="K13" s="947"/>
      <c r="L13" s="1332"/>
      <c r="M13" s="1267"/>
      <c r="N13" s="1665" t="s">
        <v>757</v>
      </c>
      <c r="O13" s="918"/>
      <c r="P13" s="1249"/>
      <c r="Q13" s="1273"/>
      <c r="R13" s="1256" t="s">
        <v>4453</v>
      </c>
      <c r="S13" s="1257"/>
      <c r="T13" s="1256"/>
      <c r="U13" s="1257"/>
      <c r="V13" s="907"/>
      <c r="W13" s="1256" t="s">
        <v>2113</v>
      </c>
      <c r="X13" s="907"/>
      <c r="Y13" s="1275"/>
      <c r="Z13" s="1274"/>
      <c r="AA13" s="1333" t="s">
        <v>1064</v>
      </c>
      <c r="AB13" s="1275"/>
      <c r="AC13" s="907"/>
    </row>
    <row r="14" spans="1:29">
      <c r="A14" s="1674"/>
      <c r="B14" s="1306"/>
      <c r="C14" s="947"/>
      <c r="D14" s="947"/>
      <c r="E14" s="947"/>
      <c r="F14" s="947"/>
      <c r="G14" s="947"/>
      <c r="H14" s="947"/>
      <c r="I14" s="947"/>
      <c r="J14" s="947"/>
      <c r="K14" s="947"/>
      <c r="L14" s="1334"/>
      <c r="M14" s="1277"/>
      <c r="N14" s="1667"/>
      <c r="O14" s="918"/>
      <c r="P14" s="1256"/>
      <c r="Q14" s="907"/>
      <c r="R14" s="1256"/>
      <c r="S14" s="1257"/>
      <c r="T14" s="1256"/>
      <c r="U14" s="1257"/>
      <c r="V14" s="907"/>
      <c r="W14" s="1256"/>
      <c r="X14" s="907"/>
      <c r="Y14" s="1275"/>
      <c r="Z14" s="1335" t="s">
        <v>4454</v>
      </c>
      <c r="AA14" s="1272"/>
      <c r="AB14" s="1275"/>
      <c r="AC14" s="907"/>
    </row>
    <row r="15" spans="1:29">
      <c r="A15" s="1676" t="s">
        <v>4429</v>
      </c>
      <c r="B15" s="923" t="str">
        <f ca="1">IFERROR(__xludf.DUMMYFUNCTION("QUERY('管理表'!A:AP,""select B,C,D,G,J,K,L,N,O,Q,T where ((C = '津吉' and R = '""&amp;$D$1&amp;""' and S = '""&amp;$N$15&amp;""')) and not(AH = '退職')"",0)"),"#N/A")</f>
        <v>#N/A</v>
      </c>
      <c r="C15" s="923"/>
      <c r="D15" s="923"/>
      <c r="E15" s="923" t="s">
        <v>2144</v>
      </c>
      <c r="F15" s="923"/>
      <c r="G15" s="923"/>
      <c r="H15" s="923"/>
      <c r="I15" s="923"/>
      <c r="J15" s="923"/>
      <c r="K15" s="923"/>
      <c r="L15" s="1276"/>
      <c r="M15" s="1277"/>
      <c r="N15" s="1665" t="s">
        <v>1101</v>
      </c>
      <c r="O15" s="907"/>
      <c r="P15" s="1256"/>
      <c r="Q15" s="907"/>
      <c r="R15" s="1256"/>
      <c r="S15" s="1257"/>
      <c r="T15" s="1256"/>
      <c r="U15" s="1257"/>
      <c r="V15" s="907"/>
      <c r="W15" s="1256"/>
      <c r="X15" s="907"/>
      <c r="Y15" s="1275"/>
      <c r="Z15" s="1278"/>
      <c r="AA15" s="1272"/>
      <c r="AB15" s="1275"/>
      <c r="AC15" s="907"/>
    </row>
    <row r="16" spans="1:29">
      <c r="A16" s="1677"/>
      <c r="B16" s="923"/>
      <c r="C16" s="923"/>
      <c r="D16" s="923"/>
      <c r="E16" s="923" t="s">
        <v>2078</v>
      </c>
      <c r="F16" s="923"/>
      <c r="G16" s="923"/>
      <c r="H16" s="923"/>
      <c r="I16" s="923"/>
      <c r="J16" s="923"/>
      <c r="K16" s="923"/>
      <c r="L16" s="1276"/>
      <c r="M16" s="1277"/>
      <c r="N16" s="1666"/>
      <c r="O16" s="907"/>
      <c r="P16" s="1257" t="s">
        <v>4455</v>
      </c>
      <c r="Q16" s="907"/>
      <c r="R16" s="1256"/>
      <c r="S16" s="1257"/>
      <c r="T16" s="1671">
        <v>6</v>
      </c>
      <c r="U16" s="1666"/>
      <c r="V16" s="907"/>
      <c r="W16" s="1256"/>
      <c r="X16" s="1668">
        <v>6</v>
      </c>
      <c r="Y16" s="1275"/>
      <c r="Z16" s="1278"/>
      <c r="AA16" s="1671">
        <v>6</v>
      </c>
      <c r="AB16" s="1666"/>
      <c r="AC16" s="907"/>
    </row>
    <row r="17" spans="1:29">
      <c r="A17" s="1677"/>
      <c r="B17" s="923"/>
      <c r="C17" s="923"/>
      <c r="D17" s="923"/>
      <c r="E17" s="923" t="s">
        <v>2122</v>
      </c>
      <c r="F17" s="923"/>
      <c r="G17" s="923"/>
      <c r="H17" s="923"/>
      <c r="I17" s="923"/>
      <c r="J17" s="923"/>
      <c r="K17" s="923"/>
      <c r="L17" s="1276"/>
      <c r="M17" s="1277"/>
      <c r="N17" s="1666"/>
      <c r="O17" s="918"/>
      <c r="P17" s="594" t="s">
        <v>2088</v>
      </c>
      <c r="Q17" s="907"/>
      <c r="R17" s="1256"/>
      <c r="S17" s="1257"/>
      <c r="T17" s="1672"/>
      <c r="U17" s="1670"/>
      <c r="V17" s="907"/>
      <c r="W17" s="1280"/>
      <c r="X17" s="1669"/>
      <c r="Y17" s="1336"/>
      <c r="Z17" s="1295"/>
      <c r="AA17" s="1672"/>
      <c r="AB17" s="1670"/>
      <c r="AC17" s="907"/>
    </row>
    <row r="18" spans="1:29">
      <c r="A18" s="1677"/>
      <c r="B18" s="923"/>
      <c r="C18" s="923"/>
      <c r="D18" s="923"/>
      <c r="E18" s="1128" t="s">
        <v>2111</v>
      </c>
      <c r="F18" s="923"/>
      <c r="G18" s="923"/>
      <c r="H18" s="923"/>
      <c r="I18" s="923"/>
      <c r="J18" s="923"/>
      <c r="K18" s="923"/>
      <c r="L18" s="1276"/>
      <c r="M18" s="1277"/>
      <c r="N18" s="1666"/>
      <c r="O18" s="907"/>
      <c r="P18" s="1256"/>
      <c r="Q18" s="907"/>
      <c r="R18" s="1256"/>
      <c r="S18" s="1257"/>
      <c r="T18" s="907"/>
      <c r="U18" s="907"/>
      <c r="V18" s="907"/>
      <c r="W18" s="907"/>
      <c r="X18" s="907"/>
      <c r="Y18" s="907"/>
      <c r="Z18" s="907"/>
      <c r="AA18" s="907"/>
      <c r="AB18" s="907"/>
      <c r="AC18" s="907"/>
    </row>
    <row r="19" spans="1:29">
      <c r="A19" s="1677"/>
      <c r="B19" s="943"/>
      <c r="C19" s="943"/>
      <c r="D19" s="943"/>
      <c r="E19" s="944" t="s">
        <v>2155</v>
      </c>
      <c r="F19" s="943"/>
      <c r="G19" s="943"/>
      <c r="H19" s="943"/>
      <c r="I19" s="943"/>
      <c r="J19" s="943"/>
      <c r="K19" s="943"/>
      <c r="L19" s="1337"/>
      <c r="M19" s="1277"/>
      <c r="N19" s="1666"/>
      <c r="O19" s="918"/>
      <c r="P19" s="1256"/>
      <c r="Q19" s="907"/>
      <c r="R19" s="1256"/>
      <c r="S19" s="1257"/>
      <c r="T19" s="907"/>
      <c r="U19" s="907"/>
      <c r="V19" s="907"/>
      <c r="W19" s="907"/>
      <c r="X19" s="907"/>
      <c r="Y19" s="907"/>
      <c r="Z19" s="907"/>
      <c r="AA19" s="907"/>
      <c r="AB19" s="907"/>
      <c r="AC19" s="907"/>
    </row>
    <row r="20" spans="1:29">
      <c r="A20" s="1677"/>
      <c r="B20" s="943"/>
      <c r="C20" s="943"/>
      <c r="D20" s="943"/>
      <c r="E20" s="944" t="s">
        <v>2088</v>
      </c>
      <c r="F20" s="943"/>
      <c r="G20" s="943"/>
      <c r="H20" s="943"/>
      <c r="I20" s="943"/>
      <c r="J20" s="943"/>
      <c r="K20" s="943"/>
      <c r="L20" s="1337"/>
      <c r="M20" s="1277"/>
      <c r="N20" s="1666"/>
      <c r="O20" s="918"/>
      <c r="P20" s="1256"/>
      <c r="Q20" s="907"/>
      <c r="R20" s="1256"/>
      <c r="S20" s="1257"/>
      <c r="T20" s="907"/>
      <c r="U20" s="907"/>
      <c r="V20" s="907"/>
      <c r="W20" s="907"/>
      <c r="X20" s="907"/>
      <c r="Y20" s="907"/>
      <c r="Z20" s="907"/>
      <c r="AA20" s="907"/>
      <c r="AB20" s="907"/>
      <c r="AC20" s="907"/>
    </row>
    <row r="21" spans="1:29">
      <c r="A21" s="1677"/>
      <c r="B21" s="943"/>
      <c r="C21" s="943"/>
      <c r="D21" s="943"/>
      <c r="E21" s="944" t="s">
        <v>2133</v>
      </c>
      <c r="F21" s="943"/>
      <c r="G21" s="943"/>
      <c r="H21" s="943"/>
      <c r="I21" s="943"/>
      <c r="J21" s="943"/>
      <c r="K21" s="943"/>
      <c r="L21" s="1337"/>
      <c r="M21" s="1277"/>
      <c r="N21" s="1666"/>
      <c r="O21" s="918"/>
      <c r="P21" s="1256"/>
      <c r="Q21" s="907"/>
      <c r="R21" s="1256"/>
      <c r="S21" s="1257"/>
      <c r="T21" s="907"/>
      <c r="U21" s="907"/>
      <c r="V21" s="907"/>
      <c r="W21" s="907"/>
      <c r="X21" s="907"/>
      <c r="Y21" s="907"/>
      <c r="Z21" s="907"/>
      <c r="AA21" s="907"/>
      <c r="AB21" s="907"/>
      <c r="AC21" s="907"/>
    </row>
    <row r="22" spans="1:29">
      <c r="A22" s="1674"/>
      <c r="B22" s="947"/>
      <c r="C22" s="947"/>
      <c r="D22" s="947"/>
      <c r="E22" s="1306"/>
      <c r="F22" s="947"/>
      <c r="G22" s="947"/>
      <c r="H22" s="947"/>
      <c r="I22" s="947"/>
      <c r="J22" s="947"/>
      <c r="K22" s="947"/>
      <c r="L22" s="1334"/>
      <c r="M22" s="1277"/>
      <c r="N22" s="1667"/>
      <c r="O22" s="918"/>
      <c r="P22" s="1256"/>
      <c r="Q22" s="907"/>
      <c r="R22" s="1256"/>
      <c r="S22" s="1257"/>
      <c r="T22" s="907"/>
      <c r="U22" s="907"/>
      <c r="V22" s="907"/>
      <c r="W22" s="907"/>
      <c r="X22" s="907"/>
      <c r="Y22" s="907"/>
      <c r="Z22" s="907"/>
      <c r="AA22" s="907"/>
      <c r="AB22" s="907"/>
      <c r="AC22" s="907"/>
    </row>
    <row r="23" spans="1:29">
      <c r="A23" s="1676" t="s">
        <v>4431</v>
      </c>
      <c r="B23" s="923" t="str">
        <f ca="1">IFERROR(__xludf.DUMMYFUNCTION("QUERY('管理表'!A:AP,""select B,C,D,G,J,K,L,N,O,Q,T where ((C = '津吉' and R = '""&amp;$D$1&amp;""' and S = '""&amp;$N$23&amp;""')) and not(AH = '退職')"",0)"),"#N/A")</f>
        <v>#N/A</v>
      </c>
      <c r="C23" s="923"/>
      <c r="D23" s="923"/>
      <c r="E23" s="923" t="s">
        <v>1946</v>
      </c>
      <c r="F23" s="923"/>
      <c r="G23" s="923"/>
      <c r="H23" s="923"/>
      <c r="I23" s="923"/>
      <c r="J23" s="923"/>
      <c r="K23" s="923"/>
      <c r="L23" s="1276"/>
      <c r="M23" s="1277"/>
      <c r="N23" s="1665" t="s">
        <v>4456</v>
      </c>
      <c r="O23" s="907"/>
      <c r="P23" s="1256"/>
      <c r="Q23" s="907"/>
      <c r="R23" s="1256"/>
      <c r="S23" s="1257"/>
      <c r="T23" s="907"/>
      <c r="U23" s="907"/>
      <c r="V23" s="1679" t="s">
        <v>4457</v>
      </c>
      <c r="W23" s="1602"/>
      <c r="X23" s="907"/>
      <c r="Y23" s="907"/>
      <c r="Z23" s="907"/>
      <c r="AA23" s="907"/>
      <c r="AB23" s="907"/>
      <c r="AC23" s="907"/>
    </row>
    <row r="24" spans="1:29">
      <c r="A24" s="1677"/>
      <c r="B24" s="923"/>
      <c r="C24" s="923"/>
      <c r="D24" s="923"/>
      <c r="E24" s="923" t="s">
        <v>1953</v>
      </c>
      <c r="F24" s="923"/>
      <c r="G24" s="923"/>
      <c r="H24" s="923"/>
      <c r="I24" s="923"/>
      <c r="J24" s="923"/>
      <c r="K24" s="923"/>
      <c r="L24" s="1276"/>
      <c r="M24" s="1277"/>
      <c r="N24" s="1666"/>
      <c r="O24" s="907"/>
      <c r="P24" s="1256"/>
      <c r="Q24" s="907"/>
      <c r="R24" s="1256"/>
      <c r="S24" s="1257"/>
      <c r="T24" s="907"/>
      <c r="U24" s="907"/>
      <c r="V24" s="1602"/>
      <c r="W24" s="1602"/>
      <c r="X24" s="907"/>
      <c r="Y24" s="907"/>
      <c r="Z24" s="907"/>
      <c r="AA24" s="907"/>
      <c r="AB24" s="907"/>
      <c r="AC24" s="907"/>
    </row>
    <row r="25" spans="1:29">
      <c r="A25" s="1672"/>
      <c r="B25" s="1282"/>
      <c r="C25" s="1282"/>
      <c r="D25" s="1282"/>
      <c r="E25" s="1282" t="s">
        <v>1920</v>
      </c>
      <c r="F25" s="1282"/>
      <c r="G25" s="1282"/>
      <c r="H25" s="1282"/>
      <c r="I25" s="1282"/>
      <c r="J25" s="1282"/>
      <c r="K25" s="1282"/>
      <c r="L25" s="1283"/>
      <c r="M25" s="1284"/>
      <c r="N25" s="1670"/>
      <c r="O25" s="907"/>
      <c r="P25" s="1671">
        <v>6</v>
      </c>
      <c r="Q25" s="1666"/>
      <c r="R25" s="1256"/>
      <c r="S25" s="1257"/>
      <c r="T25" s="907"/>
      <c r="U25" s="907"/>
      <c r="V25" s="1602"/>
      <c r="W25" s="1602"/>
      <c r="X25" s="907"/>
      <c r="AA25" s="907"/>
      <c r="AB25" s="907"/>
      <c r="AC25" s="907"/>
    </row>
    <row r="26" spans="1:29">
      <c r="A26" s="1678" t="s">
        <v>4418</v>
      </c>
      <c r="B26" s="1285" t="str">
        <f ca="1">IFERROR(__xludf.DUMMYFUNCTION("QUERY('管理表'!A:AP,""select B,C,D,G,J,K,L,N,O,Q,T where ((C = '津吉' and R = '""&amp;$D$1&amp;""' and S = '""&amp;$N$26&amp;""')) and not(AH = '退職')"",0)"),"#N/A")</f>
        <v>#N/A</v>
      </c>
      <c r="C26" s="1285"/>
      <c r="D26" s="1285"/>
      <c r="E26" s="1338"/>
      <c r="F26" s="1285"/>
      <c r="G26" s="1285"/>
      <c r="H26" s="1285"/>
      <c r="I26" s="1285"/>
      <c r="J26" s="1285"/>
      <c r="K26" s="1285"/>
      <c r="L26" s="1286"/>
      <c r="M26" s="1285"/>
      <c r="N26" s="1287" t="s">
        <v>4458</v>
      </c>
      <c r="O26" s="907" t="s">
        <v>680</v>
      </c>
      <c r="P26" s="1672"/>
      <c r="Q26" s="1670"/>
      <c r="R26" s="1280"/>
      <c r="S26" s="1297"/>
      <c r="T26" s="907"/>
      <c r="U26" s="907"/>
      <c r="V26" s="1602"/>
      <c r="W26" s="1602"/>
      <c r="X26" s="907"/>
      <c r="AA26" s="907"/>
      <c r="AB26" s="907"/>
      <c r="AC26" s="907"/>
    </row>
    <row r="27" spans="1:29">
      <c r="A27" s="1674"/>
      <c r="B27" s="1339"/>
      <c r="C27" s="1339"/>
      <c r="D27" s="1339"/>
      <c r="E27" s="1339"/>
      <c r="F27" s="1339"/>
      <c r="G27" s="1339"/>
      <c r="H27" s="1339"/>
      <c r="I27" s="1339"/>
      <c r="J27" s="1339"/>
      <c r="K27" s="1339"/>
      <c r="L27" s="1339"/>
      <c r="M27" s="1339"/>
      <c r="N27" s="1340"/>
      <c r="O27" s="1304"/>
      <c r="P27" s="1216"/>
      <c r="Q27" s="1216"/>
      <c r="R27" s="1216"/>
      <c r="S27" s="1216"/>
      <c r="T27" s="1216"/>
      <c r="U27" s="907"/>
      <c r="V27" s="1602"/>
      <c r="W27" s="1602"/>
      <c r="X27" s="907"/>
      <c r="Y27" s="907"/>
      <c r="Z27" s="907"/>
      <c r="AA27" s="907"/>
      <c r="AB27" s="907"/>
      <c r="AC27" s="907"/>
    </row>
    <row r="28" spans="1:29">
      <c r="A28" s="1676" t="s">
        <v>4418</v>
      </c>
      <c r="B28" s="1288">
        <f ca="1">IFERROR(__xludf.DUMMYFUNCTION("QUERY('管理表'!A:AP,""select B,C,D,G,J,K,L,N,O,Q,T where ((C = '津吉' and R = '""&amp;$D$1&amp;""' and S = '""&amp;$N$28&amp;""')) and not(AH = '退職')"",0)"),215)</f>
        <v>215</v>
      </c>
      <c r="C28" s="1288" t="str">
        <f ca="1">IFERROR(__xludf.DUMMYFUNCTION("""COMPUTED_VALUE"""),"津吉")</f>
        <v>津吉</v>
      </c>
      <c r="D28" s="1288" t="str">
        <f ca="1">IFERROR(__xludf.DUMMYFUNCTION("""COMPUTED_VALUE"""),"インドネシア")</f>
        <v>インドネシア</v>
      </c>
      <c r="E28" s="1341" t="str">
        <f ca="1">IFERROR(__xludf.DUMMYFUNCTION("""COMPUTED_VALUE"""),"アルザ ムムタナ")</f>
        <v>アルザ ムムタナ</v>
      </c>
      <c r="F28" s="1288" t="str">
        <f ca="1">IFERROR(__xludf.DUMMYFUNCTION("""COMPUTED_VALUE"""),"女")</f>
        <v>女</v>
      </c>
      <c r="G28" s="1342">
        <f ca="1">IFERROR(__xludf.DUMMYFUNCTION("""COMPUTED_VALUE"""),38614)</f>
        <v>38614</v>
      </c>
      <c r="H28" s="1288">
        <f ca="1">IFERROR(__xludf.DUMMYFUNCTION("""COMPUTED_VALUE"""),20)</f>
        <v>20</v>
      </c>
      <c r="I28" s="1288" t="str">
        <f ca="1">IFERROR(__xludf.DUMMYFUNCTION("""COMPUTED_VALUE"""),"H&amp;C")</f>
        <v>H&amp;C</v>
      </c>
      <c r="J28" s="1342">
        <f ca="1">IFERROR(__xludf.DUMMYFUNCTION("""COMPUTED_VALUE"""),45912)</f>
        <v>45912</v>
      </c>
      <c r="K28" s="1288" t="str">
        <f ca="1">IFERROR(__xludf.DUMMYFUNCTION("""COMPUTED_VALUE"""),"特定技能１号")</f>
        <v>特定技能１号</v>
      </c>
      <c r="L28" s="1343">
        <f ca="1">IFERROR(__xludf.DUMMYFUNCTION("""COMPUTED_VALUE"""),15000)</f>
        <v>15000</v>
      </c>
      <c r="M28" s="1288"/>
      <c r="N28" s="1680" t="s">
        <v>1979</v>
      </c>
      <c r="O28" s="918" t="s">
        <v>4459</v>
      </c>
      <c r="P28" s="907"/>
      <c r="Q28" s="907"/>
      <c r="X28" s="907"/>
      <c r="Y28" s="907"/>
      <c r="Z28" s="907"/>
      <c r="AA28" s="907"/>
      <c r="AB28" s="907"/>
      <c r="AC28" s="907"/>
    </row>
    <row r="29" spans="1:29">
      <c r="A29" s="1674"/>
      <c r="B29" s="1344"/>
      <c r="C29" s="1344"/>
      <c r="D29" s="1344"/>
      <c r="E29" s="1345"/>
      <c r="F29" s="1344"/>
      <c r="G29" s="1344"/>
      <c r="H29" s="1344"/>
      <c r="I29" s="1344"/>
      <c r="J29" s="1344"/>
      <c r="K29" s="1344"/>
      <c r="L29" s="1344"/>
      <c r="M29" s="1288"/>
      <c r="N29" s="1681"/>
      <c r="O29" s="918"/>
      <c r="P29" s="907"/>
      <c r="Q29" s="907"/>
      <c r="X29" s="907"/>
      <c r="Y29" s="907"/>
      <c r="Z29" s="907"/>
      <c r="AA29" s="907"/>
      <c r="AB29" s="907"/>
      <c r="AC29" s="907"/>
    </row>
    <row r="30" spans="1:29">
      <c r="A30" s="1268" t="s">
        <v>4460</v>
      </c>
      <c r="B30" s="1288">
        <f ca="1">IFERROR(__xludf.DUMMYFUNCTION("QUERY('管理表'!A:AP,""select B,C,D,G,J,K,L,N,O,Q,T where ((C = '津吉' and R = '""&amp;$D$1&amp;""' and S = '""&amp;$N$30&amp;""')) and not(AH = '退職')"",0)"),121)</f>
        <v>121</v>
      </c>
      <c r="C30" s="1288" t="str">
        <f ca="1">IFERROR(__xludf.DUMMYFUNCTION("""COMPUTED_VALUE"""),"津吉")</f>
        <v>津吉</v>
      </c>
      <c r="D30" s="1288" t="str">
        <f ca="1">IFERROR(__xludf.DUMMYFUNCTION("""COMPUTED_VALUE"""),"インドネシア")</f>
        <v>インドネシア</v>
      </c>
      <c r="E30" s="1289" t="str">
        <f ca="1">IFERROR(__xludf.DUMMYFUNCTION("""COMPUTED_VALUE"""),"デヴィ メルヴァ ヤヌアル")</f>
        <v>デヴィ メルヴァ ヤヌアル</v>
      </c>
      <c r="F30" s="1288" t="str">
        <f ca="1">IFERROR(__xludf.DUMMYFUNCTION("""COMPUTED_VALUE"""),"女")</f>
        <v>女</v>
      </c>
      <c r="G30" s="1342">
        <f ca="1">IFERROR(__xludf.DUMMYFUNCTION("""COMPUTED_VALUE"""),35433)</f>
        <v>35433</v>
      </c>
      <c r="H30" s="1288">
        <f ca="1">IFERROR(__xludf.DUMMYFUNCTION("""COMPUTED_VALUE"""),29)</f>
        <v>29</v>
      </c>
      <c r="I30" s="1288" t="str">
        <f ca="1">IFERROR(__xludf.DUMMYFUNCTION("""COMPUTED_VALUE"""),"H&amp;C")</f>
        <v>H&amp;C</v>
      </c>
      <c r="J30" s="1346">
        <f ca="1">IFERROR(__xludf.DUMMYFUNCTION("""COMPUTED_VALUE"""),45216)</f>
        <v>45216</v>
      </c>
      <c r="K30" s="1288" t="str">
        <f ca="1">IFERROR(__xludf.DUMMYFUNCTION("""COMPUTED_VALUE"""),"特定技能１号")</f>
        <v>特定技能１号</v>
      </c>
      <c r="L30" s="1343">
        <f ca="1">IFERROR(__xludf.DUMMYFUNCTION("""COMPUTED_VALUE"""),15000)</f>
        <v>15000</v>
      </c>
      <c r="M30" s="1288"/>
      <c r="N30" s="1291" t="s">
        <v>1093</v>
      </c>
      <c r="O30" s="918" t="s">
        <v>4461</v>
      </c>
      <c r="P30" s="1249"/>
      <c r="Q30" s="1273"/>
      <c r="R30" s="1279"/>
      <c r="S30" s="1279"/>
      <c r="T30" s="1299"/>
      <c r="V30" s="1298"/>
      <c r="W30" s="1279"/>
      <c r="X30" s="1250"/>
      <c r="Y30" s="907"/>
      <c r="Z30" s="1298"/>
      <c r="AA30" s="1279"/>
      <c r="AB30" s="1299"/>
      <c r="AC30" s="907"/>
    </row>
    <row r="31" spans="1:29">
      <c r="A31" s="1347" t="s">
        <v>4418</v>
      </c>
      <c r="B31" s="1292">
        <f ca="1">IFERROR(__xludf.DUMMYFUNCTION("QUERY('管理表'!A:AP,""select B,C,D,G,J,K,L,N,O,Q,T where ((C = '津吉' and R = '""&amp;$D$1&amp;""' and S = '""&amp;$N$31&amp;""')) and not(AH = '退職')"",0)"),118)</f>
        <v>118</v>
      </c>
      <c r="C31" s="1292" t="str">
        <f ca="1">IFERROR(__xludf.DUMMYFUNCTION("""COMPUTED_VALUE"""),"津吉")</f>
        <v>津吉</v>
      </c>
      <c r="D31" s="1292" t="str">
        <f ca="1">IFERROR(__xludf.DUMMYFUNCTION("""COMPUTED_VALUE"""),"インドネシア")</f>
        <v>インドネシア</v>
      </c>
      <c r="E31" s="1293" t="str">
        <f ca="1">IFERROR(__xludf.DUMMYFUNCTION("""COMPUTED_VALUE"""),"ウィディアニンティアス スリスティアワン")</f>
        <v>ウィディアニンティアス スリスティアワン</v>
      </c>
      <c r="F31" s="1292" t="str">
        <f ca="1">IFERROR(__xludf.DUMMYFUNCTION("""COMPUTED_VALUE"""),"女")</f>
        <v>女</v>
      </c>
      <c r="G31" s="1348">
        <f ca="1">IFERROR(__xludf.DUMMYFUNCTION("""COMPUTED_VALUE"""),38026)</f>
        <v>38026</v>
      </c>
      <c r="H31" s="1292">
        <f ca="1">IFERROR(__xludf.DUMMYFUNCTION("""COMPUTED_VALUE"""),22)</f>
        <v>22</v>
      </c>
      <c r="I31" s="1292" t="str">
        <f ca="1">IFERROR(__xludf.DUMMYFUNCTION("""COMPUTED_VALUE"""),"H&amp;C")</f>
        <v>H&amp;C</v>
      </c>
      <c r="J31" s="1349">
        <f ca="1">IFERROR(__xludf.DUMMYFUNCTION("""COMPUTED_VALUE"""),45216)</f>
        <v>45216</v>
      </c>
      <c r="K31" s="1292" t="str">
        <f ca="1">IFERROR(__xludf.DUMMYFUNCTION("""COMPUTED_VALUE"""),"特定技能１号")</f>
        <v>特定技能１号</v>
      </c>
      <c r="L31" s="1350">
        <f ca="1">IFERROR(__xludf.DUMMYFUNCTION("""COMPUTED_VALUE"""),15000)</f>
        <v>15000</v>
      </c>
      <c r="M31" s="1292"/>
      <c r="N31" s="1294" t="s">
        <v>1065</v>
      </c>
      <c r="O31" s="918" t="s">
        <v>4462</v>
      </c>
      <c r="P31" s="1256"/>
      <c r="Q31" s="907"/>
      <c r="T31" s="1275"/>
      <c r="V31" s="1272"/>
      <c r="W31" s="594"/>
      <c r="X31" s="1351"/>
      <c r="Y31" s="907"/>
      <c r="Z31" s="1272"/>
      <c r="AB31" s="1275"/>
      <c r="AC31" s="907"/>
    </row>
    <row r="32" spans="1:29">
      <c r="A32" s="907"/>
      <c r="B32" s="907"/>
      <c r="C32" s="907"/>
      <c r="D32" s="907"/>
      <c r="E32" s="907"/>
      <c r="F32" s="907"/>
      <c r="G32" s="907"/>
      <c r="H32" s="907"/>
      <c r="I32" s="907"/>
      <c r="J32" s="907"/>
      <c r="K32" s="907"/>
      <c r="L32" s="907"/>
      <c r="M32" s="907"/>
      <c r="N32" s="907"/>
      <c r="O32" s="907"/>
      <c r="P32" s="1256"/>
      <c r="Q32" s="1351"/>
      <c r="R32" s="594" t="s">
        <v>4463</v>
      </c>
      <c r="T32" s="1351"/>
      <c r="V32" s="1272"/>
      <c r="X32" s="1257"/>
      <c r="Y32" s="907"/>
      <c r="Z32" s="1272"/>
      <c r="AB32" s="1275"/>
      <c r="AC32" s="907"/>
    </row>
    <row r="33" spans="1:29">
      <c r="A33" s="907"/>
      <c r="B33" s="907"/>
      <c r="C33" s="907"/>
      <c r="D33" s="907"/>
      <c r="E33" s="907"/>
      <c r="F33" s="907"/>
      <c r="G33" s="907"/>
      <c r="H33" s="907"/>
      <c r="I33" s="907"/>
      <c r="J33" s="907"/>
      <c r="K33" s="907"/>
      <c r="L33" s="907"/>
      <c r="M33" s="907"/>
      <c r="N33" s="907"/>
      <c r="O33" s="907"/>
      <c r="P33" s="1256"/>
      <c r="T33" s="1352" t="s">
        <v>4464</v>
      </c>
      <c r="W33" s="594"/>
      <c r="X33" s="1351"/>
      <c r="Y33" s="907"/>
      <c r="Z33" s="1333"/>
      <c r="AA33" s="1351"/>
      <c r="AB33" s="1352" t="s">
        <v>1971</v>
      </c>
      <c r="AC33" s="907"/>
    </row>
    <row r="34" spans="1:29">
      <c r="A34" s="907"/>
      <c r="B34" s="907"/>
      <c r="C34" s="907"/>
      <c r="D34" s="907"/>
      <c r="E34" s="907"/>
      <c r="F34" s="907"/>
      <c r="G34" s="907"/>
      <c r="H34" s="907"/>
      <c r="I34" s="907"/>
      <c r="J34" s="907"/>
      <c r="K34" s="907"/>
      <c r="L34" s="907"/>
      <c r="M34" s="907"/>
      <c r="N34" s="907"/>
      <c r="O34" s="907"/>
      <c r="P34" s="1256"/>
      <c r="Q34" s="1351"/>
      <c r="R34" s="594" t="s">
        <v>4465</v>
      </c>
      <c r="S34" s="907"/>
      <c r="T34" s="1351"/>
      <c r="U34" s="1353"/>
      <c r="V34" s="1256"/>
      <c r="W34" s="907"/>
      <c r="X34" s="1257"/>
      <c r="Y34" s="907"/>
      <c r="Z34" s="1272"/>
      <c r="AB34" s="1275"/>
      <c r="AC34" s="907"/>
    </row>
    <row r="35" spans="1:29">
      <c r="A35" s="907"/>
      <c r="B35" s="907"/>
      <c r="C35" s="907"/>
      <c r="D35" s="907"/>
      <c r="E35" s="907"/>
      <c r="F35" s="907"/>
      <c r="G35" s="907"/>
      <c r="H35" s="907"/>
      <c r="J35" s="907"/>
      <c r="K35" s="907"/>
      <c r="L35" s="907"/>
      <c r="M35" s="907"/>
      <c r="N35" s="907"/>
      <c r="O35" s="907"/>
      <c r="P35" s="1256"/>
      <c r="Q35" s="907"/>
      <c r="S35" s="907"/>
      <c r="T35" s="1257" t="s">
        <v>4466</v>
      </c>
      <c r="U35" s="1354"/>
      <c r="W35" s="907"/>
      <c r="X35" s="1351"/>
      <c r="Y35" s="907"/>
      <c r="Z35" s="1272"/>
      <c r="AB35" s="1275"/>
      <c r="AC35" s="907"/>
    </row>
    <row r="36" spans="1:29">
      <c r="A36" s="907"/>
      <c r="B36" s="907"/>
      <c r="C36" s="907"/>
      <c r="D36" s="907"/>
      <c r="E36" s="907"/>
      <c r="F36" s="907"/>
      <c r="G36" s="907"/>
      <c r="H36" s="907"/>
      <c r="I36" s="907"/>
      <c r="J36" s="907"/>
      <c r="K36" s="907"/>
      <c r="L36" s="907"/>
      <c r="M36" s="907"/>
      <c r="N36" s="907"/>
      <c r="O36" s="907"/>
      <c r="P36" s="1256"/>
      <c r="Q36" s="907"/>
      <c r="R36" s="907"/>
      <c r="S36" s="907"/>
      <c r="T36" s="1257"/>
      <c r="U36" s="1354"/>
      <c r="V36" s="1256"/>
      <c r="W36" s="907"/>
      <c r="X36" s="1351"/>
      <c r="Y36" s="907"/>
      <c r="Z36" s="1272"/>
      <c r="AB36" s="1275"/>
      <c r="AC36" s="907"/>
    </row>
    <row r="37" spans="1:29">
      <c r="A37" s="907"/>
      <c r="B37" s="907"/>
      <c r="C37" s="907"/>
      <c r="D37" s="907"/>
      <c r="E37" s="907"/>
      <c r="F37" s="907"/>
      <c r="G37" s="907"/>
      <c r="H37" s="907"/>
      <c r="I37" s="907"/>
      <c r="J37" s="907"/>
      <c r="K37" s="907"/>
      <c r="L37" s="907"/>
      <c r="M37" s="907"/>
      <c r="N37" s="907"/>
      <c r="O37" s="907"/>
      <c r="P37" s="1256"/>
      <c r="Q37" s="907"/>
      <c r="R37" s="907"/>
      <c r="S37" s="907"/>
      <c r="T37" s="1257"/>
      <c r="U37" s="1354"/>
      <c r="V37" s="1256"/>
      <c r="W37" s="907"/>
      <c r="X37" s="1257"/>
      <c r="Y37" s="907"/>
      <c r="Z37" s="1272"/>
      <c r="AA37" s="1351"/>
      <c r="AB37" s="1352" t="s">
        <v>1989</v>
      </c>
      <c r="AC37" s="907"/>
    </row>
    <row r="38" spans="1:29">
      <c r="A38" s="907"/>
      <c r="B38" s="907"/>
      <c r="C38" s="907"/>
      <c r="D38" s="907"/>
      <c r="E38" s="907"/>
      <c r="F38" s="907"/>
      <c r="G38" s="907"/>
      <c r="H38" s="907"/>
      <c r="I38" s="907"/>
      <c r="J38" s="907"/>
      <c r="K38" s="907"/>
      <c r="L38" s="907"/>
      <c r="M38" s="907"/>
      <c r="N38" s="594" t="s">
        <v>2088</v>
      </c>
      <c r="O38" s="907"/>
      <c r="P38" s="1256"/>
      <c r="Q38" s="1351"/>
      <c r="R38" s="907" t="s">
        <v>4467</v>
      </c>
      <c r="S38" s="907"/>
      <c r="T38" s="1257"/>
      <c r="U38" s="1354" t="s">
        <v>4451</v>
      </c>
      <c r="V38" s="1256"/>
      <c r="W38" s="907"/>
      <c r="X38" s="1351"/>
      <c r="Y38" s="907"/>
      <c r="Z38" s="1272"/>
      <c r="AB38" s="1275"/>
      <c r="AC38" s="907"/>
    </row>
    <row r="39" spans="1:29">
      <c r="A39" s="907"/>
      <c r="B39" s="907"/>
      <c r="C39" s="907"/>
      <c r="D39" s="907"/>
      <c r="E39" s="907"/>
      <c r="F39" s="907"/>
      <c r="G39" s="907"/>
      <c r="H39" s="907"/>
      <c r="I39" s="907"/>
      <c r="J39" s="907"/>
      <c r="K39" s="907"/>
      <c r="L39" s="907"/>
      <c r="M39" s="907"/>
      <c r="N39" s="907"/>
      <c r="O39" s="907"/>
      <c r="P39" s="1256"/>
      <c r="Q39" s="907"/>
      <c r="S39" s="1351"/>
      <c r="T39" s="1257"/>
      <c r="U39" s="1354"/>
      <c r="V39" s="1256"/>
      <c r="W39" s="907"/>
      <c r="X39" s="1257"/>
      <c r="Y39" s="907"/>
      <c r="Z39" s="1272"/>
      <c r="AB39" s="1275"/>
      <c r="AC39" s="907"/>
    </row>
    <row r="40" spans="1:29">
      <c r="A40" s="907"/>
      <c r="B40" s="907"/>
      <c r="C40" s="907"/>
      <c r="D40" s="907"/>
      <c r="E40" s="907"/>
      <c r="F40" s="907"/>
      <c r="G40" s="907"/>
      <c r="H40" s="907"/>
      <c r="I40" s="907"/>
      <c r="J40" s="907"/>
      <c r="K40" s="907"/>
      <c r="L40" s="907"/>
      <c r="M40" s="907"/>
      <c r="N40" s="907"/>
      <c r="O40" s="907"/>
      <c r="P40" s="1256"/>
      <c r="Q40" s="1351"/>
      <c r="R40" s="907" t="s">
        <v>4468</v>
      </c>
      <c r="S40" s="907"/>
      <c r="T40" s="1257"/>
      <c r="U40" s="1354"/>
      <c r="V40" s="1256"/>
      <c r="W40" s="907"/>
      <c r="X40" s="1351"/>
      <c r="Y40" s="907"/>
      <c r="Z40" s="1280"/>
      <c r="AA40" s="1296"/>
      <c r="AB40" s="1297"/>
      <c r="AC40" s="907"/>
    </row>
    <row r="41" spans="1:29">
      <c r="A41" s="907"/>
      <c r="B41" s="907"/>
      <c r="C41" s="907"/>
      <c r="D41" s="907"/>
      <c r="E41" s="907"/>
      <c r="F41" s="907"/>
      <c r="G41" s="907"/>
      <c r="H41" s="907"/>
      <c r="I41" s="907"/>
      <c r="J41" s="907"/>
      <c r="K41" s="907"/>
      <c r="L41" s="907"/>
      <c r="M41" s="907"/>
      <c r="N41" s="907"/>
      <c r="O41" s="907"/>
      <c r="P41" s="1256"/>
      <c r="Q41" s="907"/>
      <c r="S41" s="1355"/>
      <c r="T41" s="1275"/>
      <c r="U41" s="1335" t="s">
        <v>4469</v>
      </c>
      <c r="V41" s="1272"/>
      <c r="X41" s="1275"/>
      <c r="Z41" s="1298"/>
      <c r="AA41" s="1279"/>
      <c r="AB41" s="1279"/>
      <c r="AC41" s="1299"/>
    </row>
    <row r="42" spans="1:29">
      <c r="A42" s="907"/>
      <c r="B42" s="907"/>
      <c r="C42" s="907"/>
      <c r="D42" s="907"/>
      <c r="E42" s="907"/>
      <c r="F42" s="907"/>
      <c r="G42" s="907"/>
      <c r="H42" s="907"/>
      <c r="J42" s="907"/>
      <c r="K42" s="907"/>
      <c r="L42" s="907"/>
      <c r="M42" s="907"/>
      <c r="N42" s="907"/>
      <c r="O42" s="907"/>
      <c r="P42" s="1256"/>
      <c r="Q42" s="907"/>
      <c r="R42" s="1668">
        <v>24</v>
      </c>
      <c r="T42" s="1275"/>
      <c r="U42" s="1278"/>
      <c r="V42" s="1272"/>
      <c r="W42" s="1668">
        <v>18</v>
      </c>
      <c r="X42" s="1275"/>
      <c r="Z42" s="1272"/>
      <c r="AC42" s="1275"/>
    </row>
    <row r="43" spans="1:29">
      <c r="A43" s="907"/>
      <c r="B43" s="907"/>
      <c r="C43" s="907"/>
      <c r="D43" s="907"/>
      <c r="E43" s="907"/>
      <c r="F43" s="907"/>
      <c r="G43" s="907"/>
      <c r="H43" s="907"/>
      <c r="J43" s="907"/>
      <c r="K43" s="907"/>
      <c r="L43" s="907"/>
      <c r="M43" s="907"/>
      <c r="N43" s="907"/>
      <c r="O43" s="907"/>
      <c r="P43" s="1280"/>
      <c r="Q43" s="1296"/>
      <c r="R43" s="1669"/>
      <c r="S43" s="1281"/>
      <c r="T43" s="1336"/>
      <c r="U43" s="1295"/>
      <c r="V43" s="1300"/>
      <c r="W43" s="1669"/>
      <c r="X43" s="1336"/>
      <c r="Z43" s="1272"/>
      <c r="AC43" s="1275"/>
    </row>
    <row r="44" spans="1:29">
      <c r="A44" s="907"/>
      <c r="B44" s="907"/>
      <c r="C44" s="907"/>
      <c r="D44" s="907"/>
      <c r="E44" s="907"/>
      <c r="F44" s="907"/>
      <c r="G44" s="907"/>
      <c r="H44" s="907"/>
      <c r="J44" s="907"/>
      <c r="K44" s="907"/>
      <c r="L44" s="907"/>
      <c r="M44" s="907"/>
      <c r="N44" s="594" t="s">
        <v>1920</v>
      </c>
      <c r="O44" s="907"/>
      <c r="P44" s="907"/>
      <c r="Q44" s="907"/>
      <c r="Z44" s="1272"/>
      <c r="AC44" s="1275"/>
    </row>
    <row r="45" spans="1:29">
      <c r="A45" s="907"/>
      <c r="B45" s="907"/>
      <c r="C45" s="907"/>
      <c r="D45" s="907"/>
      <c r="E45" s="907"/>
      <c r="F45" s="907"/>
      <c r="G45" s="907"/>
      <c r="H45" s="907"/>
      <c r="J45" s="907"/>
      <c r="K45" s="907"/>
      <c r="L45" s="907"/>
      <c r="M45" s="907"/>
      <c r="N45" s="595" t="s">
        <v>1946</v>
      </c>
      <c r="O45" s="907"/>
      <c r="P45" s="907"/>
      <c r="Q45" s="907"/>
      <c r="Z45" s="1272"/>
      <c r="AA45" s="594" t="s">
        <v>4420</v>
      </c>
      <c r="AC45" s="1275"/>
    </row>
    <row r="46" spans="1:29">
      <c r="A46" s="907"/>
      <c r="B46" s="907"/>
      <c r="C46" s="907"/>
      <c r="D46" s="907"/>
      <c r="E46" s="907"/>
      <c r="F46" s="907"/>
      <c r="G46" s="907"/>
      <c r="H46" s="907"/>
      <c r="J46" s="907"/>
      <c r="K46" s="907"/>
      <c r="L46" s="907"/>
      <c r="M46" s="907"/>
      <c r="N46" s="594" t="s">
        <v>1953</v>
      </c>
      <c r="O46" s="907"/>
      <c r="P46" s="907"/>
      <c r="Q46" s="907"/>
      <c r="Z46" s="1272"/>
      <c r="AC46" s="1275"/>
    </row>
    <row r="47" spans="1:29">
      <c r="A47" s="907"/>
      <c r="B47" s="907"/>
      <c r="C47" s="907"/>
      <c r="D47" s="907"/>
      <c r="E47" s="907"/>
      <c r="F47" s="907"/>
      <c r="G47" s="907"/>
      <c r="H47" s="907"/>
      <c r="J47" s="907"/>
      <c r="K47" s="907"/>
      <c r="L47" s="907"/>
      <c r="M47" s="907"/>
      <c r="O47" s="907"/>
      <c r="P47" s="907"/>
      <c r="Q47" s="907"/>
      <c r="Z47" s="1272"/>
      <c r="AC47" s="1275"/>
    </row>
    <row r="48" spans="1:29">
      <c r="A48" s="907"/>
      <c r="B48" s="907"/>
      <c r="C48" s="907"/>
      <c r="D48" s="907"/>
      <c r="E48" s="907"/>
      <c r="F48" s="907"/>
      <c r="G48" s="907"/>
      <c r="H48" s="907"/>
      <c r="J48" s="907"/>
      <c r="K48" s="907"/>
      <c r="L48" s="907"/>
      <c r="M48" s="907"/>
      <c r="N48" s="594" t="s">
        <v>2031</v>
      </c>
      <c r="O48" s="907"/>
      <c r="P48" s="907"/>
      <c r="Q48" s="907"/>
      <c r="Z48" s="1272"/>
      <c r="AC48" s="1275"/>
    </row>
    <row r="49" spans="1:29">
      <c r="A49" s="907"/>
      <c r="B49" s="907"/>
      <c r="C49" s="907"/>
      <c r="D49" s="907"/>
      <c r="E49" s="907"/>
      <c r="F49" s="907"/>
      <c r="G49" s="907"/>
      <c r="H49" s="907"/>
      <c r="J49" s="907"/>
      <c r="K49" s="907"/>
      <c r="L49" s="907"/>
      <c r="M49" s="907"/>
      <c r="N49" s="594" t="s">
        <v>2044</v>
      </c>
      <c r="O49" s="907"/>
      <c r="P49" s="907"/>
      <c r="Q49" s="907"/>
      <c r="Z49" s="1272"/>
      <c r="AC49" s="1275"/>
    </row>
    <row r="50" spans="1:29">
      <c r="A50" s="907"/>
      <c r="B50" s="907"/>
      <c r="C50" s="907"/>
      <c r="D50" s="907"/>
      <c r="E50" s="907"/>
      <c r="F50" s="907"/>
      <c r="G50" s="907"/>
      <c r="H50" s="907"/>
      <c r="J50" s="907"/>
      <c r="K50" s="907"/>
      <c r="L50" s="907"/>
      <c r="M50" s="907"/>
      <c r="N50" s="594" t="s">
        <v>2056</v>
      </c>
      <c r="O50" s="907"/>
      <c r="P50" s="907"/>
      <c r="Q50" s="907"/>
      <c r="Z50" s="1300"/>
      <c r="AA50" s="1281"/>
      <c r="AB50" s="1281"/>
      <c r="AC50" s="1336"/>
    </row>
    <row r="51" spans="1:29">
      <c r="A51" s="907"/>
      <c r="B51" s="907"/>
      <c r="C51" s="907"/>
      <c r="D51" s="907"/>
      <c r="E51" s="907"/>
      <c r="F51" s="907"/>
      <c r="G51" s="907"/>
      <c r="H51" s="907"/>
      <c r="J51" s="907"/>
      <c r="K51" s="907"/>
      <c r="L51" s="907"/>
      <c r="M51" s="907"/>
      <c r="N51" s="594" t="s">
        <v>2067</v>
      </c>
      <c r="O51" s="907"/>
      <c r="P51" s="1249"/>
      <c r="Q51" s="1273"/>
      <c r="R51" s="1299"/>
      <c r="S51" s="1298"/>
      <c r="T51" s="1299"/>
      <c r="W51" s="1298"/>
      <c r="X51" s="1279"/>
      <c r="Y51" s="1299"/>
      <c r="Z51" s="1298"/>
      <c r="AA51" s="1279"/>
      <c r="AB51" s="1299"/>
    </row>
    <row r="52" spans="1:29">
      <c r="A52" s="907"/>
      <c r="B52" s="907"/>
      <c r="C52" s="907"/>
      <c r="D52" s="907"/>
      <c r="E52" s="907"/>
      <c r="F52" s="907"/>
      <c r="G52" s="907"/>
      <c r="H52" s="907"/>
      <c r="J52" s="907"/>
      <c r="K52" s="907"/>
      <c r="L52" s="907"/>
      <c r="M52" s="907"/>
      <c r="N52" s="594" t="s">
        <v>2078</v>
      </c>
      <c r="O52" s="907"/>
      <c r="P52" s="1351"/>
      <c r="Q52" s="907" t="s">
        <v>4470</v>
      </c>
      <c r="R52" s="1275"/>
      <c r="S52" s="1351"/>
      <c r="T52" s="1352" t="s">
        <v>4471</v>
      </c>
      <c r="W52" s="1272"/>
      <c r="Y52" s="1275"/>
      <c r="Z52" s="1272"/>
      <c r="AB52" s="1275"/>
    </row>
    <row r="53" spans="1:29">
      <c r="A53" s="907"/>
      <c r="B53" s="907"/>
      <c r="C53" s="907"/>
      <c r="D53" s="907"/>
      <c r="E53" s="907"/>
      <c r="F53" s="907"/>
      <c r="G53" s="907"/>
      <c r="H53" s="907"/>
      <c r="J53" s="907"/>
      <c r="K53" s="907"/>
      <c r="L53" s="907"/>
      <c r="M53" s="907"/>
      <c r="N53" s="594" t="s">
        <v>2088</v>
      </c>
      <c r="O53" s="907"/>
      <c r="P53" s="1256"/>
      <c r="Q53" s="907"/>
      <c r="R53" s="1275"/>
      <c r="S53" s="1272"/>
      <c r="T53" s="1275"/>
      <c r="W53" s="1272"/>
      <c r="Y53" s="1275"/>
      <c r="Z53" s="1272"/>
      <c r="AA53" s="1355"/>
      <c r="AB53" s="1275"/>
    </row>
    <row r="54" spans="1:29">
      <c r="A54" s="907"/>
      <c r="B54" s="907"/>
      <c r="C54" s="907"/>
      <c r="D54" s="907"/>
      <c r="E54" s="907"/>
      <c r="F54" s="907"/>
      <c r="G54" s="907"/>
      <c r="H54" s="907"/>
      <c r="J54" s="907"/>
      <c r="K54" s="907"/>
      <c r="L54" s="907"/>
      <c r="M54" s="907"/>
      <c r="N54" s="594" t="s">
        <v>2111</v>
      </c>
      <c r="O54" s="907"/>
      <c r="P54" s="1256"/>
      <c r="Q54" s="907"/>
      <c r="R54" s="1275"/>
      <c r="S54" s="1272"/>
      <c r="T54" s="1275"/>
      <c r="W54" s="1356"/>
      <c r="Y54" s="1351"/>
      <c r="Z54" s="1272"/>
      <c r="AA54" s="594" t="s">
        <v>1961</v>
      </c>
      <c r="AB54" s="1275"/>
    </row>
    <row r="55" spans="1:29">
      <c r="A55" s="907"/>
      <c r="B55" s="907"/>
      <c r="C55" s="907"/>
      <c r="D55" s="907"/>
      <c r="E55" s="907"/>
      <c r="F55" s="907"/>
      <c r="G55" s="907"/>
      <c r="H55" s="907"/>
      <c r="J55" s="907"/>
      <c r="K55" s="907"/>
      <c r="L55" s="907"/>
      <c r="M55" s="907"/>
      <c r="N55" s="594" t="s">
        <v>2122</v>
      </c>
      <c r="O55" s="907"/>
      <c r="P55" s="1331"/>
      <c r="Q55" s="907"/>
      <c r="R55" s="1275"/>
      <c r="S55" s="1272"/>
      <c r="T55" s="1275"/>
      <c r="W55" s="595" t="s">
        <v>1946</v>
      </c>
      <c r="Y55" s="1275"/>
      <c r="Z55" s="1357"/>
      <c r="AA55" s="594" t="s">
        <v>1938</v>
      </c>
      <c r="AB55" s="1275"/>
    </row>
    <row r="56" spans="1:29">
      <c r="A56" s="907"/>
      <c r="B56" s="907"/>
      <c r="C56" s="907"/>
      <c r="D56" s="907"/>
      <c r="E56" s="907"/>
      <c r="F56" s="907"/>
      <c r="G56" s="907"/>
      <c r="H56" s="907"/>
      <c r="J56" s="907"/>
      <c r="K56" s="907"/>
      <c r="L56" s="907"/>
      <c r="M56" s="907"/>
      <c r="N56" s="594" t="s">
        <v>2133</v>
      </c>
      <c r="O56" s="907"/>
      <c r="P56" s="1256"/>
      <c r="Q56" s="907"/>
      <c r="R56" s="1275"/>
      <c r="S56" s="1357"/>
      <c r="T56" s="1275"/>
      <c r="U56" s="1045"/>
      <c r="W56" s="594" t="s">
        <v>1920</v>
      </c>
      <c r="Y56" s="1352"/>
      <c r="Z56" s="1333"/>
      <c r="AA56" s="594" t="s">
        <v>1930</v>
      </c>
      <c r="AB56" s="1275"/>
    </row>
    <row r="57" spans="1:29">
      <c r="A57" s="907"/>
      <c r="B57" s="907"/>
      <c r="C57" s="907"/>
      <c r="D57" s="907"/>
      <c r="E57" s="907"/>
      <c r="F57" s="907"/>
      <c r="G57" s="907"/>
      <c r="H57" s="907"/>
      <c r="J57" s="907"/>
      <c r="K57" s="907"/>
      <c r="L57" s="907"/>
      <c r="M57" s="907"/>
      <c r="N57" s="594" t="s">
        <v>2144</v>
      </c>
      <c r="O57" s="907"/>
      <c r="P57" s="1351"/>
      <c r="Q57" s="907" t="s">
        <v>4472</v>
      </c>
      <c r="R57" s="1275"/>
      <c r="S57" s="1351"/>
      <c r="T57" s="1352" t="s">
        <v>2031</v>
      </c>
      <c r="W57" s="594" t="s">
        <v>1953</v>
      </c>
      <c r="Y57" s="1275"/>
      <c r="Z57" s="1272"/>
      <c r="AA57" s="1355"/>
      <c r="AB57" s="1275"/>
    </row>
    <row r="58" spans="1:29">
      <c r="A58" s="907"/>
      <c r="B58" s="907"/>
      <c r="C58" s="907"/>
      <c r="D58" s="907"/>
      <c r="E58" s="907"/>
      <c r="F58" s="907"/>
      <c r="G58" s="907"/>
      <c r="H58" s="907"/>
      <c r="J58" s="907"/>
      <c r="K58" s="907"/>
      <c r="L58" s="907"/>
      <c r="M58" s="907"/>
      <c r="N58" s="594" t="s">
        <v>2155</v>
      </c>
      <c r="O58" s="907"/>
      <c r="P58" s="1256"/>
      <c r="Q58" s="907"/>
      <c r="R58" s="1275"/>
      <c r="S58" s="1272"/>
      <c r="T58" s="1275"/>
      <c r="W58" s="1272"/>
      <c r="X58" s="594" t="s">
        <v>4473</v>
      </c>
      <c r="Z58" s="1272"/>
      <c r="AB58" s="1275"/>
    </row>
    <row r="59" spans="1:29">
      <c r="A59" s="907"/>
      <c r="B59" s="907"/>
      <c r="C59" s="907"/>
      <c r="D59" s="907"/>
      <c r="E59" s="907"/>
      <c r="F59" s="907"/>
      <c r="G59" s="907"/>
      <c r="H59" s="907"/>
      <c r="J59" s="907"/>
      <c r="K59" s="907"/>
      <c r="L59" s="907"/>
      <c r="M59" s="907"/>
      <c r="N59" s="907"/>
      <c r="O59" s="907"/>
      <c r="P59" s="1256"/>
      <c r="Q59" s="1668">
        <v>8</v>
      </c>
      <c r="R59" s="1275"/>
      <c r="S59" s="1671">
        <v>6</v>
      </c>
      <c r="T59" s="1666"/>
      <c r="W59" s="1351"/>
      <c r="Y59" s="1257"/>
      <c r="Z59" s="1272"/>
      <c r="AB59" s="1275"/>
    </row>
    <row r="60" spans="1:29">
      <c r="A60" s="907"/>
      <c r="B60" s="907"/>
      <c r="C60" s="907"/>
      <c r="D60" s="907"/>
      <c r="E60" s="907"/>
      <c r="F60" s="907"/>
      <c r="G60" s="907"/>
      <c r="H60" s="907"/>
      <c r="J60" s="907"/>
      <c r="K60" s="907"/>
      <c r="L60" s="907"/>
      <c r="M60" s="907"/>
      <c r="N60" s="907"/>
      <c r="O60" s="907"/>
      <c r="P60" s="1280"/>
      <c r="Q60" s="1669"/>
      <c r="R60" s="1336"/>
      <c r="S60" s="1672"/>
      <c r="T60" s="1670"/>
      <c r="W60" s="1272"/>
      <c r="Y60" s="1275"/>
      <c r="Z60" s="1272"/>
      <c r="AA60" s="1668">
        <v>8</v>
      </c>
      <c r="AB60" s="1275"/>
    </row>
    <row r="61" spans="1:29">
      <c r="A61" s="907"/>
      <c r="B61" s="907"/>
      <c r="C61" s="907"/>
      <c r="D61" s="907"/>
      <c r="E61" s="907"/>
      <c r="F61" s="907"/>
      <c r="G61" s="907"/>
      <c r="H61" s="907"/>
      <c r="J61" s="907"/>
      <c r="K61" s="907"/>
      <c r="L61" s="907"/>
      <c r="M61" s="907"/>
      <c r="N61" s="907"/>
      <c r="O61" s="907"/>
      <c r="P61" s="907"/>
      <c r="Q61" s="907"/>
      <c r="R61" s="907"/>
      <c r="S61" s="907"/>
      <c r="T61" s="907"/>
      <c r="U61" s="907"/>
      <c r="V61" s="907"/>
      <c r="W61" s="1256"/>
      <c r="X61" s="907"/>
      <c r="Z61" s="1280"/>
      <c r="AA61" s="1669"/>
      <c r="AB61" s="1297"/>
      <c r="AC61" s="907"/>
    </row>
    <row r="62" spans="1:29">
      <c r="A62" s="907"/>
      <c r="B62" s="907"/>
      <c r="C62" s="907"/>
      <c r="D62" s="907"/>
      <c r="E62" s="907"/>
      <c r="F62" s="907"/>
      <c r="G62" s="907"/>
      <c r="H62" s="907"/>
      <c r="I62" s="907"/>
      <c r="J62" s="907"/>
      <c r="K62" s="907"/>
      <c r="L62" s="907"/>
      <c r="M62" s="907"/>
      <c r="N62" s="907"/>
      <c r="O62" s="907"/>
      <c r="P62" s="907"/>
      <c r="Q62" s="907"/>
      <c r="R62" s="907"/>
      <c r="S62" s="907"/>
      <c r="T62" s="907"/>
      <c r="U62" s="907"/>
      <c r="V62" s="907"/>
      <c r="W62" s="1256"/>
      <c r="X62" s="907"/>
      <c r="Y62" s="1257"/>
      <c r="Z62" s="907"/>
      <c r="AA62" s="907"/>
      <c r="AB62" s="907"/>
      <c r="AC62" s="907"/>
    </row>
    <row r="63" spans="1:29">
      <c r="A63" s="907"/>
      <c r="B63" s="907"/>
      <c r="C63" s="907"/>
      <c r="D63" s="907"/>
      <c r="E63" s="907"/>
      <c r="F63" s="907"/>
      <c r="G63" s="907"/>
      <c r="H63" s="907"/>
      <c r="I63" s="907"/>
      <c r="J63" s="907"/>
      <c r="K63" s="907"/>
      <c r="L63" s="907"/>
      <c r="M63" s="907"/>
      <c r="N63" s="907"/>
      <c r="O63" s="907"/>
      <c r="P63" s="907"/>
      <c r="Q63" s="907"/>
      <c r="R63" s="907"/>
      <c r="S63" s="907"/>
      <c r="T63" s="907"/>
      <c r="U63" s="907"/>
      <c r="V63" s="907"/>
      <c r="W63" s="1280"/>
      <c r="X63" s="1296"/>
      <c r="Y63" s="1297"/>
      <c r="Z63" s="907"/>
      <c r="AA63" s="907"/>
      <c r="AB63" s="907"/>
      <c r="AC63" s="907"/>
    </row>
    <row r="64" spans="1:29">
      <c r="A64" s="907"/>
      <c r="B64" s="907"/>
      <c r="C64" s="907"/>
      <c r="D64" s="907"/>
      <c r="E64" s="907"/>
      <c r="F64" s="907"/>
      <c r="G64" s="907"/>
      <c r="H64" s="907"/>
      <c r="I64" s="907"/>
      <c r="J64" s="907"/>
      <c r="K64" s="907"/>
      <c r="L64" s="907"/>
      <c r="M64" s="907"/>
      <c r="N64" s="907"/>
      <c r="O64" s="907"/>
      <c r="P64" s="907"/>
      <c r="Q64" s="907"/>
      <c r="R64" s="907"/>
      <c r="S64" s="907"/>
      <c r="T64" s="907"/>
      <c r="U64" s="907"/>
      <c r="V64" s="907"/>
      <c r="W64" s="907"/>
      <c r="X64" s="907"/>
      <c r="Y64" s="907"/>
      <c r="Z64" s="907"/>
      <c r="AA64" s="907"/>
      <c r="AB64" s="907"/>
      <c r="AC64" s="907"/>
    </row>
    <row r="65" spans="1:29">
      <c r="A65" s="907"/>
      <c r="B65" s="907"/>
      <c r="C65" s="907"/>
      <c r="D65" s="907"/>
      <c r="E65" s="907"/>
      <c r="F65" s="907"/>
      <c r="G65" s="907"/>
      <c r="H65" s="907"/>
      <c r="I65" s="907"/>
      <c r="J65" s="907"/>
      <c r="K65" s="907"/>
      <c r="L65" s="907"/>
      <c r="M65" s="907"/>
      <c r="N65" s="907"/>
      <c r="O65" s="907"/>
      <c r="P65" s="907"/>
      <c r="Q65" s="907"/>
      <c r="R65" s="907"/>
      <c r="S65" s="907"/>
      <c r="T65" s="907"/>
      <c r="U65" s="907"/>
      <c r="V65" s="907"/>
      <c r="W65" s="907"/>
      <c r="X65" s="907"/>
      <c r="Y65" s="907"/>
      <c r="Z65" s="907"/>
      <c r="AA65" s="907"/>
      <c r="AB65" s="907"/>
      <c r="AC65" s="907"/>
    </row>
    <row r="66" spans="1:29">
      <c r="A66" s="907"/>
      <c r="B66" s="907"/>
      <c r="C66" s="907"/>
      <c r="D66" s="907"/>
      <c r="E66" s="907"/>
      <c r="F66" s="907"/>
      <c r="G66" s="907"/>
      <c r="H66" s="907"/>
      <c r="I66" s="907"/>
      <c r="J66" s="907"/>
      <c r="K66" s="907"/>
      <c r="L66" s="907"/>
      <c r="M66" s="907"/>
      <c r="N66" s="907"/>
      <c r="O66" s="907"/>
      <c r="P66" s="907"/>
      <c r="Q66" s="907"/>
      <c r="R66" s="907"/>
      <c r="S66" s="907"/>
      <c r="T66" s="907"/>
      <c r="U66" s="907"/>
      <c r="V66" s="907"/>
      <c r="W66" s="907"/>
      <c r="X66" s="907"/>
      <c r="Y66" s="907"/>
      <c r="Z66" s="907"/>
      <c r="AA66" s="907"/>
      <c r="AB66" s="907"/>
      <c r="AC66" s="907"/>
    </row>
    <row r="67" spans="1:29">
      <c r="A67" s="907"/>
      <c r="B67" s="907"/>
      <c r="C67" s="907"/>
      <c r="D67" s="907"/>
      <c r="E67" s="907"/>
      <c r="F67" s="907"/>
      <c r="G67" s="907"/>
      <c r="H67" s="907"/>
      <c r="I67" s="907"/>
      <c r="J67" s="907"/>
      <c r="K67" s="907"/>
      <c r="L67" s="907"/>
      <c r="M67" s="907"/>
      <c r="N67" s="907"/>
      <c r="O67" s="907"/>
      <c r="P67" s="907"/>
      <c r="Q67" s="907"/>
      <c r="R67" s="907"/>
      <c r="S67" s="907"/>
      <c r="T67" s="907"/>
      <c r="U67" s="907"/>
      <c r="V67" s="907"/>
      <c r="W67" s="907"/>
      <c r="X67" s="907"/>
      <c r="Y67" s="907"/>
      <c r="Z67" s="907"/>
      <c r="AA67" s="907"/>
      <c r="AB67" s="907"/>
      <c r="AC67" s="907"/>
    </row>
    <row r="68" spans="1:29">
      <c r="A68" s="907"/>
      <c r="B68" s="907"/>
      <c r="C68" s="907"/>
      <c r="D68" s="907"/>
      <c r="E68" s="907"/>
      <c r="F68" s="907"/>
      <c r="G68" s="907"/>
      <c r="H68" s="907"/>
      <c r="I68" s="907"/>
      <c r="J68" s="907"/>
      <c r="K68" s="907"/>
      <c r="L68" s="907"/>
      <c r="M68" s="907"/>
      <c r="N68" s="907"/>
      <c r="O68" s="907"/>
      <c r="P68" s="907"/>
      <c r="Q68" s="907"/>
      <c r="R68" s="907"/>
      <c r="S68" s="907"/>
      <c r="T68" s="907"/>
      <c r="U68" s="907"/>
      <c r="V68" s="907"/>
      <c r="W68" s="907"/>
      <c r="X68" s="907"/>
      <c r="Y68" s="907"/>
      <c r="Z68" s="907"/>
      <c r="AA68" s="907"/>
      <c r="AB68" s="907"/>
      <c r="AC68" s="907"/>
    </row>
    <row r="69" spans="1:29">
      <c r="A69" s="907"/>
      <c r="B69" s="907"/>
      <c r="C69" s="907"/>
      <c r="D69" s="907"/>
      <c r="E69" s="907"/>
      <c r="F69" s="907"/>
      <c r="G69" s="907"/>
      <c r="H69" s="907"/>
      <c r="I69" s="907"/>
      <c r="J69" s="907"/>
      <c r="K69" s="907"/>
      <c r="L69" s="907"/>
      <c r="M69" s="907"/>
      <c r="N69" s="907"/>
      <c r="O69" s="907"/>
      <c r="P69" s="907"/>
      <c r="Q69" s="907"/>
      <c r="R69" s="907"/>
      <c r="S69" s="907"/>
      <c r="T69" s="907"/>
      <c r="U69" s="907"/>
      <c r="V69" s="907"/>
      <c r="W69" s="907"/>
      <c r="X69" s="907"/>
      <c r="Y69" s="907"/>
      <c r="Z69" s="907"/>
      <c r="AA69" s="907"/>
      <c r="AB69" s="907"/>
      <c r="AC69" s="907"/>
    </row>
    <row r="70" spans="1:29">
      <c r="A70" s="907"/>
      <c r="B70" s="907"/>
      <c r="C70" s="907"/>
      <c r="D70" s="907"/>
      <c r="E70" s="907"/>
      <c r="F70" s="907"/>
      <c r="G70" s="907"/>
      <c r="H70" s="907"/>
      <c r="I70" s="907"/>
      <c r="J70" s="907"/>
      <c r="K70" s="907"/>
      <c r="L70" s="907"/>
      <c r="M70" s="907"/>
      <c r="N70" s="907"/>
      <c r="O70" s="907"/>
      <c r="P70" s="907"/>
      <c r="Q70" s="907"/>
      <c r="R70" s="907"/>
      <c r="S70" s="907"/>
      <c r="T70" s="907"/>
      <c r="U70" s="907"/>
      <c r="V70" s="907"/>
      <c r="W70" s="907"/>
      <c r="X70" s="907"/>
      <c r="Y70" s="907"/>
      <c r="Z70" s="907"/>
      <c r="AA70" s="907"/>
      <c r="AB70" s="907"/>
      <c r="AC70" s="907"/>
    </row>
    <row r="71" spans="1:29">
      <c r="A71" s="907"/>
      <c r="B71" s="907"/>
      <c r="C71" s="907"/>
      <c r="D71" s="907"/>
      <c r="E71" s="907"/>
      <c r="F71" s="907"/>
      <c r="G71" s="907"/>
      <c r="H71" s="907"/>
      <c r="I71" s="907"/>
      <c r="J71" s="907"/>
      <c r="K71" s="907"/>
      <c r="L71" s="907"/>
      <c r="M71" s="907"/>
      <c r="N71" s="907"/>
      <c r="O71" s="907"/>
      <c r="P71" s="907"/>
      <c r="Q71" s="907"/>
      <c r="R71" s="907"/>
      <c r="S71" s="907"/>
      <c r="T71" s="907"/>
      <c r="U71" s="907"/>
      <c r="V71" s="907"/>
      <c r="W71" s="907"/>
      <c r="X71" s="907"/>
      <c r="Y71" s="907"/>
      <c r="Z71" s="907"/>
      <c r="AA71" s="907"/>
      <c r="AB71" s="907"/>
      <c r="AC71" s="907"/>
    </row>
    <row r="72" spans="1:29">
      <c r="A72" s="907"/>
      <c r="B72" s="907"/>
      <c r="C72" s="907"/>
      <c r="D72" s="907"/>
      <c r="E72" s="907"/>
      <c r="F72" s="907"/>
      <c r="G72" s="907"/>
      <c r="H72" s="907"/>
      <c r="I72" s="907"/>
      <c r="J72" s="907"/>
      <c r="K72" s="907"/>
      <c r="L72" s="907"/>
      <c r="M72" s="907"/>
      <c r="N72" s="907"/>
      <c r="O72" s="907"/>
      <c r="P72" s="907"/>
      <c r="Q72" s="907"/>
      <c r="R72" s="907"/>
      <c r="S72" s="907"/>
      <c r="T72" s="907"/>
      <c r="U72" s="907"/>
      <c r="V72" s="907"/>
      <c r="W72" s="907"/>
      <c r="X72" s="907"/>
      <c r="Y72" s="907"/>
      <c r="Z72" s="907"/>
      <c r="AA72" s="907"/>
      <c r="AB72" s="907"/>
      <c r="AC72" s="907"/>
    </row>
    <row r="73" spans="1:29">
      <c r="A73" s="907"/>
      <c r="B73" s="907"/>
      <c r="C73" s="907"/>
      <c r="D73" s="907"/>
      <c r="E73" s="907"/>
      <c r="F73" s="907"/>
      <c r="G73" s="907"/>
      <c r="H73" s="907"/>
      <c r="I73" s="907"/>
      <c r="J73" s="907"/>
      <c r="K73" s="907"/>
      <c r="L73" s="907"/>
      <c r="M73" s="907"/>
      <c r="N73" s="907"/>
      <c r="O73" s="907"/>
      <c r="P73" s="907"/>
      <c r="Q73" s="907"/>
      <c r="R73" s="907"/>
      <c r="S73" s="907"/>
      <c r="T73" s="907"/>
      <c r="U73" s="907"/>
      <c r="V73" s="907"/>
      <c r="W73" s="907"/>
      <c r="X73" s="907"/>
      <c r="Y73" s="907"/>
      <c r="Z73" s="907"/>
      <c r="AA73" s="907"/>
      <c r="AB73" s="907"/>
      <c r="AC73" s="907"/>
    </row>
    <row r="74" spans="1:29">
      <c r="A74" s="907"/>
      <c r="B74" s="907"/>
      <c r="C74" s="907"/>
      <c r="D74" s="907"/>
      <c r="E74" s="907"/>
      <c r="F74" s="907"/>
      <c r="G74" s="907"/>
      <c r="H74" s="907"/>
      <c r="I74" s="907"/>
      <c r="J74" s="907"/>
      <c r="K74" s="907"/>
      <c r="L74" s="907"/>
      <c r="M74" s="907"/>
      <c r="N74" s="907"/>
      <c r="O74" s="907"/>
      <c r="P74" s="907"/>
      <c r="Q74" s="907"/>
      <c r="R74" s="907"/>
      <c r="S74" s="907"/>
      <c r="T74" s="907"/>
      <c r="U74" s="907"/>
      <c r="V74" s="907"/>
      <c r="W74" s="907"/>
      <c r="X74" s="907"/>
      <c r="Y74" s="907"/>
      <c r="Z74" s="907"/>
      <c r="AA74" s="907"/>
      <c r="AB74" s="907"/>
      <c r="AC74" s="907"/>
    </row>
    <row r="75" spans="1:29">
      <c r="A75" s="907"/>
      <c r="B75" s="907"/>
      <c r="C75" s="907"/>
      <c r="D75" s="907"/>
      <c r="E75" s="907"/>
      <c r="F75" s="907"/>
      <c r="G75" s="907"/>
      <c r="H75" s="907"/>
      <c r="I75" s="907"/>
      <c r="J75" s="907"/>
      <c r="K75" s="907"/>
      <c r="L75" s="907"/>
      <c r="M75" s="907"/>
      <c r="N75" s="907"/>
      <c r="O75" s="907"/>
      <c r="P75" s="907"/>
      <c r="Q75" s="907"/>
      <c r="R75" s="907"/>
      <c r="S75" s="907"/>
      <c r="T75" s="907"/>
      <c r="U75" s="907"/>
      <c r="V75" s="907"/>
      <c r="W75" s="907"/>
      <c r="X75" s="907"/>
      <c r="Y75" s="907"/>
      <c r="Z75" s="907"/>
      <c r="AA75" s="907"/>
      <c r="AB75" s="907"/>
      <c r="AC75" s="907"/>
    </row>
    <row r="76" spans="1:29">
      <c r="A76" s="907"/>
      <c r="B76" s="907"/>
      <c r="C76" s="907"/>
      <c r="D76" s="907"/>
      <c r="E76" s="907"/>
      <c r="F76" s="907"/>
      <c r="G76" s="907"/>
      <c r="H76" s="907"/>
      <c r="I76" s="907"/>
      <c r="J76" s="907"/>
      <c r="K76" s="907"/>
      <c r="L76" s="907"/>
      <c r="M76" s="907"/>
      <c r="N76" s="907"/>
      <c r="O76" s="907"/>
      <c r="P76" s="907"/>
      <c r="Q76" s="907"/>
      <c r="R76" s="907"/>
      <c r="S76" s="907"/>
      <c r="T76" s="907"/>
      <c r="U76" s="907"/>
      <c r="V76" s="907"/>
      <c r="W76" s="907"/>
      <c r="X76" s="907"/>
      <c r="Y76" s="907"/>
      <c r="Z76" s="907"/>
      <c r="AA76" s="907"/>
      <c r="AB76" s="907"/>
      <c r="AC76" s="907"/>
    </row>
    <row r="77" spans="1:29">
      <c r="A77" s="907"/>
      <c r="B77" s="907"/>
      <c r="C77" s="907"/>
      <c r="D77" s="907"/>
      <c r="E77" s="907"/>
      <c r="F77" s="907"/>
      <c r="G77" s="907"/>
      <c r="H77" s="907"/>
      <c r="I77" s="907"/>
      <c r="J77" s="907"/>
      <c r="K77" s="907"/>
      <c r="L77" s="907"/>
      <c r="M77" s="907"/>
      <c r="N77" s="907"/>
      <c r="O77" s="907"/>
      <c r="P77" s="907"/>
      <c r="Q77" s="907"/>
      <c r="R77" s="907"/>
      <c r="S77" s="907"/>
      <c r="T77" s="907"/>
      <c r="U77" s="907"/>
      <c r="V77" s="907"/>
      <c r="W77" s="907"/>
      <c r="X77" s="907"/>
      <c r="Y77" s="907"/>
      <c r="Z77" s="907"/>
      <c r="AA77" s="907"/>
      <c r="AB77" s="907"/>
      <c r="AC77" s="907"/>
    </row>
    <row r="78" spans="1:29">
      <c r="A78" s="907"/>
      <c r="B78" s="907"/>
      <c r="C78" s="907"/>
      <c r="D78" s="907"/>
      <c r="E78" s="907"/>
      <c r="F78" s="907"/>
      <c r="G78" s="907"/>
      <c r="H78" s="907"/>
      <c r="I78" s="907"/>
      <c r="J78" s="907"/>
      <c r="K78" s="907"/>
      <c r="L78" s="907"/>
      <c r="M78" s="907"/>
      <c r="N78" s="907"/>
      <c r="O78" s="907"/>
      <c r="P78" s="907"/>
      <c r="Q78" s="907"/>
      <c r="R78" s="907"/>
      <c r="S78" s="907"/>
      <c r="T78" s="907"/>
      <c r="U78" s="907"/>
      <c r="V78" s="907"/>
      <c r="W78" s="907"/>
      <c r="X78" s="907"/>
      <c r="Y78" s="907"/>
      <c r="Z78" s="907"/>
      <c r="AA78" s="907"/>
      <c r="AB78" s="907"/>
      <c r="AC78" s="907"/>
    </row>
    <row r="79" spans="1:29">
      <c r="A79" s="907"/>
      <c r="B79" s="907"/>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c r="AB79" s="907"/>
      <c r="AC79" s="907"/>
    </row>
    <row r="80" spans="1:29">
      <c r="A80" s="907"/>
      <c r="B80" s="907"/>
      <c r="C80" s="907"/>
      <c r="D80" s="907"/>
      <c r="E80" s="907"/>
      <c r="F80" s="907"/>
      <c r="G80" s="907"/>
      <c r="H80" s="907"/>
      <c r="I80" s="907"/>
      <c r="J80" s="907"/>
      <c r="K80" s="907"/>
      <c r="L80" s="907"/>
      <c r="M80" s="907"/>
      <c r="N80" s="907"/>
      <c r="O80" s="907"/>
      <c r="P80" s="907"/>
      <c r="Q80" s="907"/>
      <c r="R80" s="907"/>
      <c r="S80" s="907"/>
      <c r="T80" s="907"/>
      <c r="U80" s="907"/>
      <c r="V80" s="907"/>
      <c r="W80" s="907"/>
      <c r="X80" s="907"/>
      <c r="Y80" s="907"/>
      <c r="Z80" s="907"/>
      <c r="AA80" s="907"/>
      <c r="AB80" s="907"/>
      <c r="AC80" s="907"/>
    </row>
    <row r="81" spans="1:29">
      <c r="A81" s="907"/>
      <c r="B81" s="907"/>
      <c r="C81" s="907"/>
      <c r="D81" s="907"/>
      <c r="E81" s="907"/>
      <c r="F81" s="907"/>
      <c r="G81" s="907"/>
      <c r="H81" s="907"/>
      <c r="I81" s="907"/>
      <c r="J81" s="907"/>
      <c r="K81" s="907"/>
      <c r="L81" s="907"/>
      <c r="M81" s="907"/>
      <c r="N81" s="907"/>
      <c r="O81" s="907"/>
      <c r="P81" s="907"/>
      <c r="Q81" s="907"/>
      <c r="R81" s="907"/>
      <c r="S81" s="907"/>
      <c r="T81" s="907"/>
      <c r="U81" s="907"/>
      <c r="V81" s="907"/>
      <c r="W81" s="907"/>
      <c r="X81" s="907"/>
      <c r="Y81" s="907"/>
      <c r="Z81" s="907"/>
      <c r="AA81" s="907"/>
      <c r="AB81" s="907"/>
      <c r="AC81" s="907"/>
    </row>
    <row r="82" spans="1:29">
      <c r="A82" s="907"/>
      <c r="B82" s="907"/>
      <c r="C82" s="907"/>
      <c r="D82" s="907"/>
      <c r="E82" s="907"/>
      <c r="F82" s="907"/>
      <c r="G82" s="907"/>
      <c r="H82" s="907"/>
      <c r="I82" s="907"/>
      <c r="J82" s="907"/>
      <c r="K82" s="907"/>
      <c r="L82" s="907"/>
      <c r="M82" s="907"/>
      <c r="N82" s="907"/>
      <c r="O82" s="907"/>
      <c r="P82" s="907"/>
      <c r="Q82" s="907"/>
      <c r="R82" s="907"/>
      <c r="S82" s="907"/>
      <c r="T82" s="907"/>
      <c r="U82" s="907"/>
      <c r="V82" s="907"/>
      <c r="W82" s="907"/>
      <c r="X82" s="907"/>
      <c r="Y82" s="907"/>
      <c r="Z82" s="907"/>
      <c r="AA82" s="907"/>
      <c r="AB82" s="907"/>
      <c r="AC82" s="907"/>
    </row>
    <row r="83" spans="1:29">
      <c r="A83" s="907"/>
      <c r="B83" s="907"/>
      <c r="C83" s="907"/>
      <c r="D83" s="907"/>
      <c r="E83" s="907"/>
      <c r="F83" s="907"/>
      <c r="G83" s="907"/>
      <c r="H83" s="907"/>
      <c r="I83" s="907"/>
      <c r="J83" s="907"/>
      <c r="K83" s="907"/>
      <c r="L83" s="907"/>
      <c r="M83" s="907"/>
      <c r="N83" s="907"/>
      <c r="O83" s="907"/>
      <c r="P83" s="907"/>
      <c r="Q83" s="907"/>
      <c r="R83" s="907"/>
      <c r="S83" s="907"/>
      <c r="T83" s="907"/>
      <c r="U83" s="907"/>
      <c r="V83" s="907"/>
      <c r="W83" s="907"/>
      <c r="X83" s="907"/>
      <c r="Y83" s="907"/>
      <c r="Z83" s="907"/>
      <c r="AA83" s="907"/>
      <c r="AB83" s="907"/>
      <c r="AC83" s="907"/>
    </row>
    <row r="84" spans="1:29">
      <c r="A84" s="907"/>
      <c r="B84" s="907"/>
      <c r="C84" s="907"/>
      <c r="D84" s="907"/>
      <c r="E84" s="907"/>
      <c r="F84" s="907"/>
      <c r="G84" s="907"/>
      <c r="H84" s="907"/>
      <c r="I84" s="907"/>
      <c r="J84" s="907"/>
      <c r="K84" s="907"/>
      <c r="L84" s="907"/>
      <c r="M84" s="907"/>
      <c r="N84" s="907"/>
      <c r="O84" s="907"/>
      <c r="P84" s="907"/>
      <c r="Q84" s="907"/>
      <c r="R84" s="907"/>
      <c r="S84" s="907"/>
      <c r="T84" s="907"/>
      <c r="U84" s="907"/>
      <c r="V84" s="907"/>
      <c r="W84" s="907"/>
      <c r="X84" s="907"/>
      <c r="Y84" s="907"/>
      <c r="Z84" s="907"/>
      <c r="AA84" s="907"/>
      <c r="AB84" s="907"/>
      <c r="AC84" s="907"/>
    </row>
    <row r="85" spans="1:29">
      <c r="A85" s="907"/>
      <c r="B85" s="907"/>
      <c r="C85" s="907"/>
      <c r="D85" s="907"/>
      <c r="E85" s="907"/>
      <c r="F85" s="907"/>
      <c r="G85" s="907"/>
      <c r="H85" s="907"/>
      <c r="I85" s="907"/>
      <c r="J85" s="907"/>
      <c r="K85" s="907"/>
      <c r="L85" s="907"/>
      <c r="M85" s="907"/>
      <c r="N85" s="907"/>
      <c r="O85" s="907"/>
      <c r="P85" s="907"/>
      <c r="Q85" s="907"/>
      <c r="R85" s="907"/>
      <c r="S85" s="907"/>
      <c r="T85" s="907"/>
      <c r="U85" s="907"/>
      <c r="V85" s="907"/>
      <c r="W85" s="907"/>
      <c r="X85" s="907"/>
      <c r="Y85" s="907"/>
      <c r="Z85" s="907"/>
      <c r="AA85" s="907"/>
      <c r="AB85" s="907"/>
      <c r="AC85" s="907"/>
    </row>
    <row r="86" spans="1:29">
      <c r="A86" s="907"/>
      <c r="B86" s="907"/>
      <c r="C86" s="907"/>
      <c r="D86" s="907"/>
      <c r="E86" s="907"/>
      <c r="F86" s="907"/>
      <c r="G86" s="907"/>
      <c r="H86" s="907"/>
      <c r="I86" s="907"/>
      <c r="J86" s="907"/>
      <c r="K86" s="907"/>
      <c r="L86" s="907"/>
      <c r="M86" s="907"/>
      <c r="N86" s="907"/>
      <c r="O86" s="907"/>
      <c r="P86" s="907"/>
      <c r="Q86" s="907"/>
      <c r="R86" s="907"/>
      <c r="S86" s="907"/>
      <c r="T86" s="907"/>
      <c r="U86" s="907"/>
      <c r="V86" s="907"/>
      <c r="W86" s="907"/>
      <c r="X86" s="907"/>
      <c r="Y86" s="907"/>
      <c r="Z86" s="907"/>
      <c r="AA86" s="907"/>
      <c r="AB86" s="907"/>
      <c r="AC86" s="907"/>
    </row>
    <row r="87" spans="1:29">
      <c r="A87" s="907"/>
      <c r="B87" s="907"/>
      <c r="C87" s="907"/>
      <c r="D87" s="907"/>
      <c r="E87" s="907"/>
      <c r="F87" s="907"/>
      <c r="G87" s="907"/>
      <c r="H87" s="907"/>
      <c r="I87" s="907"/>
      <c r="J87" s="907"/>
      <c r="K87" s="907"/>
      <c r="L87" s="907"/>
      <c r="M87" s="907"/>
      <c r="N87" s="907"/>
      <c r="O87" s="907"/>
      <c r="P87" s="907"/>
      <c r="Q87" s="907"/>
      <c r="R87" s="907"/>
      <c r="S87" s="907"/>
      <c r="T87" s="907"/>
      <c r="U87" s="907"/>
      <c r="V87" s="907"/>
      <c r="W87" s="907"/>
      <c r="X87" s="907"/>
      <c r="Y87" s="907"/>
      <c r="Z87" s="907"/>
      <c r="AA87" s="907"/>
      <c r="AB87" s="907"/>
      <c r="AC87" s="907"/>
    </row>
    <row r="88" spans="1:29">
      <c r="A88" s="907"/>
      <c r="B88" s="907"/>
      <c r="C88" s="907"/>
      <c r="D88" s="907"/>
      <c r="E88" s="907"/>
      <c r="F88" s="907"/>
      <c r="G88" s="907"/>
      <c r="H88" s="907"/>
      <c r="I88" s="907"/>
      <c r="J88" s="907"/>
      <c r="K88" s="907"/>
      <c r="L88" s="907"/>
      <c r="M88" s="907"/>
      <c r="N88" s="907"/>
      <c r="O88" s="907"/>
      <c r="P88" s="907"/>
      <c r="Q88" s="907"/>
      <c r="R88" s="907"/>
      <c r="S88" s="907"/>
      <c r="T88" s="907"/>
      <c r="U88" s="907"/>
      <c r="V88" s="907"/>
      <c r="W88" s="907"/>
      <c r="X88" s="907"/>
      <c r="Y88" s="907"/>
      <c r="Z88" s="907"/>
      <c r="AA88" s="907"/>
      <c r="AB88" s="907"/>
      <c r="AC88" s="907"/>
    </row>
    <row r="89" spans="1:29">
      <c r="A89" s="907"/>
      <c r="B89" s="907"/>
      <c r="C89" s="907"/>
      <c r="D89" s="907"/>
      <c r="E89" s="907"/>
      <c r="F89" s="907"/>
      <c r="G89" s="907"/>
      <c r="H89" s="907"/>
      <c r="I89" s="907"/>
      <c r="J89" s="907"/>
      <c r="K89" s="907"/>
      <c r="L89" s="907"/>
      <c r="M89" s="907"/>
      <c r="N89" s="907"/>
      <c r="O89" s="907"/>
      <c r="P89" s="907"/>
      <c r="Q89" s="907"/>
      <c r="R89" s="907"/>
      <c r="S89" s="907"/>
      <c r="T89" s="907"/>
      <c r="U89" s="907"/>
      <c r="V89" s="907"/>
      <c r="W89" s="907"/>
      <c r="X89" s="907"/>
      <c r="Y89" s="907"/>
      <c r="Z89" s="907"/>
      <c r="AA89" s="907"/>
      <c r="AB89" s="907"/>
      <c r="AC89" s="907"/>
    </row>
    <row r="90" spans="1:29">
      <c r="A90" s="907"/>
      <c r="B90" s="907"/>
      <c r="C90" s="907"/>
      <c r="D90" s="907"/>
      <c r="E90" s="907"/>
      <c r="F90" s="907"/>
      <c r="G90" s="907"/>
      <c r="H90" s="907"/>
      <c r="I90" s="907"/>
      <c r="J90" s="907"/>
      <c r="K90" s="907"/>
      <c r="L90" s="907"/>
      <c r="M90" s="907"/>
      <c r="N90" s="907"/>
      <c r="O90" s="907"/>
      <c r="P90" s="907"/>
      <c r="Q90" s="907"/>
      <c r="R90" s="907"/>
      <c r="S90" s="907"/>
      <c r="T90" s="907"/>
      <c r="U90" s="907"/>
      <c r="V90" s="907"/>
      <c r="W90" s="907"/>
      <c r="X90" s="907"/>
      <c r="Y90" s="907"/>
      <c r="Z90" s="907"/>
      <c r="AA90" s="907"/>
      <c r="AB90" s="907"/>
      <c r="AC90" s="907"/>
    </row>
    <row r="91" spans="1:29">
      <c r="A91" s="907"/>
      <c r="B91" s="907"/>
      <c r="C91" s="907"/>
      <c r="D91" s="907"/>
      <c r="E91" s="907"/>
      <c r="F91" s="907"/>
      <c r="G91" s="907"/>
      <c r="H91" s="907"/>
      <c r="I91" s="907"/>
      <c r="J91" s="907"/>
      <c r="K91" s="907"/>
      <c r="L91" s="907"/>
      <c r="M91" s="907"/>
      <c r="N91" s="907"/>
      <c r="O91" s="907"/>
      <c r="P91" s="907"/>
      <c r="Q91" s="907"/>
      <c r="R91" s="907"/>
      <c r="S91" s="907"/>
      <c r="T91" s="907"/>
      <c r="U91" s="907"/>
      <c r="V91" s="907"/>
      <c r="W91" s="907"/>
      <c r="X91" s="907"/>
      <c r="Y91" s="907"/>
      <c r="Z91" s="907"/>
      <c r="AA91" s="907"/>
      <c r="AB91" s="907"/>
      <c r="AC91" s="907"/>
    </row>
    <row r="92" spans="1:29">
      <c r="A92" s="907"/>
      <c r="B92" s="907"/>
      <c r="C92" s="907"/>
      <c r="D92" s="907"/>
      <c r="E92" s="907"/>
      <c r="F92" s="907"/>
      <c r="G92" s="907"/>
      <c r="H92" s="907"/>
      <c r="I92" s="907"/>
      <c r="J92" s="907"/>
      <c r="K92" s="907"/>
      <c r="L92" s="907"/>
      <c r="M92" s="907"/>
      <c r="N92" s="907"/>
      <c r="O92" s="907"/>
      <c r="P92" s="907"/>
      <c r="Q92" s="907"/>
      <c r="R92" s="907"/>
      <c r="S92" s="907"/>
      <c r="T92" s="907"/>
      <c r="U92" s="907"/>
      <c r="V92" s="907"/>
      <c r="W92" s="907"/>
      <c r="X92" s="907"/>
      <c r="Y92" s="907"/>
      <c r="Z92" s="907"/>
      <c r="AA92" s="907"/>
      <c r="AB92" s="907"/>
      <c r="AC92" s="907"/>
    </row>
    <row r="93" spans="1:29">
      <c r="A93" s="907"/>
      <c r="B93" s="907"/>
      <c r="C93" s="907"/>
      <c r="D93" s="907"/>
      <c r="E93" s="907"/>
      <c r="F93" s="907"/>
      <c r="G93" s="907"/>
      <c r="H93" s="907"/>
      <c r="I93" s="907"/>
      <c r="J93" s="907"/>
      <c r="K93" s="907"/>
      <c r="L93" s="907"/>
      <c r="M93" s="907"/>
      <c r="N93" s="907"/>
      <c r="O93" s="907"/>
      <c r="P93" s="907"/>
      <c r="Q93" s="907"/>
      <c r="R93" s="907"/>
      <c r="S93" s="907"/>
      <c r="T93" s="907"/>
      <c r="U93" s="907"/>
      <c r="V93" s="907"/>
      <c r="W93" s="907"/>
      <c r="X93" s="907"/>
      <c r="Y93" s="907"/>
      <c r="Z93" s="907"/>
      <c r="AA93" s="907"/>
      <c r="AB93" s="907"/>
      <c r="AC93" s="907"/>
    </row>
    <row r="94" spans="1:29">
      <c r="A94" s="907"/>
      <c r="B94" s="907"/>
      <c r="C94" s="907"/>
      <c r="D94" s="907"/>
      <c r="E94" s="907"/>
      <c r="F94" s="907"/>
      <c r="G94" s="907"/>
      <c r="H94" s="907"/>
      <c r="I94" s="907"/>
      <c r="J94" s="907"/>
      <c r="K94" s="907"/>
      <c r="L94" s="907"/>
      <c r="M94" s="907"/>
      <c r="N94" s="907"/>
      <c r="O94" s="907"/>
      <c r="P94" s="907"/>
      <c r="Q94" s="907"/>
      <c r="R94" s="907"/>
      <c r="S94" s="907"/>
      <c r="T94" s="907"/>
      <c r="U94" s="907"/>
      <c r="V94" s="907"/>
      <c r="W94" s="907"/>
      <c r="X94" s="907"/>
      <c r="Y94" s="907"/>
      <c r="Z94" s="907"/>
      <c r="AA94" s="907"/>
      <c r="AB94" s="907"/>
      <c r="AC94" s="907"/>
    </row>
    <row r="95" spans="1:29">
      <c r="A95" s="907"/>
      <c r="B95" s="907"/>
      <c r="C95" s="907"/>
      <c r="D95" s="907"/>
      <c r="E95" s="907"/>
      <c r="F95" s="907"/>
      <c r="G95" s="907"/>
      <c r="H95" s="907"/>
      <c r="I95" s="907"/>
      <c r="J95" s="907"/>
      <c r="K95" s="907"/>
      <c r="L95" s="907"/>
      <c r="M95" s="907"/>
      <c r="N95" s="907"/>
      <c r="O95" s="907"/>
      <c r="P95" s="907"/>
      <c r="Q95" s="907"/>
      <c r="R95" s="907"/>
      <c r="S95" s="907"/>
      <c r="T95" s="907"/>
      <c r="U95" s="907"/>
      <c r="V95" s="907"/>
      <c r="W95" s="907"/>
      <c r="X95" s="907"/>
      <c r="Y95" s="907"/>
      <c r="Z95" s="907"/>
      <c r="AA95" s="907"/>
      <c r="AB95" s="907"/>
      <c r="AC95" s="907"/>
    </row>
    <row r="96" spans="1:29">
      <c r="A96" s="907"/>
      <c r="B96" s="907"/>
      <c r="C96" s="907"/>
      <c r="D96" s="907"/>
      <c r="E96" s="907"/>
      <c r="F96" s="907"/>
      <c r="G96" s="907"/>
      <c r="H96" s="907"/>
      <c r="I96" s="907"/>
      <c r="J96" s="907"/>
      <c r="K96" s="907"/>
      <c r="L96" s="907"/>
      <c r="M96" s="907"/>
      <c r="N96" s="907"/>
      <c r="O96" s="907"/>
      <c r="P96" s="907"/>
      <c r="Q96" s="907"/>
      <c r="R96" s="907"/>
      <c r="S96" s="907"/>
      <c r="T96" s="907"/>
      <c r="U96" s="907"/>
      <c r="V96" s="907"/>
      <c r="W96" s="907"/>
      <c r="X96" s="907"/>
      <c r="Y96" s="907"/>
      <c r="Z96" s="907"/>
      <c r="AA96" s="907"/>
      <c r="AB96" s="907"/>
      <c r="AC96" s="907"/>
    </row>
    <row r="97" spans="1:29">
      <c r="A97" s="907"/>
      <c r="B97" s="907"/>
      <c r="C97" s="907"/>
      <c r="D97" s="907"/>
      <c r="E97" s="907"/>
      <c r="F97" s="907"/>
      <c r="G97" s="907"/>
      <c r="H97" s="907"/>
      <c r="I97" s="907"/>
      <c r="J97" s="907"/>
      <c r="K97" s="907"/>
      <c r="L97" s="907"/>
      <c r="M97" s="907"/>
      <c r="N97" s="907"/>
      <c r="O97" s="907"/>
      <c r="P97" s="907"/>
      <c r="Q97" s="907"/>
      <c r="R97" s="907"/>
      <c r="S97" s="907"/>
      <c r="T97" s="907"/>
      <c r="U97" s="907"/>
      <c r="V97" s="907"/>
      <c r="W97" s="907"/>
      <c r="X97" s="907"/>
      <c r="Y97" s="907"/>
      <c r="Z97" s="907"/>
      <c r="AA97" s="907"/>
      <c r="AB97" s="907"/>
      <c r="AC97" s="907"/>
    </row>
    <row r="98" spans="1:29">
      <c r="A98" s="907"/>
      <c r="B98" s="907"/>
      <c r="C98" s="907"/>
      <c r="D98" s="907"/>
      <c r="E98" s="907"/>
      <c r="F98" s="907"/>
      <c r="G98" s="907"/>
      <c r="H98" s="907"/>
      <c r="I98" s="907"/>
      <c r="J98" s="907"/>
      <c r="K98" s="907"/>
      <c r="L98" s="907"/>
      <c r="M98" s="907"/>
      <c r="N98" s="907"/>
      <c r="O98" s="907"/>
      <c r="P98" s="907"/>
      <c r="Q98" s="907"/>
      <c r="R98" s="907"/>
      <c r="S98" s="907"/>
      <c r="T98" s="907"/>
      <c r="U98" s="907"/>
      <c r="V98" s="907"/>
      <c r="W98" s="907"/>
      <c r="X98" s="907"/>
      <c r="Y98" s="907"/>
      <c r="Z98" s="907"/>
      <c r="AA98" s="907"/>
      <c r="AB98" s="907"/>
      <c r="AC98" s="907"/>
    </row>
    <row r="99" spans="1:29">
      <c r="A99" s="907"/>
      <c r="B99" s="907"/>
      <c r="C99" s="907"/>
      <c r="D99" s="907"/>
      <c r="E99" s="907"/>
      <c r="F99" s="907"/>
      <c r="G99" s="907"/>
      <c r="H99" s="907"/>
      <c r="I99" s="907"/>
      <c r="J99" s="907"/>
      <c r="K99" s="907"/>
      <c r="L99" s="907"/>
      <c r="M99" s="907"/>
      <c r="N99" s="907"/>
      <c r="O99" s="907"/>
      <c r="P99" s="907"/>
      <c r="Q99" s="907"/>
      <c r="R99" s="907"/>
      <c r="S99" s="907"/>
      <c r="T99" s="907"/>
      <c r="U99" s="907"/>
      <c r="V99" s="907"/>
      <c r="W99" s="907"/>
      <c r="X99" s="907"/>
      <c r="Y99" s="907"/>
      <c r="Z99" s="907"/>
      <c r="AA99" s="907"/>
      <c r="AB99" s="907"/>
      <c r="AC99" s="907"/>
    </row>
    <row r="100" spans="1:29">
      <c r="A100" s="907"/>
      <c r="B100" s="907"/>
      <c r="C100" s="907"/>
      <c r="D100" s="907"/>
      <c r="E100" s="907"/>
      <c r="F100" s="907"/>
      <c r="G100" s="907"/>
      <c r="H100" s="907"/>
      <c r="I100" s="907"/>
      <c r="J100" s="907"/>
      <c r="K100" s="907"/>
      <c r="L100" s="907"/>
      <c r="M100" s="907"/>
      <c r="N100" s="907"/>
      <c r="O100" s="907"/>
      <c r="P100" s="907"/>
      <c r="Q100" s="907"/>
      <c r="R100" s="907"/>
      <c r="S100" s="907"/>
      <c r="T100" s="907"/>
      <c r="U100" s="907"/>
      <c r="V100" s="907"/>
      <c r="W100" s="907"/>
      <c r="X100" s="907"/>
      <c r="Y100" s="907"/>
      <c r="Z100" s="907"/>
      <c r="AA100" s="907"/>
      <c r="AB100" s="907"/>
      <c r="AC100" s="907"/>
    </row>
    <row r="101" spans="1:29">
      <c r="A101" s="907"/>
      <c r="B101" s="907"/>
      <c r="C101" s="907"/>
      <c r="D101" s="907"/>
      <c r="E101" s="907"/>
      <c r="F101" s="907"/>
      <c r="G101" s="907"/>
      <c r="H101" s="907"/>
      <c r="I101" s="907"/>
      <c r="J101" s="907"/>
      <c r="K101" s="907"/>
      <c r="L101" s="907"/>
      <c r="M101" s="907"/>
      <c r="N101" s="907"/>
      <c r="O101" s="907"/>
      <c r="P101" s="907"/>
      <c r="Q101" s="907"/>
      <c r="R101" s="907"/>
      <c r="S101" s="907"/>
      <c r="T101" s="907"/>
      <c r="U101" s="907"/>
      <c r="V101" s="907"/>
      <c r="W101" s="907"/>
      <c r="X101" s="907"/>
      <c r="Y101" s="907"/>
      <c r="Z101" s="907"/>
      <c r="AA101" s="907"/>
      <c r="AB101" s="907"/>
      <c r="AC101" s="907"/>
    </row>
    <row r="102" spans="1:29">
      <c r="A102" s="907"/>
      <c r="B102" s="907"/>
      <c r="C102" s="907"/>
      <c r="D102" s="907"/>
      <c r="E102" s="907"/>
      <c r="F102" s="907"/>
      <c r="G102" s="907"/>
      <c r="H102" s="907"/>
      <c r="I102" s="907"/>
      <c r="J102" s="907"/>
      <c r="K102" s="907"/>
      <c r="L102" s="907"/>
      <c r="M102" s="907"/>
      <c r="N102" s="907"/>
      <c r="O102" s="907"/>
      <c r="P102" s="907"/>
      <c r="Q102" s="907"/>
      <c r="R102" s="907"/>
      <c r="S102" s="907"/>
      <c r="T102" s="907"/>
      <c r="U102" s="907"/>
      <c r="V102" s="907"/>
      <c r="W102" s="907"/>
      <c r="X102" s="907"/>
      <c r="Y102" s="907"/>
      <c r="Z102" s="907"/>
      <c r="AA102" s="907"/>
      <c r="AB102" s="907"/>
      <c r="AC102" s="907"/>
    </row>
    <row r="103" spans="1:29">
      <c r="A103" s="907"/>
      <c r="B103" s="907"/>
      <c r="C103" s="907"/>
      <c r="D103" s="907"/>
      <c r="E103" s="907"/>
      <c r="F103" s="907"/>
      <c r="G103" s="907"/>
      <c r="H103" s="907"/>
      <c r="I103" s="907"/>
      <c r="J103" s="907"/>
      <c r="K103" s="907"/>
      <c r="L103" s="907"/>
      <c r="M103" s="907"/>
      <c r="N103" s="907"/>
      <c r="O103" s="907"/>
      <c r="P103" s="907"/>
      <c r="Q103" s="907"/>
      <c r="R103" s="907"/>
      <c r="S103" s="907"/>
      <c r="T103" s="907"/>
      <c r="U103" s="907"/>
      <c r="V103" s="907"/>
      <c r="W103" s="907"/>
      <c r="X103" s="907"/>
      <c r="Y103" s="907"/>
      <c r="Z103" s="907"/>
      <c r="AA103" s="907"/>
      <c r="AB103" s="907"/>
      <c r="AC103" s="907"/>
    </row>
    <row r="104" spans="1:29">
      <c r="A104" s="907"/>
      <c r="B104" s="907"/>
      <c r="C104" s="907"/>
      <c r="D104" s="907"/>
      <c r="E104" s="907"/>
      <c r="F104" s="907"/>
      <c r="G104" s="907"/>
      <c r="H104" s="907"/>
      <c r="I104" s="907"/>
      <c r="J104" s="907"/>
      <c r="K104" s="907"/>
      <c r="L104" s="907"/>
      <c r="M104" s="907"/>
      <c r="N104" s="907"/>
      <c r="O104" s="907"/>
      <c r="P104" s="907"/>
      <c r="Q104" s="907"/>
      <c r="R104" s="907"/>
      <c r="S104" s="907"/>
      <c r="T104" s="907"/>
      <c r="U104" s="907"/>
      <c r="V104" s="907"/>
      <c r="W104" s="907"/>
      <c r="X104" s="907"/>
      <c r="Y104" s="907"/>
      <c r="Z104" s="907"/>
      <c r="AA104" s="907"/>
      <c r="AB104" s="907"/>
      <c r="AC104" s="907"/>
    </row>
    <row r="105" spans="1:29">
      <c r="A105" s="907"/>
      <c r="B105" s="907"/>
      <c r="C105" s="907"/>
      <c r="D105" s="907"/>
      <c r="E105" s="907"/>
      <c r="F105" s="907"/>
      <c r="G105" s="907"/>
      <c r="H105" s="907"/>
      <c r="I105" s="907"/>
      <c r="J105" s="907"/>
      <c r="K105" s="907"/>
      <c r="L105" s="907"/>
      <c r="M105" s="907"/>
      <c r="N105" s="907"/>
      <c r="O105" s="907"/>
      <c r="P105" s="907"/>
      <c r="Q105" s="907"/>
      <c r="R105" s="907"/>
      <c r="S105" s="907"/>
      <c r="T105" s="907"/>
      <c r="U105" s="907"/>
      <c r="V105" s="907"/>
      <c r="W105" s="907"/>
      <c r="X105" s="907"/>
      <c r="Y105" s="907"/>
      <c r="Z105" s="907"/>
      <c r="AA105" s="907"/>
      <c r="AB105" s="907"/>
      <c r="AC105" s="907"/>
    </row>
    <row r="106" spans="1:29">
      <c r="A106" s="907"/>
      <c r="B106" s="907"/>
      <c r="C106" s="907"/>
      <c r="D106" s="907"/>
      <c r="E106" s="907"/>
      <c r="F106" s="907"/>
      <c r="G106" s="907"/>
      <c r="H106" s="907"/>
      <c r="I106" s="907"/>
      <c r="J106" s="907"/>
      <c r="K106" s="907"/>
      <c r="L106" s="907"/>
      <c r="M106" s="907"/>
      <c r="N106" s="907"/>
      <c r="O106" s="907"/>
      <c r="P106" s="907"/>
      <c r="Q106" s="907"/>
      <c r="R106" s="907"/>
      <c r="S106" s="907"/>
      <c r="T106" s="907"/>
      <c r="U106" s="907"/>
      <c r="V106" s="907"/>
      <c r="W106" s="907"/>
      <c r="X106" s="907"/>
      <c r="Y106" s="907"/>
      <c r="Z106" s="907"/>
      <c r="AA106" s="907"/>
      <c r="AB106" s="907"/>
      <c r="AC106" s="907"/>
    </row>
    <row r="107" spans="1:29">
      <c r="A107" s="907"/>
      <c r="B107" s="907"/>
      <c r="C107" s="907"/>
      <c r="D107" s="907"/>
      <c r="E107" s="907"/>
      <c r="F107" s="907"/>
      <c r="G107" s="907"/>
      <c r="H107" s="907"/>
      <c r="I107" s="907"/>
      <c r="J107" s="907"/>
      <c r="K107" s="907"/>
      <c r="L107" s="907"/>
      <c r="M107" s="907"/>
      <c r="N107" s="907"/>
      <c r="O107" s="907"/>
      <c r="P107" s="907"/>
      <c r="Q107" s="907"/>
      <c r="R107" s="907"/>
      <c r="S107" s="907"/>
      <c r="T107" s="907"/>
      <c r="U107" s="907"/>
      <c r="V107" s="907"/>
      <c r="W107" s="907"/>
      <c r="X107" s="907"/>
      <c r="Y107" s="907"/>
      <c r="Z107" s="907"/>
      <c r="AA107" s="907"/>
      <c r="AB107" s="907"/>
      <c r="AC107" s="907"/>
    </row>
    <row r="108" spans="1:29">
      <c r="A108" s="907"/>
      <c r="B108" s="907"/>
      <c r="C108" s="907"/>
      <c r="D108" s="907"/>
      <c r="E108" s="907"/>
      <c r="F108" s="907"/>
      <c r="G108" s="907"/>
      <c r="H108" s="907"/>
      <c r="I108" s="907"/>
      <c r="J108" s="907"/>
      <c r="K108" s="907"/>
      <c r="L108" s="907"/>
      <c r="M108" s="907"/>
      <c r="N108" s="907"/>
      <c r="O108" s="907"/>
      <c r="P108" s="907"/>
      <c r="Q108" s="907"/>
      <c r="R108" s="907"/>
      <c r="S108" s="907"/>
      <c r="T108" s="907"/>
      <c r="U108" s="907"/>
      <c r="V108" s="907"/>
      <c r="W108" s="907"/>
      <c r="X108" s="907"/>
      <c r="Y108" s="907"/>
      <c r="Z108" s="907"/>
      <c r="AA108" s="907"/>
      <c r="AB108" s="907"/>
      <c r="AC108" s="907"/>
    </row>
    <row r="109" spans="1:29">
      <c r="A109" s="907"/>
      <c r="B109" s="907"/>
      <c r="C109" s="907"/>
      <c r="D109" s="907"/>
      <c r="E109" s="907"/>
      <c r="F109" s="907"/>
      <c r="G109" s="907"/>
      <c r="H109" s="907"/>
      <c r="I109" s="907"/>
      <c r="J109" s="907"/>
      <c r="K109" s="907"/>
      <c r="L109" s="907"/>
      <c r="M109" s="907"/>
      <c r="N109" s="907"/>
      <c r="O109" s="907"/>
      <c r="P109" s="907"/>
      <c r="Q109" s="907"/>
      <c r="R109" s="907"/>
      <c r="S109" s="907"/>
      <c r="T109" s="907"/>
      <c r="U109" s="907"/>
      <c r="V109" s="907"/>
      <c r="W109" s="907"/>
      <c r="X109" s="907"/>
      <c r="Y109" s="907"/>
      <c r="Z109" s="907"/>
      <c r="AA109" s="907"/>
      <c r="AB109" s="907"/>
      <c r="AC109" s="907"/>
    </row>
    <row r="110" spans="1:29">
      <c r="A110" s="907"/>
      <c r="B110" s="907"/>
      <c r="C110" s="907"/>
      <c r="D110" s="907"/>
      <c r="E110" s="907"/>
      <c r="F110" s="907"/>
      <c r="G110" s="907"/>
      <c r="H110" s="907"/>
      <c r="I110" s="907"/>
      <c r="J110" s="907"/>
      <c r="K110" s="907"/>
      <c r="L110" s="907"/>
      <c r="M110" s="907"/>
      <c r="N110" s="907"/>
      <c r="O110" s="907"/>
      <c r="P110" s="907"/>
      <c r="Q110" s="907"/>
      <c r="R110" s="907"/>
      <c r="S110" s="907"/>
      <c r="T110" s="907"/>
      <c r="U110" s="907"/>
      <c r="V110" s="907"/>
      <c r="W110" s="907"/>
      <c r="X110" s="907"/>
      <c r="Y110" s="907"/>
      <c r="Z110" s="907"/>
      <c r="AA110" s="907"/>
      <c r="AB110" s="907"/>
      <c r="AC110" s="907"/>
    </row>
    <row r="111" spans="1:29">
      <c r="A111" s="907"/>
      <c r="B111" s="907"/>
      <c r="C111" s="907"/>
      <c r="D111" s="907"/>
      <c r="E111" s="907"/>
      <c r="F111" s="907"/>
      <c r="G111" s="907"/>
      <c r="H111" s="907"/>
      <c r="I111" s="907"/>
      <c r="J111" s="907"/>
      <c r="K111" s="907"/>
      <c r="L111" s="907"/>
      <c r="M111" s="907"/>
      <c r="N111" s="907"/>
      <c r="O111" s="907"/>
      <c r="P111" s="907"/>
      <c r="Q111" s="907"/>
      <c r="R111" s="907"/>
      <c r="S111" s="907"/>
      <c r="T111" s="907"/>
      <c r="U111" s="907"/>
      <c r="V111" s="907"/>
      <c r="W111" s="907"/>
      <c r="X111" s="907"/>
      <c r="Y111" s="907"/>
      <c r="Z111" s="907"/>
      <c r="AA111" s="907"/>
      <c r="AB111" s="907"/>
      <c r="AC111" s="907"/>
    </row>
    <row r="112" spans="1:29">
      <c r="A112" s="907"/>
      <c r="B112" s="907"/>
      <c r="C112" s="907"/>
      <c r="D112" s="907"/>
      <c r="E112" s="907"/>
      <c r="F112" s="907"/>
      <c r="G112" s="907"/>
      <c r="H112" s="907"/>
      <c r="I112" s="907"/>
      <c r="J112" s="907"/>
      <c r="K112" s="907"/>
      <c r="L112" s="907"/>
      <c r="M112" s="907"/>
      <c r="N112" s="907"/>
      <c r="O112" s="907"/>
      <c r="P112" s="907"/>
      <c r="Q112" s="907"/>
      <c r="R112" s="907"/>
      <c r="S112" s="907"/>
      <c r="T112" s="907"/>
      <c r="U112" s="907"/>
      <c r="V112" s="907"/>
      <c r="W112" s="907"/>
      <c r="X112" s="907"/>
      <c r="Y112" s="907"/>
      <c r="Z112" s="907"/>
      <c r="AA112" s="907"/>
      <c r="AB112" s="907"/>
      <c r="AC112" s="907"/>
    </row>
    <row r="113" spans="1:29">
      <c r="A113" s="907"/>
      <c r="B113" s="907"/>
      <c r="C113" s="907"/>
      <c r="D113" s="907"/>
      <c r="E113" s="907"/>
      <c r="F113" s="907"/>
      <c r="G113" s="907"/>
      <c r="H113" s="907"/>
      <c r="I113" s="907"/>
      <c r="J113" s="907"/>
      <c r="K113" s="907"/>
      <c r="L113" s="907"/>
      <c r="M113" s="907"/>
      <c r="N113" s="907"/>
      <c r="O113" s="907"/>
      <c r="P113" s="907"/>
      <c r="Q113" s="907"/>
      <c r="R113" s="907"/>
      <c r="S113" s="907"/>
      <c r="T113" s="907"/>
      <c r="U113" s="907"/>
      <c r="V113" s="907"/>
      <c r="W113" s="907"/>
      <c r="X113" s="907"/>
      <c r="Y113" s="907"/>
      <c r="Z113" s="907"/>
      <c r="AA113" s="907"/>
      <c r="AB113" s="907"/>
      <c r="AC113" s="907"/>
    </row>
    <row r="114" spans="1:29">
      <c r="A114" s="907"/>
      <c r="B114" s="907"/>
      <c r="C114" s="907"/>
      <c r="D114" s="907"/>
      <c r="E114" s="907"/>
      <c r="F114" s="907"/>
      <c r="G114" s="907"/>
      <c r="H114" s="907"/>
      <c r="I114" s="907"/>
      <c r="J114" s="907"/>
      <c r="K114" s="907"/>
      <c r="L114" s="907"/>
      <c r="M114" s="907"/>
      <c r="N114" s="907"/>
      <c r="O114" s="907"/>
      <c r="P114" s="907"/>
      <c r="Q114" s="907"/>
      <c r="R114" s="907"/>
      <c r="S114" s="907"/>
      <c r="T114" s="907"/>
      <c r="U114" s="907"/>
      <c r="V114" s="907"/>
      <c r="W114" s="907"/>
      <c r="X114" s="907"/>
      <c r="Y114" s="907"/>
      <c r="Z114" s="907"/>
      <c r="AA114" s="907"/>
      <c r="AB114" s="907"/>
      <c r="AC114" s="907"/>
    </row>
    <row r="115" spans="1:29">
      <c r="A115" s="907"/>
      <c r="B115" s="907"/>
      <c r="C115" s="907"/>
      <c r="D115" s="907"/>
      <c r="E115" s="907"/>
      <c r="F115" s="907"/>
      <c r="G115" s="907"/>
      <c r="H115" s="907"/>
      <c r="I115" s="907"/>
      <c r="J115" s="907"/>
      <c r="K115" s="907"/>
      <c r="L115" s="907"/>
      <c r="M115" s="907"/>
      <c r="N115" s="907"/>
      <c r="O115" s="907"/>
      <c r="P115" s="907"/>
      <c r="Q115" s="907"/>
      <c r="R115" s="907"/>
      <c r="S115" s="907"/>
      <c r="T115" s="907"/>
      <c r="U115" s="907"/>
      <c r="V115" s="907"/>
      <c r="W115" s="907"/>
      <c r="X115" s="907"/>
      <c r="Y115" s="907"/>
      <c r="Z115" s="907"/>
      <c r="AA115" s="907"/>
      <c r="AB115" s="907"/>
      <c r="AC115" s="907"/>
    </row>
    <row r="116" spans="1:29">
      <c r="A116" s="907"/>
      <c r="B116" s="907"/>
      <c r="C116" s="907"/>
      <c r="D116" s="907"/>
      <c r="E116" s="907"/>
      <c r="F116" s="907"/>
      <c r="G116" s="907"/>
      <c r="H116" s="907"/>
      <c r="I116" s="907"/>
      <c r="J116" s="907"/>
      <c r="K116" s="907"/>
      <c r="L116" s="907"/>
      <c r="M116" s="907"/>
      <c r="N116" s="907"/>
      <c r="O116" s="907"/>
      <c r="P116" s="907"/>
      <c r="Q116" s="907"/>
      <c r="R116" s="907"/>
      <c r="S116" s="907"/>
      <c r="T116" s="907"/>
      <c r="U116" s="907"/>
      <c r="V116" s="907"/>
      <c r="W116" s="907"/>
      <c r="X116" s="907"/>
      <c r="Y116" s="907"/>
      <c r="Z116" s="907"/>
      <c r="AA116" s="907"/>
      <c r="AB116" s="907"/>
      <c r="AC116" s="907"/>
    </row>
    <row r="117" spans="1:29">
      <c r="A117" s="907"/>
      <c r="B117" s="907"/>
      <c r="C117" s="907"/>
      <c r="D117" s="907"/>
      <c r="E117" s="907"/>
      <c r="F117" s="907"/>
      <c r="G117" s="907"/>
      <c r="H117" s="907"/>
      <c r="I117" s="907"/>
      <c r="J117" s="907"/>
      <c r="K117" s="907"/>
      <c r="L117" s="907"/>
      <c r="M117" s="907"/>
      <c r="N117" s="907"/>
      <c r="O117" s="907"/>
      <c r="P117" s="907"/>
      <c r="Q117" s="907"/>
      <c r="R117" s="907"/>
      <c r="S117" s="907"/>
      <c r="T117" s="907"/>
      <c r="U117" s="907"/>
      <c r="V117" s="907"/>
      <c r="W117" s="907"/>
      <c r="X117" s="907"/>
      <c r="Y117" s="907"/>
      <c r="Z117" s="907"/>
      <c r="AA117" s="907"/>
      <c r="AB117" s="907"/>
      <c r="AC117" s="907"/>
    </row>
    <row r="118" spans="1:29">
      <c r="A118" s="907"/>
      <c r="B118" s="907"/>
      <c r="C118" s="907"/>
      <c r="D118" s="907"/>
      <c r="E118" s="907"/>
      <c r="F118" s="907"/>
      <c r="G118" s="907"/>
      <c r="H118" s="907"/>
      <c r="I118" s="907"/>
      <c r="J118" s="907"/>
      <c r="K118" s="907"/>
      <c r="L118" s="907"/>
      <c r="M118" s="907"/>
      <c r="N118" s="907"/>
      <c r="O118" s="907"/>
      <c r="P118" s="907"/>
      <c r="Q118" s="907"/>
      <c r="R118" s="907"/>
      <c r="S118" s="907"/>
      <c r="T118" s="907"/>
      <c r="U118" s="907"/>
      <c r="V118" s="907"/>
      <c r="W118" s="907"/>
      <c r="X118" s="907"/>
      <c r="Y118" s="907"/>
      <c r="Z118" s="907"/>
      <c r="AA118" s="907"/>
      <c r="AB118" s="907"/>
      <c r="AC118" s="907"/>
    </row>
    <row r="119" spans="1:29">
      <c r="A119" s="907"/>
      <c r="B119" s="907"/>
      <c r="C119" s="907"/>
      <c r="D119" s="907"/>
      <c r="E119" s="907"/>
      <c r="F119" s="907"/>
      <c r="G119" s="907"/>
      <c r="H119" s="907"/>
      <c r="I119" s="907"/>
      <c r="J119" s="907"/>
      <c r="K119" s="907"/>
      <c r="L119" s="907"/>
      <c r="M119" s="907"/>
      <c r="N119" s="907"/>
      <c r="O119" s="907"/>
      <c r="P119" s="907"/>
      <c r="Q119" s="907"/>
      <c r="R119" s="907"/>
      <c r="S119" s="907"/>
      <c r="T119" s="907"/>
      <c r="U119" s="907"/>
      <c r="V119" s="907"/>
      <c r="W119" s="907"/>
      <c r="X119" s="907"/>
      <c r="Y119" s="907"/>
      <c r="Z119" s="907"/>
      <c r="AA119" s="907"/>
      <c r="AB119" s="907"/>
      <c r="AC119" s="907"/>
    </row>
    <row r="120" spans="1:29">
      <c r="A120" s="907"/>
      <c r="B120" s="907"/>
      <c r="C120" s="907"/>
      <c r="D120" s="907"/>
      <c r="E120" s="907"/>
      <c r="F120" s="907"/>
      <c r="G120" s="907"/>
      <c r="H120" s="907"/>
      <c r="I120" s="907"/>
      <c r="J120" s="907"/>
      <c r="K120" s="907"/>
      <c r="L120" s="907"/>
      <c r="M120" s="907"/>
      <c r="N120" s="907"/>
      <c r="O120" s="907"/>
      <c r="P120" s="907"/>
      <c r="Q120" s="907"/>
      <c r="R120" s="907"/>
      <c r="S120" s="907"/>
      <c r="T120" s="907"/>
      <c r="U120" s="907"/>
      <c r="V120" s="907"/>
      <c r="W120" s="907"/>
      <c r="X120" s="907"/>
      <c r="Y120" s="907"/>
      <c r="Z120" s="907"/>
      <c r="AA120" s="907"/>
      <c r="AB120" s="907"/>
      <c r="AC120" s="907"/>
    </row>
    <row r="121" spans="1:29">
      <c r="A121" s="907"/>
      <c r="B121" s="907"/>
      <c r="C121" s="907"/>
      <c r="D121" s="907"/>
      <c r="E121" s="907"/>
      <c r="F121" s="907"/>
      <c r="G121" s="907"/>
      <c r="H121" s="907"/>
      <c r="I121" s="907"/>
      <c r="J121" s="907"/>
      <c r="K121" s="907"/>
      <c r="L121" s="907"/>
      <c r="M121" s="907"/>
      <c r="N121" s="907"/>
      <c r="O121" s="907"/>
      <c r="P121" s="907"/>
      <c r="Q121" s="907"/>
      <c r="R121" s="907"/>
      <c r="S121" s="907"/>
      <c r="T121" s="907"/>
      <c r="U121" s="907"/>
      <c r="V121" s="907"/>
      <c r="W121" s="907"/>
      <c r="X121" s="907"/>
      <c r="Y121" s="907"/>
      <c r="Z121" s="907"/>
      <c r="AA121" s="907"/>
      <c r="AB121" s="907"/>
      <c r="AC121" s="907"/>
    </row>
    <row r="122" spans="1:29">
      <c r="A122" s="907"/>
      <c r="B122" s="907"/>
      <c r="C122" s="907"/>
      <c r="D122" s="907"/>
      <c r="E122" s="907"/>
      <c r="F122" s="907"/>
      <c r="G122" s="907"/>
      <c r="H122" s="907"/>
      <c r="I122" s="907"/>
      <c r="J122" s="907"/>
      <c r="K122" s="907"/>
      <c r="L122" s="907"/>
      <c r="M122" s="907"/>
      <c r="N122" s="907"/>
      <c r="O122" s="907"/>
      <c r="P122" s="907"/>
      <c r="Q122" s="907"/>
      <c r="R122" s="907"/>
      <c r="S122" s="907"/>
      <c r="T122" s="907"/>
      <c r="U122" s="907"/>
      <c r="V122" s="907"/>
      <c r="W122" s="907"/>
      <c r="X122" s="907"/>
      <c r="Y122" s="907"/>
      <c r="Z122" s="907"/>
      <c r="AA122" s="907"/>
      <c r="AB122" s="907"/>
      <c r="AC122" s="907"/>
    </row>
    <row r="123" spans="1:29">
      <c r="A123" s="907"/>
      <c r="B123" s="907"/>
      <c r="C123" s="907"/>
      <c r="D123" s="907"/>
      <c r="E123" s="907"/>
      <c r="F123" s="907"/>
      <c r="G123" s="907"/>
      <c r="H123" s="907"/>
      <c r="I123" s="907"/>
      <c r="J123" s="907"/>
      <c r="K123" s="907"/>
      <c r="L123" s="907"/>
      <c r="M123" s="907"/>
      <c r="N123" s="907"/>
      <c r="O123" s="907"/>
      <c r="P123" s="907"/>
      <c r="Q123" s="907"/>
      <c r="R123" s="907"/>
      <c r="S123" s="907"/>
      <c r="T123" s="907"/>
      <c r="U123" s="907"/>
      <c r="V123" s="907"/>
      <c r="W123" s="907"/>
      <c r="X123" s="907"/>
      <c r="Y123" s="907"/>
      <c r="Z123" s="907"/>
      <c r="AA123" s="907"/>
      <c r="AB123" s="907"/>
      <c r="AC123" s="907"/>
    </row>
    <row r="124" spans="1:29">
      <c r="A124" s="907"/>
      <c r="B124" s="907"/>
      <c r="C124" s="907"/>
      <c r="D124" s="907"/>
      <c r="E124" s="907"/>
      <c r="F124" s="907"/>
      <c r="G124" s="907"/>
      <c r="H124" s="907"/>
      <c r="I124" s="907"/>
      <c r="J124" s="907"/>
      <c r="K124" s="907"/>
      <c r="L124" s="907"/>
      <c r="M124" s="907"/>
      <c r="N124" s="907"/>
      <c r="O124" s="907"/>
      <c r="P124" s="907"/>
      <c r="Q124" s="907"/>
      <c r="R124" s="907"/>
      <c r="S124" s="907"/>
      <c r="T124" s="907"/>
      <c r="U124" s="907"/>
      <c r="V124" s="907"/>
      <c r="W124" s="907"/>
      <c r="X124" s="907"/>
      <c r="Y124" s="907"/>
      <c r="Z124" s="907"/>
      <c r="AA124" s="907"/>
      <c r="AB124" s="907"/>
      <c r="AC124" s="907"/>
    </row>
    <row r="125" spans="1:29">
      <c r="A125" s="907"/>
      <c r="B125" s="907"/>
      <c r="C125" s="907"/>
      <c r="D125" s="907"/>
      <c r="E125" s="907"/>
      <c r="F125" s="907"/>
      <c r="G125" s="907"/>
      <c r="H125" s="907"/>
      <c r="I125" s="907"/>
      <c r="J125" s="907"/>
      <c r="K125" s="907"/>
      <c r="L125" s="907"/>
      <c r="M125" s="907"/>
      <c r="N125" s="907"/>
      <c r="O125" s="907"/>
      <c r="P125" s="907"/>
      <c r="Q125" s="907"/>
      <c r="R125" s="907"/>
      <c r="S125" s="907"/>
      <c r="T125" s="907"/>
      <c r="U125" s="907"/>
      <c r="V125" s="907"/>
      <c r="W125" s="907"/>
      <c r="X125" s="907"/>
      <c r="Y125" s="907"/>
      <c r="Z125" s="907"/>
      <c r="AA125" s="907"/>
      <c r="AB125" s="907"/>
      <c r="AC125" s="907"/>
    </row>
    <row r="126" spans="1:29">
      <c r="A126" s="907"/>
      <c r="B126" s="907"/>
      <c r="C126" s="907"/>
      <c r="D126" s="907"/>
      <c r="E126" s="907"/>
      <c r="F126" s="907"/>
      <c r="G126" s="907"/>
      <c r="H126" s="907"/>
      <c r="I126" s="907"/>
      <c r="J126" s="907"/>
      <c r="K126" s="907"/>
      <c r="L126" s="907"/>
      <c r="M126" s="907"/>
      <c r="N126" s="907"/>
      <c r="O126" s="907"/>
      <c r="P126" s="907"/>
      <c r="Q126" s="907"/>
      <c r="R126" s="907"/>
      <c r="S126" s="907"/>
      <c r="T126" s="907"/>
      <c r="U126" s="907"/>
      <c r="V126" s="907"/>
      <c r="W126" s="907"/>
      <c r="X126" s="907"/>
      <c r="Y126" s="907"/>
      <c r="Z126" s="907"/>
      <c r="AA126" s="907"/>
      <c r="AB126" s="907"/>
      <c r="AC126" s="907"/>
    </row>
    <row r="127" spans="1:29">
      <c r="A127" s="907"/>
      <c r="B127" s="907"/>
      <c r="C127" s="907"/>
      <c r="D127" s="907"/>
      <c r="E127" s="907"/>
      <c r="F127" s="907"/>
      <c r="G127" s="907"/>
      <c r="H127" s="907"/>
      <c r="I127" s="907"/>
      <c r="J127" s="907"/>
      <c r="K127" s="907"/>
      <c r="L127" s="907"/>
      <c r="M127" s="907"/>
      <c r="N127" s="907"/>
      <c r="O127" s="907"/>
      <c r="P127" s="907"/>
      <c r="Q127" s="907"/>
      <c r="R127" s="907"/>
      <c r="S127" s="907"/>
      <c r="T127" s="907"/>
      <c r="U127" s="907"/>
      <c r="V127" s="907"/>
      <c r="W127" s="907"/>
      <c r="X127" s="907"/>
      <c r="Y127" s="907"/>
      <c r="Z127" s="907"/>
      <c r="AA127" s="907"/>
      <c r="AB127" s="907"/>
      <c r="AC127" s="907"/>
    </row>
    <row r="128" spans="1:29">
      <c r="A128" s="907"/>
      <c r="B128" s="907"/>
      <c r="C128" s="907"/>
      <c r="D128" s="907"/>
      <c r="E128" s="907"/>
      <c r="F128" s="907"/>
      <c r="G128" s="907"/>
      <c r="H128" s="907"/>
      <c r="I128" s="907"/>
      <c r="J128" s="907"/>
      <c r="K128" s="907"/>
      <c r="L128" s="907"/>
      <c r="M128" s="907"/>
      <c r="N128" s="907"/>
      <c r="O128" s="907"/>
      <c r="P128" s="907"/>
      <c r="Q128" s="907"/>
      <c r="R128" s="907"/>
      <c r="S128" s="907"/>
      <c r="T128" s="907"/>
      <c r="U128" s="907"/>
      <c r="V128" s="907"/>
      <c r="W128" s="907"/>
      <c r="X128" s="907"/>
      <c r="Y128" s="907"/>
      <c r="Z128" s="907"/>
      <c r="AA128" s="907"/>
      <c r="AB128" s="907"/>
      <c r="AC128" s="907"/>
    </row>
    <row r="129" spans="1:29">
      <c r="A129" s="907"/>
      <c r="B129" s="907"/>
      <c r="C129" s="907"/>
      <c r="D129" s="907"/>
      <c r="E129" s="907"/>
      <c r="F129" s="907"/>
      <c r="G129" s="907"/>
      <c r="H129" s="907"/>
      <c r="I129" s="907"/>
      <c r="J129" s="907"/>
      <c r="K129" s="907"/>
      <c r="L129" s="907"/>
      <c r="M129" s="907"/>
      <c r="N129" s="907"/>
      <c r="O129" s="907"/>
      <c r="P129" s="907"/>
      <c r="Q129" s="907"/>
      <c r="R129" s="907"/>
      <c r="S129" s="907"/>
      <c r="T129" s="907"/>
      <c r="U129" s="907"/>
      <c r="V129" s="907"/>
      <c r="W129" s="907"/>
      <c r="X129" s="907"/>
      <c r="Y129" s="907"/>
      <c r="Z129" s="907"/>
      <c r="AA129" s="907"/>
      <c r="AB129" s="907"/>
      <c r="AC129" s="907"/>
    </row>
    <row r="130" spans="1:29">
      <c r="A130" s="907"/>
      <c r="B130" s="907"/>
      <c r="C130" s="907"/>
      <c r="D130" s="907"/>
      <c r="E130" s="907"/>
      <c r="F130" s="907"/>
      <c r="G130" s="907"/>
      <c r="H130" s="907"/>
      <c r="I130" s="907"/>
      <c r="J130" s="907"/>
      <c r="K130" s="907"/>
      <c r="L130" s="907"/>
      <c r="M130" s="907"/>
      <c r="N130" s="907"/>
      <c r="O130" s="907"/>
      <c r="P130" s="907"/>
      <c r="Q130" s="907"/>
      <c r="R130" s="907"/>
      <c r="S130" s="907"/>
      <c r="T130" s="907"/>
      <c r="U130" s="907"/>
      <c r="V130" s="907"/>
      <c r="W130" s="907"/>
      <c r="X130" s="907"/>
      <c r="Y130" s="907"/>
      <c r="Z130" s="907"/>
      <c r="AA130" s="907"/>
      <c r="AB130" s="907"/>
      <c r="AC130" s="907"/>
    </row>
    <row r="131" spans="1:29">
      <c r="A131" s="907"/>
      <c r="B131" s="907"/>
      <c r="C131" s="907"/>
      <c r="D131" s="907"/>
      <c r="E131" s="907"/>
      <c r="F131" s="907"/>
      <c r="G131" s="907"/>
      <c r="H131" s="907"/>
      <c r="I131" s="907"/>
      <c r="J131" s="907"/>
      <c r="K131" s="907"/>
      <c r="L131" s="907"/>
      <c r="M131" s="907"/>
      <c r="N131" s="907"/>
      <c r="O131" s="907"/>
      <c r="P131" s="907"/>
      <c r="Q131" s="907"/>
      <c r="R131" s="907"/>
      <c r="S131" s="907"/>
      <c r="T131" s="907"/>
      <c r="U131" s="907"/>
      <c r="V131" s="907"/>
      <c r="W131" s="907"/>
      <c r="X131" s="907"/>
      <c r="Y131" s="907"/>
      <c r="Z131" s="907"/>
      <c r="AA131" s="907"/>
      <c r="AB131" s="907"/>
      <c r="AC131" s="907"/>
    </row>
    <row r="132" spans="1:29">
      <c r="A132" s="907"/>
      <c r="B132" s="907"/>
      <c r="C132" s="907"/>
      <c r="D132" s="907"/>
      <c r="E132" s="907"/>
      <c r="F132" s="907"/>
      <c r="G132" s="907"/>
      <c r="H132" s="907"/>
      <c r="I132" s="907"/>
      <c r="J132" s="907"/>
      <c r="K132" s="907"/>
      <c r="L132" s="907"/>
      <c r="M132" s="907"/>
      <c r="N132" s="907"/>
      <c r="O132" s="907"/>
      <c r="P132" s="907"/>
      <c r="Q132" s="907"/>
      <c r="R132" s="907"/>
      <c r="S132" s="907"/>
      <c r="T132" s="907"/>
      <c r="U132" s="907"/>
      <c r="V132" s="907"/>
      <c r="W132" s="907"/>
      <c r="X132" s="907"/>
      <c r="Y132" s="907"/>
      <c r="Z132" s="907"/>
      <c r="AA132" s="907"/>
      <c r="AB132" s="907"/>
      <c r="AC132" s="907"/>
    </row>
    <row r="133" spans="1:29">
      <c r="A133" s="907"/>
      <c r="B133" s="907"/>
      <c r="C133" s="907"/>
      <c r="D133" s="907"/>
      <c r="E133" s="907"/>
      <c r="F133" s="907"/>
      <c r="G133" s="907"/>
      <c r="H133" s="907"/>
      <c r="I133" s="907"/>
      <c r="J133" s="907"/>
      <c r="K133" s="907"/>
      <c r="L133" s="907"/>
      <c r="M133" s="907"/>
      <c r="N133" s="907"/>
      <c r="O133" s="907"/>
      <c r="P133" s="907"/>
      <c r="Q133" s="907"/>
      <c r="R133" s="907"/>
      <c r="S133" s="907"/>
      <c r="T133" s="907"/>
      <c r="U133" s="907"/>
      <c r="V133" s="907"/>
      <c r="W133" s="907"/>
      <c r="X133" s="907"/>
      <c r="Y133" s="907"/>
      <c r="Z133" s="907"/>
      <c r="AA133" s="907"/>
      <c r="AB133" s="907"/>
      <c r="AC133" s="907"/>
    </row>
    <row r="134" spans="1:29">
      <c r="A134" s="907"/>
      <c r="B134" s="907"/>
      <c r="C134" s="907"/>
      <c r="D134" s="907"/>
      <c r="E134" s="907"/>
      <c r="F134" s="907"/>
      <c r="G134" s="907"/>
      <c r="H134" s="907"/>
      <c r="I134" s="907"/>
      <c r="J134" s="907"/>
      <c r="K134" s="907"/>
      <c r="L134" s="907"/>
      <c r="M134" s="907"/>
      <c r="N134" s="907"/>
      <c r="O134" s="907"/>
      <c r="P134" s="907"/>
      <c r="Q134" s="907"/>
      <c r="R134" s="907"/>
      <c r="S134" s="907"/>
      <c r="T134" s="907"/>
      <c r="U134" s="907"/>
      <c r="V134" s="907"/>
      <c r="W134" s="907"/>
      <c r="X134" s="907"/>
      <c r="Y134" s="907"/>
      <c r="Z134" s="907"/>
      <c r="AA134" s="907"/>
      <c r="AB134" s="907"/>
      <c r="AC134" s="907"/>
    </row>
    <row r="135" spans="1:29">
      <c r="A135" s="907"/>
      <c r="B135" s="907"/>
      <c r="C135" s="907"/>
      <c r="D135" s="907"/>
      <c r="E135" s="907"/>
      <c r="F135" s="907"/>
      <c r="G135" s="907"/>
      <c r="H135" s="907"/>
      <c r="I135" s="907"/>
      <c r="J135" s="907"/>
      <c r="K135" s="907"/>
      <c r="L135" s="907"/>
      <c r="M135" s="907"/>
      <c r="N135" s="907"/>
      <c r="O135" s="907"/>
      <c r="P135" s="907"/>
      <c r="Q135" s="907"/>
      <c r="R135" s="907"/>
      <c r="S135" s="907"/>
      <c r="T135" s="907"/>
      <c r="U135" s="907"/>
      <c r="V135" s="907"/>
      <c r="W135" s="907"/>
      <c r="X135" s="907"/>
      <c r="Y135" s="907"/>
      <c r="Z135" s="907"/>
      <c r="AA135" s="907"/>
      <c r="AB135" s="907"/>
      <c r="AC135" s="907"/>
    </row>
    <row r="136" spans="1:29">
      <c r="A136" s="907"/>
      <c r="B136" s="907"/>
      <c r="C136" s="907"/>
      <c r="D136" s="907"/>
      <c r="E136" s="907"/>
      <c r="F136" s="907"/>
      <c r="G136" s="907"/>
      <c r="H136" s="907"/>
      <c r="I136" s="907"/>
      <c r="J136" s="907"/>
      <c r="K136" s="907"/>
      <c r="L136" s="907"/>
      <c r="M136" s="907"/>
      <c r="N136" s="907"/>
      <c r="O136" s="907"/>
      <c r="P136" s="907"/>
      <c r="Q136" s="907"/>
      <c r="R136" s="907"/>
      <c r="S136" s="907"/>
      <c r="T136" s="907"/>
      <c r="U136" s="907"/>
      <c r="V136" s="907"/>
      <c r="W136" s="907"/>
      <c r="X136" s="907"/>
      <c r="Y136" s="907"/>
      <c r="Z136" s="907"/>
      <c r="AA136" s="907"/>
      <c r="AB136" s="907"/>
      <c r="AC136" s="907"/>
    </row>
    <row r="137" spans="1:29">
      <c r="A137" s="907"/>
      <c r="B137" s="907"/>
      <c r="C137" s="907"/>
      <c r="D137" s="907"/>
      <c r="E137" s="907"/>
      <c r="F137" s="907"/>
      <c r="G137" s="907"/>
      <c r="H137" s="907"/>
      <c r="I137" s="907"/>
      <c r="J137" s="907"/>
      <c r="K137" s="907"/>
      <c r="L137" s="907"/>
      <c r="M137" s="907"/>
      <c r="N137" s="907"/>
      <c r="O137" s="907"/>
      <c r="P137" s="907"/>
      <c r="Q137" s="907"/>
      <c r="R137" s="907"/>
      <c r="S137" s="907"/>
      <c r="T137" s="907"/>
      <c r="U137" s="907"/>
      <c r="V137" s="907"/>
      <c r="W137" s="907"/>
      <c r="X137" s="907"/>
      <c r="Y137" s="907"/>
      <c r="Z137" s="907"/>
      <c r="AA137" s="907"/>
      <c r="AB137" s="907"/>
      <c r="AC137" s="907"/>
    </row>
    <row r="138" spans="1:29">
      <c r="A138" s="907"/>
      <c r="B138" s="907"/>
      <c r="C138" s="907"/>
      <c r="D138" s="907"/>
      <c r="E138" s="907"/>
      <c r="F138" s="907"/>
      <c r="G138" s="907"/>
      <c r="H138" s="907"/>
      <c r="I138" s="907"/>
      <c r="J138" s="907"/>
      <c r="K138" s="907"/>
      <c r="L138" s="907"/>
      <c r="M138" s="907"/>
      <c r="N138" s="907"/>
      <c r="O138" s="907"/>
      <c r="P138" s="907"/>
      <c r="Q138" s="907"/>
      <c r="R138" s="907"/>
      <c r="S138" s="907"/>
      <c r="T138" s="907"/>
      <c r="U138" s="907"/>
      <c r="V138" s="907"/>
      <c r="W138" s="907"/>
      <c r="X138" s="907"/>
      <c r="Y138" s="907"/>
      <c r="Z138" s="907"/>
      <c r="AA138" s="907"/>
      <c r="AB138" s="907"/>
      <c r="AC138" s="907"/>
    </row>
    <row r="139" spans="1:29">
      <c r="A139" s="907"/>
      <c r="B139" s="907"/>
      <c r="C139" s="907"/>
      <c r="D139" s="907"/>
      <c r="E139" s="907"/>
      <c r="F139" s="907"/>
      <c r="G139" s="907"/>
      <c r="H139" s="907"/>
      <c r="I139" s="907"/>
      <c r="J139" s="907"/>
      <c r="K139" s="907"/>
      <c r="L139" s="907"/>
      <c r="M139" s="907"/>
      <c r="N139" s="907"/>
      <c r="O139" s="907"/>
      <c r="P139" s="907"/>
      <c r="Q139" s="907"/>
      <c r="R139" s="907"/>
      <c r="S139" s="907"/>
      <c r="T139" s="907"/>
      <c r="U139" s="907"/>
      <c r="V139" s="907"/>
      <c r="W139" s="907"/>
      <c r="X139" s="907"/>
      <c r="Y139" s="907"/>
      <c r="Z139" s="907"/>
      <c r="AA139" s="907"/>
      <c r="AB139" s="907"/>
      <c r="AC139" s="907"/>
    </row>
    <row r="140" spans="1:29">
      <c r="A140" s="907"/>
      <c r="B140" s="907"/>
      <c r="C140" s="907"/>
      <c r="D140" s="907"/>
      <c r="E140" s="907"/>
      <c r="F140" s="907"/>
      <c r="G140" s="907"/>
      <c r="H140" s="907"/>
      <c r="I140" s="907"/>
      <c r="J140" s="907"/>
      <c r="K140" s="907"/>
      <c r="L140" s="907"/>
      <c r="M140" s="907"/>
      <c r="N140" s="907"/>
      <c r="O140" s="907"/>
      <c r="P140" s="907"/>
      <c r="Q140" s="907"/>
      <c r="R140" s="907"/>
      <c r="S140" s="907"/>
      <c r="T140" s="907"/>
      <c r="U140" s="907"/>
      <c r="V140" s="907"/>
      <c r="W140" s="907"/>
      <c r="X140" s="907"/>
      <c r="Y140" s="907"/>
      <c r="Z140" s="907"/>
      <c r="AA140" s="907"/>
      <c r="AB140" s="907"/>
      <c r="AC140" s="907"/>
    </row>
    <row r="141" spans="1:29">
      <c r="A141" s="907"/>
      <c r="B141" s="907"/>
      <c r="C141" s="907"/>
      <c r="D141" s="907"/>
      <c r="E141" s="907"/>
      <c r="F141" s="907"/>
      <c r="G141" s="907"/>
      <c r="H141" s="907"/>
      <c r="I141" s="907"/>
      <c r="J141" s="907"/>
      <c r="K141" s="907"/>
      <c r="L141" s="907"/>
      <c r="M141" s="907"/>
      <c r="N141" s="907"/>
      <c r="O141" s="907"/>
      <c r="P141" s="907"/>
      <c r="Q141" s="907"/>
      <c r="R141" s="907"/>
      <c r="S141" s="907"/>
      <c r="T141" s="907"/>
      <c r="U141" s="907"/>
      <c r="V141" s="907"/>
      <c r="W141" s="907"/>
      <c r="X141" s="907"/>
      <c r="Y141" s="907"/>
      <c r="Z141" s="907"/>
      <c r="AA141" s="907"/>
      <c r="AB141" s="907"/>
      <c r="AC141" s="907"/>
    </row>
    <row r="142" spans="1:29">
      <c r="A142" s="907"/>
      <c r="B142" s="907"/>
      <c r="C142" s="907"/>
      <c r="D142" s="907"/>
      <c r="E142" s="907"/>
      <c r="F142" s="907"/>
      <c r="G142" s="907"/>
      <c r="H142" s="907"/>
      <c r="I142" s="907"/>
      <c r="J142" s="907"/>
      <c r="K142" s="907"/>
      <c r="L142" s="907"/>
      <c r="M142" s="907"/>
      <c r="N142" s="907"/>
      <c r="O142" s="907"/>
      <c r="P142" s="907"/>
      <c r="Q142" s="907"/>
      <c r="R142" s="907"/>
      <c r="S142" s="907"/>
      <c r="T142" s="907"/>
      <c r="U142" s="907"/>
      <c r="V142" s="907"/>
      <c r="W142" s="907"/>
      <c r="X142" s="907"/>
      <c r="Y142" s="907"/>
      <c r="Z142" s="907"/>
      <c r="AA142" s="907"/>
      <c r="AB142" s="907"/>
      <c r="AC142" s="907"/>
    </row>
    <row r="143" spans="1:29">
      <c r="A143" s="907"/>
      <c r="B143" s="907"/>
      <c r="C143" s="907"/>
      <c r="D143" s="907"/>
      <c r="E143" s="907"/>
      <c r="F143" s="907"/>
      <c r="G143" s="907"/>
      <c r="H143" s="907"/>
      <c r="I143" s="907"/>
      <c r="J143" s="907"/>
      <c r="K143" s="907"/>
      <c r="L143" s="907"/>
      <c r="M143" s="907"/>
      <c r="N143" s="907"/>
      <c r="O143" s="907"/>
      <c r="P143" s="907"/>
      <c r="Q143" s="907"/>
      <c r="R143" s="907"/>
      <c r="S143" s="907"/>
      <c r="T143" s="907"/>
      <c r="U143" s="907"/>
      <c r="V143" s="907"/>
      <c r="W143" s="907"/>
      <c r="X143" s="907"/>
      <c r="Y143" s="907"/>
      <c r="Z143" s="907"/>
      <c r="AA143" s="907"/>
      <c r="AB143" s="907"/>
      <c r="AC143" s="907"/>
    </row>
    <row r="144" spans="1:29">
      <c r="A144" s="907"/>
      <c r="B144" s="907"/>
      <c r="C144" s="907"/>
      <c r="D144" s="907"/>
      <c r="E144" s="907"/>
      <c r="F144" s="907"/>
      <c r="G144" s="907"/>
      <c r="H144" s="907"/>
      <c r="I144" s="907"/>
      <c r="J144" s="907"/>
      <c r="K144" s="907"/>
      <c r="L144" s="907"/>
      <c r="M144" s="907"/>
      <c r="N144" s="907"/>
      <c r="O144" s="907"/>
      <c r="P144" s="907"/>
      <c r="Q144" s="907"/>
      <c r="R144" s="907"/>
      <c r="S144" s="907"/>
      <c r="T144" s="907"/>
      <c r="U144" s="907"/>
      <c r="V144" s="907"/>
      <c r="W144" s="907"/>
      <c r="X144" s="907"/>
      <c r="Y144" s="907"/>
      <c r="Z144" s="907"/>
      <c r="AA144" s="907"/>
      <c r="AB144" s="907"/>
      <c r="AC144" s="907"/>
    </row>
    <row r="145" spans="1:29">
      <c r="A145" s="907"/>
      <c r="B145" s="907"/>
      <c r="C145" s="907"/>
      <c r="D145" s="907"/>
      <c r="E145" s="907"/>
      <c r="F145" s="907"/>
      <c r="G145" s="907"/>
      <c r="H145" s="907"/>
      <c r="I145" s="907"/>
      <c r="J145" s="907"/>
      <c r="K145" s="907"/>
      <c r="L145" s="907"/>
      <c r="M145" s="907"/>
      <c r="N145" s="907"/>
      <c r="O145" s="907"/>
      <c r="P145" s="907"/>
      <c r="Q145" s="907"/>
      <c r="R145" s="907"/>
      <c r="S145" s="907"/>
      <c r="T145" s="907"/>
      <c r="U145" s="907"/>
      <c r="V145" s="907"/>
      <c r="W145" s="907"/>
      <c r="X145" s="907"/>
      <c r="Y145" s="907"/>
      <c r="Z145" s="907"/>
      <c r="AA145" s="907"/>
      <c r="AB145" s="907"/>
      <c r="AC145" s="907"/>
    </row>
    <row r="146" spans="1:29">
      <c r="A146" s="907"/>
      <c r="B146" s="907"/>
      <c r="C146" s="907"/>
      <c r="D146" s="907"/>
      <c r="E146" s="907"/>
      <c r="F146" s="907"/>
      <c r="G146" s="907"/>
      <c r="H146" s="907"/>
      <c r="I146" s="907"/>
      <c r="J146" s="907"/>
      <c r="K146" s="907"/>
      <c r="L146" s="907"/>
      <c r="M146" s="907"/>
      <c r="N146" s="907"/>
      <c r="O146" s="907"/>
      <c r="P146" s="907"/>
      <c r="Q146" s="907"/>
      <c r="R146" s="907"/>
      <c r="S146" s="907"/>
      <c r="T146" s="907"/>
      <c r="U146" s="907"/>
      <c r="V146" s="907"/>
      <c r="W146" s="907"/>
      <c r="X146" s="907"/>
      <c r="Y146" s="907"/>
      <c r="Z146" s="907"/>
      <c r="AA146" s="907"/>
      <c r="AB146" s="907"/>
      <c r="AC146" s="907"/>
    </row>
    <row r="147" spans="1:29">
      <c r="A147" s="907"/>
      <c r="B147" s="907"/>
      <c r="C147" s="907"/>
      <c r="D147" s="907"/>
      <c r="E147" s="907"/>
      <c r="F147" s="907"/>
      <c r="G147" s="907"/>
      <c r="H147" s="907"/>
      <c r="I147" s="907"/>
      <c r="J147" s="907"/>
      <c r="K147" s="907"/>
      <c r="L147" s="907"/>
      <c r="M147" s="907"/>
      <c r="N147" s="907"/>
      <c r="O147" s="907"/>
      <c r="P147" s="907"/>
      <c r="Q147" s="907"/>
      <c r="R147" s="907"/>
      <c r="S147" s="907"/>
      <c r="T147" s="907"/>
      <c r="U147" s="907"/>
      <c r="V147" s="907"/>
      <c r="W147" s="907"/>
      <c r="X147" s="907"/>
      <c r="Y147" s="907"/>
      <c r="Z147" s="907"/>
      <c r="AA147" s="907"/>
      <c r="AB147" s="907"/>
      <c r="AC147" s="907"/>
    </row>
    <row r="148" spans="1:29">
      <c r="A148" s="907"/>
      <c r="B148" s="907"/>
      <c r="C148" s="907"/>
      <c r="D148" s="907"/>
      <c r="E148" s="907"/>
      <c r="F148" s="907"/>
      <c r="G148" s="907"/>
      <c r="H148" s="907"/>
      <c r="I148" s="907"/>
      <c r="J148" s="907"/>
      <c r="K148" s="907"/>
      <c r="L148" s="907"/>
      <c r="M148" s="907"/>
      <c r="N148" s="907"/>
      <c r="O148" s="907"/>
      <c r="P148" s="907"/>
      <c r="Q148" s="907"/>
      <c r="R148" s="907"/>
      <c r="S148" s="907"/>
      <c r="T148" s="907"/>
      <c r="U148" s="907"/>
      <c r="V148" s="907"/>
      <c r="W148" s="907"/>
      <c r="X148" s="907"/>
      <c r="Y148" s="907"/>
      <c r="Z148" s="907"/>
      <c r="AA148" s="907"/>
      <c r="AB148" s="907"/>
      <c r="AC148" s="907"/>
    </row>
    <row r="149" spans="1:29">
      <c r="A149" s="907"/>
      <c r="B149" s="907"/>
      <c r="C149" s="907"/>
      <c r="D149" s="907"/>
      <c r="E149" s="907"/>
      <c r="F149" s="907"/>
      <c r="G149" s="907"/>
      <c r="H149" s="907"/>
      <c r="I149" s="907"/>
      <c r="J149" s="907"/>
      <c r="K149" s="907"/>
      <c r="L149" s="907"/>
      <c r="M149" s="907"/>
      <c r="N149" s="907"/>
      <c r="O149" s="907"/>
      <c r="P149" s="907"/>
      <c r="Q149" s="907"/>
      <c r="R149" s="907"/>
      <c r="S149" s="907"/>
      <c r="T149" s="907"/>
      <c r="U149" s="907"/>
      <c r="V149" s="907"/>
      <c r="W149" s="907"/>
      <c r="X149" s="907"/>
      <c r="Y149" s="907"/>
      <c r="Z149" s="907"/>
      <c r="AA149" s="907"/>
      <c r="AB149" s="907"/>
      <c r="AC149" s="907"/>
    </row>
    <row r="150" spans="1:29">
      <c r="A150" s="907"/>
      <c r="B150" s="907"/>
      <c r="C150" s="907"/>
      <c r="D150" s="907"/>
      <c r="E150" s="907"/>
      <c r="F150" s="907"/>
      <c r="G150" s="907"/>
      <c r="H150" s="907"/>
      <c r="I150" s="907"/>
      <c r="J150" s="907"/>
      <c r="K150" s="907"/>
      <c r="L150" s="907"/>
      <c r="M150" s="907"/>
      <c r="N150" s="907"/>
      <c r="O150" s="907"/>
      <c r="P150" s="907"/>
      <c r="Q150" s="907"/>
      <c r="R150" s="907"/>
      <c r="S150" s="907"/>
      <c r="T150" s="907"/>
      <c r="U150" s="907"/>
      <c r="V150" s="907"/>
      <c r="W150" s="907"/>
      <c r="X150" s="907"/>
      <c r="Y150" s="907"/>
      <c r="Z150" s="907"/>
      <c r="AA150" s="907"/>
      <c r="AB150" s="907"/>
      <c r="AC150" s="907"/>
    </row>
    <row r="151" spans="1:29">
      <c r="A151" s="907"/>
      <c r="B151" s="907"/>
      <c r="C151" s="907"/>
      <c r="D151" s="907"/>
      <c r="E151" s="907"/>
      <c r="F151" s="907"/>
      <c r="G151" s="907"/>
      <c r="H151" s="907"/>
      <c r="I151" s="907"/>
      <c r="J151" s="907"/>
      <c r="K151" s="907"/>
      <c r="L151" s="907"/>
      <c r="M151" s="907"/>
      <c r="N151" s="907"/>
      <c r="O151" s="907"/>
      <c r="P151" s="907"/>
      <c r="Q151" s="907"/>
      <c r="R151" s="907"/>
      <c r="S151" s="907"/>
      <c r="T151" s="907"/>
      <c r="U151" s="907"/>
      <c r="V151" s="907"/>
      <c r="W151" s="907"/>
      <c r="X151" s="907"/>
      <c r="Y151" s="907"/>
      <c r="Z151" s="907"/>
      <c r="AA151" s="907"/>
      <c r="AB151" s="907"/>
      <c r="AC151" s="907"/>
    </row>
    <row r="152" spans="1:29">
      <c r="A152" s="907"/>
      <c r="B152" s="907"/>
      <c r="C152" s="907"/>
      <c r="D152" s="907"/>
      <c r="E152" s="907"/>
      <c r="F152" s="907"/>
      <c r="G152" s="907"/>
      <c r="H152" s="907"/>
      <c r="I152" s="907"/>
      <c r="J152" s="907"/>
      <c r="K152" s="907"/>
      <c r="L152" s="907"/>
      <c r="M152" s="907"/>
      <c r="N152" s="907"/>
      <c r="O152" s="907"/>
      <c r="P152" s="907"/>
      <c r="Q152" s="907"/>
      <c r="R152" s="907"/>
      <c r="S152" s="907"/>
      <c r="T152" s="907"/>
      <c r="U152" s="907"/>
      <c r="V152" s="907"/>
      <c r="W152" s="907"/>
      <c r="X152" s="907"/>
      <c r="Y152" s="907"/>
      <c r="Z152" s="907"/>
      <c r="AA152" s="907"/>
      <c r="AB152" s="907"/>
      <c r="AC152" s="907"/>
    </row>
    <row r="153" spans="1:29">
      <c r="A153" s="907"/>
      <c r="B153" s="907"/>
      <c r="C153" s="907"/>
      <c r="D153" s="907"/>
      <c r="E153" s="907"/>
      <c r="F153" s="907"/>
      <c r="G153" s="907"/>
      <c r="H153" s="907"/>
      <c r="I153" s="907"/>
      <c r="J153" s="907"/>
      <c r="K153" s="907"/>
      <c r="L153" s="907"/>
      <c r="M153" s="907"/>
      <c r="N153" s="907"/>
      <c r="O153" s="907"/>
      <c r="P153" s="907"/>
      <c r="Q153" s="907"/>
      <c r="R153" s="907"/>
      <c r="S153" s="907"/>
      <c r="T153" s="907"/>
      <c r="U153" s="907"/>
      <c r="V153" s="907"/>
      <c r="W153" s="907"/>
      <c r="X153" s="907"/>
      <c r="Y153" s="907"/>
      <c r="Z153" s="907"/>
      <c r="AA153" s="907"/>
      <c r="AB153" s="907"/>
      <c r="AC153" s="907"/>
    </row>
    <row r="154" spans="1:29">
      <c r="A154" s="907"/>
      <c r="B154" s="907"/>
      <c r="C154" s="907"/>
      <c r="D154" s="907"/>
      <c r="E154" s="907"/>
      <c r="F154" s="907"/>
      <c r="G154" s="907"/>
      <c r="H154" s="907"/>
      <c r="I154" s="907"/>
      <c r="J154" s="907"/>
      <c r="K154" s="907"/>
      <c r="L154" s="907"/>
      <c r="M154" s="907"/>
      <c r="N154" s="907"/>
      <c r="O154" s="907"/>
      <c r="P154" s="907"/>
      <c r="Q154" s="907"/>
      <c r="R154" s="907"/>
      <c r="S154" s="907"/>
      <c r="T154" s="907"/>
      <c r="U154" s="907"/>
      <c r="V154" s="907"/>
      <c r="W154" s="907"/>
      <c r="X154" s="907"/>
      <c r="Y154" s="907"/>
      <c r="Z154" s="907"/>
      <c r="AA154" s="907"/>
      <c r="AB154" s="907"/>
      <c r="AC154" s="907"/>
    </row>
    <row r="155" spans="1:29">
      <c r="A155" s="907"/>
      <c r="B155" s="907"/>
      <c r="C155" s="907"/>
      <c r="D155" s="907"/>
      <c r="E155" s="907"/>
      <c r="F155" s="907"/>
      <c r="G155" s="907"/>
      <c r="H155" s="907"/>
      <c r="I155" s="907"/>
      <c r="J155" s="907"/>
      <c r="K155" s="907"/>
      <c r="L155" s="907"/>
      <c r="M155" s="907"/>
      <c r="N155" s="907"/>
      <c r="O155" s="907"/>
      <c r="P155" s="907"/>
      <c r="Q155" s="907"/>
      <c r="R155" s="907"/>
      <c r="S155" s="907"/>
      <c r="T155" s="907"/>
      <c r="U155" s="907"/>
      <c r="V155" s="907"/>
      <c r="W155" s="907"/>
      <c r="X155" s="907"/>
      <c r="Y155" s="907"/>
      <c r="Z155" s="907"/>
      <c r="AA155" s="907"/>
      <c r="AB155" s="907"/>
      <c r="AC155" s="907"/>
    </row>
    <row r="156" spans="1:29">
      <c r="A156" s="907"/>
      <c r="B156" s="907"/>
      <c r="C156" s="907"/>
      <c r="D156" s="907"/>
      <c r="E156" s="907"/>
      <c r="F156" s="907"/>
      <c r="G156" s="907"/>
      <c r="H156" s="907"/>
      <c r="I156" s="907"/>
      <c r="J156" s="907"/>
      <c r="K156" s="907"/>
      <c r="L156" s="907"/>
      <c r="M156" s="907"/>
      <c r="N156" s="907"/>
      <c r="O156" s="907"/>
      <c r="P156" s="907"/>
      <c r="Q156" s="907"/>
      <c r="R156" s="907"/>
      <c r="S156" s="907"/>
      <c r="T156" s="907"/>
      <c r="U156" s="907"/>
      <c r="V156" s="907"/>
      <c r="W156" s="907"/>
      <c r="X156" s="907"/>
      <c r="Y156" s="907"/>
      <c r="Z156" s="907"/>
      <c r="AA156" s="907"/>
      <c r="AB156" s="907"/>
      <c r="AC156" s="907"/>
    </row>
    <row r="157" spans="1:29">
      <c r="A157" s="907"/>
      <c r="B157" s="907"/>
      <c r="C157" s="907"/>
      <c r="D157" s="907"/>
      <c r="E157" s="907"/>
      <c r="F157" s="907"/>
      <c r="G157" s="907"/>
      <c r="H157" s="907"/>
      <c r="I157" s="907"/>
      <c r="J157" s="907"/>
      <c r="K157" s="907"/>
      <c r="L157" s="907"/>
      <c r="M157" s="907"/>
      <c r="N157" s="907"/>
      <c r="O157" s="907"/>
      <c r="P157" s="907"/>
      <c r="Q157" s="907"/>
      <c r="R157" s="907"/>
      <c r="S157" s="907"/>
      <c r="T157" s="907"/>
      <c r="U157" s="907"/>
      <c r="V157" s="907"/>
      <c r="W157" s="907"/>
      <c r="X157" s="907"/>
      <c r="Y157" s="907"/>
      <c r="Z157" s="907"/>
      <c r="AA157" s="907"/>
      <c r="AB157" s="907"/>
      <c r="AC157" s="907"/>
    </row>
    <row r="158" spans="1:29">
      <c r="A158" s="907"/>
      <c r="B158" s="907"/>
      <c r="C158" s="907"/>
      <c r="D158" s="907"/>
      <c r="E158" s="907"/>
      <c r="F158" s="907"/>
      <c r="G158" s="907"/>
      <c r="H158" s="907"/>
      <c r="I158" s="907"/>
      <c r="J158" s="907"/>
      <c r="K158" s="907"/>
      <c r="L158" s="907"/>
      <c r="M158" s="907"/>
      <c r="N158" s="907"/>
      <c r="O158" s="907"/>
      <c r="P158" s="907"/>
      <c r="Q158" s="907"/>
      <c r="R158" s="907"/>
      <c r="S158" s="907"/>
      <c r="T158" s="907"/>
      <c r="U158" s="907"/>
      <c r="V158" s="907"/>
      <c r="W158" s="907"/>
      <c r="X158" s="907"/>
      <c r="Y158" s="907"/>
      <c r="Z158" s="907"/>
      <c r="AA158" s="907"/>
      <c r="AB158" s="907"/>
      <c r="AC158" s="907"/>
    </row>
    <row r="159" spans="1:29">
      <c r="A159" s="907"/>
      <c r="B159" s="907"/>
      <c r="C159" s="907"/>
      <c r="D159" s="907"/>
      <c r="E159" s="907"/>
      <c r="F159" s="907"/>
      <c r="G159" s="907"/>
      <c r="H159" s="907"/>
      <c r="I159" s="907"/>
      <c r="J159" s="907"/>
      <c r="K159" s="907"/>
      <c r="L159" s="907"/>
      <c r="M159" s="907"/>
      <c r="N159" s="907"/>
      <c r="O159" s="907"/>
      <c r="P159" s="907"/>
      <c r="Q159" s="907"/>
      <c r="R159" s="907"/>
      <c r="S159" s="907"/>
      <c r="T159" s="907"/>
      <c r="U159" s="907"/>
      <c r="V159" s="907"/>
      <c r="W159" s="907"/>
      <c r="X159" s="907"/>
      <c r="Y159" s="907"/>
      <c r="Z159" s="907"/>
      <c r="AA159" s="907"/>
      <c r="AB159" s="907"/>
      <c r="AC159" s="907"/>
    </row>
    <row r="160" spans="1:29">
      <c r="A160" s="907"/>
      <c r="B160" s="907"/>
      <c r="C160" s="907"/>
      <c r="D160" s="907"/>
      <c r="E160" s="907"/>
      <c r="F160" s="907"/>
      <c r="G160" s="907"/>
      <c r="H160" s="907"/>
      <c r="I160" s="907"/>
      <c r="J160" s="907"/>
      <c r="K160" s="907"/>
      <c r="L160" s="907"/>
      <c r="M160" s="907"/>
      <c r="N160" s="907"/>
      <c r="O160" s="907"/>
      <c r="P160" s="907"/>
      <c r="Q160" s="907"/>
      <c r="R160" s="907"/>
      <c r="S160" s="907"/>
      <c r="T160" s="907"/>
      <c r="U160" s="907"/>
      <c r="V160" s="907"/>
      <c r="W160" s="907"/>
      <c r="X160" s="907"/>
      <c r="Y160" s="907"/>
      <c r="Z160" s="907"/>
      <c r="AA160" s="907"/>
      <c r="AB160" s="907"/>
      <c r="AC160" s="907"/>
    </row>
    <row r="161" spans="1:29">
      <c r="A161" s="907"/>
      <c r="B161" s="907"/>
      <c r="C161" s="907"/>
      <c r="D161" s="907"/>
      <c r="E161" s="907"/>
      <c r="F161" s="907"/>
      <c r="G161" s="907"/>
      <c r="H161" s="907"/>
      <c r="I161" s="907"/>
      <c r="J161" s="907"/>
      <c r="K161" s="907"/>
      <c r="L161" s="907"/>
      <c r="M161" s="907"/>
      <c r="N161" s="907"/>
      <c r="O161" s="907"/>
      <c r="P161" s="907"/>
      <c r="Q161" s="907"/>
      <c r="R161" s="907"/>
      <c r="S161" s="907"/>
      <c r="T161" s="907"/>
      <c r="U161" s="907"/>
      <c r="V161" s="907"/>
      <c r="W161" s="907"/>
      <c r="X161" s="907"/>
      <c r="Y161" s="907"/>
      <c r="Z161" s="907"/>
      <c r="AA161" s="907"/>
      <c r="AB161" s="907"/>
      <c r="AC161" s="907"/>
    </row>
    <row r="162" spans="1:29">
      <c r="A162" s="907"/>
      <c r="B162" s="907"/>
      <c r="C162" s="907"/>
      <c r="D162" s="907"/>
      <c r="E162" s="907"/>
      <c r="F162" s="907"/>
      <c r="G162" s="907"/>
      <c r="H162" s="907"/>
      <c r="I162" s="907"/>
      <c r="J162" s="907"/>
      <c r="K162" s="907"/>
      <c r="L162" s="907"/>
      <c r="M162" s="907"/>
      <c r="N162" s="907"/>
      <c r="O162" s="907"/>
      <c r="P162" s="907"/>
      <c r="Q162" s="907"/>
      <c r="R162" s="907"/>
      <c r="S162" s="907"/>
      <c r="T162" s="907"/>
      <c r="U162" s="907"/>
      <c r="V162" s="907"/>
      <c r="W162" s="907"/>
      <c r="X162" s="907"/>
      <c r="Y162" s="907"/>
      <c r="Z162" s="907"/>
      <c r="AA162" s="907"/>
      <c r="AB162" s="907"/>
      <c r="AC162" s="907"/>
    </row>
    <row r="163" spans="1:29">
      <c r="A163" s="907"/>
      <c r="B163" s="907"/>
      <c r="C163" s="907"/>
      <c r="D163" s="907"/>
      <c r="E163" s="907"/>
      <c r="F163" s="907"/>
      <c r="G163" s="907"/>
      <c r="H163" s="907"/>
      <c r="I163" s="907"/>
      <c r="J163" s="907"/>
      <c r="K163" s="907"/>
      <c r="L163" s="907"/>
      <c r="M163" s="907"/>
      <c r="N163" s="907"/>
      <c r="O163" s="907"/>
      <c r="P163" s="907"/>
      <c r="Q163" s="907"/>
      <c r="R163" s="907"/>
      <c r="S163" s="907"/>
      <c r="T163" s="907"/>
      <c r="U163" s="907"/>
      <c r="V163" s="907"/>
      <c r="W163" s="907"/>
      <c r="X163" s="907"/>
      <c r="Y163" s="907"/>
      <c r="Z163" s="907"/>
      <c r="AA163" s="907"/>
      <c r="AB163" s="907"/>
      <c r="AC163" s="907"/>
    </row>
    <row r="164" spans="1:29">
      <c r="A164" s="907"/>
      <c r="B164" s="907"/>
      <c r="C164" s="907"/>
      <c r="D164" s="907"/>
      <c r="E164" s="907"/>
      <c r="F164" s="907"/>
      <c r="G164" s="907"/>
      <c r="H164" s="907"/>
      <c r="I164" s="907"/>
      <c r="J164" s="907"/>
      <c r="K164" s="907"/>
      <c r="L164" s="907"/>
      <c r="M164" s="907"/>
      <c r="N164" s="907"/>
      <c r="O164" s="907"/>
      <c r="P164" s="907"/>
      <c r="Q164" s="907"/>
      <c r="R164" s="907"/>
      <c r="S164" s="907"/>
      <c r="T164" s="907"/>
      <c r="U164" s="907"/>
      <c r="V164" s="907"/>
      <c r="W164" s="907"/>
      <c r="X164" s="907"/>
      <c r="Y164" s="907"/>
      <c r="Z164" s="907"/>
      <c r="AA164" s="907"/>
      <c r="AB164" s="907"/>
      <c r="AC164" s="907"/>
    </row>
    <row r="165" spans="1:29">
      <c r="A165" s="907"/>
      <c r="B165" s="907"/>
      <c r="C165" s="907"/>
      <c r="D165" s="907"/>
      <c r="E165" s="907"/>
      <c r="F165" s="907"/>
      <c r="G165" s="907"/>
      <c r="H165" s="907"/>
      <c r="I165" s="907"/>
      <c r="J165" s="907"/>
      <c r="K165" s="907"/>
      <c r="L165" s="907"/>
      <c r="M165" s="907"/>
      <c r="N165" s="907"/>
      <c r="O165" s="907"/>
      <c r="P165" s="907"/>
      <c r="Q165" s="907"/>
      <c r="R165" s="907"/>
      <c r="S165" s="907"/>
      <c r="T165" s="907"/>
      <c r="U165" s="907"/>
      <c r="V165" s="907"/>
      <c r="W165" s="907"/>
      <c r="X165" s="907"/>
      <c r="Y165" s="907"/>
      <c r="Z165" s="907"/>
      <c r="AA165" s="907"/>
      <c r="AB165" s="907"/>
      <c r="AC165" s="907"/>
    </row>
    <row r="166" spans="1:29">
      <c r="A166" s="907"/>
      <c r="B166" s="907"/>
      <c r="C166" s="907"/>
      <c r="D166" s="907"/>
      <c r="E166" s="907"/>
      <c r="F166" s="907"/>
      <c r="G166" s="907"/>
      <c r="H166" s="907"/>
      <c r="I166" s="907"/>
      <c r="J166" s="907"/>
      <c r="K166" s="907"/>
      <c r="L166" s="907"/>
      <c r="M166" s="907"/>
      <c r="N166" s="907"/>
      <c r="O166" s="907"/>
      <c r="P166" s="907"/>
      <c r="Q166" s="907"/>
      <c r="R166" s="907"/>
      <c r="S166" s="907"/>
      <c r="T166" s="907"/>
      <c r="U166" s="907"/>
      <c r="V166" s="907"/>
      <c r="W166" s="907"/>
      <c r="X166" s="907"/>
      <c r="Y166" s="907"/>
      <c r="Z166" s="907"/>
      <c r="AA166" s="907"/>
      <c r="AB166" s="907"/>
      <c r="AC166" s="907"/>
    </row>
    <row r="167" spans="1:29">
      <c r="A167" s="907"/>
      <c r="B167" s="907"/>
      <c r="C167" s="907"/>
      <c r="D167" s="907"/>
      <c r="E167" s="907"/>
      <c r="F167" s="907"/>
      <c r="G167" s="907"/>
      <c r="H167" s="907"/>
      <c r="I167" s="907"/>
      <c r="J167" s="907"/>
      <c r="K167" s="907"/>
      <c r="L167" s="907"/>
      <c r="M167" s="907"/>
      <c r="N167" s="907"/>
      <c r="O167" s="907"/>
      <c r="P167" s="907"/>
      <c r="Q167" s="907"/>
      <c r="R167" s="907"/>
      <c r="S167" s="907"/>
      <c r="T167" s="907"/>
      <c r="U167" s="907"/>
      <c r="V167" s="907"/>
      <c r="W167" s="907"/>
      <c r="X167" s="907"/>
      <c r="Y167" s="907"/>
      <c r="Z167" s="907"/>
      <c r="AA167" s="907"/>
      <c r="AB167" s="907"/>
      <c r="AC167" s="907"/>
    </row>
    <row r="168" spans="1:29">
      <c r="A168" s="907"/>
      <c r="B168" s="907"/>
      <c r="C168" s="907"/>
      <c r="D168" s="907"/>
      <c r="E168" s="907"/>
      <c r="F168" s="907"/>
      <c r="G168" s="907"/>
      <c r="H168" s="907"/>
      <c r="I168" s="907"/>
      <c r="J168" s="907"/>
      <c r="K168" s="907"/>
      <c r="L168" s="907"/>
      <c r="M168" s="907"/>
      <c r="N168" s="907"/>
      <c r="O168" s="907"/>
      <c r="P168" s="907"/>
      <c r="Q168" s="907"/>
      <c r="R168" s="907"/>
      <c r="S168" s="907"/>
      <c r="T168" s="907"/>
      <c r="U168" s="907"/>
      <c r="V168" s="907"/>
      <c r="W168" s="907"/>
      <c r="X168" s="907"/>
      <c r="Y168" s="907"/>
      <c r="Z168" s="907"/>
      <c r="AA168" s="907"/>
      <c r="AB168" s="907"/>
      <c r="AC168" s="907"/>
    </row>
    <row r="169" spans="1:29">
      <c r="A169" s="907"/>
      <c r="B169" s="907"/>
      <c r="C169" s="907"/>
      <c r="D169" s="907"/>
      <c r="E169" s="907"/>
      <c r="F169" s="907"/>
      <c r="G169" s="907"/>
      <c r="H169" s="907"/>
      <c r="I169" s="907"/>
      <c r="J169" s="907"/>
      <c r="K169" s="907"/>
      <c r="L169" s="907"/>
      <c r="M169" s="907"/>
      <c r="N169" s="907"/>
      <c r="O169" s="907"/>
      <c r="P169" s="907"/>
      <c r="Q169" s="907"/>
      <c r="R169" s="907"/>
      <c r="S169" s="907"/>
      <c r="T169" s="907"/>
      <c r="U169" s="907"/>
      <c r="V169" s="907"/>
      <c r="W169" s="907"/>
      <c r="X169" s="907"/>
      <c r="Y169" s="907"/>
      <c r="Z169" s="907"/>
      <c r="AA169" s="907"/>
      <c r="AB169" s="907"/>
      <c r="AC169" s="907"/>
    </row>
    <row r="170" spans="1:29">
      <c r="A170" s="907"/>
      <c r="B170" s="907"/>
      <c r="C170" s="907"/>
      <c r="D170" s="907"/>
      <c r="E170" s="907"/>
      <c r="F170" s="907"/>
      <c r="G170" s="907"/>
      <c r="H170" s="907"/>
      <c r="I170" s="907"/>
      <c r="J170" s="907"/>
      <c r="K170" s="907"/>
      <c r="L170" s="907"/>
      <c r="M170" s="907"/>
      <c r="N170" s="907"/>
      <c r="O170" s="907"/>
      <c r="P170" s="907"/>
      <c r="Q170" s="907"/>
      <c r="R170" s="907"/>
      <c r="S170" s="907"/>
      <c r="T170" s="907"/>
      <c r="U170" s="907"/>
      <c r="V170" s="907"/>
      <c r="W170" s="907"/>
      <c r="X170" s="907"/>
      <c r="Y170" s="907"/>
      <c r="Z170" s="907"/>
      <c r="AA170" s="907"/>
      <c r="AB170" s="907"/>
      <c r="AC170" s="907"/>
    </row>
    <row r="171" spans="1:29">
      <c r="A171" s="907"/>
      <c r="B171" s="907"/>
      <c r="C171" s="907"/>
      <c r="D171" s="907"/>
      <c r="E171" s="907"/>
      <c r="F171" s="907"/>
      <c r="G171" s="907"/>
      <c r="H171" s="907"/>
      <c r="I171" s="907"/>
      <c r="J171" s="907"/>
      <c r="K171" s="907"/>
      <c r="L171" s="907"/>
      <c r="M171" s="907"/>
      <c r="N171" s="907"/>
      <c r="O171" s="907"/>
      <c r="P171" s="907"/>
      <c r="Q171" s="907"/>
      <c r="R171" s="907"/>
      <c r="S171" s="907"/>
      <c r="T171" s="907"/>
      <c r="U171" s="907"/>
      <c r="V171" s="907"/>
      <c r="W171" s="907"/>
      <c r="X171" s="907"/>
      <c r="Y171" s="907"/>
      <c r="Z171" s="907"/>
      <c r="AA171" s="907"/>
      <c r="AB171" s="907"/>
      <c r="AC171" s="907"/>
    </row>
    <row r="172" spans="1:29">
      <c r="A172" s="907"/>
      <c r="B172" s="907"/>
      <c r="C172" s="907"/>
      <c r="D172" s="907"/>
      <c r="E172" s="907"/>
      <c r="F172" s="907"/>
      <c r="G172" s="907"/>
      <c r="H172" s="907"/>
      <c r="I172" s="907"/>
      <c r="J172" s="907"/>
      <c r="K172" s="907"/>
      <c r="L172" s="907"/>
      <c r="M172" s="907"/>
      <c r="N172" s="907"/>
      <c r="O172" s="907"/>
      <c r="P172" s="907"/>
      <c r="Q172" s="907"/>
      <c r="R172" s="907"/>
      <c r="S172" s="907"/>
      <c r="T172" s="907"/>
      <c r="U172" s="907"/>
      <c r="V172" s="907"/>
      <c r="W172" s="907"/>
      <c r="X172" s="907"/>
      <c r="Y172" s="907"/>
      <c r="Z172" s="907"/>
      <c r="AA172" s="907"/>
      <c r="AB172" s="907"/>
      <c r="AC172" s="907"/>
    </row>
    <row r="173" spans="1:29">
      <c r="A173" s="907"/>
      <c r="B173" s="907"/>
      <c r="C173" s="907"/>
      <c r="D173" s="907"/>
      <c r="E173" s="907"/>
      <c r="F173" s="907"/>
      <c r="G173" s="907"/>
      <c r="H173" s="907"/>
      <c r="I173" s="907"/>
      <c r="J173" s="907"/>
      <c r="K173" s="907"/>
      <c r="L173" s="907"/>
      <c r="M173" s="907"/>
      <c r="N173" s="907"/>
      <c r="O173" s="907"/>
      <c r="P173" s="907"/>
      <c r="Q173" s="907"/>
      <c r="R173" s="907"/>
      <c r="S173" s="907"/>
      <c r="T173" s="907"/>
      <c r="U173" s="907"/>
      <c r="V173" s="907"/>
      <c r="W173" s="907"/>
      <c r="X173" s="907"/>
      <c r="Y173" s="907"/>
      <c r="Z173" s="907"/>
      <c r="AA173" s="907"/>
      <c r="AB173" s="907"/>
      <c r="AC173" s="907"/>
    </row>
    <row r="174" spans="1:29">
      <c r="A174" s="907"/>
      <c r="B174" s="907"/>
      <c r="C174" s="907"/>
      <c r="D174" s="907"/>
      <c r="E174" s="907"/>
      <c r="F174" s="907"/>
      <c r="G174" s="907"/>
      <c r="H174" s="907"/>
      <c r="I174" s="907"/>
      <c r="J174" s="907"/>
      <c r="K174" s="907"/>
      <c r="L174" s="907"/>
      <c r="M174" s="907"/>
      <c r="N174" s="907"/>
      <c r="O174" s="907"/>
      <c r="P174" s="907"/>
      <c r="Q174" s="907"/>
      <c r="R174" s="907"/>
      <c r="S174" s="907"/>
      <c r="T174" s="907"/>
      <c r="U174" s="907"/>
      <c r="V174" s="907"/>
      <c r="W174" s="907"/>
      <c r="X174" s="907"/>
      <c r="Y174" s="907"/>
      <c r="Z174" s="907"/>
      <c r="AA174" s="907"/>
      <c r="AB174" s="907"/>
      <c r="AC174" s="907"/>
    </row>
    <row r="175" spans="1:29">
      <c r="A175" s="907"/>
      <c r="B175" s="907"/>
      <c r="C175" s="907"/>
      <c r="D175" s="907"/>
      <c r="E175" s="907"/>
      <c r="F175" s="907"/>
      <c r="G175" s="907"/>
      <c r="H175" s="907"/>
      <c r="I175" s="907"/>
      <c r="J175" s="907"/>
      <c r="K175" s="907"/>
      <c r="L175" s="907"/>
      <c r="M175" s="907"/>
      <c r="N175" s="907"/>
      <c r="O175" s="907"/>
      <c r="P175" s="907"/>
      <c r="Q175" s="907"/>
      <c r="R175" s="907"/>
      <c r="S175" s="907"/>
      <c r="T175" s="907"/>
      <c r="U175" s="907"/>
      <c r="V175" s="907"/>
      <c r="W175" s="907"/>
      <c r="X175" s="907"/>
      <c r="Y175" s="907"/>
      <c r="Z175" s="907"/>
      <c r="AA175" s="907"/>
      <c r="AB175" s="907"/>
      <c r="AC175" s="907"/>
    </row>
    <row r="176" spans="1:29">
      <c r="A176" s="907"/>
      <c r="B176" s="907"/>
      <c r="C176" s="907"/>
      <c r="D176" s="907"/>
      <c r="E176" s="907"/>
      <c r="F176" s="907"/>
      <c r="G176" s="907"/>
      <c r="H176" s="907"/>
      <c r="I176" s="907"/>
      <c r="J176" s="907"/>
      <c r="K176" s="907"/>
      <c r="L176" s="907"/>
      <c r="M176" s="907"/>
      <c r="N176" s="907"/>
      <c r="O176" s="907"/>
      <c r="P176" s="907"/>
      <c r="Q176" s="907"/>
      <c r="R176" s="907"/>
      <c r="S176" s="907"/>
      <c r="T176" s="907"/>
      <c r="U176" s="907"/>
      <c r="V176" s="907"/>
      <c r="W176" s="907"/>
      <c r="X176" s="907"/>
      <c r="Y176" s="907"/>
      <c r="Z176" s="907"/>
      <c r="AA176" s="907"/>
      <c r="AB176" s="907"/>
      <c r="AC176" s="907"/>
    </row>
    <row r="177" spans="1:29">
      <c r="A177" s="907"/>
      <c r="B177" s="907"/>
      <c r="C177" s="907"/>
      <c r="D177" s="907"/>
      <c r="E177" s="907"/>
      <c r="F177" s="907"/>
      <c r="G177" s="907"/>
      <c r="H177" s="907"/>
      <c r="I177" s="907"/>
      <c r="J177" s="907"/>
      <c r="K177" s="907"/>
      <c r="L177" s="907"/>
      <c r="M177" s="907"/>
      <c r="N177" s="907"/>
      <c r="O177" s="907"/>
      <c r="P177" s="907"/>
      <c r="Q177" s="907"/>
      <c r="R177" s="907"/>
      <c r="S177" s="907"/>
      <c r="T177" s="907"/>
      <c r="U177" s="907"/>
      <c r="V177" s="907"/>
      <c r="W177" s="907"/>
      <c r="X177" s="907"/>
      <c r="Y177" s="907"/>
      <c r="Z177" s="907"/>
      <c r="AA177" s="907"/>
      <c r="AB177" s="907"/>
      <c r="AC177" s="907"/>
    </row>
    <row r="178" spans="1:29">
      <c r="A178" s="907"/>
      <c r="B178" s="907"/>
      <c r="C178" s="907"/>
      <c r="D178" s="907"/>
      <c r="E178" s="907"/>
      <c r="F178" s="907"/>
      <c r="G178" s="907"/>
      <c r="H178" s="907"/>
      <c r="I178" s="907"/>
      <c r="J178" s="907"/>
      <c r="K178" s="907"/>
      <c r="L178" s="907"/>
      <c r="M178" s="907"/>
      <c r="N178" s="907"/>
      <c r="O178" s="907"/>
      <c r="P178" s="907"/>
      <c r="Q178" s="907"/>
      <c r="R178" s="907"/>
      <c r="S178" s="907"/>
      <c r="T178" s="907"/>
      <c r="U178" s="907"/>
      <c r="V178" s="907"/>
      <c r="W178" s="907"/>
      <c r="X178" s="907"/>
      <c r="Y178" s="907"/>
      <c r="Z178" s="907"/>
      <c r="AA178" s="907"/>
      <c r="AB178" s="907"/>
      <c r="AC178" s="907"/>
    </row>
    <row r="179" spans="1:29">
      <c r="A179" s="907"/>
      <c r="B179" s="907"/>
      <c r="C179" s="907"/>
      <c r="D179" s="907"/>
      <c r="E179" s="907"/>
      <c r="F179" s="907"/>
      <c r="G179" s="907"/>
      <c r="H179" s="907"/>
      <c r="I179" s="907"/>
      <c r="J179" s="907"/>
      <c r="K179" s="907"/>
      <c r="L179" s="907"/>
      <c r="M179" s="907"/>
      <c r="N179" s="907"/>
      <c r="O179" s="907"/>
      <c r="P179" s="907"/>
      <c r="Q179" s="907"/>
      <c r="R179" s="907"/>
      <c r="S179" s="907"/>
      <c r="T179" s="907"/>
      <c r="U179" s="907"/>
      <c r="V179" s="907"/>
      <c r="W179" s="907"/>
      <c r="X179" s="907"/>
      <c r="Y179" s="907"/>
      <c r="Z179" s="907"/>
      <c r="AA179" s="907"/>
      <c r="AB179" s="907"/>
      <c r="AC179" s="907"/>
    </row>
    <row r="180" spans="1:29">
      <c r="A180" s="907"/>
      <c r="B180" s="907"/>
      <c r="C180" s="907"/>
      <c r="D180" s="907"/>
      <c r="E180" s="907"/>
      <c r="F180" s="907"/>
      <c r="G180" s="907"/>
      <c r="H180" s="907"/>
      <c r="I180" s="907"/>
      <c r="J180" s="907"/>
      <c r="K180" s="907"/>
      <c r="L180" s="907"/>
      <c r="M180" s="907"/>
      <c r="N180" s="907"/>
      <c r="O180" s="907"/>
      <c r="P180" s="907"/>
      <c r="Q180" s="907"/>
      <c r="R180" s="907"/>
      <c r="S180" s="907"/>
      <c r="T180" s="907"/>
      <c r="U180" s="907"/>
      <c r="V180" s="907"/>
      <c r="W180" s="907"/>
      <c r="X180" s="907"/>
      <c r="Y180" s="907"/>
      <c r="Z180" s="907"/>
      <c r="AA180" s="907"/>
      <c r="AB180" s="907"/>
      <c r="AC180" s="907"/>
    </row>
    <row r="181" spans="1:29">
      <c r="A181" s="907"/>
      <c r="B181" s="907"/>
      <c r="C181" s="907"/>
      <c r="D181" s="907"/>
      <c r="E181" s="907"/>
      <c r="F181" s="907"/>
      <c r="G181" s="907"/>
      <c r="H181" s="907"/>
      <c r="I181" s="907"/>
      <c r="J181" s="907"/>
      <c r="K181" s="907"/>
      <c r="L181" s="907"/>
      <c r="M181" s="907"/>
      <c r="N181" s="907"/>
      <c r="O181" s="907"/>
      <c r="P181" s="907"/>
      <c r="Q181" s="907"/>
      <c r="R181" s="907"/>
      <c r="S181" s="907"/>
      <c r="T181" s="907"/>
      <c r="U181" s="907"/>
      <c r="V181" s="907"/>
      <c r="W181" s="907"/>
      <c r="X181" s="907"/>
      <c r="Y181" s="907"/>
      <c r="Z181" s="907"/>
      <c r="AA181" s="907"/>
      <c r="AB181" s="907"/>
      <c r="AC181" s="907"/>
    </row>
    <row r="182" spans="1:29">
      <c r="A182" s="907"/>
      <c r="B182" s="907"/>
      <c r="C182" s="907"/>
      <c r="D182" s="907"/>
      <c r="E182" s="907"/>
      <c r="F182" s="907"/>
      <c r="G182" s="907"/>
      <c r="H182" s="907"/>
      <c r="I182" s="907"/>
      <c r="J182" s="907"/>
      <c r="K182" s="907"/>
      <c r="L182" s="907"/>
      <c r="M182" s="907"/>
      <c r="N182" s="907"/>
      <c r="O182" s="907"/>
      <c r="P182" s="907"/>
      <c r="Q182" s="907"/>
      <c r="R182" s="907"/>
      <c r="S182" s="907"/>
      <c r="T182" s="907"/>
      <c r="U182" s="907"/>
      <c r="V182" s="907"/>
      <c r="W182" s="907"/>
      <c r="X182" s="907"/>
      <c r="Y182" s="907"/>
      <c r="Z182" s="907"/>
      <c r="AA182" s="907"/>
      <c r="AB182" s="907"/>
      <c r="AC182" s="907"/>
    </row>
    <row r="183" spans="1:29">
      <c r="A183" s="907"/>
      <c r="B183" s="907"/>
      <c r="C183" s="907"/>
      <c r="D183" s="907"/>
      <c r="E183" s="907"/>
      <c r="F183" s="907"/>
      <c r="G183" s="907"/>
      <c r="H183" s="907"/>
      <c r="I183" s="907"/>
      <c r="J183" s="907"/>
      <c r="K183" s="907"/>
      <c r="L183" s="907"/>
      <c r="M183" s="907"/>
      <c r="N183" s="907"/>
      <c r="O183" s="907"/>
      <c r="P183" s="907"/>
      <c r="Q183" s="907"/>
      <c r="R183" s="907"/>
      <c r="S183" s="907"/>
      <c r="T183" s="907"/>
      <c r="U183" s="907"/>
      <c r="V183" s="907"/>
      <c r="W183" s="907"/>
      <c r="X183" s="907"/>
      <c r="Y183" s="907"/>
      <c r="Z183" s="907"/>
      <c r="AA183" s="907"/>
      <c r="AB183" s="907"/>
      <c r="AC183" s="907"/>
    </row>
    <row r="184" spans="1:29">
      <c r="A184" s="907"/>
      <c r="B184" s="907"/>
      <c r="C184" s="907"/>
      <c r="D184" s="907"/>
      <c r="E184" s="907"/>
      <c r="F184" s="907"/>
      <c r="G184" s="907"/>
      <c r="H184" s="907"/>
      <c r="I184" s="907"/>
      <c r="J184" s="907"/>
      <c r="K184" s="907"/>
      <c r="L184" s="907"/>
      <c r="M184" s="907"/>
      <c r="N184" s="907"/>
      <c r="O184" s="907"/>
      <c r="P184" s="907"/>
      <c r="Q184" s="907"/>
      <c r="R184" s="907"/>
      <c r="S184" s="907"/>
      <c r="T184" s="907"/>
      <c r="U184" s="907"/>
      <c r="V184" s="907"/>
      <c r="W184" s="907"/>
      <c r="X184" s="907"/>
      <c r="Y184" s="907"/>
      <c r="Z184" s="907"/>
      <c r="AA184" s="907"/>
      <c r="AB184" s="907"/>
      <c r="AC184" s="907"/>
    </row>
    <row r="185" spans="1:29">
      <c r="A185" s="907"/>
      <c r="B185" s="907"/>
      <c r="C185" s="907"/>
      <c r="D185" s="907"/>
      <c r="E185" s="907"/>
      <c r="F185" s="907"/>
      <c r="G185" s="907"/>
      <c r="H185" s="907"/>
      <c r="I185" s="907"/>
      <c r="J185" s="907"/>
      <c r="K185" s="907"/>
      <c r="L185" s="907"/>
      <c r="M185" s="907"/>
      <c r="N185" s="907"/>
      <c r="O185" s="907"/>
      <c r="P185" s="907"/>
      <c r="Q185" s="907"/>
      <c r="R185" s="907"/>
      <c r="S185" s="907"/>
      <c r="T185" s="907"/>
      <c r="U185" s="907"/>
      <c r="V185" s="907"/>
      <c r="W185" s="907"/>
      <c r="X185" s="907"/>
      <c r="Y185" s="907"/>
      <c r="Z185" s="907"/>
      <c r="AA185" s="907"/>
      <c r="AB185" s="907"/>
      <c r="AC185" s="907"/>
    </row>
    <row r="186" spans="1:29">
      <c r="A186" s="907"/>
      <c r="B186" s="907"/>
      <c r="C186" s="907"/>
      <c r="D186" s="907"/>
      <c r="E186" s="907"/>
      <c r="F186" s="907"/>
      <c r="G186" s="907"/>
      <c r="H186" s="907"/>
      <c r="I186" s="907"/>
      <c r="J186" s="907"/>
      <c r="K186" s="907"/>
      <c r="L186" s="907"/>
      <c r="M186" s="907"/>
      <c r="N186" s="907"/>
      <c r="O186" s="907"/>
      <c r="P186" s="907"/>
      <c r="Q186" s="907"/>
      <c r="R186" s="907"/>
      <c r="S186" s="907"/>
      <c r="T186" s="907"/>
      <c r="U186" s="907"/>
      <c r="V186" s="907"/>
      <c r="W186" s="907"/>
      <c r="X186" s="907"/>
      <c r="Y186" s="907"/>
      <c r="Z186" s="907"/>
      <c r="AA186" s="907"/>
      <c r="AB186" s="907"/>
      <c r="AC186" s="907"/>
    </row>
    <row r="187" spans="1:29">
      <c r="A187" s="907"/>
      <c r="B187" s="907"/>
      <c r="C187" s="907"/>
      <c r="D187" s="907"/>
      <c r="E187" s="907"/>
      <c r="F187" s="907"/>
      <c r="G187" s="907"/>
      <c r="H187" s="907"/>
      <c r="I187" s="907"/>
      <c r="J187" s="907"/>
      <c r="K187" s="907"/>
      <c r="L187" s="907"/>
      <c r="M187" s="907"/>
      <c r="N187" s="907"/>
      <c r="O187" s="907"/>
      <c r="P187" s="907"/>
      <c r="Q187" s="907"/>
      <c r="R187" s="907"/>
      <c r="S187" s="907"/>
      <c r="T187" s="907"/>
      <c r="U187" s="907"/>
      <c r="V187" s="907"/>
      <c r="W187" s="907"/>
      <c r="X187" s="907"/>
      <c r="Y187" s="907"/>
      <c r="Z187" s="907"/>
      <c r="AA187" s="907"/>
      <c r="AB187" s="907"/>
      <c r="AC187" s="907"/>
    </row>
    <row r="188" spans="1:29">
      <c r="A188" s="907"/>
      <c r="B188" s="907"/>
      <c r="C188" s="907"/>
      <c r="D188" s="907"/>
      <c r="E188" s="907"/>
      <c r="F188" s="907"/>
      <c r="G188" s="907"/>
      <c r="H188" s="907"/>
      <c r="I188" s="907"/>
      <c r="J188" s="907"/>
      <c r="K188" s="907"/>
      <c r="L188" s="907"/>
      <c r="M188" s="907"/>
      <c r="N188" s="907"/>
      <c r="O188" s="907"/>
      <c r="P188" s="907"/>
      <c r="Q188" s="907"/>
      <c r="R188" s="907"/>
      <c r="S188" s="907"/>
      <c r="T188" s="907"/>
      <c r="U188" s="907"/>
      <c r="V188" s="907"/>
      <c r="W188" s="907"/>
      <c r="X188" s="907"/>
      <c r="Y188" s="907"/>
      <c r="Z188" s="907"/>
      <c r="AA188" s="907"/>
      <c r="AB188" s="907"/>
      <c r="AC188" s="907"/>
    </row>
    <row r="189" spans="1:29">
      <c r="A189" s="907"/>
      <c r="B189" s="907"/>
      <c r="C189" s="907"/>
      <c r="D189" s="907"/>
      <c r="E189" s="907"/>
      <c r="F189" s="907"/>
      <c r="G189" s="907"/>
      <c r="H189" s="907"/>
      <c r="I189" s="907"/>
      <c r="J189" s="907"/>
      <c r="K189" s="907"/>
      <c r="L189" s="907"/>
      <c r="M189" s="907"/>
      <c r="N189" s="907"/>
      <c r="O189" s="907"/>
      <c r="P189" s="907"/>
      <c r="Q189" s="907"/>
      <c r="R189" s="907"/>
      <c r="S189" s="907"/>
      <c r="T189" s="907"/>
      <c r="U189" s="907"/>
      <c r="V189" s="907"/>
      <c r="W189" s="907"/>
      <c r="X189" s="907"/>
      <c r="Y189" s="907"/>
      <c r="Z189" s="907"/>
      <c r="AA189" s="907"/>
      <c r="AB189" s="907"/>
      <c r="AC189" s="907"/>
    </row>
    <row r="190" spans="1:29">
      <c r="A190" s="907"/>
      <c r="B190" s="907"/>
      <c r="C190" s="907"/>
      <c r="D190" s="907"/>
      <c r="E190" s="907"/>
      <c r="F190" s="907"/>
      <c r="G190" s="907"/>
      <c r="H190" s="907"/>
      <c r="I190" s="907"/>
      <c r="J190" s="907"/>
      <c r="K190" s="907"/>
      <c r="L190" s="907"/>
      <c r="M190" s="907"/>
      <c r="N190" s="907"/>
      <c r="O190" s="907"/>
      <c r="P190" s="907"/>
      <c r="Q190" s="907"/>
      <c r="R190" s="907"/>
      <c r="S190" s="907"/>
      <c r="T190" s="907"/>
      <c r="U190" s="907"/>
      <c r="V190" s="907"/>
      <c r="W190" s="907"/>
      <c r="X190" s="907"/>
      <c r="Y190" s="907"/>
      <c r="Z190" s="907"/>
      <c r="AA190" s="907"/>
      <c r="AB190" s="907"/>
      <c r="AC190" s="907"/>
    </row>
    <row r="191" spans="1:29">
      <c r="A191" s="907"/>
      <c r="B191" s="907"/>
      <c r="C191" s="907"/>
      <c r="D191" s="907"/>
      <c r="E191" s="907"/>
      <c r="F191" s="907"/>
      <c r="G191" s="907"/>
      <c r="H191" s="907"/>
      <c r="I191" s="907"/>
      <c r="J191" s="907"/>
      <c r="K191" s="907"/>
      <c r="L191" s="907"/>
      <c r="M191" s="907"/>
      <c r="N191" s="907"/>
      <c r="O191" s="907"/>
      <c r="P191" s="907"/>
      <c r="Q191" s="907"/>
      <c r="R191" s="907"/>
      <c r="S191" s="907"/>
      <c r="T191" s="907"/>
      <c r="U191" s="907"/>
      <c r="V191" s="907"/>
      <c r="W191" s="907"/>
      <c r="X191" s="907"/>
      <c r="Y191" s="907"/>
      <c r="Z191" s="907"/>
      <c r="AA191" s="907"/>
      <c r="AB191" s="907"/>
      <c r="AC191" s="907"/>
    </row>
    <row r="192" spans="1:29">
      <c r="A192" s="907"/>
      <c r="B192" s="907"/>
      <c r="C192" s="907"/>
      <c r="D192" s="907"/>
      <c r="E192" s="907"/>
      <c r="F192" s="907"/>
      <c r="G192" s="907"/>
      <c r="H192" s="907"/>
      <c r="I192" s="907"/>
      <c r="J192" s="907"/>
      <c r="K192" s="907"/>
      <c r="L192" s="907"/>
      <c r="M192" s="907"/>
      <c r="N192" s="907"/>
      <c r="O192" s="907"/>
      <c r="P192" s="907"/>
      <c r="Q192" s="907"/>
      <c r="R192" s="907"/>
      <c r="S192" s="907"/>
      <c r="T192" s="907"/>
      <c r="U192" s="907"/>
      <c r="V192" s="907"/>
      <c r="W192" s="907"/>
      <c r="X192" s="907"/>
      <c r="Y192" s="907"/>
      <c r="Z192" s="907"/>
      <c r="AA192" s="907"/>
      <c r="AB192" s="907"/>
      <c r="AC192" s="907"/>
    </row>
    <row r="193" spans="1:29">
      <c r="A193" s="907"/>
      <c r="B193" s="907"/>
      <c r="C193" s="907"/>
      <c r="D193" s="907"/>
      <c r="E193" s="907"/>
      <c r="F193" s="907"/>
      <c r="G193" s="907"/>
      <c r="H193" s="907"/>
      <c r="I193" s="907"/>
      <c r="J193" s="907"/>
      <c r="K193" s="907"/>
      <c r="L193" s="907"/>
      <c r="M193" s="907"/>
      <c r="N193" s="907"/>
      <c r="O193" s="907"/>
      <c r="P193" s="907"/>
      <c r="Q193" s="907"/>
      <c r="R193" s="907"/>
      <c r="S193" s="907"/>
      <c r="T193" s="907"/>
      <c r="U193" s="907"/>
      <c r="V193" s="907"/>
      <c r="W193" s="907"/>
      <c r="X193" s="907"/>
      <c r="Y193" s="907"/>
      <c r="Z193" s="907"/>
      <c r="AA193" s="907"/>
      <c r="AB193" s="907"/>
      <c r="AC193" s="907"/>
    </row>
    <row r="194" spans="1:29">
      <c r="A194" s="907"/>
      <c r="B194" s="907"/>
      <c r="C194" s="907"/>
      <c r="D194" s="907"/>
      <c r="E194" s="907"/>
      <c r="F194" s="907"/>
      <c r="G194" s="907"/>
      <c r="H194" s="907"/>
      <c r="I194" s="907"/>
      <c r="J194" s="907"/>
      <c r="K194" s="907"/>
      <c r="L194" s="907"/>
      <c r="M194" s="907"/>
      <c r="N194" s="907"/>
      <c r="O194" s="907"/>
      <c r="P194" s="907"/>
      <c r="Q194" s="907"/>
      <c r="R194" s="907"/>
      <c r="S194" s="907"/>
      <c r="T194" s="907"/>
      <c r="U194" s="907"/>
      <c r="V194" s="907"/>
      <c r="W194" s="907"/>
      <c r="X194" s="907"/>
      <c r="Y194" s="907"/>
      <c r="Z194" s="907"/>
      <c r="AA194" s="907"/>
      <c r="AB194" s="907"/>
      <c r="AC194" s="907"/>
    </row>
    <row r="195" spans="1:29">
      <c r="A195" s="907"/>
      <c r="B195" s="907"/>
      <c r="C195" s="907"/>
      <c r="D195" s="907"/>
      <c r="E195" s="907"/>
      <c r="F195" s="907"/>
      <c r="G195" s="907"/>
      <c r="H195" s="907"/>
      <c r="I195" s="907"/>
      <c r="J195" s="907"/>
      <c r="K195" s="907"/>
      <c r="L195" s="907"/>
      <c r="M195" s="907"/>
      <c r="N195" s="907"/>
      <c r="O195" s="907"/>
      <c r="P195" s="907"/>
      <c r="Q195" s="907"/>
      <c r="R195" s="907"/>
      <c r="S195" s="907"/>
      <c r="T195" s="907"/>
      <c r="U195" s="907"/>
      <c r="V195" s="907"/>
      <c r="W195" s="907"/>
      <c r="X195" s="907"/>
      <c r="Y195" s="907"/>
      <c r="Z195" s="907"/>
      <c r="AA195" s="907"/>
      <c r="AB195" s="907"/>
      <c r="AC195" s="907"/>
    </row>
    <row r="196" spans="1:29">
      <c r="A196" s="907"/>
      <c r="B196" s="907"/>
      <c r="C196" s="907"/>
      <c r="D196" s="907"/>
      <c r="E196" s="907"/>
      <c r="F196" s="907"/>
      <c r="G196" s="907"/>
      <c r="H196" s="907"/>
      <c r="I196" s="907"/>
      <c r="J196" s="907"/>
      <c r="K196" s="907"/>
      <c r="L196" s="907"/>
      <c r="M196" s="907"/>
      <c r="N196" s="907"/>
      <c r="O196" s="907"/>
      <c r="P196" s="907"/>
      <c r="Q196" s="907"/>
      <c r="R196" s="907"/>
      <c r="S196" s="907"/>
      <c r="T196" s="907"/>
      <c r="U196" s="907"/>
      <c r="V196" s="907"/>
      <c r="W196" s="907"/>
      <c r="X196" s="907"/>
      <c r="Y196" s="907"/>
      <c r="Z196" s="907"/>
      <c r="AA196" s="907"/>
      <c r="AB196" s="907"/>
      <c r="AC196" s="907"/>
    </row>
    <row r="197" spans="1:29">
      <c r="A197" s="907"/>
      <c r="B197" s="907"/>
      <c r="C197" s="907"/>
      <c r="D197" s="907"/>
      <c r="E197" s="907"/>
      <c r="F197" s="907"/>
      <c r="G197" s="907"/>
      <c r="H197" s="907"/>
      <c r="I197" s="907"/>
      <c r="J197" s="907"/>
      <c r="K197" s="907"/>
      <c r="L197" s="907"/>
      <c r="M197" s="907"/>
      <c r="N197" s="907"/>
      <c r="O197" s="907"/>
      <c r="P197" s="907"/>
      <c r="Q197" s="907"/>
      <c r="R197" s="907"/>
      <c r="S197" s="907"/>
      <c r="T197" s="907"/>
      <c r="U197" s="907"/>
      <c r="V197" s="907"/>
      <c r="W197" s="907"/>
      <c r="X197" s="907"/>
      <c r="Y197" s="907"/>
      <c r="Z197" s="907"/>
      <c r="AA197" s="907"/>
      <c r="AB197" s="907"/>
      <c r="AC197" s="907"/>
    </row>
    <row r="198" spans="1:29">
      <c r="A198" s="907"/>
      <c r="B198" s="907"/>
      <c r="C198" s="907"/>
      <c r="D198" s="907"/>
      <c r="E198" s="907"/>
      <c r="F198" s="907"/>
      <c r="G198" s="907"/>
      <c r="H198" s="907"/>
      <c r="I198" s="907"/>
      <c r="J198" s="907"/>
      <c r="K198" s="907"/>
      <c r="L198" s="907"/>
      <c r="M198" s="907"/>
      <c r="N198" s="907"/>
      <c r="O198" s="907"/>
      <c r="P198" s="907"/>
      <c r="Q198" s="907"/>
      <c r="R198" s="907"/>
      <c r="S198" s="907"/>
      <c r="T198" s="907"/>
      <c r="U198" s="907"/>
      <c r="V198" s="907"/>
      <c r="W198" s="907"/>
      <c r="X198" s="907"/>
      <c r="Y198" s="907"/>
      <c r="Z198" s="907"/>
      <c r="AA198" s="907"/>
      <c r="AB198" s="907"/>
      <c r="AC198" s="907"/>
    </row>
    <row r="199" spans="1:29">
      <c r="A199" s="907"/>
      <c r="B199" s="907"/>
      <c r="C199" s="907"/>
      <c r="D199" s="907"/>
      <c r="E199" s="907"/>
      <c r="F199" s="907"/>
      <c r="G199" s="907"/>
      <c r="H199" s="907"/>
      <c r="I199" s="907"/>
      <c r="J199" s="907"/>
      <c r="K199" s="907"/>
      <c r="L199" s="907"/>
      <c r="M199" s="907"/>
      <c r="N199" s="907"/>
      <c r="O199" s="907"/>
      <c r="P199" s="907"/>
      <c r="Q199" s="907"/>
      <c r="R199" s="907"/>
      <c r="S199" s="907"/>
      <c r="T199" s="907"/>
      <c r="U199" s="907"/>
      <c r="V199" s="907"/>
      <c r="W199" s="907"/>
      <c r="X199" s="907"/>
      <c r="Y199" s="907"/>
      <c r="Z199" s="907"/>
      <c r="AA199" s="907"/>
      <c r="AB199" s="907"/>
      <c r="AC199" s="907"/>
    </row>
    <row r="200" spans="1:29">
      <c r="A200" s="907"/>
      <c r="B200" s="907"/>
      <c r="C200" s="907"/>
      <c r="D200" s="907"/>
      <c r="E200" s="907"/>
      <c r="F200" s="907"/>
      <c r="G200" s="907"/>
      <c r="H200" s="907"/>
      <c r="I200" s="907"/>
      <c r="J200" s="907"/>
      <c r="K200" s="907"/>
      <c r="L200" s="907"/>
      <c r="M200" s="907"/>
      <c r="N200" s="907"/>
      <c r="O200" s="907"/>
      <c r="P200" s="907"/>
      <c r="Q200" s="907"/>
      <c r="R200" s="907"/>
      <c r="S200" s="907"/>
      <c r="T200" s="907"/>
      <c r="U200" s="907"/>
      <c r="V200" s="907"/>
      <c r="W200" s="907"/>
      <c r="X200" s="907"/>
      <c r="Y200" s="907"/>
      <c r="Z200" s="907"/>
      <c r="AA200" s="907"/>
      <c r="AB200" s="907"/>
      <c r="AC200" s="907"/>
    </row>
    <row r="201" spans="1:29">
      <c r="A201" s="907"/>
      <c r="B201" s="907"/>
      <c r="C201" s="907"/>
      <c r="D201" s="907"/>
      <c r="E201" s="907"/>
      <c r="F201" s="907"/>
      <c r="G201" s="907"/>
      <c r="H201" s="907"/>
      <c r="I201" s="907"/>
      <c r="J201" s="907"/>
      <c r="K201" s="907"/>
      <c r="L201" s="907"/>
      <c r="M201" s="907"/>
      <c r="N201" s="907"/>
      <c r="O201" s="907"/>
      <c r="P201" s="907"/>
      <c r="Q201" s="907"/>
      <c r="R201" s="907"/>
      <c r="S201" s="907"/>
      <c r="T201" s="907"/>
      <c r="U201" s="907"/>
      <c r="V201" s="907"/>
      <c r="W201" s="907"/>
      <c r="X201" s="907"/>
      <c r="Y201" s="907"/>
      <c r="Z201" s="907"/>
      <c r="AA201" s="907"/>
      <c r="AB201" s="907"/>
      <c r="AC201" s="907"/>
    </row>
    <row r="202" spans="1:29">
      <c r="A202" s="907"/>
      <c r="B202" s="907"/>
      <c r="C202" s="907"/>
      <c r="D202" s="907"/>
      <c r="E202" s="907"/>
      <c r="F202" s="907"/>
      <c r="G202" s="907"/>
      <c r="H202" s="907"/>
      <c r="I202" s="907"/>
      <c r="J202" s="907"/>
      <c r="K202" s="907"/>
      <c r="L202" s="907"/>
      <c r="M202" s="907"/>
      <c r="N202" s="907"/>
      <c r="O202" s="907"/>
      <c r="P202" s="907"/>
      <c r="Q202" s="907"/>
      <c r="R202" s="907"/>
      <c r="S202" s="907"/>
      <c r="T202" s="907"/>
      <c r="U202" s="907"/>
      <c r="V202" s="907"/>
      <c r="W202" s="907"/>
      <c r="X202" s="907"/>
      <c r="Y202" s="907"/>
      <c r="Z202" s="907"/>
      <c r="AA202" s="907"/>
      <c r="AB202" s="907"/>
      <c r="AC202" s="907"/>
    </row>
    <row r="203" spans="1:29">
      <c r="A203" s="907"/>
      <c r="B203" s="907"/>
      <c r="C203" s="907"/>
      <c r="D203" s="907"/>
      <c r="E203" s="907"/>
      <c r="F203" s="907"/>
      <c r="G203" s="907"/>
      <c r="H203" s="907"/>
      <c r="I203" s="907"/>
      <c r="J203" s="907"/>
      <c r="K203" s="907"/>
      <c r="L203" s="907"/>
      <c r="M203" s="907"/>
      <c r="N203" s="907"/>
      <c r="O203" s="907"/>
      <c r="P203" s="907"/>
      <c r="Q203" s="907"/>
      <c r="R203" s="907"/>
      <c r="S203" s="907"/>
      <c r="T203" s="907"/>
      <c r="U203" s="907"/>
      <c r="V203" s="907"/>
      <c r="W203" s="907"/>
      <c r="X203" s="907"/>
      <c r="Y203" s="907"/>
      <c r="Z203" s="907"/>
      <c r="AA203" s="907"/>
      <c r="AB203" s="907"/>
      <c r="AC203" s="907"/>
    </row>
    <row r="204" spans="1:29">
      <c r="A204" s="907"/>
      <c r="B204" s="907"/>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c r="AB204" s="907"/>
      <c r="AC204" s="907"/>
    </row>
    <row r="205" spans="1:29">
      <c r="A205" s="907"/>
      <c r="B205" s="907"/>
      <c r="C205" s="907"/>
      <c r="D205" s="907"/>
      <c r="E205" s="907"/>
      <c r="F205" s="907"/>
      <c r="G205" s="907"/>
      <c r="H205" s="907"/>
      <c r="I205" s="907"/>
      <c r="J205" s="907"/>
      <c r="K205" s="907"/>
      <c r="L205" s="907"/>
      <c r="M205" s="907"/>
      <c r="N205" s="907"/>
      <c r="O205" s="907"/>
      <c r="P205" s="907"/>
      <c r="Q205" s="907"/>
      <c r="R205" s="907"/>
      <c r="S205" s="907"/>
      <c r="T205" s="907"/>
      <c r="U205" s="907"/>
      <c r="V205" s="907"/>
      <c r="W205" s="907"/>
      <c r="X205" s="907"/>
      <c r="Y205" s="907"/>
      <c r="Z205" s="907"/>
      <c r="AA205" s="907"/>
      <c r="AB205" s="907"/>
      <c r="AC205" s="907"/>
    </row>
    <row r="206" spans="1:29">
      <c r="A206" s="907"/>
      <c r="B206" s="907"/>
      <c r="C206" s="907"/>
      <c r="D206" s="907"/>
      <c r="E206" s="907"/>
      <c r="F206" s="907"/>
      <c r="G206" s="907"/>
      <c r="H206" s="907"/>
      <c r="I206" s="907"/>
      <c r="J206" s="907"/>
      <c r="K206" s="907"/>
      <c r="L206" s="907"/>
      <c r="M206" s="907"/>
      <c r="N206" s="907"/>
      <c r="O206" s="907"/>
      <c r="P206" s="907"/>
      <c r="Q206" s="907"/>
      <c r="R206" s="907"/>
      <c r="S206" s="907"/>
      <c r="T206" s="907"/>
      <c r="U206" s="907"/>
      <c r="V206" s="907"/>
      <c r="W206" s="907"/>
      <c r="X206" s="907"/>
      <c r="Y206" s="907"/>
      <c r="Z206" s="907"/>
      <c r="AA206" s="907"/>
      <c r="AB206" s="907"/>
      <c r="AC206" s="907"/>
    </row>
    <row r="207" spans="1:29">
      <c r="A207" s="907"/>
      <c r="B207" s="907"/>
      <c r="C207" s="907"/>
      <c r="D207" s="907"/>
      <c r="E207" s="907"/>
      <c r="F207" s="907"/>
      <c r="G207" s="907"/>
      <c r="H207" s="907"/>
      <c r="I207" s="907"/>
      <c r="J207" s="907"/>
      <c r="K207" s="907"/>
      <c r="L207" s="907"/>
      <c r="M207" s="907"/>
      <c r="N207" s="907"/>
      <c r="O207" s="907"/>
      <c r="P207" s="907"/>
      <c r="Q207" s="907"/>
      <c r="R207" s="907"/>
      <c r="S207" s="907"/>
      <c r="T207" s="907"/>
      <c r="U207" s="907"/>
      <c r="V207" s="907"/>
      <c r="W207" s="907"/>
      <c r="X207" s="907"/>
      <c r="Y207" s="907"/>
      <c r="Z207" s="907"/>
      <c r="AA207" s="907"/>
      <c r="AB207" s="907"/>
      <c r="AC207" s="907"/>
    </row>
    <row r="208" spans="1:29">
      <c r="A208" s="907"/>
      <c r="B208" s="907"/>
      <c r="C208" s="907"/>
      <c r="D208" s="907"/>
      <c r="E208" s="907"/>
      <c r="F208" s="907"/>
      <c r="G208" s="907"/>
      <c r="H208" s="907"/>
      <c r="I208" s="907"/>
      <c r="J208" s="907"/>
      <c r="K208" s="907"/>
      <c r="L208" s="907"/>
      <c r="M208" s="907"/>
      <c r="N208" s="907"/>
      <c r="O208" s="907"/>
      <c r="P208" s="907"/>
      <c r="Q208" s="907"/>
      <c r="R208" s="907"/>
      <c r="S208" s="907"/>
      <c r="T208" s="907"/>
      <c r="U208" s="907"/>
      <c r="V208" s="907"/>
      <c r="W208" s="907"/>
      <c r="X208" s="907"/>
      <c r="Y208" s="907"/>
      <c r="Z208" s="907"/>
      <c r="AA208" s="907"/>
      <c r="AB208" s="907"/>
      <c r="AC208" s="907"/>
    </row>
    <row r="209" spans="1:29">
      <c r="A209" s="907"/>
      <c r="B209" s="907"/>
      <c r="C209" s="907"/>
      <c r="D209" s="907"/>
      <c r="E209" s="907"/>
      <c r="F209" s="907"/>
      <c r="G209" s="907"/>
      <c r="H209" s="907"/>
      <c r="I209" s="907"/>
      <c r="J209" s="907"/>
      <c r="K209" s="907"/>
      <c r="L209" s="907"/>
      <c r="M209" s="907"/>
      <c r="N209" s="907"/>
      <c r="O209" s="907"/>
      <c r="P209" s="907"/>
      <c r="Q209" s="907"/>
      <c r="R209" s="907"/>
      <c r="S209" s="907"/>
      <c r="T209" s="907"/>
      <c r="U209" s="907"/>
      <c r="V209" s="907"/>
      <c r="W209" s="907"/>
      <c r="X209" s="907"/>
      <c r="Y209" s="907"/>
      <c r="Z209" s="907"/>
      <c r="AA209" s="907"/>
      <c r="AB209" s="907"/>
      <c r="AC209" s="907"/>
    </row>
    <row r="210" spans="1:29">
      <c r="A210" s="907"/>
      <c r="B210" s="907"/>
      <c r="C210" s="907"/>
      <c r="D210" s="907"/>
      <c r="E210" s="907"/>
      <c r="F210" s="907"/>
      <c r="G210" s="907"/>
      <c r="H210" s="907"/>
      <c r="I210" s="907"/>
      <c r="J210" s="907"/>
      <c r="K210" s="907"/>
      <c r="L210" s="907"/>
      <c r="M210" s="907"/>
      <c r="N210" s="907"/>
      <c r="O210" s="907"/>
      <c r="P210" s="907"/>
      <c r="Q210" s="907"/>
      <c r="R210" s="907"/>
      <c r="S210" s="907"/>
      <c r="T210" s="907"/>
      <c r="U210" s="907"/>
      <c r="V210" s="907"/>
      <c r="W210" s="907"/>
      <c r="X210" s="907"/>
      <c r="Y210" s="907"/>
      <c r="Z210" s="907"/>
      <c r="AA210" s="907"/>
      <c r="AB210" s="907"/>
      <c r="AC210" s="907"/>
    </row>
    <row r="211" spans="1:29">
      <c r="A211" s="907"/>
      <c r="B211" s="907"/>
      <c r="C211" s="907"/>
      <c r="D211" s="907"/>
      <c r="E211" s="907"/>
      <c r="F211" s="907"/>
      <c r="G211" s="907"/>
      <c r="H211" s="907"/>
      <c r="I211" s="907"/>
      <c r="J211" s="907"/>
      <c r="K211" s="907"/>
      <c r="L211" s="907"/>
      <c r="M211" s="907"/>
      <c r="N211" s="907"/>
      <c r="O211" s="907"/>
      <c r="P211" s="907"/>
      <c r="Q211" s="907"/>
      <c r="R211" s="907"/>
      <c r="S211" s="907"/>
      <c r="T211" s="907"/>
      <c r="U211" s="907"/>
      <c r="V211" s="907"/>
      <c r="W211" s="907"/>
      <c r="X211" s="907"/>
      <c r="Y211" s="907"/>
      <c r="Z211" s="907"/>
      <c r="AA211" s="907"/>
      <c r="AB211" s="907"/>
      <c r="AC211" s="907"/>
    </row>
    <row r="212" spans="1:29">
      <c r="A212" s="907"/>
      <c r="B212" s="907"/>
      <c r="C212" s="907"/>
      <c r="D212" s="907"/>
      <c r="E212" s="907"/>
      <c r="F212" s="907"/>
      <c r="G212" s="907"/>
      <c r="H212" s="907"/>
      <c r="I212" s="907"/>
      <c r="J212" s="907"/>
      <c r="K212" s="907"/>
      <c r="L212" s="907"/>
      <c r="M212" s="907"/>
      <c r="N212" s="907"/>
      <c r="O212" s="907"/>
      <c r="P212" s="907"/>
      <c r="Q212" s="907"/>
      <c r="R212" s="907"/>
      <c r="S212" s="907"/>
      <c r="T212" s="907"/>
      <c r="U212" s="907"/>
      <c r="V212" s="907"/>
      <c r="W212" s="907"/>
      <c r="X212" s="907"/>
      <c r="Y212" s="907"/>
      <c r="Z212" s="907"/>
      <c r="AA212" s="907"/>
      <c r="AB212" s="907"/>
      <c r="AC212" s="907"/>
    </row>
    <row r="213" spans="1:29">
      <c r="A213" s="907"/>
      <c r="B213" s="907"/>
      <c r="C213" s="907"/>
      <c r="D213" s="907"/>
      <c r="E213" s="907"/>
      <c r="F213" s="907"/>
      <c r="G213" s="907"/>
      <c r="H213" s="907"/>
      <c r="I213" s="907"/>
      <c r="J213" s="907"/>
      <c r="K213" s="907"/>
      <c r="L213" s="907"/>
      <c r="M213" s="907"/>
      <c r="N213" s="907"/>
      <c r="O213" s="907"/>
      <c r="P213" s="907"/>
      <c r="Q213" s="907"/>
      <c r="R213" s="907"/>
      <c r="S213" s="907"/>
      <c r="T213" s="907"/>
      <c r="U213" s="907"/>
      <c r="V213" s="907"/>
      <c r="W213" s="907"/>
      <c r="X213" s="907"/>
      <c r="Y213" s="907"/>
      <c r="Z213" s="907"/>
      <c r="AA213" s="907"/>
      <c r="AB213" s="907"/>
      <c r="AC213" s="907"/>
    </row>
    <row r="214" spans="1:29">
      <c r="A214" s="907"/>
      <c r="B214" s="907"/>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c r="AB214" s="907"/>
      <c r="AC214" s="907"/>
    </row>
    <row r="215" spans="1:29">
      <c r="A215" s="907"/>
      <c r="B215" s="907"/>
      <c r="C215" s="907"/>
      <c r="D215" s="907"/>
      <c r="E215" s="907"/>
      <c r="F215" s="907"/>
      <c r="G215" s="907"/>
      <c r="H215" s="907"/>
      <c r="I215" s="907"/>
      <c r="J215" s="907"/>
      <c r="K215" s="907"/>
      <c r="L215" s="907"/>
      <c r="M215" s="907"/>
      <c r="N215" s="907"/>
      <c r="O215" s="907"/>
      <c r="P215" s="907"/>
      <c r="Q215" s="907"/>
      <c r="R215" s="907"/>
      <c r="S215" s="907"/>
      <c r="T215" s="907"/>
      <c r="U215" s="907"/>
      <c r="V215" s="907"/>
      <c r="W215" s="907"/>
      <c r="X215" s="907"/>
      <c r="Y215" s="907"/>
      <c r="Z215" s="907"/>
      <c r="AA215" s="907"/>
      <c r="AB215" s="907"/>
      <c r="AC215" s="907"/>
    </row>
    <row r="216" spans="1:29">
      <c r="A216" s="907"/>
      <c r="B216" s="907"/>
      <c r="C216" s="907"/>
      <c r="D216" s="907"/>
      <c r="E216" s="907"/>
      <c r="F216" s="907"/>
      <c r="G216" s="907"/>
      <c r="H216" s="907"/>
      <c r="I216" s="907"/>
      <c r="J216" s="907"/>
      <c r="K216" s="907"/>
      <c r="L216" s="907"/>
      <c r="M216" s="907"/>
      <c r="N216" s="907"/>
      <c r="O216" s="907"/>
      <c r="P216" s="907"/>
      <c r="Q216" s="907"/>
      <c r="R216" s="907"/>
      <c r="S216" s="907"/>
      <c r="T216" s="907"/>
      <c r="U216" s="907"/>
      <c r="V216" s="907"/>
      <c r="W216" s="907"/>
      <c r="X216" s="907"/>
      <c r="Y216" s="907"/>
      <c r="Z216" s="907"/>
      <c r="AA216" s="907"/>
      <c r="AB216" s="907"/>
      <c r="AC216" s="907"/>
    </row>
    <row r="217" spans="1:29">
      <c r="A217" s="907"/>
      <c r="B217" s="907"/>
      <c r="C217" s="907"/>
      <c r="D217" s="907"/>
      <c r="E217" s="907"/>
      <c r="F217" s="907"/>
      <c r="G217" s="907"/>
      <c r="H217" s="907"/>
      <c r="I217" s="907"/>
      <c r="J217" s="907"/>
      <c r="K217" s="907"/>
      <c r="L217" s="907"/>
      <c r="M217" s="907"/>
      <c r="N217" s="907"/>
      <c r="O217" s="907"/>
      <c r="P217" s="907"/>
      <c r="Q217" s="907"/>
      <c r="R217" s="907"/>
      <c r="S217" s="907"/>
      <c r="T217" s="907"/>
      <c r="U217" s="907"/>
      <c r="V217" s="907"/>
      <c r="W217" s="907"/>
      <c r="X217" s="907"/>
      <c r="Y217" s="907"/>
      <c r="Z217" s="907"/>
      <c r="AA217" s="907"/>
      <c r="AB217" s="907"/>
      <c r="AC217" s="907"/>
    </row>
    <row r="218" spans="1:29">
      <c r="A218" s="907"/>
      <c r="B218" s="907"/>
      <c r="C218" s="907"/>
      <c r="D218" s="907"/>
      <c r="E218" s="907"/>
      <c r="F218" s="907"/>
      <c r="G218" s="907"/>
      <c r="H218" s="907"/>
      <c r="I218" s="907"/>
      <c r="J218" s="907"/>
      <c r="K218" s="907"/>
      <c r="L218" s="907"/>
      <c r="M218" s="907"/>
      <c r="N218" s="907"/>
      <c r="O218" s="907"/>
      <c r="P218" s="907"/>
      <c r="Q218" s="907"/>
      <c r="R218" s="907"/>
      <c r="S218" s="907"/>
      <c r="T218" s="907"/>
      <c r="U218" s="907"/>
      <c r="V218" s="907"/>
      <c r="W218" s="907"/>
      <c r="X218" s="907"/>
      <c r="Y218" s="907"/>
      <c r="Z218" s="907"/>
      <c r="AA218" s="907"/>
      <c r="AB218" s="907"/>
      <c r="AC218" s="907"/>
    </row>
    <row r="219" spans="1:29">
      <c r="A219" s="907"/>
      <c r="B219" s="907"/>
      <c r="C219" s="907"/>
      <c r="D219" s="907"/>
      <c r="E219" s="907"/>
      <c r="F219" s="907"/>
      <c r="G219" s="907"/>
      <c r="H219" s="907"/>
      <c r="I219" s="907"/>
      <c r="J219" s="907"/>
      <c r="K219" s="907"/>
      <c r="L219" s="907"/>
      <c r="M219" s="907"/>
      <c r="N219" s="907"/>
      <c r="O219" s="907"/>
      <c r="P219" s="907"/>
      <c r="Q219" s="907"/>
      <c r="R219" s="907"/>
      <c r="S219" s="907"/>
      <c r="T219" s="907"/>
      <c r="U219" s="907"/>
      <c r="V219" s="907"/>
      <c r="W219" s="907"/>
      <c r="X219" s="907"/>
      <c r="Y219" s="907"/>
      <c r="Z219" s="907"/>
      <c r="AA219" s="907"/>
      <c r="AB219" s="907"/>
      <c r="AC219" s="907"/>
    </row>
    <row r="220" spans="1:29">
      <c r="A220" s="907"/>
      <c r="B220" s="907"/>
      <c r="C220" s="907"/>
      <c r="D220" s="907"/>
      <c r="E220" s="907"/>
      <c r="F220" s="907"/>
      <c r="G220" s="907"/>
      <c r="H220" s="907"/>
      <c r="I220" s="907"/>
      <c r="J220" s="907"/>
      <c r="K220" s="907"/>
      <c r="L220" s="907"/>
      <c r="M220" s="907"/>
      <c r="N220" s="907"/>
      <c r="O220" s="907"/>
      <c r="P220" s="907"/>
      <c r="Q220" s="907"/>
      <c r="R220" s="907"/>
      <c r="S220" s="907"/>
      <c r="T220" s="907"/>
      <c r="U220" s="907"/>
      <c r="V220" s="907"/>
      <c r="W220" s="907"/>
      <c r="X220" s="907"/>
      <c r="Y220" s="907"/>
      <c r="Z220" s="907"/>
      <c r="AA220" s="907"/>
      <c r="AB220" s="907"/>
      <c r="AC220" s="907"/>
    </row>
    <row r="221" spans="1:29">
      <c r="A221" s="907"/>
      <c r="B221" s="907"/>
      <c r="C221" s="907"/>
      <c r="D221" s="907"/>
      <c r="E221" s="907"/>
      <c r="F221" s="907"/>
      <c r="G221" s="907"/>
      <c r="H221" s="907"/>
      <c r="I221" s="907"/>
      <c r="J221" s="907"/>
      <c r="K221" s="907"/>
      <c r="L221" s="907"/>
      <c r="M221" s="907"/>
      <c r="N221" s="907"/>
      <c r="O221" s="907"/>
      <c r="P221" s="907"/>
      <c r="Q221" s="907"/>
      <c r="R221" s="907"/>
      <c r="S221" s="907"/>
      <c r="T221" s="907"/>
      <c r="U221" s="907"/>
      <c r="V221" s="907"/>
      <c r="W221" s="907"/>
      <c r="X221" s="907"/>
      <c r="Y221" s="907"/>
      <c r="Z221" s="907"/>
      <c r="AA221" s="907"/>
      <c r="AB221" s="907"/>
      <c r="AC221" s="907"/>
    </row>
    <row r="222" spans="1:29">
      <c r="A222" s="907"/>
      <c r="B222" s="907"/>
      <c r="C222" s="907"/>
      <c r="D222" s="907"/>
      <c r="E222" s="907"/>
      <c r="F222" s="907"/>
      <c r="G222" s="907"/>
      <c r="H222" s="907"/>
      <c r="I222" s="907"/>
      <c r="J222" s="907"/>
      <c r="K222" s="907"/>
      <c r="L222" s="907"/>
      <c r="M222" s="907"/>
      <c r="N222" s="907"/>
      <c r="O222" s="907"/>
      <c r="P222" s="907"/>
      <c r="Q222" s="907"/>
      <c r="R222" s="907"/>
      <c r="S222" s="907"/>
      <c r="T222" s="907"/>
      <c r="U222" s="907"/>
      <c r="V222" s="907"/>
      <c r="W222" s="907"/>
      <c r="X222" s="907"/>
      <c r="Y222" s="907"/>
      <c r="Z222" s="907"/>
      <c r="AA222" s="907"/>
      <c r="AB222" s="907"/>
      <c r="AC222" s="907"/>
    </row>
    <row r="223" spans="1:29">
      <c r="A223" s="907"/>
      <c r="B223" s="907"/>
      <c r="C223" s="907"/>
      <c r="D223" s="907"/>
      <c r="E223" s="907"/>
      <c r="F223" s="907"/>
      <c r="G223" s="907"/>
      <c r="H223" s="907"/>
      <c r="I223" s="907"/>
      <c r="J223" s="907"/>
      <c r="K223" s="907"/>
      <c r="L223" s="907"/>
      <c r="M223" s="907"/>
      <c r="N223" s="907"/>
      <c r="O223" s="907"/>
      <c r="P223" s="907"/>
      <c r="Q223" s="907"/>
      <c r="R223" s="907"/>
      <c r="S223" s="907"/>
      <c r="T223" s="907"/>
      <c r="U223" s="907"/>
      <c r="V223" s="907"/>
      <c r="W223" s="907"/>
      <c r="X223" s="907"/>
      <c r="Y223" s="907"/>
      <c r="Z223" s="907"/>
      <c r="AA223" s="907"/>
      <c r="AB223" s="907"/>
      <c r="AC223" s="907"/>
    </row>
    <row r="224" spans="1:29">
      <c r="A224" s="907"/>
      <c r="B224" s="907"/>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c r="AB224" s="907"/>
      <c r="AC224" s="907"/>
    </row>
    <row r="225" spans="1:29">
      <c r="A225" s="907"/>
      <c r="B225" s="907"/>
      <c r="C225" s="907"/>
      <c r="D225" s="907"/>
      <c r="E225" s="907"/>
      <c r="F225" s="907"/>
      <c r="G225" s="907"/>
      <c r="H225" s="907"/>
      <c r="I225" s="907"/>
      <c r="J225" s="907"/>
      <c r="K225" s="907"/>
      <c r="L225" s="907"/>
      <c r="M225" s="907"/>
      <c r="N225" s="907"/>
      <c r="O225" s="907"/>
      <c r="P225" s="907"/>
      <c r="Q225" s="907"/>
      <c r="R225" s="907"/>
      <c r="S225" s="907"/>
      <c r="T225" s="907"/>
      <c r="U225" s="907"/>
      <c r="V225" s="907"/>
      <c r="W225" s="907"/>
      <c r="X225" s="907"/>
      <c r="Y225" s="907"/>
      <c r="Z225" s="907"/>
      <c r="AA225" s="907"/>
      <c r="AB225" s="907"/>
      <c r="AC225" s="907"/>
    </row>
    <row r="226" spans="1:29">
      <c r="A226" s="907"/>
      <c r="B226" s="907"/>
      <c r="C226" s="907"/>
      <c r="D226" s="907"/>
      <c r="E226" s="907"/>
      <c r="F226" s="907"/>
      <c r="G226" s="907"/>
      <c r="H226" s="907"/>
      <c r="I226" s="907"/>
      <c r="J226" s="907"/>
      <c r="K226" s="907"/>
      <c r="L226" s="907"/>
      <c r="M226" s="907"/>
      <c r="N226" s="907"/>
      <c r="O226" s="907"/>
      <c r="P226" s="907"/>
      <c r="Q226" s="907"/>
      <c r="R226" s="907"/>
      <c r="S226" s="907"/>
      <c r="T226" s="907"/>
      <c r="U226" s="907"/>
      <c r="V226" s="907"/>
      <c r="W226" s="907"/>
      <c r="X226" s="907"/>
      <c r="Y226" s="907"/>
      <c r="Z226" s="907"/>
      <c r="AA226" s="907"/>
      <c r="AB226" s="907"/>
      <c r="AC226" s="907"/>
    </row>
    <row r="227" spans="1:29">
      <c r="A227" s="907"/>
      <c r="B227" s="907"/>
      <c r="C227" s="907"/>
      <c r="D227" s="907"/>
      <c r="E227" s="907"/>
      <c r="F227" s="907"/>
      <c r="G227" s="907"/>
      <c r="H227" s="907"/>
      <c r="I227" s="907"/>
      <c r="J227" s="907"/>
      <c r="K227" s="907"/>
      <c r="L227" s="907"/>
      <c r="M227" s="907"/>
      <c r="N227" s="907"/>
      <c r="O227" s="907"/>
      <c r="P227" s="907"/>
      <c r="Q227" s="907"/>
      <c r="R227" s="907"/>
      <c r="S227" s="907"/>
      <c r="T227" s="907"/>
      <c r="U227" s="907"/>
      <c r="V227" s="907"/>
      <c r="W227" s="907"/>
      <c r="X227" s="907"/>
      <c r="Y227" s="907"/>
      <c r="Z227" s="907"/>
      <c r="AA227" s="907"/>
      <c r="AB227" s="907"/>
      <c r="AC227" s="907"/>
    </row>
    <row r="228" spans="1:29">
      <c r="A228" s="907"/>
      <c r="B228" s="907"/>
      <c r="C228" s="907"/>
      <c r="D228" s="907"/>
      <c r="E228" s="907"/>
      <c r="F228" s="907"/>
      <c r="G228" s="907"/>
      <c r="H228" s="907"/>
      <c r="I228" s="907"/>
      <c r="J228" s="907"/>
      <c r="K228" s="907"/>
      <c r="L228" s="907"/>
      <c r="M228" s="907"/>
      <c r="N228" s="907"/>
      <c r="O228" s="907"/>
      <c r="P228" s="907"/>
      <c r="Q228" s="907"/>
      <c r="R228" s="907"/>
      <c r="S228" s="907"/>
      <c r="T228" s="907"/>
      <c r="U228" s="907"/>
      <c r="V228" s="907"/>
      <c r="W228" s="907"/>
      <c r="X228" s="907"/>
      <c r="Y228" s="907"/>
      <c r="Z228" s="907"/>
      <c r="AA228" s="907"/>
      <c r="AB228" s="907"/>
      <c r="AC228" s="907"/>
    </row>
    <row r="229" spans="1:29">
      <c r="A229" s="907"/>
      <c r="B229" s="907"/>
      <c r="C229" s="907"/>
      <c r="D229" s="907"/>
      <c r="E229" s="907"/>
      <c r="F229" s="907"/>
      <c r="G229" s="907"/>
      <c r="H229" s="907"/>
      <c r="I229" s="907"/>
      <c r="J229" s="907"/>
      <c r="K229" s="907"/>
      <c r="L229" s="907"/>
      <c r="M229" s="907"/>
      <c r="N229" s="907"/>
      <c r="O229" s="907"/>
      <c r="P229" s="907"/>
      <c r="Q229" s="907"/>
      <c r="R229" s="907"/>
      <c r="S229" s="907"/>
      <c r="T229" s="907"/>
      <c r="U229" s="907"/>
      <c r="V229" s="907"/>
      <c r="W229" s="907"/>
      <c r="X229" s="907"/>
      <c r="Y229" s="907"/>
      <c r="Z229" s="907"/>
      <c r="AA229" s="907"/>
      <c r="AB229" s="907"/>
      <c r="AC229" s="907"/>
    </row>
    <row r="230" spans="1:29">
      <c r="A230" s="907"/>
      <c r="B230" s="907"/>
      <c r="C230" s="907"/>
      <c r="D230" s="907"/>
      <c r="E230" s="907"/>
      <c r="F230" s="907"/>
      <c r="G230" s="907"/>
      <c r="H230" s="907"/>
      <c r="I230" s="907"/>
      <c r="J230" s="907"/>
      <c r="K230" s="907"/>
      <c r="L230" s="907"/>
      <c r="M230" s="907"/>
      <c r="N230" s="907"/>
      <c r="O230" s="907"/>
      <c r="P230" s="907"/>
      <c r="Q230" s="907"/>
      <c r="R230" s="907"/>
      <c r="S230" s="907"/>
      <c r="T230" s="907"/>
      <c r="U230" s="907"/>
      <c r="V230" s="907"/>
      <c r="W230" s="907"/>
      <c r="X230" s="907"/>
      <c r="Y230" s="907"/>
      <c r="Z230" s="907"/>
      <c r="AA230" s="907"/>
      <c r="AB230" s="907"/>
      <c r="AC230" s="907"/>
    </row>
    <row r="231" spans="1:29">
      <c r="A231" s="907"/>
      <c r="B231" s="907"/>
      <c r="C231" s="907"/>
      <c r="D231" s="907"/>
      <c r="E231" s="907"/>
      <c r="F231" s="907"/>
      <c r="G231" s="907"/>
      <c r="H231" s="907"/>
      <c r="I231" s="907"/>
      <c r="J231" s="907"/>
      <c r="K231" s="907"/>
      <c r="L231" s="907"/>
      <c r="M231" s="907"/>
      <c r="N231" s="907"/>
      <c r="O231" s="907"/>
      <c r="P231" s="907"/>
      <c r="Q231" s="907"/>
      <c r="R231" s="907"/>
      <c r="S231" s="907"/>
      <c r="T231" s="907"/>
      <c r="U231" s="907"/>
      <c r="V231" s="907"/>
      <c r="W231" s="907"/>
      <c r="X231" s="907"/>
      <c r="Y231" s="907"/>
      <c r="Z231" s="907"/>
      <c r="AA231" s="907"/>
      <c r="AB231" s="907"/>
      <c r="AC231" s="907"/>
    </row>
    <row r="232" spans="1:29">
      <c r="A232" s="907"/>
      <c r="B232" s="907"/>
      <c r="C232" s="907"/>
      <c r="D232" s="907"/>
      <c r="E232" s="907"/>
      <c r="F232" s="907"/>
      <c r="G232" s="907"/>
      <c r="H232" s="907"/>
      <c r="I232" s="907"/>
      <c r="J232" s="907"/>
      <c r="K232" s="907"/>
      <c r="L232" s="907"/>
      <c r="M232" s="907"/>
      <c r="N232" s="907"/>
      <c r="O232" s="907"/>
      <c r="P232" s="907"/>
      <c r="Q232" s="907"/>
      <c r="R232" s="907"/>
      <c r="S232" s="907"/>
      <c r="T232" s="907"/>
      <c r="U232" s="907"/>
      <c r="V232" s="907"/>
      <c r="W232" s="907"/>
      <c r="X232" s="907"/>
      <c r="Y232" s="907"/>
      <c r="Z232" s="907"/>
      <c r="AA232" s="907"/>
      <c r="AB232" s="907"/>
      <c r="AC232" s="907"/>
    </row>
    <row r="233" spans="1:29">
      <c r="A233" s="907"/>
      <c r="B233" s="907"/>
      <c r="C233" s="907"/>
      <c r="D233" s="907"/>
      <c r="E233" s="907"/>
      <c r="F233" s="907"/>
      <c r="G233" s="907"/>
      <c r="H233" s="907"/>
      <c r="I233" s="907"/>
      <c r="J233" s="907"/>
      <c r="K233" s="907"/>
      <c r="L233" s="907"/>
      <c r="M233" s="907"/>
      <c r="N233" s="907"/>
      <c r="O233" s="907"/>
      <c r="P233" s="907"/>
      <c r="Q233" s="907"/>
      <c r="R233" s="907"/>
      <c r="S233" s="907"/>
      <c r="T233" s="907"/>
      <c r="U233" s="907"/>
      <c r="V233" s="907"/>
      <c r="W233" s="907"/>
      <c r="X233" s="907"/>
      <c r="Y233" s="907"/>
      <c r="Z233" s="907"/>
      <c r="AA233" s="907"/>
      <c r="AB233" s="907"/>
      <c r="AC233" s="907"/>
    </row>
    <row r="234" spans="1:29">
      <c r="A234" s="907"/>
      <c r="B234" s="907"/>
      <c r="C234" s="907"/>
      <c r="D234" s="907"/>
      <c r="E234" s="907"/>
      <c r="F234" s="907"/>
      <c r="G234" s="907"/>
      <c r="H234" s="907"/>
      <c r="I234" s="907"/>
      <c r="J234" s="907"/>
      <c r="K234" s="907"/>
      <c r="L234" s="907"/>
      <c r="M234" s="907"/>
      <c r="N234" s="907"/>
      <c r="O234" s="907"/>
      <c r="P234" s="907"/>
      <c r="Q234" s="907"/>
      <c r="R234" s="907"/>
      <c r="S234" s="907"/>
      <c r="T234" s="907"/>
      <c r="U234" s="907"/>
      <c r="V234" s="907"/>
      <c r="W234" s="907"/>
      <c r="X234" s="907"/>
      <c r="Y234" s="907"/>
      <c r="Z234" s="907"/>
      <c r="AA234" s="907"/>
      <c r="AB234" s="907"/>
      <c r="AC234" s="907"/>
    </row>
    <row r="235" spans="1:29">
      <c r="A235" s="907"/>
      <c r="B235" s="907"/>
      <c r="C235" s="907"/>
      <c r="D235" s="907"/>
      <c r="E235" s="907"/>
      <c r="F235" s="907"/>
      <c r="G235" s="907"/>
      <c r="H235" s="907"/>
      <c r="I235" s="907"/>
      <c r="J235" s="907"/>
      <c r="K235" s="907"/>
      <c r="L235" s="907"/>
      <c r="M235" s="907"/>
      <c r="N235" s="907"/>
      <c r="O235" s="907"/>
      <c r="P235" s="907"/>
      <c r="Q235" s="907"/>
      <c r="R235" s="907"/>
      <c r="S235" s="907"/>
      <c r="T235" s="907"/>
      <c r="U235" s="907"/>
      <c r="V235" s="907"/>
      <c r="W235" s="907"/>
      <c r="X235" s="907"/>
      <c r="Y235" s="907"/>
      <c r="Z235" s="907"/>
      <c r="AA235" s="907"/>
      <c r="AB235" s="907"/>
      <c r="AC235" s="907"/>
    </row>
    <row r="236" spans="1:29">
      <c r="A236" s="907"/>
      <c r="B236" s="907"/>
      <c r="C236" s="907"/>
      <c r="D236" s="907"/>
      <c r="E236" s="907"/>
      <c r="F236" s="907"/>
      <c r="G236" s="907"/>
      <c r="H236" s="907"/>
      <c r="I236" s="907"/>
      <c r="J236" s="907"/>
      <c r="K236" s="907"/>
      <c r="L236" s="907"/>
      <c r="M236" s="907"/>
      <c r="N236" s="907"/>
      <c r="O236" s="907"/>
      <c r="P236" s="907"/>
      <c r="Q236" s="907"/>
      <c r="R236" s="907"/>
      <c r="S236" s="907"/>
      <c r="T236" s="907"/>
      <c r="U236" s="907"/>
      <c r="V236" s="907"/>
      <c r="W236" s="907"/>
      <c r="X236" s="907"/>
      <c r="Y236" s="907"/>
      <c r="Z236" s="907"/>
      <c r="AA236" s="907"/>
      <c r="AB236" s="907"/>
      <c r="AC236" s="907"/>
    </row>
    <row r="237" spans="1:29">
      <c r="A237" s="907"/>
      <c r="B237" s="907"/>
      <c r="C237" s="907"/>
      <c r="D237" s="907"/>
      <c r="E237" s="907"/>
      <c r="F237" s="907"/>
      <c r="G237" s="907"/>
      <c r="H237" s="907"/>
      <c r="I237" s="907"/>
      <c r="J237" s="907"/>
      <c r="K237" s="907"/>
      <c r="L237" s="907"/>
      <c r="M237" s="907"/>
      <c r="N237" s="907"/>
      <c r="O237" s="907"/>
      <c r="P237" s="907"/>
      <c r="Q237" s="907"/>
      <c r="R237" s="907"/>
      <c r="S237" s="907"/>
      <c r="T237" s="907"/>
      <c r="U237" s="907"/>
      <c r="V237" s="907"/>
      <c r="W237" s="907"/>
      <c r="X237" s="907"/>
      <c r="Y237" s="907"/>
      <c r="Z237" s="907"/>
      <c r="AA237" s="907"/>
      <c r="AB237" s="907"/>
      <c r="AC237" s="907"/>
    </row>
    <row r="238" spans="1:29">
      <c r="A238" s="907"/>
      <c r="B238" s="907"/>
      <c r="C238" s="907"/>
      <c r="D238" s="907"/>
      <c r="E238" s="907"/>
      <c r="F238" s="907"/>
      <c r="G238" s="907"/>
      <c r="H238" s="907"/>
      <c r="I238" s="907"/>
      <c r="J238" s="907"/>
      <c r="K238" s="907"/>
      <c r="L238" s="907"/>
      <c r="M238" s="907"/>
      <c r="N238" s="907"/>
      <c r="O238" s="907"/>
      <c r="P238" s="907"/>
      <c r="Q238" s="907"/>
      <c r="R238" s="907"/>
      <c r="S238" s="907"/>
      <c r="T238" s="907"/>
      <c r="U238" s="907"/>
      <c r="V238" s="907"/>
      <c r="W238" s="907"/>
      <c r="X238" s="907"/>
      <c r="Y238" s="907"/>
      <c r="Z238" s="907"/>
      <c r="AA238" s="907"/>
      <c r="AB238" s="907"/>
      <c r="AC238" s="907"/>
    </row>
    <row r="239" spans="1:29">
      <c r="A239" s="907"/>
      <c r="B239" s="907"/>
      <c r="C239" s="907"/>
      <c r="D239" s="907"/>
      <c r="E239" s="907"/>
      <c r="F239" s="907"/>
      <c r="G239" s="907"/>
      <c r="H239" s="907"/>
      <c r="I239" s="907"/>
      <c r="J239" s="907"/>
      <c r="K239" s="907"/>
      <c r="L239" s="907"/>
      <c r="M239" s="907"/>
      <c r="N239" s="907"/>
      <c r="O239" s="907"/>
      <c r="P239" s="907"/>
      <c r="Q239" s="907"/>
      <c r="R239" s="907"/>
      <c r="S239" s="907"/>
      <c r="T239" s="907"/>
      <c r="U239" s="907"/>
      <c r="V239" s="907"/>
      <c r="W239" s="907"/>
      <c r="X239" s="907"/>
      <c r="Y239" s="907"/>
      <c r="Z239" s="907"/>
      <c r="AA239" s="907"/>
      <c r="AB239" s="907"/>
      <c r="AC239" s="907"/>
    </row>
    <row r="240" spans="1:29">
      <c r="A240" s="907"/>
      <c r="B240" s="907"/>
      <c r="C240" s="907"/>
      <c r="D240" s="907"/>
      <c r="E240" s="907"/>
      <c r="F240" s="907"/>
      <c r="G240" s="907"/>
      <c r="H240" s="907"/>
      <c r="I240" s="907"/>
      <c r="J240" s="907"/>
      <c r="K240" s="907"/>
      <c r="L240" s="907"/>
      <c r="M240" s="907"/>
      <c r="N240" s="907"/>
      <c r="O240" s="907"/>
      <c r="P240" s="907"/>
      <c r="Q240" s="907"/>
      <c r="R240" s="907"/>
      <c r="S240" s="907"/>
      <c r="T240" s="907"/>
      <c r="U240" s="907"/>
      <c r="V240" s="907"/>
      <c r="W240" s="907"/>
      <c r="X240" s="907"/>
      <c r="Y240" s="907"/>
      <c r="Z240" s="907"/>
      <c r="AA240" s="907"/>
      <c r="AB240" s="907"/>
      <c r="AC240" s="907"/>
    </row>
    <row r="241" spans="1:29">
      <c r="A241" s="907"/>
      <c r="B241" s="907"/>
      <c r="C241" s="907"/>
      <c r="D241" s="907"/>
      <c r="E241" s="907"/>
      <c r="F241" s="907"/>
      <c r="G241" s="907"/>
      <c r="H241" s="907"/>
      <c r="I241" s="907"/>
      <c r="J241" s="907"/>
      <c r="K241" s="907"/>
      <c r="L241" s="907"/>
      <c r="M241" s="907"/>
      <c r="N241" s="907"/>
      <c r="O241" s="907"/>
      <c r="P241" s="907"/>
      <c r="Q241" s="907"/>
      <c r="R241" s="907"/>
      <c r="S241" s="907"/>
      <c r="T241" s="907"/>
      <c r="U241" s="907"/>
      <c r="V241" s="907"/>
      <c r="W241" s="907"/>
      <c r="X241" s="907"/>
      <c r="Y241" s="907"/>
      <c r="Z241" s="907"/>
      <c r="AA241" s="907"/>
      <c r="AB241" s="907"/>
      <c r="AC241" s="907"/>
    </row>
    <row r="242" spans="1:29">
      <c r="A242" s="907"/>
      <c r="B242" s="907"/>
      <c r="C242" s="907"/>
      <c r="D242" s="907"/>
      <c r="E242" s="907"/>
      <c r="F242" s="907"/>
      <c r="G242" s="907"/>
      <c r="H242" s="907"/>
      <c r="I242" s="907"/>
      <c r="J242" s="907"/>
      <c r="K242" s="907"/>
      <c r="L242" s="907"/>
      <c r="M242" s="907"/>
      <c r="N242" s="907"/>
      <c r="O242" s="907"/>
      <c r="P242" s="907"/>
      <c r="Q242" s="907"/>
      <c r="R242" s="907"/>
      <c r="S242" s="907"/>
      <c r="T242" s="907"/>
      <c r="U242" s="907"/>
      <c r="V242" s="907"/>
      <c r="W242" s="907"/>
      <c r="X242" s="907"/>
      <c r="Y242" s="907"/>
      <c r="Z242" s="907"/>
      <c r="AA242" s="907"/>
      <c r="AB242" s="907"/>
      <c r="AC242" s="907"/>
    </row>
    <row r="243" spans="1:29">
      <c r="A243" s="907"/>
      <c r="B243" s="907"/>
      <c r="C243" s="907"/>
      <c r="D243" s="907"/>
      <c r="E243" s="907"/>
      <c r="F243" s="907"/>
      <c r="G243" s="907"/>
      <c r="H243" s="907"/>
      <c r="I243" s="907"/>
      <c r="J243" s="907"/>
      <c r="K243" s="907"/>
      <c r="L243" s="907"/>
      <c r="M243" s="907"/>
      <c r="N243" s="907"/>
      <c r="O243" s="907"/>
      <c r="P243" s="907"/>
      <c r="Q243" s="907"/>
      <c r="R243" s="907"/>
      <c r="S243" s="907"/>
      <c r="T243" s="907"/>
      <c r="U243" s="907"/>
      <c r="V243" s="907"/>
      <c r="W243" s="907"/>
      <c r="X243" s="907"/>
      <c r="Y243" s="907"/>
      <c r="Z243" s="907"/>
      <c r="AA243" s="907"/>
      <c r="AB243" s="907"/>
      <c r="AC243" s="907"/>
    </row>
    <row r="244" spans="1:29">
      <c r="A244" s="907"/>
      <c r="B244" s="907"/>
      <c r="C244" s="907"/>
      <c r="D244" s="907"/>
      <c r="E244" s="907"/>
      <c r="F244" s="907"/>
      <c r="G244" s="907"/>
      <c r="H244" s="907"/>
      <c r="I244" s="907"/>
      <c r="J244" s="907"/>
      <c r="K244" s="907"/>
      <c r="L244" s="907"/>
      <c r="M244" s="907"/>
      <c r="N244" s="907"/>
      <c r="O244" s="907"/>
      <c r="P244" s="907"/>
      <c r="Q244" s="907"/>
      <c r="R244" s="907"/>
      <c r="S244" s="907"/>
      <c r="T244" s="907"/>
      <c r="U244" s="907"/>
      <c r="V244" s="907"/>
      <c r="W244" s="907"/>
      <c r="X244" s="907"/>
      <c r="Y244" s="907"/>
      <c r="Z244" s="907"/>
      <c r="AA244" s="907"/>
      <c r="AB244" s="907"/>
      <c r="AC244" s="907"/>
    </row>
    <row r="245" spans="1:29">
      <c r="A245" s="907"/>
      <c r="B245" s="907"/>
      <c r="C245" s="907"/>
      <c r="D245" s="907"/>
      <c r="E245" s="907"/>
      <c r="F245" s="907"/>
      <c r="G245" s="907"/>
      <c r="H245" s="907"/>
      <c r="I245" s="907"/>
      <c r="J245" s="907"/>
      <c r="K245" s="907"/>
      <c r="L245" s="907"/>
      <c r="M245" s="907"/>
      <c r="N245" s="907"/>
      <c r="O245" s="907"/>
      <c r="P245" s="907"/>
      <c r="Q245" s="907"/>
      <c r="R245" s="907"/>
      <c r="S245" s="907"/>
      <c r="T245" s="907"/>
      <c r="U245" s="907"/>
      <c r="V245" s="907"/>
      <c r="W245" s="907"/>
      <c r="X245" s="907"/>
      <c r="Y245" s="907"/>
      <c r="Z245" s="907"/>
      <c r="AA245" s="907"/>
      <c r="AB245" s="907"/>
      <c r="AC245" s="907"/>
    </row>
    <row r="246" spans="1:29">
      <c r="A246" s="907"/>
      <c r="B246" s="907"/>
      <c r="C246" s="907"/>
      <c r="D246" s="907"/>
      <c r="E246" s="907"/>
      <c r="F246" s="907"/>
      <c r="G246" s="907"/>
      <c r="H246" s="907"/>
      <c r="I246" s="907"/>
      <c r="J246" s="907"/>
      <c r="K246" s="907"/>
      <c r="L246" s="907"/>
      <c r="M246" s="907"/>
      <c r="N246" s="907"/>
      <c r="O246" s="907"/>
      <c r="P246" s="907"/>
      <c r="Q246" s="907"/>
      <c r="R246" s="907"/>
      <c r="S246" s="907"/>
      <c r="T246" s="907"/>
      <c r="U246" s="907"/>
      <c r="V246" s="907"/>
      <c r="W246" s="907"/>
      <c r="X246" s="907"/>
      <c r="Y246" s="907"/>
      <c r="Z246" s="907"/>
      <c r="AA246" s="907"/>
      <c r="AB246" s="907"/>
      <c r="AC246" s="907"/>
    </row>
    <row r="247" spans="1:29">
      <c r="A247" s="907"/>
      <c r="B247" s="907"/>
      <c r="C247" s="907"/>
      <c r="D247" s="907"/>
      <c r="E247" s="907"/>
      <c r="F247" s="907"/>
      <c r="G247" s="907"/>
      <c r="H247" s="907"/>
      <c r="I247" s="907"/>
      <c r="J247" s="907"/>
      <c r="K247" s="907"/>
      <c r="L247" s="907"/>
      <c r="M247" s="907"/>
      <c r="N247" s="907"/>
      <c r="O247" s="907"/>
      <c r="P247" s="907"/>
      <c r="Q247" s="907"/>
      <c r="R247" s="907"/>
      <c r="S247" s="907"/>
      <c r="T247" s="907"/>
      <c r="U247" s="907"/>
      <c r="V247" s="907"/>
      <c r="W247" s="907"/>
      <c r="X247" s="907"/>
      <c r="Y247" s="907"/>
      <c r="Z247" s="907"/>
      <c r="AA247" s="907"/>
      <c r="AB247" s="907"/>
      <c r="AC247" s="907"/>
    </row>
    <row r="248" spans="1:29">
      <c r="A248" s="907"/>
      <c r="B248" s="907"/>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c r="AB248" s="907"/>
      <c r="AC248" s="907"/>
    </row>
    <row r="249" spans="1:29">
      <c r="A249" s="907"/>
      <c r="B249" s="907"/>
      <c r="C249" s="907"/>
      <c r="D249" s="907"/>
      <c r="E249" s="907"/>
      <c r="F249" s="907"/>
      <c r="G249" s="907"/>
      <c r="H249" s="907"/>
      <c r="I249" s="907"/>
      <c r="J249" s="907"/>
      <c r="K249" s="907"/>
      <c r="L249" s="907"/>
      <c r="M249" s="907"/>
      <c r="N249" s="907"/>
      <c r="O249" s="907"/>
      <c r="P249" s="907"/>
      <c r="Q249" s="907"/>
      <c r="R249" s="907"/>
      <c r="S249" s="907"/>
      <c r="T249" s="907"/>
      <c r="U249" s="907"/>
      <c r="V249" s="907"/>
      <c r="W249" s="907"/>
      <c r="X249" s="907"/>
      <c r="Y249" s="907"/>
      <c r="Z249" s="907"/>
      <c r="AA249" s="907"/>
      <c r="AB249" s="907"/>
      <c r="AC249" s="907"/>
    </row>
    <row r="250" spans="1:29">
      <c r="A250" s="907"/>
      <c r="B250" s="907"/>
      <c r="C250" s="907"/>
      <c r="D250" s="907"/>
      <c r="E250" s="907"/>
      <c r="F250" s="907"/>
      <c r="G250" s="907"/>
      <c r="H250" s="907"/>
      <c r="I250" s="907"/>
      <c r="J250" s="907"/>
      <c r="K250" s="907"/>
      <c r="L250" s="907"/>
      <c r="M250" s="907"/>
      <c r="N250" s="907"/>
      <c r="O250" s="907"/>
      <c r="P250" s="907"/>
      <c r="Q250" s="907"/>
      <c r="R250" s="907"/>
      <c r="S250" s="907"/>
      <c r="T250" s="907"/>
      <c r="U250" s="907"/>
      <c r="V250" s="907"/>
      <c r="W250" s="907"/>
      <c r="X250" s="907"/>
      <c r="Y250" s="907"/>
      <c r="Z250" s="907"/>
      <c r="AA250" s="907"/>
      <c r="AB250" s="907"/>
      <c r="AC250" s="907"/>
    </row>
    <row r="251" spans="1:29">
      <c r="A251" s="907"/>
      <c r="B251" s="907"/>
      <c r="C251" s="907"/>
      <c r="D251" s="907"/>
      <c r="E251" s="907"/>
      <c r="F251" s="907"/>
      <c r="G251" s="907"/>
      <c r="H251" s="907"/>
      <c r="I251" s="907"/>
      <c r="J251" s="907"/>
      <c r="K251" s="907"/>
      <c r="L251" s="907"/>
      <c r="M251" s="907"/>
      <c r="N251" s="907"/>
      <c r="O251" s="907"/>
      <c r="P251" s="907"/>
      <c r="Q251" s="907"/>
      <c r="R251" s="907"/>
      <c r="S251" s="907"/>
      <c r="T251" s="907"/>
      <c r="U251" s="907"/>
      <c r="V251" s="907"/>
      <c r="W251" s="907"/>
      <c r="X251" s="907"/>
      <c r="Y251" s="907"/>
      <c r="Z251" s="907"/>
      <c r="AA251" s="907"/>
      <c r="AB251" s="907"/>
      <c r="AC251" s="907"/>
    </row>
    <row r="252" spans="1:29">
      <c r="A252" s="907"/>
      <c r="B252" s="907"/>
      <c r="C252" s="907"/>
      <c r="D252" s="907"/>
      <c r="E252" s="907"/>
      <c r="F252" s="907"/>
      <c r="G252" s="907"/>
      <c r="H252" s="907"/>
      <c r="I252" s="907"/>
      <c r="J252" s="907"/>
      <c r="K252" s="907"/>
      <c r="L252" s="907"/>
      <c r="M252" s="907"/>
      <c r="N252" s="907"/>
      <c r="O252" s="907"/>
      <c r="P252" s="907"/>
      <c r="Q252" s="907"/>
      <c r="R252" s="907"/>
      <c r="S252" s="907"/>
      <c r="T252" s="907"/>
      <c r="U252" s="907"/>
      <c r="V252" s="907"/>
      <c r="W252" s="907"/>
      <c r="X252" s="907"/>
      <c r="Y252" s="907"/>
      <c r="Z252" s="907"/>
      <c r="AA252" s="907"/>
      <c r="AB252" s="907"/>
      <c r="AC252" s="907"/>
    </row>
    <row r="253" spans="1:29">
      <c r="A253" s="907"/>
      <c r="B253" s="907"/>
      <c r="C253" s="907"/>
      <c r="D253" s="907"/>
      <c r="E253" s="907"/>
      <c r="F253" s="907"/>
      <c r="G253" s="907"/>
      <c r="H253" s="907"/>
      <c r="I253" s="907"/>
      <c r="J253" s="907"/>
      <c r="K253" s="907"/>
      <c r="L253" s="907"/>
      <c r="M253" s="907"/>
      <c r="N253" s="907"/>
      <c r="O253" s="907"/>
      <c r="P253" s="907"/>
      <c r="Q253" s="907"/>
      <c r="R253" s="907"/>
      <c r="S253" s="907"/>
      <c r="T253" s="907"/>
      <c r="U253" s="907"/>
      <c r="V253" s="907"/>
      <c r="W253" s="907"/>
      <c r="X253" s="907"/>
      <c r="Y253" s="907"/>
      <c r="Z253" s="907"/>
      <c r="AA253" s="907"/>
      <c r="AB253" s="907"/>
      <c r="AC253" s="907"/>
    </row>
    <row r="254" spans="1:29">
      <c r="A254" s="907"/>
      <c r="B254" s="907"/>
      <c r="C254" s="907"/>
      <c r="D254" s="907"/>
      <c r="E254" s="907"/>
      <c r="F254" s="907"/>
      <c r="G254" s="907"/>
      <c r="H254" s="907"/>
      <c r="I254" s="907"/>
      <c r="J254" s="907"/>
      <c r="K254" s="907"/>
      <c r="L254" s="907"/>
      <c r="M254" s="907"/>
      <c r="N254" s="907"/>
      <c r="O254" s="907"/>
      <c r="P254" s="907"/>
      <c r="Q254" s="907"/>
      <c r="R254" s="907"/>
      <c r="S254" s="907"/>
      <c r="T254" s="907"/>
      <c r="U254" s="907"/>
      <c r="V254" s="907"/>
      <c r="W254" s="907"/>
      <c r="X254" s="907"/>
      <c r="Y254" s="907"/>
      <c r="Z254" s="907"/>
      <c r="AA254" s="907"/>
      <c r="AB254" s="907"/>
      <c r="AC254" s="907"/>
    </row>
    <row r="255" spans="1:29">
      <c r="A255" s="907"/>
      <c r="B255" s="907"/>
      <c r="C255" s="907"/>
      <c r="D255" s="907"/>
      <c r="E255" s="907"/>
      <c r="F255" s="907"/>
      <c r="G255" s="907"/>
      <c r="H255" s="907"/>
      <c r="I255" s="907"/>
      <c r="J255" s="907"/>
      <c r="K255" s="907"/>
      <c r="L255" s="907"/>
      <c r="M255" s="907"/>
      <c r="N255" s="907"/>
      <c r="O255" s="907"/>
      <c r="P255" s="907"/>
      <c r="Q255" s="907"/>
      <c r="R255" s="907"/>
      <c r="S255" s="907"/>
      <c r="T255" s="907"/>
      <c r="U255" s="907"/>
      <c r="V255" s="907"/>
      <c r="W255" s="907"/>
      <c r="X255" s="907"/>
      <c r="Y255" s="907"/>
      <c r="Z255" s="907"/>
      <c r="AA255" s="907"/>
      <c r="AB255" s="907"/>
      <c r="AC255" s="907"/>
    </row>
    <row r="256" spans="1:29">
      <c r="A256" s="907"/>
      <c r="B256" s="907"/>
      <c r="C256" s="907"/>
      <c r="D256" s="907"/>
      <c r="E256" s="907"/>
      <c r="F256" s="907"/>
      <c r="G256" s="907"/>
      <c r="H256" s="907"/>
      <c r="I256" s="907"/>
      <c r="J256" s="907"/>
      <c r="K256" s="907"/>
      <c r="L256" s="907"/>
      <c r="M256" s="907"/>
      <c r="N256" s="907"/>
      <c r="O256" s="907"/>
      <c r="P256" s="907"/>
      <c r="Q256" s="907"/>
      <c r="R256" s="907"/>
      <c r="S256" s="907"/>
      <c r="T256" s="907"/>
      <c r="U256" s="907"/>
      <c r="V256" s="907"/>
      <c r="W256" s="907"/>
      <c r="X256" s="907"/>
      <c r="Y256" s="907"/>
      <c r="Z256" s="907"/>
      <c r="AA256" s="907"/>
      <c r="AB256" s="907"/>
      <c r="AC256" s="907"/>
    </row>
    <row r="257" spans="1:29">
      <c r="A257" s="907"/>
      <c r="B257" s="907"/>
      <c r="C257" s="907"/>
      <c r="D257" s="907"/>
      <c r="E257" s="907"/>
      <c r="F257" s="907"/>
      <c r="G257" s="907"/>
      <c r="H257" s="907"/>
      <c r="I257" s="907"/>
      <c r="J257" s="907"/>
      <c r="K257" s="907"/>
      <c r="L257" s="907"/>
      <c r="M257" s="907"/>
      <c r="N257" s="907"/>
      <c r="O257" s="907"/>
      <c r="P257" s="907"/>
      <c r="Q257" s="907"/>
      <c r="R257" s="907"/>
      <c r="S257" s="907"/>
      <c r="T257" s="907"/>
      <c r="U257" s="907"/>
      <c r="V257" s="907"/>
      <c r="W257" s="907"/>
      <c r="X257" s="907"/>
      <c r="Y257" s="907"/>
      <c r="Z257" s="907"/>
      <c r="AA257" s="907"/>
      <c r="AB257" s="907"/>
      <c r="AC257" s="907"/>
    </row>
    <row r="258" spans="1:29">
      <c r="A258" s="907"/>
      <c r="B258" s="907"/>
      <c r="C258" s="907"/>
      <c r="D258" s="907"/>
      <c r="E258" s="907"/>
      <c r="F258" s="907"/>
      <c r="G258" s="907"/>
      <c r="H258" s="907"/>
      <c r="I258" s="907"/>
      <c r="J258" s="907"/>
      <c r="K258" s="907"/>
      <c r="L258" s="907"/>
      <c r="M258" s="907"/>
      <c r="N258" s="907"/>
      <c r="O258" s="907"/>
      <c r="P258" s="907"/>
      <c r="Q258" s="907"/>
      <c r="R258" s="907"/>
      <c r="S258" s="907"/>
      <c r="T258" s="907"/>
      <c r="U258" s="907"/>
      <c r="V258" s="907"/>
      <c r="W258" s="907"/>
      <c r="X258" s="907"/>
      <c r="Y258" s="907"/>
      <c r="Z258" s="907"/>
      <c r="AA258" s="907"/>
      <c r="AB258" s="907"/>
      <c r="AC258" s="907"/>
    </row>
    <row r="259" spans="1:29">
      <c r="A259" s="907"/>
      <c r="B259" s="907"/>
      <c r="C259" s="907"/>
      <c r="D259" s="907"/>
      <c r="E259" s="907"/>
      <c r="F259" s="907"/>
      <c r="G259" s="907"/>
      <c r="H259" s="907"/>
      <c r="I259" s="907"/>
      <c r="J259" s="907"/>
      <c r="K259" s="907"/>
      <c r="L259" s="907"/>
      <c r="M259" s="907"/>
      <c r="N259" s="907"/>
      <c r="O259" s="907"/>
      <c r="P259" s="907"/>
      <c r="Q259" s="907"/>
      <c r="R259" s="907"/>
      <c r="S259" s="907"/>
      <c r="T259" s="907"/>
      <c r="U259" s="907"/>
      <c r="V259" s="907"/>
      <c r="W259" s="907"/>
      <c r="X259" s="907"/>
      <c r="Y259" s="907"/>
      <c r="Z259" s="907"/>
      <c r="AA259" s="907"/>
      <c r="AB259" s="907"/>
      <c r="AC259" s="907"/>
    </row>
    <row r="260" spans="1:29">
      <c r="A260" s="907"/>
      <c r="B260" s="907"/>
      <c r="C260" s="907"/>
      <c r="D260" s="907"/>
      <c r="E260" s="907"/>
      <c r="F260" s="907"/>
      <c r="G260" s="907"/>
      <c r="H260" s="907"/>
      <c r="I260" s="907"/>
      <c r="J260" s="907"/>
      <c r="K260" s="907"/>
      <c r="L260" s="907"/>
      <c r="M260" s="907"/>
      <c r="N260" s="907"/>
      <c r="O260" s="907"/>
      <c r="P260" s="907"/>
      <c r="Q260" s="907"/>
      <c r="R260" s="907"/>
      <c r="S260" s="907"/>
      <c r="T260" s="907"/>
      <c r="U260" s="907"/>
      <c r="V260" s="907"/>
      <c r="W260" s="907"/>
      <c r="X260" s="907"/>
      <c r="Y260" s="907"/>
      <c r="Z260" s="907"/>
      <c r="AA260" s="907"/>
      <c r="AB260" s="907"/>
      <c r="AC260" s="907"/>
    </row>
    <row r="261" spans="1:29">
      <c r="A261" s="907"/>
      <c r="B261" s="907"/>
      <c r="C261" s="907"/>
      <c r="D261" s="907"/>
      <c r="E261" s="907"/>
      <c r="F261" s="907"/>
      <c r="G261" s="907"/>
      <c r="H261" s="907"/>
      <c r="I261" s="907"/>
      <c r="J261" s="907"/>
      <c r="K261" s="907"/>
      <c r="L261" s="907"/>
      <c r="M261" s="907"/>
      <c r="N261" s="907"/>
      <c r="O261" s="907"/>
      <c r="P261" s="907"/>
      <c r="Q261" s="907"/>
      <c r="R261" s="907"/>
      <c r="S261" s="907"/>
      <c r="T261" s="907"/>
      <c r="U261" s="907"/>
      <c r="V261" s="907"/>
      <c r="W261" s="907"/>
      <c r="X261" s="907"/>
      <c r="Y261" s="907"/>
      <c r="Z261" s="907"/>
      <c r="AA261" s="907"/>
      <c r="AB261" s="907"/>
      <c r="AC261" s="907"/>
    </row>
    <row r="262" spans="1:29">
      <c r="A262" s="907"/>
      <c r="B262" s="907"/>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c r="AB262" s="907"/>
      <c r="AC262" s="907"/>
    </row>
    <row r="263" spans="1:29">
      <c r="A263" s="907"/>
      <c r="B263" s="907"/>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c r="AB263" s="907"/>
      <c r="AC263" s="907"/>
    </row>
    <row r="264" spans="1:29">
      <c r="A264" s="907"/>
      <c r="B264" s="907"/>
      <c r="C264" s="907"/>
      <c r="D264" s="907"/>
      <c r="E264" s="907"/>
      <c r="F264" s="907"/>
      <c r="G264" s="907"/>
      <c r="H264" s="907"/>
      <c r="I264" s="907"/>
      <c r="J264" s="907"/>
      <c r="K264" s="907"/>
      <c r="L264" s="907"/>
      <c r="M264" s="907"/>
      <c r="N264" s="907"/>
      <c r="O264" s="907"/>
      <c r="P264" s="907"/>
      <c r="Q264" s="907"/>
      <c r="R264" s="907"/>
      <c r="S264" s="907"/>
      <c r="T264" s="907"/>
      <c r="U264" s="907"/>
      <c r="V264" s="907"/>
      <c r="W264" s="907"/>
      <c r="X264" s="907"/>
      <c r="Y264" s="907"/>
      <c r="Z264" s="907"/>
      <c r="AA264" s="907"/>
      <c r="AB264" s="907"/>
      <c r="AC264" s="907"/>
    </row>
    <row r="265" spans="1:29">
      <c r="A265" s="907"/>
      <c r="B265" s="907"/>
      <c r="C265" s="907"/>
      <c r="D265" s="907"/>
      <c r="E265" s="907"/>
      <c r="F265" s="907"/>
      <c r="G265" s="907"/>
      <c r="H265" s="907"/>
      <c r="I265" s="907"/>
      <c r="J265" s="907"/>
      <c r="K265" s="907"/>
      <c r="L265" s="907"/>
      <c r="M265" s="907"/>
      <c r="N265" s="907"/>
      <c r="O265" s="907"/>
      <c r="P265" s="907"/>
      <c r="Q265" s="907"/>
      <c r="R265" s="907"/>
      <c r="S265" s="907"/>
      <c r="T265" s="907"/>
      <c r="U265" s="907"/>
      <c r="V265" s="907"/>
      <c r="W265" s="907"/>
      <c r="X265" s="907"/>
      <c r="Y265" s="907"/>
      <c r="Z265" s="907"/>
      <c r="AA265" s="907"/>
      <c r="AB265" s="907"/>
      <c r="AC265" s="907"/>
    </row>
    <row r="266" spans="1:29">
      <c r="A266" s="907"/>
      <c r="B266" s="907"/>
      <c r="C266" s="907"/>
      <c r="D266" s="907"/>
      <c r="E266" s="907"/>
      <c r="F266" s="907"/>
      <c r="G266" s="907"/>
      <c r="H266" s="907"/>
      <c r="I266" s="907"/>
      <c r="J266" s="907"/>
      <c r="K266" s="907"/>
      <c r="L266" s="907"/>
      <c r="M266" s="907"/>
      <c r="N266" s="907"/>
      <c r="O266" s="907"/>
      <c r="P266" s="907"/>
      <c r="Q266" s="907"/>
      <c r="R266" s="907"/>
      <c r="S266" s="907"/>
      <c r="T266" s="907"/>
      <c r="U266" s="907"/>
      <c r="V266" s="907"/>
      <c r="W266" s="907"/>
      <c r="X266" s="907"/>
      <c r="Y266" s="907"/>
      <c r="Z266" s="907"/>
      <c r="AA266" s="907"/>
      <c r="AB266" s="907"/>
      <c r="AC266" s="907"/>
    </row>
    <row r="267" spans="1:29">
      <c r="A267" s="907"/>
      <c r="B267" s="907"/>
      <c r="C267" s="907"/>
      <c r="D267" s="907"/>
      <c r="E267" s="907"/>
      <c r="F267" s="907"/>
      <c r="G267" s="907"/>
      <c r="H267" s="907"/>
      <c r="I267" s="907"/>
      <c r="J267" s="907"/>
      <c r="K267" s="907"/>
      <c r="L267" s="907"/>
      <c r="M267" s="907"/>
      <c r="N267" s="907"/>
      <c r="O267" s="907"/>
      <c r="P267" s="907"/>
      <c r="Q267" s="907"/>
      <c r="R267" s="907"/>
      <c r="S267" s="907"/>
      <c r="T267" s="907"/>
      <c r="U267" s="907"/>
      <c r="V267" s="907"/>
      <c r="W267" s="907"/>
      <c r="X267" s="907"/>
      <c r="Y267" s="907"/>
      <c r="Z267" s="907"/>
      <c r="AA267" s="907"/>
      <c r="AB267" s="907"/>
      <c r="AC267" s="907"/>
    </row>
    <row r="268" spans="1:29">
      <c r="A268" s="907"/>
      <c r="B268" s="907"/>
      <c r="C268" s="907"/>
      <c r="D268" s="907"/>
      <c r="E268" s="907"/>
      <c r="F268" s="907"/>
      <c r="G268" s="907"/>
      <c r="H268" s="907"/>
      <c r="I268" s="907"/>
      <c r="J268" s="907"/>
      <c r="K268" s="907"/>
      <c r="L268" s="907"/>
      <c r="M268" s="907"/>
      <c r="N268" s="907"/>
      <c r="O268" s="907"/>
      <c r="P268" s="907"/>
      <c r="Q268" s="907"/>
      <c r="R268" s="907"/>
      <c r="S268" s="907"/>
      <c r="T268" s="907"/>
      <c r="U268" s="907"/>
      <c r="V268" s="907"/>
      <c r="W268" s="907"/>
      <c r="X268" s="907"/>
      <c r="Y268" s="907"/>
      <c r="Z268" s="907"/>
      <c r="AA268" s="907"/>
      <c r="AB268" s="907"/>
      <c r="AC268" s="907"/>
    </row>
    <row r="269" spans="1:29">
      <c r="A269" s="907"/>
      <c r="B269" s="907"/>
      <c r="C269" s="907"/>
      <c r="D269" s="907"/>
      <c r="E269" s="907"/>
      <c r="F269" s="907"/>
      <c r="G269" s="907"/>
      <c r="H269" s="907"/>
      <c r="I269" s="907"/>
      <c r="J269" s="907"/>
      <c r="K269" s="907"/>
      <c r="L269" s="907"/>
      <c r="M269" s="907"/>
      <c r="N269" s="907"/>
      <c r="O269" s="907"/>
      <c r="P269" s="907"/>
      <c r="Q269" s="907"/>
      <c r="R269" s="907"/>
      <c r="S269" s="907"/>
      <c r="T269" s="907"/>
      <c r="U269" s="907"/>
      <c r="V269" s="907"/>
      <c r="W269" s="907"/>
      <c r="X269" s="907"/>
      <c r="Y269" s="907"/>
      <c r="Z269" s="907"/>
      <c r="AA269" s="907"/>
      <c r="AB269" s="907"/>
      <c r="AC269" s="907"/>
    </row>
    <row r="270" spans="1:29">
      <c r="A270" s="907"/>
      <c r="B270" s="907"/>
      <c r="C270" s="907"/>
      <c r="D270" s="907"/>
      <c r="E270" s="907"/>
      <c r="F270" s="907"/>
      <c r="G270" s="907"/>
      <c r="H270" s="907"/>
      <c r="I270" s="907"/>
      <c r="J270" s="907"/>
      <c r="K270" s="907"/>
      <c r="L270" s="907"/>
      <c r="M270" s="907"/>
      <c r="N270" s="907"/>
      <c r="O270" s="907"/>
      <c r="P270" s="907"/>
      <c r="Q270" s="907"/>
      <c r="R270" s="907"/>
      <c r="S270" s="907"/>
      <c r="T270" s="907"/>
      <c r="U270" s="907"/>
      <c r="V270" s="907"/>
      <c r="W270" s="907"/>
      <c r="X270" s="907"/>
      <c r="Y270" s="907"/>
      <c r="Z270" s="907"/>
      <c r="AA270" s="907"/>
      <c r="AB270" s="907"/>
      <c r="AC270" s="907"/>
    </row>
    <row r="271" spans="1:29">
      <c r="A271" s="907"/>
      <c r="B271" s="907"/>
      <c r="C271" s="907"/>
      <c r="D271" s="907"/>
      <c r="E271" s="907"/>
      <c r="F271" s="907"/>
      <c r="G271" s="907"/>
      <c r="H271" s="907"/>
      <c r="I271" s="907"/>
      <c r="J271" s="907"/>
      <c r="K271" s="907"/>
      <c r="L271" s="907"/>
      <c r="M271" s="907"/>
      <c r="N271" s="907"/>
      <c r="O271" s="907"/>
      <c r="P271" s="907"/>
      <c r="Q271" s="907"/>
      <c r="R271" s="907"/>
      <c r="S271" s="907"/>
      <c r="T271" s="907"/>
      <c r="U271" s="907"/>
      <c r="V271" s="907"/>
      <c r="W271" s="907"/>
      <c r="X271" s="907"/>
      <c r="Y271" s="907"/>
      <c r="Z271" s="907"/>
      <c r="AA271" s="907"/>
      <c r="AB271" s="907"/>
      <c r="AC271" s="907"/>
    </row>
    <row r="272" spans="1:29">
      <c r="A272" s="907"/>
      <c r="B272" s="907"/>
      <c r="C272" s="907"/>
      <c r="D272" s="907"/>
      <c r="E272" s="907"/>
      <c r="F272" s="907"/>
      <c r="G272" s="907"/>
      <c r="H272" s="907"/>
      <c r="I272" s="907"/>
      <c r="J272" s="907"/>
      <c r="K272" s="907"/>
      <c r="L272" s="907"/>
      <c r="M272" s="907"/>
      <c r="N272" s="907"/>
      <c r="O272" s="907"/>
      <c r="P272" s="907"/>
      <c r="Q272" s="907"/>
      <c r="R272" s="907"/>
      <c r="S272" s="907"/>
      <c r="T272" s="907"/>
      <c r="U272" s="907"/>
      <c r="V272" s="907"/>
      <c r="W272" s="907"/>
      <c r="X272" s="907"/>
      <c r="Y272" s="907"/>
      <c r="Z272" s="907"/>
      <c r="AA272" s="907"/>
      <c r="AB272" s="907"/>
      <c r="AC272" s="907"/>
    </row>
    <row r="273" spans="1:29">
      <c r="A273" s="907"/>
      <c r="B273" s="907"/>
      <c r="C273" s="907"/>
      <c r="D273" s="907"/>
      <c r="E273" s="907"/>
      <c r="F273" s="907"/>
      <c r="G273" s="907"/>
      <c r="H273" s="907"/>
      <c r="I273" s="907"/>
      <c r="J273" s="907"/>
      <c r="K273" s="907"/>
      <c r="L273" s="907"/>
      <c r="M273" s="907"/>
      <c r="N273" s="907"/>
      <c r="O273" s="907"/>
      <c r="P273" s="907"/>
      <c r="Q273" s="907"/>
      <c r="R273" s="907"/>
      <c r="S273" s="907"/>
      <c r="T273" s="907"/>
      <c r="U273" s="907"/>
      <c r="V273" s="907"/>
      <c r="W273" s="907"/>
      <c r="X273" s="907"/>
      <c r="Y273" s="907"/>
      <c r="Z273" s="907"/>
      <c r="AA273" s="907"/>
      <c r="AB273" s="907"/>
      <c r="AC273" s="907"/>
    </row>
    <row r="274" spans="1:29">
      <c r="A274" s="907"/>
      <c r="B274" s="907"/>
      <c r="C274" s="907"/>
      <c r="D274" s="907"/>
      <c r="E274" s="907"/>
      <c r="F274" s="907"/>
      <c r="G274" s="907"/>
      <c r="H274" s="907"/>
      <c r="I274" s="907"/>
      <c r="J274" s="907"/>
      <c r="K274" s="907"/>
      <c r="L274" s="907"/>
      <c r="M274" s="907"/>
      <c r="N274" s="907"/>
      <c r="O274" s="907"/>
      <c r="P274" s="907"/>
      <c r="Q274" s="907"/>
      <c r="R274" s="907"/>
      <c r="S274" s="907"/>
      <c r="T274" s="907"/>
      <c r="U274" s="907"/>
      <c r="V274" s="907"/>
      <c r="W274" s="907"/>
      <c r="X274" s="907"/>
      <c r="Y274" s="907"/>
      <c r="Z274" s="907"/>
      <c r="AA274" s="907"/>
      <c r="AB274" s="907"/>
      <c r="AC274" s="907"/>
    </row>
    <row r="275" spans="1:29">
      <c r="A275" s="907"/>
      <c r="B275" s="907"/>
      <c r="C275" s="907"/>
      <c r="D275" s="907"/>
      <c r="E275" s="907"/>
      <c r="F275" s="907"/>
      <c r="G275" s="907"/>
      <c r="H275" s="907"/>
      <c r="I275" s="907"/>
      <c r="J275" s="907"/>
      <c r="K275" s="907"/>
      <c r="L275" s="907"/>
      <c r="M275" s="907"/>
      <c r="N275" s="907"/>
      <c r="O275" s="907"/>
      <c r="P275" s="907"/>
      <c r="Q275" s="907"/>
      <c r="R275" s="907"/>
      <c r="S275" s="907"/>
      <c r="T275" s="907"/>
      <c r="U275" s="907"/>
      <c r="V275" s="907"/>
      <c r="W275" s="907"/>
      <c r="X275" s="907"/>
      <c r="Y275" s="907"/>
      <c r="Z275" s="907"/>
      <c r="AA275" s="907"/>
      <c r="AB275" s="907"/>
      <c r="AC275" s="907"/>
    </row>
    <row r="276" spans="1:29">
      <c r="A276" s="907"/>
      <c r="B276" s="907"/>
      <c r="C276" s="907"/>
      <c r="D276" s="907"/>
      <c r="E276" s="907"/>
      <c r="F276" s="907"/>
      <c r="G276" s="907"/>
      <c r="H276" s="907"/>
      <c r="I276" s="907"/>
      <c r="J276" s="907"/>
      <c r="K276" s="907"/>
      <c r="L276" s="907"/>
      <c r="M276" s="907"/>
      <c r="N276" s="907"/>
      <c r="O276" s="907"/>
      <c r="P276" s="907"/>
      <c r="Q276" s="907"/>
      <c r="R276" s="907"/>
      <c r="S276" s="907"/>
      <c r="T276" s="907"/>
      <c r="U276" s="907"/>
      <c r="V276" s="907"/>
      <c r="W276" s="907"/>
      <c r="X276" s="907"/>
      <c r="Y276" s="907"/>
      <c r="Z276" s="907"/>
      <c r="AA276" s="907"/>
      <c r="AB276" s="907"/>
      <c r="AC276" s="907"/>
    </row>
    <row r="277" spans="1:29">
      <c r="A277" s="907"/>
      <c r="B277" s="907"/>
      <c r="C277" s="907"/>
      <c r="D277" s="907"/>
      <c r="E277" s="907"/>
      <c r="F277" s="907"/>
      <c r="G277" s="907"/>
      <c r="H277" s="907"/>
      <c r="I277" s="907"/>
      <c r="J277" s="907"/>
      <c r="K277" s="907"/>
      <c r="L277" s="907"/>
      <c r="M277" s="907"/>
      <c r="N277" s="907"/>
      <c r="O277" s="907"/>
      <c r="P277" s="907"/>
      <c r="Q277" s="907"/>
      <c r="R277" s="907"/>
      <c r="S277" s="907"/>
      <c r="T277" s="907"/>
      <c r="U277" s="907"/>
      <c r="V277" s="907"/>
      <c r="W277" s="907"/>
      <c r="X277" s="907"/>
      <c r="Y277" s="907"/>
      <c r="Z277" s="907"/>
      <c r="AA277" s="907"/>
      <c r="AB277" s="907"/>
      <c r="AC277" s="907"/>
    </row>
    <row r="278" spans="1:29">
      <c r="A278" s="907"/>
      <c r="B278" s="907"/>
      <c r="C278" s="907"/>
      <c r="D278" s="907"/>
      <c r="E278" s="907"/>
      <c r="F278" s="907"/>
      <c r="G278" s="907"/>
      <c r="H278" s="907"/>
      <c r="I278" s="907"/>
      <c r="J278" s="907"/>
      <c r="K278" s="907"/>
      <c r="L278" s="907"/>
      <c r="M278" s="907"/>
      <c r="N278" s="907"/>
      <c r="O278" s="907"/>
      <c r="P278" s="907"/>
      <c r="Q278" s="907"/>
      <c r="R278" s="907"/>
      <c r="S278" s="907"/>
      <c r="T278" s="907"/>
      <c r="U278" s="907"/>
      <c r="V278" s="907"/>
      <c r="W278" s="907"/>
      <c r="X278" s="907"/>
      <c r="Y278" s="907"/>
      <c r="Z278" s="907"/>
      <c r="AA278" s="907"/>
      <c r="AB278" s="907"/>
      <c r="AC278" s="907"/>
    </row>
    <row r="279" spans="1:29">
      <c r="A279" s="907"/>
      <c r="B279" s="907"/>
      <c r="C279" s="907"/>
      <c r="D279" s="907"/>
      <c r="E279" s="907"/>
      <c r="F279" s="907"/>
      <c r="G279" s="907"/>
      <c r="H279" s="907"/>
      <c r="I279" s="907"/>
      <c r="J279" s="907"/>
      <c r="K279" s="907"/>
      <c r="L279" s="907"/>
      <c r="M279" s="907"/>
      <c r="N279" s="907"/>
      <c r="O279" s="907"/>
      <c r="P279" s="907"/>
      <c r="Q279" s="907"/>
      <c r="R279" s="907"/>
      <c r="S279" s="907"/>
      <c r="T279" s="907"/>
      <c r="U279" s="907"/>
      <c r="V279" s="907"/>
      <c r="W279" s="907"/>
      <c r="X279" s="907"/>
      <c r="Y279" s="907"/>
      <c r="Z279" s="907"/>
      <c r="AA279" s="907"/>
      <c r="AB279" s="907"/>
      <c r="AC279" s="907"/>
    </row>
    <row r="280" spans="1:29">
      <c r="A280" s="907"/>
      <c r="B280" s="907"/>
      <c r="C280" s="907"/>
      <c r="D280" s="907"/>
      <c r="E280" s="907"/>
      <c r="F280" s="907"/>
      <c r="G280" s="907"/>
      <c r="H280" s="907"/>
      <c r="I280" s="907"/>
      <c r="J280" s="907"/>
      <c r="K280" s="907"/>
      <c r="L280" s="907"/>
      <c r="M280" s="907"/>
      <c r="N280" s="907"/>
      <c r="O280" s="907"/>
      <c r="P280" s="907"/>
      <c r="Q280" s="907"/>
      <c r="R280" s="907"/>
      <c r="S280" s="907"/>
      <c r="T280" s="907"/>
      <c r="U280" s="907"/>
      <c r="V280" s="907"/>
      <c r="W280" s="907"/>
      <c r="X280" s="907"/>
      <c r="Y280" s="907"/>
      <c r="Z280" s="907"/>
      <c r="AA280" s="907"/>
      <c r="AB280" s="907"/>
      <c r="AC280" s="907"/>
    </row>
    <row r="281" spans="1:29">
      <c r="A281" s="907"/>
      <c r="B281" s="907"/>
      <c r="C281" s="907"/>
      <c r="D281" s="907"/>
      <c r="E281" s="907"/>
      <c r="F281" s="907"/>
      <c r="G281" s="907"/>
      <c r="H281" s="907"/>
      <c r="I281" s="907"/>
      <c r="J281" s="907"/>
      <c r="K281" s="907"/>
      <c r="L281" s="907"/>
      <c r="M281" s="907"/>
      <c r="N281" s="907"/>
      <c r="O281" s="907"/>
      <c r="P281" s="907"/>
      <c r="Q281" s="907"/>
      <c r="R281" s="907"/>
      <c r="S281" s="907"/>
      <c r="T281" s="907"/>
      <c r="U281" s="907"/>
      <c r="V281" s="907"/>
      <c r="W281" s="907"/>
      <c r="X281" s="907"/>
      <c r="Y281" s="907"/>
      <c r="Z281" s="907"/>
      <c r="AA281" s="907"/>
      <c r="AB281" s="907"/>
      <c r="AC281" s="907"/>
    </row>
    <row r="282" spans="1:29">
      <c r="A282" s="907"/>
      <c r="B282" s="907"/>
      <c r="C282" s="907"/>
      <c r="D282" s="907"/>
      <c r="E282" s="907"/>
      <c r="F282" s="907"/>
      <c r="G282" s="907"/>
      <c r="H282" s="907"/>
      <c r="I282" s="907"/>
      <c r="J282" s="907"/>
      <c r="K282" s="907"/>
      <c r="L282" s="907"/>
      <c r="M282" s="907"/>
      <c r="N282" s="907"/>
      <c r="O282" s="907"/>
      <c r="P282" s="907"/>
      <c r="Q282" s="907"/>
      <c r="R282" s="907"/>
      <c r="S282" s="907"/>
      <c r="T282" s="907"/>
      <c r="U282" s="907"/>
      <c r="V282" s="907"/>
      <c r="W282" s="907"/>
      <c r="X282" s="907"/>
      <c r="Y282" s="907"/>
      <c r="Z282" s="907"/>
      <c r="AA282" s="907"/>
      <c r="AB282" s="907"/>
      <c r="AC282" s="907"/>
    </row>
    <row r="283" spans="1:29">
      <c r="A283" s="907"/>
      <c r="B283" s="907"/>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c r="AB283" s="907"/>
      <c r="AC283" s="907"/>
    </row>
    <row r="284" spans="1:29">
      <c r="A284" s="907"/>
      <c r="B284" s="907"/>
      <c r="C284" s="907"/>
      <c r="D284" s="907"/>
      <c r="E284" s="907"/>
      <c r="F284" s="907"/>
      <c r="G284" s="907"/>
      <c r="H284" s="907"/>
      <c r="I284" s="907"/>
      <c r="J284" s="907"/>
      <c r="K284" s="907"/>
      <c r="L284" s="907"/>
      <c r="M284" s="907"/>
      <c r="N284" s="907"/>
      <c r="O284" s="907"/>
      <c r="P284" s="907"/>
      <c r="Q284" s="907"/>
      <c r="R284" s="907"/>
      <c r="S284" s="907"/>
      <c r="T284" s="907"/>
      <c r="U284" s="907"/>
      <c r="V284" s="907"/>
      <c r="W284" s="907"/>
      <c r="X284" s="907"/>
      <c r="Y284" s="907"/>
      <c r="Z284" s="907"/>
      <c r="AA284" s="907"/>
      <c r="AB284" s="907"/>
      <c r="AC284" s="907"/>
    </row>
    <row r="285" spans="1:29">
      <c r="A285" s="907"/>
      <c r="B285" s="907"/>
      <c r="C285" s="907"/>
      <c r="D285" s="907"/>
      <c r="E285" s="907"/>
      <c r="F285" s="907"/>
      <c r="G285" s="907"/>
      <c r="H285" s="907"/>
      <c r="I285" s="907"/>
      <c r="J285" s="907"/>
      <c r="K285" s="907"/>
      <c r="L285" s="907"/>
      <c r="M285" s="907"/>
      <c r="N285" s="907"/>
      <c r="O285" s="907"/>
      <c r="P285" s="907"/>
      <c r="Q285" s="907"/>
      <c r="R285" s="907"/>
      <c r="S285" s="907"/>
      <c r="T285" s="907"/>
      <c r="U285" s="907"/>
      <c r="V285" s="907"/>
      <c r="W285" s="907"/>
      <c r="X285" s="907"/>
      <c r="Y285" s="907"/>
      <c r="Z285" s="907"/>
      <c r="AA285" s="907"/>
      <c r="AB285" s="907"/>
      <c r="AC285" s="907"/>
    </row>
    <row r="286" spans="1:29">
      <c r="A286" s="907"/>
      <c r="B286" s="907"/>
      <c r="C286" s="907"/>
      <c r="D286" s="907"/>
      <c r="E286" s="907"/>
      <c r="F286" s="907"/>
      <c r="G286" s="907"/>
      <c r="H286" s="907"/>
      <c r="I286" s="907"/>
      <c r="J286" s="907"/>
      <c r="K286" s="907"/>
      <c r="L286" s="907"/>
      <c r="M286" s="907"/>
      <c r="N286" s="907"/>
      <c r="O286" s="907"/>
      <c r="P286" s="907"/>
      <c r="Q286" s="907"/>
      <c r="R286" s="907"/>
      <c r="S286" s="907"/>
      <c r="T286" s="907"/>
      <c r="U286" s="907"/>
      <c r="V286" s="907"/>
      <c r="W286" s="907"/>
      <c r="X286" s="907"/>
      <c r="Y286" s="907"/>
      <c r="Z286" s="907"/>
      <c r="AA286" s="907"/>
      <c r="AB286" s="907"/>
      <c r="AC286" s="907"/>
    </row>
    <row r="287" spans="1:29">
      <c r="A287" s="907"/>
      <c r="B287" s="907"/>
      <c r="C287" s="907"/>
      <c r="D287" s="907"/>
      <c r="E287" s="907"/>
      <c r="F287" s="907"/>
      <c r="G287" s="907"/>
      <c r="H287" s="907"/>
      <c r="I287" s="907"/>
      <c r="J287" s="907"/>
      <c r="K287" s="907"/>
      <c r="L287" s="907"/>
      <c r="M287" s="907"/>
      <c r="N287" s="907"/>
      <c r="O287" s="907"/>
      <c r="P287" s="907"/>
      <c r="Q287" s="907"/>
      <c r="R287" s="907"/>
      <c r="S287" s="907"/>
      <c r="T287" s="907"/>
      <c r="U287" s="907"/>
      <c r="V287" s="907"/>
      <c r="W287" s="907"/>
      <c r="X287" s="907"/>
      <c r="Y287" s="907"/>
      <c r="Z287" s="907"/>
      <c r="AA287" s="907"/>
      <c r="AB287" s="907"/>
      <c r="AC287" s="907"/>
    </row>
    <row r="288" spans="1:29">
      <c r="A288" s="907"/>
      <c r="B288" s="907"/>
      <c r="C288" s="907"/>
      <c r="D288" s="907"/>
      <c r="E288" s="907"/>
      <c r="F288" s="907"/>
      <c r="G288" s="907"/>
      <c r="H288" s="907"/>
      <c r="I288" s="907"/>
      <c r="J288" s="907"/>
      <c r="K288" s="907"/>
      <c r="L288" s="907"/>
      <c r="M288" s="907"/>
      <c r="N288" s="907"/>
      <c r="O288" s="907"/>
      <c r="P288" s="907"/>
      <c r="Q288" s="907"/>
      <c r="R288" s="907"/>
      <c r="S288" s="907"/>
      <c r="T288" s="907"/>
      <c r="U288" s="907"/>
      <c r="V288" s="907"/>
      <c r="W288" s="907"/>
      <c r="X288" s="907"/>
      <c r="Y288" s="907"/>
      <c r="Z288" s="907"/>
      <c r="AA288" s="907"/>
      <c r="AB288" s="907"/>
      <c r="AC288" s="907"/>
    </row>
    <row r="289" spans="1:29">
      <c r="A289" s="907"/>
      <c r="B289" s="907"/>
      <c r="C289" s="907"/>
      <c r="D289" s="907"/>
      <c r="E289" s="907"/>
      <c r="F289" s="907"/>
      <c r="G289" s="907"/>
      <c r="H289" s="907"/>
      <c r="I289" s="907"/>
      <c r="J289" s="907"/>
      <c r="K289" s="907"/>
      <c r="L289" s="907"/>
      <c r="M289" s="907"/>
      <c r="N289" s="907"/>
      <c r="O289" s="907"/>
      <c r="P289" s="907"/>
      <c r="Q289" s="907"/>
      <c r="R289" s="907"/>
      <c r="S289" s="907"/>
      <c r="T289" s="907"/>
      <c r="U289" s="907"/>
      <c r="V289" s="907"/>
      <c r="W289" s="907"/>
      <c r="X289" s="907"/>
      <c r="Y289" s="907"/>
      <c r="Z289" s="907"/>
      <c r="AA289" s="907"/>
      <c r="AB289" s="907"/>
      <c r="AC289" s="907"/>
    </row>
    <row r="290" spans="1:29">
      <c r="A290" s="907"/>
      <c r="B290" s="907"/>
      <c r="C290" s="907"/>
      <c r="D290" s="907"/>
      <c r="E290" s="907"/>
      <c r="F290" s="907"/>
      <c r="G290" s="907"/>
      <c r="H290" s="907"/>
      <c r="I290" s="907"/>
      <c r="J290" s="907"/>
      <c r="K290" s="907"/>
      <c r="L290" s="907"/>
      <c r="M290" s="907"/>
      <c r="N290" s="907"/>
      <c r="O290" s="907"/>
      <c r="P290" s="907"/>
      <c r="Q290" s="907"/>
      <c r="R290" s="907"/>
      <c r="S290" s="907"/>
      <c r="T290" s="907"/>
      <c r="U290" s="907"/>
      <c r="V290" s="907"/>
      <c r="W290" s="907"/>
      <c r="X290" s="907"/>
      <c r="Y290" s="907"/>
      <c r="Z290" s="907"/>
      <c r="AA290" s="907"/>
      <c r="AB290" s="907"/>
      <c r="AC290" s="907"/>
    </row>
    <row r="291" spans="1:29">
      <c r="A291" s="907"/>
      <c r="B291" s="907"/>
      <c r="C291" s="907"/>
      <c r="D291" s="907"/>
      <c r="E291" s="907"/>
      <c r="F291" s="907"/>
      <c r="G291" s="907"/>
      <c r="H291" s="907"/>
      <c r="I291" s="907"/>
      <c r="J291" s="907"/>
      <c r="K291" s="907"/>
      <c r="L291" s="907"/>
      <c r="M291" s="907"/>
      <c r="N291" s="907"/>
      <c r="O291" s="907"/>
      <c r="P291" s="907"/>
      <c r="Q291" s="907"/>
      <c r="R291" s="907"/>
      <c r="S291" s="907"/>
      <c r="T291" s="907"/>
      <c r="U291" s="907"/>
      <c r="V291" s="907"/>
      <c r="W291" s="907"/>
      <c r="X291" s="907"/>
      <c r="Y291" s="907"/>
      <c r="Z291" s="907"/>
      <c r="AA291" s="907"/>
      <c r="AB291" s="907"/>
      <c r="AC291" s="907"/>
    </row>
    <row r="292" spans="1:29">
      <c r="A292" s="907"/>
      <c r="B292" s="907"/>
      <c r="C292" s="907"/>
      <c r="D292" s="907"/>
      <c r="E292" s="907"/>
      <c r="F292" s="907"/>
      <c r="G292" s="907"/>
      <c r="H292" s="907"/>
      <c r="I292" s="907"/>
      <c r="J292" s="907"/>
      <c r="K292" s="907"/>
      <c r="L292" s="907"/>
      <c r="M292" s="907"/>
      <c r="N292" s="907"/>
      <c r="O292" s="907"/>
      <c r="P292" s="907"/>
      <c r="Q292" s="907"/>
      <c r="R292" s="907"/>
      <c r="S292" s="907"/>
      <c r="T292" s="907"/>
      <c r="U292" s="907"/>
      <c r="V292" s="907"/>
      <c r="W292" s="907"/>
      <c r="X292" s="907"/>
      <c r="Y292" s="907"/>
      <c r="Z292" s="907"/>
      <c r="AA292" s="907"/>
      <c r="AB292" s="907"/>
      <c r="AC292" s="907"/>
    </row>
    <row r="293" spans="1:29">
      <c r="A293" s="907"/>
      <c r="B293" s="907"/>
      <c r="C293" s="907"/>
      <c r="D293" s="907"/>
      <c r="E293" s="907"/>
      <c r="F293" s="907"/>
      <c r="G293" s="907"/>
      <c r="H293" s="907"/>
      <c r="I293" s="907"/>
      <c r="J293" s="907"/>
      <c r="K293" s="907"/>
      <c r="L293" s="907"/>
      <c r="M293" s="907"/>
      <c r="N293" s="907"/>
      <c r="O293" s="907"/>
      <c r="P293" s="907"/>
      <c r="Q293" s="907"/>
      <c r="R293" s="907"/>
      <c r="S293" s="907"/>
      <c r="T293" s="907"/>
      <c r="U293" s="907"/>
      <c r="V293" s="907"/>
      <c r="W293" s="907"/>
      <c r="X293" s="907"/>
      <c r="Y293" s="907"/>
      <c r="Z293" s="907"/>
      <c r="AA293" s="907"/>
      <c r="AB293" s="907"/>
      <c r="AC293" s="907"/>
    </row>
    <row r="294" spans="1:29">
      <c r="A294" s="907"/>
      <c r="B294" s="907"/>
      <c r="C294" s="907"/>
      <c r="D294" s="907"/>
      <c r="E294" s="907"/>
      <c r="F294" s="907"/>
      <c r="G294" s="907"/>
      <c r="H294" s="907"/>
      <c r="I294" s="907"/>
      <c r="J294" s="907"/>
      <c r="K294" s="907"/>
      <c r="L294" s="907"/>
      <c r="M294" s="907"/>
      <c r="N294" s="907"/>
      <c r="O294" s="907"/>
      <c r="P294" s="907"/>
      <c r="Q294" s="907"/>
      <c r="R294" s="907"/>
      <c r="S294" s="907"/>
      <c r="T294" s="907"/>
      <c r="U294" s="907"/>
      <c r="V294" s="907"/>
      <c r="W294" s="907"/>
      <c r="X294" s="907"/>
      <c r="Y294" s="907"/>
      <c r="Z294" s="907"/>
      <c r="AA294" s="907"/>
      <c r="AB294" s="907"/>
      <c r="AC294" s="907"/>
    </row>
    <row r="295" spans="1:29">
      <c r="A295" s="907"/>
      <c r="B295" s="907"/>
      <c r="C295" s="907"/>
      <c r="D295" s="907"/>
      <c r="E295" s="907"/>
      <c r="F295" s="907"/>
      <c r="G295" s="907"/>
      <c r="H295" s="907"/>
      <c r="I295" s="907"/>
      <c r="J295" s="907"/>
      <c r="K295" s="907"/>
      <c r="L295" s="907"/>
      <c r="M295" s="907"/>
      <c r="N295" s="907"/>
      <c r="O295" s="907"/>
      <c r="P295" s="907"/>
      <c r="Q295" s="907"/>
      <c r="R295" s="907"/>
      <c r="S295" s="907"/>
      <c r="T295" s="907"/>
      <c r="U295" s="907"/>
      <c r="V295" s="907"/>
      <c r="W295" s="907"/>
      <c r="X295" s="907"/>
      <c r="Y295" s="907"/>
      <c r="Z295" s="907"/>
      <c r="AA295" s="907"/>
      <c r="AB295" s="907"/>
      <c r="AC295" s="907"/>
    </row>
    <row r="296" spans="1:29">
      <c r="A296" s="907"/>
      <c r="B296" s="907"/>
      <c r="C296" s="907"/>
      <c r="D296" s="907"/>
      <c r="E296" s="907"/>
      <c r="F296" s="907"/>
      <c r="G296" s="907"/>
      <c r="H296" s="907"/>
      <c r="I296" s="907"/>
      <c r="J296" s="907"/>
      <c r="K296" s="907"/>
      <c r="L296" s="907"/>
      <c r="M296" s="907"/>
      <c r="N296" s="907"/>
      <c r="O296" s="907"/>
      <c r="P296" s="907"/>
      <c r="Q296" s="907"/>
      <c r="R296" s="907"/>
      <c r="S296" s="907"/>
      <c r="T296" s="907"/>
      <c r="U296" s="907"/>
      <c r="V296" s="907"/>
      <c r="W296" s="907"/>
      <c r="X296" s="907"/>
      <c r="Y296" s="907"/>
      <c r="Z296" s="907"/>
      <c r="AA296" s="907"/>
      <c r="AB296" s="907"/>
      <c r="AC296" s="907"/>
    </row>
    <row r="297" spans="1:29">
      <c r="A297" s="907"/>
      <c r="B297" s="907"/>
      <c r="C297" s="907"/>
      <c r="D297" s="907"/>
      <c r="E297" s="907"/>
      <c r="F297" s="907"/>
      <c r="G297" s="907"/>
      <c r="H297" s="907"/>
      <c r="I297" s="907"/>
      <c r="J297" s="907"/>
      <c r="K297" s="907"/>
      <c r="L297" s="907"/>
      <c r="M297" s="907"/>
      <c r="N297" s="907"/>
      <c r="O297" s="907"/>
      <c r="P297" s="907"/>
      <c r="Q297" s="907"/>
      <c r="R297" s="907"/>
      <c r="S297" s="907"/>
      <c r="T297" s="907"/>
      <c r="U297" s="907"/>
      <c r="V297" s="907"/>
      <c r="W297" s="907"/>
      <c r="X297" s="907"/>
      <c r="Y297" s="907"/>
      <c r="Z297" s="907"/>
      <c r="AA297" s="907"/>
      <c r="AB297" s="907"/>
      <c r="AC297" s="907"/>
    </row>
    <row r="298" spans="1:29">
      <c r="A298" s="907"/>
      <c r="B298" s="907"/>
      <c r="C298" s="907"/>
      <c r="D298" s="907"/>
      <c r="E298" s="907"/>
      <c r="F298" s="907"/>
      <c r="G298" s="907"/>
      <c r="H298" s="907"/>
      <c r="I298" s="907"/>
      <c r="J298" s="907"/>
      <c r="K298" s="907"/>
      <c r="L298" s="907"/>
      <c r="M298" s="907"/>
      <c r="N298" s="907"/>
      <c r="O298" s="907"/>
      <c r="P298" s="907"/>
      <c r="Q298" s="907"/>
      <c r="R298" s="907"/>
      <c r="S298" s="907"/>
      <c r="T298" s="907"/>
      <c r="U298" s="907"/>
      <c r="V298" s="907"/>
      <c r="W298" s="907"/>
      <c r="X298" s="907"/>
      <c r="Y298" s="907"/>
      <c r="Z298" s="907"/>
      <c r="AA298" s="907"/>
      <c r="AB298" s="907"/>
      <c r="AC298" s="907"/>
    </row>
    <row r="299" spans="1:29">
      <c r="A299" s="907"/>
      <c r="B299" s="907"/>
      <c r="C299" s="907"/>
      <c r="D299" s="907"/>
      <c r="E299" s="907"/>
      <c r="F299" s="907"/>
      <c r="G299" s="907"/>
      <c r="H299" s="907"/>
      <c r="I299" s="907"/>
      <c r="J299" s="907"/>
      <c r="K299" s="907"/>
      <c r="L299" s="907"/>
      <c r="M299" s="907"/>
      <c r="N299" s="907"/>
      <c r="O299" s="907"/>
      <c r="P299" s="907"/>
      <c r="Q299" s="907"/>
      <c r="R299" s="907"/>
      <c r="S299" s="907"/>
      <c r="T299" s="907"/>
      <c r="U299" s="907"/>
      <c r="V299" s="907"/>
      <c r="W299" s="907"/>
      <c r="X299" s="907"/>
      <c r="Y299" s="907"/>
      <c r="Z299" s="907"/>
      <c r="AA299" s="907"/>
      <c r="AB299" s="907"/>
      <c r="AC299" s="907"/>
    </row>
    <row r="300" spans="1:29">
      <c r="A300" s="907"/>
      <c r="B300" s="907"/>
      <c r="C300" s="907"/>
      <c r="D300" s="907"/>
      <c r="E300" s="907"/>
      <c r="F300" s="907"/>
      <c r="G300" s="907"/>
      <c r="H300" s="907"/>
      <c r="I300" s="907"/>
      <c r="J300" s="907"/>
      <c r="K300" s="907"/>
      <c r="L300" s="907"/>
      <c r="M300" s="907"/>
      <c r="N300" s="907"/>
      <c r="O300" s="907"/>
      <c r="P300" s="907"/>
      <c r="Q300" s="907"/>
      <c r="R300" s="907"/>
      <c r="S300" s="907"/>
      <c r="T300" s="907"/>
      <c r="U300" s="907"/>
      <c r="V300" s="907"/>
      <c r="W300" s="907"/>
      <c r="X300" s="907"/>
      <c r="Y300" s="907"/>
      <c r="Z300" s="907"/>
      <c r="AA300" s="907"/>
      <c r="AB300" s="907"/>
      <c r="AC300" s="907"/>
    </row>
    <row r="301" spans="1:29">
      <c r="A301" s="907"/>
      <c r="B301" s="907"/>
      <c r="C301" s="907"/>
      <c r="D301" s="907"/>
      <c r="E301" s="907"/>
      <c r="F301" s="907"/>
      <c r="G301" s="907"/>
      <c r="H301" s="907"/>
      <c r="I301" s="907"/>
      <c r="J301" s="907"/>
      <c r="K301" s="907"/>
      <c r="L301" s="907"/>
      <c r="M301" s="907"/>
      <c r="N301" s="907"/>
      <c r="O301" s="907"/>
      <c r="P301" s="907"/>
      <c r="Q301" s="907"/>
      <c r="R301" s="907"/>
      <c r="S301" s="907"/>
      <c r="T301" s="907"/>
      <c r="U301" s="907"/>
      <c r="V301" s="907"/>
      <c r="W301" s="907"/>
      <c r="X301" s="907"/>
      <c r="Y301" s="907"/>
      <c r="Z301" s="907"/>
      <c r="AA301" s="907"/>
      <c r="AB301" s="907"/>
      <c r="AC301" s="907"/>
    </row>
    <row r="302" spans="1:29">
      <c r="A302" s="907"/>
      <c r="B302" s="907"/>
      <c r="C302" s="907"/>
      <c r="D302" s="907"/>
      <c r="E302" s="907"/>
      <c r="F302" s="907"/>
      <c r="G302" s="907"/>
      <c r="H302" s="907"/>
      <c r="I302" s="907"/>
      <c r="J302" s="907"/>
      <c r="K302" s="907"/>
      <c r="L302" s="907"/>
      <c r="M302" s="907"/>
      <c r="N302" s="907"/>
      <c r="O302" s="907"/>
      <c r="P302" s="907"/>
      <c r="Q302" s="907"/>
      <c r="R302" s="907"/>
      <c r="S302" s="907"/>
      <c r="T302" s="907"/>
      <c r="U302" s="907"/>
      <c r="V302" s="907"/>
      <c r="W302" s="907"/>
      <c r="X302" s="907"/>
      <c r="Y302" s="907"/>
      <c r="Z302" s="907"/>
      <c r="AA302" s="907"/>
      <c r="AB302" s="907"/>
      <c r="AC302" s="907"/>
    </row>
    <row r="303" spans="1:29">
      <c r="A303" s="907"/>
      <c r="B303" s="907"/>
      <c r="C303" s="907"/>
      <c r="D303" s="907"/>
      <c r="E303" s="907"/>
      <c r="F303" s="907"/>
      <c r="G303" s="907"/>
      <c r="H303" s="907"/>
      <c r="I303" s="907"/>
      <c r="J303" s="907"/>
      <c r="K303" s="907"/>
      <c r="L303" s="907"/>
      <c r="M303" s="907"/>
      <c r="N303" s="907"/>
      <c r="O303" s="907"/>
      <c r="P303" s="907"/>
      <c r="Q303" s="907"/>
      <c r="R303" s="907"/>
      <c r="S303" s="907"/>
      <c r="T303" s="907"/>
      <c r="U303" s="907"/>
      <c r="V303" s="907"/>
      <c r="W303" s="907"/>
      <c r="X303" s="907"/>
      <c r="Y303" s="907"/>
      <c r="Z303" s="907"/>
      <c r="AA303" s="907"/>
      <c r="AB303" s="907"/>
      <c r="AC303" s="907"/>
    </row>
    <row r="304" spans="1:29">
      <c r="A304" s="907"/>
      <c r="B304" s="907"/>
      <c r="C304" s="907"/>
      <c r="D304" s="907"/>
      <c r="E304" s="907"/>
      <c r="F304" s="907"/>
      <c r="G304" s="907"/>
      <c r="H304" s="907"/>
      <c r="I304" s="907"/>
      <c r="J304" s="907"/>
      <c r="K304" s="907"/>
      <c r="L304" s="907"/>
      <c r="M304" s="907"/>
      <c r="N304" s="907"/>
      <c r="O304" s="907"/>
      <c r="P304" s="907"/>
      <c r="Q304" s="907"/>
      <c r="R304" s="907"/>
      <c r="S304" s="907"/>
      <c r="T304" s="907"/>
      <c r="U304" s="907"/>
      <c r="V304" s="907"/>
      <c r="W304" s="907"/>
      <c r="X304" s="907"/>
      <c r="Y304" s="907"/>
      <c r="Z304" s="907"/>
      <c r="AA304" s="907"/>
      <c r="AB304" s="907"/>
      <c r="AC304" s="907"/>
    </row>
    <row r="305" spans="1:29">
      <c r="A305" s="907"/>
      <c r="B305" s="907"/>
      <c r="C305" s="907"/>
      <c r="D305" s="907"/>
      <c r="E305" s="907"/>
      <c r="F305" s="907"/>
      <c r="G305" s="907"/>
      <c r="H305" s="907"/>
      <c r="I305" s="907"/>
      <c r="J305" s="907"/>
      <c r="K305" s="907"/>
      <c r="L305" s="907"/>
      <c r="M305" s="907"/>
      <c r="N305" s="907"/>
      <c r="O305" s="907"/>
      <c r="P305" s="907"/>
      <c r="Q305" s="907"/>
      <c r="R305" s="907"/>
      <c r="S305" s="907"/>
      <c r="T305" s="907"/>
      <c r="U305" s="907"/>
      <c r="V305" s="907"/>
      <c r="W305" s="907"/>
      <c r="X305" s="907"/>
      <c r="Y305" s="907"/>
      <c r="Z305" s="907"/>
      <c r="AA305" s="907"/>
      <c r="AB305" s="907"/>
      <c r="AC305" s="907"/>
    </row>
    <row r="306" spans="1:29">
      <c r="A306" s="907"/>
      <c r="B306" s="907"/>
      <c r="C306" s="907"/>
      <c r="D306" s="907"/>
      <c r="E306" s="907"/>
      <c r="F306" s="907"/>
      <c r="G306" s="907"/>
      <c r="H306" s="907"/>
      <c r="I306" s="907"/>
      <c r="J306" s="907"/>
      <c r="K306" s="907"/>
      <c r="L306" s="907"/>
      <c r="M306" s="907"/>
      <c r="N306" s="907"/>
      <c r="O306" s="907"/>
      <c r="P306" s="907"/>
      <c r="Q306" s="907"/>
      <c r="R306" s="907"/>
      <c r="S306" s="907"/>
      <c r="T306" s="907"/>
      <c r="U306" s="907"/>
      <c r="V306" s="907"/>
      <c r="W306" s="907"/>
      <c r="X306" s="907"/>
      <c r="Y306" s="907"/>
      <c r="Z306" s="907"/>
      <c r="AA306" s="907"/>
      <c r="AB306" s="907"/>
      <c r="AC306" s="907"/>
    </row>
    <row r="307" spans="1:29">
      <c r="A307" s="907"/>
      <c r="B307" s="907"/>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c r="AB307" s="907"/>
      <c r="AC307" s="907"/>
    </row>
    <row r="308" spans="1:29">
      <c r="A308" s="907"/>
      <c r="B308" s="907"/>
      <c r="C308" s="907"/>
      <c r="D308" s="907"/>
      <c r="E308" s="907"/>
      <c r="F308" s="907"/>
      <c r="G308" s="907"/>
      <c r="H308" s="907"/>
      <c r="I308" s="907"/>
      <c r="J308" s="907"/>
      <c r="K308" s="907"/>
      <c r="L308" s="907"/>
      <c r="M308" s="907"/>
      <c r="N308" s="907"/>
      <c r="O308" s="907"/>
      <c r="P308" s="907"/>
      <c r="Q308" s="907"/>
      <c r="R308" s="907"/>
      <c r="S308" s="907"/>
      <c r="T308" s="907"/>
      <c r="U308" s="907"/>
      <c r="V308" s="907"/>
      <c r="W308" s="907"/>
      <c r="X308" s="907"/>
      <c r="Y308" s="907"/>
      <c r="Z308" s="907"/>
      <c r="AA308" s="907"/>
      <c r="AB308" s="907"/>
      <c r="AC308" s="907"/>
    </row>
    <row r="309" spans="1:29">
      <c r="A309" s="907"/>
      <c r="B309" s="907"/>
      <c r="C309" s="907"/>
      <c r="D309" s="907"/>
      <c r="E309" s="907"/>
      <c r="F309" s="907"/>
      <c r="G309" s="907"/>
      <c r="H309" s="907"/>
      <c r="I309" s="907"/>
      <c r="J309" s="907"/>
      <c r="K309" s="907"/>
      <c r="L309" s="907"/>
      <c r="M309" s="907"/>
      <c r="N309" s="907"/>
      <c r="O309" s="907"/>
      <c r="P309" s="907"/>
      <c r="Q309" s="907"/>
      <c r="R309" s="907"/>
      <c r="S309" s="907"/>
      <c r="T309" s="907"/>
      <c r="U309" s="907"/>
      <c r="V309" s="907"/>
      <c r="W309" s="907"/>
      <c r="X309" s="907"/>
      <c r="Y309" s="907"/>
      <c r="Z309" s="907"/>
      <c r="AA309" s="907"/>
      <c r="AB309" s="907"/>
      <c r="AC309" s="907"/>
    </row>
    <row r="310" spans="1:29">
      <c r="A310" s="907"/>
      <c r="B310" s="907"/>
      <c r="C310" s="907"/>
      <c r="D310" s="907"/>
      <c r="E310" s="907"/>
      <c r="F310" s="907"/>
      <c r="G310" s="907"/>
      <c r="H310" s="907"/>
      <c r="I310" s="907"/>
      <c r="J310" s="907"/>
      <c r="K310" s="907"/>
      <c r="L310" s="907"/>
      <c r="M310" s="907"/>
      <c r="N310" s="907"/>
      <c r="O310" s="907"/>
      <c r="P310" s="907"/>
      <c r="Q310" s="907"/>
      <c r="R310" s="907"/>
      <c r="S310" s="907"/>
      <c r="T310" s="907"/>
      <c r="U310" s="907"/>
      <c r="V310" s="907"/>
      <c r="W310" s="907"/>
      <c r="X310" s="907"/>
      <c r="Y310" s="907"/>
      <c r="Z310" s="907"/>
      <c r="AA310" s="907"/>
      <c r="AB310" s="907"/>
      <c r="AC310" s="907"/>
    </row>
    <row r="311" spans="1:29">
      <c r="A311" s="907"/>
      <c r="B311" s="907"/>
      <c r="C311" s="907"/>
      <c r="D311" s="907"/>
      <c r="E311" s="907"/>
      <c r="F311" s="907"/>
      <c r="G311" s="907"/>
      <c r="H311" s="907"/>
      <c r="I311" s="907"/>
      <c r="J311" s="907"/>
      <c r="K311" s="907"/>
      <c r="L311" s="907"/>
      <c r="M311" s="907"/>
      <c r="N311" s="907"/>
      <c r="O311" s="907"/>
      <c r="P311" s="907"/>
      <c r="Q311" s="907"/>
      <c r="R311" s="907"/>
      <c r="S311" s="907"/>
      <c r="T311" s="907"/>
      <c r="U311" s="907"/>
      <c r="V311" s="907"/>
      <c r="W311" s="907"/>
      <c r="X311" s="907"/>
      <c r="Y311" s="907"/>
      <c r="Z311" s="907"/>
      <c r="AA311" s="907"/>
      <c r="AB311" s="907"/>
      <c r="AC311" s="907"/>
    </row>
    <row r="312" spans="1:29">
      <c r="A312" s="907"/>
      <c r="B312" s="907"/>
      <c r="C312" s="907"/>
      <c r="D312" s="907"/>
      <c r="E312" s="907"/>
      <c r="F312" s="907"/>
      <c r="G312" s="907"/>
      <c r="H312" s="907"/>
      <c r="I312" s="907"/>
      <c r="J312" s="907"/>
      <c r="K312" s="907"/>
      <c r="L312" s="907"/>
      <c r="M312" s="907"/>
      <c r="N312" s="907"/>
      <c r="O312" s="907"/>
      <c r="P312" s="907"/>
      <c r="Q312" s="907"/>
      <c r="R312" s="907"/>
      <c r="S312" s="907"/>
      <c r="T312" s="907"/>
      <c r="U312" s="907"/>
      <c r="V312" s="907"/>
      <c r="W312" s="907"/>
      <c r="X312" s="907"/>
      <c r="Y312" s="907"/>
      <c r="Z312" s="907"/>
      <c r="AA312" s="907"/>
      <c r="AB312" s="907"/>
      <c r="AC312" s="907"/>
    </row>
    <row r="313" spans="1:29">
      <c r="A313" s="907"/>
      <c r="B313" s="907"/>
      <c r="C313" s="907"/>
      <c r="D313" s="907"/>
      <c r="E313" s="907"/>
      <c r="F313" s="907"/>
      <c r="G313" s="907"/>
      <c r="H313" s="907"/>
      <c r="I313" s="907"/>
      <c r="J313" s="907"/>
      <c r="K313" s="907"/>
      <c r="L313" s="907"/>
      <c r="M313" s="907"/>
      <c r="N313" s="907"/>
      <c r="O313" s="907"/>
      <c r="P313" s="907"/>
      <c r="Q313" s="907"/>
      <c r="R313" s="907"/>
      <c r="S313" s="907"/>
      <c r="T313" s="907"/>
      <c r="U313" s="907"/>
      <c r="V313" s="907"/>
      <c r="W313" s="907"/>
      <c r="X313" s="907"/>
      <c r="Y313" s="907"/>
      <c r="Z313" s="907"/>
      <c r="AA313" s="907"/>
      <c r="AB313" s="907"/>
      <c r="AC313" s="907"/>
    </row>
    <row r="314" spans="1:29">
      <c r="A314" s="907"/>
      <c r="B314" s="907"/>
      <c r="C314" s="907"/>
      <c r="D314" s="907"/>
      <c r="E314" s="907"/>
      <c r="F314" s="907"/>
      <c r="G314" s="907"/>
      <c r="H314" s="907"/>
      <c r="I314" s="907"/>
      <c r="J314" s="907"/>
      <c r="K314" s="907"/>
      <c r="L314" s="907"/>
      <c r="M314" s="907"/>
      <c r="N314" s="907"/>
      <c r="O314" s="907"/>
      <c r="P314" s="907"/>
      <c r="Q314" s="907"/>
      <c r="R314" s="907"/>
      <c r="S314" s="907"/>
      <c r="T314" s="907"/>
      <c r="U314" s="907"/>
      <c r="V314" s="907"/>
      <c r="W314" s="907"/>
      <c r="X314" s="907"/>
      <c r="Y314" s="907"/>
      <c r="Z314" s="907"/>
      <c r="AA314" s="907"/>
      <c r="AB314" s="907"/>
      <c r="AC314" s="907"/>
    </row>
    <row r="315" spans="1:29">
      <c r="A315" s="907"/>
      <c r="B315" s="907"/>
      <c r="C315" s="907"/>
      <c r="D315" s="907"/>
      <c r="E315" s="907"/>
      <c r="F315" s="907"/>
      <c r="G315" s="907"/>
      <c r="H315" s="907"/>
      <c r="I315" s="907"/>
      <c r="J315" s="907"/>
      <c r="K315" s="907"/>
      <c r="L315" s="907"/>
      <c r="M315" s="907"/>
      <c r="N315" s="907"/>
      <c r="O315" s="907"/>
      <c r="P315" s="907"/>
      <c r="Q315" s="907"/>
      <c r="R315" s="907"/>
      <c r="S315" s="907"/>
      <c r="T315" s="907"/>
      <c r="U315" s="907"/>
      <c r="V315" s="907"/>
      <c r="W315" s="907"/>
      <c r="X315" s="907"/>
      <c r="Y315" s="907"/>
      <c r="Z315" s="907"/>
      <c r="AA315" s="907"/>
      <c r="AB315" s="907"/>
      <c r="AC315" s="907"/>
    </row>
    <row r="316" spans="1:29">
      <c r="A316" s="907"/>
      <c r="B316" s="907"/>
      <c r="C316" s="907"/>
      <c r="D316" s="907"/>
      <c r="E316" s="907"/>
      <c r="F316" s="907"/>
      <c r="G316" s="907"/>
      <c r="H316" s="907"/>
      <c r="I316" s="907"/>
      <c r="J316" s="907"/>
      <c r="K316" s="907"/>
      <c r="L316" s="907"/>
      <c r="M316" s="907"/>
      <c r="N316" s="907"/>
      <c r="O316" s="907"/>
      <c r="P316" s="907"/>
      <c r="Q316" s="907"/>
      <c r="R316" s="907"/>
      <c r="S316" s="907"/>
      <c r="T316" s="907"/>
      <c r="U316" s="907"/>
      <c r="V316" s="907"/>
      <c r="W316" s="907"/>
      <c r="X316" s="907"/>
      <c r="Y316" s="907"/>
      <c r="Z316" s="907"/>
      <c r="AA316" s="907"/>
      <c r="AB316" s="907"/>
      <c r="AC316" s="907"/>
    </row>
    <row r="317" spans="1:29">
      <c r="A317" s="907"/>
      <c r="B317" s="907"/>
      <c r="C317" s="907"/>
      <c r="D317" s="907"/>
      <c r="E317" s="907"/>
      <c r="F317" s="907"/>
      <c r="G317" s="907"/>
      <c r="H317" s="907"/>
      <c r="I317" s="907"/>
      <c r="J317" s="907"/>
      <c r="K317" s="907"/>
      <c r="L317" s="907"/>
      <c r="M317" s="907"/>
      <c r="N317" s="907"/>
      <c r="O317" s="907"/>
      <c r="P317" s="907"/>
      <c r="Q317" s="907"/>
      <c r="R317" s="907"/>
      <c r="S317" s="907"/>
      <c r="T317" s="907"/>
      <c r="U317" s="907"/>
      <c r="V317" s="907"/>
      <c r="W317" s="907"/>
      <c r="X317" s="907"/>
      <c r="Y317" s="907"/>
      <c r="Z317" s="907"/>
      <c r="AA317" s="907"/>
      <c r="AB317" s="907"/>
      <c r="AC317" s="907"/>
    </row>
    <row r="318" spans="1:29">
      <c r="A318" s="907"/>
      <c r="B318" s="907"/>
      <c r="C318" s="907"/>
      <c r="D318" s="907"/>
      <c r="E318" s="907"/>
      <c r="F318" s="907"/>
      <c r="G318" s="907"/>
      <c r="H318" s="907"/>
      <c r="I318" s="907"/>
      <c r="J318" s="907"/>
      <c r="K318" s="907"/>
      <c r="L318" s="907"/>
      <c r="M318" s="907"/>
      <c r="N318" s="907"/>
      <c r="O318" s="907"/>
      <c r="P318" s="907"/>
      <c r="Q318" s="907"/>
      <c r="R318" s="907"/>
      <c r="S318" s="907"/>
      <c r="T318" s="907"/>
      <c r="U318" s="907"/>
      <c r="V318" s="907"/>
      <c r="W318" s="907"/>
      <c r="X318" s="907"/>
      <c r="Y318" s="907"/>
      <c r="Z318" s="907"/>
      <c r="AA318" s="907"/>
      <c r="AB318" s="907"/>
      <c r="AC318" s="907"/>
    </row>
    <row r="319" spans="1:29">
      <c r="A319" s="907"/>
      <c r="B319" s="907"/>
      <c r="C319" s="907"/>
      <c r="D319" s="907"/>
      <c r="E319" s="907"/>
      <c r="F319" s="907"/>
      <c r="G319" s="907"/>
      <c r="H319" s="907"/>
      <c r="I319" s="907"/>
      <c r="J319" s="907"/>
      <c r="K319" s="907"/>
      <c r="L319" s="907"/>
      <c r="M319" s="907"/>
      <c r="N319" s="907"/>
      <c r="O319" s="907"/>
      <c r="P319" s="907"/>
      <c r="Q319" s="907"/>
      <c r="R319" s="907"/>
      <c r="S319" s="907"/>
      <c r="T319" s="907"/>
      <c r="U319" s="907"/>
      <c r="V319" s="907"/>
      <c r="W319" s="907"/>
      <c r="X319" s="907"/>
      <c r="Y319" s="907"/>
      <c r="Z319" s="907"/>
      <c r="AA319" s="907"/>
      <c r="AB319" s="907"/>
      <c r="AC319" s="907"/>
    </row>
    <row r="320" spans="1:29">
      <c r="A320" s="907"/>
      <c r="B320" s="907"/>
      <c r="C320" s="907"/>
      <c r="D320" s="907"/>
      <c r="E320" s="907"/>
      <c r="F320" s="907"/>
      <c r="G320" s="907"/>
      <c r="H320" s="907"/>
      <c r="I320" s="907"/>
      <c r="J320" s="907"/>
      <c r="K320" s="907"/>
      <c r="L320" s="907"/>
      <c r="M320" s="907"/>
      <c r="N320" s="907"/>
      <c r="O320" s="907"/>
      <c r="P320" s="907"/>
      <c r="Q320" s="907"/>
      <c r="R320" s="907"/>
      <c r="S320" s="907"/>
      <c r="T320" s="907"/>
      <c r="U320" s="907"/>
      <c r="V320" s="907"/>
      <c r="W320" s="907"/>
      <c r="X320" s="907"/>
      <c r="Y320" s="907"/>
      <c r="Z320" s="907"/>
      <c r="AA320" s="907"/>
      <c r="AB320" s="907"/>
      <c r="AC320" s="907"/>
    </row>
    <row r="321" spans="1:29">
      <c r="A321" s="907"/>
      <c r="B321" s="907"/>
      <c r="C321" s="907"/>
      <c r="D321" s="907"/>
      <c r="E321" s="907"/>
      <c r="F321" s="907"/>
      <c r="G321" s="907"/>
      <c r="H321" s="907"/>
      <c r="I321" s="907"/>
      <c r="J321" s="907"/>
      <c r="K321" s="907"/>
      <c r="L321" s="907"/>
      <c r="M321" s="907"/>
      <c r="N321" s="907"/>
      <c r="O321" s="907"/>
      <c r="P321" s="907"/>
      <c r="Q321" s="907"/>
      <c r="R321" s="907"/>
      <c r="S321" s="907"/>
      <c r="T321" s="907"/>
      <c r="U321" s="907"/>
      <c r="V321" s="907"/>
      <c r="W321" s="907"/>
      <c r="X321" s="907"/>
      <c r="Y321" s="907"/>
      <c r="Z321" s="907"/>
      <c r="AA321" s="907"/>
      <c r="AB321" s="907"/>
      <c r="AC321" s="907"/>
    </row>
    <row r="322" spans="1:29">
      <c r="A322" s="907"/>
      <c r="B322" s="907"/>
      <c r="C322" s="907"/>
      <c r="D322" s="907"/>
      <c r="E322" s="907"/>
      <c r="F322" s="907"/>
      <c r="G322" s="907"/>
      <c r="H322" s="907"/>
      <c r="I322" s="907"/>
      <c r="J322" s="907"/>
      <c r="K322" s="907"/>
      <c r="L322" s="907"/>
      <c r="M322" s="907"/>
      <c r="N322" s="907"/>
      <c r="O322" s="907"/>
      <c r="P322" s="907"/>
      <c r="Q322" s="907"/>
      <c r="R322" s="907"/>
      <c r="S322" s="907"/>
      <c r="T322" s="907"/>
      <c r="U322" s="907"/>
      <c r="V322" s="907"/>
      <c r="W322" s="907"/>
      <c r="X322" s="907"/>
      <c r="Y322" s="907"/>
      <c r="Z322" s="907"/>
      <c r="AA322" s="907"/>
      <c r="AB322" s="907"/>
      <c r="AC322" s="907"/>
    </row>
    <row r="323" spans="1:29">
      <c r="A323" s="907"/>
      <c r="B323" s="907"/>
      <c r="C323" s="907"/>
      <c r="D323" s="907"/>
      <c r="E323" s="907"/>
      <c r="F323" s="907"/>
      <c r="G323" s="907"/>
      <c r="H323" s="907"/>
      <c r="I323" s="907"/>
      <c r="J323" s="907"/>
      <c r="K323" s="907"/>
      <c r="L323" s="907"/>
      <c r="M323" s="907"/>
      <c r="N323" s="907"/>
      <c r="O323" s="907"/>
      <c r="P323" s="907"/>
      <c r="Q323" s="907"/>
      <c r="R323" s="907"/>
      <c r="S323" s="907"/>
      <c r="T323" s="907"/>
      <c r="U323" s="907"/>
      <c r="V323" s="907"/>
      <c r="W323" s="907"/>
      <c r="X323" s="907"/>
      <c r="Y323" s="907"/>
      <c r="Z323" s="907"/>
      <c r="AA323" s="907"/>
      <c r="AB323" s="907"/>
      <c r="AC323" s="907"/>
    </row>
    <row r="324" spans="1:29">
      <c r="A324" s="907"/>
      <c r="B324" s="907"/>
      <c r="C324" s="907"/>
      <c r="D324" s="907"/>
      <c r="E324" s="907"/>
      <c r="F324" s="907"/>
      <c r="G324" s="907"/>
      <c r="H324" s="907"/>
      <c r="I324" s="907"/>
      <c r="J324" s="907"/>
      <c r="K324" s="907"/>
      <c r="L324" s="907"/>
      <c r="M324" s="907"/>
      <c r="N324" s="907"/>
      <c r="O324" s="907"/>
      <c r="P324" s="907"/>
      <c r="Q324" s="907"/>
      <c r="R324" s="907"/>
      <c r="S324" s="907"/>
      <c r="T324" s="907"/>
      <c r="U324" s="907"/>
      <c r="V324" s="907"/>
      <c r="W324" s="907"/>
      <c r="X324" s="907"/>
      <c r="Y324" s="907"/>
      <c r="Z324" s="907"/>
      <c r="AA324" s="907"/>
      <c r="AB324" s="907"/>
      <c r="AC324" s="907"/>
    </row>
    <row r="325" spans="1:29">
      <c r="A325" s="907"/>
      <c r="B325" s="907"/>
      <c r="C325" s="907"/>
      <c r="D325" s="907"/>
      <c r="E325" s="907"/>
      <c r="F325" s="907"/>
      <c r="G325" s="907"/>
      <c r="H325" s="907"/>
      <c r="I325" s="907"/>
      <c r="J325" s="907"/>
      <c r="K325" s="907"/>
      <c r="L325" s="907"/>
      <c r="M325" s="907"/>
      <c r="N325" s="907"/>
      <c r="O325" s="907"/>
      <c r="P325" s="907"/>
      <c r="Q325" s="907"/>
      <c r="R325" s="907"/>
      <c r="S325" s="907"/>
      <c r="T325" s="907"/>
      <c r="U325" s="907"/>
      <c r="V325" s="907"/>
      <c r="W325" s="907"/>
      <c r="X325" s="907"/>
      <c r="Y325" s="907"/>
      <c r="Z325" s="907"/>
      <c r="AA325" s="907"/>
      <c r="AB325" s="907"/>
      <c r="AC325" s="907"/>
    </row>
    <row r="326" spans="1:29">
      <c r="A326" s="907"/>
      <c r="B326" s="907"/>
      <c r="C326" s="907"/>
      <c r="D326" s="907"/>
      <c r="E326" s="907"/>
      <c r="F326" s="907"/>
      <c r="G326" s="907"/>
      <c r="H326" s="907"/>
      <c r="I326" s="907"/>
      <c r="J326" s="907"/>
      <c r="K326" s="907"/>
      <c r="L326" s="907"/>
      <c r="M326" s="907"/>
      <c r="N326" s="907"/>
      <c r="O326" s="907"/>
      <c r="P326" s="907"/>
      <c r="Q326" s="907"/>
      <c r="R326" s="907"/>
      <c r="S326" s="907"/>
      <c r="T326" s="907"/>
      <c r="U326" s="907"/>
      <c r="V326" s="907"/>
      <c r="W326" s="907"/>
      <c r="X326" s="907"/>
      <c r="Y326" s="907"/>
      <c r="Z326" s="907"/>
      <c r="AA326" s="907"/>
      <c r="AB326" s="907"/>
      <c r="AC326" s="907"/>
    </row>
    <row r="327" spans="1:29">
      <c r="A327" s="907"/>
      <c r="B327" s="907"/>
      <c r="C327" s="907"/>
      <c r="D327" s="907"/>
      <c r="E327" s="907"/>
      <c r="F327" s="907"/>
      <c r="G327" s="907"/>
      <c r="H327" s="907"/>
      <c r="I327" s="907"/>
      <c r="J327" s="907"/>
      <c r="K327" s="907"/>
      <c r="L327" s="907"/>
      <c r="M327" s="907"/>
      <c r="N327" s="907"/>
      <c r="O327" s="907"/>
      <c r="P327" s="907"/>
      <c r="Q327" s="907"/>
      <c r="R327" s="907"/>
      <c r="S327" s="907"/>
      <c r="T327" s="907"/>
      <c r="U327" s="907"/>
      <c r="V327" s="907"/>
      <c r="W327" s="907"/>
      <c r="X327" s="907"/>
      <c r="Y327" s="907"/>
      <c r="Z327" s="907"/>
      <c r="AA327" s="907"/>
      <c r="AB327" s="907"/>
      <c r="AC327" s="907"/>
    </row>
    <row r="328" spans="1:29">
      <c r="A328" s="907"/>
      <c r="B328" s="907"/>
      <c r="C328" s="907"/>
      <c r="D328" s="907"/>
      <c r="E328" s="907"/>
      <c r="F328" s="907"/>
      <c r="G328" s="907"/>
      <c r="H328" s="907"/>
      <c r="I328" s="907"/>
      <c r="J328" s="907"/>
      <c r="K328" s="907"/>
      <c r="L328" s="907"/>
      <c r="M328" s="907"/>
      <c r="N328" s="907"/>
      <c r="O328" s="907"/>
      <c r="P328" s="907"/>
      <c r="Q328" s="907"/>
      <c r="R328" s="907"/>
      <c r="S328" s="907"/>
      <c r="T328" s="907"/>
      <c r="U328" s="907"/>
      <c r="V328" s="907"/>
      <c r="W328" s="907"/>
      <c r="X328" s="907"/>
      <c r="Y328" s="907"/>
      <c r="Z328" s="907"/>
      <c r="AA328" s="907"/>
      <c r="AB328" s="907"/>
      <c r="AC328" s="907"/>
    </row>
    <row r="329" spans="1:29">
      <c r="A329" s="907"/>
      <c r="B329" s="907"/>
      <c r="C329" s="907"/>
      <c r="D329" s="907"/>
      <c r="E329" s="907"/>
      <c r="F329" s="907"/>
      <c r="G329" s="907"/>
      <c r="H329" s="907"/>
      <c r="I329" s="907"/>
      <c r="J329" s="907"/>
      <c r="K329" s="907"/>
      <c r="L329" s="907"/>
      <c r="M329" s="907"/>
      <c r="N329" s="907"/>
      <c r="O329" s="907"/>
      <c r="P329" s="907"/>
      <c r="Q329" s="907"/>
      <c r="R329" s="907"/>
      <c r="S329" s="907"/>
      <c r="T329" s="907"/>
      <c r="U329" s="907"/>
      <c r="V329" s="907"/>
      <c r="W329" s="907"/>
      <c r="X329" s="907"/>
      <c r="Y329" s="907"/>
      <c r="Z329" s="907"/>
      <c r="AA329" s="907"/>
      <c r="AB329" s="907"/>
      <c r="AC329" s="907"/>
    </row>
    <row r="330" spans="1:29">
      <c r="A330" s="907"/>
      <c r="B330" s="907"/>
      <c r="C330" s="907"/>
      <c r="D330" s="907"/>
      <c r="E330" s="907"/>
      <c r="F330" s="907"/>
      <c r="G330" s="907"/>
      <c r="H330" s="907"/>
      <c r="I330" s="907"/>
      <c r="J330" s="907"/>
      <c r="K330" s="907"/>
      <c r="L330" s="907"/>
      <c r="M330" s="907"/>
      <c r="N330" s="907"/>
      <c r="O330" s="907"/>
      <c r="P330" s="907"/>
      <c r="Q330" s="907"/>
      <c r="R330" s="907"/>
      <c r="S330" s="907"/>
      <c r="T330" s="907"/>
      <c r="U330" s="907"/>
      <c r="V330" s="907"/>
      <c r="W330" s="907"/>
      <c r="X330" s="907"/>
      <c r="Y330" s="907"/>
      <c r="Z330" s="907"/>
      <c r="AA330" s="907"/>
      <c r="AB330" s="907"/>
      <c r="AC330" s="907"/>
    </row>
    <row r="331" spans="1:29">
      <c r="A331" s="907"/>
      <c r="B331" s="907"/>
      <c r="C331" s="907"/>
      <c r="D331" s="907"/>
      <c r="E331" s="907"/>
      <c r="F331" s="907"/>
      <c r="G331" s="907"/>
      <c r="H331" s="907"/>
      <c r="I331" s="907"/>
      <c r="J331" s="907"/>
      <c r="K331" s="907"/>
      <c r="L331" s="907"/>
      <c r="M331" s="907"/>
      <c r="N331" s="907"/>
      <c r="O331" s="907"/>
      <c r="P331" s="907"/>
      <c r="Q331" s="907"/>
      <c r="R331" s="907"/>
      <c r="S331" s="907"/>
      <c r="T331" s="907"/>
      <c r="U331" s="907"/>
      <c r="V331" s="907"/>
      <c r="W331" s="907"/>
      <c r="X331" s="907"/>
      <c r="Y331" s="907"/>
      <c r="Z331" s="907"/>
      <c r="AA331" s="907"/>
      <c r="AB331" s="907"/>
      <c r="AC331" s="907"/>
    </row>
    <row r="332" spans="1:29">
      <c r="A332" s="907"/>
      <c r="B332" s="907"/>
      <c r="C332" s="907"/>
      <c r="D332" s="907"/>
      <c r="E332" s="907"/>
      <c r="F332" s="907"/>
      <c r="G332" s="907"/>
      <c r="H332" s="907"/>
      <c r="I332" s="907"/>
      <c r="J332" s="907"/>
      <c r="K332" s="907"/>
      <c r="L332" s="907"/>
      <c r="M332" s="907"/>
      <c r="N332" s="907"/>
      <c r="O332" s="907"/>
      <c r="P332" s="907"/>
      <c r="Q332" s="907"/>
      <c r="R332" s="907"/>
      <c r="S332" s="907"/>
      <c r="T332" s="907"/>
      <c r="U332" s="907"/>
      <c r="V332" s="907"/>
      <c r="W332" s="907"/>
      <c r="X332" s="907"/>
      <c r="Y332" s="907"/>
      <c r="Z332" s="907"/>
      <c r="AA332" s="907"/>
      <c r="AB332" s="907"/>
      <c r="AC332" s="907"/>
    </row>
    <row r="333" spans="1:29">
      <c r="A333" s="907"/>
      <c r="B333" s="907"/>
      <c r="C333" s="907"/>
      <c r="D333" s="907"/>
      <c r="E333" s="907"/>
      <c r="F333" s="907"/>
      <c r="G333" s="907"/>
      <c r="H333" s="907"/>
      <c r="I333" s="907"/>
      <c r="J333" s="907"/>
      <c r="K333" s="907"/>
      <c r="L333" s="907"/>
      <c r="M333" s="907"/>
      <c r="N333" s="907"/>
      <c r="O333" s="907"/>
      <c r="P333" s="907"/>
      <c r="Q333" s="907"/>
      <c r="R333" s="907"/>
      <c r="S333" s="907"/>
      <c r="T333" s="907"/>
      <c r="U333" s="907"/>
      <c r="V333" s="907"/>
      <c r="W333" s="907"/>
      <c r="X333" s="907"/>
      <c r="Y333" s="907"/>
      <c r="Z333" s="907"/>
      <c r="AA333" s="907"/>
      <c r="AB333" s="907"/>
      <c r="AC333" s="907"/>
    </row>
    <row r="334" spans="1:29">
      <c r="A334" s="907"/>
      <c r="B334" s="907"/>
      <c r="C334" s="907"/>
      <c r="D334" s="907"/>
      <c r="E334" s="907"/>
      <c r="F334" s="907"/>
      <c r="G334" s="907"/>
      <c r="H334" s="907"/>
      <c r="I334" s="907"/>
      <c r="J334" s="907"/>
      <c r="K334" s="907"/>
      <c r="L334" s="907"/>
      <c r="M334" s="907"/>
      <c r="N334" s="907"/>
      <c r="O334" s="907"/>
      <c r="P334" s="907"/>
      <c r="Q334" s="907"/>
      <c r="R334" s="907"/>
      <c r="S334" s="907"/>
      <c r="T334" s="907"/>
      <c r="U334" s="907"/>
      <c r="V334" s="907"/>
      <c r="W334" s="907"/>
      <c r="X334" s="907"/>
      <c r="Y334" s="907"/>
      <c r="Z334" s="907"/>
      <c r="AA334" s="907"/>
      <c r="AB334" s="907"/>
      <c r="AC334" s="907"/>
    </row>
    <row r="335" spans="1:29">
      <c r="A335" s="907"/>
      <c r="B335" s="907"/>
      <c r="C335" s="907"/>
      <c r="D335" s="907"/>
      <c r="E335" s="907"/>
      <c r="F335" s="907"/>
      <c r="G335" s="907"/>
      <c r="H335" s="907"/>
      <c r="I335" s="907"/>
      <c r="J335" s="907"/>
      <c r="K335" s="907"/>
      <c r="L335" s="907"/>
      <c r="M335" s="907"/>
      <c r="N335" s="907"/>
      <c r="O335" s="907"/>
      <c r="P335" s="907"/>
      <c r="Q335" s="907"/>
      <c r="R335" s="907"/>
      <c r="S335" s="907"/>
      <c r="T335" s="907"/>
      <c r="U335" s="907"/>
      <c r="V335" s="907"/>
      <c r="W335" s="907"/>
      <c r="X335" s="907"/>
      <c r="Y335" s="907"/>
      <c r="Z335" s="907"/>
      <c r="AA335" s="907"/>
      <c r="AB335" s="907"/>
      <c r="AC335" s="907"/>
    </row>
    <row r="336" spans="1:29">
      <c r="A336" s="907"/>
      <c r="B336" s="907"/>
      <c r="C336" s="907"/>
      <c r="D336" s="907"/>
      <c r="E336" s="907"/>
      <c r="F336" s="907"/>
      <c r="G336" s="907"/>
      <c r="H336" s="907"/>
      <c r="I336" s="907"/>
      <c r="J336" s="907"/>
      <c r="K336" s="907"/>
      <c r="L336" s="907"/>
      <c r="M336" s="907"/>
      <c r="N336" s="907"/>
      <c r="O336" s="907"/>
      <c r="P336" s="907"/>
      <c r="Q336" s="907"/>
      <c r="R336" s="907"/>
      <c r="S336" s="907"/>
      <c r="T336" s="907"/>
      <c r="U336" s="907"/>
      <c r="V336" s="907"/>
      <c r="W336" s="907"/>
      <c r="X336" s="907"/>
      <c r="Y336" s="907"/>
      <c r="Z336" s="907"/>
      <c r="AA336" s="907"/>
      <c r="AB336" s="907"/>
      <c r="AC336" s="907"/>
    </row>
    <row r="337" spans="1:29">
      <c r="A337" s="907"/>
      <c r="B337" s="907"/>
      <c r="C337" s="907"/>
      <c r="D337" s="907"/>
      <c r="E337" s="907"/>
      <c r="F337" s="907"/>
      <c r="G337" s="907"/>
      <c r="H337" s="907"/>
      <c r="I337" s="907"/>
      <c r="J337" s="907"/>
      <c r="K337" s="907"/>
      <c r="L337" s="907"/>
      <c r="M337" s="907"/>
      <c r="N337" s="907"/>
      <c r="O337" s="907"/>
      <c r="P337" s="907"/>
      <c r="Q337" s="907"/>
      <c r="R337" s="907"/>
      <c r="S337" s="907"/>
      <c r="T337" s="907"/>
      <c r="U337" s="907"/>
      <c r="V337" s="907"/>
      <c r="W337" s="907"/>
      <c r="X337" s="907"/>
      <c r="Y337" s="907"/>
      <c r="Z337" s="907"/>
      <c r="AA337" s="907"/>
      <c r="AB337" s="907"/>
      <c r="AC337" s="907"/>
    </row>
    <row r="338" spans="1:29">
      <c r="A338" s="907"/>
      <c r="B338" s="907"/>
      <c r="C338" s="907"/>
      <c r="D338" s="907"/>
      <c r="E338" s="907"/>
      <c r="F338" s="907"/>
      <c r="G338" s="907"/>
      <c r="H338" s="907"/>
      <c r="I338" s="907"/>
      <c r="J338" s="907"/>
      <c r="K338" s="907"/>
      <c r="L338" s="907"/>
      <c r="M338" s="907"/>
      <c r="N338" s="907"/>
      <c r="O338" s="907"/>
      <c r="P338" s="907"/>
      <c r="Q338" s="907"/>
      <c r="R338" s="907"/>
      <c r="S338" s="907"/>
      <c r="T338" s="907"/>
      <c r="U338" s="907"/>
      <c r="V338" s="907"/>
      <c r="W338" s="907"/>
      <c r="X338" s="907"/>
      <c r="Y338" s="907"/>
      <c r="Z338" s="907"/>
      <c r="AA338" s="907"/>
      <c r="AB338" s="907"/>
      <c r="AC338" s="907"/>
    </row>
    <row r="339" spans="1:29">
      <c r="A339" s="907"/>
      <c r="B339" s="907"/>
      <c r="C339" s="907"/>
      <c r="D339" s="907"/>
      <c r="E339" s="907"/>
      <c r="F339" s="907"/>
      <c r="G339" s="907"/>
      <c r="H339" s="907"/>
      <c r="I339" s="907"/>
      <c r="J339" s="907"/>
      <c r="K339" s="907"/>
      <c r="L339" s="907"/>
      <c r="M339" s="907"/>
      <c r="N339" s="907"/>
      <c r="O339" s="907"/>
      <c r="P339" s="907"/>
      <c r="Q339" s="907"/>
      <c r="R339" s="907"/>
      <c r="S339" s="907"/>
      <c r="T339" s="907"/>
      <c r="U339" s="907"/>
      <c r="V339" s="907"/>
      <c r="W339" s="907"/>
      <c r="X339" s="907"/>
      <c r="Y339" s="907"/>
      <c r="Z339" s="907"/>
      <c r="AA339" s="907"/>
      <c r="AB339" s="907"/>
      <c r="AC339" s="907"/>
    </row>
    <row r="340" spans="1:29">
      <c r="A340" s="907"/>
      <c r="B340" s="907"/>
      <c r="C340" s="907"/>
      <c r="D340" s="907"/>
      <c r="E340" s="907"/>
      <c r="F340" s="907"/>
      <c r="G340" s="907"/>
      <c r="H340" s="907"/>
      <c r="I340" s="907"/>
      <c r="J340" s="907"/>
      <c r="K340" s="907"/>
      <c r="L340" s="907"/>
      <c r="M340" s="907"/>
      <c r="N340" s="907"/>
      <c r="O340" s="907"/>
      <c r="P340" s="907"/>
      <c r="Q340" s="907"/>
      <c r="R340" s="907"/>
      <c r="S340" s="907"/>
      <c r="T340" s="907"/>
      <c r="U340" s="907"/>
      <c r="V340" s="907"/>
      <c r="W340" s="907"/>
      <c r="X340" s="907"/>
      <c r="Y340" s="907"/>
      <c r="Z340" s="907"/>
      <c r="AA340" s="907"/>
      <c r="AB340" s="907"/>
      <c r="AC340" s="907"/>
    </row>
    <row r="341" spans="1:29">
      <c r="A341" s="907"/>
      <c r="B341" s="907"/>
      <c r="C341" s="907"/>
      <c r="D341" s="907"/>
      <c r="E341" s="907"/>
      <c r="F341" s="907"/>
      <c r="G341" s="907"/>
      <c r="H341" s="907"/>
      <c r="I341" s="907"/>
      <c r="J341" s="907"/>
      <c r="K341" s="907"/>
      <c r="L341" s="907"/>
      <c r="M341" s="907"/>
      <c r="N341" s="907"/>
      <c r="O341" s="907"/>
      <c r="P341" s="907"/>
      <c r="Q341" s="907"/>
      <c r="R341" s="907"/>
      <c r="S341" s="907"/>
      <c r="T341" s="907"/>
      <c r="U341" s="907"/>
      <c r="V341" s="907"/>
      <c r="W341" s="907"/>
      <c r="X341" s="907"/>
      <c r="Y341" s="907"/>
      <c r="Z341" s="907"/>
      <c r="AA341" s="907"/>
      <c r="AB341" s="907"/>
      <c r="AC341" s="907"/>
    </row>
    <row r="342" spans="1:29">
      <c r="A342" s="907"/>
      <c r="B342" s="907"/>
      <c r="C342" s="907"/>
      <c r="D342" s="907"/>
      <c r="E342" s="907"/>
      <c r="F342" s="907"/>
      <c r="G342" s="907"/>
      <c r="H342" s="907"/>
      <c r="I342" s="907"/>
      <c r="J342" s="907"/>
      <c r="K342" s="907"/>
      <c r="L342" s="907"/>
      <c r="M342" s="907"/>
      <c r="N342" s="907"/>
      <c r="O342" s="907"/>
      <c r="P342" s="907"/>
      <c r="Q342" s="907"/>
      <c r="R342" s="907"/>
      <c r="S342" s="907"/>
      <c r="T342" s="907"/>
      <c r="U342" s="907"/>
      <c r="V342" s="907"/>
      <c r="W342" s="907"/>
      <c r="X342" s="907"/>
      <c r="Y342" s="907"/>
      <c r="Z342" s="907"/>
      <c r="AA342" s="907"/>
      <c r="AB342" s="907"/>
      <c r="AC342" s="907"/>
    </row>
    <row r="343" spans="1:29">
      <c r="A343" s="907"/>
      <c r="B343" s="907"/>
      <c r="C343" s="907"/>
      <c r="D343" s="907"/>
      <c r="E343" s="907"/>
      <c r="F343" s="907"/>
      <c r="G343" s="907"/>
      <c r="H343" s="907"/>
      <c r="I343" s="907"/>
      <c r="J343" s="907"/>
      <c r="K343" s="907"/>
      <c r="L343" s="907"/>
      <c r="M343" s="907"/>
      <c r="N343" s="907"/>
      <c r="O343" s="907"/>
      <c r="P343" s="907"/>
      <c r="Q343" s="907"/>
      <c r="R343" s="907"/>
      <c r="S343" s="907"/>
      <c r="T343" s="907"/>
      <c r="U343" s="907"/>
      <c r="V343" s="907"/>
      <c r="W343" s="907"/>
      <c r="X343" s="907"/>
      <c r="Y343" s="907"/>
      <c r="Z343" s="907"/>
      <c r="AA343" s="907"/>
      <c r="AB343" s="907"/>
      <c r="AC343" s="907"/>
    </row>
    <row r="344" spans="1:29">
      <c r="A344" s="907"/>
      <c r="B344" s="907"/>
      <c r="C344" s="907"/>
      <c r="D344" s="907"/>
      <c r="E344" s="907"/>
      <c r="F344" s="907"/>
      <c r="G344" s="907"/>
      <c r="H344" s="907"/>
      <c r="I344" s="907"/>
      <c r="J344" s="907"/>
      <c r="K344" s="907"/>
      <c r="L344" s="907"/>
      <c r="M344" s="907"/>
      <c r="N344" s="907"/>
      <c r="O344" s="907"/>
      <c r="P344" s="907"/>
      <c r="Q344" s="907"/>
      <c r="R344" s="907"/>
      <c r="S344" s="907"/>
      <c r="T344" s="907"/>
      <c r="U344" s="907"/>
      <c r="V344" s="907"/>
      <c r="W344" s="907"/>
      <c r="X344" s="907"/>
      <c r="Y344" s="907"/>
      <c r="Z344" s="907"/>
      <c r="AA344" s="907"/>
      <c r="AB344" s="907"/>
      <c r="AC344" s="907"/>
    </row>
    <row r="345" spans="1:29">
      <c r="A345" s="907"/>
      <c r="B345" s="907"/>
      <c r="C345" s="907"/>
      <c r="D345" s="907"/>
      <c r="E345" s="907"/>
      <c r="F345" s="907"/>
      <c r="G345" s="907"/>
      <c r="H345" s="907"/>
      <c r="I345" s="907"/>
      <c r="J345" s="907"/>
      <c r="K345" s="907"/>
      <c r="L345" s="907"/>
      <c r="M345" s="907"/>
      <c r="N345" s="907"/>
      <c r="O345" s="907"/>
      <c r="P345" s="907"/>
      <c r="Q345" s="907"/>
      <c r="R345" s="907"/>
      <c r="S345" s="907"/>
      <c r="T345" s="907"/>
      <c r="U345" s="907"/>
      <c r="V345" s="907"/>
      <c r="W345" s="907"/>
      <c r="X345" s="907"/>
      <c r="Y345" s="907"/>
      <c r="Z345" s="907"/>
      <c r="AA345" s="907"/>
      <c r="AB345" s="907"/>
      <c r="AC345" s="907"/>
    </row>
    <row r="346" spans="1:29">
      <c r="A346" s="907"/>
      <c r="B346" s="907"/>
      <c r="C346" s="907"/>
      <c r="D346" s="907"/>
      <c r="E346" s="907"/>
      <c r="F346" s="907"/>
      <c r="G346" s="907"/>
      <c r="H346" s="907"/>
      <c r="I346" s="907"/>
      <c r="J346" s="907"/>
      <c r="K346" s="907"/>
      <c r="L346" s="907"/>
      <c r="M346" s="907"/>
      <c r="N346" s="907"/>
      <c r="O346" s="907"/>
      <c r="P346" s="907"/>
      <c r="Q346" s="907"/>
      <c r="R346" s="907"/>
      <c r="S346" s="907"/>
      <c r="T346" s="907"/>
      <c r="U346" s="907"/>
      <c r="V346" s="907"/>
      <c r="W346" s="907"/>
      <c r="X346" s="907"/>
      <c r="Y346" s="907"/>
      <c r="Z346" s="907"/>
      <c r="AA346" s="907"/>
      <c r="AB346" s="907"/>
      <c r="AC346" s="907"/>
    </row>
    <row r="347" spans="1:29">
      <c r="A347" s="907"/>
      <c r="B347" s="907"/>
      <c r="C347" s="907"/>
      <c r="D347" s="907"/>
      <c r="E347" s="907"/>
      <c r="F347" s="907"/>
      <c r="G347" s="907"/>
      <c r="H347" s="907"/>
      <c r="I347" s="907"/>
      <c r="J347" s="907"/>
      <c r="K347" s="907"/>
      <c r="L347" s="907"/>
      <c r="M347" s="907"/>
      <c r="N347" s="907"/>
      <c r="O347" s="907"/>
      <c r="P347" s="907"/>
      <c r="Q347" s="907"/>
      <c r="R347" s="907"/>
      <c r="S347" s="907"/>
      <c r="T347" s="907"/>
      <c r="U347" s="907"/>
      <c r="V347" s="907"/>
      <c r="W347" s="907"/>
      <c r="X347" s="907"/>
      <c r="Y347" s="907"/>
      <c r="Z347" s="907"/>
      <c r="AA347" s="907"/>
      <c r="AB347" s="907"/>
      <c r="AC347" s="907"/>
    </row>
    <row r="348" spans="1:29">
      <c r="A348" s="907"/>
      <c r="B348" s="907"/>
      <c r="C348" s="907"/>
      <c r="D348" s="907"/>
      <c r="E348" s="907"/>
      <c r="F348" s="907"/>
      <c r="G348" s="907"/>
      <c r="H348" s="907"/>
      <c r="I348" s="907"/>
      <c r="J348" s="907"/>
      <c r="K348" s="907"/>
      <c r="L348" s="907"/>
      <c r="M348" s="907"/>
      <c r="N348" s="907"/>
      <c r="O348" s="907"/>
      <c r="P348" s="907"/>
      <c r="Q348" s="907"/>
      <c r="R348" s="907"/>
      <c r="S348" s="907"/>
      <c r="T348" s="907"/>
      <c r="U348" s="907"/>
      <c r="V348" s="907"/>
      <c r="W348" s="907"/>
      <c r="X348" s="907"/>
      <c r="Y348" s="907"/>
      <c r="Z348" s="907"/>
      <c r="AA348" s="907"/>
      <c r="AB348" s="907"/>
      <c r="AC348" s="907"/>
    </row>
    <row r="349" spans="1:29">
      <c r="A349" s="907"/>
      <c r="B349" s="907"/>
      <c r="C349" s="907"/>
      <c r="D349" s="907"/>
      <c r="E349" s="907"/>
      <c r="F349" s="907"/>
      <c r="G349" s="907"/>
      <c r="H349" s="907"/>
      <c r="I349" s="907"/>
      <c r="J349" s="907"/>
      <c r="K349" s="907"/>
      <c r="L349" s="907"/>
      <c r="M349" s="907"/>
      <c r="N349" s="907"/>
      <c r="O349" s="907"/>
      <c r="P349" s="907"/>
      <c r="Q349" s="907"/>
      <c r="R349" s="907"/>
      <c r="S349" s="907"/>
      <c r="T349" s="907"/>
      <c r="U349" s="907"/>
      <c r="V349" s="907"/>
      <c r="W349" s="907"/>
      <c r="X349" s="907"/>
      <c r="Y349" s="907"/>
      <c r="Z349" s="907"/>
      <c r="AA349" s="907"/>
      <c r="AB349" s="907"/>
      <c r="AC349" s="907"/>
    </row>
    <row r="350" spans="1:29">
      <c r="A350" s="907"/>
      <c r="B350" s="907"/>
      <c r="C350" s="907"/>
      <c r="D350" s="907"/>
      <c r="E350" s="907"/>
      <c r="F350" s="907"/>
      <c r="G350" s="907"/>
      <c r="H350" s="907"/>
      <c r="I350" s="907"/>
      <c r="J350" s="907"/>
      <c r="K350" s="907"/>
      <c r="L350" s="907"/>
      <c r="M350" s="907"/>
      <c r="N350" s="907"/>
      <c r="O350" s="907"/>
      <c r="P350" s="907"/>
      <c r="Q350" s="907"/>
      <c r="R350" s="907"/>
      <c r="S350" s="907"/>
      <c r="T350" s="907"/>
      <c r="U350" s="907"/>
      <c r="V350" s="907"/>
      <c r="W350" s="907"/>
      <c r="X350" s="907"/>
      <c r="Y350" s="907"/>
      <c r="Z350" s="907"/>
      <c r="AA350" s="907"/>
      <c r="AB350" s="907"/>
      <c r="AC350" s="907"/>
    </row>
    <row r="351" spans="1:29">
      <c r="A351" s="907"/>
      <c r="B351" s="907"/>
      <c r="C351" s="907"/>
      <c r="D351" s="907"/>
      <c r="E351" s="907"/>
      <c r="F351" s="907"/>
      <c r="G351" s="907"/>
      <c r="H351" s="907"/>
      <c r="I351" s="907"/>
      <c r="J351" s="907"/>
      <c r="K351" s="907"/>
      <c r="L351" s="907"/>
      <c r="M351" s="907"/>
      <c r="N351" s="907"/>
      <c r="O351" s="907"/>
      <c r="P351" s="907"/>
      <c r="Q351" s="907"/>
      <c r="R351" s="907"/>
      <c r="S351" s="907"/>
      <c r="T351" s="907"/>
      <c r="U351" s="907"/>
      <c r="V351" s="907"/>
      <c r="W351" s="907"/>
      <c r="X351" s="907"/>
      <c r="Y351" s="907"/>
      <c r="Z351" s="907"/>
      <c r="AA351" s="907"/>
      <c r="AB351" s="907"/>
      <c r="AC351" s="907"/>
    </row>
    <row r="352" spans="1:29">
      <c r="A352" s="907"/>
      <c r="B352" s="907"/>
      <c r="C352" s="907"/>
      <c r="D352" s="907"/>
      <c r="E352" s="907"/>
      <c r="F352" s="907"/>
      <c r="G352" s="907"/>
      <c r="H352" s="907"/>
      <c r="I352" s="907"/>
      <c r="J352" s="907"/>
      <c r="K352" s="907"/>
      <c r="L352" s="907"/>
      <c r="M352" s="907"/>
      <c r="N352" s="907"/>
      <c r="O352" s="907"/>
      <c r="P352" s="907"/>
      <c r="Q352" s="907"/>
      <c r="R352" s="907"/>
      <c r="S352" s="907"/>
      <c r="T352" s="907"/>
      <c r="U352" s="907"/>
      <c r="V352" s="907"/>
      <c r="W352" s="907"/>
      <c r="X352" s="907"/>
      <c r="Y352" s="907"/>
      <c r="Z352" s="907"/>
      <c r="AA352" s="907"/>
      <c r="AB352" s="907"/>
      <c r="AC352" s="907"/>
    </row>
    <row r="353" spans="1:29">
      <c r="A353" s="907"/>
      <c r="B353" s="907"/>
      <c r="C353" s="907"/>
      <c r="D353" s="907"/>
      <c r="E353" s="907"/>
      <c r="F353" s="907"/>
      <c r="G353" s="907"/>
      <c r="H353" s="907"/>
      <c r="I353" s="907"/>
      <c r="J353" s="907"/>
      <c r="K353" s="907"/>
      <c r="L353" s="907"/>
      <c r="M353" s="907"/>
      <c r="N353" s="907"/>
      <c r="O353" s="907"/>
      <c r="P353" s="907"/>
      <c r="Q353" s="907"/>
      <c r="R353" s="907"/>
      <c r="S353" s="907"/>
      <c r="T353" s="907"/>
      <c r="U353" s="907"/>
      <c r="V353" s="907"/>
      <c r="W353" s="907"/>
      <c r="X353" s="907"/>
      <c r="Y353" s="907"/>
      <c r="Z353" s="907"/>
      <c r="AA353" s="907"/>
      <c r="AB353" s="907"/>
      <c r="AC353" s="907"/>
    </row>
    <row r="354" spans="1:29">
      <c r="A354" s="907"/>
      <c r="B354" s="907"/>
      <c r="C354" s="907"/>
      <c r="D354" s="907"/>
      <c r="E354" s="907"/>
      <c r="F354" s="907"/>
      <c r="G354" s="907"/>
      <c r="H354" s="907"/>
      <c r="I354" s="907"/>
      <c r="J354" s="907"/>
      <c r="K354" s="907"/>
      <c r="L354" s="907"/>
      <c r="M354" s="907"/>
      <c r="N354" s="907"/>
      <c r="O354" s="907"/>
      <c r="P354" s="907"/>
      <c r="Q354" s="907"/>
      <c r="R354" s="907"/>
      <c r="S354" s="907"/>
      <c r="T354" s="907"/>
      <c r="U354" s="907"/>
      <c r="V354" s="907"/>
      <c r="W354" s="907"/>
      <c r="X354" s="907"/>
      <c r="Y354" s="907"/>
      <c r="Z354" s="907"/>
      <c r="AA354" s="907"/>
      <c r="AB354" s="907"/>
      <c r="AC354" s="907"/>
    </row>
    <row r="355" spans="1:29">
      <c r="A355" s="907"/>
      <c r="B355" s="907"/>
      <c r="C355" s="907"/>
      <c r="D355" s="907"/>
      <c r="E355" s="907"/>
      <c r="F355" s="907"/>
      <c r="G355" s="907"/>
      <c r="H355" s="907"/>
      <c r="I355" s="907"/>
      <c r="J355" s="907"/>
      <c r="K355" s="907"/>
      <c r="L355" s="907"/>
      <c r="M355" s="907"/>
      <c r="N355" s="907"/>
      <c r="O355" s="907"/>
      <c r="P355" s="907"/>
      <c r="Q355" s="907"/>
      <c r="R355" s="907"/>
      <c r="S355" s="907"/>
      <c r="T355" s="907"/>
      <c r="U355" s="907"/>
      <c r="V355" s="907"/>
      <c r="W355" s="907"/>
      <c r="X355" s="907"/>
      <c r="Y355" s="907"/>
      <c r="Z355" s="907"/>
      <c r="AA355" s="907"/>
      <c r="AB355" s="907"/>
      <c r="AC355" s="907"/>
    </row>
    <row r="356" spans="1:29">
      <c r="A356" s="907"/>
      <c r="B356" s="907"/>
      <c r="C356" s="907"/>
      <c r="D356" s="907"/>
      <c r="E356" s="907"/>
      <c r="F356" s="907"/>
      <c r="G356" s="907"/>
      <c r="H356" s="907"/>
      <c r="I356" s="907"/>
      <c r="J356" s="907"/>
      <c r="K356" s="907"/>
      <c r="L356" s="907"/>
      <c r="M356" s="907"/>
      <c r="N356" s="907"/>
      <c r="O356" s="907"/>
      <c r="P356" s="907"/>
      <c r="Q356" s="907"/>
      <c r="R356" s="907"/>
      <c r="S356" s="907"/>
      <c r="T356" s="907"/>
      <c r="U356" s="907"/>
      <c r="V356" s="907"/>
      <c r="W356" s="907"/>
      <c r="X356" s="907"/>
      <c r="Y356" s="907"/>
      <c r="Z356" s="907"/>
      <c r="AA356" s="907"/>
      <c r="AB356" s="907"/>
      <c r="AC356" s="907"/>
    </row>
    <row r="357" spans="1:29">
      <c r="A357" s="907"/>
      <c r="B357" s="907"/>
      <c r="C357" s="907"/>
      <c r="D357" s="907"/>
      <c r="E357" s="907"/>
      <c r="F357" s="907"/>
      <c r="G357" s="907"/>
      <c r="H357" s="907"/>
      <c r="I357" s="907"/>
      <c r="J357" s="907"/>
      <c r="K357" s="907"/>
      <c r="L357" s="907"/>
      <c r="M357" s="907"/>
      <c r="N357" s="907"/>
      <c r="O357" s="907"/>
      <c r="P357" s="907"/>
      <c r="Q357" s="907"/>
      <c r="R357" s="907"/>
      <c r="S357" s="907"/>
      <c r="T357" s="907"/>
      <c r="U357" s="907"/>
      <c r="V357" s="907"/>
      <c r="W357" s="907"/>
      <c r="X357" s="907"/>
      <c r="Y357" s="907"/>
      <c r="Z357" s="907"/>
      <c r="AA357" s="907"/>
      <c r="AB357" s="907"/>
      <c r="AC357" s="907"/>
    </row>
    <row r="358" spans="1:29">
      <c r="A358" s="907"/>
      <c r="B358" s="907"/>
      <c r="C358" s="907"/>
      <c r="D358" s="907"/>
      <c r="E358" s="907"/>
      <c r="F358" s="907"/>
      <c r="G358" s="907"/>
      <c r="H358" s="907"/>
      <c r="I358" s="907"/>
      <c r="J358" s="907"/>
      <c r="K358" s="907"/>
      <c r="L358" s="907"/>
      <c r="M358" s="907"/>
      <c r="N358" s="907"/>
      <c r="O358" s="907"/>
      <c r="P358" s="907"/>
      <c r="Q358" s="907"/>
      <c r="R358" s="907"/>
      <c r="S358" s="907"/>
      <c r="T358" s="907"/>
      <c r="U358" s="907"/>
      <c r="V358" s="907"/>
      <c r="W358" s="907"/>
      <c r="X358" s="907"/>
      <c r="Y358" s="907"/>
      <c r="Z358" s="907"/>
      <c r="AA358" s="907"/>
      <c r="AB358" s="907"/>
      <c r="AC358" s="907"/>
    </row>
    <row r="359" spans="1:29">
      <c r="A359" s="907"/>
      <c r="B359" s="907"/>
      <c r="C359" s="907"/>
      <c r="D359" s="907"/>
      <c r="E359" s="907"/>
      <c r="F359" s="907"/>
      <c r="G359" s="907"/>
      <c r="H359" s="907"/>
      <c r="I359" s="907"/>
      <c r="J359" s="907"/>
      <c r="K359" s="907"/>
      <c r="L359" s="907"/>
      <c r="M359" s="907"/>
      <c r="N359" s="907"/>
      <c r="O359" s="907"/>
      <c r="P359" s="907"/>
      <c r="Q359" s="907"/>
      <c r="R359" s="907"/>
      <c r="S359" s="907"/>
      <c r="T359" s="907"/>
      <c r="U359" s="907"/>
      <c r="V359" s="907"/>
      <c r="W359" s="907"/>
      <c r="X359" s="907"/>
      <c r="Y359" s="907"/>
      <c r="Z359" s="907"/>
      <c r="AA359" s="907"/>
      <c r="AB359" s="907"/>
      <c r="AC359" s="907"/>
    </row>
    <row r="360" spans="1:29">
      <c r="A360" s="907"/>
      <c r="B360" s="907"/>
      <c r="C360" s="907"/>
      <c r="D360" s="907"/>
      <c r="E360" s="907"/>
      <c r="F360" s="907"/>
      <c r="G360" s="907"/>
      <c r="H360" s="907"/>
      <c r="I360" s="907"/>
      <c r="J360" s="907"/>
      <c r="K360" s="907"/>
      <c r="L360" s="907"/>
      <c r="M360" s="907"/>
      <c r="N360" s="907"/>
      <c r="O360" s="907"/>
      <c r="P360" s="907"/>
      <c r="Q360" s="907"/>
      <c r="R360" s="907"/>
      <c r="S360" s="907"/>
      <c r="T360" s="907"/>
      <c r="U360" s="907"/>
      <c r="V360" s="907"/>
      <c r="W360" s="907"/>
      <c r="X360" s="907"/>
      <c r="Y360" s="907"/>
      <c r="Z360" s="907"/>
      <c r="AA360" s="907"/>
      <c r="AB360" s="907"/>
      <c r="AC360" s="907"/>
    </row>
    <row r="361" spans="1:29">
      <c r="A361" s="907"/>
      <c r="B361" s="907"/>
      <c r="C361" s="907"/>
      <c r="D361" s="907"/>
      <c r="E361" s="907"/>
      <c r="F361" s="907"/>
      <c r="G361" s="907"/>
      <c r="H361" s="907"/>
      <c r="I361" s="907"/>
      <c r="J361" s="907"/>
      <c r="K361" s="907"/>
      <c r="L361" s="907"/>
      <c r="M361" s="907"/>
      <c r="N361" s="907"/>
      <c r="O361" s="907"/>
      <c r="P361" s="907"/>
      <c r="Q361" s="907"/>
      <c r="R361" s="907"/>
      <c r="S361" s="907"/>
      <c r="T361" s="907"/>
      <c r="U361" s="907"/>
      <c r="V361" s="907"/>
      <c r="W361" s="907"/>
      <c r="X361" s="907"/>
      <c r="Y361" s="907"/>
      <c r="Z361" s="907"/>
      <c r="AA361" s="907"/>
      <c r="AB361" s="907"/>
      <c r="AC361" s="907"/>
    </row>
    <row r="362" spans="1:29">
      <c r="A362" s="907"/>
      <c r="B362" s="907"/>
      <c r="C362" s="907"/>
      <c r="D362" s="907"/>
      <c r="E362" s="907"/>
      <c r="F362" s="907"/>
      <c r="G362" s="907"/>
      <c r="H362" s="907"/>
      <c r="I362" s="907"/>
      <c r="J362" s="907"/>
      <c r="K362" s="907"/>
      <c r="L362" s="907"/>
      <c r="M362" s="907"/>
      <c r="N362" s="907"/>
      <c r="O362" s="907"/>
      <c r="P362" s="907"/>
      <c r="Q362" s="907"/>
      <c r="R362" s="907"/>
      <c r="S362" s="907"/>
      <c r="T362" s="907"/>
      <c r="U362" s="907"/>
      <c r="V362" s="907"/>
      <c r="W362" s="907"/>
      <c r="X362" s="907"/>
      <c r="Y362" s="907"/>
      <c r="Z362" s="907"/>
      <c r="AA362" s="907"/>
      <c r="AB362" s="907"/>
      <c r="AC362" s="907"/>
    </row>
    <row r="363" spans="1:29">
      <c r="A363" s="907"/>
      <c r="B363" s="907"/>
      <c r="C363" s="907"/>
      <c r="D363" s="907"/>
      <c r="E363" s="907"/>
      <c r="F363" s="907"/>
      <c r="G363" s="907"/>
      <c r="H363" s="907"/>
      <c r="I363" s="907"/>
      <c r="J363" s="907"/>
      <c r="K363" s="907"/>
      <c r="L363" s="907"/>
      <c r="M363" s="907"/>
      <c r="N363" s="907"/>
      <c r="O363" s="907"/>
      <c r="P363" s="907"/>
      <c r="Q363" s="907"/>
      <c r="R363" s="907"/>
      <c r="S363" s="907"/>
      <c r="T363" s="907"/>
      <c r="U363" s="907"/>
      <c r="V363" s="907"/>
      <c r="W363" s="907"/>
      <c r="X363" s="907"/>
      <c r="Y363" s="907"/>
      <c r="Z363" s="907"/>
      <c r="AA363" s="907"/>
      <c r="AB363" s="907"/>
      <c r="AC363" s="907"/>
    </row>
    <row r="364" spans="1:29">
      <c r="A364" s="907"/>
      <c r="B364" s="907"/>
      <c r="C364" s="907"/>
      <c r="D364" s="907"/>
      <c r="E364" s="907"/>
      <c r="F364" s="907"/>
      <c r="G364" s="907"/>
      <c r="H364" s="907"/>
      <c r="I364" s="907"/>
      <c r="J364" s="907"/>
      <c r="K364" s="907"/>
      <c r="L364" s="907"/>
      <c r="M364" s="907"/>
      <c r="N364" s="907"/>
      <c r="O364" s="907"/>
      <c r="P364" s="907"/>
      <c r="Q364" s="907"/>
      <c r="R364" s="907"/>
      <c r="S364" s="907"/>
      <c r="T364" s="907"/>
      <c r="U364" s="907"/>
      <c r="V364" s="907"/>
      <c r="W364" s="907"/>
      <c r="X364" s="907"/>
      <c r="Y364" s="907"/>
      <c r="Z364" s="907"/>
      <c r="AA364" s="907"/>
      <c r="AB364" s="907"/>
      <c r="AC364" s="907"/>
    </row>
    <row r="365" spans="1:29">
      <c r="A365" s="907"/>
      <c r="B365" s="907"/>
      <c r="C365" s="907"/>
      <c r="D365" s="907"/>
      <c r="E365" s="907"/>
      <c r="F365" s="907"/>
      <c r="G365" s="907"/>
      <c r="H365" s="907"/>
      <c r="I365" s="907"/>
      <c r="J365" s="907"/>
      <c r="K365" s="907"/>
      <c r="L365" s="907"/>
      <c r="M365" s="907"/>
      <c r="N365" s="907"/>
      <c r="O365" s="907"/>
      <c r="P365" s="907"/>
      <c r="Q365" s="907"/>
      <c r="R365" s="907"/>
      <c r="S365" s="907"/>
      <c r="T365" s="907"/>
      <c r="U365" s="907"/>
      <c r="V365" s="907"/>
      <c r="W365" s="907"/>
      <c r="X365" s="907"/>
      <c r="Y365" s="907"/>
      <c r="Z365" s="907"/>
      <c r="AA365" s="907"/>
      <c r="AB365" s="907"/>
      <c r="AC365" s="907"/>
    </row>
    <row r="366" spans="1:29">
      <c r="A366" s="907"/>
      <c r="B366" s="907"/>
      <c r="C366" s="907"/>
      <c r="D366" s="907"/>
      <c r="E366" s="907"/>
      <c r="F366" s="907"/>
      <c r="G366" s="907"/>
      <c r="H366" s="907"/>
      <c r="I366" s="907"/>
      <c r="J366" s="907"/>
      <c r="K366" s="907"/>
      <c r="L366" s="907"/>
      <c r="M366" s="907"/>
      <c r="N366" s="907"/>
      <c r="O366" s="907"/>
      <c r="P366" s="907"/>
      <c r="Q366" s="907"/>
      <c r="R366" s="907"/>
      <c r="S366" s="907"/>
      <c r="T366" s="907"/>
      <c r="U366" s="907"/>
      <c r="V366" s="907"/>
      <c r="W366" s="907"/>
      <c r="X366" s="907"/>
      <c r="Y366" s="907"/>
      <c r="Z366" s="907"/>
      <c r="AA366" s="907"/>
      <c r="AB366" s="907"/>
      <c r="AC366" s="907"/>
    </row>
    <row r="367" spans="1:29">
      <c r="A367" s="907"/>
      <c r="B367" s="907"/>
      <c r="C367" s="907"/>
      <c r="D367" s="907"/>
      <c r="E367" s="907"/>
      <c r="F367" s="907"/>
      <c r="G367" s="907"/>
      <c r="H367" s="907"/>
      <c r="I367" s="907"/>
      <c r="J367" s="907"/>
      <c r="K367" s="907"/>
      <c r="L367" s="907"/>
      <c r="M367" s="907"/>
      <c r="N367" s="907"/>
      <c r="O367" s="907"/>
      <c r="P367" s="907"/>
      <c r="Q367" s="907"/>
      <c r="R367" s="907"/>
      <c r="S367" s="907"/>
      <c r="T367" s="907"/>
      <c r="U367" s="907"/>
      <c r="V367" s="907"/>
      <c r="W367" s="907"/>
      <c r="X367" s="907"/>
      <c r="Y367" s="907"/>
      <c r="Z367" s="907"/>
      <c r="AA367" s="907"/>
      <c r="AB367" s="907"/>
      <c r="AC367" s="907"/>
    </row>
    <row r="368" spans="1:29">
      <c r="A368" s="907"/>
      <c r="B368" s="907"/>
      <c r="C368" s="907"/>
      <c r="D368" s="907"/>
      <c r="E368" s="907"/>
      <c r="F368" s="907"/>
      <c r="G368" s="907"/>
      <c r="H368" s="907"/>
      <c r="I368" s="907"/>
      <c r="J368" s="907"/>
      <c r="K368" s="907"/>
      <c r="L368" s="907"/>
      <c r="M368" s="907"/>
      <c r="N368" s="907"/>
      <c r="O368" s="907"/>
      <c r="P368" s="907"/>
      <c r="Q368" s="907"/>
      <c r="R368" s="907"/>
      <c r="S368" s="907"/>
      <c r="T368" s="907"/>
      <c r="U368" s="907"/>
      <c r="V368" s="907"/>
      <c r="W368" s="907"/>
      <c r="X368" s="907"/>
      <c r="Y368" s="907"/>
      <c r="Z368" s="907"/>
      <c r="AA368" s="907"/>
      <c r="AB368" s="907"/>
      <c r="AC368" s="907"/>
    </row>
    <row r="369" spans="1:29">
      <c r="A369" s="907"/>
      <c r="B369" s="907"/>
      <c r="C369" s="907"/>
      <c r="D369" s="907"/>
      <c r="E369" s="907"/>
      <c r="F369" s="907"/>
      <c r="G369" s="907"/>
      <c r="H369" s="907"/>
      <c r="I369" s="907"/>
      <c r="J369" s="907"/>
      <c r="K369" s="907"/>
      <c r="L369" s="907"/>
      <c r="M369" s="907"/>
      <c r="N369" s="907"/>
      <c r="O369" s="907"/>
      <c r="P369" s="907"/>
      <c r="Q369" s="907"/>
      <c r="R369" s="907"/>
      <c r="S369" s="907"/>
      <c r="T369" s="907"/>
      <c r="U369" s="907"/>
      <c r="V369" s="907"/>
      <c r="W369" s="907"/>
      <c r="X369" s="907"/>
      <c r="Y369" s="907"/>
      <c r="Z369" s="907"/>
      <c r="AA369" s="907"/>
      <c r="AB369" s="907"/>
      <c r="AC369" s="907"/>
    </row>
    <row r="370" spans="1:29">
      <c r="A370" s="907"/>
      <c r="B370" s="907"/>
      <c r="C370" s="907"/>
      <c r="D370" s="907"/>
      <c r="E370" s="907"/>
      <c r="F370" s="907"/>
      <c r="G370" s="907"/>
      <c r="H370" s="907"/>
      <c r="I370" s="907"/>
      <c r="J370" s="907"/>
      <c r="K370" s="907"/>
      <c r="L370" s="907"/>
      <c r="M370" s="907"/>
      <c r="N370" s="907"/>
      <c r="O370" s="907"/>
      <c r="P370" s="907"/>
      <c r="Q370" s="907"/>
      <c r="R370" s="907"/>
      <c r="S370" s="907"/>
      <c r="T370" s="907"/>
      <c r="U370" s="907"/>
      <c r="V370" s="907"/>
      <c r="W370" s="907"/>
      <c r="X370" s="907"/>
      <c r="Y370" s="907"/>
      <c r="Z370" s="907"/>
      <c r="AA370" s="907"/>
      <c r="AB370" s="907"/>
      <c r="AC370" s="907"/>
    </row>
    <row r="371" spans="1:29">
      <c r="A371" s="907"/>
      <c r="B371" s="907"/>
      <c r="C371" s="907"/>
      <c r="D371" s="907"/>
      <c r="E371" s="907"/>
      <c r="F371" s="907"/>
      <c r="G371" s="907"/>
      <c r="H371" s="907"/>
      <c r="I371" s="907"/>
      <c r="J371" s="907"/>
      <c r="K371" s="907"/>
      <c r="L371" s="907"/>
      <c r="M371" s="907"/>
      <c r="N371" s="907"/>
      <c r="O371" s="907"/>
      <c r="P371" s="907"/>
      <c r="Q371" s="907"/>
      <c r="R371" s="907"/>
      <c r="S371" s="907"/>
      <c r="T371" s="907"/>
      <c r="U371" s="907"/>
      <c r="V371" s="907"/>
      <c r="W371" s="907"/>
      <c r="X371" s="907"/>
      <c r="Y371" s="907"/>
      <c r="Z371" s="907"/>
      <c r="AA371" s="907"/>
      <c r="AB371" s="907"/>
      <c r="AC371" s="907"/>
    </row>
    <row r="372" spans="1:29">
      <c r="A372" s="907"/>
      <c r="B372" s="907"/>
      <c r="C372" s="907"/>
      <c r="D372" s="907"/>
      <c r="E372" s="907"/>
      <c r="F372" s="907"/>
      <c r="G372" s="907"/>
      <c r="H372" s="907"/>
      <c r="I372" s="907"/>
      <c r="J372" s="907"/>
      <c r="K372" s="907"/>
      <c r="L372" s="907"/>
      <c r="M372" s="907"/>
      <c r="N372" s="907"/>
      <c r="O372" s="907"/>
      <c r="P372" s="907"/>
      <c r="Q372" s="907"/>
      <c r="R372" s="907"/>
      <c r="S372" s="907"/>
      <c r="T372" s="907"/>
      <c r="U372" s="907"/>
      <c r="V372" s="907"/>
      <c r="W372" s="907"/>
      <c r="X372" s="907"/>
      <c r="Y372" s="907"/>
      <c r="Z372" s="907"/>
      <c r="AA372" s="907"/>
      <c r="AB372" s="907"/>
      <c r="AC372" s="907"/>
    </row>
    <row r="373" spans="1:29">
      <c r="A373" s="907"/>
      <c r="B373" s="907"/>
      <c r="C373" s="907"/>
      <c r="D373" s="907"/>
      <c r="E373" s="907"/>
      <c r="F373" s="907"/>
      <c r="G373" s="907"/>
      <c r="H373" s="907"/>
      <c r="I373" s="907"/>
      <c r="J373" s="907"/>
      <c r="K373" s="907"/>
      <c r="L373" s="907"/>
      <c r="M373" s="907"/>
      <c r="N373" s="907"/>
      <c r="O373" s="907"/>
      <c r="P373" s="907"/>
      <c r="Q373" s="907"/>
      <c r="R373" s="907"/>
      <c r="S373" s="907"/>
      <c r="T373" s="907"/>
      <c r="U373" s="907"/>
      <c r="V373" s="907"/>
      <c r="W373" s="907"/>
      <c r="X373" s="907"/>
      <c r="Y373" s="907"/>
      <c r="Z373" s="907"/>
      <c r="AA373" s="907"/>
      <c r="AB373" s="907"/>
      <c r="AC373" s="907"/>
    </row>
    <row r="374" spans="1:29">
      <c r="A374" s="907"/>
      <c r="B374" s="907"/>
      <c r="C374" s="907"/>
      <c r="D374" s="907"/>
      <c r="E374" s="907"/>
      <c r="F374" s="907"/>
      <c r="G374" s="907"/>
      <c r="H374" s="907"/>
      <c r="I374" s="907"/>
      <c r="J374" s="907"/>
      <c r="K374" s="907"/>
      <c r="L374" s="907"/>
      <c r="M374" s="907"/>
      <c r="N374" s="907"/>
      <c r="O374" s="907"/>
      <c r="P374" s="907"/>
      <c r="Q374" s="907"/>
      <c r="R374" s="907"/>
      <c r="S374" s="907"/>
      <c r="T374" s="907"/>
      <c r="U374" s="907"/>
      <c r="V374" s="907"/>
      <c r="W374" s="907"/>
      <c r="X374" s="907"/>
      <c r="Y374" s="907"/>
      <c r="Z374" s="907"/>
      <c r="AA374" s="907"/>
      <c r="AB374" s="907"/>
      <c r="AC374" s="907"/>
    </row>
    <row r="375" spans="1:29">
      <c r="A375" s="907"/>
      <c r="B375" s="907"/>
      <c r="C375" s="907"/>
      <c r="D375" s="907"/>
      <c r="E375" s="907"/>
      <c r="F375" s="907"/>
      <c r="G375" s="907"/>
      <c r="H375" s="907"/>
      <c r="I375" s="907"/>
      <c r="J375" s="907"/>
      <c r="K375" s="907"/>
      <c r="L375" s="907"/>
      <c r="M375" s="907"/>
      <c r="N375" s="907"/>
      <c r="O375" s="907"/>
      <c r="P375" s="907"/>
      <c r="Q375" s="907"/>
      <c r="R375" s="907"/>
      <c r="S375" s="907"/>
      <c r="T375" s="907"/>
      <c r="U375" s="907"/>
      <c r="V375" s="907"/>
      <c r="W375" s="907"/>
      <c r="X375" s="907"/>
      <c r="Y375" s="907"/>
      <c r="Z375" s="907"/>
      <c r="AA375" s="907"/>
      <c r="AB375" s="907"/>
      <c r="AC375" s="907"/>
    </row>
    <row r="376" spans="1:29">
      <c r="A376" s="907"/>
      <c r="B376" s="907"/>
      <c r="C376" s="907"/>
      <c r="D376" s="907"/>
      <c r="E376" s="907"/>
      <c r="F376" s="907"/>
      <c r="G376" s="907"/>
      <c r="H376" s="907"/>
      <c r="I376" s="907"/>
      <c r="J376" s="907"/>
      <c r="K376" s="907"/>
      <c r="L376" s="907"/>
      <c r="M376" s="907"/>
      <c r="N376" s="907"/>
      <c r="O376" s="907"/>
      <c r="P376" s="907"/>
      <c r="Q376" s="907"/>
      <c r="R376" s="907"/>
      <c r="S376" s="907"/>
      <c r="T376" s="907"/>
      <c r="U376" s="907"/>
      <c r="V376" s="907"/>
      <c r="W376" s="907"/>
      <c r="X376" s="907"/>
      <c r="Y376" s="907"/>
      <c r="Z376" s="907"/>
      <c r="AA376" s="907"/>
      <c r="AB376" s="907"/>
      <c r="AC376" s="907"/>
    </row>
    <row r="377" spans="1:29">
      <c r="A377" s="907"/>
      <c r="B377" s="907"/>
      <c r="C377" s="907"/>
      <c r="D377" s="907"/>
      <c r="E377" s="907"/>
      <c r="F377" s="907"/>
      <c r="G377" s="907"/>
      <c r="H377" s="907"/>
      <c r="I377" s="907"/>
      <c r="J377" s="907"/>
      <c r="K377" s="907"/>
      <c r="L377" s="907"/>
      <c r="M377" s="907"/>
      <c r="N377" s="907"/>
      <c r="O377" s="907"/>
      <c r="P377" s="907"/>
      <c r="Q377" s="907"/>
      <c r="R377" s="907"/>
      <c r="S377" s="907"/>
      <c r="T377" s="907"/>
      <c r="U377" s="907"/>
      <c r="V377" s="907"/>
      <c r="W377" s="907"/>
      <c r="X377" s="907"/>
      <c r="Y377" s="907"/>
      <c r="Z377" s="907"/>
      <c r="AA377" s="907"/>
      <c r="AB377" s="907"/>
      <c r="AC377" s="907"/>
    </row>
    <row r="378" spans="1:29">
      <c r="A378" s="907"/>
      <c r="B378" s="907"/>
      <c r="C378" s="907"/>
      <c r="D378" s="907"/>
      <c r="E378" s="907"/>
      <c r="F378" s="907"/>
      <c r="G378" s="907"/>
      <c r="H378" s="907"/>
      <c r="I378" s="907"/>
      <c r="J378" s="907"/>
      <c r="K378" s="907"/>
      <c r="L378" s="907"/>
      <c r="M378" s="907"/>
      <c r="N378" s="907"/>
      <c r="O378" s="907"/>
      <c r="P378" s="907"/>
      <c r="Q378" s="907"/>
      <c r="R378" s="907"/>
      <c r="S378" s="907"/>
      <c r="T378" s="907"/>
      <c r="U378" s="907"/>
      <c r="V378" s="907"/>
      <c r="W378" s="907"/>
      <c r="X378" s="907"/>
      <c r="Y378" s="907"/>
      <c r="Z378" s="907"/>
      <c r="AA378" s="907"/>
      <c r="AB378" s="907"/>
      <c r="AC378" s="907"/>
    </row>
    <row r="379" spans="1:29">
      <c r="A379" s="907"/>
      <c r="B379" s="907"/>
      <c r="C379" s="907"/>
      <c r="D379" s="907"/>
      <c r="E379" s="907"/>
      <c r="F379" s="907"/>
      <c r="G379" s="907"/>
      <c r="H379" s="907"/>
      <c r="I379" s="907"/>
      <c r="J379" s="907"/>
      <c r="K379" s="907"/>
      <c r="L379" s="907"/>
      <c r="M379" s="907"/>
      <c r="N379" s="907"/>
      <c r="O379" s="907"/>
      <c r="P379" s="907"/>
      <c r="Q379" s="907"/>
      <c r="R379" s="907"/>
      <c r="S379" s="907"/>
      <c r="T379" s="907"/>
      <c r="U379" s="907"/>
      <c r="V379" s="907"/>
      <c r="W379" s="907"/>
      <c r="X379" s="907"/>
      <c r="Y379" s="907"/>
      <c r="Z379" s="907"/>
      <c r="AA379" s="907"/>
      <c r="AB379" s="907"/>
      <c r="AC379" s="907"/>
    </row>
    <row r="380" spans="1:29">
      <c r="A380" s="907"/>
      <c r="B380" s="907"/>
      <c r="C380" s="907"/>
      <c r="D380" s="907"/>
      <c r="E380" s="907"/>
      <c r="F380" s="907"/>
      <c r="G380" s="907"/>
      <c r="H380" s="907"/>
      <c r="I380" s="907"/>
      <c r="J380" s="907"/>
      <c r="K380" s="907"/>
      <c r="L380" s="907"/>
      <c r="M380" s="907"/>
      <c r="N380" s="907"/>
      <c r="O380" s="907"/>
      <c r="P380" s="907"/>
      <c r="Q380" s="907"/>
      <c r="R380" s="907"/>
      <c r="S380" s="907"/>
      <c r="T380" s="907"/>
      <c r="U380" s="907"/>
      <c r="V380" s="907"/>
      <c r="W380" s="907"/>
      <c r="X380" s="907"/>
      <c r="Y380" s="907"/>
      <c r="Z380" s="907"/>
      <c r="AA380" s="907"/>
      <c r="AB380" s="907"/>
      <c r="AC380" s="907"/>
    </row>
    <row r="381" spans="1:29">
      <c r="A381" s="907"/>
      <c r="B381" s="907"/>
      <c r="C381" s="907"/>
      <c r="D381" s="907"/>
      <c r="E381" s="907"/>
      <c r="F381" s="907"/>
      <c r="G381" s="907"/>
      <c r="H381" s="907"/>
      <c r="I381" s="907"/>
      <c r="J381" s="907"/>
      <c r="K381" s="907"/>
      <c r="L381" s="907"/>
      <c r="M381" s="907"/>
      <c r="N381" s="907"/>
      <c r="O381" s="907"/>
      <c r="P381" s="907"/>
      <c r="Q381" s="907"/>
      <c r="R381" s="907"/>
      <c r="S381" s="907"/>
      <c r="T381" s="907"/>
      <c r="U381" s="907"/>
      <c r="V381" s="907"/>
      <c r="W381" s="907"/>
      <c r="X381" s="907"/>
      <c r="Y381" s="907"/>
      <c r="Z381" s="907"/>
      <c r="AA381" s="907"/>
      <c r="AB381" s="907"/>
      <c r="AC381" s="907"/>
    </row>
    <row r="382" spans="1:29">
      <c r="A382" s="907"/>
      <c r="B382" s="907"/>
      <c r="C382" s="907"/>
      <c r="D382" s="907"/>
      <c r="E382" s="907"/>
      <c r="F382" s="907"/>
      <c r="G382" s="907"/>
      <c r="H382" s="907"/>
      <c r="I382" s="907"/>
      <c r="J382" s="907"/>
      <c r="K382" s="907"/>
      <c r="L382" s="907"/>
      <c r="M382" s="907"/>
      <c r="N382" s="907"/>
      <c r="O382" s="907"/>
      <c r="P382" s="907"/>
      <c r="Q382" s="907"/>
      <c r="R382" s="907"/>
      <c r="S382" s="907"/>
      <c r="T382" s="907"/>
      <c r="U382" s="907"/>
      <c r="V382" s="907"/>
      <c r="W382" s="907"/>
      <c r="X382" s="907"/>
      <c r="Y382" s="907"/>
      <c r="Z382" s="907"/>
      <c r="AA382" s="907"/>
      <c r="AB382" s="907"/>
      <c r="AC382" s="907"/>
    </row>
    <row r="383" spans="1:29">
      <c r="A383" s="907"/>
      <c r="B383" s="907"/>
      <c r="C383" s="907"/>
      <c r="D383" s="907"/>
      <c r="E383" s="907"/>
      <c r="F383" s="907"/>
      <c r="G383" s="907"/>
      <c r="H383" s="907"/>
      <c r="I383" s="907"/>
      <c r="J383" s="907"/>
      <c r="K383" s="907"/>
      <c r="L383" s="907"/>
      <c r="M383" s="907"/>
      <c r="N383" s="907"/>
      <c r="O383" s="907"/>
      <c r="P383" s="907"/>
      <c r="Q383" s="907"/>
      <c r="R383" s="907"/>
      <c r="S383" s="907"/>
      <c r="T383" s="907"/>
      <c r="U383" s="907"/>
      <c r="V383" s="907"/>
      <c r="W383" s="907"/>
      <c r="X383" s="907"/>
      <c r="Y383" s="907"/>
      <c r="Z383" s="907"/>
      <c r="AA383" s="907"/>
      <c r="AB383" s="907"/>
      <c r="AC383" s="907"/>
    </row>
    <row r="384" spans="1:29">
      <c r="A384" s="907"/>
      <c r="B384" s="907"/>
      <c r="C384" s="907"/>
      <c r="D384" s="907"/>
      <c r="E384" s="907"/>
      <c r="F384" s="907"/>
      <c r="G384" s="907"/>
      <c r="H384" s="907"/>
      <c r="I384" s="907"/>
      <c r="J384" s="907"/>
      <c r="K384" s="907"/>
      <c r="L384" s="907"/>
      <c r="M384" s="907"/>
      <c r="N384" s="907"/>
      <c r="O384" s="907"/>
      <c r="P384" s="907"/>
      <c r="Q384" s="907"/>
      <c r="R384" s="907"/>
      <c r="S384" s="907"/>
      <c r="T384" s="907"/>
      <c r="U384" s="907"/>
      <c r="V384" s="907"/>
      <c r="W384" s="907"/>
      <c r="X384" s="907"/>
      <c r="Y384" s="907"/>
      <c r="Z384" s="907"/>
      <c r="AA384" s="907"/>
      <c r="AB384" s="907"/>
      <c r="AC384" s="907"/>
    </row>
    <row r="385" spans="1:29">
      <c r="A385" s="907"/>
      <c r="B385" s="907"/>
      <c r="C385" s="907"/>
      <c r="D385" s="907"/>
      <c r="E385" s="907"/>
      <c r="F385" s="907"/>
      <c r="G385" s="907"/>
      <c r="H385" s="907"/>
      <c r="I385" s="907"/>
      <c r="J385" s="907"/>
      <c r="K385" s="907"/>
      <c r="L385" s="907"/>
      <c r="M385" s="907"/>
      <c r="N385" s="907"/>
      <c r="O385" s="907"/>
      <c r="P385" s="907"/>
      <c r="Q385" s="907"/>
      <c r="R385" s="907"/>
      <c r="S385" s="907"/>
      <c r="T385" s="907"/>
      <c r="U385" s="907"/>
      <c r="V385" s="907"/>
      <c r="W385" s="907"/>
      <c r="X385" s="907"/>
      <c r="Y385" s="907"/>
      <c r="Z385" s="907"/>
      <c r="AA385" s="907"/>
      <c r="AB385" s="907"/>
      <c r="AC385" s="907"/>
    </row>
    <row r="386" spans="1:29">
      <c r="A386" s="907"/>
      <c r="B386" s="907"/>
      <c r="C386" s="907"/>
      <c r="D386" s="907"/>
      <c r="E386" s="907"/>
      <c r="F386" s="907"/>
      <c r="G386" s="907"/>
      <c r="H386" s="907"/>
      <c r="I386" s="907"/>
      <c r="J386" s="907"/>
      <c r="K386" s="907"/>
      <c r="L386" s="907"/>
      <c r="M386" s="907"/>
      <c r="N386" s="907"/>
      <c r="O386" s="907"/>
      <c r="P386" s="907"/>
      <c r="Q386" s="907"/>
      <c r="R386" s="907"/>
      <c r="S386" s="907"/>
      <c r="T386" s="907"/>
      <c r="U386" s="907"/>
      <c r="V386" s="907"/>
      <c r="W386" s="907"/>
      <c r="X386" s="907"/>
      <c r="Y386" s="907"/>
      <c r="Z386" s="907"/>
      <c r="AA386" s="907"/>
      <c r="AB386" s="907"/>
      <c r="AC386" s="907"/>
    </row>
    <row r="387" spans="1:29">
      <c r="A387" s="907"/>
      <c r="B387" s="907"/>
      <c r="C387" s="907"/>
      <c r="D387" s="907"/>
      <c r="E387" s="907"/>
      <c r="F387" s="907"/>
      <c r="G387" s="907"/>
      <c r="H387" s="907"/>
      <c r="I387" s="907"/>
      <c r="J387" s="907"/>
      <c r="K387" s="907"/>
      <c r="L387" s="907"/>
      <c r="M387" s="907"/>
      <c r="N387" s="907"/>
      <c r="O387" s="907"/>
      <c r="P387" s="907"/>
      <c r="Q387" s="907"/>
      <c r="R387" s="907"/>
      <c r="S387" s="907"/>
      <c r="T387" s="907"/>
      <c r="U387" s="907"/>
      <c r="V387" s="907"/>
      <c r="W387" s="907"/>
      <c r="X387" s="907"/>
      <c r="Y387" s="907"/>
      <c r="Z387" s="907"/>
      <c r="AA387" s="907"/>
      <c r="AB387" s="907"/>
      <c r="AC387" s="907"/>
    </row>
    <row r="388" spans="1:29">
      <c r="A388" s="907"/>
      <c r="B388" s="907"/>
      <c r="C388" s="907"/>
      <c r="D388" s="907"/>
      <c r="E388" s="907"/>
      <c r="F388" s="907"/>
      <c r="G388" s="907"/>
      <c r="H388" s="907"/>
      <c r="I388" s="907"/>
      <c r="J388" s="907"/>
      <c r="K388" s="907"/>
      <c r="L388" s="907"/>
      <c r="M388" s="907"/>
      <c r="N388" s="907"/>
      <c r="O388" s="907"/>
      <c r="P388" s="907"/>
      <c r="Q388" s="907"/>
      <c r="R388" s="907"/>
      <c r="S388" s="907"/>
      <c r="T388" s="907"/>
      <c r="U388" s="907"/>
      <c r="V388" s="907"/>
      <c r="W388" s="907"/>
      <c r="X388" s="907"/>
      <c r="Y388" s="907"/>
      <c r="Z388" s="907"/>
      <c r="AA388" s="907"/>
      <c r="AB388" s="907"/>
      <c r="AC388" s="907"/>
    </row>
    <row r="389" spans="1:29">
      <c r="A389" s="907"/>
      <c r="B389" s="907"/>
      <c r="C389" s="907"/>
      <c r="D389" s="907"/>
      <c r="E389" s="907"/>
      <c r="F389" s="907"/>
      <c r="G389" s="907"/>
      <c r="H389" s="907"/>
      <c r="I389" s="907"/>
      <c r="J389" s="907"/>
      <c r="K389" s="907"/>
      <c r="L389" s="907"/>
      <c r="M389" s="907"/>
      <c r="N389" s="907"/>
      <c r="O389" s="907"/>
      <c r="P389" s="907"/>
      <c r="Q389" s="907"/>
      <c r="R389" s="907"/>
      <c r="S389" s="907"/>
      <c r="T389" s="907"/>
      <c r="U389" s="907"/>
      <c r="V389" s="907"/>
      <c r="W389" s="907"/>
      <c r="X389" s="907"/>
      <c r="Y389" s="907"/>
      <c r="Z389" s="907"/>
      <c r="AA389" s="907"/>
      <c r="AB389" s="907"/>
      <c r="AC389" s="907"/>
    </row>
    <row r="390" spans="1:29">
      <c r="A390" s="907"/>
      <c r="B390" s="907"/>
      <c r="C390" s="907"/>
      <c r="D390" s="907"/>
      <c r="E390" s="907"/>
      <c r="F390" s="907"/>
      <c r="G390" s="907"/>
      <c r="H390" s="907"/>
      <c r="I390" s="907"/>
      <c r="J390" s="907"/>
      <c r="K390" s="907"/>
      <c r="L390" s="907"/>
      <c r="M390" s="907"/>
      <c r="N390" s="907"/>
      <c r="O390" s="907"/>
      <c r="P390" s="907"/>
      <c r="Q390" s="907"/>
      <c r="R390" s="907"/>
      <c r="S390" s="907"/>
      <c r="T390" s="907"/>
      <c r="U390" s="907"/>
      <c r="V390" s="907"/>
      <c r="W390" s="907"/>
      <c r="X390" s="907"/>
      <c r="Y390" s="907"/>
      <c r="Z390" s="907"/>
      <c r="AA390" s="907"/>
      <c r="AB390" s="907"/>
      <c r="AC390" s="907"/>
    </row>
    <row r="391" spans="1:29">
      <c r="A391" s="907"/>
      <c r="B391" s="907"/>
      <c r="C391" s="907"/>
      <c r="D391" s="907"/>
      <c r="E391" s="907"/>
      <c r="F391" s="907"/>
      <c r="G391" s="907"/>
      <c r="H391" s="907"/>
      <c r="I391" s="907"/>
      <c r="J391" s="907"/>
      <c r="K391" s="907"/>
      <c r="L391" s="907"/>
      <c r="M391" s="907"/>
      <c r="N391" s="907"/>
      <c r="O391" s="907"/>
      <c r="P391" s="907"/>
      <c r="Q391" s="907"/>
      <c r="R391" s="907"/>
      <c r="S391" s="907"/>
      <c r="T391" s="907"/>
      <c r="U391" s="907"/>
      <c r="V391" s="907"/>
      <c r="W391" s="907"/>
      <c r="X391" s="907"/>
      <c r="Y391" s="907"/>
      <c r="Z391" s="907"/>
      <c r="AA391" s="907"/>
      <c r="AB391" s="907"/>
      <c r="AC391" s="907"/>
    </row>
    <row r="392" spans="1:29">
      <c r="A392" s="907"/>
      <c r="B392" s="907"/>
      <c r="C392" s="907"/>
      <c r="D392" s="907"/>
      <c r="E392" s="907"/>
      <c r="F392" s="907"/>
      <c r="G392" s="907"/>
      <c r="H392" s="907"/>
      <c r="I392" s="907"/>
      <c r="J392" s="907"/>
      <c r="K392" s="907"/>
      <c r="L392" s="907"/>
      <c r="M392" s="907"/>
      <c r="N392" s="907"/>
      <c r="O392" s="907"/>
      <c r="P392" s="907"/>
      <c r="Q392" s="907"/>
      <c r="R392" s="907"/>
      <c r="S392" s="907"/>
      <c r="T392" s="907"/>
      <c r="U392" s="907"/>
      <c r="V392" s="907"/>
      <c r="W392" s="907"/>
      <c r="X392" s="907"/>
      <c r="Y392" s="907"/>
      <c r="Z392" s="907"/>
      <c r="AA392" s="907"/>
      <c r="AB392" s="907"/>
      <c r="AC392" s="907"/>
    </row>
    <row r="393" spans="1:29">
      <c r="A393" s="907"/>
      <c r="B393" s="907"/>
      <c r="C393" s="907"/>
      <c r="D393" s="907"/>
      <c r="E393" s="907"/>
      <c r="F393" s="907"/>
      <c r="G393" s="907"/>
      <c r="H393" s="907"/>
      <c r="I393" s="907"/>
      <c r="J393" s="907"/>
      <c r="K393" s="907"/>
      <c r="L393" s="907"/>
      <c r="M393" s="907"/>
      <c r="N393" s="907"/>
      <c r="O393" s="907"/>
      <c r="P393" s="907"/>
      <c r="Q393" s="907"/>
      <c r="R393" s="907"/>
      <c r="S393" s="907"/>
      <c r="T393" s="907"/>
      <c r="U393" s="907"/>
      <c r="V393" s="907"/>
      <c r="W393" s="907"/>
      <c r="X393" s="907"/>
      <c r="Y393" s="907"/>
      <c r="Z393" s="907"/>
      <c r="AA393" s="907"/>
      <c r="AB393" s="907"/>
      <c r="AC393" s="907"/>
    </row>
    <row r="394" spans="1:29">
      <c r="A394" s="907"/>
      <c r="B394" s="907"/>
      <c r="C394" s="907"/>
      <c r="D394" s="907"/>
      <c r="E394" s="907"/>
      <c r="F394" s="907"/>
      <c r="G394" s="907"/>
      <c r="H394" s="907"/>
      <c r="I394" s="907"/>
      <c r="J394" s="907"/>
      <c r="K394" s="907"/>
      <c r="L394" s="907"/>
      <c r="M394" s="907"/>
      <c r="N394" s="907"/>
      <c r="O394" s="907"/>
      <c r="P394" s="907"/>
      <c r="Q394" s="907"/>
      <c r="R394" s="907"/>
      <c r="S394" s="907"/>
      <c r="T394" s="907"/>
      <c r="U394" s="907"/>
      <c r="V394" s="907"/>
      <c r="W394" s="907"/>
      <c r="X394" s="907"/>
      <c r="Y394" s="907"/>
      <c r="Z394" s="907"/>
      <c r="AA394" s="907"/>
      <c r="AB394" s="907"/>
      <c r="AC394" s="907"/>
    </row>
    <row r="395" spans="1:29">
      <c r="A395" s="907"/>
      <c r="B395" s="907"/>
      <c r="C395" s="907"/>
      <c r="D395" s="907"/>
      <c r="E395" s="907"/>
      <c r="F395" s="907"/>
      <c r="G395" s="907"/>
      <c r="H395" s="907"/>
      <c r="I395" s="907"/>
      <c r="J395" s="907"/>
      <c r="K395" s="907"/>
      <c r="L395" s="907"/>
      <c r="M395" s="907"/>
      <c r="N395" s="907"/>
      <c r="O395" s="907"/>
      <c r="P395" s="907"/>
      <c r="Q395" s="907"/>
      <c r="R395" s="907"/>
      <c r="S395" s="907"/>
      <c r="T395" s="907"/>
      <c r="U395" s="907"/>
      <c r="V395" s="907"/>
      <c r="W395" s="907"/>
      <c r="X395" s="907"/>
      <c r="Y395" s="907"/>
      <c r="Z395" s="907"/>
      <c r="AA395" s="907"/>
      <c r="AB395" s="907"/>
      <c r="AC395" s="907"/>
    </row>
    <row r="396" spans="1:29">
      <c r="A396" s="907"/>
      <c r="B396" s="907"/>
      <c r="C396" s="907"/>
      <c r="D396" s="907"/>
      <c r="E396" s="907"/>
      <c r="F396" s="907"/>
      <c r="G396" s="907"/>
      <c r="H396" s="907"/>
      <c r="I396" s="907"/>
      <c r="J396" s="907"/>
      <c r="K396" s="907"/>
      <c r="L396" s="907"/>
      <c r="M396" s="907"/>
      <c r="N396" s="907"/>
      <c r="O396" s="907"/>
      <c r="P396" s="907"/>
      <c r="Q396" s="907"/>
      <c r="R396" s="907"/>
      <c r="S396" s="907"/>
      <c r="T396" s="907"/>
      <c r="U396" s="907"/>
      <c r="V396" s="907"/>
      <c r="W396" s="907"/>
      <c r="X396" s="907"/>
      <c r="Y396" s="907"/>
      <c r="Z396" s="907"/>
      <c r="AA396" s="907"/>
      <c r="AB396" s="907"/>
      <c r="AC396" s="907"/>
    </row>
    <row r="397" spans="1:29">
      <c r="A397" s="907"/>
      <c r="B397" s="907"/>
      <c r="C397" s="907"/>
      <c r="D397" s="907"/>
      <c r="E397" s="907"/>
      <c r="F397" s="907"/>
      <c r="G397" s="907"/>
      <c r="H397" s="907"/>
      <c r="I397" s="907"/>
      <c r="J397" s="907"/>
      <c r="K397" s="907"/>
      <c r="L397" s="907"/>
      <c r="M397" s="907"/>
      <c r="N397" s="907"/>
      <c r="O397" s="907"/>
      <c r="P397" s="907"/>
      <c r="Q397" s="907"/>
      <c r="R397" s="907"/>
      <c r="S397" s="907"/>
      <c r="T397" s="907"/>
      <c r="U397" s="907"/>
      <c r="V397" s="907"/>
      <c r="W397" s="907"/>
      <c r="X397" s="907"/>
      <c r="Y397" s="907"/>
      <c r="Z397" s="907"/>
      <c r="AA397" s="907"/>
      <c r="AB397" s="907"/>
      <c r="AC397" s="907"/>
    </row>
    <row r="398" spans="1:29">
      <c r="A398" s="907"/>
      <c r="B398" s="907"/>
      <c r="C398" s="907"/>
      <c r="D398" s="907"/>
      <c r="E398" s="907"/>
      <c r="F398" s="907"/>
      <c r="G398" s="907"/>
      <c r="H398" s="907"/>
      <c r="I398" s="907"/>
      <c r="J398" s="907"/>
      <c r="K398" s="907"/>
      <c r="L398" s="907"/>
      <c r="M398" s="907"/>
      <c r="N398" s="907"/>
      <c r="O398" s="907"/>
      <c r="P398" s="907"/>
      <c r="Q398" s="907"/>
      <c r="R398" s="907"/>
      <c r="S398" s="907"/>
      <c r="T398" s="907"/>
      <c r="U398" s="907"/>
      <c r="V398" s="907"/>
      <c r="W398" s="907"/>
      <c r="X398" s="907"/>
      <c r="Y398" s="907"/>
      <c r="Z398" s="907"/>
      <c r="AA398" s="907"/>
      <c r="AB398" s="907"/>
      <c r="AC398" s="907"/>
    </row>
    <row r="399" spans="1:29">
      <c r="A399" s="907"/>
      <c r="B399" s="907"/>
      <c r="C399" s="907"/>
      <c r="D399" s="907"/>
      <c r="E399" s="907"/>
      <c r="F399" s="907"/>
      <c r="G399" s="907"/>
      <c r="H399" s="907"/>
      <c r="I399" s="907"/>
      <c r="J399" s="907"/>
      <c r="K399" s="907"/>
      <c r="L399" s="907"/>
      <c r="M399" s="907"/>
      <c r="N399" s="907"/>
      <c r="O399" s="907"/>
      <c r="P399" s="907"/>
      <c r="Q399" s="907"/>
      <c r="R399" s="907"/>
      <c r="S399" s="907"/>
      <c r="T399" s="907"/>
      <c r="U399" s="907"/>
      <c r="V399" s="907"/>
      <c r="W399" s="907"/>
      <c r="X399" s="907"/>
      <c r="Y399" s="907"/>
      <c r="Z399" s="907"/>
      <c r="AA399" s="907"/>
      <c r="AB399" s="907"/>
      <c r="AC399" s="907"/>
    </row>
    <row r="400" spans="1:29">
      <c r="A400" s="907"/>
      <c r="B400" s="907"/>
      <c r="C400" s="907"/>
      <c r="D400" s="907"/>
      <c r="E400" s="907"/>
      <c r="F400" s="907"/>
      <c r="G400" s="907"/>
      <c r="H400" s="907"/>
      <c r="I400" s="907"/>
      <c r="J400" s="907"/>
      <c r="K400" s="907"/>
      <c r="L400" s="907"/>
      <c r="M400" s="907"/>
      <c r="N400" s="907"/>
      <c r="O400" s="907"/>
      <c r="P400" s="907"/>
      <c r="Q400" s="907"/>
      <c r="R400" s="907"/>
      <c r="S400" s="907"/>
      <c r="T400" s="907"/>
      <c r="U400" s="907"/>
      <c r="V400" s="907"/>
      <c r="W400" s="907"/>
      <c r="X400" s="907"/>
      <c r="Y400" s="907"/>
      <c r="Z400" s="907"/>
      <c r="AA400" s="907"/>
      <c r="AB400" s="907"/>
      <c r="AC400" s="907"/>
    </row>
    <row r="401" spans="1:29">
      <c r="A401" s="907"/>
      <c r="B401" s="907"/>
      <c r="C401" s="907"/>
      <c r="D401" s="907"/>
      <c r="E401" s="907"/>
      <c r="F401" s="907"/>
      <c r="G401" s="907"/>
      <c r="H401" s="907"/>
      <c r="I401" s="907"/>
      <c r="J401" s="907"/>
      <c r="K401" s="907"/>
      <c r="L401" s="907"/>
      <c r="M401" s="907"/>
      <c r="N401" s="907"/>
      <c r="O401" s="907"/>
      <c r="P401" s="907"/>
      <c r="Q401" s="907"/>
      <c r="R401" s="907"/>
      <c r="S401" s="907"/>
      <c r="T401" s="907"/>
      <c r="U401" s="907"/>
      <c r="V401" s="907"/>
      <c r="W401" s="907"/>
      <c r="X401" s="907"/>
      <c r="Y401" s="907"/>
      <c r="Z401" s="907"/>
      <c r="AA401" s="907"/>
      <c r="AB401" s="907"/>
      <c r="AC401" s="907"/>
    </row>
    <row r="402" spans="1:29">
      <c r="A402" s="907"/>
      <c r="B402" s="907"/>
      <c r="C402" s="907"/>
      <c r="D402" s="907"/>
      <c r="E402" s="907"/>
      <c r="F402" s="907"/>
      <c r="G402" s="907"/>
      <c r="H402" s="907"/>
      <c r="I402" s="907"/>
      <c r="J402" s="907"/>
      <c r="K402" s="907"/>
      <c r="L402" s="907"/>
      <c r="M402" s="907"/>
      <c r="N402" s="907"/>
      <c r="O402" s="907"/>
      <c r="P402" s="907"/>
      <c r="Q402" s="907"/>
      <c r="R402" s="907"/>
      <c r="S402" s="907"/>
      <c r="T402" s="907"/>
      <c r="U402" s="907"/>
      <c r="V402" s="907"/>
      <c r="W402" s="907"/>
      <c r="X402" s="907"/>
      <c r="Y402" s="907"/>
      <c r="Z402" s="907"/>
      <c r="AA402" s="907"/>
      <c r="AB402" s="907"/>
      <c r="AC402" s="907"/>
    </row>
    <row r="403" spans="1:29">
      <c r="A403" s="907"/>
      <c r="B403" s="907"/>
      <c r="C403" s="907"/>
      <c r="D403" s="907"/>
      <c r="E403" s="907"/>
      <c r="F403" s="907"/>
      <c r="G403" s="907"/>
      <c r="H403" s="907"/>
      <c r="I403" s="907"/>
      <c r="J403" s="907"/>
      <c r="K403" s="907"/>
      <c r="L403" s="907"/>
      <c r="M403" s="907"/>
      <c r="N403" s="907"/>
      <c r="O403" s="907"/>
      <c r="P403" s="907"/>
      <c r="Q403" s="907"/>
      <c r="R403" s="907"/>
      <c r="S403" s="907"/>
      <c r="T403" s="907"/>
      <c r="U403" s="907"/>
      <c r="V403" s="907"/>
      <c r="W403" s="907"/>
      <c r="X403" s="907"/>
      <c r="Y403" s="907"/>
      <c r="Z403" s="907"/>
      <c r="AA403" s="907"/>
      <c r="AB403" s="907"/>
      <c r="AC403" s="907"/>
    </row>
    <row r="404" spans="1:29">
      <c r="A404" s="907"/>
      <c r="B404" s="907"/>
      <c r="C404" s="907"/>
      <c r="D404" s="907"/>
      <c r="E404" s="907"/>
      <c r="F404" s="907"/>
      <c r="G404" s="907"/>
      <c r="H404" s="907"/>
      <c r="I404" s="907"/>
      <c r="J404" s="907"/>
      <c r="K404" s="907"/>
      <c r="L404" s="907"/>
      <c r="M404" s="907"/>
      <c r="N404" s="907"/>
      <c r="O404" s="907"/>
      <c r="P404" s="907"/>
      <c r="Q404" s="907"/>
      <c r="R404" s="907"/>
      <c r="S404" s="907"/>
      <c r="T404" s="907"/>
      <c r="U404" s="907"/>
      <c r="V404" s="907"/>
      <c r="W404" s="907"/>
      <c r="X404" s="907"/>
      <c r="Y404" s="907"/>
      <c r="Z404" s="907"/>
      <c r="AA404" s="907"/>
      <c r="AB404" s="907"/>
      <c r="AC404" s="907"/>
    </row>
    <row r="405" spans="1:29">
      <c r="A405" s="907"/>
      <c r="B405" s="907"/>
      <c r="C405" s="907"/>
      <c r="D405" s="907"/>
      <c r="E405" s="907"/>
      <c r="F405" s="907"/>
      <c r="G405" s="907"/>
      <c r="H405" s="907"/>
      <c r="I405" s="907"/>
      <c r="J405" s="907"/>
      <c r="K405" s="907"/>
      <c r="L405" s="907"/>
      <c r="M405" s="907"/>
      <c r="N405" s="907"/>
      <c r="O405" s="907"/>
      <c r="P405" s="907"/>
      <c r="Q405" s="907"/>
      <c r="R405" s="907"/>
      <c r="S405" s="907"/>
      <c r="T405" s="907"/>
      <c r="U405" s="907"/>
      <c r="V405" s="907"/>
      <c r="W405" s="907"/>
      <c r="X405" s="907"/>
      <c r="Y405" s="907"/>
      <c r="Z405" s="907"/>
      <c r="AA405" s="907"/>
      <c r="AB405" s="907"/>
      <c r="AC405" s="907"/>
    </row>
    <row r="406" spans="1:29">
      <c r="A406" s="907"/>
      <c r="B406" s="907"/>
      <c r="C406" s="907"/>
      <c r="D406" s="907"/>
      <c r="E406" s="907"/>
      <c r="F406" s="907"/>
      <c r="G406" s="907"/>
      <c r="H406" s="907"/>
      <c r="I406" s="907"/>
      <c r="J406" s="907"/>
      <c r="K406" s="907"/>
      <c r="L406" s="907"/>
      <c r="M406" s="907"/>
      <c r="N406" s="907"/>
      <c r="O406" s="907"/>
      <c r="P406" s="907"/>
      <c r="Q406" s="907"/>
      <c r="R406" s="907"/>
      <c r="S406" s="907"/>
      <c r="T406" s="907"/>
      <c r="U406" s="907"/>
      <c r="V406" s="907"/>
      <c r="W406" s="907"/>
      <c r="X406" s="907"/>
      <c r="Y406" s="907"/>
      <c r="Z406" s="907"/>
      <c r="AA406" s="907"/>
      <c r="AB406" s="907"/>
      <c r="AC406" s="907"/>
    </row>
    <row r="407" spans="1:29">
      <c r="A407" s="907"/>
      <c r="B407" s="907"/>
      <c r="C407" s="907"/>
      <c r="D407" s="907"/>
      <c r="E407" s="907"/>
      <c r="F407" s="907"/>
      <c r="G407" s="907"/>
      <c r="H407" s="907"/>
      <c r="I407" s="907"/>
      <c r="J407" s="907"/>
      <c r="K407" s="907"/>
      <c r="L407" s="907"/>
      <c r="M407" s="907"/>
      <c r="N407" s="907"/>
      <c r="O407" s="907"/>
      <c r="P407" s="907"/>
      <c r="Q407" s="907"/>
      <c r="R407" s="907"/>
      <c r="S407" s="907"/>
      <c r="T407" s="907"/>
      <c r="U407" s="907"/>
      <c r="V407" s="907"/>
      <c r="W407" s="907"/>
      <c r="X407" s="907"/>
      <c r="Y407" s="907"/>
      <c r="Z407" s="907"/>
      <c r="AA407" s="907"/>
      <c r="AB407" s="907"/>
      <c r="AC407" s="907"/>
    </row>
    <row r="408" spans="1:29">
      <c r="A408" s="907"/>
      <c r="B408" s="907"/>
      <c r="C408" s="907"/>
      <c r="D408" s="907"/>
      <c r="E408" s="907"/>
      <c r="F408" s="907"/>
      <c r="G408" s="907"/>
      <c r="H408" s="907"/>
      <c r="I408" s="907"/>
      <c r="J408" s="907"/>
      <c r="K408" s="907"/>
      <c r="L408" s="907"/>
      <c r="M408" s="907"/>
      <c r="N408" s="907"/>
      <c r="O408" s="907"/>
      <c r="P408" s="907"/>
      <c r="Q408" s="907"/>
      <c r="R408" s="907"/>
      <c r="S408" s="907"/>
      <c r="T408" s="907"/>
      <c r="U408" s="907"/>
      <c r="V408" s="907"/>
      <c r="W408" s="907"/>
      <c r="X408" s="907"/>
      <c r="Y408" s="907"/>
      <c r="Z408" s="907"/>
      <c r="AA408" s="907"/>
      <c r="AB408" s="907"/>
      <c r="AC408" s="907"/>
    </row>
    <row r="409" spans="1:29">
      <c r="A409" s="907"/>
      <c r="B409" s="907"/>
      <c r="C409" s="907"/>
      <c r="D409" s="907"/>
      <c r="E409" s="907"/>
      <c r="F409" s="907"/>
      <c r="G409" s="907"/>
      <c r="H409" s="907"/>
      <c r="I409" s="907"/>
      <c r="J409" s="907"/>
      <c r="K409" s="907"/>
      <c r="L409" s="907"/>
      <c r="M409" s="907"/>
      <c r="N409" s="907"/>
      <c r="O409" s="907"/>
      <c r="P409" s="907"/>
      <c r="Q409" s="907"/>
      <c r="R409" s="907"/>
      <c r="S409" s="907"/>
      <c r="T409" s="907"/>
      <c r="U409" s="907"/>
      <c r="V409" s="907"/>
      <c r="W409" s="907"/>
      <c r="X409" s="907"/>
      <c r="Y409" s="907"/>
      <c r="Z409" s="907"/>
      <c r="AA409" s="907"/>
      <c r="AB409" s="907"/>
      <c r="AC409" s="907"/>
    </row>
    <row r="410" spans="1:29">
      <c r="A410" s="907"/>
      <c r="B410" s="907"/>
      <c r="C410" s="907"/>
      <c r="D410" s="907"/>
      <c r="E410" s="907"/>
      <c r="F410" s="907"/>
      <c r="G410" s="907"/>
      <c r="H410" s="907"/>
      <c r="I410" s="907"/>
      <c r="J410" s="907"/>
      <c r="K410" s="907"/>
      <c r="L410" s="907"/>
      <c r="M410" s="907"/>
      <c r="N410" s="907"/>
      <c r="O410" s="907"/>
      <c r="P410" s="907"/>
      <c r="Q410" s="907"/>
      <c r="R410" s="907"/>
      <c r="S410" s="907"/>
      <c r="T410" s="907"/>
      <c r="U410" s="907"/>
      <c r="V410" s="907"/>
      <c r="W410" s="907"/>
      <c r="X410" s="907"/>
      <c r="Y410" s="907"/>
      <c r="Z410" s="907"/>
      <c r="AA410" s="907"/>
      <c r="AB410" s="907"/>
      <c r="AC410" s="907"/>
    </row>
    <row r="411" spans="1:29">
      <c r="A411" s="907"/>
      <c r="B411" s="907"/>
      <c r="C411" s="907"/>
      <c r="D411" s="907"/>
      <c r="E411" s="907"/>
      <c r="F411" s="907"/>
      <c r="G411" s="907"/>
      <c r="H411" s="907"/>
      <c r="I411" s="907"/>
      <c r="J411" s="907"/>
      <c r="K411" s="907"/>
      <c r="L411" s="907"/>
      <c r="M411" s="907"/>
      <c r="N411" s="907"/>
      <c r="O411" s="907"/>
      <c r="P411" s="907"/>
      <c r="Q411" s="907"/>
      <c r="R411" s="907"/>
      <c r="S411" s="907"/>
      <c r="T411" s="907"/>
      <c r="U411" s="907"/>
      <c r="V411" s="907"/>
      <c r="W411" s="907"/>
      <c r="X411" s="907"/>
      <c r="Y411" s="907"/>
      <c r="Z411" s="907"/>
      <c r="AA411" s="907"/>
      <c r="AB411" s="907"/>
      <c r="AC411" s="907"/>
    </row>
    <row r="412" spans="1:29">
      <c r="A412" s="907"/>
      <c r="B412" s="907"/>
      <c r="C412" s="907"/>
      <c r="D412" s="907"/>
      <c r="E412" s="907"/>
      <c r="F412" s="907"/>
      <c r="G412" s="907"/>
      <c r="H412" s="907"/>
      <c r="I412" s="907"/>
      <c r="J412" s="907"/>
      <c r="K412" s="907"/>
      <c r="L412" s="907"/>
      <c r="M412" s="907"/>
      <c r="N412" s="907"/>
      <c r="O412" s="907"/>
      <c r="P412" s="907"/>
      <c r="Q412" s="907"/>
      <c r="R412" s="907"/>
      <c r="S412" s="907"/>
      <c r="T412" s="907"/>
      <c r="U412" s="907"/>
      <c r="V412" s="907"/>
      <c r="W412" s="907"/>
      <c r="X412" s="907"/>
      <c r="Y412" s="907"/>
      <c r="Z412" s="907"/>
      <c r="AA412" s="907"/>
      <c r="AB412" s="907"/>
      <c r="AC412" s="907"/>
    </row>
    <row r="413" spans="1:29">
      <c r="A413" s="907"/>
      <c r="B413" s="907"/>
      <c r="C413" s="907"/>
      <c r="D413" s="907"/>
      <c r="E413" s="907"/>
      <c r="F413" s="907"/>
      <c r="G413" s="907"/>
      <c r="H413" s="907"/>
      <c r="I413" s="907"/>
      <c r="J413" s="907"/>
      <c r="K413" s="907"/>
      <c r="L413" s="907"/>
      <c r="M413" s="907"/>
      <c r="N413" s="907"/>
      <c r="O413" s="907"/>
      <c r="P413" s="907"/>
      <c r="Q413" s="907"/>
      <c r="R413" s="907"/>
      <c r="S413" s="907"/>
      <c r="T413" s="907"/>
      <c r="U413" s="907"/>
      <c r="V413" s="907"/>
      <c r="W413" s="907"/>
      <c r="X413" s="907"/>
      <c r="Y413" s="907"/>
      <c r="Z413" s="907"/>
      <c r="AA413" s="907"/>
      <c r="AB413" s="907"/>
      <c r="AC413" s="907"/>
    </row>
    <row r="414" spans="1:29">
      <c r="A414" s="907"/>
      <c r="B414" s="907"/>
      <c r="C414" s="907"/>
      <c r="D414" s="907"/>
      <c r="E414" s="907"/>
      <c r="F414" s="907"/>
      <c r="G414" s="907"/>
      <c r="H414" s="907"/>
      <c r="I414" s="907"/>
      <c r="J414" s="907"/>
      <c r="K414" s="907"/>
      <c r="L414" s="907"/>
      <c r="M414" s="907"/>
      <c r="N414" s="907"/>
      <c r="O414" s="907"/>
      <c r="P414" s="907"/>
      <c r="Q414" s="907"/>
      <c r="R414" s="907"/>
      <c r="S414" s="907"/>
      <c r="T414" s="907"/>
      <c r="U414" s="907"/>
      <c r="V414" s="907"/>
      <c r="W414" s="907"/>
      <c r="X414" s="907"/>
      <c r="Y414" s="907"/>
      <c r="Z414" s="907"/>
      <c r="AA414" s="907"/>
      <c r="AB414" s="907"/>
      <c r="AC414" s="907"/>
    </row>
    <row r="415" spans="1:29">
      <c r="A415" s="907"/>
      <c r="B415" s="907"/>
      <c r="C415" s="907"/>
      <c r="D415" s="907"/>
      <c r="E415" s="907"/>
      <c r="F415" s="907"/>
      <c r="G415" s="907"/>
      <c r="H415" s="907"/>
      <c r="I415" s="907"/>
      <c r="J415" s="907"/>
      <c r="K415" s="907"/>
      <c r="L415" s="907"/>
      <c r="M415" s="907"/>
      <c r="N415" s="907"/>
      <c r="O415" s="907"/>
      <c r="P415" s="907"/>
      <c r="Q415" s="907"/>
      <c r="R415" s="907"/>
      <c r="S415" s="907"/>
      <c r="T415" s="907"/>
      <c r="U415" s="907"/>
      <c r="V415" s="907"/>
      <c r="W415" s="907"/>
      <c r="X415" s="907"/>
      <c r="Y415" s="907"/>
      <c r="Z415" s="907"/>
      <c r="AA415" s="907"/>
      <c r="AB415" s="907"/>
      <c r="AC415" s="907"/>
    </row>
    <row r="416" spans="1:29">
      <c r="A416" s="907"/>
      <c r="B416" s="907"/>
      <c r="C416" s="907"/>
      <c r="D416" s="907"/>
      <c r="E416" s="907"/>
      <c r="F416" s="907"/>
      <c r="G416" s="907"/>
      <c r="H416" s="907"/>
      <c r="I416" s="907"/>
      <c r="J416" s="907"/>
      <c r="K416" s="907"/>
      <c r="L416" s="907"/>
      <c r="M416" s="907"/>
      <c r="N416" s="907"/>
      <c r="O416" s="907"/>
      <c r="P416" s="907"/>
      <c r="Q416" s="907"/>
      <c r="R416" s="907"/>
      <c r="S416" s="907"/>
      <c r="T416" s="907"/>
      <c r="U416" s="907"/>
      <c r="V416" s="907"/>
      <c r="W416" s="907"/>
      <c r="X416" s="907"/>
      <c r="Y416" s="907"/>
      <c r="Z416" s="907"/>
      <c r="AA416" s="907"/>
      <c r="AB416" s="907"/>
      <c r="AC416" s="907"/>
    </row>
    <row r="417" spans="1:29">
      <c r="A417" s="907"/>
      <c r="B417" s="907"/>
      <c r="C417" s="907"/>
      <c r="D417" s="907"/>
      <c r="E417" s="907"/>
      <c r="F417" s="907"/>
      <c r="G417" s="907"/>
      <c r="H417" s="907"/>
      <c r="I417" s="907"/>
      <c r="J417" s="907"/>
      <c r="K417" s="907"/>
      <c r="L417" s="907"/>
      <c r="M417" s="907"/>
      <c r="N417" s="907"/>
      <c r="O417" s="907"/>
      <c r="P417" s="907"/>
      <c r="Q417" s="907"/>
      <c r="R417" s="907"/>
      <c r="S417" s="907"/>
      <c r="T417" s="907"/>
      <c r="U417" s="907"/>
      <c r="V417" s="907"/>
      <c r="W417" s="907"/>
      <c r="X417" s="907"/>
      <c r="Y417" s="907"/>
      <c r="Z417" s="907"/>
      <c r="AA417" s="907"/>
      <c r="AB417" s="907"/>
      <c r="AC417" s="907"/>
    </row>
    <row r="418" spans="1:29">
      <c r="A418" s="907"/>
      <c r="B418" s="907"/>
      <c r="C418" s="907"/>
      <c r="D418" s="907"/>
      <c r="E418" s="907"/>
      <c r="F418" s="907"/>
      <c r="G418" s="907"/>
      <c r="H418" s="907"/>
      <c r="I418" s="907"/>
      <c r="J418" s="907"/>
      <c r="K418" s="907"/>
      <c r="L418" s="907"/>
      <c r="M418" s="907"/>
      <c r="N418" s="907"/>
      <c r="O418" s="907"/>
      <c r="P418" s="907"/>
      <c r="Q418" s="907"/>
      <c r="R418" s="907"/>
      <c r="S418" s="907"/>
      <c r="T418" s="907"/>
      <c r="U418" s="907"/>
      <c r="V418" s="907"/>
      <c r="W418" s="907"/>
      <c r="X418" s="907"/>
      <c r="Y418" s="907"/>
      <c r="Z418" s="907"/>
      <c r="AA418" s="907"/>
      <c r="AB418" s="907"/>
      <c r="AC418" s="907"/>
    </row>
    <row r="419" spans="1:29">
      <c r="A419" s="907"/>
      <c r="B419" s="907"/>
      <c r="C419" s="907"/>
      <c r="D419" s="907"/>
      <c r="E419" s="907"/>
      <c r="F419" s="907"/>
      <c r="G419" s="907"/>
      <c r="H419" s="907"/>
      <c r="I419" s="907"/>
      <c r="J419" s="907"/>
      <c r="K419" s="907"/>
      <c r="L419" s="907"/>
      <c r="M419" s="907"/>
      <c r="N419" s="907"/>
      <c r="O419" s="907"/>
      <c r="P419" s="907"/>
      <c r="Q419" s="907"/>
      <c r="R419" s="907"/>
      <c r="S419" s="907"/>
      <c r="T419" s="907"/>
      <c r="U419" s="907"/>
      <c r="V419" s="907"/>
      <c r="W419" s="907"/>
      <c r="X419" s="907"/>
      <c r="Y419" s="907"/>
      <c r="Z419" s="907"/>
      <c r="AA419" s="907"/>
      <c r="AB419" s="907"/>
      <c r="AC419" s="907"/>
    </row>
    <row r="420" spans="1:29">
      <c r="A420" s="907"/>
      <c r="B420" s="907"/>
      <c r="C420" s="907"/>
      <c r="D420" s="907"/>
      <c r="E420" s="907"/>
      <c r="F420" s="907"/>
      <c r="G420" s="907"/>
      <c r="H420" s="907"/>
      <c r="I420" s="907"/>
      <c r="J420" s="907"/>
      <c r="K420" s="907"/>
      <c r="L420" s="907"/>
      <c r="M420" s="907"/>
      <c r="N420" s="907"/>
      <c r="O420" s="907"/>
      <c r="P420" s="907"/>
      <c r="Q420" s="907"/>
      <c r="R420" s="907"/>
      <c r="S420" s="907"/>
      <c r="T420" s="907"/>
      <c r="U420" s="907"/>
      <c r="V420" s="907"/>
      <c r="W420" s="907"/>
      <c r="X420" s="907"/>
      <c r="Y420" s="907"/>
      <c r="Z420" s="907"/>
      <c r="AA420" s="907"/>
      <c r="AB420" s="907"/>
      <c r="AC420" s="907"/>
    </row>
    <row r="421" spans="1:29">
      <c r="A421" s="907"/>
      <c r="B421" s="907"/>
      <c r="C421" s="907"/>
      <c r="D421" s="907"/>
      <c r="E421" s="907"/>
      <c r="F421" s="907"/>
      <c r="G421" s="907"/>
      <c r="H421" s="907"/>
      <c r="I421" s="907"/>
      <c r="J421" s="907"/>
      <c r="K421" s="907"/>
      <c r="L421" s="907"/>
      <c r="M421" s="907"/>
      <c r="N421" s="907"/>
      <c r="O421" s="907"/>
      <c r="P421" s="907"/>
      <c r="Q421" s="907"/>
      <c r="R421" s="907"/>
      <c r="S421" s="907"/>
      <c r="T421" s="907"/>
      <c r="U421" s="907"/>
      <c r="V421" s="907"/>
      <c r="W421" s="907"/>
      <c r="X421" s="907"/>
      <c r="Y421" s="907"/>
      <c r="Z421" s="907"/>
      <c r="AA421" s="907"/>
      <c r="AB421" s="907"/>
      <c r="AC421" s="907"/>
    </row>
    <row r="422" spans="1:29">
      <c r="A422" s="907"/>
      <c r="B422" s="907"/>
      <c r="C422" s="907"/>
      <c r="D422" s="907"/>
      <c r="E422" s="907"/>
      <c r="F422" s="907"/>
      <c r="G422" s="907"/>
      <c r="H422" s="907"/>
      <c r="I422" s="907"/>
      <c r="J422" s="907"/>
      <c r="K422" s="907"/>
      <c r="L422" s="907"/>
      <c r="M422" s="907"/>
      <c r="N422" s="907"/>
      <c r="O422" s="907"/>
      <c r="P422" s="907"/>
      <c r="Q422" s="907"/>
      <c r="R422" s="907"/>
      <c r="S422" s="907"/>
      <c r="T422" s="907"/>
      <c r="U422" s="907"/>
      <c r="V422" s="907"/>
      <c r="W422" s="907"/>
      <c r="X422" s="907"/>
      <c r="Y422" s="907"/>
      <c r="Z422" s="907"/>
      <c r="AA422" s="907"/>
      <c r="AB422" s="907"/>
      <c r="AC422" s="907"/>
    </row>
    <row r="423" spans="1:29">
      <c r="A423" s="907"/>
      <c r="B423" s="907"/>
      <c r="C423" s="907"/>
      <c r="D423" s="907"/>
      <c r="E423" s="907"/>
      <c r="F423" s="907"/>
      <c r="G423" s="907"/>
      <c r="H423" s="907"/>
      <c r="I423" s="907"/>
      <c r="J423" s="907"/>
      <c r="K423" s="907"/>
      <c r="L423" s="907"/>
      <c r="M423" s="907"/>
      <c r="N423" s="907"/>
      <c r="O423" s="907"/>
      <c r="P423" s="907"/>
      <c r="Q423" s="907"/>
      <c r="R423" s="907"/>
      <c r="S423" s="907"/>
      <c r="T423" s="907"/>
      <c r="U423" s="907"/>
      <c r="V423" s="907"/>
      <c r="W423" s="907"/>
      <c r="X423" s="907"/>
      <c r="Y423" s="907"/>
      <c r="Z423" s="907"/>
      <c r="AA423" s="907"/>
      <c r="AB423" s="907"/>
      <c r="AC423" s="907"/>
    </row>
    <row r="424" spans="1:29">
      <c r="A424" s="907"/>
      <c r="B424" s="907"/>
      <c r="C424" s="907"/>
      <c r="D424" s="907"/>
      <c r="E424" s="907"/>
      <c r="F424" s="907"/>
      <c r="G424" s="907"/>
      <c r="H424" s="907"/>
      <c r="I424" s="907"/>
      <c r="J424" s="907"/>
      <c r="K424" s="907"/>
      <c r="L424" s="907"/>
      <c r="M424" s="907"/>
      <c r="N424" s="907"/>
      <c r="O424" s="907"/>
      <c r="P424" s="907"/>
      <c r="Q424" s="907"/>
      <c r="R424" s="907"/>
      <c r="S424" s="907"/>
      <c r="T424" s="907"/>
      <c r="U424" s="907"/>
      <c r="V424" s="907"/>
      <c r="W424" s="907"/>
      <c r="X424" s="907"/>
      <c r="Y424" s="907"/>
      <c r="Z424" s="907"/>
      <c r="AA424" s="907"/>
      <c r="AB424" s="907"/>
      <c r="AC424" s="907"/>
    </row>
    <row r="425" spans="1:29">
      <c r="A425" s="907"/>
      <c r="B425" s="907"/>
      <c r="C425" s="907"/>
      <c r="D425" s="907"/>
      <c r="E425" s="907"/>
      <c r="F425" s="907"/>
      <c r="G425" s="907"/>
      <c r="H425" s="907"/>
      <c r="I425" s="907"/>
      <c r="J425" s="907"/>
      <c r="K425" s="907"/>
      <c r="L425" s="907"/>
      <c r="M425" s="907"/>
      <c r="N425" s="907"/>
      <c r="O425" s="907"/>
      <c r="P425" s="907"/>
      <c r="Q425" s="907"/>
      <c r="R425" s="907"/>
      <c r="S425" s="907"/>
      <c r="T425" s="907"/>
      <c r="U425" s="907"/>
      <c r="V425" s="907"/>
      <c r="W425" s="907"/>
      <c r="X425" s="907"/>
      <c r="Y425" s="907"/>
      <c r="Z425" s="907"/>
      <c r="AA425" s="907"/>
      <c r="AB425" s="907"/>
      <c r="AC425" s="907"/>
    </row>
    <row r="426" spans="1:29">
      <c r="A426" s="907"/>
      <c r="B426" s="907"/>
      <c r="C426" s="907"/>
      <c r="D426" s="907"/>
      <c r="E426" s="907"/>
      <c r="F426" s="907"/>
      <c r="G426" s="907"/>
      <c r="H426" s="907"/>
      <c r="I426" s="907"/>
      <c r="J426" s="907"/>
      <c r="K426" s="907"/>
      <c r="L426" s="907"/>
      <c r="M426" s="907"/>
      <c r="N426" s="907"/>
      <c r="O426" s="907"/>
      <c r="P426" s="907"/>
      <c r="Q426" s="907"/>
      <c r="R426" s="907"/>
      <c r="S426" s="907"/>
      <c r="T426" s="907"/>
      <c r="U426" s="907"/>
      <c r="V426" s="907"/>
      <c r="W426" s="907"/>
      <c r="X426" s="907"/>
      <c r="Y426" s="907"/>
      <c r="Z426" s="907"/>
      <c r="AA426" s="907"/>
      <c r="AB426" s="907"/>
      <c r="AC426" s="907"/>
    </row>
    <row r="427" spans="1:29">
      <c r="A427" s="907"/>
      <c r="B427" s="907"/>
      <c r="C427" s="907"/>
      <c r="D427" s="907"/>
      <c r="E427" s="907"/>
      <c r="F427" s="907"/>
      <c r="G427" s="907"/>
      <c r="H427" s="907"/>
      <c r="I427" s="907"/>
      <c r="J427" s="907"/>
      <c r="K427" s="907"/>
      <c r="L427" s="907"/>
      <c r="M427" s="907"/>
      <c r="N427" s="907"/>
      <c r="O427" s="907"/>
      <c r="P427" s="907"/>
      <c r="Q427" s="907"/>
      <c r="R427" s="907"/>
      <c r="S427" s="907"/>
      <c r="T427" s="907"/>
      <c r="U427" s="907"/>
      <c r="V427" s="907"/>
      <c r="W427" s="907"/>
      <c r="X427" s="907"/>
      <c r="Y427" s="907"/>
      <c r="Z427" s="907"/>
      <c r="AA427" s="907"/>
      <c r="AB427" s="907"/>
      <c r="AC427" s="907"/>
    </row>
    <row r="428" spans="1:29">
      <c r="A428" s="907"/>
      <c r="B428" s="907"/>
      <c r="C428" s="907"/>
      <c r="D428" s="907"/>
      <c r="E428" s="907"/>
      <c r="F428" s="907"/>
      <c r="G428" s="907"/>
      <c r="H428" s="907"/>
      <c r="I428" s="907"/>
      <c r="J428" s="907"/>
      <c r="K428" s="907"/>
      <c r="L428" s="907"/>
      <c r="M428" s="907"/>
      <c r="N428" s="907"/>
      <c r="O428" s="907"/>
      <c r="P428" s="907"/>
      <c r="Q428" s="907"/>
      <c r="R428" s="907"/>
      <c r="S428" s="907"/>
      <c r="T428" s="907"/>
      <c r="U428" s="907"/>
      <c r="V428" s="907"/>
      <c r="W428" s="907"/>
      <c r="X428" s="907"/>
      <c r="Y428" s="907"/>
      <c r="Z428" s="907"/>
      <c r="AA428" s="907"/>
      <c r="AB428" s="907"/>
      <c r="AC428" s="907"/>
    </row>
    <row r="429" spans="1:29">
      <c r="A429" s="907"/>
      <c r="B429" s="907"/>
      <c r="C429" s="907"/>
      <c r="D429" s="907"/>
      <c r="E429" s="907"/>
      <c r="F429" s="907"/>
      <c r="G429" s="907"/>
      <c r="H429" s="907"/>
      <c r="I429" s="907"/>
      <c r="J429" s="907"/>
      <c r="K429" s="907"/>
      <c r="L429" s="907"/>
      <c r="M429" s="907"/>
      <c r="N429" s="907"/>
      <c r="O429" s="907"/>
      <c r="P429" s="907"/>
      <c r="Q429" s="907"/>
      <c r="R429" s="907"/>
      <c r="S429" s="907"/>
      <c r="T429" s="907"/>
      <c r="U429" s="907"/>
      <c r="V429" s="907"/>
      <c r="W429" s="907"/>
      <c r="X429" s="907"/>
      <c r="Y429" s="907"/>
      <c r="Z429" s="907"/>
      <c r="AA429" s="907"/>
      <c r="AB429" s="907"/>
      <c r="AC429" s="907"/>
    </row>
    <row r="430" spans="1:29">
      <c r="A430" s="907"/>
      <c r="B430" s="907"/>
      <c r="C430" s="907"/>
      <c r="D430" s="907"/>
      <c r="E430" s="907"/>
      <c r="F430" s="907"/>
      <c r="G430" s="907"/>
      <c r="H430" s="907"/>
      <c r="I430" s="907"/>
      <c r="J430" s="907"/>
      <c r="K430" s="907"/>
      <c r="L430" s="907"/>
      <c r="M430" s="907"/>
      <c r="N430" s="907"/>
      <c r="O430" s="907"/>
      <c r="P430" s="907"/>
      <c r="Q430" s="907"/>
      <c r="R430" s="907"/>
      <c r="S430" s="907"/>
      <c r="T430" s="907"/>
      <c r="U430" s="907"/>
      <c r="V430" s="907"/>
      <c r="W430" s="907"/>
      <c r="X430" s="907"/>
      <c r="Y430" s="907"/>
      <c r="Z430" s="907"/>
      <c r="AA430" s="907"/>
      <c r="AB430" s="907"/>
      <c r="AC430" s="907"/>
    </row>
    <row r="431" spans="1:29">
      <c r="A431" s="907"/>
      <c r="B431" s="907"/>
      <c r="C431" s="907"/>
      <c r="D431" s="907"/>
      <c r="E431" s="907"/>
      <c r="F431" s="907"/>
      <c r="G431" s="907"/>
      <c r="H431" s="907"/>
      <c r="I431" s="907"/>
      <c r="J431" s="907"/>
      <c r="K431" s="907"/>
      <c r="L431" s="907"/>
      <c r="M431" s="907"/>
      <c r="N431" s="907"/>
      <c r="O431" s="907"/>
      <c r="P431" s="907"/>
      <c r="Q431" s="907"/>
      <c r="R431" s="907"/>
      <c r="S431" s="907"/>
      <c r="T431" s="907"/>
      <c r="U431" s="907"/>
      <c r="V431" s="907"/>
      <c r="W431" s="907"/>
      <c r="X431" s="907"/>
      <c r="Y431" s="907"/>
      <c r="Z431" s="907"/>
      <c r="AA431" s="907"/>
      <c r="AB431" s="907"/>
      <c r="AC431" s="907"/>
    </row>
    <row r="432" spans="1:29">
      <c r="A432" s="907"/>
      <c r="B432" s="907"/>
      <c r="C432" s="907"/>
      <c r="D432" s="907"/>
      <c r="E432" s="907"/>
      <c r="F432" s="907"/>
      <c r="G432" s="907"/>
      <c r="H432" s="907"/>
      <c r="I432" s="907"/>
      <c r="J432" s="907"/>
      <c r="K432" s="907"/>
      <c r="L432" s="907"/>
      <c r="M432" s="907"/>
      <c r="N432" s="907"/>
      <c r="O432" s="907"/>
      <c r="P432" s="907"/>
      <c r="Q432" s="907"/>
      <c r="R432" s="907"/>
      <c r="S432" s="907"/>
      <c r="T432" s="907"/>
      <c r="U432" s="907"/>
      <c r="V432" s="907"/>
      <c r="W432" s="907"/>
      <c r="X432" s="907"/>
      <c r="Y432" s="907"/>
      <c r="Z432" s="907"/>
      <c r="AA432" s="907"/>
      <c r="AB432" s="907"/>
      <c r="AC432" s="907"/>
    </row>
    <row r="433" spans="1:29">
      <c r="A433" s="907"/>
      <c r="B433" s="907"/>
      <c r="C433" s="907"/>
      <c r="D433" s="907"/>
      <c r="E433" s="907"/>
      <c r="F433" s="907"/>
      <c r="G433" s="907"/>
      <c r="H433" s="907"/>
      <c r="I433" s="907"/>
      <c r="J433" s="907"/>
      <c r="K433" s="907"/>
      <c r="L433" s="907"/>
      <c r="M433" s="907"/>
      <c r="N433" s="907"/>
      <c r="O433" s="907"/>
      <c r="P433" s="907"/>
      <c r="Q433" s="907"/>
      <c r="R433" s="907"/>
      <c r="S433" s="907"/>
      <c r="T433" s="907"/>
      <c r="U433" s="907"/>
      <c r="V433" s="907"/>
      <c r="W433" s="907"/>
      <c r="X433" s="907"/>
      <c r="Y433" s="907"/>
      <c r="Z433" s="907"/>
      <c r="AA433" s="907"/>
      <c r="AB433" s="907"/>
      <c r="AC433" s="907"/>
    </row>
    <row r="434" spans="1:29">
      <c r="A434" s="907"/>
      <c r="B434" s="907"/>
      <c r="C434" s="907"/>
      <c r="D434" s="907"/>
      <c r="E434" s="907"/>
      <c r="F434" s="907"/>
      <c r="G434" s="907"/>
      <c r="H434" s="907"/>
      <c r="I434" s="907"/>
      <c r="J434" s="907"/>
      <c r="K434" s="907"/>
      <c r="L434" s="907"/>
      <c r="M434" s="907"/>
      <c r="N434" s="907"/>
      <c r="O434" s="907"/>
      <c r="P434" s="907"/>
      <c r="Q434" s="907"/>
      <c r="R434" s="907"/>
      <c r="S434" s="907"/>
      <c r="T434" s="907"/>
      <c r="U434" s="907"/>
      <c r="V434" s="907"/>
      <c r="W434" s="907"/>
      <c r="X434" s="907"/>
      <c r="Y434" s="907"/>
      <c r="Z434" s="907"/>
      <c r="AA434" s="907"/>
      <c r="AB434" s="907"/>
      <c r="AC434" s="907"/>
    </row>
    <row r="435" spans="1:29">
      <c r="A435" s="907"/>
      <c r="B435" s="907"/>
      <c r="C435" s="907"/>
      <c r="D435" s="907"/>
      <c r="E435" s="907"/>
      <c r="F435" s="907"/>
      <c r="G435" s="907"/>
      <c r="H435" s="907"/>
      <c r="I435" s="907"/>
      <c r="J435" s="907"/>
      <c r="K435" s="907"/>
      <c r="L435" s="907"/>
      <c r="M435" s="907"/>
      <c r="N435" s="907"/>
      <c r="O435" s="907"/>
      <c r="P435" s="907"/>
      <c r="Q435" s="907"/>
      <c r="R435" s="907"/>
      <c r="S435" s="907"/>
      <c r="T435" s="907"/>
      <c r="U435" s="907"/>
      <c r="V435" s="907"/>
      <c r="W435" s="907"/>
      <c r="X435" s="907"/>
      <c r="Y435" s="907"/>
      <c r="Z435" s="907"/>
      <c r="AA435" s="907"/>
      <c r="AB435" s="907"/>
      <c r="AC435" s="907"/>
    </row>
    <row r="436" spans="1:29">
      <c r="A436" s="907"/>
      <c r="B436" s="907"/>
      <c r="C436" s="907"/>
      <c r="D436" s="907"/>
      <c r="E436" s="907"/>
      <c r="F436" s="907"/>
      <c r="G436" s="907"/>
      <c r="H436" s="907"/>
      <c r="I436" s="907"/>
      <c r="J436" s="907"/>
      <c r="K436" s="907"/>
      <c r="L436" s="907"/>
      <c r="M436" s="907"/>
      <c r="N436" s="907"/>
      <c r="O436" s="907"/>
      <c r="P436" s="907"/>
      <c r="Q436" s="907"/>
      <c r="R436" s="907"/>
      <c r="S436" s="907"/>
      <c r="T436" s="907"/>
      <c r="U436" s="907"/>
      <c r="V436" s="907"/>
      <c r="W436" s="907"/>
      <c r="X436" s="907"/>
      <c r="Y436" s="907"/>
      <c r="Z436" s="907"/>
      <c r="AA436" s="907"/>
      <c r="AB436" s="907"/>
      <c r="AC436" s="907"/>
    </row>
    <row r="437" spans="1:29">
      <c r="A437" s="907"/>
      <c r="B437" s="907"/>
      <c r="C437" s="907"/>
      <c r="D437" s="907"/>
      <c r="E437" s="907"/>
      <c r="F437" s="907"/>
      <c r="G437" s="907"/>
      <c r="H437" s="907"/>
      <c r="I437" s="907"/>
      <c r="J437" s="907"/>
      <c r="K437" s="907"/>
      <c r="L437" s="907"/>
      <c r="M437" s="907"/>
      <c r="N437" s="907"/>
      <c r="O437" s="907"/>
      <c r="P437" s="907"/>
      <c r="Q437" s="907"/>
      <c r="R437" s="907"/>
      <c r="S437" s="907"/>
      <c r="T437" s="907"/>
      <c r="U437" s="907"/>
      <c r="V437" s="907"/>
      <c r="W437" s="907"/>
      <c r="X437" s="907"/>
      <c r="Y437" s="907"/>
      <c r="Z437" s="907"/>
      <c r="AA437" s="907"/>
      <c r="AB437" s="907"/>
      <c r="AC437" s="907"/>
    </row>
    <row r="438" spans="1:29">
      <c r="A438" s="907"/>
      <c r="B438" s="907"/>
      <c r="C438" s="907"/>
      <c r="D438" s="907"/>
      <c r="E438" s="907"/>
      <c r="F438" s="907"/>
      <c r="G438" s="907"/>
      <c r="H438" s="907"/>
      <c r="I438" s="907"/>
      <c r="J438" s="907"/>
      <c r="K438" s="907"/>
      <c r="L438" s="907"/>
      <c r="M438" s="907"/>
      <c r="N438" s="907"/>
      <c r="O438" s="907"/>
      <c r="P438" s="907"/>
      <c r="Q438" s="907"/>
      <c r="R438" s="907"/>
      <c r="S438" s="907"/>
      <c r="T438" s="907"/>
      <c r="U438" s="907"/>
      <c r="V438" s="907"/>
      <c r="W438" s="907"/>
      <c r="X438" s="907"/>
      <c r="Y438" s="907"/>
      <c r="Z438" s="907"/>
      <c r="AA438" s="907"/>
      <c r="AB438" s="907"/>
      <c r="AC438" s="907"/>
    </row>
    <row r="439" spans="1:29">
      <c r="A439" s="907"/>
      <c r="B439" s="907"/>
      <c r="C439" s="907"/>
      <c r="D439" s="907"/>
      <c r="E439" s="907"/>
      <c r="F439" s="907"/>
      <c r="G439" s="907"/>
      <c r="H439" s="907"/>
      <c r="I439" s="907"/>
      <c r="J439" s="907"/>
      <c r="K439" s="907"/>
      <c r="L439" s="907"/>
      <c r="M439" s="907"/>
      <c r="N439" s="907"/>
      <c r="O439" s="907"/>
      <c r="P439" s="907"/>
      <c r="Q439" s="907"/>
      <c r="R439" s="907"/>
      <c r="S439" s="907"/>
      <c r="T439" s="907"/>
      <c r="U439" s="907"/>
      <c r="V439" s="907"/>
      <c r="W439" s="907"/>
      <c r="X439" s="907"/>
      <c r="Y439" s="907"/>
      <c r="Z439" s="907"/>
      <c r="AA439" s="907"/>
      <c r="AB439" s="907"/>
      <c r="AC439" s="907"/>
    </row>
    <row r="440" spans="1:29">
      <c r="A440" s="907"/>
      <c r="B440" s="907"/>
      <c r="C440" s="907"/>
      <c r="D440" s="907"/>
      <c r="E440" s="907"/>
      <c r="F440" s="907"/>
      <c r="G440" s="907"/>
      <c r="H440" s="907"/>
      <c r="I440" s="907"/>
      <c r="J440" s="907"/>
      <c r="K440" s="907"/>
      <c r="L440" s="907"/>
      <c r="M440" s="907"/>
      <c r="N440" s="907"/>
      <c r="O440" s="907"/>
      <c r="P440" s="907"/>
      <c r="Q440" s="907"/>
      <c r="R440" s="907"/>
      <c r="S440" s="907"/>
      <c r="T440" s="907"/>
      <c r="U440" s="907"/>
      <c r="V440" s="907"/>
      <c r="W440" s="907"/>
      <c r="X440" s="907"/>
      <c r="Y440" s="907"/>
      <c r="Z440" s="907"/>
      <c r="AA440" s="907"/>
      <c r="AB440" s="907"/>
      <c r="AC440" s="907"/>
    </row>
    <row r="441" spans="1:29">
      <c r="A441" s="907"/>
      <c r="B441" s="907"/>
      <c r="C441" s="907"/>
      <c r="D441" s="907"/>
      <c r="E441" s="907"/>
      <c r="F441" s="907"/>
      <c r="G441" s="907"/>
      <c r="H441" s="907"/>
      <c r="I441" s="907"/>
      <c r="J441" s="907"/>
      <c r="K441" s="907"/>
      <c r="L441" s="907"/>
      <c r="M441" s="907"/>
      <c r="N441" s="907"/>
      <c r="O441" s="907"/>
      <c r="P441" s="907"/>
      <c r="Q441" s="907"/>
      <c r="R441" s="907"/>
      <c r="S441" s="907"/>
      <c r="T441" s="907"/>
      <c r="U441" s="907"/>
      <c r="V441" s="907"/>
      <c r="W441" s="907"/>
      <c r="X441" s="907"/>
      <c r="Y441" s="907"/>
      <c r="Z441" s="907"/>
      <c r="AA441" s="907"/>
      <c r="AB441" s="907"/>
      <c r="AC441" s="907"/>
    </row>
    <row r="442" spans="1:29">
      <c r="A442" s="907"/>
      <c r="B442" s="907"/>
      <c r="C442" s="907"/>
      <c r="D442" s="907"/>
      <c r="E442" s="907"/>
      <c r="F442" s="907"/>
      <c r="G442" s="907"/>
      <c r="H442" s="907"/>
      <c r="I442" s="907"/>
      <c r="J442" s="907"/>
      <c r="K442" s="907"/>
      <c r="L442" s="907"/>
      <c r="M442" s="907"/>
      <c r="N442" s="907"/>
      <c r="O442" s="907"/>
      <c r="P442" s="907"/>
      <c r="Q442" s="907"/>
      <c r="R442" s="907"/>
      <c r="S442" s="907"/>
      <c r="T442" s="907"/>
      <c r="U442" s="907"/>
      <c r="V442" s="907"/>
      <c r="W442" s="907"/>
      <c r="X442" s="907"/>
      <c r="Y442" s="907"/>
      <c r="Z442" s="907"/>
      <c r="AA442" s="907"/>
      <c r="AB442" s="907"/>
      <c r="AC442" s="907"/>
    </row>
    <row r="443" spans="1:29">
      <c r="A443" s="907"/>
      <c r="B443" s="907"/>
      <c r="C443" s="907"/>
      <c r="D443" s="907"/>
      <c r="E443" s="907"/>
      <c r="F443" s="907"/>
      <c r="G443" s="907"/>
      <c r="H443" s="907"/>
      <c r="I443" s="907"/>
      <c r="J443" s="907"/>
      <c r="K443" s="907"/>
      <c r="L443" s="907"/>
      <c r="M443" s="907"/>
      <c r="N443" s="907"/>
      <c r="O443" s="907"/>
      <c r="P443" s="907"/>
      <c r="Q443" s="907"/>
      <c r="R443" s="907"/>
      <c r="S443" s="907"/>
      <c r="T443" s="907"/>
      <c r="U443" s="907"/>
      <c r="V443" s="907"/>
      <c r="W443" s="907"/>
      <c r="X443" s="907"/>
      <c r="Y443" s="907"/>
      <c r="Z443" s="907"/>
      <c r="AA443" s="907"/>
      <c r="AB443" s="907"/>
      <c r="AC443" s="907"/>
    </row>
    <row r="444" spans="1:29">
      <c r="A444" s="907"/>
      <c r="B444" s="907"/>
      <c r="C444" s="907"/>
      <c r="D444" s="907"/>
      <c r="E444" s="907"/>
      <c r="F444" s="907"/>
      <c r="G444" s="907"/>
      <c r="H444" s="907"/>
      <c r="I444" s="907"/>
      <c r="J444" s="907"/>
      <c r="K444" s="907"/>
      <c r="L444" s="907"/>
      <c r="M444" s="907"/>
      <c r="N444" s="907"/>
      <c r="O444" s="907"/>
      <c r="P444" s="907"/>
      <c r="Q444" s="907"/>
      <c r="R444" s="907"/>
      <c r="S444" s="907"/>
      <c r="T444" s="907"/>
      <c r="U444" s="907"/>
      <c r="V444" s="907"/>
      <c r="W444" s="907"/>
      <c r="X444" s="907"/>
      <c r="Y444" s="907"/>
      <c r="Z444" s="907"/>
      <c r="AA444" s="907"/>
      <c r="AB444" s="907"/>
      <c r="AC444" s="907"/>
    </row>
    <row r="445" spans="1:29">
      <c r="A445" s="907"/>
      <c r="B445" s="907"/>
      <c r="C445" s="907"/>
      <c r="D445" s="907"/>
      <c r="E445" s="907"/>
      <c r="F445" s="907"/>
      <c r="G445" s="907"/>
      <c r="H445" s="907"/>
      <c r="I445" s="907"/>
      <c r="J445" s="907"/>
      <c r="K445" s="907"/>
      <c r="L445" s="907"/>
      <c r="M445" s="907"/>
      <c r="N445" s="907"/>
      <c r="O445" s="907"/>
      <c r="P445" s="907"/>
      <c r="Q445" s="907"/>
      <c r="R445" s="907"/>
      <c r="S445" s="907"/>
      <c r="T445" s="907"/>
      <c r="U445" s="907"/>
      <c r="V445" s="907"/>
      <c r="W445" s="907"/>
      <c r="X445" s="907"/>
      <c r="Y445" s="907"/>
      <c r="Z445" s="907"/>
      <c r="AA445" s="907"/>
      <c r="AB445" s="907"/>
      <c r="AC445" s="907"/>
    </row>
    <row r="446" spans="1:29">
      <c r="A446" s="907"/>
      <c r="B446" s="907"/>
      <c r="C446" s="907"/>
      <c r="D446" s="907"/>
      <c r="E446" s="907"/>
      <c r="F446" s="907"/>
      <c r="G446" s="907"/>
      <c r="H446" s="907"/>
      <c r="I446" s="907"/>
      <c r="J446" s="907"/>
      <c r="K446" s="907"/>
      <c r="L446" s="907"/>
      <c r="M446" s="907"/>
      <c r="N446" s="907"/>
      <c r="O446" s="907"/>
      <c r="P446" s="907"/>
      <c r="Q446" s="907"/>
      <c r="R446" s="907"/>
      <c r="S446" s="907"/>
      <c r="T446" s="907"/>
      <c r="U446" s="907"/>
      <c r="V446" s="907"/>
      <c r="W446" s="907"/>
      <c r="X446" s="907"/>
      <c r="Y446" s="907"/>
      <c r="Z446" s="907"/>
      <c r="AA446" s="907"/>
      <c r="AB446" s="907"/>
      <c r="AC446" s="907"/>
    </row>
    <row r="447" spans="1:29">
      <c r="A447" s="907"/>
      <c r="B447" s="907"/>
      <c r="C447" s="907"/>
      <c r="D447" s="907"/>
      <c r="E447" s="907"/>
      <c r="F447" s="907"/>
      <c r="G447" s="907"/>
      <c r="H447" s="907"/>
      <c r="I447" s="907"/>
      <c r="J447" s="907"/>
      <c r="K447" s="907"/>
      <c r="L447" s="907"/>
      <c r="M447" s="907"/>
      <c r="N447" s="907"/>
      <c r="O447" s="907"/>
      <c r="P447" s="907"/>
      <c r="Q447" s="907"/>
      <c r="R447" s="907"/>
      <c r="S447" s="907"/>
      <c r="T447" s="907"/>
      <c r="U447" s="907"/>
      <c r="V447" s="907"/>
      <c r="W447" s="907"/>
      <c r="X447" s="907"/>
      <c r="Y447" s="907"/>
      <c r="Z447" s="907"/>
      <c r="AA447" s="907"/>
      <c r="AB447" s="907"/>
      <c r="AC447" s="907"/>
    </row>
    <row r="448" spans="1:29">
      <c r="A448" s="907"/>
      <c r="B448" s="907"/>
      <c r="C448" s="907"/>
      <c r="D448" s="907"/>
      <c r="E448" s="907"/>
      <c r="F448" s="907"/>
      <c r="G448" s="907"/>
      <c r="H448" s="907"/>
      <c r="I448" s="907"/>
      <c r="J448" s="907"/>
      <c r="K448" s="907"/>
      <c r="L448" s="907"/>
      <c r="M448" s="907"/>
      <c r="N448" s="907"/>
      <c r="O448" s="907"/>
      <c r="P448" s="907"/>
      <c r="Q448" s="907"/>
      <c r="R448" s="907"/>
      <c r="S448" s="907"/>
      <c r="T448" s="907"/>
      <c r="U448" s="907"/>
      <c r="V448" s="907"/>
      <c r="W448" s="907"/>
      <c r="X448" s="907"/>
      <c r="Y448" s="907"/>
      <c r="Z448" s="907"/>
      <c r="AA448" s="907"/>
      <c r="AB448" s="907"/>
      <c r="AC448" s="907"/>
    </row>
    <row r="449" spans="1:29">
      <c r="A449" s="907"/>
      <c r="B449" s="907"/>
      <c r="C449" s="907"/>
      <c r="D449" s="907"/>
      <c r="E449" s="907"/>
      <c r="F449" s="907"/>
      <c r="G449" s="907"/>
      <c r="H449" s="907"/>
      <c r="I449" s="907"/>
      <c r="J449" s="907"/>
      <c r="K449" s="907"/>
      <c r="L449" s="907"/>
      <c r="M449" s="907"/>
      <c r="N449" s="907"/>
      <c r="O449" s="907"/>
      <c r="P449" s="907"/>
      <c r="Q449" s="907"/>
      <c r="R449" s="907"/>
      <c r="S449" s="907"/>
      <c r="T449" s="907"/>
      <c r="U449" s="907"/>
      <c r="V449" s="907"/>
      <c r="W449" s="907"/>
      <c r="X449" s="907"/>
      <c r="Y449" s="907"/>
      <c r="Z449" s="907"/>
      <c r="AA449" s="907"/>
      <c r="AB449" s="907"/>
      <c r="AC449" s="907"/>
    </row>
    <row r="450" spans="1:29">
      <c r="A450" s="907"/>
      <c r="B450" s="907"/>
      <c r="C450" s="907"/>
      <c r="D450" s="907"/>
      <c r="E450" s="907"/>
      <c r="F450" s="907"/>
      <c r="G450" s="907"/>
      <c r="H450" s="907"/>
      <c r="I450" s="907"/>
      <c r="J450" s="907"/>
      <c r="K450" s="907"/>
      <c r="L450" s="907"/>
      <c r="M450" s="907"/>
      <c r="N450" s="907"/>
      <c r="O450" s="907"/>
      <c r="P450" s="907"/>
      <c r="Q450" s="907"/>
      <c r="R450" s="907"/>
      <c r="S450" s="907"/>
      <c r="T450" s="907"/>
      <c r="U450" s="907"/>
      <c r="V450" s="907"/>
      <c r="W450" s="907"/>
      <c r="X450" s="907"/>
      <c r="Y450" s="907"/>
      <c r="Z450" s="907"/>
      <c r="AA450" s="907"/>
      <c r="AB450" s="907"/>
      <c r="AC450" s="907"/>
    </row>
    <row r="451" spans="1:29">
      <c r="A451" s="907"/>
      <c r="B451" s="907"/>
      <c r="C451" s="907"/>
      <c r="D451" s="907"/>
      <c r="E451" s="907"/>
      <c r="F451" s="907"/>
      <c r="G451" s="907"/>
      <c r="H451" s="907"/>
      <c r="I451" s="907"/>
      <c r="J451" s="907"/>
      <c r="K451" s="907"/>
      <c r="L451" s="907"/>
      <c r="M451" s="907"/>
      <c r="N451" s="907"/>
      <c r="O451" s="907"/>
      <c r="P451" s="907"/>
      <c r="Q451" s="907"/>
      <c r="R451" s="907"/>
      <c r="S451" s="907"/>
      <c r="T451" s="907"/>
      <c r="U451" s="907"/>
      <c r="V451" s="907"/>
      <c r="W451" s="907"/>
      <c r="X451" s="907"/>
      <c r="Y451" s="907"/>
      <c r="Z451" s="907"/>
      <c r="AA451" s="907"/>
      <c r="AB451" s="907"/>
      <c r="AC451" s="907"/>
    </row>
    <row r="452" spans="1:29">
      <c r="A452" s="907"/>
      <c r="B452" s="907"/>
      <c r="C452" s="907"/>
      <c r="D452" s="907"/>
      <c r="E452" s="907"/>
      <c r="F452" s="907"/>
      <c r="G452" s="907"/>
      <c r="H452" s="907"/>
      <c r="I452" s="907"/>
      <c r="J452" s="907"/>
      <c r="K452" s="907"/>
      <c r="L452" s="907"/>
      <c r="M452" s="907"/>
      <c r="N452" s="907"/>
      <c r="O452" s="907"/>
      <c r="P452" s="907"/>
      <c r="Q452" s="907"/>
      <c r="R452" s="907"/>
      <c r="S452" s="907"/>
      <c r="T452" s="907"/>
      <c r="U452" s="907"/>
      <c r="V452" s="907"/>
      <c r="W452" s="907"/>
      <c r="X452" s="907"/>
      <c r="Y452" s="907"/>
      <c r="Z452" s="907"/>
      <c r="AA452" s="907"/>
      <c r="AB452" s="907"/>
      <c r="AC452" s="907"/>
    </row>
    <row r="453" spans="1:29">
      <c r="A453" s="907"/>
      <c r="B453" s="907"/>
      <c r="C453" s="907"/>
      <c r="D453" s="907"/>
      <c r="E453" s="907"/>
      <c r="F453" s="907"/>
      <c r="G453" s="907"/>
      <c r="H453" s="907"/>
      <c r="I453" s="907"/>
      <c r="J453" s="907"/>
      <c r="K453" s="907"/>
      <c r="L453" s="907"/>
      <c r="M453" s="907"/>
      <c r="N453" s="907"/>
      <c r="O453" s="907"/>
      <c r="P453" s="907"/>
      <c r="Q453" s="907"/>
      <c r="R453" s="907"/>
      <c r="S453" s="907"/>
      <c r="T453" s="907"/>
      <c r="U453" s="907"/>
      <c r="V453" s="907"/>
      <c r="W453" s="907"/>
      <c r="X453" s="907"/>
      <c r="Y453" s="907"/>
      <c r="Z453" s="907"/>
      <c r="AA453" s="907"/>
      <c r="AB453" s="907"/>
      <c r="AC453" s="907"/>
    </row>
    <row r="454" spans="1:29">
      <c r="A454" s="907"/>
      <c r="B454" s="907"/>
      <c r="C454" s="907"/>
      <c r="D454" s="907"/>
      <c r="E454" s="907"/>
      <c r="F454" s="907"/>
      <c r="G454" s="907"/>
      <c r="H454" s="907"/>
      <c r="I454" s="907"/>
      <c r="J454" s="907"/>
      <c r="K454" s="907"/>
      <c r="L454" s="907"/>
      <c r="M454" s="907"/>
      <c r="N454" s="907"/>
      <c r="O454" s="907"/>
      <c r="P454" s="907"/>
      <c r="Q454" s="907"/>
      <c r="R454" s="907"/>
      <c r="S454" s="907"/>
      <c r="T454" s="907"/>
      <c r="U454" s="907"/>
      <c r="V454" s="907"/>
      <c r="W454" s="907"/>
      <c r="X454" s="907"/>
      <c r="Y454" s="907"/>
      <c r="Z454" s="907"/>
      <c r="AA454" s="907"/>
      <c r="AB454" s="907"/>
      <c r="AC454" s="907"/>
    </row>
    <row r="455" spans="1:29">
      <c r="A455" s="907"/>
      <c r="B455" s="907"/>
      <c r="C455" s="907"/>
      <c r="D455" s="907"/>
      <c r="E455" s="907"/>
      <c r="F455" s="907"/>
      <c r="G455" s="907"/>
      <c r="H455" s="907"/>
      <c r="I455" s="907"/>
      <c r="J455" s="907"/>
      <c r="K455" s="907"/>
      <c r="L455" s="907"/>
      <c r="M455" s="907"/>
      <c r="N455" s="907"/>
      <c r="O455" s="907"/>
      <c r="P455" s="907"/>
      <c r="Q455" s="907"/>
      <c r="R455" s="907"/>
      <c r="S455" s="907"/>
      <c r="T455" s="907"/>
      <c r="U455" s="907"/>
      <c r="V455" s="907"/>
      <c r="W455" s="907"/>
      <c r="X455" s="907"/>
      <c r="Y455" s="907"/>
      <c r="Z455" s="907"/>
      <c r="AA455" s="907"/>
      <c r="AB455" s="907"/>
      <c r="AC455" s="907"/>
    </row>
    <row r="456" spans="1:29">
      <c r="A456" s="907"/>
      <c r="B456" s="907"/>
      <c r="C456" s="907"/>
      <c r="D456" s="907"/>
      <c r="E456" s="907"/>
      <c r="F456" s="907"/>
      <c r="G456" s="907"/>
      <c r="H456" s="907"/>
      <c r="I456" s="907"/>
      <c r="J456" s="907"/>
      <c r="K456" s="907"/>
      <c r="L456" s="907"/>
      <c r="M456" s="907"/>
      <c r="N456" s="907"/>
      <c r="O456" s="907"/>
      <c r="P456" s="907"/>
      <c r="Q456" s="907"/>
      <c r="R456" s="907"/>
      <c r="S456" s="907"/>
      <c r="T456" s="907"/>
      <c r="U456" s="907"/>
      <c r="V456" s="907"/>
      <c r="W456" s="907"/>
      <c r="X456" s="907"/>
      <c r="Y456" s="907"/>
      <c r="Z456" s="907"/>
      <c r="AA456" s="907"/>
      <c r="AB456" s="907"/>
      <c r="AC456" s="907"/>
    </row>
    <row r="457" spans="1:29">
      <c r="A457" s="907"/>
      <c r="B457" s="907"/>
      <c r="C457" s="907"/>
      <c r="D457" s="907"/>
      <c r="E457" s="907"/>
      <c r="F457" s="907"/>
      <c r="G457" s="907"/>
      <c r="H457" s="907"/>
      <c r="I457" s="907"/>
      <c r="J457" s="907"/>
      <c r="K457" s="907"/>
      <c r="L457" s="907"/>
      <c r="M457" s="907"/>
      <c r="N457" s="907"/>
      <c r="O457" s="907"/>
      <c r="P457" s="907"/>
      <c r="Q457" s="907"/>
      <c r="R457" s="907"/>
      <c r="S457" s="907"/>
      <c r="T457" s="907"/>
      <c r="U457" s="907"/>
      <c r="V457" s="907"/>
      <c r="W457" s="907"/>
      <c r="X457" s="907"/>
      <c r="Y457" s="907"/>
      <c r="Z457" s="907"/>
      <c r="AA457" s="907"/>
      <c r="AB457" s="907"/>
      <c r="AC457" s="907"/>
    </row>
    <row r="458" spans="1:29">
      <c r="A458" s="907"/>
      <c r="B458" s="907"/>
      <c r="C458" s="907"/>
      <c r="D458" s="907"/>
      <c r="E458" s="907"/>
      <c r="F458" s="907"/>
      <c r="G458" s="907"/>
      <c r="H458" s="907"/>
      <c r="I458" s="907"/>
      <c r="J458" s="907"/>
      <c r="K458" s="907"/>
      <c r="L458" s="907"/>
      <c r="M458" s="907"/>
      <c r="N458" s="907"/>
      <c r="O458" s="907"/>
      <c r="P458" s="907"/>
      <c r="Q458" s="907"/>
      <c r="R458" s="907"/>
      <c r="S458" s="907"/>
      <c r="T458" s="907"/>
      <c r="U458" s="907"/>
      <c r="V458" s="907"/>
      <c r="W458" s="907"/>
      <c r="X458" s="907"/>
      <c r="Y458" s="907"/>
      <c r="Z458" s="907"/>
      <c r="AA458" s="907"/>
      <c r="AB458" s="907"/>
      <c r="AC458" s="907"/>
    </row>
    <row r="459" spans="1:29">
      <c r="A459" s="907"/>
      <c r="B459" s="907"/>
      <c r="C459" s="907"/>
      <c r="D459" s="907"/>
      <c r="E459" s="907"/>
      <c r="F459" s="907"/>
      <c r="G459" s="907"/>
      <c r="H459" s="907"/>
      <c r="I459" s="907"/>
      <c r="J459" s="907"/>
      <c r="K459" s="907"/>
      <c r="L459" s="907"/>
      <c r="M459" s="907"/>
      <c r="N459" s="907"/>
      <c r="O459" s="907"/>
      <c r="P459" s="907"/>
      <c r="Q459" s="907"/>
      <c r="R459" s="907"/>
      <c r="S459" s="907"/>
      <c r="T459" s="907"/>
      <c r="U459" s="907"/>
      <c r="V459" s="907"/>
      <c r="W459" s="907"/>
      <c r="X459" s="907"/>
      <c r="Y459" s="907"/>
      <c r="Z459" s="907"/>
      <c r="AA459" s="907"/>
      <c r="AB459" s="907"/>
      <c r="AC459" s="907"/>
    </row>
    <row r="460" spans="1:29">
      <c r="A460" s="907"/>
      <c r="B460" s="907"/>
      <c r="C460" s="907"/>
      <c r="D460" s="907"/>
      <c r="E460" s="907"/>
      <c r="F460" s="907"/>
      <c r="G460" s="907"/>
      <c r="H460" s="907"/>
      <c r="I460" s="907"/>
      <c r="J460" s="907"/>
      <c r="K460" s="907"/>
      <c r="L460" s="907"/>
      <c r="M460" s="907"/>
      <c r="N460" s="907"/>
      <c r="O460" s="907"/>
      <c r="P460" s="907"/>
      <c r="Q460" s="907"/>
      <c r="R460" s="907"/>
      <c r="S460" s="907"/>
      <c r="T460" s="907"/>
      <c r="U460" s="907"/>
      <c r="V460" s="907"/>
      <c r="W460" s="907"/>
      <c r="X460" s="907"/>
      <c r="Y460" s="907"/>
      <c r="Z460" s="907"/>
      <c r="AA460" s="907"/>
      <c r="AB460" s="907"/>
      <c r="AC460" s="907"/>
    </row>
    <row r="461" spans="1:29">
      <c r="A461" s="907"/>
      <c r="B461" s="907"/>
      <c r="C461" s="907"/>
      <c r="D461" s="907"/>
      <c r="E461" s="907"/>
      <c r="F461" s="907"/>
      <c r="G461" s="907"/>
      <c r="H461" s="907"/>
      <c r="I461" s="907"/>
      <c r="J461" s="907"/>
      <c r="K461" s="907"/>
      <c r="L461" s="907"/>
      <c r="M461" s="907"/>
      <c r="N461" s="907"/>
      <c r="O461" s="907"/>
      <c r="P461" s="907"/>
      <c r="Q461" s="907"/>
      <c r="R461" s="907"/>
      <c r="S461" s="907"/>
      <c r="T461" s="907"/>
      <c r="U461" s="907"/>
      <c r="V461" s="907"/>
      <c r="W461" s="907"/>
      <c r="X461" s="907"/>
      <c r="Y461" s="907"/>
      <c r="Z461" s="907"/>
      <c r="AA461" s="907"/>
      <c r="AB461" s="907"/>
      <c r="AC461" s="907"/>
    </row>
    <row r="462" spans="1:29">
      <c r="A462" s="907"/>
      <c r="B462" s="907"/>
      <c r="C462" s="907"/>
      <c r="D462" s="907"/>
      <c r="E462" s="907"/>
      <c r="F462" s="907"/>
      <c r="G462" s="907"/>
      <c r="H462" s="907"/>
      <c r="I462" s="907"/>
      <c r="J462" s="907"/>
      <c r="K462" s="907"/>
      <c r="L462" s="907"/>
      <c r="M462" s="907"/>
      <c r="N462" s="907"/>
      <c r="O462" s="907"/>
      <c r="P462" s="907"/>
      <c r="Q462" s="907"/>
      <c r="R462" s="907"/>
      <c r="S462" s="907"/>
      <c r="T462" s="907"/>
      <c r="U462" s="907"/>
      <c r="V462" s="907"/>
      <c r="W462" s="907"/>
      <c r="X462" s="907"/>
      <c r="Y462" s="907"/>
      <c r="Z462" s="907"/>
      <c r="AA462" s="907"/>
      <c r="AB462" s="907"/>
      <c r="AC462" s="907"/>
    </row>
    <row r="463" spans="1:29">
      <c r="A463" s="907"/>
      <c r="B463" s="907"/>
      <c r="C463" s="907"/>
      <c r="D463" s="907"/>
      <c r="E463" s="907"/>
      <c r="F463" s="907"/>
      <c r="G463" s="907"/>
      <c r="H463" s="907"/>
      <c r="I463" s="907"/>
      <c r="J463" s="907"/>
      <c r="K463" s="907"/>
      <c r="L463" s="907"/>
      <c r="M463" s="907"/>
      <c r="N463" s="907"/>
      <c r="O463" s="907"/>
      <c r="P463" s="907"/>
      <c r="Q463" s="907"/>
      <c r="R463" s="907"/>
      <c r="S463" s="907"/>
      <c r="T463" s="907"/>
      <c r="U463" s="907"/>
      <c r="V463" s="907"/>
      <c r="W463" s="907"/>
      <c r="X463" s="907"/>
      <c r="Y463" s="907"/>
      <c r="Z463" s="907"/>
      <c r="AA463" s="907"/>
      <c r="AB463" s="907"/>
      <c r="AC463" s="907"/>
    </row>
    <row r="464" spans="1:29">
      <c r="A464" s="907"/>
      <c r="B464" s="907"/>
      <c r="C464" s="907"/>
      <c r="D464" s="907"/>
      <c r="E464" s="907"/>
      <c r="F464" s="907"/>
      <c r="G464" s="907"/>
      <c r="H464" s="907"/>
      <c r="I464" s="907"/>
      <c r="J464" s="907"/>
      <c r="K464" s="907"/>
      <c r="L464" s="907"/>
      <c r="M464" s="907"/>
      <c r="N464" s="907"/>
      <c r="O464" s="907"/>
      <c r="P464" s="907"/>
      <c r="Q464" s="907"/>
      <c r="R464" s="907"/>
      <c r="S464" s="907"/>
      <c r="T464" s="907"/>
      <c r="U464" s="907"/>
      <c r="V464" s="907"/>
      <c r="W464" s="907"/>
      <c r="X464" s="907"/>
      <c r="Y464" s="907"/>
      <c r="Z464" s="907"/>
      <c r="AA464" s="907"/>
      <c r="AB464" s="907"/>
      <c r="AC464" s="907"/>
    </row>
    <row r="465" spans="1:29">
      <c r="A465" s="907"/>
      <c r="B465" s="907"/>
      <c r="C465" s="907"/>
      <c r="D465" s="907"/>
      <c r="E465" s="907"/>
      <c r="F465" s="907"/>
      <c r="G465" s="907"/>
      <c r="H465" s="907"/>
      <c r="I465" s="907"/>
      <c r="J465" s="907"/>
      <c r="K465" s="907"/>
      <c r="L465" s="907"/>
      <c r="M465" s="907"/>
      <c r="N465" s="907"/>
      <c r="O465" s="907"/>
      <c r="P465" s="907"/>
      <c r="Q465" s="907"/>
      <c r="R465" s="907"/>
      <c r="S465" s="907"/>
      <c r="T465" s="907"/>
      <c r="U465" s="907"/>
      <c r="V465" s="907"/>
      <c r="W465" s="907"/>
      <c r="X465" s="907"/>
      <c r="Y465" s="907"/>
      <c r="Z465" s="907"/>
      <c r="AA465" s="907"/>
      <c r="AB465" s="907"/>
      <c r="AC465" s="907"/>
    </row>
    <row r="466" spans="1:29">
      <c r="A466" s="907"/>
      <c r="B466" s="907"/>
      <c r="C466" s="907"/>
      <c r="D466" s="907"/>
      <c r="E466" s="907"/>
      <c r="F466" s="907"/>
      <c r="G466" s="907"/>
      <c r="H466" s="907"/>
      <c r="I466" s="907"/>
      <c r="J466" s="907"/>
      <c r="K466" s="907"/>
      <c r="L466" s="907"/>
      <c r="M466" s="907"/>
      <c r="N466" s="907"/>
      <c r="O466" s="907"/>
      <c r="P466" s="907"/>
      <c r="Q466" s="907"/>
      <c r="R466" s="907"/>
      <c r="S466" s="907"/>
      <c r="T466" s="907"/>
      <c r="U466" s="907"/>
      <c r="V466" s="907"/>
      <c r="W466" s="907"/>
      <c r="X466" s="907"/>
      <c r="Y466" s="907"/>
      <c r="Z466" s="907"/>
      <c r="AA466" s="907"/>
      <c r="AB466" s="907"/>
      <c r="AC466" s="907"/>
    </row>
    <row r="467" spans="1:29">
      <c r="A467" s="907"/>
      <c r="B467" s="907"/>
      <c r="C467" s="907"/>
      <c r="D467" s="907"/>
      <c r="E467" s="907"/>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c r="AB467" s="907"/>
      <c r="AC467" s="907"/>
    </row>
    <row r="468" spans="1:29">
      <c r="A468" s="907"/>
      <c r="B468" s="907"/>
      <c r="C468" s="907"/>
      <c r="D468" s="907"/>
      <c r="E468" s="90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c r="AB468" s="907"/>
      <c r="AC468" s="907"/>
    </row>
    <row r="469" spans="1:29">
      <c r="A469" s="907"/>
      <c r="B469" s="907"/>
      <c r="C469" s="907"/>
      <c r="D469" s="907"/>
      <c r="E469" s="907"/>
      <c r="F469" s="907"/>
      <c r="G469" s="907"/>
      <c r="H469" s="907"/>
      <c r="I469" s="907"/>
      <c r="J469" s="907"/>
      <c r="K469" s="907"/>
      <c r="L469" s="907"/>
      <c r="M469" s="907"/>
      <c r="N469" s="907"/>
      <c r="O469" s="907"/>
      <c r="P469" s="907"/>
      <c r="Q469" s="907"/>
      <c r="R469" s="907"/>
      <c r="S469" s="907"/>
      <c r="T469" s="907"/>
      <c r="U469" s="907"/>
      <c r="V469" s="907"/>
      <c r="W469" s="907"/>
      <c r="X469" s="907"/>
      <c r="Y469" s="907"/>
      <c r="Z469" s="907"/>
      <c r="AA469" s="907"/>
      <c r="AB469" s="907"/>
      <c r="AC469" s="907"/>
    </row>
    <row r="470" spans="1:29">
      <c r="A470" s="907"/>
      <c r="B470" s="907"/>
      <c r="C470" s="907"/>
      <c r="D470" s="907"/>
      <c r="E470" s="907"/>
      <c r="F470" s="907"/>
      <c r="G470" s="907"/>
      <c r="H470" s="907"/>
      <c r="I470" s="907"/>
      <c r="J470" s="907"/>
      <c r="K470" s="907"/>
      <c r="L470" s="907"/>
      <c r="M470" s="907"/>
      <c r="N470" s="907"/>
      <c r="O470" s="907"/>
      <c r="P470" s="907"/>
      <c r="Q470" s="907"/>
      <c r="R470" s="907"/>
      <c r="S470" s="907"/>
      <c r="T470" s="907"/>
      <c r="U470" s="907"/>
      <c r="V470" s="907"/>
      <c r="W470" s="907"/>
      <c r="X470" s="907"/>
      <c r="Y470" s="907"/>
      <c r="Z470" s="907"/>
      <c r="AA470" s="907"/>
      <c r="AB470" s="907"/>
      <c r="AC470" s="907"/>
    </row>
    <row r="471" spans="1:29">
      <c r="A471" s="907"/>
      <c r="B471" s="907"/>
      <c r="C471" s="907"/>
      <c r="D471" s="907"/>
      <c r="E471" s="907"/>
      <c r="F471" s="907"/>
      <c r="G471" s="907"/>
      <c r="H471" s="907"/>
      <c r="I471" s="907"/>
      <c r="J471" s="907"/>
      <c r="K471" s="907"/>
      <c r="L471" s="907"/>
      <c r="M471" s="907"/>
      <c r="N471" s="907"/>
      <c r="O471" s="907"/>
      <c r="P471" s="907"/>
      <c r="Q471" s="907"/>
      <c r="R471" s="907"/>
      <c r="S471" s="907"/>
      <c r="T471" s="907"/>
      <c r="U471" s="907"/>
      <c r="V471" s="907"/>
      <c r="W471" s="907"/>
      <c r="X471" s="907"/>
      <c r="Y471" s="907"/>
      <c r="Z471" s="907"/>
      <c r="AA471" s="907"/>
      <c r="AB471" s="907"/>
      <c r="AC471" s="907"/>
    </row>
    <row r="472" spans="1:29">
      <c r="A472" s="907"/>
      <c r="B472" s="907"/>
      <c r="C472" s="907"/>
      <c r="D472" s="907"/>
      <c r="E472" s="907"/>
      <c r="F472" s="907"/>
      <c r="G472" s="907"/>
      <c r="H472" s="907"/>
      <c r="I472" s="907"/>
      <c r="J472" s="907"/>
      <c r="K472" s="907"/>
      <c r="L472" s="907"/>
      <c r="M472" s="907"/>
      <c r="N472" s="907"/>
      <c r="O472" s="907"/>
      <c r="P472" s="907"/>
      <c r="Q472" s="907"/>
      <c r="R472" s="907"/>
      <c r="S472" s="907"/>
      <c r="T472" s="907"/>
      <c r="U472" s="907"/>
      <c r="V472" s="907"/>
      <c r="W472" s="907"/>
      <c r="X472" s="907"/>
      <c r="Y472" s="907"/>
      <c r="Z472" s="907"/>
      <c r="AA472" s="907"/>
      <c r="AB472" s="907"/>
      <c r="AC472" s="907"/>
    </row>
    <row r="473" spans="1:29">
      <c r="A473" s="907"/>
      <c r="B473" s="907"/>
      <c r="C473" s="907"/>
      <c r="D473" s="907"/>
      <c r="E473" s="907"/>
      <c r="F473" s="907"/>
      <c r="G473" s="907"/>
      <c r="H473" s="907"/>
      <c r="I473" s="907"/>
      <c r="J473" s="907"/>
      <c r="K473" s="907"/>
      <c r="L473" s="907"/>
      <c r="M473" s="907"/>
      <c r="N473" s="907"/>
      <c r="O473" s="907"/>
      <c r="P473" s="907"/>
      <c r="Q473" s="907"/>
      <c r="R473" s="907"/>
      <c r="S473" s="907"/>
      <c r="T473" s="907"/>
      <c r="U473" s="907"/>
      <c r="V473" s="907"/>
      <c r="W473" s="907"/>
      <c r="X473" s="907"/>
      <c r="Y473" s="907"/>
      <c r="Z473" s="907"/>
      <c r="AA473" s="907"/>
      <c r="AB473" s="907"/>
      <c r="AC473" s="907"/>
    </row>
    <row r="474" spans="1:29">
      <c r="A474" s="907"/>
      <c r="B474" s="907"/>
      <c r="C474" s="907"/>
      <c r="D474" s="907"/>
      <c r="E474" s="907"/>
      <c r="F474" s="907"/>
      <c r="G474" s="907"/>
      <c r="H474" s="907"/>
      <c r="I474" s="907"/>
      <c r="J474" s="907"/>
      <c r="K474" s="907"/>
      <c r="L474" s="907"/>
      <c r="M474" s="907"/>
      <c r="N474" s="907"/>
      <c r="O474" s="907"/>
      <c r="P474" s="907"/>
      <c r="Q474" s="907"/>
      <c r="R474" s="907"/>
      <c r="S474" s="907"/>
      <c r="T474" s="907"/>
      <c r="U474" s="907"/>
      <c r="V474" s="907"/>
      <c r="W474" s="907"/>
      <c r="X474" s="907"/>
      <c r="Y474" s="907"/>
      <c r="Z474" s="907"/>
      <c r="AA474" s="907"/>
      <c r="AB474" s="907"/>
      <c r="AC474" s="907"/>
    </row>
    <row r="475" spans="1:29">
      <c r="A475" s="907"/>
      <c r="B475" s="907"/>
      <c r="C475" s="907"/>
      <c r="D475" s="907"/>
      <c r="E475" s="907"/>
      <c r="F475" s="907"/>
      <c r="G475" s="907"/>
      <c r="H475" s="907"/>
      <c r="I475" s="907"/>
      <c r="J475" s="907"/>
      <c r="K475" s="907"/>
      <c r="L475" s="907"/>
      <c r="M475" s="907"/>
      <c r="N475" s="907"/>
      <c r="O475" s="907"/>
      <c r="P475" s="907"/>
      <c r="Q475" s="907"/>
      <c r="R475" s="907"/>
      <c r="S475" s="907"/>
      <c r="T475" s="907"/>
      <c r="U475" s="907"/>
      <c r="V475" s="907"/>
      <c r="W475" s="907"/>
      <c r="X475" s="907"/>
      <c r="Y475" s="907"/>
      <c r="Z475" s="907"/>
      <c r="AA475" s="907"/>
      <c r="AB475" s="907"/>
      <c r="AC475" s="907"/>
    </row>
    <row r="476" spans="1:29">
      <c r="A476" s="907"/>
      <c r="B476" s="907"/>
      <c r="C476" s="907"/>
      <c r="D476" s="907"/>
      <c r="E476" s="907"/>
      <c r="F476" s="907"/>
      <c r="G476" s="907"/>
      <c r="H476" s="907"/>
      <c r="I476" s="907"/>
      <c r="J476" s="907"/>
      <c r="K476" s="907"/>
      <c r="L476" s="907"/>
      <c r="M476" s="907"/>
      <c r="N476" s="907"/>
      <c r="O476" s="907"/>
      <c r="P476" s="907"/>
      <c r="Q476" s="907"/>
      <c r="R476" s="907"/>
      <c r="S476" s="907"/>
      <c r="T476" s="907"/>
      <c r="U476" s="907"/>
      <c r="V476" s="907"/>
      <c r="W476" s="907"/>
      <c r="X476" s="907"/>
      <c r="Y476" s="907"/>
      <c r="Z476" s="907"/>
      <c r="AA476" s="907"/>
      <c r="AB476" s="907"/>
      <c r="AC476" s="907"/>
    </row>
    <row r="477" spans="1:29">
      <c r="A477" s="907"/>
      <c r="B477" s="907"/>
      <c r="C477" s="907"/>
      <c r="D477" s="907"/>
      <c r="E477" s="907"/>
      <c r="F477" s="907"/>
      <c r="G477" s="907"/>
      <c r="H477" s="907"/>
      <c r="I477" s="907"/>
      <c r="J477" s="907"/>
      <c r="K477" s="907"/>
      <c r="L477" s="907"/>
      <c r="M477" s="907"/>
      <c r="N477" s="907"/>
      <c r="O477" s="907"/>
      <c r="P477" s="907"/>
      <c r="Q477" s="907"/>
      <c r="R477" s="907"/>
      <c r="S477" s="907"/>
      <c r="T477" s="907"/>
      <c r="U477" s="907"/>
      <c r="V477" s="907"/>
      <c r="W477" s="907"/>
      <c r="X477" s="907"/>
      <c r="Y477" s="907"/>
      <c r="Z477" s="907"/>
      <c r="AA477" s="907"/>
      <c r="AB477" s="907"/>
      <c r="AC477" s="907"/>
    </row>
    <row r="478" spans="1:29">
      <c r="A478" s="907"/>
      <c r="B478" s="907"/>
      <c r="C478" s="907"/>
      <c r="D478" s="907"/>
      <c r="E478" s="907"/>
      <c r="F478" s="907"/>
      <c r="G478" s="907"/>
      <c r="H478" s="907"/>
      <c r="I478" s="907"/>
      <c r="J478" s="907"/>
      <c r="K478" s="907"/>
      <c r="L478" s="907"/>
      <c r="M478" s="907"/>
      <c r="N478" s="907"/>
      <c r="O478" s="907"/>
      <c r="P478" s="907"/>
      <c r="Q478" s="907"/>
      <c r="R478" s="907"/>
      <c r="S478" s="907"/>
      <c r="T478" s="907"/>
      <c r="U478" s="907"/>
      <c r="V478" s="907"/>
      <c r="W478" s="907"/>
      <c r="X478" s="907"/>
      <c r="Y478" s="907"/>
      <c r="Z478" s="907"/>
      <c r="AA478" s="907"/>
      <c r="AB478" s="907"/>
      <c r="AC478" s="907"/>
    </row>
    <row r="479" spans="1:29">
      <c r="A479" s="907"/>
      <c r="B479" s="907"/>
      <c r="C479" s="907"/>
      <c r="D479" s="907"/>
      <c r="E479" s="907"/>
      <c r="F479" s="907"/>
      <c r="G479" s="907"/>
      <c r="H479" s="907"/>
      <c r="I479" s="907"/>
      <c r="J479" s="907"/>
      <c r="K479" s="907"/>
      <c r="L479" s="907"/>
      <c r="M479" s="907"/>
      <c r="N479" s="907"/>
      <c r="O479" s="907"/>
      <c r="P479" s="907"/>
      <c r="Q479" s="907"/>
      <c r="R479" s="907"/>
      <c r="S479" s="907"/>
      <c r="T479" s="907"/>
      <c r="U479" s="907"/>
      <c r="V479" s="907"/>
      <c r="W479" s="907"/>
      <c r="X479" s="907"/>
      <c r="Y479" s="907"/>
      <c r="Z479" s="907"/>
      <c r="AA479" s="907"/>
      <c r="AB479" s="907"/>
      <c r="AC479" s="907"/>
    </row>
    <row r="480" spans="1:29">
      <c r="A480" s="907"/>
      <c r="B480" s="907"/>
      <c r="C480" s="907"/>
      <c r="D480" s="907"/>
      <c r="E480" s="907"/>
      <c r="F480" s="907"/>
      <c r="G480" s="907"/>
      <c r="H480" s="907"/>
      <c r="I480" s="907"/>
      <c r="J480" s="907"/>
      <c r="K480" s="907"/>
      <c r="L480" s="907"/>
      <c r="M480" s="907"/>
      <c r="N480" s="907"/>
      <c r="O480" s="907"/>
      <c r="P480" s="907"/>
      <c r="Q480" s="907"/>
      <c r="R480" s="907"/>
      <c r="S480" s="907"/>
      <c r="T480" s="907"/>
      <c r="U480" s="907"/>
      <c r="V480" s="907"/>
      <c r="W480" s="907"/>
      <c r="X480" s="907"/>
      <c r="Y480" s="907"/>
      <c r="Z480" s="907"/>
      <c r="AA480" s="907"/>
      <c r="AB480" s="907"/>
      <c r="AC480" s="907"/>
    </row>
    <row r="481" spans="1:29">
      <c r="A481" s="907"/>
      <c r="B481" s="907"/>
      <c r="C481" s="907"/>
      <c r="D481" s="907"/>
      <c r="E481" s="907"/>
      <c r="F481" s="907"/>
      <c r="G481" s="907"/>
      <c r="H481" s="907"/>
      <c r="I481" s="907"/>
      <c r="J481" s="907"/>
      <c r="K481" s="907"/>
      <c r="L481" s="907"/>
      <c r="M481" s="907"/>
      <c r="N481" s="907"/>
      <c r="O481" s="907"/>
      <c r="P481" s="907"/>
      <c r="Q481" s="907"/>
      <c r="R481" s="907"/>
      <c r="S481" s="907"/>
      <c r="T481" s="907"/>
      <c r="U481" s="907"/>
      <c r="V481" s="907"/>
      <c r="W481" s="907"/>
      <c r="X481" s="907"/>
      <c r="Y481" s="907"/>
      <c r="Z481" s="907"/>
      <c r="AA481" s="907"/>
      <c r="AB481" s="907"/>
      <c r="AC481" s="907"/>
    </row>
    <row r="482" spans="1:29">
      <c r="A482" s="907"/>
      <c r="B482" s="907"/>
      <c r="C482" s="907"/>
      <c r="D482" s="907"/>
      <c r="E482" s="907"/>
      <c r="F482" s="907"/>
      <c r="G482" s="907"/>
      <c r="H482" s="907"/>
      <c r="I482" s="907"/>
      <c r="J482" s="907"/>
      <c r="K482" s="907"/>
      <c r="L482" s="907"/>
      <c r="M482" s="907"/>
      <c r="N482" s="907"/>
      <c r="O482" s="907"/>
      <c r="P482" s="907"/>
      <c r="Q482" s="907"/>
      <c r="R482" s="907"/>
      <c r="S482" s="907"/>
      <c r="T482" s="907"/>
      <c r="U482" s="907"/>
      <c r="V482" s="907"/>
      <c r="W482" s="907"/>
      <c r="X482" s="907"/>
      <c r="Y482" s="907"/>
      <c r="Z482" s="907"/>
      <c r="AA482" s="907"/>
      <c r="AB482" s="907"/>
      <c r="AC482" s="907"/>
    </row>
    <row r="483" spans="1:29">
      <c r="A483" s="907"/>
      <c r="B483" s="907"/>
      <c r="C483" s="907"/>
      <c r="D483" s="907"/>
      <c r="E483" s="907"/>
      <c r="F483" s="907"/>
      <c r="G483" s="907"/>
      <c r="H483" s="907"/>
      <c r="I483" s="907"/>
      <c r="J483" s="907"/>
      <c r="K483" s="907"/>
      <c r="L483" s="907"/>
      <c r="M483" s="907"/>
      <c r="N483" s="907"/>
      <c r="O483" s="907"/>
      <c r="P483" s="907"/>
      <c r="Q483" s="907"/>
      <c r="R483" s="907"/>
      <c r="S483" s="907"/>
      <c r="T483" s="907"/>
      <c r="U483" s="907"/>
      <c r="V483" s="907"/>
      <c r="W483" s="907"/>
      <c r="X483" s="907"/>
      <c r="Y483" s="907"/>
      <c r="Z483" s="907"/>
      <c r="AA483" s="907"/>
      <c r="AB483" s="907"/>
      <c r="AC483" s="907"/>
    </row>
    <row r="484" spans="1:29">
      <c r="A484" s="907"/>
      <c r="B484" s="907"/>
      <c r="C484" s="907"/>
      <c r="D484" s="907"/>
      <c r="E484" s="907"/>
      <c r="F484" s="907"/>
      <c r="G484" s="907"/>
      <c r="H484" s="907"/>
      <c r="I484" s="907"/>
      <c r="J484" s="907"/>
      <c r="K484" s="907"/>
      <c r="L484" s="907"/>
      <c r="M484" s="907"/>
      <c r="N484" s="907"/>
      <c r="O484" s="907"/>
      <c r="P484" s="907"/>
      <c r="Q484" s="907"/>
      <c r="R484" s="907"/>
      <c r="S484" s="907"/>
      <c r="T484" s="907"/>
      <c r="U484" s="907"/>
      <c r="V484" s="907"/>
      <c r="W484" s="907"/>
      <c r="X484" s="907"/>
      <c r="Y484" s="907"/>
      <c r="Z484" s="907"/>
      <c r="AA484" s="907"/>
      <c r="AB484" s="907"/>
      <c r="AC484" s="907"/>
    </row>
    <row r="485" spans="1:29">
      <c r="A485" s="907"/>
      <c r="B485" s="907"/>
      <c r="C485" s="907"/>
      <c r="D485" s="907"/>
      <c r="E485" s="907"/>
      <c r="F485" s="907"/>
      <c r="G485" s="907"/>
      <c r="H485" s="907"/>
      <c r="I485" s="907"/>
      <c r="J485" s="907"/>
      <c r="K485" s="907"/>
      <c r="L485" s="907"/>
      <c r="M485" s="907"/>
      <c r="N485" s="907"/>
      <c r="O485" s="907"/>
      <c r="P485" s="907"/>
      <c r="Q485" s="907"/>
      <c r="R485" s="907"/>
      <c r="S485" s="907"/>
      <c r="T485" s="907"/>
      <c r="U485" s="907"/>
      <c r="V485" s="907"/>
      <c r="W485" s="907"/>
      <c r="X485" s="907"/>
      <c r="Y485" s="907"/>
      <c r="Z485" s="907"/>
      <c r="AA485" s="907"/>
      <c r="AB485" s="907"/>
      <c r="AC485" s="907"/>
    </row>
    <row r="486" spans="1:29">
      <c r="A486" s="907"/>
      <c r="B486" s="907"/>
      <c r="C486" s="907"/>
      <c r="D486" s="907"/>
      <c r="E486" s="907"/>
      <c r="F486" s="907"/>
      <c r="G486" s="907"/>
      <c r="H486" s="907"/>
      <c r="I486" s="907"/>
      <c r="J486" s="907"/>
      <c r="K486" s="907"/>
      <c r="L486" s="907"/>
      <c r="M486" s="907"/>
      <c r="N486" s="907"/>
      <c r="O486" s="907"/>
      <c r="P486" s="907"/>
      <c r="Q486" s="907"/>
      <c r="R486" s="907"/>
      <c r="S486" s="907"/>
      <c r="T486" s="907"/>
      <c r="U486" s="907"/>
      <c r="V486" s="907"/>
      <c r="W486" s="907"/>
      <c r="X486" s="907"/>
      <c r="Y486" s="907"/>
      <c r="Z486" s="907"/>
      <c r="AA486" s="907"/>
      <c r="AB486" s="907"/>
      <c r="AC486" s="907"/>
    </row>
    <row r="487" spans="1:29">
      <c r="A487" s="907"/>
      <c r="B487" s="907"/>
      <c r="C487" s="907"/>
      <c r="D487" s="907"/>
      <c r="E487" s="907"/>
      <c r="F487" s="907"/>
      <c r="G487" s="907"/>
      <c r="H487" s="907"/>
      <c r="I487" s="907"/>
      <c r="J487" s="907"/>
      <c r="K487" s="907"/>
      <c r="L487" s="907"/>
      <c r="M487" s="907"/>
      <c r="N487" s="907"/>
      <c r="O487" s="907"/>
      <c r="P487" s="907"/>
      <c r="Q487" s="907"/>
      <c r="R487" s="907"/>
      <c r="S487" s="907"/>
      <c r="T487" s="907"/>
      <c r="U487" s="907"/>
      <c r="V487" s="907"/>
      <c r="W487" s="907"/>
      <c r="X487" s="907"/>
      <c r="Y487" s="907"/>
      <c r="Z487" s="907"/>
      <c r="AA487" s="907"/>
      <c r="AB487" s="907"/>
      <c r="AC487" s="907"/>
    </row>
    <row r="488" spans="1:29">
      <c r="A488" s="907"/>
      <c r="B488" s="907"/>
      <c r="C488" s="907"/>
      <c r="D488" s="907"/>
      <c r="E488" s="907"/>
      <c r="F488" s="907"/>
      <c r="G488" s="907"/>
      <c r="H488" s="907"/>
      <c r="I488" s="907"/>
      <c r="J488" s="907"/>
      <c r="K488" s="907"/>
      <c r="L488" s="907"/>
      <c r="M488" s="907"/>
      <c r="N488" s="907"/>
      <c r="O488" s="907"/>
      <c r="P488" s="907"/>
      <c r="Q488" s="907"/>
      <c r="R488" s="907"/>
      <c r="S488" s="907"/>
      <c r="T488" s="907"/>
      <c r="U488" s="907"/>
      <c r="V488" s="907"/>
      <c r="W488" s="907"/>
      <c r="X488" s="907"/>
      <c r="Y488" s="907"/>
      <c r="Z488" s="907"/>
      <c r="AA488" s="907"/>
      <c r="AB488" s="907"/>
      <c r="AC488" s="907"/>
    </row>
    <row r="489" spans="1:29">
      <c r="A489" s="907"/>
      <c r="B489" s="907"/>
      <c r="C489" s="907"/>
      <c r="D489" s="907"/>
      <c r="E489" s="907"/>
      <c r="F489" s="907"/>
      <c r="G489" s="907"/>
      <c r="H489" s="907"/>
      <c r="I489" s="907"/>
      <c r="J489" s="907"/>
      <c r="K489" s="907"/>
      <c r="L489" s="907"/>
      <c r="M489" s="907"/>
      <c r="N489" s="907"/>
      <c r="O489" s="907"/>
      <c r="P489" s="907"/>
      <c r="Q489" s="907"/>
      <c r="R489" s="907"/>
      <c r="S489" s="907"/>
      <c r="T489" s="907"/>
      <c r="U489" s="907"/>
      <c r="V489" s="907"/>
      <c r="W489" s="907"/>
      <c r="X489" s="907"/>
      <c r="Y489" s="907"/>
      <c r="Z489" s="907"/>
      <c r="AA489" s="907"/>
      <c r="AB489" s="907"/>
      <c r="AC489" s="907"/>
    </row>
    <row r="490" spans="1:29">
      <c r="A490" s="907"/>
      <c r="B490" s="907"/>
      <c r="C490" s="907"/>
      <c r="D490" s="907"/>
      <c r="E490" s="907"/>
      <c r="F490" s="907"/>
      <c r="G490" s="907"/>
      <c r="H490" s="907"/>
      <c r="I490" s="907"/>
      <c r="J490" s="907"/>
      <c r="K490" s="907"/>
      <c r="L490" s="907"/>
      <c r="M490" s="907"/>
      <c r="N490" s="907"/>
      <c r="O490" s="907"/>
      <c r="P490" s="907"/>
      <c r="Q490" s="907"/>
      <c r="R490" s="907"/>
      <c r="S490" s="907"/>
      <c r="T490" s="907"/>
      <c r="U490" s="907"/>
      <c r="V490" s="907"/>
      <c r="W490" s="907"/>
      <c r="X490" s="907"/>
      <c r="Y490" s="907"/>
      <c r="Z490" s="907"/>
      <c r="AA490" s="907"/>
      <c r="AB490" s="907"/>
      <c r="AC490" s="907"/>
    </row>
    <row r="491" spans="1:29">
      <c r="A491" s="907"/>
      <c r="B491" s="907"/>
      <c r="C491" s="907"/>
      <c r="D491" s="907"/>
      <c r="E491" s="907"/>
      <c r="F491" s="907"/>
      <c r="G491" s="907"/>
      <c r="H491" s="907"/>
      <c r="I491" s="907"/>
      <c r="J491" s="907"/>
      <c r="K491" s="907"/>
      <c r="L491" s="907"/>
      <c r="M491" s="907"/>
      <c r="N491" s="907"/>
      <c r="O491" s="907"/>
      <c r="P491" s="907"/>
      <c r="Q491" s="907"/>
      <c r="R491" s="907"/>
      <c r="S491" s="907"/>
      <c r="T491" s="907"/>
      <c r="U491" s="907"/>
      <c r="V491" s="907"/>
      <c r="W491" s="907"/>
      <c r="X491" s="907"/>
      <c r="Y491" s="907"/>
      <c r="Z491" s="907"/>
      <c r="AA491" s="907"/>
      <c r="AB491" s="907"/>
      <c r="AC491" s="907"/>
    </row>
    <row r="492" spans="1:29">
      <c r="A492" s="907"/>
      <c r="B492" s="907"/>
      <c r="C492" s="907"/>
      <c r="D492" s="907"/>
      <c r="E492" s="907"/>
      <c r="F492" s="907"/>
      <c r="G492" s="907"/>
      <c r="H492" s="907"/>
      <c r="I492" s="907"/>
      <c r="J492" s="907"/>
      <c r="K492" s="907"/>
      <c r="L492" s="907"/>
      <c r="M492" s="907"/>
      <c r="N492" s="907"/>
      <c r="O492" s="907"/>
      <c r="P492" s="907"/>
      <c r="Q492" s="907"/>
      <c r="R492" s="907"/>
      <c r="S492" s="907"/>
      <c r="T492" s="907"/>
      <c r="U492" s="907"/>
      <c r="V492" s="907"/>
      <c r="W492" s="907"/>
      <c r="X492" s="907"/>
      <c r="Y492" s="907"/>
      <c r="Z492" s="907"/>
      <c r="AA492" s="907"/>
      <c r="AB492" s="907"/>
      <c r="AC492" s="907"/>
    </row>
    <row r="493" spans="1:29">
      <c r="A493" s="907"/>
      <c r="B493" s="907"/>
      <c r="C493" s="907"/>
      <c r="D493" s="907"/>
      <c r="E493" s="907"/>
      <c r="F493" s="907"/>
      <c r="G493" s="907"/>
      <c r="H493" s="907"/>
      <c r="I493" s="907"/>
      <c r="J493" s="907"/>
      <c r="K493" s="907"/>
      <c r="L493" s="907"/>
      <c r="M493" s="907"/>
      <c r="N493" s="907"/>
      <c r="O493" s="907"/>
      <c r="P493" s="907"/>
      <c r="Q493" s="907"/>
      <c r="R493" s="907"/>
      <c r="S493" s="907"/>
      <c r="T493" s="907"/>
      <c r="U493" s="907"/>
      <c r="V493" s="907"/>
      <c r="W493" s="907"/>
      <c r="X493" s="907"/>
      <c r="Y493" s="907"/>
      <c r="Z493" s="907"/>
      <c r="AA493" s="907"/>
      <c r="AB493" s="907"/>
      <c r="AC493" s="907"/>
    </row>
    <row r="494" spans="1:29">
      <c r="A494" s="907"/>
      <c r="B494" s="907"/>
      <c r="C494" s="907"/>
      <c r="D494" s="907"/>
      <c r="E494" s="907"/>
      <c r="F494" s="907"/>
      <c r="G494" s="907"/>
      <c r="H494" s="907"/>
      <c r="I494" s="907"/>
      <c r="J494" s="907"/>
      <c r="K494" s="907"/>
      <c r="L494" s="907"/>
      <c r="M494" s="907"/>
      <c r="N494" s="907"/>
      <c r="O494" s="907"/>
      <c r="P494" s="907"/>
      <c r="Q494" s="907"/>
      <c r="R494" s="907"/>
      <c r="S494" s="907"/>
      <c r="T494" s="907"/>
      <c r="U494" s="907"/>
      <c r="V494" s="907"/>
      <c r="W494" s="907"/>
      <c r="X494" s="907"/>
      <c r="Y494" s="907"/>
      <c r="Z494" s="907"/>
      <c r="AA494" s="907"/>
      <c r="AB494" s="907"/>
      <c r="AC494" s="907"/>
    </row>
    <row r="495" spans="1:29">
      <c r="A495" s="907"/>
      <c r="B495" s="907"/>
      <c r="C495" s="907"/>
      <c r="D495" s="907"/>
      <c r="E495" s="907"/>
      <c r="F495" s="907"/>
      <c r="G495" s="907"/>
      <c r="H495" s="907"/>
      <c r="I495" s="907"/>
      <c r="J495" s="907"/>
      <c r="K495" s="907"/>
      <c r="L495" s="907"/>
      <c r="M495" s="907"/>
      <c r="N495" s="907"/>
      <c r="O495" s="907"/>
      <c r="P495" s="907"/>
      <c r="Q495" s="907"/>
      <c r="R495" s="907"/>
      <c r="S495" s="907"/>
      <c r="T495" s="907"/>
      <c r="U495" s="907"/>
      <c r="V495" s="907"/>
      <c r="W495" s="907"/>
      <c r="X495" s="907"/>
      <c r="Y495" s="907"/>
      <c r="Z495" s="907"/>
      <c r="AA495" s="907"/>
      <c r="AB495" s="907"/>
      <c r="AC495" s="907"/>
    </row>
    <row r="496" spans="1:29">
      <c r="A496" s="907"/>
      <c r="B496" s="907"/>
      <c r="C496" s="907"/>
      <c r="D496" s="907"/>
      <c r="E496" s="907"/>
      <c r="F496" s="907"/>
      <c r="G496" s="907"/>
      <c r="H496" s="907"/>
      <c r="I496" s="907"/>
      <c r="J496" s="907"/>
      <c r="K496" s="907"/>
      <c r="L496" s="907"/>
      <c r="M496" s="907"/>
      <c r="N496" s="907"/>
      <c r="O496" s="907"/>
      <c r="P496" s="907"/>
      <c r="Q496" s="907"/>
      <c r="R496" s="907"/>
      <c r="S496" s="907"/>
      <c r="T496" s="907"/>
      <c r="U496" s="907"/>
      <c r="V496" s="907"/>
      <c r="W496" s="907"/>
      <c r="X496" s="907"/>
      <c r="Y496" s="907"/>
      <c r="Z496" s="907"/>
      <c r="AA496" s="907"/>
      <c r="AB496" s="907"/>
      <c r="AC496" s="907"/>
    </row>
    <row r="497" spans="1:29">
      <c r="A497" s="907"/>
      <c r="B497" s="907"/>
      <c r="C497" s="907"/>
      <c r="D497" s="907"/>
      <c r="E497" s="907"/>
      <c r="F497" s="907"/>
      <c r="G497" s="907"/>
      <c r="H497" s="907"/>
      <c r="I497" s="907"/>
      <c r="J497" s="907"/>
      <c r="K497" s="907"/>
      <c r="L497" s="907"/>
      <c r="M497" s="907"/>
      <c r="N497" s="907"/>
      <c r="O497" s="907"/>
      <c r="P497" s="907"/>
      <c r="Q497" s="907"/>
      <c r="R497" s="907"/>
      <c r="S497" s="907"/>
      <c r="T497" s="907"/>
      <c r="U497" s="907"/>
      <c r="V497" s="907"/>
      <c r="W497" s="907"/>
      <c r="X497" s="907"/>
      <c r="Y497" s="907"/>
      <c r="Z497" s="907"/>
      <c r="AA497" s="907"/>
      <c r="AB497" s="907"/>
      <c r="AC497" s="907"/>
    </row>
    <row r="498" spans="1:29">
      <c r="A498" s="907"/>
      <c r="B498" s="907"/>
      <c r="C498" s="907"/>
      <c r="D498" s="907"/>
      <c r="E498" s="907"/>
      <c r="F498" s="907"/>
      <c r="G498" s="907"/>
      <c r="H498" s="907"/>
      <c r="I498" s="907"/>
      <c r="J498" s="907"/>
      <c r="K498" s="907"/>
      <c r="L498" s="907"/>
      <c r="M498" s="907"/>
      <c r="N498" s="907"/>
      <c r="O498" s="907"/>
      <c r="P498" s="907"/>
      <c r="Q498" s="907"/>
      <c r="R498" s="907"/>
      <c r="S498" s="907"/>
      <c r="T498" s="907"/>
      <c r="U498" s="907"/>
      <c r="V498" s="907"/>
      <c r="W498" s="907"/>
      <c r="X498" s="907"/>
      <c r="Y498" s="907"/>
      <c r="Z498" s="907"/>
      <c r="AA498" s="907"/>
      <c r="AB498" s="907"/>
      <c r="AC498" s="907"/>
    </row>
    <row r="499" spans="1:29">
      <c r="A499" s="907"/>
      <c r="B499" s="907"/>
      <c r="C499" s="907"/>
      <c r="D499" s="907"/>
      <c r="E499" s="907"/>
      <c r="F499" s="907"/>
      <c r="G499" s="907"/>
      <c r="H499" s="907"/>
      <c r="I499" s="907"/>
      <c r="J499" s="907"/>
      <c r="K499" s="907"/>
      <c r="L499" s="907"/>
      <c r="M499" s="907"/>
      <c r="N499" s="907"/>
      <c r="O499" s="907"/>
      <c r="P499" s="907"/>
      <c r="Q499" s="907"/>
      <c r="R499" s="907"/>
      <c r="S499" s="907"/>
      <c r="T499" s="907"/>
      <c r="U499" s="907"/>
      <c r="V499" s="907"/>
      <c r="W499" s="907"/>
      <c r="X499" s="907"/>
      <c r="Y499" s="907"/>
      <c r="Z499" s="907"/>
      <c r="AA499" s="907"/>
      <c r="AB499" s="907"/>
      <c r="AC499" s="907"/>
    </row>
    <row r="500" spans="1:29">
      <c r="A500" s="907"/>
      <c r="B500" s="907"/>
      <c r="C500" s="907"/>
      <c r="D500" s="907"/>
      <c r="E500" s="907"/>
      <c r="F500" s="907"/>
      <c r="G500" s="907"/>
      <c r="H500" s="907"/>
      <c r="I500" s="907"/>
      <c r="J500" s="907"/>
      <c r="K500" s="907"/>
      <c r="L500" s="907"/>
      <c r="M500" s="907"/>
      <c r="N500" s="907"/>
      <c r="O500" s="907"/>
      <c r="P500" s="907"/>
      <c r="Q500" s="907"/>
      <c r="R500" s="907"/>
      <c r="S500" s="907"/>
      <c r="T500" s="907"/>
      <c r="U500" s="907"/>
      <c r="V500" s="907"/>
      <c r="W500" s="907"/>
      <c r="X500" s="907"/>
      <c r="Y500" s="907"/>
      <c r="Z500" s="907"/>
      <c r="AA500" s="907"/>
      <c r="AB500" s="907"/>
      <c r="AC500" s="907"/>
    </row>
    <row r="501" spans="1:29">
      <c r="A501" s="907"/>
      <c r="B501" s="907"/>
      <c r="C501" s="907"/>
      <c r="D501" s="907"/>
      <c r="E501" s="907"/>
      <c r="F501" s="907"/>
      <c r="G501" s="907"/>
      <c r="H501" s="907"/>
      <c r="I501" s="907"/>
      <c r="J501" s="907"/>
      <c r="K501" s="907"/>
      <c r="L501" s="907"/>
      <c r="M501" s="907"/>
      <c r="N501" s="907"/>
      <c r="O501" s="907"/>
      <c r="P501" s="907"/>
      <c r="Q501" s="907"/>
      <c r="R501" s="907"/>
      <c r="S501" s="907"/>
      <c r="T501" s="907"/>
      <c r="U501" s="907"/>
      <c r="V501" s="907"/>
      <c r="W501" s="907"/>
      <c r="X501" s="907"/>
      <c r="Y501" s="907"/>
      <c r="Z501" s="907"/>
      <c r="AA501" s="907"/>
      <c r="AB501" s="907"/>
      <c r="AC501" s="907"/>
    </row>
    <row r="502" spans="1:29">
      <c r="A502" s="907"/>
      <c r="B502" s="907"/>
      <c r="C502" s="907"/>
      <c r="D502" s="907"/>
      <c r="E502" s="907"/>
      <c r="F502" s="907"/>
      <c r="G502" s="907"/>
      <c r="H502" s="907"/>
      <c r="I502" s="907"/>
      <c r="J502" s="907"/>
      <c r="K502" s="907"/>
      <c r="L502" s="907"/>
      <c r="M502" s="907"/>
      <c r="N502" s="907"/>
      <c r="O502" s="907"/>
      <c r="P502" s="907"/>
      <c r="Q502" s="907"/>
      <c r="R502" s="907"/>
      <c r="S502" s="907"/>
      <c r="T502" s="907"/>
      <c r="U502" s="907"/>
      <c r="V502" s="907"/>
      <c r="W502" s="907"/>
      <c r="X502" s="907"/>
      <c r="Y502" s="907"/>
      <c r="Z502" s="907"/>
      <c r="AA502" s="907"/>
      <c r="AB502" s="907"/>
      <c r="AC502" s="907"/>
    </row>
    <row r="503" spans="1:29">
      <c r="A503" s="907"/>
      <c r="B503" s="907"/>
      <c r="C503" s="907"/>
      <c r="D503" s="907"/>
      <c r="E503" s="907"/>
      <c r="F503" s="907"/>
      <c r="G503" s="907"/>
      <c r="H503" s="907"/>
      <c r="I503" s="907"/>
      <c r="J503" s="907"/>
      <c r="K503" s="907"/>
      <c r="L503" s="907"/>
      <c r="M503" s="907"/>
      <c r="N503" s="907"/>
      <c r="O503" s="907"/>
      <c r="P503" s="907"/>
      <c r="Q503" s="907"/>
      <c r="R503" s="907"/>
      <c r="S503" s="907"/>
      <c r="T503" s="907"/>
      <c r="U503" s="907"/>
      <c r="V503" s="907"/>
      <c r="W503" s="907"/>
      <c r="X503" s="907"/>
      <c r="Y503" s="907"/>
      <c r="Z503" s="907"/>
      <c r="AA503" s="907"/>
      <c r="AB503" s="907"/>
      <c r="AC503" s="907"/>
    </row>
    <row r="504" spans="1:29">
      <c r="A504" s="907"/>
      <c r="B504" s="907"/>
      <c r="C504" s="907"/>
      <c r="D504" s="907"/>
      <c r="E504" s="907"/>
      <c r="F504" s="907"/>
      <c r="G504" s="907"/>
      <c r="H504" s="907"/>
      <c r="I504" s="907"/>
      <c r="J504" s="907"/>
      <c r="K504" s="907"/>
      <c r="L504" s="907"/>
      <c r="M504" s="907"/>
      <c r="N504" s="907"/>
      <c r="O504" s="907"/>
      <c r="P504" s="907"/>
      <c r="Q504" s="907"/>
      <c r="R504" s="907"/>
      <c r="S504" s="907"/>
      <c r="T504" s="907"/>
      <c r="U504" s="907"/>
      <c r="V504" s="907"/>
      <c r="W504" s="907"/>
      <c r="X504" s="907"/>
      <c r="Y504" s="907"/>
      <c r="Z504" s="907"/>
      <c r="AA504" s="907"/>
      <c r="AB504" s="907"/>
      <c r="AC504" s="907"/>
    </row>
    <row r="505" spans="1:29">
      <c r="A505" s="907"/>
      <c r="B505" s="907"/>
      <c r="C505" s="907"/>
      <c r="D505" s="907"/>
      <c r="E505" s="907"/>
      <c r="F505" s="907"/>
      <c r="G505" s="907"/>
      <c r="H505" s="907"/>
      <c r="I505" s="907"/>
      <c r="J505" s="907"/>
      <c r="K505" s="907"/>
      <c r="L505" s="907"/>
      <c r="M505" s="907"/>
      <c r="N505" s="907"/>
      <c r="O505" s="907"/>
      <c r="P505" s="907"/>
      <c r="Q505" s="907"/>
      <c r="R505" s="907"/>
      <c r="S505" s="907"/>
      <c r="T505" s="907"/>
      <c r="U505" s="907"/>
      <c r="V505" s="907"/>
      <c r="W505" s="907"/>
      <c r="X505" s="907"/>
      <c r="Y505" s="907"/>
      <c r="Z505" s="907"/>
      <c r="AA505" s="907"/>
      <c r="AB505" s="907"/>
      <c r="AC505" s="907"/>
    </row>
    <row r="506" spans="1:29">
      <c r="A506" s="907"/>
      <c r="B506" s="907"/>
      <c r="C506" s="907"/>
      <c r="D506" s="907"/>
      <c r="E506" s="907"/>
      <c r="F506" s="907"/>
      <c r="G506" s="907"/>
      <c r="H506" s="907"/>
      <c r="I506" s="907"/>
      <c r="J506" s="907"/>
      <c r="K506" s="907"/>
      <c r="L506" s="907"/>
      <c r="M506" s="907"/>
      <c r="N506" s="907"/>
      <c r="O506" s="907"/>
      <c r="P506" s="907"/>
      <c r="Q506" s="907"/>
      <c r="R506" s="907"/>
      <c r="S506" s="907"/>
      <c r="T506" s="907"/>
      <c r="U506" s="907"/>
      <c r="V506" s="907"/>
      <c r="W506" s="907"/>
      <c r="X506" s="907"/>
      <c r="Y506" s="907"/>
      <c r="Z506" s="907"/>
      <c r="AA506" s="907"/>
      <c r="AB506" s="907"/>
      <c r="AC506" s="907"/>
    </row>
    <row r="507" spans="1:29">
      <c r="A507" s="907"/>
      <c r="B507" s="907"/>
      <c r="C507" s="907"/>
      <c r="D507" s="907"/>
      <c r="E507" s="907"/>
      <c r="F507" s="907"/>
      <c r="G507" s="907"/>
      <c r="H507" s="907"/>
      <c r="I507" s="907"/>
      <c r="J507" s="907"/>
      <c r="K507" s="907"/>
      <c r="L507" s="907"/>
      <c r="M507" s="907"/>
      <c r="N507" s="907"/>
      <c r="O507" s="907"/>
      <c r="P507" s="907"/>
      <c r="Q507" s="907"/>
      <c r="R507" s="907"/>
      <c r="S507" s="907"/>
      <c r="T507" s="907"/>
      <c r="U507" s="907"/>
      <c r="V507" s="907"/>
      <c r="W507" s="907"/>
      <c r="X507" s="907"/>
      <c r="Y507" s="907"/>
      <c r="Z507" s="907"/>
      <c r="AA507" s="907"/>
      <c r="AB507" s="907"/>
      <c r="AC507" s="907"/>
    </row>
    <row r="508" spans="1:29">
      <c r="A508" s="907"/>
      <c r="B508" s="907"/>
      <c r="C508" s="907"/>
      <c r="D508" s="907"/>
      <c r="E508" s="907"/>
      <c r="F508" s="907"/>
      <c r="G508" s="907"/>
      <c r="H508" s="907"/>
      <c r="I508" s="907"/>
      <c r="J508" s="907"/>
      <c r="K508" s="907"/>
      <c r="L508" s="907"/>
      <c r="M508" s="907"/>
      <c r="N508" s="907"/>
      <c r="O508" s="907"/>
      <c r="P508" s="907"/>
      <c r="Q508" s="907"/>
      <c r="R508" s="907"/>
      <c r="S508" s="907"/>
      <c r="T508" s="907"/>
      <c r="U508" s="907"/>
      <c r="V508" s="907"/>
      <c r="W508" s="907"/>
      <c r="X508" s="907"/>
      <c r="Y508" s="907"/>
      <c r="Z508" s="907"/>
      <c r="AA508" s="907"/>
      <c r="AB508" s="907"/>
      <c r="AC508" s="907"/>
    </row>
    <row r="509" spans="1:29">
      <c r="A509" s="907"/>
      <c r="B509" s="907"/>
      <c r="C509" s="907"/>
      <c r="D509" s="907"/>
      <c r="E509" s="907"/>
      <c r="F509" s="907"/>
      <c r="G509" s="907"/>
      <c r="H509" s="907"/>
      <c r="I509" s="907"/>
      <c r="J509" s="907"/>
      <c r="K509" s="907"/>
      <c r="L509" s="907"/>
      <c r="M509" s="907"/>
      <c r="N509" s="907"/>
      <c r="O509" s="907"/>
      <c r="P509" s="907"/>
      <c r="Q509" s="907"/>
      <c r="R509" s="907"/>
      <c r="S509" s="907"/>
      <c r="T509" s="907"/>
      <c r="U509" s="907"/>
      <c r="V509" s="907"/>
      <c r="W509" s="907"/>
      <c r="X509" s="907"/>
      <c r="Y509" s="907"/>
      <c r="Z509" s="907"/>
      <c r="AA509" s="907"/>
      <c r="AB509" s="907"/>
      <c r="AC509" s="907"/>
    </row>
    <row r="510" spans="1:29">
      <c r="A510" s="907"/>
      <c r="B510" s="907"/>
      <c r="C510" s="907"/>
      <c r="D510" s="907"/>
      <c r="E510" s="907"/>
      <c r="F510" s="907"/>
      <c r="G510" s="907"/>
      <c r="H510" s="907"/>
      <c r="I510" s="907"/>
      <c r="J510" s="907"/>
      <c r="K510" s="907"/>
      <c r="L510" s="907"/>
      <c r="M510" s="907"/>
      <c r="N510" s="907"/>
      <c r="O510" s="907"/>
      <c r="P510" s="907"/>
      <c r="Q510" s="907"/>
      <c r="R510" s="907"/>
      <c r="S510" s="907"/>
      <c r="T510" s="907"/>
      <c r="U510" s="907"/>
      <c r="V510" s="907"/>
      <c r="W510" s="907"/>
      <c r="X510" s="907"/>
      <c r="Y510" s="907"/>
      <c r="Z510" s="907"/>
      <c r="AA510" s="907"/>
      <c r="AB510" s="907"/>
      <c r="AC510" s="907"/>
    </row>
    <row r="511" spans="1:29">
      <c r="A511" s="907"/>
      <c r="B511" s="907"/>
      <c r="C511" s="907"/>
      <c r="D511" s="907"/>
      <c r="E511" s="907"/>
      <c r="F511" s="907"/>
      <c r="G511" s="907"/>
      <c r="H511" s="907"/>
      <c r="I511" s="907"/>
      <c r="J511" s="907"/>
      <c r="K511" s="907"/>
      <c r="L511" s="907"/>
      <c r="M511" s="907"/>
      <c r="N511" s="907"/>
      <c r="O511" s="907"/>
      <c r="P511" s="907"/>
      <c r="Q511" s="907"/>
      <c r="R511" s="907"/>
      <c r="S511" s="907"/>
      <c r="T511" s="907"/>
      <c r="U511" s="907"/>
      <c r="V511" s="907"/>
      <c r="W511" s="907"/>
      <c r="X511" s="907"/>
      <c r="Y511" s="907"/>
      <c r="Z511" s="907"/>
      <c r="AA511" s="907"/>
      <c r="AB511" s="907"/>
      <c r="AC511" s="907"/>
    </row>
    <row r="512" spans="1:29">
      <c r="A512" s="907"/>
      <c r="B512" s="907"/>
      <c r="C512" s="907"/>
      <c r="D512" s="907"/>
      <c r="E512" s="907"/>
      <c r="F512" s="907"/>
      <c r="G512" s="907"/>
      <c r="H512" s="907"/>
      <c r="I512" s="907"/>
      <c r="J512" s="907"/>
      <c r="K512" s="907"/>
      <c r="L512" s="907"/>
      <c r="M512" s="907"/>
      <c r="N512" s="907"/>
      <c r="O512" s="907"/>
      <c r="P512" s="907"/>
      <c r="Q512" s="907"/>
      <c r="R512" s="907"/>
      <c r="S512" s="907"/>
      <c r="T512" s="907"/>
      <c r="U512" s="907"/>
      <c r="V512" s="907"/>
      <c r="W512" s="907"/>
      <c r="X512" s="907"/>
      <c r="Y512" s="907"/>
      <c r="Z512" s="907"/>
      <c r="AA512" s="907"/>
      <c r="AB512" s="907"/>
      <c r="AC512" s="907"/>
    </row>
    <row r="513" spans="1:29">
      <c r="A513" s="907"/>
      <c r="B513" s="907"/>
      <c r="C513" s="907"/>
      <c r="D513" s="907"/>
      <c r="E513" s="907"/>
      <c r="F513" s="907"/>
      <c r="G513" s="907"/>
      <c r="H513" s="907"/>
      <c r="I513" s="907"/>
      <c r="J513" s="907"/>
      <c r="K513" s="907"/>
      <c r="L513" s="907"/>
      <c r="M513" s="907"/>
      <c r="N513" s="907"/>
      <c r="O513" s="907"/>
      <c r="P513" s="907"/>
      <c r="Q513" s="907"/>
      <c r="R513" s="907"/>
      <c r="S513" s="907"/>
      <c r="T513" s="907"/>
      <c r="U513" s="907"/>
      <c r="V513" s="907"/>
      <c r="W513" s="907"/>
      <c r="X513" s="907"/>
      <c r="Y513" s="907"/>
      <c r="Z513" s="907"/>
      <c r="AA513" s="907"/>
      <c r="AB513" s="907"/>
      <c r="AC513" s="907"/>
    </row>
    <row r="514" spans="1:29">
      <c r="A514" s="907"/>
      <c r="B514" s="907"/>
      <c r="C514" s="907"/>
      <c r="D514" s="907"/>
      <c r="E514" s="907"/>
      <c r="F514" s="907"/>
      <c r="G514" s="907"/>
      <c r="H514" s="907"/>
      <c r="I514" s="907"/>
      <c r="J514" s="907"/>
      <c r="K514" s="907"/>
      <c r="L514" s="907"/>
      <c r="M514" s="907"/>
      <c r="N514" s="907"/>
      <c r="O514" s="907"/>
      <c r="P514" s="907"/>
      <c r="Q514" s="907"/>
      <c r="R514" s="907"/>
      <c r="S514" s="907"/>
      <c r="T514" s="907"/>
      <c r="U514" s="907"/>
      <c r="V514" s="907"/>
      <c r="W514" s="907"/>
      <c r="X514" s="907"/>
      <c r="Y514" s="907"/>
      <c r="Z514" s="907"/>
      <c r="AA514" s="907"/>
      <c r="AB514" s="907"/>
      <c r="AC514" s="907"/>
    </row>
    <row r="515" spans="1:29">
      <c r="A515" s="907"/>
      <c r="B515" s="907"/>
      <c r="C515" s="907"/>
      <c r="D515" s="907"/>
      <c r="E515" s="907"/>
      <c r="F515" s="907"/>
      <c r="G515" s="907"/>
      <c r="H515" s="907"/>
      <c r="I515" s="907"/>
      <c r="J515" s="907"/>
      <c r="K515" s="907"/>
      <c r="L515" s="907"/>
      <c r="M515" s="907"/>
      <c r="N515" s="907"/>
      <c r="O515" s="907"/>
      <c r="P515" s="907"/>
      <c r="Q515" s="907"/>
      <c r="R515" s="907"/>
      <c r="S515" s="907"/>
      <c r="T515" s="907"/>
      <c r="U515" s="907"/>
      <c r="V515" s="907"/>
      <c r="W515" s="907"/>
      <c r="X515" s="907"/>
      <c r="Y515" s="907"/>
      <c r="Z515" s="907"/>
      <c r="AA515" s="907"/>
      <c r="AB515" s="907"/>
      <c r="AC515" s="907"/>
    </row>
    <row r="516" spans="1:29">
      <c r="A516" s="907"/>
      <c r="B516" s="907"/>
      <c r="C516" s="907"/>
      <c r="D516" s="907"/>
      <c r="E516" s="907"/>
      <c r="F516" s="907"/>
      <c r="G516" s="907"/>
      <c r="H516" s="907"/>
      <c r="I516" s="907"/>
      <c r="J516" s="907"/>
      <c r="K516" s="907"/>
      <c r="L516" s="907"/>
      <c r="M516" s="907"/>
      <c r="N516" s="907"/>
      <c r="O516" s="907"/>
      <c r="P516" s="907"/>
      <c r="Q516" s="907"/>
      <c r="R516" s="907"/>
      <c r="S516" s="907"/>
      <c r="T516" s="907"/>
      <c r="U516" s="907"/>
      <c r="V516" s="907"/>
      <c r="W516" s="907"/>
      <c r="X516" s="907"/>
      <c r="Y516" s="907"/>
      <c r="Z516" s="907"/>
      <c r="AA516" s="907"/>
      <c r="AB516" s="907"/>
      <c r="AC516" s="907"/>
    </row>
    <row r="517" spans="1:29">
      <c r="A517" s="907"/>
      <c r="B517" s="907"/>
      <c r="C517" s="907"/>
      <c r="D517" s="907"/>
      <c r="E517" s="907"/>
      <c r="F517" s="907"/>
      <c r="G517" s="907"/>
      <c r="H517" s="907"/>
      <c r="I517" s="907"/>
      <c r="J517" s="907"/>
      <c r="K517" s="907"/>
      <c r="L517" s="907"/>
      <c r="M517" s="907"/>
      <c r="N517" s="907"/>
      <c r="O517" s="907"/>
      <c r="P517" s="907"/>
      <c r="Q517" s="907"/>
      <c r="R517" s="907"/>
      <c r="S517" s="907"/>
      <c r="T517" s="907"/>
      <c r="U517" s="907"/>
      <c r="V517" s="907"/>
      <c r="W517" s="907"/>
      <c r="X517" s="907"/>
      <c r="Y517" s="907"/>
      <c r="Z517" s="907"/>
      <c r="AA517" s="907"/>
      <c r="AB517" s="907"/>
      <c r="AC517" s="907"/>
    </row>
    <row r="518" spans="1:29">
      <c r="A518" s="907"/>
      <c r="B518" s="907"/>
      <c r="C518" s="907"/>
      <c r="D518" s="907"/>
      <c r="E518" s="907"/>
      <c r="F518" s="907"/>
      <c r="G518" s="907"/>
      <c r="H518" s="907"/>
      <c r="I518" s="907"/>
      <c r="J518" s="907"/>
      <c r="K518" s="907"/>
      <c r="L518" s="907"/>
      <c r="M518" s="907"/>
      <c r="N518" s="907"/>
      <c r="O518" s="907"/>
      <c r="P518" s="907"/>
      <c r="Q518" s="907"/>
      <c r="R518" s="907"/>
      <c r="S518" s="907"/>
      <c r="T518" s="907"/>
      <c r="U518" s="907"/>
      <c r="V518" s="907"/>
      <c r="W518" s="907"/>
      <c r="X518" s="907"/>
      <c r="Y518" s="907"/>
      <c r="Z518" s="907"/>
      <c r="AA518" s="907"/>
      <c r="AB518" s="907"/>
      <c r="AC518" s="907"/>
    </row>
    <row r="519" spans="1:29">
      <c r="A519" s="907"/>
      <c r="B519" s="907"/>
      <c r="C519" s="907"/>
      <c r="D519" s="907"/>
      <c r="E519" s="907"/>
      <c r="F519" s="907"/>
      <c r="G519" s="907"/>
      <c r="H519" s="907"/>
      <c r="I519" s="907"/>
      <c r="J519" s="907"/>
      <c r="K519" s="907"/>
      <c r="L519" s="907"/>
      <c r="M519" s="907"/>
      <c r="N519" s="907"/>
      <c r="O519" s="907"/>
      <c r="P519" s="907"/>
      <c r="Q519" s="907"/>
      <c r="R519" s="907"/>
      <c r="S519" s="907"/>
      <c r="T519" s="907"/>
      <c r="U519" s="907"/>
      <c r="V519" s="907"/>
      <c r="W519" s="907"/>
      <c r="X519" s="907"/>
      <c r="Y519" s="907"/>
      <c r="Z519" s="907"/>
      <c r="AA519" s="907"/>
      <c r="AB519" s="907"/>
      <c r="AC519" s="907"/>
    </row>
    <row r="520" spans="1:29">
      <c r="A520" s="907"/>
      <c r="B520" s="907"/>
      <c r="C520" s="907"/>
      <c r="D520" s="907"/>
      <c r="E520" s="907"/>
      <c r="F520" s="907"/>
      <c r="G520" s="907"/>
      <c r="H520" s="907"/>
      <c r="I520" s="907"/>
      <c r="J520" s="907"/>
      <c r="K520" s="907"/>
      <c r="L520" s="907"/>
      <c r="M520" s="907"/>
      <c r="N520" s="907"/>
      <c r="O520" s="907"/>
      <c r="P520" s="907"/>
      <c r="Q520" s="907"/>
      <c r="R520" s="907"/>
      <c r="S520" s="907"/>
      <c r="T520" s="907"/>
      <c r="U520" s="907"/>
      <c r="V520" s="907"/>
      <c r="W520" s="907"/>
      <c r="X520" s="907"/>
      <c r="Y520" s="907"/>
      <c r="Z520" s="907"/>
      <c r="AA520" s="907"/>
      <c r="AB520" s="907"/>
      <c r="AC520" s="907"/>
    </row>
    <row r="521" spans="1:29">
      <c r="A521" s="907"/>
      <c r="B521" s="907"/>
      <c r="C521" s="907"/>
      <c r="D521" s="907"/>
      <c r="E521" s="907"/>
      <c r="F521" s="907"/>
      <c r="G521" s="907"/>
      <c r="H521" s="907"/>
      <c r="I521" s="907"/>
      <c r="J521" s="907"/>
      <c r="K521" s="907"/>
      <c r="L521" s="907"/>
      <c r="M521" s="907"/>
      <c r="N521" s="907"/>
      <c r="O521" s="907"/>
      <c r="P521" s="907"/>
      <c r="Q521" s="907"/>
      <c r="R521" s="907"/>
      <c r="S521" s="907"/>
      <c r="T521" s="907"/>
      <c r="U521" s="907"/>
      <c r="V521" s="907"/>
      <c r="W521" s="907"/>
      <c r="X521" s="907"/>
      <c r="Y521" s="907"/>
      <c r="Z521" s="907"/>
      <c r="AA521" s="907"/>
      <c r="AB521" s="907"/>
      <c r="AC521" s="907"/>
    </row>
    <row r="522" spans="1:29">
      <c r="A522" s="907"/>
      <c r="B522" s="907"/>
      <c r="C522" s="907"/>
      <c r="D522" s="907"/>
      <c r="E522" s="907"/>
      <c r="F522" s="907"/>
      <c r="G522" s="907"/>
      <c r="H522" s="907"/>
      <c r="I522" s="907"/>
      <c r="J522" s="907"/>
      <c r="K522" s="907"/>
      <c r="L522" s="907"/>
      <c r="M522" s="907"/>
      <c r="N522" s="907"/>
      <c r="O522" s="907"/>
      <c r="P522" s="907"/>
      <c r="Q522" s="907"/>
      <c r="R522" s="907"/>
      <c r="S522" s="907"/>
      <c r="T522" s="907"/>
      <c r="U522" s="907"/>
      <c r="V522" s="907"/>
      <c r="W522" s="907"/>
      <c r="X522" s="907"/>
      <c r="Y522" s="907"/>
      <c r="Z522" s="907"/>
      <c r="AA522" s="907"/>
      <c r="AB522" s="907"/>
      <c r="AC522" s="907"/>
    </row>
    <row r="523" spans="1:29">
      <c r="A523" s="907"/>
      <c r="B523" s="907"/>
      <c r="C523" s="907"/>
      <c r="D523" s="907"/>
      <c r="E523" s="907"/>
      <c r="F523" s="907"/>
      <c r="G523" s="907"/>
      <c r="H523" s="907"/>
      <c r="I523" s="907"/>
      <c r="J523" s="907"/>
      <c r="K523" s="907"/>
      <c r="L523" s="907"/>
      <c r="M523" s="907"/>
      <c r="N523" s="907"/>
      <c r="O523" s="907"/>
      <c r="P523" s="907"/>
      <c r="Q523" s="907"/>
      <c r="R523" s="907"/>
      <c r="S523" s="907"/>
      <c r="T523" s="907"/>
      <c r="U523" s="907"/>
      <c r="V523" s="907"/>
      <c r="W523" s="907"/>
      <c r="X523" s="907"/>
      <c r="Y523" s="907"/>
      <c r="Z523" s="907"/>
      <c r="AA523" s="907"/>
      <c r="AB523" s="907"/>
      <c r="AC523" s="907"/>
    </row>
    <row r="524" spans="1:29">
      <c r="A524" s="907"/>
      <c r="B524" s="907"/>
      <c r="C524" s="907"/>
      <c r="D524" s="907"/>
      <c r="E524" s="907"/>
      <c r="F524" s="907"/>
      <c r="G524" s="907"/>
      <c r="H524" s="907"/>
      <c r="I524" s="907"/>
      <c r="J524" s="907"/>
      <c r="K524" s="907"/>
      <c r="L524" s="907"/>
      <c r="M524" s="907"/>
      <c r="N524" s="907"/>
      <c r="O524" s="907"/>
      <c r="P524" s="907"/>
      <c r="Q524" s="907"/>
      <c r="R524" s="907"/>
      <c r="S524" s="907"/>
      <c r="T524" s="907"/>
      <c r="U524" s="907"/>
      <c r="V524" s="907"/>
      <c r="W524" s="907"/>
      <c r="X524" s="907"/>
      <c r="Y524" s="907"/>
      <c r="Z524" s="907"/>
      <c r="AA524" s="907"/>
      <c r="AB524" s="907"/>
      <c r="AC524" s="907"/>
    </row>
    <row r="525" spans="1:29">
      <c r="A525" s="907"/>
      <c r="B525" s="907"/>
      <c r="C525" s="907"/>
      <c r="D525" s="907"/>
      <c r="E525" s="907"/>
      <c r="F525" s="907"/>
      <c r="G525" s="907"/>
      <c r="H525" s="907"/>
      <c r="I525" s="907"/>
      <c r="J525" s="907"/>
      <c r="K525" s="907"/>
      <c r="L525" s="907"/>
      <c r="M525" s="907"/>
      <c r="N525" s="907"/>
      <c r="O525" s="907"/>
      <c r="P525" s="907"/>
      <c r="Q525" s="907"/>
      <c r="R525" s="907"/>
      <c r="S525" s="907"/>
      <c r="T525" s="907"/>
      <c r="U525" s="907"/>
      <c r="V525" s="907"/>
      <c r="W525" s="907"/>
      <c r="X525" s="907"/>
      <c r="Y525" s="907"/>
      <c r="Z525" s="907"/>
      <c r="AA525" s="907"/>
      <c r="AB525" s="907"/>
      <c r="AC525" s="907"/>
    </row>
    <row r="526" spans="1:29">
      <c r="A526" s="907"/>
      <c r="B526" s="907"/>
      <c r="C526" s="907"/>
      <c r="D526" s="907"/>
      <c r="E526" s="907"/>
      <c r="F526" s="907"/>
      <c r="G526" s="907"/>
      <c r="H526" s="907"/>
      <c r="I526" s="907"/>
      <c r="J526" s="907"/>
      <c r="K526" s="907"/>
      <c r="L526" s="907"/>
      <c r="M526" s="907"/>
      <c r="N526" s="907"/>
      <c r="O526" s="907"/>
      <c r="P526" s="907"/>
      <c r="Q526" s="907"/>
      <c r="R526" s="907"/>
      <c r="S526" s="907"/>
      <c r="T526" s="907"/>
      <c r="U526" s="907"/>
      <c r="V526" s="907"/>
      <c r="W526" s="907"/>
      <c r="X526" s="907"/>
      <c r="Y526" s="907"/>
      <c r="Z526" s="907"/>
      <c r="AA526" s="907"/>
      <c r="AB526" s="907"/>
      <c r="AC526" s="907"/>
    </row>
    <row r="527" spans="1:29">
      <c r="A527" s="907"/>
      <c r="B527" s="907"/>
      <c r="C527" s="907"/>
      <c r="D527" s="907"/>
      <c r="E527" s="907"/>
      <c r="F527" s="907"/>
      <c r="G527" s="907"/>
      <c r="H527" s="907"/>
      <c r="I527" s="907"/>
      <c r="J527" s="907"/>
      <c r="K527" s="907"/>
      <c r="L527" s="907"/>
      <c r="M527" s="907"/>
      <c r="N527" s="907"/>
      <c r="O527" s="907"/>
      <c r="P527" s="907"/>
      <c r="Q527" s="907"/>
      <c r="R527" s="907"/>
      <c r="S527" s="907"/>
      <c r="T527" s="907"/>
      <c r="U527" s="907"/>
      <c r="V527" s="907"/>
      <c r="W527" s="907"/>
      <c r="X527" s="907"/>
      <c r="Y527" s="907"/>
      <c r="Z527" s="907"/>
      <c r="AA527" s="907"/>
      <c r="AB527" s="907"/>
      <c r="AC527" s="907"/>
    </row>
    <row r="528" spans="1:29">
      <c r="A528" s="907"/>
      <c r="B528" s="907"/>
      <c r="C528" s="907"/>
      <c r="D528" s="907"/>
      <c r="E528" s="907"/>
      <c r="F528" s="907"/>
      <c r="G528" s="907"/>
      <c r="H528" s="907"/>
      <c r="I528" s="907"/>
      <c r="J528" s="907"/>
      <c r="K528" s="907"/>
      <c r="L528" s="907"/>
      <c r="M528" s="907"/>
      <c r="N528" s="907"/>
      <c r="O528" s="907"/>
      <c r="P528" s="907"/>
      <c r="Q528" s="907"/>
      <c r="R528" s="907"/>
      <c r="S528" s="907"/>
      <c r="T528" s="907"/>
      <c r="U528" s="907"/>
      <c r="V528" s="907"/>
      <c r="W528" s="907"/>
      <c r="X528" s="907"/>
      <c r="Y528" s="907"/>
      <c r="Z528" s="907"/>
      <c r="AA528" s="907"/>
      <c r="AB528" s="907"/>
      <c r="AC528" s="907"/>
    </row>
    <row r="529" spans="1:29">
      <c r="A529" s="907"/>
      <c r="B529" s="907"/>
      <c r="C529" s="907"/>
      <c r="D529" s="907"/>
      <c r="E529" s="907"/>
      <c r="F529" s="907"/>
      <c r="G529" s="907"/>
      <c r="H529" s="907"/>
      <c r="I529" s="907"/>
      <c r="J529" s="907"/>
      <c r="K529" s="907"/>
      <c r="L529" s="907"/>
      <c r="M529" s="907"/>
      <c r="N529" s="907"/>
      <c r="O529" s="907"/>
      <c r="P529" s="907"/>
      <c r="Q529" s="907"/>
      <c r="R529" s="907"/>
      <c r="S529" s="907"/>
      <c r="T529" s="907"/>
      <c r="U529" s="907"/>
      <c r="V529" s="907"/>
      <c r="W529" s="907"/>
      <c r="X529" s="907"/>
      <c r="Y529" s="907"/>
      <c r="Z529" s="907"/>
      <c r="AA529" s="907"/>
      <c r="AB529" s="907"/>
      <c r="AC529" s="907"/>
    </row>
    <row r="530" spans="1:29">
      <c r="A530" s="907"/>
      <c r="B530" s="907"/>
      <c r="C530" s="907"/>
      <c r="D530" s="907"/>
      <c r="E530" s="907"/>
      <c r="F530" s="907"/>
      <c r="G530" s="907"/>
      <c r="H530" s="907"/>
      <c r="I530" s="907"/>
      <c r="J530" s="907"/>
      <c r="K530" s="907"/>
      <c r="L530" s="907"/>
      <c r="M530" s="907"/>
      <c r="N530" s="907"/>
      <c r="O530" s="907"/>
      <c r="P530" s="907"/>
      <c r="Q530" s="907"/>
      <c r="R530" s="907"/>
      <c r="S530" s="907"/>
      <c r="T530" s="907"/>
      <c r="U530" s="907"/>
      <c r="V530" s="907"/>
      <c r="W530" s="907"/>
      <c r="X530" s="907"/>
      <c r="Y530" s="907"/>
      <c r="Z530" s="907"/>
      <c r="AA530" s="907"/>
      <c r="AB530" s="907"/>
      <c r="AC530" s="907"/>
    </row>
    <row r="531" spans="1:29">
      <c r="A531" s="907"/>
      <c r="B531" s="907"/>
      <c r="C531" s="907"/>
      <c r="D531" s="907"/>
      <c r="E531" s="907"/>
      <c r="F531" s="907"/>
      <c r="G531" s="907"/>
      <c r="H531" s="907"/>
      <c r="I531" s="907"/>
      <c r="J531" s="907"/>
      <c r="K531" s="907"/>
      <c r="L531" s="907"/>
      <c r="M531" s="907"/>
      <c r="N531" s="907"/>
      <c r="O531" s="907"/>
      <c r="P531" s="907"/>
      <c r="Q531" s="907"/>
      <c r="R531" s="907"/>
      <c r="S531" s="907"/>
      <c r="T531" s="907"/>
      <c r="U531" s="907"/>
      <c r="V531" s="907"/>
      <c r="W531" s="907"/>
      <c r="X531" s="907"/>
      <c r="Y531" s="907"/>
      <c r="Z531" s="907"/>
      <c r="AA531" s="907"/>
      <c r="AB531" s="907"/>
      <c r="AC531" s="907"/>
    </row>
    <row r="532" spans="1:29">
      <c r="A532" s="907"/>
      <c r="B532" s="907"/>
      <c r="C532" s="907"/>
      <c r="D532" s="907"/>
      <c r="E532" s="907"/>
      <c r="F532" s="907"/>
      <c r="G532" s="907"/>
      <c r="H532" s="907"/>
      <c r="I532" s="907"/>
      <c r="J532" s="907"/>
      <c r="K532" s="907"/>
      <c r="L532" s="907"/>
      <c r="M532" s="907"/>
      <c r="N532" s="907"/>
      <c r="O532" s="907"/>
      <c r="P532" s="907"/>
      <c r="Q532" s="907"/>
      <c r="R532" s="907"/>
      <c r="S532" s="907"/>
      <c r="T532" s="907"/>
      <c r="U532" s="907"/>
      <c r="V532" s="907"/>
      <c r="W532" s="907"/>
      <c r="X532" s="907"/>
      <c r="Y532" s="907"/>
      <c r="Z532" s="907"/>
      <c r="AA532" s="907"/>
      <c r="AB532" s="907"/>
      <c r="AC532" s="907"/>
    </row>
    <row r="533" spans="1:29">
      <c r="A533" s="907"/>
      <c r="B533" s="907"/>
      <c r="C533" s="907"/>
      <c r="D533" s="907"/>
      <c r="E533" s="907"/>
      <c r="F533" s="907"/>
      <c r="G533" s="907"/>
      <c r="H533" s="907"/>
      <c r="I533" s="907"/>
      <c r="J533" s="907"/>
      <c r="K533" s="907"/>
      <c r="L533" s="907"/>
      <c r="M533" s="907"/>
      <c r="N533" s="907"/>
      <c r="O533" s="907"/>
      <c r="P533" s="907"/>
      <c r="Q533" s="907"/>
      <c r="R533" s="907"/>
      <c r="S533" s="907"/>
      <c r="T533" s="907"/>
      <c r="U533" s="907"/>
      <c r="V533" s="907"/>
      <c r="W533" s="907"/>
      <c r="X533" s="907"/>
      <c r="Y533" s="907"/>
      <c r="Z533" s="907"/>
      <c r="AA533" s="907"/>
      <c r="AB533" s="907"/>
      <c r="AC533" s="907"/>
    </row>
    <row r="534" spans="1:29">
      <c r="A534" s="907"/>
      <c r="B534" s="907"/>
      <c r="C534" s="907"/>
      <c r="D534" s="907"/>
      <c r="E534" s="907"/>
      <c r="F534" s="907"/>
      <c r="G534" s="907"/>
      <c r="H534" s="907"/>
      <c r="I534" s="907"/>
      <c r="J534" s="907"/>
      <c r="K534" s="907"/>
      <c r="L534" s="907"/>
      <c r="M534" s="907"/>
      <c r="N534" s="907"/>
      <c r="O534" s="907"/>
      <c r="P534" s="907"/>
      <c r="Q534" s="907"/>
      <c r="R534" s="907"/>
      <c r="S534" s="907"/>
      <c r="T534" s="907"/>
      <c r="U534" s="907"/>
      <c r="V534" s="907"/>
      <c r="W534" s="907"/>
      <c r="X534" s="907"/>
      <c r="Y534" s="907"/>
      <c r="Z534" s="907"/>
      <c r="AA534" s="907"/>
      <c r="AB534" s="907"/>
      <c r="AC534" s="907"/>
    </row>
    <row r="535" spans="1:29">
      <c r="A535" s="907"/>
      <c r="B535" s="907"/>
      <c r="C535" s="907"/>
      <c r="D535" s="907"/>
      <c r="E535" s="907"/>
      <c r="F535" s="907"/>
      <c r="G535" s="907"/>
      <c r="H535" s="907"/>
      <c r="I535" s="907"/>
      <c r="J535" s="907"/>
      <c r="K535" s="907"/>
      <c r="L535" s="907"/>
      <c r="M535" s="907"/>
      <c r="N535" s="907"/>
      <c r="O535" s="907"/>
      <c r="P535" s="907"/>
      <c r="Q535" s="907"/>
      <c r="R535" s="907"/>
      <c r="S535" s="907"/>
      <c r="T535" s="907"/>
      <c r="U535" s="907"/>
      <c r="V535" s="907"/>
      <c r="W535" s="907"/>
      <c r="X535" s="907"/>
      <c r="Y535" s="907"/>
      <c r="Z535" s="907"/>
      <c r="AA535" s="907"/>
      <c r="AB535" s="907"/>
      <c r="AC535" s="907"/>
    </row>
    <row r="536" spans="1:29">
      <c r="A536" s="907"/>
      <c r="B536" s="907"/>
      <c r="C536" s="907"/>
      <c r="D536" s="907"/>
      <c r="E536" s="907"/>
      <c r="F536" s="907"/>
      <c r="G536" s="907"/>
      <c r="H536" s="907"/>
      <c r="I536" s="907"/>
      <c r="J536" s="907"/>
      <c r="K536" s="907"/>
      <c r="L536" s="907"/>
      <c r="M536" s="907"/>
      <c r="N536" s="907"/>
      <c r="O536" s="907"/>
      <c r="P536" s="907"/>
      <c r="Q536" s="907"/>
      <c r="R536" s="907"/>
      <c r="S536" s="907"/>
      <c r="T536" s="907"/>
      <c r="U536" s="907"/>
      <c r="V536" s="907"/>
      <c r="W536" s="907"/>
      <c r="X536" s="907"/>
      <c r="Y536" s="907"/>
      <c r="Z536" s="907"/>
      <c r="AA536" s="907"/>
      <c r="AB536" s="907"/>
      <c r="AC536" s="907"/>
    </row>
    <row r="537" spans="1:29">
      <c r="A537" s="907"/>
      <c r="B537" s="907"/>
      <c r="C537" s="907"/>
      <c r="D537" s="907"/>
      <c r="E537" s="907"/>
      <c r="F537" s="907"/>
      <c r="G537" s="907"/>
      <c r="H537" s="907"/>
      <c r="I537" s="907"/>
      <c r="J537" s="907"/>
      <c r="K537" s="907"/>
      <c r="L537" s="907"/>
      <c r="M537" s="907"/>
      <c r="N537" s="907"/>
      <c r="O537" s="907"/>
      <c r="P537" s="907"/>
      <c r="Q537" s="907"/>
      <c r="R537" s="907"/>
      <c r="S537" s="907"/>
      <c r="T537" s="907"/>
      <c r="U537" s="907"/>
      <c r="V537" s="907"/>
      <c r="W537" s="907"/>
      <c r="X537" s="907"/>
      <c r="Y537" s="907"/>
      <c r="Z537" s="907"/>
      <c r="AA537" s="907"/>
      <c r="AB537" s="907"/>
      <c r="AC537" s="907"/>
    </row>
    <row r="538" spans="1:29">
      <c r="A538" s="907"/>
      <c r="B538" s="907"/>
      <c r="C538" s="907"/>
      <c r="D538" s="907"/>
      <c r="E538" s="907"/>
      <c r="F538" s="907"/>
      <c r="G538" s="907"/>
      <c r="H538" s="907"/>
      <c r="I538" s="907"/>
      <c r="J538" s="907"/>
      <c r="K538" s="907"/>
      <c r="L538" s="907"/>
      <c r="M538" s="907"/>
      <c r="N538" s="907"/>
      <c r="O538" s="907"/>
      <c r="P538" s="907"/>
      <c r="Q538" s="907"/>
      <c r="R538" s="907"/>
      <c r="S538" s="907"/>
      <c r="T538" s="907"/>
      <c r="U538" s="907"/>
      <c r="V538" s="907"/>
      <c r="W538" s="907"/>
      <c r="X538" s="907"/>
      <c r="Y538" s="907"/>
      <c r="Z538" s="907"/>
      <c r="AA538" s="907"/>
      <c r="AB538" s="907"/>
      <c r="AC538" s="907"/>
    </row>
    <row r="539" spans="1:29">
      <c r="A539" s="907"/>
      <c r="B539" s="907"/>
      <c r="C539" s="907"/>
      <c r="D539" s="907"/>
      <c r="E539" s="907"/>
      <c r="F539" s="907"/>
      <c r="G539" s="907"/>
      <c r="H539" s="907"/>
      <c r="I539" s="907"/>
      <c r="J539" s="907"/>
      <c r="K539" s="907"/>
      <c r="L539" s="907"/>
      <c r="M539" s="907"/>
      <c r="N539" s="907"/>
      <c r="O539" s="907"/>
      <c r="P539" s="907"/>
      <c r="Q539" s="907"/>
      <c r="R539" s="907"/>
      <c r="S539" s="907"/>
      <c r="T539" s="907"/>
      <c r="U539" s="907"/>
      <c r="V539" s="907"/>
      <c r="W539" s="907"/>
      <c r="X539" s="907"/>
      <c r="Y539" s="907"/>
      <c r="Z539" s="907"/>
      <c r="AA539" s="907"/>
      <c r="AB539" s="907"/>
      <c r="AC539" s="907"/>
    </row>
    <row r="540" spans="1:29">
      <c r="A540" s="907"/>
      <c r="B540" s="907"/>
      <c r="C540" s="907"/>
      <c r="D540" s="907"/>
      <c r="E540" s="907"/>
      <c r="F540" s="907"/>
      <c r="G540" s="907"/>
      <c r="H540" s="907"/>
      <c r="I540" s="907"/>
      <c r="J540" s="907"/>
      <c r="K540" s="907"/>
      <c r="L540" s="907"/>
      <c r="M540" s="907"/>
      <c r="N540" s="907"/>
      <c r="O540" s="907"/>
      <c r="P540" s="907"/>
      <c r="Q540" s="907"/>
      <c r="R540" s="907"/>
      <c r="S540" s="907"/>
      <c r="T540" s="907"/>
      <c r="U540" s="907"/>
      <c r="V540" s="907"/>
      <c r="W540" s="907"/>
      <c r="X540" s="907"/>
      <c r="Y540" s="907"/>
      <c r="Z540" s="907"/>
      <c r="AA540" s="907"/>
      <c r="AB540" s="907"/>
      <c r="AC540" s="907"/>
    </row>
    <row r="541" spans="1:29">
      <c r="A541" s="907"/>
      <c r="B541" s="907"/>
      <c r="C541" s="907"/>
      <c r="D541" s="907"/>
      <c r="E541" s="907"/>
      <c r="F541" s="907"/>
      <c r="G541" s="907"/>
      <c r="H541" s="907"/>
      <c r="I541" s="907"/>
      <c r="J541" s="907"/>
      <c r="K541" s="907"/>
      <c r="L541" s="907"/>
      <c r="M541" s="907"/>
      <c r="N541" s="907"/>
      <c r="O541" s="907"/>
      <c r="P541" s="907"/>
      <c r="Q541" s="907"/>
      <c r="R541" s="907"/>
      <c r="S541" s="907"/>
      <c r="T541" s="907"/>
      <c r="U541" s="907"/>
      <c r="V541" s="907"/>
      <c r="W541" s="907"/>
      <c r="X541" s="907"/>
      <c r="Y541" s="907"/>
      <c r="Z541" s="907"/>
      <c r="AA541" s="907"/>
      <c r="AB541" s="907"/>
      <c r="AC541" s="907"/>
    </row>
    <row r="542" spans="1:29">
      <c r="A542" s="907"/>
      <c r="B542" s="907"/>
      <c r="C542" s="907"/>
      <c r="D542" s="907"/>
      <c r="E542" s="907"/>
      <c r="F542" s="907"/>
      <c r="G542" s="907"/>
      <c r="H542" s="907"/>
      <c r="I542" s="907"/>
      <c r="J542" s="907"/>
      <c r="K542" s="907"/>
      <c r="L542" s="907"/>
      <c r="M542" s="907"/>
      <c r="N542" s="907"/>
      <c r="O542" s="907"/>
      <c r="P542" s="907"/>
      <c r="Q542" s="907"/>
      <c r="R542" s="907"/>
      <c r="S542" s="907"/>
      <c r="T542" s="907"/>
      <c r="U542" s="907"/>
      <c r="V542" s="907"/>
      <c r="W542" s="907"/>
      <c r="X542" s="907"/>
      <c r="Y542" s="907"/>
      <c r="Z542" s="907"/>
      <c r="AA542" s="907"/>
      <c r="AB542" s="907"/>
      <c r="AC542" s="907"/>
    </row>
    <row r="543" spans="1:29">
      <c r="A543" s="907"/>
      <c r="B543" s="907"/>
      <c r="C543" s="907"/>
      <c r="D543" s="907"/>
      <c r="E543" s="907"/>
      <c r="F543" s="907"/>
      <c r="G543" s="907"/>
      <c r="H543" s="907"/>
      <c r="I543" s="907"/>
      <c r="J543" s="907"/>
      <c r="K543" s="907"/>
      <c r="L543" s="907"/>
      <c r="M543" s="907"/>
      <c r="N543" s="907"/>
      <c r="O543" s="907"/>
      <c r="P543" s="907"/>
      <c r="Q543" s="907"/>
      <c r="R543" s="907"/>
      <c r="S543" s="907"/>
      <c r="T543" s="907"/>
      <c r="U543" s="907"/>
      <c r="V543" s="907"/>
      <c r="W543" s="907"/>
      <c r="X543" s="907"/>
      <c r="Y543" s="907"/>
      <c r="Z543" s="907"/>
      <c r="AA543" s="907"/>
      <c r="AB543" s="907"/>
      <c r="AC543" s="907"/>
    </row>
    <row r="544" spans="1:29">
      <c r="A544" s="907"/>
      <c r="B544" s="907"/>
      <c r="C544" s="907"/>
      <c r="D544" s="907"/>
      <c r="E544" s="907"/>
      <c r="F544" s="907"/>
      <c r="G544" s="907"/>
      <c r="H544" s="907"/>
      <c r="I544" s="907"/>
      <c r="J544" s="907"/>
      <c r="K544" s="907"/>
      <c r="L544" s="907"/>
      <c r="M544" s="907"/>
      <c r="N544" s="907"/>
      <c r="O544" s="907"/>
      <c r="P544" s="907"/>
      <c r="Q544" s="907"/>
      <c r="R544" s="907"/>
      <c r="S544" s="907"/>
      <c r="T544" s="907"/>
      <c r="U544" s="907"/>
      <c r="V544" s="907"/>
      <c r="W544" s="907"/>
      <c r="X544" s="907"/>
      <c r="Y544" s="907"/>
      <c r="Z544" s="907"/>
      <c r="AA544" s="907"/>
      <c r="AB544" s="907"/>
      <c r="AC544" s="907"/>
    </row>
    <row r="545" spans="1:29">
      <c r="A545" s="907"/>
      <c r="B545" s="907"/>
      <c r="C545" s="907"/>
      <c r="D545" s="907"/>
      <c r="E545" s="907"/>
      <c r="F545" s="907"/>
      <c r="G545" s="907"/>
      <c r="H545" s="907"/>
      <c r="I545" s="907"/>
      <c r="J545" s="907"/>
      <c r="K545" s="907"/>
      <c r="L545" s="907"/>
      <c r="M545" s="907"/>
      <c r="N545" s="907"/>
      <c r="O545" s="907"/>
      <c r="P545" s="907"/>
      <c r="Q545" s="907"/>
      <c r="R545" s="907"/>
      <c r="S545" s="907"/>
      <c r="T545" s="907"/>
      <c r="U545" s="907"/>
      <c r="V545" s="907"/>
      <c r="W545" s="907"/>
      <c r="X545" s="907"/>
      <c r="Y545" s="907"/>
      <c r="Z545" s="907"/>
      <c r="AA545" s="907"/>
      <c r="AB545" s="907"/>
      <c r="AC545" s="907"/>
    </row>
    <row r="546" spans="1:29">
      <c r="A546" s="907"/>
      <c r="B546" s="907"/>
      <c r="C546" s="907"/>
      <c r="D546" s="907"/>
      <c r="E546" s="907"/>
      <c r="F546" s="907"/>
      <c r="G546" s="907"/>
      <c r="H546" s="907"/>
      <c r="I546" s="907"/>
      <c r="J546" s="907"/>
      <c r="K546" s="907"/>
      <c r="L546" s="907"/>
      <c r="M546" s="907"/>
      <c r="N546" s="907"/>
      <c r="O546" s="907"/>
      <c r="P546" s="907"/>
      <c r="Q546" s="907"/>
      <c r="R546" s="907"/>
      <c r="S546" s="907"/>
      <c r="T546" s="907"/>
      <c r="U546" s="907"/>
      <c r="V546" s="907"/>
      <c r="W546" s="907"/>
      <c r="X546" s="907"/>
      <c r="Y546" s="907"/>
      <c r="Z546" s="907"/>
      <c r="AA546" s="907"/>
      <c r="AB546" s="907"/>
      <c r="AC546" s="907"/>
    </row>
    <row r="547" spans="1:29">
      <c r="A547" s="907"/>
      <c r="B547" s="907"/>
      <c r="C547" s="907"/>
      <c r="D547" s="907"/>
      <c r="E547" s="907"/>
      <c r="F547" s="907"/>
      <c r="G547" s="907"/>
      <c r="H547" s="907"/>
      <c r="I547" s="907"/>
      <c r="J547" s="907"/>
      <c r="K547" s="907"/>
      <c r="L547" s="907"/>
      <c r="M547" s="907"/>
      <c r="N547" s="907"/>
      <c r="O547" s="907"/>
      <c r="P547" s="907"/>
      <c r="Q547" s="907"/>
      <c r="R547" s="907"/>
      <c r="S547" s="907"/>
      <c r="T547" s="907"/>
      <c r="U547" s="907"/>
      <c r="V547" s="907"/>
      <c r="W547" s="907"/>
      <c r="X547" s="907"/>
      <c r="Y547" s="907"/>
      <c r="Z547" s="907"/>
      <c r="AA547" s="907"/>
      <c r="AB547" s="907"/>
      <c r="AC547" s="907"/>
    </row>
    <row r="548" spans="1:29">
      <c r="A548" s="907"/>
      <c r="B548" s="907"/>
      <c r="C548" s="907"/>
      <c r="D548" s="907"/>
      <c r="E548" s="907"/>
      <c r="F548" s="907"/>
      <c r="G548" s="907"/>
      <c r="H548" s="907"/>
      <c r="I548" s="907"/>
      <c r="J548" s="907"/>
      <c r="K548" s="907"/>
      <c r="L548" s="907"/>
      <c r="M548" s="907"/>
      <c r="N548" s="907"/>
      <c r="O548" s="907"/>
      <c r="P548" s="907"/>
      <c r="Q548" s="907"/>
      <c r="R548" s="907"/>
      <c r="S548" s="907"/>
      <c r="T548" s="907"/>
      <c r="U548" s="907"/>
      <c r="V548" s="907"/>
      <c r="W548" s="907"/>
      <c r="X548" s="907"/>
      <c r="Y548" s="907"/>
      <c r="Z548" s="907"/>
      <c r="AA548" s="907"/>
      <c r="AB548" s="907"/>
      <c r="AC548" s="907"/>
    </row>
    <row r="549" spans="1:29">
      <c r="A549" s="907"/>
      <c r="B549" s="907"/>
      <c r="C549" s="907"/>
      <c r="D549" s="907"/>
      <c r="E549" s="907"/>
      <c r="F549" s="907"/>
      <c r="G549" s="907"/>
      <c r="H549" s="907"/>
      <c r="I549" s="907"/>
      <c r="J549" s="907"/>
      <c r="K549" s="907"/>
      <c r="L549" s="907"/>
      <c r="M549" s="907"/>
      <c r="N549" s="907"/>
      <c r="O549" s="907"/>
      <c r="P549" s="907"/>
      <c r="Q549" s="907"/>
      <c r="R549" s="907"/>
      <c r="S549" s="907"/>
      <c r="T549" s="907"/>
      <c r="U549" s="907"/>
      <c r="V549" s="907"/>
      <c r="W549" s="907"/>
      <c r="X549" s="907"/>
      <c r="Y549" s="907"/>
      <c r="Z549" s="907"/>
      <c r="AA549" s="907"/>
      <c r="AB549" s="907"/>
      <c r="AC549" s="907"/>
    </row>
    <row r="550" spans="1:29">
      <c r="A550" s="907"/>
      <c r="B550" s="907"/>
      <c r="C550" s="907"/>
      <c r="D550" s="907"/>
      <c r="E550" s="907"/>
      <c r="F550" s="907"/>
      <c r="G550" s="907"/>
      <c r="H550" s="907"/>
      <c r="I550" s="907"/>
      <c r="J550" s="907"/>
      <c r="K550" s="907"/>
      <c r="L550" s="907"/>
      <c r="M550" s="907"/>
      <c r="N550" s="907"/>
      <c r="O550" s="907"/>
      <c r="P550" s="907"/>
      <c r="Q550" s="907"/>
      <c r="R550" s="907"/>
      <c r="S550" s="907"/>
      <c r="T550" s="907"/>
      <c r="U550" s="907"/>
      <c r="V550" s="907"/>
      <c r="W550" s="907"/>
      <c r="X550" s="907"/>
      <c r="Y550" s="907"/>
      <c r="Z550" s="907"/>
      <c r="AA550" s="907"/>
      <c r="AB550" s="907"/>
      <c r="AC550" s="907"/>
    </row>
    <row r="551" spans="1:29">
      <c r="A551" s="907"/>
      <c r="B551" s="907"/>
      <c r="C551" s="907"/>
      <c r="D551" s="907"/>
      <c r="E551" s="907"/>
      <c r="F551" s="907"/>
      <c r="G551" s="907"/>
      <c r="H551" s="907"/>
      <c r="I551" s="907"/>
      <c r="J551" s="907"/>
      <c r="K551" s="907"/>
      <c r="L551" s="907"/>
      <c r="M551" s="907"/>
      <c r="N551" s="907"/>
      <c r="O551" s="907"/>
      <c r="P551" s="907"/>
      <c r="Q551" s="907"/>
      <c r="R551" s="907"/>
      <c r="S551" s="907"/>
      <c r="T551" s="907"/>
      <c r="U551" s="907"/>
      <c r="V551" s="907"/>
      <c r="W551" s="907"/>
      <c r="X551" s="907"/>
      <c r="Y551" s="907"/>
      <c r="Z551" s="907"/>
      <c r="AA551" s="907"/>
      <c r="AB551" s="907"/>
      <c r="AC551" s="907"/>
    </row>
    <row r="552" spans="1:29">
      <c r="A552" s="907"/>
      <c r="B552" s="907"/>
      <c r="C552" s="907"/>
      <c r="D552" s="907"/>
      <c r="E552" s="907"/>
      <c r="F552" s="907"/>
      <c r="G552" s="907"/>
      <c r="H552" s="907"/>
      <c r="I552" s="907"/>
      <c r="J552" s="907"/>
      <c r="K552" s="907"/>
      <c r="L552" s="907"/>
      <c r="M552" s="907"/>
      <c r="N552" s="907"/>
      <c r="O552" s="907"/>
      <c r="P552" s="907"/>
      <c r="Q552" s="907"/>
      <c r="R552" s="907"/>
      <c r="S552" s="907"/>
      <c r="T552" s="907"/>
      <c r="U552" s="907"/>
      <c r="V552" s="907"/>
      <c r="W552" s="907"/>
      <c r="X552" s="907"/>
      <c r="Y552" s="907"/>
      <c r="Z552" s="907"/>
      <c r="AA552" s="907"/>
      <c r="AB552" s="907"/>
      <c r="AC552" s="907"/>
    </row>
    <row r="553" spans="1:29">
      <c r="A553" s="907"/>
      <c r="B553" s="907"/>
      <c r="C553" s="907"/>
      <c r="D553" s="907"/>
      <c r="E553" s="907"/>
      <c r="F553" s="907"/>
      <c r="G553" s="907"/>
      <c r="H553" s="907"/>
      <c r="I553" s="907"/>
      <c r="J553" s="907"/>
      <c r="K553" s="907"/>
      <c r="L553" s="907"/>
      <c r="M553" s="907"/>
      <c r="N553" s="907"/>
      <c r="O553" s="907"/>
      <c r="P553" s="907"/>
      <c r="Q553" s="907"/>
      <c r="R553" s="907"/>
      <c r="S553" s="907"/>
      <c r="T553" s="907"/>
      <c r="U553" s="907"/>
      <c r="V553" s="907"/>
      <c r="W553" s="907"/>
      <c r="X553" s="907"/>
      <c r="Y553" s="907"/>
      <c r="Z553" s="907"/>
      <c r="AA553" s="907"/>
      <c r="AB553" s="907"/>
      <c r="AC553" s="907"/>
    </row>
    <row r="554" spans="1:29">
      <c r="A554" s="907"/>
      <c r="B554" s="907"/>
      <c r="C554" s="907"/>
      <c r="D554" s="907"/>
      <c r="E554" s="907"/>
      <c r="F554" s="907"/>
      <c r="G554" s="907"/>
      <c r="H554" s="907"/>
      <c r="I554" s="907"/>
      <c r="J554" s="907"/>
      <c r="K554" s="907"/>
      <c r="L554" s="907"/>
      <c r="M554" s="907"/>
      <c r="N554" s="907"/>
      <c r="O554" s="907"/>
      <c r="P554" s="907"/>
      <c r="Q554" s="907"/>
      <c r="R554" s="907"/>
      <c r="S554" s="907"/>
      <c r="T554" s="907"/>
      <c r="U554" s="907"/>
      <c r="V554" s="907"/>
      <c r="W554" s="907"/>
      <c r="X554" s="907"/>
      <c r="Y554" s="907"/>
      <c r="Z554" s="907"/>
      <c r="AA554" s="907"/>
      <c r="AB554" s="907"/>
      <c r="AC554" s="907"/>
    </row>
    <row r="555" spans="1:29">
      <c r="A555" s="907"/>
      <c r="B555" s="907"/>
      <c r="C555" s="907"/>
      <c r="D555" s="907"/>
      <c r="E555" s="907"/>
      <c r="F555" s="907"/>
      <c r="G555" s="907"/>
      <c r="H555" s="907"/>
      <c r="I555" s="907"/>
      <c r="J555" s="907"/>
      <c r="K555" s="907"/>
      <c r="L555" s="907"/>
      <c r="M555" s="907"/>
      <c r="N555" s="907"/>
      <c r="O555" s="907"/>
      <c r="P555" s="907"/>
      <c r="Q555" s="907"/>
      <c r="R555" s="907"/>
      <c r="S555" s="907"/>
      <c r="T555" s="907"/>
      <c r="U555" s="907"/>
      <c r="V555" s="907"/>
      <c r="W555" s="907"/>
      <c r="X555" s="907"/>
      <c r="Y555" s="907"/>
      <c r="Z555" s="907"/>
      <c r="AA555" s="907"/>
      <c r="AB555" s="907"/>
      <c r="AC555" s="907"/>
    </row>
    <row r="556" spans="1:29">
      <c r="A556" s="907"/>
      <c r="B556" s="907"/>
      <c r="C556" s="907"/>
      <c r="D556" s="907"/>
      <c r="E556" s="907"/>
      <c r="F556" s="907"/>
      <c r="G556" s="907"/>
      <c r="H556" s="907"/>
      <c r="I556" s="907"/>
      <c r="J556" s="907"/>
      <c r="K556" s="907"/>
      <c r="L556" s="907"/>
      <c r="M556" s="907"/>
      <c r="N556" s="907"/>
      <c r="O556" s="907"/>
      <c r="P556" s="907"/>
      <c r="Q556" s="907"/>
      <c r="R556" s="907"/>
      <c r="S556" s="907"/>
      <c r="T556" s="907"/>
      <c r="U556" s="907"/>
      <c r="V556" s="907"/>
      <c r="W556" s="907"/>
      <c r="X556" s="907"/>
      <c r="Y556" s="907"/>
      <c r="Z556" s="907"/>
      <c r="AA556" s="907"/>
      <c r="AB556" s="907"/>
      <c r="AC556" s="907"/>
    </row>
    <row r="557" spans="1:29">
      <c r="A557" s="907"/>
      <c r="B557" s="907"/>
      <c r="C557" s="907"/>
      <c r="D557" s="907"/>
      <c r="E557" s="907"/>
      <c r="F557" s="907"/>
      <c r="G557" s="907"/>
      <c r="H557" s="907"/>
      <c r="I557" s="907"/>
      <c r="J557" s="907"/>
      <c r="K557" s="907"/>
      <c r="L557" s="907"/>
      <c r="M557" s="907"/>
      <c r="N557" s="907"/>
      <c r="O557" s="907"/>
      <c r="P557" s="907"/>
      <c r="Q557" s="907"/>
      <c r="R557" s="907"/>
      <c r="S557" s="907"/>
      <c r="T557" s="907"/>
      <c r="U557" s="907"/>
      <c r="V557" s="907"/>
      <c r="W557" s="907"/>
      <c r="X557" s="907"/>
      <c r="Y557" s="907"/>
      <c r="Z557" s="907"/>
      <c r="AA557" s="907"/>
      <c r="AB557" s="907"/>
      <c r="AC557" s="907"/>
    </row>
    <row r="558" spans="1:29">
      <c r="A558" s="907"/>
      <c r="B558" s="907"/>
      <c r="C558" s="907"/>
      <c r="D558" s="907"/>
      <c r="E558" s="907"/>
      <c r="F558" s="907"/>
      <c r="G558" s="907"/>
      <c r="H558" s="907"/>
      <c r="I558" s="907"/>
      <c r="J558" s="907"/>
      <c r="K558" s="907"/>
      <c r="L558" s="907"/>
      <c r="M558" s="907"/>
      <c r="N558" s="907"/>
      <c r="O558" s="907"/>
      <c r="P558" s="907"/>
      <c r="Q558" s="907"/>
      <c r="R558" s="907"/>
      <c r="S558" s="907"/>
      <c r="T558" s="907"/>
      <c r="U558" s="907"/>
      <c r="V558" s="907"/>
      <c r="W558" s="907"/>
      <c r="X558" s="907"/>
      <c r="Y558" s="907"/>
      <c r="Z558" s="907"/>
      <c r="AA558" s="907"/>
      <c r="AB558" s="907"/>
      <c r="AC558" s="907"/>
    </row>
    <row r="559" spans="1:29">
      <c r="A559" s="907"/>
      <c r="B559" s="907"/>
      <c r="C559" s="907"/>
      <c r="D559" s="907"/>
      <c r="E559" s="907"/>
      <c r="F559" s="907"/>
      <c r="G559" s="907"/>
      <c r="H559" s="907"/>
      <c r="I559" s="907"/>
      <c r="J559" s="907"/>
      <c r="K559" s="907"/>
      <c r="L559" s="907"/>
      <c r="M559" s="907"/>
      <c r="N559" s="907"/>
      <c r="O559" s="907"/>
      <c r="P559" s="907"/>
      <c r="Q559" s="907"/>
      <c r="R559" s="907"/>
      <c r="S559" s="907"/>
      <c r="T559" s="907"/>
      <c r="U559" s="907"/>
      <c r="V559" s="907"/>
      <c r="W559" s="907"/>
      <c r="X559" s="907"/>
      <c r="Y559" s="907"/>
      <c r="Z559" s="907"/>
      <c r="AA559" s="907"/>
      <c r="AB559" s="907"/>
      <c r="AC559" s="907"/>
    </row>
    <row r="560" spans="1:29">
      <c r="A560" s="907"/>
      <c r="B560" s="907"/>
      <c r="C560" s="907"/>
      <c r="D560" s="907"/>
      <c r="E560" s="907"/>
      <c r="F560" s="907"/>
      <c r="G560" s="907"/>
      <c r="H560" s="907"/>
      <c r="I560" s="907"/>
      <c r="J560" s="907"/>
      <c r="K560" s="907"/>
      <c r="L560" s="907"/>
      <c r="M560" s="907"/>
      <c r="N560" s="907"/>
      <c r="O560" s="907"/>
      <c r="P560" s="907"/>
      <c r="Q560" s="907"/>
      <c r="R560" s="907"/>
      <c r="S560" s="907"/>
      <c r="T560" s="907"/>
      <c r="U560" s="907"/>
      <c r="V560" s="907"/>
      <c r="W560" s="907"/>
      <c r="X560" s="907"/>
      <c r="Y560" s="907"/>
      <c r="Z560" s="907"/>
      <c r="AA560" s="907"/>
      <c r="AB560" s="907"/>
      <c r="AC560" s="907"/>
    </row>
    <row r="561" spans="1:29">
      <c r="A561" s="907"/>
      <c r="B561" s="907"/>
      <c r="C561" s="907"/>
      <c r="D561" s="907"/>
      <c r="E561" s="907"/>
      <c r="F561" s="907"/>
      <c r="G561" s="907"/>
      <c r="H561" s="907"/>
      <c r="I561" s="907"/>
      <c r="J561" s="907"/>
      <c r="K561" s="907"/>
      <c r="L561" s="907"/>
      <c r="M561" s="907"/>
      <c r="N561" s="907"/>
      <c r="O561" s="907"/>
      <c r="P561" s="907"/>
      <c r="Q561" s="907"/>
      <c r="R561" s="907"/>
      <c r="S561" s="907"/>
      <c r="T561" s="907"/>
      <c r="U561" s="907"/>
      <c r="V561" s="907"/>
      <c r="W561" s="907"/>
      <c r="X561" s="907"/>
      <c r="Y561" s="907"/>
      <c r="Z561" s="907"/>
      <c r="AA561" s="907"/>
      <c r="AB561" s="907"/>
      <c r="AC561" s="907"/>
    </row>
    <row r="562" spans="1:29">
      <c r="A562" s="907"/>
      <c r="B562" s="907"/>
      <c r="C562" s="907"/>
      <c r="D562" s="907"/>
      <c r="E562" s="907"/>
      <c r="F562" s="907"/>
      <c r="G562" s="907"/>
      <c r="H562" s="907"/>
      <c r="I562" s="907"/>
      <c r="J562" s="907"/>
      <c r="K562" s="907"/>
      <c r="L562" s="907"/>
      <c r="M562" s="907"/>
      <c r="N562" s="907"/>
      <c r="O562" s="907"/>
      <c r="P562" s="907"/>
      <c r="Q562" s="907"/>
      <c r="R562" s="907"/>
      <c r="S562" s="907"/>
      <c r="T562" s="907"/>
      <c r="U562" s="907"/>
      <c r="V562" s="907"/>
      <c r="W562" s="907"/>
      <c r="X562" s="907"/>
      <c r="Y562" s="907"/>
      <c r="Z562" s="907"/>
      <c r="AA562" s="907"/>
      <c r="AB562" s="907"/>
      <c r="AC562" s="907"/>
    </row>
    <row r="563" spans="1:29">
      <c r="A563" s="907"/>
      <c r="B563" s="907"/>
      <c r="C563" s="907"/>
      <c r="D563" s="907"/>
      <c r="E563" s="907"/>
      <c r="F563" s="907"/>
      <c r="G563" s="907"/>
      <c r="H563" s="907"/>
      <c r="I563" s="907"/>
      <c r="J563" s="907"/>
      <c r="K563" s="907"/>
      <c r="L563" s="907"/>
      <c r="M563" s="907"/>
      <c r="N563" s="907"/>
      <c r="O563" s="907"/>
      <c r="P563" s="907"/>
      <c r="Q563" s="907"/>
      <c r="R563" s="907"/>
      <c r="S563" s="907"/>
      <c r="T563" s="907"/>
      <c r="U563" s="907"/>
      <c r="V563" s="907"/>
      <c r="W563" s="907"/>
      <c r="X563" s="907"/>
      <c r="Y563" s="907"/>
      <c r="Z563" s="907"/>
      <c r="AA563" s="907"/>
      <c r="AB563" s="907"/>
      <c r="AC563" s="907"/>
    </row>
    <row r="564" spans="1:29">
      <c r="A564" s="907"/>
      <c r="B564" s="907"/>
      <c r="C564" s="907"/>
      <c r="D564" s="907"/>
      <c r="E564" s="907"/>
      <c r="F564" s="907"/>
      <c r="G564" s="907"/>
      <c r="H564" s="907"/>
      <c r="I564" s="907"/>
      <c r="J564" s="907"/>
      <c r="K564" s="907"/>
      <c r="L564" s="907"/>
      <c r="M564" s="907"/>
      <c r="N564" s="907"/>
      <c r="O564" s="907"/>
      <c r="P564" s="907"/>
      <c r="Q564" s="907"/>
      <c r="R564" s="907"/>
      <c r="S564" s="907"/>
      <c r="T564" s="907"/>
      <c r="U564" s="907"/>
      <c r="V564" s="907"/>
      <c r="W564" s="907"/>
      <c r="X564" s="907"/>
      <c r="Y564" s="907"/>
      <c r="Z564" s="907"/>
      <c r="AA564" s="907"/>
      <c r="AB564" s="907"/>
      <c r="AC564" s="907"/>
    </row>
    <row r="565" spans="1:29">
      <c r="A565" s="907"/>
      <c r="B565" s="907"/>
      <c r="C565" s="907"/>
      <c r="D565" s="907"/>
      <c r="E565" s="907"/>
      <c r="F565" s="907"/>
      <c r="G565" s="907"/>
      <c r="H565" s="907"/>
      <c r="I565" s="907"/>
      <c r="J565" s="907"/>
      <c r="K565" s="907"/>
      <c r="L565" s="907"/>
      <c r="M565" s="907"/>
      <c r="N565" s="907"/>
      <c r="O565" s="907"/>
      <c r="P565" s="907"/>
      <c r="Q565" s="907"/>
      <c r="R565" s="907"/>
      <c r="S565" s="907"/>
      <c r="T565" s="907"/>
      <c r="U565" s="907"/>
      <c r="V565" s="907"/>
      <c r="W565" s="907"/>
      <c r="X565" s="907"/>
      <c r="Y565" s="907"/>
      <c r="Z565" s="907"/>
      <c r="AA565" s="907"/>
      <c r="AB565" s="907"/>
      <c r="AC565" s="907"/>
    </row>
    <row r="566" spans="1:29">
      <c r="A566" s="907"/>
      <c r="B566" s="907"/>
      <c r="C566" s="907"/>
      <c r="D566" s="907"/>
      <c r="E566" s="907"/>
      <c r="F566" s="907"/>
      <c r="G566" s="907"/>
      <c r="H566" s="907"/>
      <c r="I566" s="907"/>
      <c r="J566" s="907"/>
      <c r="K566" s="907"/>
      <c r="L566" s="907"/>
      <c r="M566" s="907"/>
      <c r="N566" s="907"/>
      <c r="O566" s="907"/>
      <c r="P566" s="907"/>
      <c r="Q566" s="907"/>
      <c r="R566" s="907"/>
      <c r="S566" s="907"/>
      <c r="T566" s="907"/>
      <c r="U566" s="907"/>
      <c r="V566" s="907"/>
      <c r="W566" s="907"/>
      <c r="X566" s="907"/>
      <c r="Y566" s="907"/>
      <c r="Z566" s="907"/>
      <c r="AA566" s="907"/>
      <c r="AB566" s="907"/>
      <c r="AC566" s="907"/>
    </row>
    <row r="567" spans="1:29">
      <c r="A567" s="907"/>
      <c r="B567" s="907"/>
      <c r="C567" s="907"/>
      <c r="D567" s="907"/>
      <c r="E567" s="907"/>
      <c r="F567" s="907"/>
      <c r="G567" s="907"/>
      <c r="H567" s="907"/>
      <c r="I567" s="907"/>
      <c r="J567" s="907"/>
      <c r="K567" s="907"/>
      <c r="L567" s="907"/>
      <c r="M567" s="907"/>
      <c r="N567" s="907"/>
      <c r="O567" s="907"/>
      <c r="P567" s="907"/>
      <c r="Q567" s="907"/>
      <c r="R567" s="907"/>
      <c r="S567" s="907"/>
      <c r="T567" s="907"/>
      <c r="U567" s="907"/>
      <c r="V567" s="907"/>
      <c r="W567" s="907"/>
      <c r="X567" s="907"/>
      <c r="Y567" s="907"/>
      <c r="Z567" s="907"/>
      <c r="AA567" s="907"/>
      <c r="AB567" s="907"/>
      <c r="AC567" s="907"/>
    </row>
    <row r="568" spans="1:29">
      <c r="A568" s="907"/>
      <c r="B568" s="907"/>
      <c r="C568" s="907"/>
      <c r="D568" s="907"/>
      <c r="E568" s="907"/>
      <c r="F568" s="907"/>
      <c r="G568" s="907"/>
      <c r="H568" s="907"/>
      <c r="I568" s="907"/>
      <c r="J568" s="907"/>
      <c r="K568" s="907"/>
      <c r="L568" s="907"/>
      <c r="M568" s="907"/>
      <c r="N568" s="907"/>
      <c r="O568" s="907"/>
      <c r="P568" s="907"/>
      <c r="Q568" s="907"/>
      <c r="R568" s="907"/>
      <c r="S568" s="907"/>
      <c r="T568" s="907"/>
      <c r="U568" s="907"/>
      <c r="V568" s="907"/>
      <c r="W568" s="907"/>
      <c r="X568" s="907"/>
      <c r="Y568" s="907"/>
      <c r="Z568" s="907"/>
      <c r="AA568" s="907"/>
      <c r="AB568" s="907"/>
      <c r="AC568" s="907"/>
    </row>
    <row r="569" spans="1:29">
      <c r="A569" s="907"/>
      <c r="B569" s="907"/>
      <c r="C569" s="907"/>
      <c r="D569" s="907"/>
      <c r="E569" s="907"/>
      <c r="F569" s="907"/>
      <c r="G569" s="907"/>
      <c r="H569" s="907"/>
      <c r="I569" s="907"/>
      <c r="J569" s="907"/>
      <c r="K569" s="907"/>
      <c r="L569" s="907"/>
      <c r="M569" s="907"/>
      <c r="N569" s="907"/>
      <c r="O569" s="907"/>
      <c r="P569" s="907"/>
      <c r="Q569" s="907"/>
      <c r="R569" s="907"/>
      <c r="S569" s="907"/>
      <c r="T569" s="907"/>
      <c r="U569" s="907"/>
      <c r="V569" s="907"/>
      <c r="W569" s="907"/>
      <c r="X569" s="907"/>
      <c r="Y569" s="907"/>
      <c r="Z569" s="907"/>
      <c r="AA569" s="907"/>
      <c r="AB569" s="907"/>
      <c r="AC569" s="907"/>
    </row>
    <row r="570" spans="1:29">
      <c r="A570" s="907"/>
      <c r="B570" s="907"/>
      <c r="C570" s="907"/>
      <c r="D570" s="907"/>
      <c r="E570" s="907"/>
      <c r="F570" s="907"/>
      <c r="G570" s="907"/>
      <c r="H570" s="907"/>
      <c r="I570" s="907"/>
      <c r="J570" s="907"/>
      <c r="K570" s="907"/>
      <c r="L570" s="907"/>
      <c r="M570" s="907"/>
      <c r="N570" s="907"/>
      <c r="O570" s="907"/>
      <c r="P570" s="907"/>
      <c r="Q570" s="907"/>
      <c r="R570" s="907"/>
      <c r="S570" s="907"/>
      <c r="T570" s="907"/>
      <c r="U570" s="907"/>
      <c r="V570" s="907"/>
      <c r="W570" s="907"/>
      <c r="X570" s="907"/>
      <c r="Y570" s="907"/>
      <c r="Z570" s="907"/>
      <c r="AA570" s="907"/>
      <c r="AB570" s="907"/>
      <c r="AC570" s="907"/>
    </row>
    <row r="571" spans="1:29">
      <c r="A571" s="907"/>
      <c r="B571" s="907"/>
      <c r="C571" s="907"/>
      <c r="D571" s="907"/>
      <c r="E571" s="907"/>
      <c r="F571" s="907"/>
      <c r="G571" s="907"/>
      <c r="H571" s="907"/>
      <c r="I571" s="907"/>
      <c r="J571" s="907"/>
      <c r="K571" s="907"/>
      <c r="L571" s="907"/>
      <c r="M571" s="907"/>
      <c r="N571" s="907"/>
      <c r="O571" s="907"/>
      <c r="P571" s="907"/>
      <c r="Q571" s="907"/>
      <c r="R571" s="907"/>
      <c r="S571" s="907"/>
      <c r="T571" s="907"/>
      <c r="U571" s="907"/>
      <c r="V571" s="907"/>
      <c r="W571" s="907"/>
      <c r="X571" s="907"/>
      <c r="Y571" s="907"/>
      <c r="Z571" s="907"/>
      <c r="AA571" s="907"/>
      <c r="AB571" s="907"/>
      <c r="AC571" s="907"/>
    </row>
    <row r="572" spans="1:29">
      <c r="A572" s="907"/>
      <c r="B572" s="907"/>
      <c r="C572" s="907"/>
      <c r="D572" s="907"/>
      <c r="E572" s="907"/>
      <c r="F572" s="907"/>
      <c r="G572" s="907"/>
      <c r="H572" s="907"/>
      <c r="I572" s="907"/>
      <c r="J572" s="907"/>
      <c r="K572" s="907"/>
      <c r="L572" s="907"/>
      <c r="M572" s="907"/>
      <c r="N572" s="907"/>
      <c r="O572" s="907"/>
      <c r="P572" s="907"/>
      <c r="Q572" s="907"/>
      <c r="R572" s="907"/>
      <c r="S572" s="907"/>
      <c r="T572" s="907"/>
      <c r="U572" s="907"/>
      <c r="V572" s="907"/>
      <c r="W572" s="907"/>
      <c r="X572" s="907"/>
      <c r="Y572" s="907"/>
      <c r="Z572" s="907"/>
      <c r="AA572" s="907"/>
      <c r="AB572" s="907"/>
      <c r="AC572" s="907"/>
    </row>
    <row r="573" spans="1:29">
      <c r="A573" s="907"/>
      <c r="B573" s="907"/>
      <c r="C573" s="907"/>
      <c r="D573" s="907"/>
      <c r="E573" s="907"/>
      <c r="F573" s="907"/>
      <c r="G573" s="907"/>
      <c r="H573" s="907"/>
      <c r="I573" s="907"/>
      <c r="J573" s="907"/>
      <c r="K573" s="907"/>
      <c r="L573" s="907"/>
      <c r="M573" s="907"/>
      <c r="N573" s="907"/>
      <c r="O573" s="907"/>
      <c r="P573" s="907"/>
      <c r="Q573" s="907"/>
      <c r="R573" s="907"/>
      <c r="S573" s="907"/>
      <c r="T573" s="907"/>
      <c r="U573" s="907"/>
      <c r="V573" s="907"/>
      <c r="W573" s="907"/>
      <c r="X573" s="907"/>
      <c r="Y573" s="907"/>
      <c r="Z573" s="907"/>
      <c r="AA573" s="907"/>
      <c r="AB573" s="907"/>
      <c r="AC573" s="907"/>
    </row>
    <row r="574" spans="1:29">
      <c r="A574" s="907"/>
      <c r="B574" s="907"/>
      <c r="C574" s="907"/>
      <c r="D574" s="907"/>
      <c r="E574" s="907"/>
      <c r="F574" s="907"/>
      <c r="G574" s="907"/>
      <c r="H574" s="907"/>
      <c r="I574" s="907"/>
      <c r="J574" s="907"/>
      <c r="K574" s="907"/>
      <c r="L574" s="907"/>
      <c r="M574" s="907"/>
      <c r="N574" s="907"/>
      <c r="O574" s="907"/>
      <c r="P574" s="907"/>
      <c r="Q574" s="907"/>
      <c r="R574" s="907"/>
      <c r="S574" s="907"/>
      <c r="T574" s="907"/>
      <c r="U574" s="907"/>
      <c r="V574" s="907"/>
      <c r="W574" s="907"/>
      <c r="X574" s="907"/>
      <c r="Y574" s="907"/>
      <c r="Z574" s="907"/>
      <c r="AA574" s="907"/>
      <c r="AB574" s="907"/>
      <c r="AC574" s="907"/>
    </row>
    <row r="575" spans="1:29">
      <c r="A575" s="907"/>
      <c r="B575" s="907"/>
      <c r="C575" s="907"/>
      <c r="D575" s="907"/>
      <c r="E575" s="907"/>
      <c r="F575" s="907"/>
      <c r="G575" s="907"/>
      <c r="H575" s="907"/>
      <c r="I575" s="907"/>
      <c r="J575" s="907"/>
      <c r="K575" s="907"/>
      <c r="L575" s="907"/>
      <c r="M575" s="907"/>
      <c r="N575" s="907"/>
      <c r="O575" s="907"/>
      <c r="P575" s="907"/>
      <c r="Q575" s="907"/>
      <c r="R575" s="907"/>
      <c r="S575" s="907"/>
      <c r="T575" s="907"/>
      <c r="U575" s="907"/>
      <c r="V575" s="907"/>
      <c r="W575" s="907"/>
      <c r="X575" s="907"/>
      <c r="Y575" s="907"/>
      <c r="Z575" s="907"/>
      <c r="AA575" s="907"/>
      <c r="AB575" s="907"/>
      <c r="AC575" s="907"/>
    </row>
    <row r="576" spans="1:29">
      <c r="A576" s="907"/>
      <c r="B576" s="907"/>
      <c r="C576" s="907"/>
      <c r="D576" s="907"/>
      <c r="E576" s="907"/>
      <c r="F576" s="907"/>
      <c r="G576" s="907"/>
      <c r="H576" s="907"/>
      <c r="I576" s="907"/>
      <c r="J576" s="907"/>
      <c r="K576" s="907"/>
      <c r="L576" s="907"/>
      <c r="M576" s="907"/>
      <c r="N576" s="907"/>
      <c r="O576" s="907"/>
      <c r="P576" s="907"/>
      <c r="Q576" s="907"/>
      <c r="R576" s="907"/>
      <c r="S576" s="907"/>
      <c r="T576" s="907"/>
      <c r="U576" s="907"/>
      <c r="V576" s="907"/>
      <c r="W576" s="907"/>
      <c r="X576" s="907"/>
      <c r="Y576" s="907"/>
      <c r="Z576" s="907"/>
      <c r="AA576" s="907"/>
      <c r="AB576" s="907"/>
      <c r="AC576" s="907"/>
    </row>
    <row r="577" spans="1:29">
      <c r="A577" s="907"/>
      <c r="B577" s="907"/>
      <c r="C577" s="907"/>
      <c r="D577" s="907"/>
      <c r="E577" s="907"/>
      <c r="F577" s="907"/>
      <c r="G577" s="907"/>
      <c r="H577" s="907"/>
      <c r="I577" s="907"/>
      <c r="J577" s="907"/>
      <c r="K577" s="907"/>
      <c r="L577" s="907"/>
      <c r="M577" s="907"/>
      <c r="N577" s="907"/>
      <c r="O577" s="907"/>
      <c r="P577" s="907"/>
      <c r="Q577" s="907"/>
      <c r="R577" s="907"/>
      <c r="S577" s="907"/>
      <c r="T577" s="907"/>
      <c r="U577" s="907"/>
      <c r="V577" s="907"/>
      <c r="W577" s="907"/>
      <c r="X577" s="907"/>
      <c r="Y577" s="907"/>
      <c r="Z577" s="907"/>
      <c r="AA577" s="907"/>
      <c r="AB577" s="907"/>
      <c r="AC577" s="907"/>
    </row>
    <row r="578" spans="1:29">
      <c r="A578" s="907"/>
      <c r="B578" s="907"/>
      <c r="C578" s="907"/>
      <c r="D578" s="907"/>
      <c r="E578" s="907"/>
      <c r="F578" s="907"/>
      <c r="G578" s="907"/>
      <c r="H578" s="907"/>
      <c r="I578" s="907"/>
      <c r="J578" s="907"/>
      <c r="K578" s="907"/>
      <c r="L578" s="907"/>
      <c r="M578" s="907"/>
      <c r="N578" s="907"/>
      <c r="O578" s="907"/>
      <c r="P578" s="907"/>
      <c r="Q578" s="907"/>
      <c r="R578" s="907"/>
      <c r="S578" s="907"/>
      <c r="T578" s="907"/>
      <c r="U578" s="907"/>
      <c r="V578" s="907"/>
      <c r="W578" s="907"/>
      <c r="X578" s="907"/>
      <c r="Y578" s="907"/>
      <c r="Z578" s="907"/>
      <c r="AA578" s="907"/>
      <c r="AB578" s="907"/>
      <c r="AC578" s="907"/>
    </row>
    <row r="579" spans="1:29">
      <c r="A579" s="907"/>
      <c r="B579" s="907"/>
      <c r="C579" s="907"/>
      <c r="D579" s="907"/>
      <c r="E579" s="907"/>
      <c r="F579" s="907"/>
      <c r="G579" s="907"/>
      <c r="H579" s="907"/>
      <c r="I579" s="907"/>
      <c r="J579" s="907"/>
      <c r="K579" s="907"/>
      <c r="L579" s="907"/>
      <c r="M579" s="907"/>
      <c r="N579" s="907"/>
      <c r="O579" s="907"/>
      <c r="P579" s="907"/>
      <c r="Q579" s="907"/>
      <c r="R579" s="907"/>
      <c r="S579" s="907"/>
      <c r="T579" s="907"/>
      <c r="U579" s="907"/>
      <c r="V579" s="907"/>
      <c r="W579" s="907"/>
      <c r="X579" s="907"/>
      <c r="Y579" s="907"/>
      <c r="Z579" s="907"/>
      <c r="AA579" s="907"/>
      <c r="AB579" s="907"/>
      <c r="AC579" s="907"/>
    </row>
    <row r="580" spans="1:29">
      <c r="A580" s="907"/>
      <c r="B580" s="907"/>
      <c r="C580" s="907"/>
      <c r="D580" s="907"/>
      <c r="E580" s="907"/>
      <c r="F580" s="907"/>
      <c r="G580" s="907"/>
      <c r="H580" s="907"/>
      <c r="I580" s="907"/>
      <c r="J580" s="907"/>
      <c r="K580" s="907"/>
      <c r="L580" s="907"/>
      <c r="M580" s="907"/>
      <c r="N580" s="907"/>
      <c r="O580" s="907"/>
      <c r="P580" s="907"/>
      <c r="Q580" s="907"/>
      <c r="R580" s="907"/>
      <c r="S580" s="907"/>
      <c r="T580" s="907"/>
      <c r="U580" s="907"/>
      <c r="V580" s="907"/>
      <c r="W580" s="907"/>
      <c r="X580" s="907"/>
      <c r="Y580" s="907"/>
      <c r="Z580" s="907"/>
      <c r="AA580" s="907"/>
      <c r="AB580" s="907"/>
      <c r="AC580" s="907"/>
    </row>
    <row r="581" spans="1:29">
      <c r="A581" s="907"/>
      <c r="B581" s="907"/>
      <c r="C581" s="907"/>
      <c r="D581" s="907"/>
      <c r="E581" s="907"/>
      <c r="F581" s="907"/>
      <c r="G581" s="907"/>
      <c r="H581" s="907"/>
      <c r="I581" s="907"/>
      <c r="J581" s="907"/>
      <c r="K581" s="907"/>
      <c r="L581" s="907"/>
      <c r="M581" s="907"/>
      <c r="N581" s="907"/>
      <c r="O581" s="907"/>
      <c r="P581" s="907"/>
      <c r="Q581" s="907"/>
      <c r="R581" s="907"/>
      <c r="S581" s="907"/>
      <c r="T581" s="907"/>
      <c r="U581" s="907"/>
      <c r="V581" s="907"/>
      <c r="W581" s="907"/>
      <c r="X581" s="907"/>
      <c r="Y581" s="907"/>
      <c r="Z581" s="907"/>
      <c r="AA581" s="907"/>
      <c r="AB581" s="907"/>
      <c r="AC581" s="907"/>
    </row>
    <row r="582" spans="1:29">
      <c r="A582" s="907"/>
      <c r="B582" s="907"/>
      <c r="C582" s="907"/>
      <c r="D582" s="907"/>
      <c r="E582" s="907"/>
      <c r="F582" s="907"/>
      <c r="G582" s="907"/>
      <c r="H582" s="907"/>
      <c r="I582" s="907"/>
      <c r="J582" s="907"/>
      <c r="K582" s="907"/>
      <c r="L582" s="907"/>
      <c r="M582" s="907"/>
      <c r="N582" s="907"/>
      <c r="O582" s="907"/>
      <c r="P582" s="907"/>
      <c r="Q582" s="907"/>
      <c r="R582" s="907"/>
      <c r="S582" s="907"/>
      <c r="T582" s="907"/>
      <c r="U582" s="907"/>
      <c r="V582" s="907"/>
      <c r="W582" s="907"/>
      <c r="X582" s="907"/>
      <c r="Y582" s="907"/>
      <c r="Z582" s="907"/>
      <c r="AA582" s="907"/>
      <c r="AB582" s="907"/>
      <c r="AC582" s="907"/>
    </row>
    <row r="583" spans="1:29">
      <c r="A583" s="907"/>
      <c r="B583" s="907"/>
      <c r="C583" s="907"/>
      <c r="D583" s="907"/>
      <c r="E583" s="907"/>
      <c r="F583" s="907"/>
      <c r="G583" s="907"/>
      <c r="H583" s="907"/>
      <c r="I583" s="907"/>
      <c r="J583" s="907"/>
      <c r="K583" s="907"/>
      <c r="L583" s="907"/>
      <c r="M583" s="907"/>
      <c r="N583" s="907"/>
      <c r="O583" s="907"/>
      <c r="P583" s="907"/>
      <c r="Q583" s="907"/>
      <c r="R583" s="907"/>
      <c r="S583" s="907"/>
      <c r="T583" s="907"/>
      <c r="U583" s="907"/>
      <c r="V583" s="907"/>
      <c r="W583" s="907"/>
      <c r="X583" s="907"/>
      <c r="Y583" s="907"/>
      <c r="Z583" s="907"/>
      <c r="AA583" s="907"/>
      <c r="AB583" s="907"/>
      <c r="AC583" s="907"/>
    </row>
    <row r="584" spans="1:29">
      <c r="A584" s="907"/>
      <c r="B584" s="907"/>
      <c r="C584" s="907"/>
      <c r="D584" s="907"/>
      <c r="E584" s="907"/>
      <c r="F584" s="907"/>
      <c r="G584" s="907"/>
      <c r="H584" s="907"/>
      <c r="I584" s="907"/>
      <c r="J584" s="907"/>
      <c r="K584" s="907"/>
      <c r="L584" s="907"/>
      <c r="M584" s="907"/>
      <c r="N584" s="907"/>
      <c r="O584" s="907"/>
      <c r="P584" s="907"/>
      <c r="Q584" s="907"/>
      <c r="R584" s="907"/>
      <c r="S584" s="907"/>
      <c r="T584" s="907"/>
      <c r="U584" s="907"/>
      <c r="V584" s="907"/>
      <c r="W584" s="907"/>
      <c r="X584" s="907"/>
      <c r="Y584" s="907"/>
      <c r="Z584" s="907"/>
      <c r="AA584" s="907"/>
      <c r="AB584" s="907"/>
      <c r="AC584" s="907"/>
    </row>
    <row r="585" spans="1:29">
      <c r="A585" s="907"/>
      <c r="B585" s="907"/>
      <c r="C585" s="907"/>
      <c r="D585" s="907"/>
      <c r="E585" s="907"/>
      <c r="F585" s="907"/>
      <c r="G585" s="907"/>
      <c r="H585" s="907"/>
      <c r="I585" s="907"/>
      <c r="J585" s="907"/>
      <c r="K585" s="907"/>
      <c r="L585" s="907"/>
      <c r="M585" s="907"/>
      <c r="N585" s="907"/>
      <c r="O585" s="907"/>
      <c r="P585" s="907"/>
      <c r="Q585" s="907"/>
      <c r="R585" s="907"/>
      <c r="S585" s="907"/>
      <c r="T585" s="907"/>
      <c r="U585" s="907"/>
      <c r="V585" s="907"/>
      <c r="W585" s="907"/>
      <c r="X585" s="907"/>
      <c r="Y585" s="907"/>
      <c r="Z585" s="907"/>
      <c r="AA585" s="907"/>
      <c r="AB585" s="907"/>
      <c r="AC585" s="907"/>
    </row>
    <row r="586" spans="1:29">
      <c r="A586" s="907"/>
      <c r="B586" s="907"/>
      <c r="C586" s="907"/>
      <c r="D586" s="907"/>
      <c r="E586" s="907"/>
      <c r="F586" s="907"/>
      <c r="G586" s="907"/>
      <c r="H586" s="907"/>
      <c r="I586" s="907"/>
      <c r="J586" s="907"/>
      <c r="K586" s="907"/>
      <c r="L586" s="907"/>
      <c r="M586" s="907"/>
      <c r="N586" s="907"/>
      <c r="O586" s="907"/>
      <c r="P586" s="907"/>
      <c r="Q586" s="907"/>
      <c r="R586" s="907"/>
      <c r="S586" s="907"/>
      <c r="T586" s="907"/>
      <c r="U586" s="907"/>
      <c r="V586" s="907"/>
      <c r="W586" s="907"/>
      <c r="X586" s="907"/>
      <c r="Y586" s="907"/>
      <c r="Z586" s="907"/>
      <c r="AA586" s="907"/>
      <c r="AB586" s="907"/>
      <c r="AC586" s="907"/>
    </row>
    <row r="587" spans="1:29">
      <c r="A587" s="907"/>
      <c r="B587" s="907"/>
      <c r="C587" s="907"/>
      <c r="D587" s="907"/>
      <c r="E587" s="907"/>
      <c r="F587" s="907"/>
      <c r="G587" s="907"/>
      <c r="H587" s="907"/>
      <c r="I587" s="907"/>
      <c r="J587" s="907"/>
      <c r="K587" s="907"/>
      <c r="L587" s="907"/>
      <c r="M587" s="907"/>
      <c r="N587" s="907"/>
      <c r="O587" s="907"/>
      <c r="P587" s="907"/>
      <c r="Q587" s="907"/>
      <c r="R587" s="907"/>
      <c r="S587" s="907"/>
      <c r="T587" s="907"/>
      <c r="U587" s="907"/>
      <c r="V587" s="907"/>
      <c r="W587" s="907"/>
      <c r="X587" s="907"/>
      <c r="Y587" s="907"/>
      <c r="Z587" s="907"/>
      <c r="AA587" s="907"/>
      <c r="AB587" s="907"/>
      <c r="AC587" s="907"/>
    </row>
    <row r="588" spans="1:29">
      <c r="A588" s="907"/>
      <c r="B588" s="907"/>
      <c r="C588" s="907"/>
      <c r="D588" s="907"/>
      <c r="E588" s="907"/>
      <c r="F588" s="907"/>
      <c r="G588" s="907"/>
      <c r="H588" s="907"/>
      <c r="I588" s="907"/>
      <c r="J588" s="907"/>
      <c r="K588" s="907"/>
      <c r="L588" s="907"/>
      <c r="M588" s="907"/>
      <c r="N588" s="907"/>
      <c r="O588" s="907"/>
      <c r="P588" s="907"/>
      <c r="Q588" s="907"/>
      <c r="R588" s="907"/>
      <c r="S588" s="907"/>
      <c r="T588" s="907"/>
      <c r="U588" s="907"/>
      <c r="V588" s="907"/>
      <c r="W588" s="907"/>
      <c r="X588" s="907"/>
      <c r="Y588" s="907"/>
      <c r="Z588" s="907"/>
      <c r="AA588" s="907"/>
      <c r="AB588" s="907"/>
      <c r="AC588" s="907"/>
    </row>
    <row r="589" spans="1:29">
      <c r="A589" s="907"/>
      <c r="B589" s="907"/>
      <c r="C589" s="907"/>
      <c r="D589" s="907"/>
      <c r="E589" s="907"/>
      <c r="F589" s="907"/>
      <c r="G589" s="907"/>
      <c r="H589" s="907"/>
      <c r="I589" s="907"/>
      <c r="J589" s="907"/>
      <c r="K589" s="907"/>
      <c r="L589" s="907"/>
      <c r="M589" s="907"/>
      <c r="N589" s="907"/>
      <c r="O589" s="907"/>
      <c r="P589" s="907"/>
      <c r="Q589" s="907"/>
      <c r="R589" s="907"/>
      <c r="S589" s="907"/>
      <c r="T589" s="907"/>
      <c r="U589" s="907"/>
      <c r="V589" s="907"/>
      <c r="W589" s="907"/>
      <c r="X589" s="907"/>
      <c r="Y589" s="907"/>
      <c r="Z589" s="907"/>
      <c r="AA589" s="907"/>
      <c r="AB589" s="907"/>
      <c r="AC589" s="907"/>
    </row>
    <row r="590" spans="1:29">
      <c r="A590" s="907"/>
      <c r="B590" s="907"/>
      <c r="C590" s="907"/>
      <c r="D590" s="907"/>
      <c r="E590" s="907"/>
      <c r="F590" s="907"/>
      <c r="G590" s="907"/>
      <c r="H590" s="907"/>
      <c r="I590" s="907"/>
      <c r="J590" s="907"/>
      <c r="K590" s="907"/>
      <c r="L590" s="907"/>
      <c r="M590" s="907"/>
      <c r="N590" s="907"/>
      <c r="O590" s="907"/>
      <c r="P590" s="907"/>
      <c r="Q590" s="907"/>
      <c r="R590" s="907"/>
      <c r="S590" s="907"/>
      <c r="T590" s="907"/>
      <c r="U590" s="907"/>
      <c r="V590" s="907"/>
      <c r="W590" s="907"/>
      <c r="X590" s="907"/>
      <c r="Y590" s="907"/>
      <c r="Z590" s="907"/>
      <c r="AA590" s="907"/>
      <c r="AB590" s="907"/>
      <c r="AC590" s="907"/>
    </row>
    <row r="591" spans="1:29">
      <c r="A591" s="907"/>
      <c r="B591" s="907"/>
      <c r="C591" s="907"/>
      <c r="D591" s="907"/>
      <c r="E591" s="907"/>
      <c r="F591" s="907"/>
      <c r="G591" s="907"/>
      <c r="H591" s="907"/>
      <c r="I591" s="907"/>
      <c r="J591" s="907"/>
      <c r="K591" s="907"/>
      <c r="L591" s="907"/>
      <c r="M591" s="907"/>
      <c r="N591" s="907"/>
      <c r="O591" s="907"/>
      <c r="P591" s="907"/>
      <c r="Q591" s="907"/>
      <c r="R591" s="907"/>
      <c r="S591" s="907"/>
      <c r="T591" s="907"/>
      <c r="U591" s="907"/>
      <c r="V591" s="907"/>
      <c r="W591" s="907"/>
      <c r="X591" s="907"/>
      <c r="Y591" s="907"/>
      <c r="Z591" s="907"/>
      <c r="AA591" s="907"/>
      <c r="AB591" s="907"/>
      <c r="AC591" s="907"/>
    </row>
    <row r="592" spans="1:29">
      <c r="A592" s="907"/>
      <c r="B592" s="907"/>
      <c r="C592" s="907"/>
      <c r="D592" s="907"/>
      <c r="E592" s="907"/>
      <c r="F592" s="907"/>
      <c r="G592" s="907"/>
      <c r="H592" s="907"/>
      <c r="I592" s="907"/>
      <c r="J592" s="907"/>
      <c r="K592" s="907"/>
      <c r="L592" s="907"/>
      <c r="M592" s="907"/>
      <c r="N592" s="907"/>
      <c r="O592" s="907"/>
      <c r="P592" s="907"/>
      <c r="Q592" s="907"/>
      <c r="R592" s="907"/>
      <c r="S592" s="907"/>
      <c r="T592" s="907"/>
      <c r="U592" s="907"/>
      <c r="V592" s="907"/>
      <c r="W592" s="907"/>
      <c r="X592" s="907"/>
      <c r="Y592" s="907"/>
      <c r="Z592" s="907"/>
      <c r="AA592" s="907"/>
      <c r="AB592" s="907"/>
      <c r="AC592" s="907"/>
    </row>
    <row r="593" spans="1:29">
      <c r="A593" s="907"/>
      <c r="B593" s="907"/>
      <c r="C593" s="907"/>
      <c r="D593" s="907"/>
      <c r="E593" s="907"/>
      <c r="F593" s="907"/>
      <c r="G593" s="907"/>
      <c r="H593" s="907"/>
      <c r="I593" s="907"/>
      <c r="J593" s="907"/>
      <c r="K593" s="907"/>
      <c r="L593" s="907"/>
      <c r="M593" s="907"/>
      <c r="N593" s="907"/>
      <c r="O593" s="907"/>
      <c r="P593" s="907"/>
      <c r="Q593" s="907"/>
      <c r="R593" s="907"/>
      <c r="S593" s="907"/>
      <c r="T593" s="907"/>
      <c r="U593" s="907"/>
      <c r="V593" s="907"/>
      <c r="W593" s="907"/>
      <c r="X593" s="907"/>
      <c r="Y593" s="907"/>
      <c r="Z593" s="907"/>
      <c r="AA593" s="907"/>
      <c r="AB593" s="907"/>
      <c r="AC593" s="907"/>
    </row>
    <row r="594" spans="1:29">
      <c r="A594" s="907"/>
      <c r="B594" s="907"/>
      <c r="C594" s="907"/>
      <c r="D594" s="907"/>
      <c r="E594" s="907"/>
      <c r="F594" s="907"/>
      <c r="G594" s="907"/>
      <c r="H594" s="907"/>
      <c r="I594" s="907"/>
      <c r="J594" s="907"/>
      <c r="K594" s="907"/>
      <c r="L594" s="907"/>
      <c r="M594" s="907"/>
      <c r="N594" s="907"/>
      <c r="O594" s="907"/>
      <c r="P594" s="907"/>
      <c r="Q594" s="907"/>
      <c r="R594" s="907"/>
      <c r="S594" s="907"/>
      <c r="T594" s="907"/>
      <c r="U594" s="907"/>
      <c r="V594" s="907"/>
      <c r="W594" s="907"/>
      <c r="X594" s="907"/>
      <c r="Y594" s="907"/>
      <c r="Z594" s="907"/>
      <c r="AA594" s="907"/>
      <c r="AB594" s="907"/>
      <c r="AC594" s="907"/>
    </row>
    <row r="595" spans="1:29">
      <c r="A595" s="907"/>
      <c r="B595" s="907"/>
      <c r="C595" s="907"/>
      <c r="D595" s="907"/>
      <c r="E595" s="907"/>
      <c r="F595" s="907"/>
      <c r="G595" s="907"/>
      <c r="H595" s="907"/>
      <c r="I595" s="907"/>
      <c r="J595" s="907"/>
      <c r="K595" s="907"/>
      <c r="L595" s="907"/>
      <c r="M595" s="907"/>
      <c r="N595" s="907"/>
      <c r="O595" s="907"/>
      <c r="P595" s="907"/>
      <c r="Q595" s="907"/>
      <c r="R595" s="907"/>
      <c r="S595" s="907"/>
      <c r="T595" s="907"/>
      <c r="U595" s="907"/>
      <c r="V595" s="907"/>
      <c r="W595" s="907"/>
      <c r="X595" s="907"/>
      <c r="Y595" s="907"/>
      <c r="Z595" s="907"/>
      <c r="AA595" s="907"/>
      <c r="AB595" s="907"/>
      <c r="AC595" s="907"/>
    </row>
    <row r="596" spans="1:29">
      <c r="A596" s="907"/>
      <c r="B596" s="907"/>
      <c r="C596" s="907"/>
      <c r="D596" s="907"/>
      <c r="E596" s="907"/>
      <c r="F596" s="907"/>
      <c r="G596" s="907"/>
      <c r="H596" s="907"/>
      <c r="I596" s="907"/>
      <c r="J596" s="907"/>
      <c r="K596" s="907"/>
      <c r="L596" s="907"/>
      <c r="M596" s="907"/>
      <c r="N596" s="907"/>
      <c r="O596" s="907"/>
      <c r="P596" s="907"/>
      <c r="Q596" s="907"/>
      <c r="R596" s="907"/>
      <c r="S596" s="907"/>
      <c r="T596" s="907"/>
      <c r="U596" s="907"/>
      <c r="V596" s="907"/>
      <c r="W596" s="907"/>
      <c r="X596" s="907"/>
      <c r="Y596" s="907"/>
      <c r="Z596" s="907"/>
      <c r="AA596" s="907"/>
      <c r="AB596" s="907"/>
      <c r="AC596" s="907"/>
    </row>
    <row r="597" spans="1:29">
      <c r="A597" s="907"/>
      <c r="B597" s="907"/>
      <c r="C597" s="907"/>
      <c r="D597" s="907"/>
      <c r="E597" s="907"/>
      <c r="F597" s="907"/>
      <c r="G597" s="907"/>
      <c r="H597" s="907"/>
      <c r="I597" s="907"/>
      <c r="J597" s="907"/>
      <c r="K597" s="907"/>
      <c r="L597" s="907"/>
      <c r="M597" s="907"/>
      <c r="N597" s="907"/>
      <c r="O597" s="907"/>
      <c r="P597" s="907"/>
      <c r="Q597" s="907"/>
      <c r="R597" s="907"/>
      <c r="S597" s="907"/>
      <c r="T597" s="907"/>
      <c r="U597" s="907"/>
      <c r="V597" s="907"/>
      <c r="W597" s="907"/>
      <c r="X597" s="907"/>
      <c r="Y597" s="907"/>
      <c r="Z597" s="907"/>
      <c r="AA597" s="907"/>
      <c r="AB597" s="907"/>
      <c r="AC597" s="907"/>
    </row>
    <row r="598" spans="1:29">
      <c r="A598" s="907"/>
      <c r="B598" s="907"/>
      <c r="C598" s="907"/>
      <c r="D598" s="907"/>
      <c r="E598" s="907"/>
      <c r="F598" s="907"/>
      <c r="G598" s="907"/>
      <c r="H598" s="907"/>
      <c r="I598" s="907"/>
      <c r="J598" s="907"/>
      <c r="K598" s="907"/>
      <c r="L598" s="907"/>
      <c r="M598" s="907"/>
      <c r="N598" s="907"/>
      <c r="O598" s="907"/>
      <c r="P598" s="907"/>
      <c r="Q598" s="907"/>
      <c r="R598" s="907"/>
      <c r="S598" s="907"/>
      <c r="T598" s="907"/>
      <c r="U598" s="907"/>
      <c r="V598" s="907"/>
      <c r="W598" s="907"/>
      <c r="X598" s="907"/>
      <c r="Y598" s="907"/>
      <c r="Z598" s="907"/>
      <c r="AA598" s="907"/>
      <c r="AB598" s="907"/>
      <c r="AC598" s="907"/>
    </row>
    <row r="599" spans="1:29">
      <c r="A599" s="907"/>
      <c r="B599" s="907"/>
      <c r="C599" s="907"/>
      <c r="D599" s="907"/>
      <c r="E599" s="907"/>
      <c r="F599" s="907"/>
      <c r="G599" s="907"/>
      <c r="H599" s="907"/>
      <c r="I599" s="907"/>
      <c r="J599" s="907"/>
      <c r="K599" s="907"/>
      <c r="L599" s="907"/>
      <c r="M599" s="907"/>
      <c r="N599" s="907"/>
      <c r="O599" s="907"/>
      <c r="P599" s="907"/>
      <c r="Q599" s="907"/>
      <c r="R599" s="907"/>
      <c r="S599" s="907"/>
      <c r="T599" s="907"/>
      <c r="U599" s="907"/>
      <c r="V599" s="907"/>
      <c r="W599" s="907"/>
      <c r="X599" s="907"/>
      <c r="Y599" s="907"/>
      <c r="Z599" s="907"/>
      <c r="AA599" s="907"/>
      <c r="AB599" s="907"/>
      <c r="AC599" s="907"/>
    </row>
    <row r="600" spans="1:29">
      <c r="A600" s="907"/>
      <c r="B600" s="907"/>
      <c r="C600" s="907"/>
      <c r="D600" s="907"/>
      <c r="E600" s="907"/>
      <c r="F600" s="907"/>
      <c r="G600" s="907"/>
      <c r="H600" s="907"/>
      <c r="I600" s="907"/>
      <c r="J600" s="907"/>
      <c r="K600" s="907"/>
      <c r="L600" s="907"/>
      <c r="M600" s="907"/>
      <c r="N600" s="907"/>
      <c r="O600" s="907"/>
      <c r="P600" s="907"/>
      <c r="Q600" s="907"/>
      <c r="R600" s="907"/>
      <c r="S600" s="907"/>
      <c r="T600" s="907"/>
      <c r="U600" s="907"/>
      <c r="V600" s="907"/>
      <c r="W600" s="907"/>
      <c r="X600" s="907"/>
      <c r="Y600" s="907"/>
      <c r="Z600" s="907"/>
      <c r="AA600" s="907"/>
      <c r="AB600" s="907"/>
      <c r="AC600" s="907"/>
    </row>
    <row r="601" spans="1:29">
      <c r="A601" s="907"/>
      <c r="B601" s="907"/>
      <c r="C601" s="907"/>
      <c r="D601" s="907"/>
      <c r="E601" s="907"/>
      <c r="F601" s="907"/>
      <c r="G601" s="907"/>
      <c r="H601" s="907"/>
      <c r="I601" s="907"/>
      <c r="J601" s="907"/>
      <c r="K601" s="907"/>
      <c r="L601" s="907"/>
      <c r="M601" s="907"/>
      <c r="N601" s="907"/>
      <c r="O601" s="907"/>
      <c r="P601" s="907"/>
      <c r="Q601" s="907"/>
      <c r="R601" s="907"/>
      <c r="S601" s="907"/>
      <c r="T601" s="907"/>
      <c r="U601" s="907"/>
      <c r="V601" s="907"/>
      <c r="W601" s="907"/>
      <c r="X601" s="907"/>
      <c r="Y601" s="907"/>
      <c r="Z601" s="907"/>
      <c r="AA601" s="907"/>
      <c r="AB601" s="907"/>
      <c r="AC601" s="907"/>
    </row>
    <row r="602" spans="1:29">
      <c r="A602" s="907"/>
      <c r="B602" s="907"/>
      <c r="C602" s="907"/>
      <c r="D602" s="907"/>
      <c r="E602" s="907"/>
      <c r="F602" s="907"/>
      <c r="G602" s="907"/>
      <c r="H602" s="907"/>
      <c r="I602" s="907"/>
      <c r="J602" s="907"/>
      <c r="K602" s="907"/>
      <c r="L602" s="907"/>
      <c r="M602" s="907"/>
      <c r="N602" s="907"/>
      <c r="O602" s="907"/>
      <c r="P602" s="907"/>
      <c r="Q602" s="907"/>
      <c r="R602" s="907"/>
      <c r="S602" s="907"/>
      <c r="T602" s="907"/>
      <c r="U602" s="907"/>
      <c r="V602" s="907"/>
      <c r="W602" s="907"/>
      <c r="X602" s="907"/>
      <c r="Y602" s="907"/>
      <c r="Z602" s="907"/>
      <c r="AA602" s="907"/>
      <c r="AB602" s="907"/>
      <c r="AC602" s="907"/>
    </row>
    <row r="603" spans="1:29">
      <c r="A603" s="907"/>
      <c r="B603" s="907"/>
      <c r="C603" s="907"/>
      <c r="D603" s="907"/>
      <c r="E603" s="907"/>
      <c r="F603" s="907"/>
      <c r="G603" s="907"/>
      <c r="H603" s="907"/>
      <c r="I603" s="907"/>
      <c r="J603" s="907"/>
      <c r="K603" s="907"/>
      <c r="L603" s="907"/>
      <c r="M603" s="907"/>
      <c r="N603" s="907"/>
      <c r="O603" s="907"/>
      <c r="P603" s="907"/>
      <c r="Q603" s="907"/>
      <c r="R603" s="907"/>
      <c r="S603" s="907"/>
      <c r="T603" s="907"/>
      <c r="U603" s="907"/>
      <c r="V603" s="907"/>
      <c r="W603" s="907"/>
      <c r="X603" s="907"/>
      <c r="Y603" s="907"/>
      <c r="Z603" s="907"/>
      <c r="AA603" s="907"/>
      <c r="AB603" s="907"/>
      <c r="AC603" s="907"/>
    </row>
    <row r="604" spans="1:29">
      <c r="A604" s="907"/>
      <c r="B604" s="907"/>
      <c r="C604" s="907"/>
      <c r="D604" s="907"/>
      <c r="E604" s="907"/>
      <c r="F604" s="907"/>
      <c r="G604" s="907"/>
      <c r="H604" s="907"/>
      <c r="I604" s="907"/>
      <c r="J604" s="907"/>
      <c r="K604" s="907"/>
      <c r="L604" s="907"/>
      <c r="M604" s="907"/>
      <c r="N604" s="907"/>
      <c r="O604" s="907"/>
      <c r="P604" s="907"/>
      <c r="Q604" s="907"/>
      <c r="R604" s="907"/>
      <c r="S604" s="907"/>
      <c r="T604" s="907"/>
      <c r="U604" s="907"/>
      <c r="V604" s="907"/>
      <c r="W604" s="907"/>
      <c r="X604" s="907"/>
      <c r="Y604" s="907"/>
      <c r="Z604" s="907"/>
      <c r="AA604" s="907"/>
      <c r="AB604" s="907"/>
      <c r="AC604" s="907"/>
    </row>
    <row r="605" spans="1:29">
      <c r="A605" s="907"/>
      <c r="B605" s="907"/>
      <c r="C605" s="907"/>
      <c r="D605" s="907"/>
      <c r="E605" s="907"/>
      <c r="F605" s="907"/>
      <c r="G605" s="907"/>
      <c r="H605" s="907"/>
      <c r="I605" s="907"/>
      <c r="J605" s="907"/>
      <c r="K605" s="907"/>
      <c r="L605" s="907"/>
      <c r="M605" s="907"/>
      <c r="N605" s="907"/>
      <c r="O605" s="907"/>
      <c r="P605" s="907"/>
      <c r="Q605" s="907"/>
      <c r="R605" s="907"/>
      <c r="S605" s="907"/>
      <c r="T605" s="907"/>
      <c r="U605" s="907"/>
      <c r="V605" s="907"/>
      <c r="W605" s="907"/>
      <c r="X605" s="907"/>
      <c r="Y605" s="907"/>
      <c r="Z605" s="907"/>
      <c r="AA605" s="907"/>
      <c r="AB605" s="907"/>
      <c r="AC605" s="907"/>
    </row>
    <row r="606" spans="1:29">
      <c r="A606" s="907"/>
      <c r="B606" s="907"/>
      <c r="C606" s="907"/>
      <c r="D606" s="907"/>
      <c r="E606" s="907"/>
      <c r="F606" s="907"/>
      <c r="G606" s="907"/>
      <c r="H606" s="907"/>
      <c r="I606" s="907"/>
      <c r="J606" s="907"/>
      <c r="K606" s="907"/>
      <c r="L606" s="907"/>
      <c r="M606" s="907"/>
      <c r="N606" s="907"/>
      <c r="O606" s="907"/>
      <c r="P606" s="907"/>
      <c r="Q606" s="907"/>
      <c r="R606" s="907"/>
      <c r="S606" s="907"/>
      <c r="T606" s="907"/>
      <c r="U606" s="907"/>
      <c r="V606" s="907"/>
      <c r="W606" s="907"/>
      <c r="X606" s="907"/>
      <c r="Y606" s="907"/>
      <c r="Z606" s="907"/>
      <c r="AA606" s="907"/>
      <c r="AB606" s="907"/>
      <c r="AC606" s="907"/>
    </row>
    <row r="607" spans="1:29">
      <c r="A607" s="907"/>
      <c r="B607" s="907"/>
      <c r="C607" s="907"/>
      <c r="D607" s="907"/>
      <c r="E607" s="907"/>
      <c r="F607" s="907"/>
      <c r="G607" s="907"/>
      <c r="H607" s="907"/>
      <c r="I607" s="907"/>
      <c r="J607" s="907"/>
      <c r="K607" s="907"/>
      <c r="L607" s="907"/>
      <c r="M607" s="907"/>
      <c r="N607" s="907"/>
      <c r="O607" s="907"/>
      <c r="P607" s="907"/>
      <c r="Q607" s="907"/>
      <c r="R607" s="907"/>
      <c r="S607" s="907"/>
      <c r="T607" s="907"/>
      <c r="U607" s="907"/>
      <c r="V607" s="907"/>
      <c r="W607" s="907"/>
      <c r="X607" s="907"/>
      <c r="Y607" s="907"/>
      <c r="Z607" s="907"/>
      <c r="AA607" s="907"/>
      <c r="AB607" s="907"/>
      <c r="AC607" s="907"/>
    </row>
    <row r="608" spans="1:29">
      <c r="A608" s="907"/>
      <c r="B608" s="907"/>
      <c r="C608" s="907"/>
      <c r="D608" s="907"/>
      <c r="E608" s="907"/>
      <c r="F608" s="907"/>
      <c r="G608" s="907"/>
      <c r="H608" s="907"/>
      <c r="I608" s="907"/>
      <c r="J608" s="907"/>
      <c r="K608" s="907"/>
      <c r="L608" s="907"/>
      <c r="M608" s="907"/>
      <c r="N608" s="907"/>
      <c r="O608" s="907"/>
      <c r="P608" s="907"/>
      <c r="Q608" s="907"/>
      <c r="R608" s="907"/>
      <c r="S608" s="907"/>
      <c r="T608" s="907"/>
      <c r="U608" s="907"/>
      <c r="V608" s="907"/>
      <c r="W608" s="907"/>
      <c r="X608" s="907"/>
      <c r="Y608" s="907"/>
      <c r="Z608" s="907"/>
      <c r="AA608" s="907"/>
      <c r="AB608" s="907"/>
      <c r="AC608" s="907"/>
    </row>
    <row r="609" spans="1:29">
      <c r="A609" s="907"/>
      <c r="B609" s="907"/>
      <c r="C609" s="907"/>
      <c r="D609" s="907"/>
      <c r="E609" s="907"/>
      <c r="F609" s="907"/>
      <c r="G609" s="907"/>
      <c r="H609" s="907"/>
      <c r="I609" s="907"/>
      <c r="J609" s="907"/>
      <c r="K609" s="907"/>
      <c r="L609" s="907"/>
      <c r="M609" s="907"/>
      <c r="N609" s="907"/>
      <c r="O609" s="907"/>
      <c r="P609" s="907"/>
      <c r="Q609" s="907"/>
      <c r="R609" s="907"/>
      <c r="S609" s="907"/>
      <c r="T609" s="907"/>
      <c r="U609" s="907"/>
      <c r="V609" s="907"/>
      <c r="W609" s="907"/>
      <c r="X609" s="907"/>
      <c r="Y609" s="907"/>
      <c r="Z609" s="907"/>
      <c r="AA609" s="907"/>
      <c r="AB609" s="907"/>
      <c r="AC609" s="907"/>
    </row>
    <row r="610" spans="1:29">
      <c r="A610" s="907"/>
      <c r="B610" s="907"/>
      <c r="C610" s="907"/>
      <c r="D610" s="907"/>
      <c r="E610" s="907"/>
      <c r="F610" s="907"/>
      <c r="G610" s="907"/>
      <c r="H610" s="907"/>
      <c r="I610" s="907"/>
      <c r="J610" s="907"/>
      <c r="K610" s="907"/>
      <c r="L610" s="907"/>
      <c r="M610" s="907"/>
      <c r="N610" s="907"/>
      <c r="O610" s="907"/>
      <c r="P610" s="907"/>
      <c r="Q610" s="907"/>
      <c r="R610" s="907"/>
      <c r="S610" s="907"/>
      <c r="T610" s="907"/>
      <c r="U610" s="907"/>
      <c r="V610" s="907"/>
      <c r="W610" s="907"/>
      <c r="X610" s="907"/>
      <c r="Y610" s="907"/>
      <c r="Z610" s="907"/>
      <c r="AA610" s="907"/>
      <c r="AB610" s="907"/>
      <c r="AC610" s="907"/>
    </row>
    <row r="611" spans="1:29">
      <c r="A611" s="907"/>
      <c r="B611" s="907"/>
      <c r="C611" s="907"/>
      <c r="D611" s="907"/>
      <c r="E611" s="907"/>
      <c r="F611" s="907"/>
      <c r="G611" s="907"/>
      <c r="H611" s="907"/>
      <c r="I611" s="907"/>
      <c r="J611" s="907"/>
      <c r="K611" s="907"/>
      <c r="L611" s="907"/>
      <c r="M611" s="907"/>
      <c r="N611" s="907"/>
      <c r="O611" s="907"/>
      <c r="P611" s="907"/>
      <c r="Q611" s="907"/>
      <c r="R611" s="907"/>
      <c r="S611" s="907"/>
      <c r="T611" s="907"/>
      <c r="U611" s="907"/>
      <c r="V611" s="907"/>
      <c r="W611" s="907"/>
      <c r="X611" s="907"/>
      <c r="Y611" s="907"/>
      <c r="Z611" s="907"/>
      <c r="AA611" s="907"/>
      <c r="AB611" s="907"/>
      <c r="AC611" s="907"/>
    </row>
    <row r="612" spans="1:29">
      <c r="A612" s="907"/>
      <c r="B612" s="907"/>
      <c r="C612" s="907"/>
      <c r="D612" s="907"/>
      <c r="E612" s="907"/>
      <c r="F612" s="907"/>
      <c r="G612" s="907"/>
      <c r="H612" s="907"/>
      <c r="I612" s="907"/>
      <c r="J612" s="907"/>
      <c r="K612" s="907"/>
      <c r="L612" s="907"/>
      <c r="M612" s="907"/>
      <c r="N612" s="907"/>
      <c r="O612" s="907"/>
      <c r="P612" s="907"/>
      <c r="Q612" s="907"/>
      <c r="R612" s="907"/>
      <c r="S612" s="907"/>
      <c r="T612" s="907"/>
      <c r="U612" s="907"/>
      <c r="V612" s="907"/>
      <c r="W612" s="907"/>
      <c r="X612" s="907"/>
      <c r="Y612" s="907"/>
      <c r="Z612" s="907"/>
      <c r="AA612" s="907"/>
      <c r="AB612" s="907"/>
      <c r="AC612" s="907"/>
    </row>
    <row r="613" spans="1:29">
      <c r="A613" s="907"/>
      <c r="B613" s="907"/>
      <c r="C613" s="907"/>
      <c r="D613" s="907"/>
      <c r="E613" s="907"/>
      <c r="F613" s="907"/>
      <c r="G613" s="907"/>
      <c r="H613" s="907"/>
      <c r="I613" s="907"/>
      <c r="J613" s="907"/>
      <c r="K613" s="907"/>
      <c r="L613" s="907"/>
      <c r="M613" s="907"/>
      <c r="N613" s="907"/>
      <c r="O613" s="907"/>
      <c r="P613" s="907"/>
      <c r="Q613" s="907"/>
      <c r="R613" s="907"/>
      <c r="S613" s="907"/>
      <c r="T613" s="907"/>
      <c r="U613" s="907"/>
      <c r="V613" s="907"/>
      <c r="W613" s="907"/>
      <c r="X613" s="907"/>
      <c r="Y613" s="907"/>
      <c r="Z613" s="907"/>
      <c r="AA613" s="907"/>
      <c r="AB613" s="907"/>
      <c r="AC613" s="907"/>
    </row>
    <row r="614" spans="1:29">
      <c r="A614" s="907"/>
      <c r="B614" s="907"/>
      <c r="C614" s="907"/>
      <c r="D614" s="907"/>
      <c r="E614" s="907"/>
      <c r="F614" s="907"/>
      <c r="G614" s="907"/>
      <c r="H614" s="907"/>
      <c r="I614" s="907"/>
      <c r="J614" s="907"/>
      <c r="K614" s="907"/>
      <c r="L614" s="907"/>
      <c r="M614" s="907"/>
      <c r="N614" s="907"/>
      <c r="O614" s="907"/>
      <c r="P614" s="907"/>
      <c r="Q614" s="907"/>
      <c r="R614" s="907"/>
      <c r="S614" s="907"/>
      <c r="T614" s="907"/>
      <c r="U614" s="907"/>
      <c r="V614" s="907"/>
      <c r="W614" s="907"/>
      <c r="X614" s="907"/>
      <c r="Y614" s="907"/>
      <c r="Z614" s="907"/>
      <c r="AA614" s="907"/>
      <c r="AB614" s="907"/>
      <c r="AC614" s="907"/>
    </row>
    <row r="615" spans="1:29">
      <c r="A615" s="907"/>
      <c r="B615" s="907"/>
      <c r="C615" s="907"/>
      <c r="D615" s="907"/>
      <c r="E615" s="907"/>
      <c r="F615" s="907"/>
      <c r="G615" s="907"/>
      <c r="H615" s="907"/>
      <c r="I615" s="907"/>
      <c r="J615" s="907"/>
      <c r="K615" s="907"/>
      <c r="L615" s="907"/>
      <c r="M615" s="907"/>
      <c r="N615" s="907"/>
      <c r="O615" s="907"/>
      <c r="P615" s="907"/>
      <c r="Q615" s="907"/>
      <c r="R615" s="907"/>
      <c r="S615" s="907"/>
      <c r="T615" s="907"/>
      <c r="U615" s="907"/>
      <c r="V615" s="907"/>
      <c r="W615" s="907"/>
      <c r="X615" s="907"/>
      <c r="Y615" s="907"/>
      <c r="Z615" s="907"/>
      <c r="AA615" s="907"/>
      <c r="AB615" s="907"/>
      <c r="AC615" s="907"/>
    </row>
    <row r="616" spans="1:29">
      <c r="A616" s="907"/>
      <c r="B616" s="907"/>
      <c r="C616" s="907"/>
      <c r="D616" s="907"/>
      <c r="E616" s="907"/>
      <c r="F616" s="907"/>
      <c r="G616" s="907"/>
      <c r="H616" s="907"/>
      <c r="I616" s="907"/>
      <c r="J616" s="907"/>
      <c r="K616" s="907"/>
      <c r="L616" s="907"/>
      <c r="M616" s="907"/>
      <c r="N616" s="907"/>
      <c r="O616" s="907"/>
      <c r="P616" s="907"/>
      <c r="Q616" s="907"/>
      <c r="R616" s="907"/>
      <c r="S616" s="907"/>
      <c r="T616" s="907"/>
      <c r="U616" s="907"/>
      <c r="V616" s="907"/>
      <c r="W616" s="907"/>
      <c r="X616" s="907"/>
      <c r="Y616" s="907"/>
      <c r="Z616" s="907"/>
      <c r="AA616" s="907"/>
      <c r="AB616" s="907"/>
      <c r="AC616" s="907"/>
    </row>
    <row r="617" spans="1:29">
      <c r="A617" s="907"/>
      <c r="B617" s="907"/>
      <c r="C617" s="907"/>
      <c r="D617" s="907"/>
      <c r="E617" s="907"/>
      <c r="F617" s="907"/>
      <c r="G617" s="907"/>
      <c r="H617" s="907"/>
      <c r="I617" s="907"/>
      <c r="J617" s="907"/>
      <c r="K617" s="907"/>
      <c r="L617" s="907"/>
      <c r="M617" s="907"/>
      <c r="N617" s="907"/>
      <c r="O617" s="907"/>
      <c r="P617" s="907"/>
      <c r="Q617" s="907"/>
      <c r="R617" s="907"/>
      <c r="S617" s="907"/>
      <c r="T617" s="907"/>
      <c r="U617" s="907"/>
      <c r="V617" s="907"/>
      <c r="W617" s="907"/>
      <c r="X617" s="907"/>
      <c r="Y617" s="907"/>
      <c r="Z617" s="907"/>
      <c r="AA617" s="907"/>
      <c r="AB617" s="907"/>
      <c r="AC617" s="907"/>
    </row>
    <row r="618" spans="1:29">
      <c r="A618" s="907"/>
      <c r="B618" s="907"/>
      <c r="C618" s="907"/>
      <c r="D618" s="907"/>
      <c r="E618" s="907"/>
      <c r="F618" s="907"/>
      <c r="G618" s="907"/>
      <c r="H618" s="907"/>
      <c r="I618" s="907"/>
      <c r="J618" s="907"/>
      <c r="K618" s="907"/>
      <c r="L618" s="907"/>
      <c r="M618" s="907"/>
      <c r="N618" s="907"/>
      <c r="O618" s="907"/>
      <c r="P618" s="907"/>
      <c r="Q618" s="907"/>
      <c r="R618" s="907"/>
      <c r="S618" s="907"/>
      <c r="T618" s="907"/>
      <c r="U618" s="907"/>
      <c r="V618" s="907"/>
      <c r="W618" s="907"/>
      <c r="X618" s="907"/>
      <c r="Y618" s="907"/>
      <c r="Z618" s="907"/>
      <c r="AA618" s="907"/>
      <c r="AB618" s="907"/>
      <c r="AC618" s="907"/>
    </row>
    <row r="619" spans="1:29">
      <c r="A619" s="907"/>
      <c r="B619" s="907"/>
      <c r="C619" s="907"/>
      <c r="D619" s="907"/>
      <c r="E619" s="907"/>
      <c r="F619" s="907"/>
      <c r="G619" s="907"/>
      <c r="H619" s="907"/>
      <c r="I619" s="907"/>
      <c r="J619" s="907"/>
      <c r="K619" s="907"/>
      <c r="L619" s="907"/>
      <c r="M619" s="907"/>
      <c r="N619" s="907"/>
      <c r="O619" s="907"/>
      <c r="P619" s="907"/>
      <c r="Q619" s="907"/>
      <c r="R619" s="907"/>
      <c r="S619" s="907"/>
      <c r="T619" s="907"/>
      <c r="U619" s="907"/>
      <c r="V619" s="907"/>
      <c r="W619" s="907"/>
      <c r="X619" s="907"/>
      <c r="Y619" s="907"/>
      <c r="Z619" s="907"/>
      <c r="AA619" s="907"/>
      <c r="AB619" s="907"/>
      <c r="AC619" s="907"/>
    </row>
    <row r="620" spans="1:29">
      <c r="A620" s="907"/>
      <c r="B620" s="907"/>
      <c r="C620" s="907"/>
      <c r="D620" s="907"/>
      <c r="E620" s="907"/>
      <c r="F620" s="907"/>
      <c r="G620" s="907"/>
      <c r="H620" s="907"/>
      <c r="I620" s="907"/>
      <c r="J620" s="907"/>
      <c r="K620" s="907"/>
      <c r="L620" s="907"/>
      <c r="M620" s="907"/>
      <c r="N620" s="907"/>
      <c r="O620" s="907"/>
      <c r="P620" s="907"/>
      <c r="Q620" s="907"/>
      <c r="R620" s="907"/>
      <c r="S620" s="907"/>
      <c r="T620" s="907"/>
      <c r="U620" s="907"/>
      <c r="V620" s="907"/>
      <c r="W620" s="907"/>
      <c r="X620" s="907"/>
      <c r="Y620" s="907"/>
      <c r="Z620" s="907"/>
      <c r="AA620" s="907"/>
      <c r="AB620" s="907"/>
      <c r="AC620" s="907"/>
    </row>
    <row r="621" spans="1:29">
      <c r="A621" s="907"/>
      <c r="B621" s="907"/>
      <c r="C621" s="907"/>
      <c r="D621" s="907"/>
      <c r="E621" s="907"/>
      <c r="F621" s="907"/>
      <c r="G621" s="907"/>
      <c r="H621" s="907"/>
      <c r="I621" s="907"/>
      <c r="J621" s="907"/>
      <c r="K621" s="907"/>
      <c r="L621" s="907"/>
      <c r="M621" s="907"/>
      <c r="N621" s="907"/>
      <c r="O621" s="907"/>
      <c r="P621" s="907"/>
      <c r="Q621" s="907"/>
      <c r="R621" s="907"/>
      <c r="S621" s="907"/>
      <c r="T621" s="907"/>
      <c r="U621" s="907"/>
      <c r="V621" s="907"/>
      <c r="W621" s="907"/>
      <c r="X621" s="907"/>
      <c r="Y621" s="907"/>
      <c r="Z621" s="907"/>
      <c r="AA621" s="907"/>
      <c r="AB621" s="907"/>
      <c r="AC621" s="907"/>
    </row>
    <row r="622" spans="1:29">
      <c r="A622" s="907"/>
      <c r="B622" s="907"/>
      <c r="C622" s="907"/>
      <c r="D622" s="907"/>
      <c r="E622" s="907"/>
      <c r="F622" s="907"/>
      <c r="G622" s="907"/>
      <c r="H622" s="907"/>
      <c r="I622" s="907"/>
      <c r="J622" s="907"/>
      <c r="K622" s="907"/>
      <c r="L622" s="907"/>
      <c r="M622" s="907"/>
      <c r="N622" s="907"/>
      <c r="O622" s="907"/>
      <c r="P622" s="907"/>
      <c r="Q622" s="907"/>
      <c r="R622" s="907"/>
      <c r="S622" s="907"/>
      <c r="T622" s="907"/>
      <c r="U622" s="907"/>
      <c r="V622" s="907"/>
      <c r="W622" s="907"/>
      <c r="X622" s="907"/>
      <c r="Y622" s="907"/>
      <c r="Z622" s="907"/>
      <c r="AA622" s="907"/>
      <c r="AB622" s="907"/>
      <c r="AC622" s="907"/>
    </row>
    <row r="623" spans="1:29">
      <c r="A623" s="907"/>
      <c r="B623" s="907"/>
      <c r="C623" s="907"/>
      <c r="D623" s="907"/>
      <c r="E623" s="907"/>
      <c r="F623" s="907"/>
      <c r="G623" s="907"/>
      <c r="H623" s="907"/>
      <c r="I623" s="907"/>
      <c r="J623" s="907"/>
      <c r="K623" s="907"/>
      <c r="L623" s="907"/>
      <c r="M623" s="907"/>
      <c r="N623" s="907"/>
      <c r="O623" s="907"/>
      <c r="P623" s="907"/>
      <c r="Q623" s="907"/>
      <c r="R623" s="907"/>
      <c r="S623" s="907"/>
      <c r="T623" s="907"/>
      <c r="U623" s="907"/>
      <c r="V623" s="907"/>
      <c r="W623" s="907"/>
      <c r="X623" s="907"/>
      <c r="Y623" s="907"/>
      <c r="Z623" s="907"/>
      <c r="AA623" s="907"/>
      <c r="AB623" s="907"/>
      <c r="AC623" s="907"/>
    </row>
    <row r="624" spans="1:29">
      <c r="A624" s="907"/>
      <c r="B624" s="907"/>
      <c r="C624" s="907"/>
      <c r="D624" s="907"/>
      <c r="E624" s="907"/>
      <c r="F624" s="907"/>
      <c r="G624" s="907"/>
      <c r="H624" s="907"/>
      <c r="I624" s="907"/>
      <c r="J624" s="907"/>
      <c r="K624" s="907"/>
      <c r="L624" s="907"/>
      <c r="M624" s="907"/>
      <c r="N624" s="907"/>
      <c r="O624" s="907"/>
      <c r="P624" s="907"/>
      <c r="Q624" s="907"/>
      <c r="R624" s="907"/>
      <c r="S624" s="907"/>
      <c r="T624" s="907"/>
      <c r="U624" s="907"/>
      <c r="V624" s="907"/>
      <c r="W624" s="907"/>
      <c r="X624" s="907"/>
      <c r="Y624" s="907"/>
      <c r="Z624" s="907"/>
      <c r="AA624" s="907"/>
      <c r="AB624" s="907"/>
      <c r="AC624" s="907"/>
    </row>
    <row r="625" spans="1:29">
      <c r="A625" s="907"/>
      <c r="B625" s="907"/>
      <c r="C625" s="907"/>
      <c r="D625" s="907"/>
      <c r="E625" s="907"/>
      <c r="F625" s="907"/>
      <c r="G625" s="907"/>
      <c r="H625" s="907"/>
      <c r="I625" s="907"/>
      <c r="J625" s="907"/>
      <c r="K625" s="907"/>
      <c r="L625" s="907"/>
      <c r="M625" s="907"/>
      <c r="N625" s="907"/>
      <c r="O625" s="907"/>
      <c r="P625" s="907"/>
      <c r="Q625" s="907"/>
      <c r="R625" s="907"/>
      <c r="S625" s="907"/>
      <c r="T625" s="907"/>
      <c r="U625" s="907"/>
      <c r="V625" s="907"/>
      <c r="W625" s="907"/>
      <c r="X625" s="907"/>
      <c r="Y625" s="907"/>
      <c r="Z625" s="907"/>
      <c r="AA625" s="907"/>
      <c r="AB625" s="907"/>
      <c r="AC625" s="907"/>
    </row>
    <row r="626" spans="1:29">
      <c r="A626" s="907"/>
      <c r="B626" s="907"/>
      <c r="C626" s="907"/>
      <c r="D626" s="907"/>
      <c r="E626" s="907"/>
      <c r="F626" s="907"/>
      <c r="G626" s="907"/>
      <c r="H626" s="907"/>
      <c r="I626" s="907"/>
      <c r="J626" s="907"/>
      <c r="K626" s="907"/>
      <c r="L626" s="907"/>
      <c r="M626" s="907"/>
      <c r="N626" s="907"/>
      <c r="O626" s="907"/>
      <c r="P626" s="907"/>
      <c r="Q626" s="907"/>
      <c r="R626" s="907"/>
      <c r="S626" s="907"/>
      <c r="T626" s="907"/>
      <c r="U626" s="907"/>
      <c r="V626" s="907"/>
      <c r="W626" s="907"/>
      <c r="X626" s="907"/>
      <c r="Y626" s="907"/>
      <c r="Z626" s="907"/>
      <c r="AA626" s="907"/>
      <c r="AB626" s="907"/>
      <c r="AC626" s="907"/>
    </row>
    <row r="627" spans="1:29">
      <c r="A627" s="907"/>
      <c r="B627" s="907"/>
      <c r="C627" s="907"/>
      <c r="D627" s="907"/>
      <c r="E627" s="907"/>
      <c r="F627" s="907"/>
      <c r="G627" s="907"/>
      <c r="H627" s="907"/>
      <c r="I627" s="907"/>
      <c r="J627" s="907"/>
      <c r="K627" s="907"/>
      <c r="L627" s="907"/>
      <c r="M627" s="907"/>
      <c r="N627" s="907"/>
      <c r="O627" s="907"/>
      <c r="P627" s="907"/>
      <c r="Q627" s="907"/>
      <c r="R627" s="907"/>
      <c r="S627" s="907"/>
      <c r="T627" s="907"/>
      <c r="U627" s="907"/>
      <c r="V627" s="907"/>
      <c r="W627" s="907"/>
      <c r="X627" s="907"/>
      <c r="Y627" s="907"/>
      <c r="Z627" s="907"/>
      <c r="AA627" s="907"/>
      <c r="AB627" s="907"/>
      <c r="AC627" s="907"/>
    </row>
    <row r="628" spans="1:29">
      <c r="A628" s="907"/>
      <c r="B628" s="907"/>
      <c r="C628" s="907"/>
      <c r="D628" s="907"/>
      <c r="E628" s="907"/>
      <c r="F628" s="907"/>
      <c r="G628" s="907"/>
      <c r="H628" s="907"/>
      <c r="I628" s="907"/>
      <c r="J628" s="907"/>
      <c r="K628" s="907"/>
      <c r="L628" s="907"/>
      <c r="M628" s="907"/>
      <c r="N628" s="907"/>
      <c r="O628" s="907"/>
      <c r="P628" s="907"/>
      <c r="Q628" s="907"/>
      <c r="R628" s="907"/>
      <c r="S628" s="907"/>
      <c r="T628" s="907"/>
      <c r="U628" s="907"/>
      <c r="V628" s="907"/>
      <c r="W628" s="907"/>
      <c r="X628" s="907"/>
      <c r="Y628" s="907"/>
      <c r="Z628" s="907"/>
      <c r="AA628" s="907"/>
      <c r="AB628" s="907"/>
      <c r="AC628" s="907"/>
    </row>
    <row r="629" spans="1:29">
      <c r="A629" s="907"/>
      <c r="B629" s="907"/>
      <c r="C629" s="907"/>
      <c r="D629" s="907"/>
      <c r="E629" s="907"/>
      <c r="F629" s="907"/>
      <c r="G629" s="907"/>
      <c r="H629" s="907"/>
      <c r="I629" s="907"/>
      <c r="J629" s="907"/>
      <c r="K629" s="907"/>
      <c r="L629" s="907"/>
      <c r="M629" s="907"/>
      <c r="N629" s="907"/>
      <c r="O629" s="907"/>
      <c r="P629" s="907"/>
      <c r="Q629" s="907"/>
      <c r="R629" s="907"/>
      <c r="S629" s="907"/>
      <c r="T629" s="907"/>
      <c r="U629" s="907"/>
      <c r="V629" s="907"/>
      <c r="W629" s="907"/>
      <c r="X629" s="907"/>
      <c r="Y629" s="907"/>
      <c r="Z629" s="907"/>
      <c r="AA629" s="907"/>
      <c r="AB629" s="907"/>
      <c r="AC629" s="907"/>
    </row>
    <row r="630" spans="1:29">
      <c r="A630" s="907"/>
      <c r="B630" s="907"/>
      <c r="C630" s="907"/>
      <c r="D630" s="907"/>
      <c r="E630" s="907"/>
      <c r="F630" s="907"/>
      <c r="G630" s="907"/>
      <c r="H630" s="907"/>
      <c r="I630" s="907"/>
      <c r="J630" s="907"/>
      <c r="K630" s="907"/>
      <c r="L630" s="907"/>
      <c r="M630" s="907"/>
      <c r="N630" s="907"/>
      <c r="O630" s="907"/>
      <c r="P630" s="907"/>
      <c r="Q630" s="907"/>
      <c r="R630" s="907"/>
      <c r="S630" s="907"/>
      <c r="T630" s="907"/>
      <c r="U630" s="907"/>
      <c r="V630" s="907"/>
      <c r="W630" s="907"/>
      <c r="X630" s="907"/>
      <c r="Y630" s="907"/>
      <c r="Z630" s="907"/>
      <c r="AA630" s="907"/>
      <c r="AB630" s="907"/>
      <c r="AC630" s="907"/>
    </row>
    <row r="631" spans="1:29">
      <c r="A631" s="907"/>
      <c r="B631" s="907"/>
      <c r="C631" s="907"/>
      <c r="D631" s="907"/>
      <c r="E631" s="907"/>
      <c r="F631" s="907"/>
      <c r="G631" s="907"/>
      <c r="H631" s="907"/>
      <c r="I631" s="907"/>
      <c r="J631" s="907"/>
      <c r="K631" s="907"/>
      <c r="L631" s="907"/>
      <c r="M631" s="907"/>
      <c r="N631" s="907"/>
      <c r="O631" s="907"/>
      <c r="P631" s="907"/>
      <c r="Q631" s="907"/>
      <c r="R631" s="907"/>
      <c r="S631" s="907"/>
      <c r="T631" s="907"/>
      <c r="U631" s="907"/>
      <c r="V631" s="907"/>
      <c r="W631" s="907"/>
      <c r="X631" s="907"/>
      <c r="Y631" s="907"/>
      <c r="Z631" s="907"/>
      <c r="AA631" s="907"/>
      <c r="AB631" s="907"/>
      <c r="AC631" s="907"/>
    </row>
    <row r="632" spans="1:29">
      <c r="A632" s="907"/>
      <c r="B632" s="907"/>
      <c r="C632" s="907"/>
      <c r="D632" s="907"/>
      <c r="E632" s="907"/>
      <c r="F632" s="907"/>
      <c r="G632" s="907"/>
      <c r="H632" s="907"/>
      <c r="I632" s="907"/>
      <c r="J632" s="907"/>
      <c r="K632" s="907"/>
      <c r="L632" s="907"/>
      <c r="M632" s="907"/>
      <c r="N632" s="907"/>
      <c r="O632" s="907"/>
      <c r="P632" s="907"/>
      <c r="Q632" s="907"/>
      <c r="R632" s="907"/>
      <c r="S632" s="907"/>
      <c r="T632" s="907"/>
      <c r="U632" s="907"/>
      <c r="V632" s="907"/>
      <c r="W632" s="907"/>
      <c r="X632" s="907"/>
      <c r="Y632" s="907"/>
      <c r="Z632" s="907"/>
      <c r="AA632" s="907"/>
      <c r="AB632" s="907"/>
      <c r="AC632" s="907"/>
    </row>
    <row r="633" spans="1:29">
      <c r="A633" s="907"/>
      <c r="B633" s="907"/>
      <c r="C633" s="907"/>
      <c r="D633" s="907"/>
      <c r="E633" s="907"/>
      <c r="F633" s="907"/>
      <c r="G633" s="907"/>
      <c r="H633" s="907"/>
      <c r="I633" s="907"/>
      <c r="J633" s="907"/>
      <c r="K633" s="907"/>
      <c r="L633" s="907"/>
      <c r="M633" s="907"/>
      <c r="N633" s="907"/>
      <c r="O633" s="907"/>
      <c r="P633" s="907"/>
      <c r="Q633" s="907"/>
      <c r="R633" s="907"/>
      <c r="S633" s="907"/>
      <c r="T633" s="907"/>
      <c r="U633" s="907"/>
      <c r="V633" s="907"/>
      <c r="W633" s="907"/>
      <c r="X633" s="907"/>
      <c r="Y633" s="907"/>
      <c r="Z633" s="907"/>
      <c r="AA633" s="907"/>
      <c r="AB633" s="907"/>
      <c r="AC633" s="907"/>
    </row>
    <row r="634" spans="1:29">
      <c r="A634" s="907"/>
      <c r="B634" s="907"/>
      <c r="C634" s="907"/>
      <c r="D634" s="907"/>
      <c r="E634" s="907"/>
      <c r="F634" s="907"/>
      <c r="G634" s="907"/>
      <c r="H634" s="907"/>
      <c r="I634" s="907"/>
      <c r="J634" s="907"/>
      <c r="K634" s="907"/>
      <c r="L634" s="907"/>
      <c r="M634" s="907"/>
      <c r="N634" s="907"/>
      <c r="O634" s="907"/>
      <c r="P634" s="907"/>
      <c r="Q634" s="907"/>
      <c r="R634" s="907"/>
      <c r="S634" s="907"/>
      <c r="T634" s="907"/>
      <c r="U634" s="907"/>
      <c r="V634" s="907"/>
      <c r="W634" s="907"/>
      <c r="X634" s="907"/>
      <c r="Y634" s="907"/>
      <c r="Z634" s="907"/>
      <c r="AA634" s="907"/>
      <c r="AB634" s="907"/>
      <c r="AC634" s="907"/>
    </row>
    <row r="635" spans="1:29">
      <c r="A635" s="907"/>
      <c r="B635" s="907"/>
      <c r="C635" s="907"/>
      <c r="D635" s="907"/>
      <c r="E635" s="907"/>
      <c r="F635" s="907"/>
      <c r="G635" s="907"/>
      <c r="H635" s="907"/>
      <c r="I635" s="907"/>
      <c r="J635" s="907"/>
      <c r="K635" s="907"/>
      <c r="L635" s="907"/>
      <c r="M635" s="907"/>
      <c r="N635" s="907"/>
      <c r="O635" s="907"/>
      <c r="P635" s="907"/>
      <c r="Q635" s="907"/>
      <c r="R635" s="907"/>
      <c r="S635" s="907"/>
      <c r="T635" s="907"/>
      <c r="U635" s="907"/>
      <c r="V635" s="907"/>
      <c r="W635" s="907"/>
      <c r="X635" s="907"/>
      <c r="Y635" s="907"/>
      <c r="Z635" s="907"/>
      <c r="AA635" s="907"/>
      <c r="AB635" s="907"/>
      <c r="AC635" s="907"/>
    </row>
    <row r="636" spans="1:29">
      <c r="A636" s="907"/>
      <c r="B636" s="907"/>
      <c r="C636" s="907"/>
      <c r="D636" s="907"/>
      <c r="E636" s="907"/>
      <c r="F636" s="907"/>
      <c r="G636" s="907"/>
      <c r="H636" s="907"/>
      <c r="I636" s="907"/>
      <c r="J636" s="907"/>
      <c r="K636" s="907"/>
      <c r="L636" s="907"/>
      <c r="M636" s="907"/>
      <c r="N636" s="907"/>
      <c r="O636" s="907"/>
      <c r="P636" s="907"/>
      <c r="Q636" s="907"/>
      <c r="R636" s="907"/>
      <c r="S636" s="907"/>
      <c r="T636" s="907"/>
      <c r="U636" s="907"/>
      <c r="V636" s="907"/>
      <c r="W636" s="907"/>
      <c r="X636" s="907"/>
      <c r="Y636" s="907"/>
      <c r="Z636" s="907"/>
      <c r="AA636" s="907"/>
      <c r="AB636" s="907"/>
      <c r="AC636" s="907"/>
    </row>
    <row r="637" spans="1:29">
      <c r="A637" s="907"/>
      <c r="B637" s="907"/>
      <c r="C637" s="907"/>
      <c r="D637" s="907"/>
      <c r="E637" s="907"/>
      <c r="F637" s="907"/>
      <c r="G637" s="907"/>
      <c r="H637" s="907"/>
      <c r="I637" s="907"/>
      <c r="J637" s="907"/>
      <c r="K637" s="907"/>
      <c r="L637" s="907"/>
      <c r="M637" s="907"/>
      <c r="N637" s="907"/>
      <c r="O637" s="907"/>
      <c r="P637" s="907"/>
      <c r="Q637" s="907"/>
      <c r="R637" s="907"/>
      <c r="S637" s="907"/>
      <c r="T637" s="907"/>
      <c r="U637" s="907"/>
      <c r="V637" s="907"/>
      <c r="W637" s="907"/>
      <c r="X637" s="907"/>
      <c r="Y637" s="907"/>
      <c r="Z637" s="907"/>
      <c r="AA637" s="907"/>
      <c r="AB637" s="907"/>
      <c r="AC637" s="907"/>
    </row>
    <row r="638" spans="1:29">
      <c r="A638" s="907"/>
      <c r="B638" s="907"/>
      <c r="C638" s="907"/>
      <c r="D638" s="907"/>
      <c r="E638" s="907"/>
      <c r="F638" s="907"/>
      <c r="G638" s="907"/>
      <c r="H638" s="907"/>
      <c r="I638" s="907"/>
      <c r="J638" s="907"/>
      <c r="K638" s="907"/>
      <c r="L638" s="907"/>
      <c r="M638" s="907"/>
      <c r="N638" s="907"/>
      <c r="O638" s="907"/>
      <c r="P638" s="907"/>
      <c r="Q638" s="907"/>
      <c r="R638" s="907"/>
      <c r="S638" s="907"/>
      <c r="T638" s="907"/>
      <c r="U638" s="907"/>
      <c r="V638" s="907"/>
      <c r="W638" s="907"/>
      <c r="X638" s="907"/>
      <c r="Y638" s="907"/>
      <c r="Z638" s="907"/>
      <c r="AA638" s="907"/>
      <c r="AB638" s="907"/>
      <c r="AC638" s="907"/>
    </row>
    <row r="639" spans="1:29">
      <c r="A639" s="907"/>
      <c r="B639" s="907"/>
      <c r="C639" s="907"/>
      <c r="D639" s="907"/>
      <c r="E639" s="907"/>
      <c r="F639" s="907"/>
      <c r="G639" s="907"/>
      <c r="H639" s="907"/>
      <c r="I639" s="907"/>
      <c r="J639" s="907"/>
      <c r="K639" s="907"/>
      <c r="L639" s="907"/>
      <c r="M639" s="907"/>
      <c r="N639" s="907"/>
      <c r="O639" s="907"/>
      <c r="P639" s="907"/>
      <c r="Q639" s="907"/>
      <c r="R639" s="907"/>
      <c r="S639" s="907"/>
      <c r="T639" s="907"/>
      <c r="U639" s="907"/>
      <c r="V639" s="907"/>
      <c r="W639" s="907"/>
      <c r="X639" s="907"/>
      <c r="Y639" s="907"/>
      <c r="Z639" s="907"/>
      <c r="AA639" s="907"/>
      <c r="AB639" s="907"/>
      <c r="AC639" s="907"/>
    </row>
    <row r="640" spans="1:29">
      <c r="A640" s="907"/>
      <c r="B640" s="907"/>
      <c r="C640" s="907"/>
      <c r="D640" s="907"/>
      <c r="E640" s="907"/>
      <c r="F640" s="907"/>
      <c r="G640" s="907"/>
      <c r="H640" s="907"/>
      <c r="I640" s="907"/>
      <c r="J640" s="907"/>
      <c r="K640" s="907"/>
      <c r="L640" s="907"/>
      <c r="M640" s="907"/>
      <c r="N640" s="907"/>
      <c r="O640" s="907"/>
      <c r="P640" s="907"/>
      <c r="Q640" s="907"/>
      <c r="R640" s="907"/>
      <c r="S640" s="907"/>
      <c r="T640" s="907"/>
      <c r="U640" s="907"/>
      <c r="V640" s="907"/>
      <c r="W640" s="907"/>
      <c r="X640" s="907"/>
      <c r="Y640" s="907"/>
      <c r="Z640" s="907"/>
      <c r="AA640" s="907"/>
      <c r="AB640" s="907"/>
      <c r="AC640" s="907"/>
    </row>
    <row r="641" spans="1:29">
      <c r="A641" s="907"/>
      <c r="B641" s="907"/>
      <c r="C641" s="907"/>
      <c r="D641" s="907"/>
      <c r="E641" s="907"/>
      <c r="F641" s="907"/>
      <c r="G641" s="907"/>
      <c r="H641" s="907"/>
      <c r="I641" s="907"/>
      <c r="J641" s="907"/>
      <c r="K641" s="907"/>
      <c r="L641" s="907"/>
      <c r="M641" s="907"/>
      <c r="N641" s="907"/>
      <c r="O641" s="907"/>
      <c r="P641" s="907"/>
      <c r="Q641" s="907"/>
      <c r="R641" s="907"/>
      <c r="S641" s="907"/>
      <c r="T641" s="907"/>
      <c r="U641" s="907"/>
      <c r="V641" s="907"/>
      <c r="W641" s="907"/>
      <c r="X641" s="907"/>
      <c r="Y641" s="907"/>
      <c r="Z641" s="907"/>
      <c r="AA641" s="907"/>
      <c r="AB641" s="907"/>
      <c r="AC641" s="907"/>
    </row>
    <row r="642" spans="1:29">
      <c r="A642" s="907"/>
      <c r="B642" s="907"/>
      <c r="C642" s="907"/>
      <c r="D642" s="907"/>
      <c r="E642" s="907"/>
      <c r="F642" s="907"/>
      <c r="G642" s="907"/>
      <c r="H642" s="907"/>
      <c r="I642" s="907"/>
      <c r="J642" s="907"/>
      <c r="K642" s="907"/>
      <c r="L642" s="907"/>
      <c r="M642" s="907"/>
      <c r="N642" s="907"/>
      <c r="O642" s="907"/>
      <c r="P642" s="907"/>
      <c r="Q642" s="907"/>
      <c r="R642" s="907"/>
      <c r="S642" s="907"/>
      <c r="T642" s="907"/>
      <c r="U642" s="907"/>
      <c r="V642" s="907"/>
      <c r="W642" s="907"/>
      <c r="X642" s="907"/>
      <c r="Y642" s="907"/>
      <c r="Z642" s="907"/>
      <c r="AA642" s="907"/>
      <c r="AB642" s="907"/>
      <c r="AC642" s="907"/>
    </row>
    <row r="643" spans="1:29">
      <c r="A643" s="907"/>
      <c r="B643" s="907"/>
      <c r="C643" s="907"/>
      <c r="D643" s="907"/>
      <c r="E643" s="907"/>
      <c r="F643" s="907"/>
      <c r="G643" s="907"/>
      <c r="H643" s="907"/>
      <c r="I643" s="907"/>
      <c r="J643" s="907"/>
      <c r="K643" s="907"/>
      <c r="L643" s="907"/>
      <c r="M643" s="907"/>
      <c r="N643" s="907"/>
      <c r="O643" s="907"/>
      <c r="P643" s="907"/>
      <c r="Q643" s="907"/>
      <c r="R643" s="907"/>
      <c r="S643" s="907"/>
      <c r="T643" s="907"/>
      <c r="U643" s="907"/>
      <c r="V643" s="907"/>
      <c r="W643" s="907"/>
      <c r="X643" s="907"/>
      <c r="Y643" s="907"/>
      <c r="Z643" s="907"/>
      <c r="AA643" s="907"/>
      <c r="AB643" s="907"/>
      <c r="AC643" s="907"/>
    </row>
    <row r="644" spans="1:29">
      <c r="A644" s="907"/>
      <c r="B644" s="907"/>
      <c r="C644" s="907"/>
      <c r="D644" s="907"/>
      <c r="E644" s="907"/>
      <c r="F644" s="907"/>
      <c r="G644" s="907"/>
      <c r="H644" s="907"/>
      <c r="I644" s="907"/>
      <c r="J644" s="907"/>
      <c r="K644" s="907"/>
      <c r="L644" s="907"/>
      <c r="M644" s="907"/>
      <c r="N644" s="907"/>
      <c r="O644" s="907"/>
      <c r="P644" s="907"/>
      <c r="Q644" s="907"/>
      <c r="R644" s="907"/>
      <c r="S644" s="907"/>
      <c r="T644" s="907"/>
      <c r="U644" s="907"/>
      <c r="V644" s="907"/>
      <c r="W644" s="907"/>
      <c r="X644" s="907"/>
      <c r="Y644" s="907"/>
      <c r="Z644" s="907"/>
      <c r="AA644" s="907"/>
      <c r="AB644" s="907"/>
      <c r="AC644" s="907"/>
    </row>
    <row r="645" spans="1:29">
      <c r="A645" s="907"/>
      <c r="B645" s="907"/>
      <c r="C645" s="907"/>
      <c r="D645" s="907"/>
      <c r="E645" s="907"/>
      <c r="F645" s="907"/>
      <c r="G645" s="907"/>
      <c r="H645" s="907"/>
      <c r="I645" s="907"/>
      <c r="J645" s="907"/>
      <c r="K645" s="907"/>
      <c r="L645" s="907"/>
      <c r="M645" s="907"/>
      <c r="N645" s="907"/>
      <c r="O645" s="907"/>
      <c r="P645" s="907"/>
      <c r="Q645" s="907"/>
      <c r="R645" s="907"/>
      <c r="S645" s="907"/>
      <c r="T645" s="907"/>
      <c r="U645" s="907"/>
      <c r="V645" s="907"/>
      <c r="W645" s="907"/>
      <c r="X645" s="907"/>
      <c r="Y645" s="907"/>
      <c r="Z645" s="907"/>
      <c r="AA645" s="907"/>
      <c r="AB645" s="907"/>
      <c r="AC645" s="907"/>
    </row>
    <row r="646" spans="1:29">
      <c r="A646" s="907"/>
      <c r="B646" s="907"/>
      <c r="C646" s="907"/>
      <c r="D646" s="907"/>
      <c r="E646" s="907"/>
      <c r="F646" s="907"/>
      <c r="G646" s="907"/>
      <c r="H646" s="907"/>
      <c r="I646" s="907"/>
      <c r="J646" s="907"/>
      <c r="K646" s="907"/>
      <c r="L646" s="907"/>
      <c r="M646" s="907"/>
      <c r="N646" s="907"/>
      <c r="O646" s="907"/>
      <c r="P646" s="907"/>
      <c r="Q646" s="907"/>
      <c r="R646" s="907"/>
      <c r="S646" s="907"/>
      <c r="T646" s="907"/>
      <c r="U646" s="907"/>
      <c r="V646" s="907"/>
      <c r="W646" s="907"/>
      <c r="X646" s="907"/>
      <c r="Y646" s="907"/>
      <c r="Z646" s="907"/>
      <c r="AA646" s="907"/>
      <c r="AB646" s="907"/>
      <c r="AC646" s="907"/>
    </row>
    <row r="647" spans="1:29">
      <c r="A647" s="907"/>
      <c r="B647" s="907"/>
      <c r="C647" s="907"/>
      <c r="D647" s="907"/>
      <c r="E647" s="907"/>
      <c r="F647" s="907"/>
      <c r="G647" s="907"/>
      <c r="H647" s="907"/>
      <c r="I647" s="907"/>
      <c r="J647" s="907"/>
      <c r="K647" s="907"/>
      <c r="L647" s="907"/>
      <c r="M647" s="907"/>
      <c r="N647" s="907"/>
      <c r="O647" s="907"/>
      <c r="P647" s="907"/>
      <c r="Q647" s="907"/>
      <c r="R647" s="907"/>
      <c r="S647" s="907"/>
      <c r="T647" s="907"/>
      <c r="U647" s="907"/>
      <c r="V647" s="907"/>
      <c r="W647" s="907"/>
      <c r="X647" s="907"/>
      <c r="Y647" s="907"/>
      <c r="Z647" s="907"/>
      <c r="AA647" s="907"/>
      <c r="AB647" s="907"/>
      <c r="AC647" s="907"/>
    </row>
    <row r="648" spans="1:29">
      <c r="A648" s="907"/>
      <c r="B648" s="907"/>
      <c r="C648" s="907"/>
      <c r="D648" s="907"/>
      <c r="E648" s="907"/>
      <c r="F648" s="907"/>
      <c r="G648" s="907"/>
      <c r="H648" s="907"/>
      <c r="I648" s="907"/>
      <c r="J648" s="907"/>
      <c r="K648" s="907"/>
      <c r="L648" s="907"/>
      <c r="M648" s="907"/>
      <c r="N648" s="907"/>
      <c r="O648" s="907"/>
      <c r="P648" s="907"/>
      <c r="Q648" s="907"/>
      <c r="R648" s="907"/>
      <c r="S648" s="907"/>
      <c r="T648" s="907"/>
      <c r="U648" s="907"/>
      <c r="V648" s="907"/>
      <c r="W648" s="907"/>
      <c r="X648" s="907"/>
      <c r="Y648" s="907"/>
      <c r="Z648" s="907"/>
      <c r="AA648" s="907"/>
      <c r="AB648" s="907"/>
      <c r="AC648" s="907"/>
    </row>
    <row r="649" spans="1:29">
      <c r="A649" s="907"/>
      <c r="B649" s="907"/>
      <c r="C649" s="907"/>
      <c r="D649" s="907"/>
      <c r="E649" s="907"/>
      <c r="F649" s="907"/>
      <c r="G649" s="907"/>
      <c r="H649" s="907"/>
      <c r="I649" s="907"/>
      <c r="J649" s="907"/>
      <c r="K649" s="907"/>
      <c r="L649" s="907"/>
      <c r="M649" s="907"/>
      <c r="N649" s="907"/>
      <c r="O649" s="907"/>
      <c r="P649" s="907"/>
      <c r="Q649" s="907"/>
      <c r="R649" s="907"/>
      <c r="S649" s="907"/>
      <c r="T649" s="907"/>
      <c r="U649" s="907"/>
      <c r="V649" s="907"/>
      <c r="W649" s="907"/>
      <c r="X649" s="907"/>
      <c r="Y649" s="907"/>
      <c r="Z649" s="907"/>
      <c r="AA649" s="907"/>
      <c r="AB649" s="907"/>
      <c r="AC649" s="907"/>
    </row>
    <row r="650" spans="1:29">
      <c r="A650" s="907"/>
      <c r="B650" s="907"/>
      <c r="C650" s="907"/>
      <c r="D650" s="907"/>
      <c r="E650" s="907"/>
      <c r="F650" s="907"/>
      <c r="G650" s="907"/>
      <c r="H650" s="907"/>
      <c r="I650" s="907"/>
      <c r="J650" s="907"/>
      <c r="K650" s="907"/>
      <c r="L650" s="907"/>
      <c r="M650" s="907"/>
      <c r="N650" s="907"/>
      <c r="O650" s="907"/>
      <c r="P650" s="907"/>
      <c r="Q650" s="907"/>
      <c r="R650" s="907"/>
      <c r="S650" s="907"/>
      <c r="T650" s="907"/>
      <c r="U650" s="907"/>
      <c r="V650" s="907"/>
      <c r="W650" s="907"/>
      <c r="X650" s="907"/>
      <c r="Y650" s="907"/>
      <c r="Z650" s="907"/>
      <c r="AA650" s="907"/>
      <c r="AB650" s="907"/>
      <c r="AC650" s="907"/>
    </row>
    <row r="651" spans="1:29">
      <c r="A651" s="907"/>
      <c r="B651" s="907"/>
      <c r="C651" s="907"/>
      <c r="D651" s="907"/>
      <c r="E651" s="907"/>
      <c r="F651" s="907"/>
      <c r="G651" s="907"/>
      <c r="H651" s="907"/>
      <c r="I651" s="907"/>
      <c r="J651" s="907"/>
      <c r="K651" s="907"/>
      <c r="L651" s="907"/>
      <c r="M651" s="907"/>
      <c r="N651" s="907"/>
      <c r="O651" s="907"/>
      <c r="P651" s="907"/>
      <c r="Q651" s="907"/>
      <c r="R651" s="907"/>
      <c r="S651" s="907"/>
      <c r="T651" s="907"/>
      <c r="U651" s="907"/>
      <c r="V651" s="907"/>
      <c r="W651" s="907"/>
      <c r="X651" s="907"/>
      <c r="Y651" s="907"/>
      <c r="Z651" s="907"/>
      <c r="AA651" s="907"/>
      <c r="AB651" s="907"/>
      <c r="AC651" s="907"/>
    </row>
    <row r="652" spans="1:29">
      <c r="A652" s="907"/>
      <c r="B652" s="907"/>
      <c r="C652" s="907"/>
      <c r="D652" s="907"/>
      <c r="E652" s="907"/>
      <c r="F652" s="907"/>
      <c r="G652" s="907"/>
      <c r="H652" s="907"/>
      <c r="I652" s="907"/>
      <c r="J652" s="907"/>
      <c r="K652" s="907"/>
      <c r="L652" s="907"/>
      <c r="M652" s="907"/>
      <c r="N652" s="907"/>
      <c r="O652" s="907"/>
      <c r="P652" s="907"/>
      <c r="Q652" s="907"/>
      <c r="R652" s="907"/>
      <c r="S652" s="907"/>
      <c r="T652" s="907"/>
      <c r="U652" s="907"/>
      <c r="V652" s="907"/>
      <c r="W652" s="907"/>
      <c r="X652" s="907"/>
      <c r="Y652" s="907"/>
      <c r="Z652" s="907"/>
      <c r="AA652" s="907"/>
      <c r="AB652" s="907"/>
      <c r="AC652" s="907"/>
    </row>
    <row r="653" spans="1:29">
      <c r="A653" s="907"/>
      <c r="B653" s="907"/>
      <c r="C653" s="907"/>
      <c r="D653" s="907"/>
      <c r="E653" s="907"/>
      <c r="F653" s="907"/>
      <c r="G653" s="907"/>
      <c r="H653" s="907"/>
      <c r="I653" s="907"/>
      <c r="J653" s="907"/>
      <c r="K653" s="907"/>
      <c r="L653" s="907"/>
      <c r="M653" s="907"/>
      <c r="N653" s="907"/>
      <c r="O653" s="907"/>
      <c r="P653" s="907"/>
      <c r="Q653" s="907"/>
      <c r="R653" s="907"/>
      <c r="S653" s="907"/>
      <c r="T653" s="907"/>
      <c r="U653" s="907"/>
      <c r="V653" s="907"/>
      <c r="W653" s="907"/>
      <c r="X653" s="907"/>
      <c r="Y653" s="907"/>
      <c r="Z653" s="907"/>
      <c r="AA653" s="907"/>
      <c r="AB653" s="907"/>
      <c r="AC653" s="907"/>
    </row>
    <row r="654" spans="1:29">
      <c r="A654" s="907"/>
      <c r="B654" s="907"/>
      <c r="C654" s="907"/>
      <c r="D654" s="907"/>
      <c r="E654" s="907"/>
      <c r="F654" s="907"/>
      <c r="G654" s="907"/>
      <c r="H654" s="907"/>
      <c r="I654" s="907"/>
      <c r="J654" s="907"/>
      <c r="K654" s="907"/>
      <c r="L654" s="907"/>
      <c r="M654" s="907"/>
      <c r="N654" s="907"/>
      <c r="O654" s="907"/>
      <c r="P654" s="907"/>
      <c r="Q654" s="907"/>
      <c r="R654" s="907"/>
      <c r="S654" s="907"/>
      <c r="T654" s="907"/>
      <c r="U654" s="907"/>
      <c r="V654" s="907"/>
      <c r="W654" s="907"/>
      <c r="X654" s="907"/>
      <c r="Y654" s="907"/>
      <c r="Z654" s="907"/>
      <c r="AA654" s="907"/>
      <c r="AB654" s="907"/>
      <c r="AC654" s="907"/>
    </row>
    <row r="655" spans="1:29">
      <c r="A655" s="907"/>
      <c r="B655" s="907"/>
      <c r="C655" s="907"/>
      <c r="D655" s="907"/>
      <c r="E655" s="907"/>
      <c r="F655" s="907"/>
      <c r="G655" s="907"/>
      <c r="H655" s="907"/>
      <c r="I655" s="907"/>
      <c r="J655" s="907"/>
      <c r="K655" s="907"/>
      <c r="L655" s="907"/>
      <c r="M655" s="907"/>
      <c r="N655" s="907"/>
      <c r="O655" s="907"/>
      <c r="P655" s="907"/>
      <c r="Q655" s="907"/>
      <c r="R655" s="907"/>
      <c r="S655" s="907"/>
      <c r="T655" s="907"/>
      <c r="U655" s="907"/>
      <c r="V655" s="907"/>
      <c r="W655" s="907"/>
      <c r="X655" s="907"/>
      <c r="Y655" s="907"/>
      <c r="Z655" s="907"/>
      <c r="AA655" s="907"/>
      <c r="AB655" s="907"/>
      <c r="AC655" s="907"/>
    </row>
    <row r="656" spans="1:29">
      <c r="A656" s="907"/>
      <c r="B656" s="907"/>
      <c r="C656" s="907"/>
      <c r="D656" s="907"/>
      <c r="E656" s="907"/>
      <c r="F656" s="907"/>
      <c r="G656" s="907"/>
      <c r="H656" s="907"/>
      <c r="I656" s="907"/>
      <c r="J656" s="907"/>
      <c r="K656" s="907"/>
      <c r="L656" s="907"/>
      <c r="M656" s="907"/>
      <c r="N656" s="907"/>
      <c r="O656" s="907"/>
      <c r="P656" s="907"/>
      <c r="Q656" s="907"/>
      <c r="R656" s="907"/>
      <c r="S656" s="907"/>
      <c r="T656" s="907"/>
      <c r="U656" s="907"/>
      <c r="V656" s="907"/>
      <c r="W656" s="907"/>
      <c r="X656" s="907"/>
      <c r="Y656" s="907"/>
      <c r="Z656" s="907"/>
      <c r="AA656" s="907"/>
      <c r="AB656" s="907"/>
      <c r="AC656" s="907"/>
    </row>
    <row r="657" spans="1:29">
      <c r="A657" s="907"/>
      <c r="B657" s="907"/>
      <c r="C657" s="907"/>
      <c r="D657" s="907"/>
      <c r="E657" s="907"/>
      <c r="F657" s="907"/>
      <c r="G657" s="907"/>
      <c r="H657" s="907"/>
      <c r="I657" s="907"/>
      <c r="J657" s="907"/>
      <c r="K657" s="907"/>
      <c r="L657" s="907"/>
      <c r="M657" s="907"/>
      <c r="N657" s="907"/>
      <c r="O657" s="907"/>
      <c r="P657" s="907"/>
      <c r="Q657" s="907"/>
      <c r="R657" s="907"/>
      <c r="S657" s="907"/>
      <c r="T657" s="907"/>
      <c r="U657" s="907"/>
      <c r="V657" s="907"/>
      <c r="W657" s="907"/>
      <c r="X657" s="907"/>
      <c r="Y657" s="907"/>
      <c r="Z657" s="907"/>
      <c r="AA657" s="907"/>
      <c r="AB657" s="907"/>
      <c r="AC657" s="907"/>
    </row>
    <row r="658" spans="1:29">
      <c r="A658" s="907"/>
      <c r="B658" s="907"/>
      <c r="C658" s="907"/>
      <c r="D658" s="907"/>
      <c r="E658" s="907"/>
      <c r="F658" s="907"/>
      <c r="G658" s="907"/>
      <c r="H658" s="907"/>
      <c r="I658" s="907"/>
      <c r="J658" s="907"/>
      <c r="K658" s="907"/>
      <c r="L658" s="907"/>
      <c r="M658" s="907"/>
      <c r="N658" s="907"/>
      <c r="O658" s="907"/>
      <c r="P658" s="907"/>
      <c r="Q658" s="907"/>
      <c r="R658" s="907"/>
      <c r="S658" s="907"/>
      <c r="T658" s="907"/>
      <c r="U658" s="907"/>
      <c r="V658" s="907"/>
      <c r="W658" s="907"/>
      <c r="X658" s="907"/>
      <c r="Y658" s="907"/>
      <c r="Z658" s="907"/>
      <c r="AA658" s="907"/>
      <c r="AB658" s="907"/>
      <c r="AC658" s="907"/>
    </row>
    <row r="659" spans="1:29">
      <c r="A659" s="907"/>
      <c r="B659" s="907"/>
      <c r="C659" s="907"/>
      <c r="D659" s="907"/>
      <c r="E659" s="907"/>
      <c r="F659" s="907"/>
      <c r="G659" s="907"/>
      <c r="H659" s="907"/>
      <c r="I659" s="907"/>
      <c r="J659" s="907"/>
      <c r="K659" s="907"/>
      <c r="L659" s="907"/>
      <c r="M659" s="907"/>
      <c r="N659" s="907"/>
      <c r="O659" s="907"/>
      <c r="P659" s="907"/>
      <c r="Q659" s="907"/>
      <c r="R659" s="907"/>
      <c r="S659" s="907"/>
      <c r="T659" s="907"/>
      <c r="U659" s="907"/>
      <c r="V659" s="907"/>
      <c r="W659" s="907"/>
      <c r="X659" s="907"/>
      <c r="Y659" s="907"/>
      <c r="Z659" s="907"/>
      <c r="AA659" s="907"/>
      <c r="AB659" s="907"/>
      <c r="AC659" s="907"/>
    </row>
    <row r="660" spans="1:29">
      <c r="A660" s="907"/>
      <c r="B660" s="907"/>
      <c r="C660" s="907"/>
      <c r="D660" s="907"/>
      <c r="E660" s="907"/>
      <c r="F660" s="907"/>
      <c r="G660" s="907"/>
      <c r="H660" s="907"/>
      <c r="I660" s="907"/>
      <c r="J660" s="907"/>
      <c r="K660" s="907"/>
      <c r="L660" s="907"/>
      <c r="M660" s="907"/>
      <c r="N660" s="907"/>
      <c r="O660" s="907"/>
      <c r="P660" s="907"/>
      <c r="Q660" s="907"/>
      <c r="R660" s="907"/>
      <c r="S660" s="907"/>
      <c r="T660" s="907"/>
      <c r="U660" s="907"/>
      <c r="V660" s="907"/>
      <c r="W660" s="907"/>
      <c r="X660" s="907"/>
      <c r="Y660" s="907"/>
      <c r="Z660" s="907"/>
      <c r="AA660" s="907"/>
      <c r="AB660" s="907"/>
      <c r="AC660" s="907"/>
    </row>
    <row r="661" spans="1:29">
      <c r="A661" s="907"/>
      <c r="B661" s="907"/>
      <c r="C661" s="907"/>
      <c r="D661" s="907"/>
      <c r="E661" s="907"/>
      <c r="F661" s="907"/>
      <c r="G661" s="907"/>
      <c r="H661" s="907"/>
      <c r="I661" s="907"/>
      <c r="J661" s="907"/>
      <c r="K661" s="907"/>
      <c r="L661" s="907"/>
      <c r="M661" s="907"/>
      <c r="N661" s="907"/>
      <c r="O661" s="907"/>
      <c r="P661" s="907"/>
      <c r="Q661" s="907"/>
      <c r="R661" s="907"/>
      <c r="S661" s="907"/>
      <c r="T661" s="907"/>
      <c r="U661" s="907"/>
      <c r="V661" s="907"/>
      <c r="W661" s="907"/>
      <c r="X661" s="907"/>
      <c r="Y661" s="907"/>
      <c r="Z661" s="907"/>
      <c r="AA661" s="907"/>
      <c r="AB661" s="907"/>
      <c r="AC661" s="907"/>
    </row>
    <row r="662" spans="1:29">
      <c r="A662" s="907"/>
      <c r="B662" s="907"/>
      <c r="C662" s="907"/>
      <c r="D662" s="907"/>
      <c r="E662" s="907"/>
      <c r="F662" s="907"/>
      <c r="G662" s="907"/>
      <c r="H662" s="907"/>
      <c r="I662" s="907"/>
      <c r="J662" s="907"/>
      <c r="K662" s="907"/>
      <c r="L662" s="907"/>
      <c r="M662" s="907"/>
      <c r="N662" s="907"/>
      <c r="O662" s="907"/>
      <c r="P662" s="907"/>
      <c r="Q662" s="907"/>
      <c r="R662" s="907"/>
      <c r="S662" s="907"/>
      <c r="T662" s="907"/>
      <c r="U662" s="907"/>
      <c r="V662" s="907"/>
      <c r="W662" s="907"/>
      <c r="X662" s="907"/>
      <c r="Y662" s="907"/>
      <c r="Z662" s="907"/>
      <c r="AA662" s="907"/>
      <c r="AB662" s="907"/>
      <c r="AC662" s="907"/>
    </row>
    <row r="663" spans="1:29">
      <c r="A663" s="907"/>
      <c r="B663" s="907"/>
      <c r="C663" s="907"/>
      <c r="D663" s="907"/>
      <c r="E663" s="907"/>
      <c r="F663" s="907"/>
      <c r="G663" s="907"/>
      <c r="H663" s="907"/>
      <c r="I663" s="907"/>
      <c r="J663" s="907"/>
      <c r="K663" s="907"/>
      <c r="L663" s="907"/>
      <c r="M663" s="907"/>
      <c r="N663" s="907"/>
      <c r="O663" s="907"/>
      <c r="P663" s="907"/>
      <c r="Q663" s="907"/>
      <c r="R663" s="907"/>
      <c r="S663" s="907"/>
      <c r="T663" s="907"/>
      <c r="U663" s="907"/>
      <c r="V663" s="907"/>
      <c r="W663" s="907"/>
      <c r="X663" s="907"/>
      <c r="Y663" s="907"/>
      <c r="Z663" s="907"/>
      <c r="AA663" s="907"/>
      <c r="AB663" s="907"/>
      <c r="AC663" s="907"/>
    </row>
    <row r="664" spans="1:29">
      <c r="A664" s="907"/>
      <c r="B664" s="907"/>
      <c r="C664" s="907"/>
      <c r="D664" s="907"/>
      <c r="E664" s="907"/>
      <c r="F664" s="907"/>
      <c r="G664" s="907"/>
      <c r="H664" s="907"/>
      <c r="I664" s="907"/>
      <c r="J664" s="907"/>
      <c r="K664" s="907"/>
      <c r="L664" s="907"/>
      <c r="M664" s="907"/>
      <c r="N664" s="907"/>
      <c r="O664" s="907"/>
      <c r="P664" s="907"/>
      <c r="Q664" s="907"/>
      <c r="R664" s="907"/>
      <c r="S664" s="907"/>
      <c r="T664" s="907"/>
      <c r="U664" s="907"/>
      <c r="V664" s="907"/>
      <c r="W664" s="907"/>
      <c r="X664" s="907"/>
      <c r="Y664" s="907"/>
      <c r="Z664" s="907"/>
      <c r="AA664" s="907"/>
      <c r="AB664" s="907"/>
      <c r="AC664" s="907"/>
    </row>
    <row r="665" spans="1:29">
      <c r="A665" s="907"/>
      <c r="B665" s="907"/>
      <c r="C665" s="907"/>
      <c r="D665" s="907"/>
      <c r="E665" s="907"/>
      <c r="F665" s="907"/>
      <c r="G665" s="907"/>
      <c r="H665" s="907"/>
      <c r="I665" s="907"/>
      <c r="J665" s="907"/>
      <c r="K665" s="907"/>
      <c r="L665" s="907"/>
      <c r="M665" s="907"/>
      <c r="N665" s="907"/>
      <c r="O665" s="907"/>
      <c r="P665" s="907"/>
      <c r="Q665" s="907"/>
      <c r="R665" s="907"/>
      <c r="S665" s="907"/>
      <c r="T665" s="907"/>
      <c r="U665" s="907"/>
      <c r="V665" s="907"/>
      <c r="W665" s="907"/>
      <c r="X665" s="907"/>
      <c r="Y665" s="907"/>
      <c r="Z665" s="907"/>
      <c r="AA665" s="907"/>
      <c r="AB665" s="907"/>
      <c r="AC665" s="907"/>
    </row>
    <row r="666" spans="1:29">
      <c r="A666" s="907"/>
      <c r="B666" s="907"/>
      <c r="C666" s="907"/>
      <c r="D666" s="907"/>
      <c r="E666" s="907"/>
      <c r="F666" s="907"/>
      <c r="G666" s="907"/>
      <c r="H666" s="907"/>
      <c r="I666" s="907"/>
      <c r="J666" s="907"/>
      <c r="K666" s="907"/>
      <c r="L666" s="907"/>
      <c r="M666" s="907"/>
      <c r="N666" s="907"/>
      <c r="O666" s="907"/>
      <c r="P666" s="907"/>
      <c r="Q666" s="907"/>
      <c r="R666" s="907"/>
      <c r="S666" s="907"/>
      <c r="T666" s="907"/>
      <c r="U666" s="907"/>
      <c r="V666" s="907"/>
      <c r="W666" s="907"/>
      <c r="X666" s="907"/>
      <c r="Y666" s="907"/>
      <c r="Z666" s="907"/>
      <c r="AA666" s="907"/>
      <c r="AB666" s="907"/>
      <c r="AC666" s="907"/>
    </row>
    <row r="667" spans="1:29">
      <c r="A667" s="907"/>
      <c r="B667" s="907"/>
      <c r="C667" s="907"/>
      <c r="D667" s="907"/>
      <c r="E667" s="907"/>
      <c r="F667" s="907"/>
      <c r="G667" s="907"/>
      <c r="H667" s="907"/>
      <c r="I667" s="907"/>
      <c r="J667" s="907"/>
      <c r="K667" s="907"/>
      <c r="L667" s="907"/>
      <c r="M667" s="907"/>
      <c r="N667" s="907"/>
      <c r="O667" s="907"/>
      <c r="P667" s="907"/>
      <c r="Q667" s="907"/>
      <c r="R667" s="907"/>
      <c r="S667" s="907"/>
      <c r="T667" s="907"/>
      <c r="U667" s="907"/>
      <c r="V667" s="907"/>
      <c r="W667" s="907"/>
      <c r="X667" s="907"/>
      <c r="Y667" s="907"/>
      <c r="Z667" s="907"/>
      <c r="AA667" s="907"/>
      <c r="AB667" s="907"/>
      <c r="AC667" s="907"/>
    </row>
    <row r="668" spans="1:29">
      <c r="A668" s="907"/>
      <c r="B668" s="907"/>
      <c r="C668" s="907"/>
      <c r="D668" s="907"/>
      <c r="E668" s="907"/>
      <c r="F668" s="907"/>
      <c r="G668" s="907"/>
      <c r="H668" s="907"/>
      <c r="I668" s="907"/>
      <c r="J668" s="907"/>
      <c r="K668" s="907"/>
      <c r="L668" s="907"/>
      <c r="M668" s="907"/>
      <c r="N668" s="907"/>
      <c r="O668" s="907"/>
      <c r="P668" s="907"/>
      <c r="Q668" s="907"/>
      <c r="R668" s="907"/>
      <c r="S668" s="907"/>
      <c r="T668" s="907"/>
      <c r="U668" s="907"/>
      <c r="V668" s="907"/>
      <c r="W668" s="907"/>
      <c r="X668" s="907"/>
      <c r="Y668" s="907"/>
      <c r="Z668" s="907"/>
      <c r="AA668" s="907"/>
      <c r="AB668" s="907"/>
      <c r="AC668" s="907"/>
    </row>
    <row r="669" spans="1:29">
      <c r="A669" s="907"/>
      <c r="B669" s="907"/>
      <c r="C669" s="907"/>
      <c r="D669" s="907"/>
      <c r="E669" s="907"/>
      <c r="F669" s="907"/>
      <c r="G669" s="907"/>
      <c r="H669" s="907"/>
      <c r="I669" s="907"/>
      <c r="J669" s="907"/>
      <c r="K669" s="907"/>
      <c r="L669" s="907"/>
      <c r="M669" s="907"/>
      <c r="N669" s="907"/>
      <c r="O669" s="907"/>
      <c r="P669" s="907"/>
      <c r="Q669" s="907"/>
      <c r="R669" s="907"/>
      <c r="S669" s="907"/>
      <c r="T669" s="907"/>
      <c r="U669" s="907"/>
      <c r="V669" s="907"/>
      <c r="W669" s="907"/>
      <c r="X669" s="907"/>
      <c r="Y669" s="907"/>
      <c r="Z669" s="907"/>
      <c r="AA669" s="907"/>
      <c r="AB669" s="907"/>
      <c r="AC669" s="907"/>
    </row>
    <row r="670" spans="1:29">
      <c r="A670" s="907"/>
      <c r="B670" s="907"/>
      <c r="C670" s="907"/>
      <c r="D670" s="907"/>
      <c r="E670" s="907"/>
      <c r="F670" s="907"/>
      <c r="G670" s="907"/>
      <c r="H670" s="907"/>
      <c r="I670" s="907"/>
      <c r="J670" s="907"/>
      <c r="K670" s="907"/>
      <c r="L670" s="907"/>
      <c r="M670" s="907"/>
      <c r="N670" s="907"/>
      <c r="O670" s="907"/>
      <c r="P670" s="907"/>
      <c r="Q670" s="907"/>
      <c r="R670" s="907"/>
      <c r="S670" s="907"/>
      <c r="T670" s="907"/>
      <c r="U670" s="907"/>
      <c r="V670" s="907"/>
      <c r="W670" s="907"/>
      <c r="X670" s="907"/>
      <c r="Y670" s="907"/>
      <c r="Z670" s="907"/>
      <c r="AA670" s="907"/>
      <c r="AB670" s="907"/>
      <c r="AC670" s="907"/>
    </row>
    <row r="671" spans="1:29">
      <c r="A671" s="907"/>
      <c r="B671" s="907"/>
      <c r="C671" s="907"/>
      <c r="D671" s="907"/>
      <c r="E671" s="907"/>
      <c r="F671" s="907"/>
      <c r="G671" s="907"/>
      <c r="H671" s="907"/>
      <c r="I671" s="907"/>
      <c r="J671" s="907"/>
      <c r="K671" s="907"/>
      <c r="L671" s="907"/>
      <c r="M671" s="907"/>
      <c r="N671" s="907"/>
      <c r="O671" s="907"/>
      <c r="P671" s="907"/>
      <c r="Q671" s="907"/>
      <c r="R671" s="907"/>
      <c r="S671" s="907"/>
      <c r="T671" s="907"/>
      <c r="U671" s="907"/>
      <c r="V671" s="907"/>
      <c r="W671" s="907"/>
      <c r="X671" s="907"/>
      <c r="Y671" s="907"/>
      <c r="Z671" s="907"/>
      <c r="AA671" s="907"/>
      <c r="AB671" s="907"/>
      <c r="AC671" s="907"/>
    </row>
    <row r="672" spans="1:29">
      <c r="A672" s="907"/>
      <c r="B672" s="907"/>
      <c r="C672" s="907"/>
      <c r="D672" s="907"/>
      <c r="E672" s="907"/>
      <c r="F672" s="907"/>
      <c r="G672" s="907"/>
      <c r="H672" s="907"/>
      <c r="I672" s="907"/>
      <c r="J672" s="907"/>
      <c r="K672" s="907"/>
      <c r="L672" s="907"/>
      <c r="M672" s="907"/>
      <c r="N672" s="907"/>
      <c r="O672" s="907"/>
      <c r="P672" s="907"/>
      <c r="Q672" s="907"/>
      <c r="R672" s="907"/>
      <c r="S672" s="907"/>
      <c r="T672" s="907"/>
      <c r="U672" s="907"/>
      <c r="V672" s="907"/>
      <c r="W672" s="907"/>
      <c r="X672" s="907"/>
      <c r="Y672" s="907"/>
      <c r="Z672" s="907"/>
      <c r="AA672" s="907"/>
      <c r="AB672" s="907"/>
      <c r="AC672" s="907"/>
    </row>
    <row r="673" spans="1:29">
      <c r="A673" s="907"/>
      <c r="B673" s="907"/>
      <c r="C673" s="907"/>
      <c r="D673" s="907"/>
      <c r="E673" s="907"/>
      <c r="F673" s="907"/>
      <c r="G673" s="907"/>
      <c r="H673" s="907"/>
      <c r="I673" s="907"/>
      <c r="J673" s="907"/>
      <c r="K673" s="907"/>
      <c r="L673" s="907"/>
      <c r="M673" s="907"/>
      <c r="N673" s="907"/>
      <c r="O673" s="907"/>
      <c r="P673" s="907"/>
      <c r="Q673" s="907"/>
      <c r="R673" s="907"/>
      <c r="S673" s="907"/>
      <c r="T673" s="907"/>
      <c r="U673" s="907"/>
      <c r="V673" s="907"/>
      <c r="W673" s="907"/>
      <c r="X673" s="907"/>
      <c r="Y673" s="907"/>
      <c r="Z673" s="907"/>
      <c r="AA673" s="907"/>
      <c r="AB673" s="907"/>
      <c r="AC673" s="907"/>
    </row>
    <row r="674" spans="1:29">
      <c r="A674" s="907"/>
      <c r="B674" s="907"/>
      <c r="C674" s="907"/>
      <c r="D674" s="907"/>
      <c r="E674" s="907"/>
      <c r="F674" s="907"/>
      <c r="G674" s="907"/>
      <c r="H674" s="907"/>
      <c r="I674" s="907"/>
      <c r="J674" s="907"/>
      <c r="K674" s="907"/>
      <c r="L674" s="907"/>
      <c r="M674" s="907"/>
      <c r="N674" s="907"/>
      <c r="O674" s="907"/>
      <c r="P674" s="907"/>
      <c r="Q674" s="907"/>
      <c r="R674" s="907"/>
      <c r="S674" s="907"/>
      <c r="T674" s="907"/>
      <c r="U674" s="907"/>
      <c r="V674" s="907"/>
      <c r="W674" s="907"/>
      <c r="X674" s="907"/>
      <c r="Y674" s="907"/>
      <c r="Z674" s="907"/>
      <c r="AA674" s="907"/>
      <c r="AB674" s="907"/>
      <c r="AC674" s="907"/>
    </row>
    <row r="675" spans="1:29">
      <c r="A675" s="907"/>
      <c r="B675" s="907"/>
      <c r="C675" s="907"/>
      <c r="D675" s="907"/>
      <c r="E675" s="907"/>
      <c r="F675" s="907"/>
      <c r="G675" s="907"/>
      <c r="H675" s="907"/>
      <c r="I675" s="907"/>
      <c r="J675" s="907"/>
      <c r="K675" s="907"/>
      <c r="L675" s="907"/>
      <c r="M675" s="907"/>
      <c r="N675" s="907"/>
      <c r="O675" s="907"/>
      <c r="P675" s="907"/>
      <c r="Q675" s="907"/>
      <c r="R675" s="907"/>
      <c r="S675" s="907"/>
      <c r="T675" s="907"/>
      <c r="U675" s="907"/>
      <c r="V675" s="907"/>
      <c r="W675" s="907"/>
      <c r="X675" s="907"/>
      <c r="Y675" s="907"/>
      <c r="Z675" s="907"/>
      <c r="AA675" s="907"/>
      <c r="AB675" s="907"/>
      <c r="AC675" s="907"/>
    </row>
    <row r="676" spans="1:29">
      <c r="A676" s="907"/>
      <c r="B676" s="907"/>
      <c r="C676" s="907"/>
      <c r="D676" s="907"/>
      <c r="E676" s="907"/>
      <c r="F676" s="907"/>
      <c r="G676" s="907"/>
      <c r="H676" s="907"/>
      <c r="I676" s="907"/>
      <c r="J676" s="907"/>
      <c r="K676" s="907"/>
      <c r="L676" s="907"/>
      <c r="M676" s="907"/>
      <c r="N676" s="907"/>
      <c r="O676" s="907"/>
      <c r="P676" s="907"/>
      <c r="Q676" s="907"/>
      <c r="R676" s="907"/>
      <c r="S676" s="907"/>
      <c r="T676" s="907"/>
      <c r="U676" s="907"/>
      <c r="V676" s="907"/>
      <c r="W676" s="907"/>
      <c r="X676" s="907"/>
      <c r="Y676" s="907"/>
      <c r="Z676" s="907"/>
      <c r="AA676" s="907"/>
      <c r="AB676" s="907"/>
      <c r="AC676" s="907"/>
    </row>
    <row r="677" spans="1:29">
      <c r="A677" s="907"/>
      <c r="B677" s="907"/>
      <c r="C677" s="907"/>
      <c r="D677" s="907"/>
      <c r="E677" s="907"/>
      <c r="F677" s="907"/>
      <c r="G677" s="907"/>
      <c r="H677" s="907"/>
      <c r="I677" s="907"/>
      <c r="J677" s="907"/>
      <c r="K677" s="907"/>
      <c r="L677" s="907"/>
      <c r="M677" s="907"/>
      <c r="N677" s="907"/>
      <c r="O677" s="907"/>
      <c r="P677" s="907"/>
      <c r="Q677" s="907"/>
      <c r="R677" s="907"/>
      <c r="S677" s="907"/>
      <c r="T677" s="907"/>
      <c r="U677" s="907"/>
      <c r="V677" s="907"/>
      <c r="W677" s="907"/>
      <c r="X677" s="907"/>
      <c r="Y677" s="907"/>
      <c r="Z677" s="907"/>
      <c r="AA677" s="907"/>
      <c r="AB677" s="907"/>
      <c r="AC677" s="907"/>
    </row>
    <row r="678" spans="1:29">
      <c r="A678" s="907"/>
      <c r="B678" s="907"/>
      <c r="C678" s="907"/>
      <c r="D678" s="907"/>
      <c r="E678" s="907"/>
      <c r="F678" s="907"/>
      <c r="G678" s="907"/>
      <c r="H678" s="907"/>
      <c r="I678" s="907"/>
      <c r="J678" s="907"/>
      <c r="K678" s="907"/>
      <c r="L678" s="907"/>
      <c r="M678" s="907"/>
      <c r="N678" s="907"/>
      <c r="O678" s="907"/>
      <c r="P678" s="907"/>
      <c r="Q678" s="907"/>
      <c r="R678" s="907"/>
      <c r="S678" s="907"/>
      <c r="T678" s="907"/>
      <c r="U678" s="907"/>
      <c r="V678" s="907"/>
      <c r="W678" s="907"/>
      <c r="X678" s="907"/>
      <c r="Y678" s="907"/>
      <c r="Z678" s="907"/>
      <c r="AA678" s="907"/>
      <c r="AB678" s="907"/>
      <c r="AC678" s="907"/>
    </row>
    <row r="679" spans="1:29">
      <c r="A679" s="907"/>
      <c r="B679" s="907"/>
      <c r="C679" s="907"/>
      <c r="D679" s="907"/>
      <c r="E679" s="907"/>
      <c r="F679" s="907"/>
      <c r="G679" s="907"/>
      <c r="H679" s="907"/>
      <c r="I679" s="907"/>
      <c r="J679" s="907"/>
      <c r="K679" s="907"/>
      <c r="L679" s="907"/>
      <c r="M679" s="907"/>
      <c r="N679" s="907"/>
      <c r="O679" s="907"/>
      <c r="P679" s="907"/>
      <c r="Q679" s="907"/>
      <c r="R679" s="907"/>
      <c r="S679" s="907"/>
      <c r="T679" s="907"/>
      <c r="U679" s="907"/>
      <c r="V679" s="907"/>
      <c r="W679" s="907"/>
      <c r="X679" s="907"/>
      <c r="Y679" s="907"/>
      <c r="Z679" s="907"/>
      <c r="AA679" s="907"/>
      <c r="AB679" s="907"/>
      <c r="AC679" s="907"/>
    </row>
    <row r="680" spans="1:29">
      <c r="A680" s="907"/>
      <c r="B680" s="907"/>
      <c r="C680" s="907"/>
      <c r="D680" s="907"/>
      <c r="E680" s="907"/>
      <c r="F680" s="907"/>
      <c r="G680" s="907"/>
      <c r="H680" s="907"/>
      <c r="I680" s="907"/>
      <c r="J680" s="907"/>
      <c r="K680" s="907"/>
      <c r="L680" s="907"/>
      <c r="M680" s="907"/>
      <c r="N680" s="907"/>
      <c r="O680" s="907"/>
      <c r="P680" s="907"/>
      <c r="Q680" s="907"/>
      <c r="R680" s="907"/>
      <c r="S680" s="907"/>
      <c r="T680" s="907"/>
      <c r="U680" s="907"/>
      <c r="V680" s="907"/>
      <c r="W680" s="907"/>
      <c r="X680" s="907"/>
      <c r="Y680" s="907"/>
      <c r="Z680" s="907"/>
      <c r="AA680" s="907"/>
      <c r="AB680" s="907"/>
      <c r="AC680" s="907"/>
    </row>
    <row r="681" spans="1:29">
      <c r="A681" s="907"/>
      <c r="B681" s="907"/>
      <c r="C681" s="907"/>
      <c r="D681" s="907"/>
      <c r="E681" s="907"/>
      <c r="F681" s="907"/>
      <c r="G681" s="907"/>
      <c r="H681" s="907"/>
      <c r="I681" s="907"/>
      <c r="J681" s="907"/>
      <c r="K681" s="907"/>
      <c r="L681" s="907"/>
      <c r="M681" s="907"/>
      <c r="N681" s="907"/>
      <c r="O681" s="907"/>
      <c r="P681" s="907"/>
      <c r="Q681" s="907"/>
      <c r="R681" s="907"/>
      <c r="S681" s="907"/>
      <c r="T681" s="907"/>
      <c r="U681" s="907"/>
      <c r="V681" s="907"/>
      <c r="W681" s="907"/>
      <c r="X681" s="907"/>
      <c r="Y681" s="907"/>
      <c r="Z681" s="907"/>
      <c r="AA681" s="907"/>
      <c r="AB681" s="907"/>
      <c r="AC681" s="907"/>
    </row>
    <row r="682" spans="1:29">
      <c r="A682" s="907"/>
      <c r="B682" s="907"/>
      <c r="C682" s="907"/>
      <c r="D682" s="907"/>
      <c r="E682" s="907"/>
      <c r="F682" s="907"/>
      <c r="G682" s="907"/>
      <c r="H682" s="907"/>
      <c r="I682" s="907"/>
      <c r="J682" s="907"/>
      <c r="K682" s="907"/>
      <c r="L682" s="907"/>
      <c r="M682" s="907"/>
      <c r="N682" s="907"/>
      <c r="O682" s="907"/>
      <c r="P682" s="907"/>
      <c r="Q682" s="907"/>
      <c r="R682" s="907"/>
      <c r="S682" s="907"/>
      <c r="T682" s="907"/>
      <c r="U682" s="907"/>
      <c r="V682" s="907"/>
      <c r="W682" s="907"/>
      <c r="X682" s="907"/>
      <c r="Y682" s="907"/>
      <c r="Z682" s="907"/>
      <c r="AA682" s="907"/>
      <c r="AB682" s="907"/>
      <c r="AC682" s="907"/>
    </row>
    <row r="683" spans="1:29">
      <c r="A683" s="907"/>
      <c r="B683" s="907"/>
      <c r="C683" s="907"/>
      <c r="D683" s="907"/>
      <c r="E683" s="907"/>
      <c r="F683" s="907"/>
      <c r="G683" s="907"/>
      <c r="H683" s="907"/>
      <c r="I683" s="907"/>
      <c r="J683" s="907"/>
      <c r="K683" s="907"/>
      <c r="L683" s="907"/>
      <c r="M683" s="907"/>
      <c r="N683" s="907"/>
      <c r="O683" s="907"/>
      <c r="P683" s="907"/>
      <c r="Q683" s="907"/>
      <c r="R683" s="907"/>
      <c r="S683" s="907"/>
      <c r="T683" s="907"/>
      <c r="U683" s="907"/>
      <c r="V683" s="907"/>
      <c r="W683" s="907"/>
      <c r="X683" s="907"/>
      <c r="Y683" s="907"/>
      <c r="Z683" s="907"/>
      <c r="AA683" s="907"/>
      <c r="AB683" s="907"/>
      <c r="AC683" s="907"/>
    </row>
    <row r="684" spans="1:29">
      <c r="A684" s="907"/>
      <c r="B684" s="907"/>
      <c r="C684" s="907"/>
      <c r="D684" s="907"/>
      <c r="E684" s="907"/>
      <c r="F684" s="907"/>
      <c r="G684" s="907"/>
      <c r="H684" s="907"/>
      <c r="I684" s="907"/>
      <c r="J684" s="907"/>
      <c r="K684" s="907"/>
      <c r="L684" s="907"/>
      <c r="M684" s="907"/>
      <c r="N684" s="907"/>
      <c r="O684" s="907"/>
      <c r="P684" s="907"/>
      <c r="Q684" s="907"/>
      <c r="R684" s="907"/>
      <c r="S684" s="907"/>
      <c r="T684" s="907"/>
      <c r="U684" s="907"/>
      <c r="V684" s="907"/>
      <c r="W684" s="907"/>
      <c r="X684" s="907"/>
      <c r="Y684" s="907"/>
      <c r="Z684" s="907"/>
      <c r="AA684" s="907"/>
      <c r="AB684" s="907"/>
      <c r="AC684" s="907"/>
    </row>
    <row r="685" spans="1:29">
      <c r="A685" s="907"/>
      <c r="B685" s="907"/>
      <c r="C685" s="907"/>
      <c r="D685" s="907"/>
      <c r="E685" s="907"/>
      <c r="F685" s="907"/>
      <c r="G685" s="907"/>
      <c r="H685" s="907"/>
      <c r="I685" s="907"/>
      <c r="J685" s="907"/>
      <c r="K685" s="907"/>
      <c r="L685" s="907"/>
      <c r="M685" s="907"/>
      <c r="N685" s="907"/>
      <c r="O685" s="907"/>
      <c r="P685" s="907"/>
      <c r="Q685" s="907"/>
      <c r="R685" s="907"/>
      <c r="S685" s="907"/>
      <c r="T685" s="907"/>
      <c r="U685" s="907"/>
      <c r="V685" s="907"/>
      <c r="W685" s="907"/>
      <c r="X685" s="907"/>
      <c r="Y685" s="907"/>
      <c r="Z685" s="907"/>
      <c r="AA685" s="907"/>
      <c r="AB685" s="907"/>
      <c r="AC685" s="907"/>
    </row>
    <row r="686" spans="1:29">
      <c r="A686" s="907"/>
      <c r="B686" s="907"/>
      <c r="C686" s="907"/>
      <c r="D686" s="907"/>
      <c r="E686" s="907"/>
      <c r="F686" s="907"/>
      <c r="G686" s="907"/>
      <c r="H686" s="907"/>
      <c r="I686" s="907"/>
      <c r="J686" s="907"/>
      <c r="K686" s="907"/>
      <c r="L686" s="907"/>
      <c r="M686" s="907"/>
      <c r="N686" s="907"/>
      <c r="O686" s="907"/>
      <c r="P686" s="907"/>
      <c r="Q686" s="907"/>
      <c r="R686" s="907"/>
      <c r="S686" s="907"/>
      <c r="T686" s="907"/>
      <c r="U686" s="907"/>
      <c r="V686" s="907"/>
      <c r="W686" s="907"/>
      <c r="X686" s="907"/>
      <c r="Y686" s="907"/>
      <c r="Z686" s="907"/>
      <c r="AA686" s="907"/>
      <c r="AB686" s="907"/>
      <c r="AC686" s="907"/>
    </row>
    <row r="687" spans="1:29">
      <c r="A687" s="907"/>
      <c r="B687" s="907"/>
      <c r="C687" s="907"/>
      <c r="D687" s="907"/>
      <c r="E687" s="907"/>
      <c r="F687" s="907"/>
      <c r="G687" s="907"/>
      <c r="H687" s="907"/>
      <c r="I687" s="907"/>
      <c r="J687" s="907"/>
      <c r="K687" s="907"/>
      <c r="L687" s="907"/>
      <c r="M687" s="907"/>
      <c r="N687" s="907"/>
      <c r="O687" s="907"/>
      <c r="P687" s="907"/>
      <c r="Q687" s="907"/>
      <c r="R687" s="907"/>
      <c r="S687" s="907"/>
      <c r="T687" s="907"/>
      <c r="U687" s="907"/>
      <c r="V687" s="907"/>
      <c r="W687" s="907"/>
      <c r="X687" s="907"/>
      <c r="Y687" s="907"/>
      <c r="Z687" s="907"/>
      <c r="AA687" s="907"/>
      <c r="AB687" s="907"/>
      <c r="AC687" s="907"/>
    </row>
    <row r="688" spans="1:29">
      <c r="A688" s="907"/>
      <c r="B688" s="907"/>
      <c r="C688" s="907"/>
      <c r="D688" s="907"/>
      <c r="E688" s="907"/>
      <c r="F688" s="907"/>
      <c r="G688" s="907"/>
      <c r="H688" s="907"/>
      <c r="I688" s="907"/>
      <c r="J688" s="907"/>
      <c r="K688" s="907"/>
      <c r="L688" s="907"/>
      <c r="M688" s="907"/>
      <c r="N688" s="907"/>
      <c r="O688" s="907"/>
      <c r="P688" s="907"/>
      <c r="Q688" s="907"/>
      <c r="R688" s="907"/>
      <c r="S688" s="907"/>
      <c r="T688" s="907"/>
      <c r="U688" s="907"/>
      <c r="V688" s="907"/>
      <c r="W688" s="907"/>
      <c r="X688" s="907"/>
      <c r="Y688" s="907"/>
      <c r="Z688" s="907"/>
      <c r="AA688" s="907"/>
      <c r="AB688" s="907"/>
      <c r="AC688" s="907"/>
    </row>
    <row r="689" spans="1:29">
      <c r="A689" s="907"/>
      <c r="B689" s="907"/>
      <c r="C689" s="907"/>
      <c r="D689" s="907"/>
      <c r="E689" s="907"/>
      <c r="F689" s="907"/>
      <c r="G689" s="907"/>
      <c r="H689" s="907"/>
      <c r="I689" s="907"/>
      <c r="J689" s="907"/>
      <c r="K689" s="907"/>
      <c r="L689" s="907"/>
      <c r="M689" s="907"/>
      <c r="N689" s="907"/>
      <c r="O689" s="907"/>
      <c r="P689" s="907"/>
      <c r="Q689" s="907"/>
      <c r="R689" s="907"/>
      <c r="S689" s="907"/>
      <c r="T689" s="907"/>
      <c r="U689" s="907"/>
      <c r="V689" s="907"/>
      <c r="W689" s="907"/>
      <c r="X689" s="907"/>
      <c r="Y689" s="907"/>
      <c r="Z689" s="907"/>
      <c r="AA689" s="907"/>
      <c r="AB689" s="907"/>
      <c r="AC689" s="907"/>
    </row>
    <row r="690" spans="1:29">
      <c r="A690" s="907"/>
      <c r="B690" s="907"/>
      <c r="C690" s="907"/>
      <c r="D690" s="907"/>
      <c r="E690" s="907"/>
      <c r="F690" s="907"/>
      <c r="G690" s="907"/>
      <c r="H690" s="907"/>
      <c r="I690" s="907"/>
      <c r="J690" s="907"/>
      <c r="K690" s="907"/>
      <c r="L690" s="907"/>
      <c r="M690" s="907"/>
      <c r="N690" s="907"/>
      <c r="O690" s="907"/>
      <c r="P690" s="907"/>
      <c r="Q690" s="907"/>
      <c r="R690" s="907"/>
      <c r="S690" s="907"/>
      <c r="T690" s="907"/>
      <c r="U690" s="907"/>
      <c r="V690" s="907"/>
      <c r="W690" s="907"/>
      <c r="X690" s="907"/>
      <c r="Y690" s="907"/>
      <c r="Z690" s="907"/>
      <c r="AA690" s="907"/>
      <c r="AB690" s="907"/>
      <c r="AC690" s="907"/>
    </row>
    <row r="691" spans="1:29">
      <c r="A691" s="907"/>
      <c r="B691" s="907"/>
      <c r="C691" s="907"/>
      <c r="D691" s="907"/>
      <c r="E691" s="907"/>
      <c r="F691" s="907"/>
      <c r="G691" s="907"/>
      <c r="H691" s="907"/>
      <c r="I691" s="907"/>
      <c r="J691" s="907"/>
      <c r="K691" s="907"/>
      <c r="L691" s="907"/>
      <c r="M691" s="907"/>
      <c r="N691" s="907"/>
      <c r="O691" s="907"/>
      <c r="P691" s="907"/>
      <c r="Q691" s="907"/>
      <c r="R691" s="907"/>
      <c r="S691" s="907"/>
      <c r="T691" s="907"/>
      <c r="U691" s="907"/>
      <c r="V691" s="907"/>
      <c r="W691" s="907"/>
      <c r="X691" s="907"/>
      <c r="Y691" s="907"/>
      <c r="Z691" s="907"/>
      <c r="AA691" s="907"/>
      <c r="AB691" s="907"/>
      <c r="AC691" s="907"/>
    </row>
    <row r="692" spans="1:29">
      <c r="A692" s="907"/>
      <c r="B692" s="907"/>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c r="AB692" s="907"/>
      <c r="AC692" s="907"/>
    </row>
    <row r="693" spans="1:29">
      <c r="A693" s="907"/>
      <c r="B693" s="907"/>
      <c r="C693" s="907"/>
      <c r="D693" s="907"/>
      <c r="E693" s="907"/>
      <c r="F693" s="907"/>
      <c r="G693" s="907"/>
      <c r="H693" s="907"/>
      <c r="I693" s="907"/>
      <c r="J693" s="907"/>
      <c r="K693" s="907"/>
      <c r="L693" s="907"/>
      <c r="M693" s="907"/>
      <c r="N693" s="907"/>
      <c r="O693" s="907"/>
      <c r="P693" s="907"/>
      <c r="Q693" s="907"/>
      <c r="R693" s="907"/>
      <c r="S693" s="907"/>
      <c r="T693" s="907"/>
      <c r="U693" s="907"/>
      <c r="V693" s="907"/>
      <c r="W693" s="907"/>
      <c r="X693" s="907"/>
      <c r="Y693" s="907"/>
      <c r="Z693" s="907"/>
      <c r="AA693" s="907"/>
      <c r="AB693" s="907"/>
      <c r="AC693" s="907"/>
    </row>
    <row r="694" spans="1:29">
      <c r="A694" s="907"/>
      <c r="B694" s="907"/>
      <c r="C694" s="907"/>
      <c r="D694" s="907"/>
      <c r="E694" s="907"/>
      <c r="F694" s="907"/>
      <c r="G694" s="907"/>
      <c r="H694" s="907"/>
      <c r="I694" s="907"/>
      <c r="J694" s="907"/>
      <c r="K694" s="907"/>
      <c r="L694" s="907"/>
      <c r="M694" s="907"/>
      <c r="N694" s="907"/>
      <c r="O694" s="907"/>
      <c r="P694" s="907"/>
      <c r="Q694" s="907"/>
      <c r="R694" s="907"/>
      <c r="S694" s="907"/>
      <c r="T694" s="907"/>
      <c r="U694" s="907"/>
      <c r="V694" s="907"/>
      <c r="W694" s="907"/>
      <c r="X694" s="907"/>
      <c r="Y694" s="907"/>
      <c r="Z694" s="907"/>
      <c r="AA694" s="907"/>
      <c r="AB694" s="907"/>
      <c r="AC694" s="907"/>
    </row>
    <row r="695" spans="1:29">
      <c r="A695" s="907"/>
      <c r="B695" s="907"/>
      <c r="C695" s="907"/>
      <c r="D695" s="907"/>
      <c r="E695" s="907"/>
      <c r="F695" s="907"/>
      <c r="G695" s="907"/>
      <c r="H695" s="907"/>
      <c r="I695" s="907"/>
      <c r="J695" s="907"/>
      <c r="K695" s="907"/>
      <c r="L695" s="907"/>
      <c r="M695" s="907"/>
      <c r="N695" s="907"/>
      <c r="O695" s="907"/>
      <c r="P695" s="907"/>
      <c r="Q695" s="907"/>
      <c r="R695" s="907"/>
      <c r="S695" s="907"/>
      <c r="T695" s="907"/>
      <c r="U695" s="907"/>
      <c r="V695" s="907"/>
      <c r="W695" s="907"/>
      <c r="X695" s="907"/>
      <c r="Y695" s="907"/>
      <c r="Z695" s="907"/>
      <c r="AA695" s="907"/>
      <c r="AB695" s="907"/>
      <c r="AC695" s="907"/>
    </row>
    <row r="696" spans="1:29">
      <c r="A696" s="907"/>
      <c r="B696" s="907"/>
      <c r="C696" s="907"/>
      <c r="D696" s="907"/>
      <c r="E696" s="907"/>
      <c r="F696" s="907"/>
      <c r="G696" s="907"/>
      <c r="H696" s="907"/>
      <c r="I696" s="907"/>
      <c r="J696" s="907"/>
      <c r="K696" s="907"/>
      <c r="L696" s="907"/>
      <c r="M696" s="907"/>
      <c r="N696" s="907"/>
      <c r="O696" s="907"/>
      <c r="P696" s="907"/>
      <c r="Q696" s="907"/>
      <c r="R696" s="907"/>
      <c r="S696" s="907"/>
      <c r="T696" s="907"/>
      <c r="U696" s="907"/>
      <c r="V696" s="907"/>
      <c r="W696" s="907"/>
      <c r="X696" s="907"/>
      <c r="Y696" s="907"/>
      <c r="Z696" s="907"/>
      <c r="AA696" s="907"/>
      <c r="AB696" s="907"/>
      <c r="AC696" s="907"/>
    </row>
    <row r="697" spans="1:29">
      <c r="A697" s="907"/>
      <c r="B697" s="907"/>
      <c r="C697" s="907"/>
      <c r="D697" s="907"/>
      <c r="E697" s="907"/>
      <c r="F697" s="907"/>
      <c r="G697" s="907"/>
      <c r="H697" s="907"/>
      <c r="I697" s="907"/>
      <c r="J697" s="907"/>
      <c r="K697" s="907"/>
      <c r="L697" s="907"/>
      <c r="M697" s="907"/>
      <c r="N697" s="907"/>
      <c r="O697" s="907"/>
      <c r="P697" s="907"/>
      <c r="Q697" s="907"/>
      <c r="R697" s="907"/>
      <c r="S697" s="907"/>
      <c r="T697" s="907"/>
      <c r="U697" s="907"/>
      <c r="V697" s="907"/>
      <c r="W697" s="907"/>
      <c r="X697" s="907"/>
      <c r="Y697" s="907"/>
      <c r="Z697" s="907"/>
      <c r="AA697" s="907"/>
      <c r="AB697" s="907"/>
      <c r="AC697" s="907"/>
    </row>
    <row r="698" spans="1:29">
      <c r="A698" s="907"/>
      <c r="B698" s="907"/>
      <c r="C698" s="907"/>
      <c r="D698" s="907"/>
      <c r="E698" s="907"/>
      <c r="F698" s="907"/>
      <c r="G698" s="907"/>
      <c r="H698" s="907"/>
      <c r="I698" s="907"/>
      <c r="J698" s="907"/>
      <c r="K698" s="907"/>
      <c r="L698" s="907"/>
      <c r="M698" s="907"/>
      <c r="N698" s="907"/>
      <c r="O698" s="907"/>
      <c r="P698" s="907"/>
      <c r="Q698" s="907"/>
      <c r="R698" s="907"/>
      <c r="S698" s="907"/>
      <c r="T698" s="907"/>
      <c r="U698" s="907"/>
      <c r="V698" s="907"/>
      <c r="W698" s="907"/>
      <c r="X698" s="907"/>
      <c r="Y698" s="907"/>
      <c r="Z698" s="907"/>
      <c r="AA698" s="907"/>
      <c r="AB698" s="907"/>
      <c r="AC698" s="907"/>
    </row>
    <row r="699" spans="1:29">
      <c r="A699" s="907"/>
      <c r="B699" s="907"/>
      <c r="C699" s="907"/>
      <c r="D699" s="907"/>
      <c r="E699" s="907"/>
      <c r="F699" s="907"/>
      <c r="G699" s="907"/>
      <c r="H699" s="907"/>
      <c r="I699" s="907"/>
      <c r="J699" s="907"/>
      <c r="K699" s="907"/>
      <c r="L699" s="907"/>
      <c r="M699" s="907"/>
      <c r="N699" s="907"/>
      <c r="O699" s="907"/>
      <c r="P699" s="907"/>
      <c r="Q699" s="907"/>
      <c r="R699" s="907"/>
      <c r="S699" s="907"/>
      <c r="T699" s="907"/>
      <c r="U699" s="907"/>
      <c r="V699" s="907"/>
      <c r="W699" s="907"/>
      <c r="X699" s="907"/>
      <c r="Y699" s="907"/>
      <c r="Z699" s="907"/>
      <c r="AA699" s="907"/>
      <c r="AB699" s="907"/>
      <c r="AC699" s="907"/>
    </row>
    <row r="700" spans="1:29">
      <c r="A700" s="907"/>
      <c r="B700" s="907"/>
      <c r="C700" s="907"/>
      <c r="D700" s="907"/>
      <c r="E700" s="907"/>
      <c r="F700" s="907"/>
      <c r="G700" s="907"/>
      <c r="H700" s="907"/>
      <c r="I700" s="907"/>
      <c r="J700" s="907"/>
      <c r="K700" s="907"/>
      <c r="L700" s="907"/>
      <c r="M700" s="907"/>
      <c r="N700" s="907"/>
      <c r="O700" s="907"/>
      <c r="P700" s="907"/>
      <c r="Q700" s="907"/>
      <c r="R700" s="907"/>
      <c r="S700" s="907"/>
      <c r="T700" s="907"/>
      <c r="U700" s="907"/>
      <c r="V700" s="907"/>
      <c r="W700" s="907"/>
      <c r="X700" s="907"/>
      <c r="Y700" s="907"/>
      <c r="Z700" s="907"/>
      <c r="AA700" s="907"/>
      <c r="AB700" s="907"/>
      <c r="AC700" s="907"/>
    </row>
    <row r="701" spans="1:29">
      <c r="A701" s="907"/>
      <c r="B701" s="907"/>
      <c r="C701" s="907"/>
      <c r="D701" s="907"/>
      <c r="E701" s="907"/>
      <c r="F701" s="907"/>
      <c r="G701" s="907"/>
      <c r="H701" s="907"/>
      <c r="I701" s="907"/>
      <c r="J701" s="907"/>
      <c r="K701" s="907"/>
      <c r="L701" s="907"/>
      <c r="M701" s="907"/>
      <c r="N701" s="907"/>
      <c r="O701" s="907"/>
      <c r="P701" s="907"/>
      <c r="Q701" s="907"/>
      <c r="R701" s="907"/>
      <c r="S701" s="907"/>
      <c r="T701" s="907"/>
      <c r="U701" s="907"/>
      <c r="V701" s="907"/>
      <c r="W701" s="907"/>
      <c r="X701" s="907"/>
      <c r="Y701" s="907"/>
      <c r="Z701" s="907"/>
      <c r="AA701" s="907"/>
      <c r="AB701" s="907"/>
      <c r="AC701" s="907"/>
    </row>
    <row r="702" spans="1:29">
      <c r="A702" s="907"/>
      <c r="B702" s="907"/>
      <c r="C702" s="907"/>
      <c r="D702" s="907"/>
      <c r="E702" s="907"/>
      <c r="F702" s="907"/>
      <c r="G702" s="907"/>
      <c r="H702" s="907"/>
      <c r="I702" s="907"/>
      <c r="J702" s="907"/>
      <c r="K702" s="907"/>
      <c r="L702" s="907"/>
      <c r="M702" s="907"/>
      <c r="N702" s="907"/>
      <c r="O702" s="907"/>
      <c r="P702" s="907"/>
      <c r="Q702" s="907"/>
      <c r="R702" s="907"/>
      <c r="S702" s="907"/>
      <c r="T702" s="907"/>
      <c r="U702" s="907"/>
      <c r="V702" s="907"/>
      <c r="W702" s="907"/>
      <c r="X702" s="907"/>
      <c r="Y702" s="907"/>
      <c r="Z702" s="907"/>
      <c r="AA702" s="907"/>
      <c r="AB702" s="907"/>
      <c r="AC702" s="907"/>
    </row>
    <row r="703" spans="1:29">
      <c r="A703" s="907"/>
      <c r="B703" s="907"/>
      <c r="C703" s="907"/>
      <c r="D703" s="907"/>
      <c r="E703" s="907"/>
      <c r="F703" s="907"/>
      <c r="G703" s="907"/>
      <c r="H703" s="907"/>
      <c r="I703" s="907"/>
      <c r="J703" s="907"/>
      <c r="K703" s="907"/>
      <c r="L703" s="907"/>
      <c r="M703" s="907"/>
      <c r="N703" s="907"/>
      <c r="O703" s="907"/>
      <c r="P703" s="907"/>
      <c r="Q703" s="907"/>
      <c r="R703" s="907"/>
      <c r="S703" s="907"/>
      <c r="T703" s="907"/>
      <c r="U703" s="907"/>
      <c r="V703" s="907"/>
      <c r="W703" s="907"/>
      <c r="X703" s="907"/>
      <c r="Y703" s="907"/>
      <c r="Z703" s="907"/>
      <c r="AA703" s="907"/>
      <c r="AB703" s="907"/>
      <c r="AC703" s="907"/>
    </row>
    <row r="704" spans="1:29">
      <c r="A704" s="907"/>
      <c r="B704" s="907"/>
      <c r="C704" s="907"/>
      <c r="D704" s="907"/>
      <c r="E704" s="907"/>
      <c r="F704" s="907"/>
      <c r="G704" s="907"/>
      <c r="H704" s="907"/>
      <c r="I704" s="907"/>
      <c r="J704" s="907"/>
      <c r="K704" s="907"/>
      <c r="L704" s="907"/>
      <c r="M704" s="907"/>
      <c r="N704" s="907"/>
      <c r="O704" s="907"/>
      <c r="P704" s="907"/>
      <c r="Q704" s="907"/>
      <c r="R704" s="907"/>
      <c r="S704" s="907"/>
      <c r="T704" s="907"/>
      <c r="U704" s="907"/>
      <c r="V704" s="907"/>
      <c r="W704" s="907"/>
      <c r="X704" s="907"/>
      <c r="Y704" s="907"/>
      <c r="Z704" s="907"/>
      <c r="AA704" s="907"/>
      <c r="AB704" s="907"/>
      <c r="AC704" s="907"/>
    </row>
    <row r="705" spans="1:29">
      <c r="A705" s="907"/>
      <c r="B705" s="907"/>
      <c r="C705" s="907"/>
      <c r="D705" s="907"/>
      <c r="E705" s="907"/>
      <c r="F705" s="907"/>
      <c r="G705" s="907"/>
      <c r="H705" s="907"/>
      <c r="I705" s="907"/>
      <c r="J705" s="907"/>
      <c r="K705" s="907"/>
      <c r="L705" s="907"/>
      <c r="M705" s="907"/>
      <c r="N705" s="907"/>
      <c r="O705" s="907"/>
      <c r="P705" s="907"/>
      <c r="Q705" s="907"/>
      <c r="R705" s="907"/>
      <c r="S705" s="907"/>
      <c r="T705" s="907"/>
      <c r="U705" s="907"/>
      <c r="V705" s="907"/>
      <c r="W705" s="907"/>
      <c r="X705" s="907"/>
      <c r="Y705" s="907"/>
      <c r="Z705" s="907"/>
      <c r="AA705" s="907"/>
      <c r="AB705" s="907"/>
      <c r="AC705" s="907"/>
    </row>
    <row r="706" spans="1:29">
      <c r="A706" s="907"/>
      <c r="B706" s="907"/>
      <c r="C706" s="907"/>
      <c r="D706" s="907"/>
      <c r="E706" s="907"/>
      <c r="F706" s="907"/>
      <c r="G706" s="907"/>
      <c r="H706" s="907"/>
      <c r="I706" s="907"/>
      <c r="J706" s="907"/>
      <c r="K706" s="907"/>
      <c r="L706" s="907"/>
      <c r="M706" s="907"/>
      <c r="N706" s="907"/>
      <c r="O706" s="907"/>
      <c r="P706" s="907"/>
      <c r="Q706" s="907"/>
      <c r="R706" s="907"/>
      <c r="S706" s="907"/>
      <c r="T706" s="907"/>
      <c r="U706" s="907"/>
      <c r="V706" s="907"/>
      <c r="W706" s="907"/>
      <c r="X706" s="907"/>
      <c r="Y706" s="907"/>
      <c r="Z706" s="907"/>
      <c r="AA706" s="907"/>
      <c r="AB706" s="907"/>
      <c r="AC706" s="907"/>
    </row>
    <row r="707" spans="1:29">
      <c r="A707" s="907"/>
      <c r="B707" s="907"/>
      <c r="C707" s="907"/>
      <c r="D707" s="907"/>
      <c r="E707" s="907"/>
      <c r="F707" s="907"/>
      <c r="G707" s="907"/>
      <c r="H707" s="907"/>
      <c r="I707" s="907"/>
      <c r="J707" s="907"/>
      <c r="K707" s="907"/>
      <c r="L707" s="907"/>
      <c r="M707" s="907"/>
      <c r="N707" s="907"/>
      <c r="O707" s="907"/>
      <c r="P707" s="907"/>
      <c r="Q707" s="907"/>
      <c r="R707" s="907"/>
      <c r="S707" s="907"/>
      <c r="T707" s="907"/>
      <c r="U707" s="907"/>
      <c r="V707" s="907"/>
      <c r="W707" s="907"/>
      <c r="X707" s="907"/>
      <c r="Y707" s="907"/>
      <c r="Z707" s="907"/>
      <c r="AA707" s="907"/>
      <c r="AB707" s="907"/>
      <c r="AC707" s="907"/>
    </row>
    <row r="708" spans="1:29">
      <c r="A708" s="907"/>
      <c r="B708" s="907"/>
      <c r="C708" s="907"/>
      <c r="D708" s="907"/>
      <c r="E708" s="907"/>
      <c r="F708" s="907"/>
      <c r="G708" s="907"/>
      <c r="H708" s="907"/>
      <c r="I708" s="907"/>
      <c r="J708" s="907"/>
      <c r="K708" s="907"/>
      <c r="L708" s="907"/>
      <c r="M708" s="907"/>
      <c r="N708" s="907"/>
      <c r="O708" s="907"/>
      <c r="P708" s="907"/>
      <c r="Q708" s="907"/>
      <c r="R708" s="907"/>
      <c r="S708" s="907"/>
      <c r="T708" s="907"/>
      <c r="U708" s="907"/>
      <c r="V708" s="907"/>
      <c r="W708" s="907"/>
      <c r="X708" s="907"/>
      <c r="Y708" s="907"/>
      <c r="Z708" s="907"/>
      <c r="AA708" s="907"/>
      <c r="AB708" s="907"/>
      <c r="AC708" s="907"/>
    </row>
    <row r="709" spans="1:29">
      <c r="A709" s="907"/>
      <c r="B709" s="907"/>
      <c r="C709" s="907"/>
      <c r="D709" s="907"/>
      <c r="E709" s="907"/>
      <c r="F709" s="907"/>
      <c r="G709" s="907"/>
      <c r="H709" s="907"/>
      <c r="I709" s="907"/>
      <c r="J709" s="907"/>
      <c r="K709" s="907"/>
      <c r="L709" s="907"/>
      <c r="M709" s="907"/>
      <c r="N709" s="907"/>
      <c r="O709" s="907"/>
      <c r="P709" s="907"/>
      <c r="Q709" s="907"/>
      <c r="R709" s="907"/>
      <c r="S709" s="907"/>
      <c r="T709" s="907"/>
      <c r="U709" s="907"/>
      <c r="V709" s="907"/>
      <c r="W709" s="907"/>
      <c r="X709" s="907"/>
      <c r="Y709" s="907"/>
      <c r="Z709" s="907"/>
      <c r="AA709" s="907"/>
      <c r="AB709" s="907"/>
      <c r="AC709" s="907"/>
    </row>
    <row r="710" spans="1:29">
      <c r="A710" s="907"/>
      <c r="B710" s="907"/>
      <c r="C710" s="907"/>
      <c r="D710" s="907"/>
      <c r="E710" s="907"/>
      <c r="F710" s="907"/>
      <c r="G710" s="907"/>
      <c r="H710" s="907"/>
      <c r="I710" s="907"/>
      <c r="J710" s="907"/>
      <c r="K710" s="907"/>
      <c r="L710" s="907"/>
      <c r="M710" s="907"/>
      <c r="N710" s="907"/>
      <c r="O710" s="907"/>
      <c r="P710" s="907"/>
      <c r="Q710" s="907"/>
      <c r="R710" s="907"/>
      <c r="S710" s="907"/>
      <c r="T710" s="907"/>
      <c r="U710" s="907"/>
      <c r="V710" s="907"/>
      <c r="W710" s="907"/>
      <c r="X710" s="907"/>
      <c r="Y710" s="907"/>
      <c r="Z710" s="907"/>
      <c r="AA710" s="907"/>
      <c r="AB710" s="907"/>
      <c r="AC710" s="907"/>
    </row>
    <row r="711" spans="1:29">
      <c r="A711" s="907"/>
      <c r="B711" s="907"/>
      <c r="C711" s="907"/>
      <c r="D711" s="907"/>
      <c r="E711" s="907"/>
      <c r="F711" s="907"/>
      <c r="G711" s="907"/>
      <c r="H711" s="907"/>
      <c r="I711" s="907"/>
      <c r="J711" s="907"/>
      <c r="K711" s="907"/>
      <c r="L711" s="907"/>
      <c r="M711" s="907"/>
      <c r="N711" s="907"/>
      <c r="O711" s="907"/>
      <c r="P711" s="907"/>
      <c r="Q711" s="907"/>
      <c r="R711" s="907"/>
      <c r="S711" s="907"/>
      <c r="T711" s="907"/>
      <c r="U711" s="907"/>
      <c r="V711" s="907"/>
      <c r="W711" s="907"/>
      <c r="X711" s="907"/>
      <c r="Y711" s="907"/>
      <c r="Z711" s="907"/>
      <c r="AA711" s="907"/>
      <c r="AB711" s="907"/>
      <c r="AC711" s="907"/>
    </row>
    <row r="712" spans="1:29">
      <c r="A712" s="907"/>
      <c r="B712" s="907"/>
      <c r="C712" s="907"/>
      <c r="D712" s="907"/>
      <c r="E712" s="907"/>
      <c r="F712" s="907"/>
      <c r="G712" s="907"/>
      <c r="H712" s="907"/>
      <c r="I712" s="907"/>
      <c r="J712" s="907"/>
      <c r="K712" s="907"/>
      <c r="L712" s="907"/>
      <c r="M712" s="907"/>
      <c r="N712" s="907"/>
      <c r="O712" s="907"/>
      <c r="P712" s="907"/>
      <c r="Q712" s="907"/>
      <c r="R712" s="907"/>
      <c r="S712" s="907"/>
      <c r="T712" s="907"/>
      <c r="U712" s="907"/>
      <c r="V712" s="907"/>
      <c r="W712" s="907"/>
      <c r="X712" s="907"/>
      <c r="Y712" s="907"/>
      <c r="Z712" s="907"/>
      <c r="AA712" s="907"/>
      <c r="AB712" s="907"/>
      <c r="AC712" s="907"/>
    </row>
    <row r="713" spans="1:29">
      <c r="A713" s="907"/>
      <c r="B713" s="907"/>
      <c r="C713" s="907"/>
      <c r="D713" s="907"/>
      <c r="E713" s="907"/>
      <c r="F713" s="907"/>
      <c r="G713" s="907"/>
      <c r="H713" s="907"/>
      <c r="I713" s="907"/>
      <c r="J713" s="907"/>
      <c r="K713" s="907"/>
      <c r="L713" s="907"/>
      <c r="M713" s="907"/>
      <c r="N713" s="907"/>
      <c r="O713" s="907"/>
      <c r="P713" s="907"/>
      <c r="Q713" s="907"/>
      <c r="R713" s="907"/>
      <c r="S713" s="907"/>
      <c r="T713" s="907"/>
      <c r="U713" s="907"/>
      <c r="V713" s="907"/>
      <c r="W713" s="907"/>
      <c r="X713" s="907"/>
      <c r="Y713" s="907"/>
      <c r="Z713" s="907"/>
      <c r="AA713" s="907"/>
      <c r="AB713" s="907"/>
      <c r="AC713" s="907"/>
    </row>
    <row r="714" spans="1:29">
      <c r="A714" s="907"/>
      <c r="B714" s="907"/>
      <c r="C714" s="907"/>
      <c r="D714" s="907"/>
      <c r="E714" s="907"/>
      <c r="F714" s="907"/>
      <c r="G714" s="907"/>
      <c r="H714" s="907"/>
      <c r="I714" s="907"/>
      <c r="J714" s="907"/>
      <c r="K714" s="907"/>
      <c r="L714" s="907"/>
      <c r="M714" s="907"/>
      <c r="N714" s="907"/>
      <c r="O714" s="907"/>
      <c r="P714" s="907"/>
      <c r="Q714" s="907"/>
      <c r="R714" s="907"/>
      <c r="S714" s="907"/>
      <c r="T714" s="907"/>
      <c r="U714" s="907"/>
      <c r="V714" s="907"/>
      <c r="W714" s="907"/>
      <c r="X714" s="907"/>
      <c r="Y714" s="907"/>
      <c r="Z714" s="907"/>
      <c r="AA714" s="907"/>
      <c r="AB714" s="907"/>
      <c r="AC714" s="907"/>
    </row>
    <row r="715" spans="1:29">
      <c r="A715" s="907"/>
      <c r="B715" s="907"/>
      <c r="C715" s="907"/>
      <c r="D715" s="907"/>
      <c r="E715" s="907"/>
      <c r="F715" s="907"/>
      <c r="G715" s="907"/>
      <c r="H715" s="907"/>
      <c r="I715" s="907"/>
      <c r="J715" s="907"/>
      <c r="K715" s="907"/>
      <c r="L715" s="907"/>
      <c r="M715" s="907"/>
      <c r="N715" s="907"/>
      <c r="O715" s="907"/>
      <c r="P715" s="907"/>
      <c r="Q715" s="907"/>
      <c r="R715" s="907"/>
      <c r="S715" s="907"/>
      <c r="T715" s="907"/>
      <c r="U715" s="907"/>
      <c r="V715" s="907"/>
      <c r="W715" s="907"/>
      <c r="X715" s="907"/>
      <c r="Y715" s="907"/>
      <c r="Z715" s="907"/>
      <c r="AA715" s="907"/>
      <c r="AB715" s="907"/>
      <c r="AC715" s="907"/>
    </row>
    <row r="716" spans="1:29">
      <c r="A716" s="907"/>
      <c r="B716" s="907"/>
      <c r="C716" s="907"/>
      <c r="D716" s="907"/>
      <c r="E716" s="907"/>
      <c r="F716" s="907"/>
      <c r="G716" s="907"/>
      <c r="H716" s="907"/>
      <c r="I716" s="907"/>
      <c r="J716" s="907"/>
      <c r="K716" s="907"/>
      <c r="L716" s="907"/>
      <c r="M716" s="907"/>
      <c r="N716" s="907"/>
      <c r="O716" s="907"/>
      <c r="P716" s="907"/>
      <c r="Q716" s="907"/>
      <c r="R716" s="907"/>
      <c r="S716" s="907"/>
      <c r="T716" s="907"/>
      <c r="U716" s="907"/>
      <c r="V716" s="907"/>
      <c r="W716" s="907"/>
      <c r="X716" s="907"/>
      <c r="Y716" s="907"/>
      <c r="Z716" s="907"/>
      <c r="AA716" s="907"/>
      <c r="AB716" s="907"/>
      <c r="AC716" s="907"/>
    </row>
    <row r="717" spans="1:29">
      <c r="A717" s="907"/>
      <c r="B717" s="907"/>
      <c r="C717" s="907"/>
      <c r="D717" s="907"/>
      <c r="E717" s="907"/>
      <c r="F717" s="907"/>
      <c r="G717" s="907"/>
      <c r="H717" s="907"/>
      <c r="I717" s="907"/>
      <c r="J717" s="907"/>
      <c r="K717" s="907"/>
      <c r="L717" s="907"/>
      <c r="M717" s="907"/>
      <c r="N717" s="907"/>
      <c r="O717" s="907"/>
      <c r="P717" s="907"/>
      <c r="Q717" s="907"/>
      <c r="R717" s="907"/>
      <c r="S717" s="907"/>
      <c r="T717" s="907"/>
      <c r="U717" s="907"/>
      <c r="V717" s="907"/>
      <c r="W717" s="907"/>
      <c r="X717" s="907"/>
      <c r="Y717" s="907"/>
      <c r="Z717" s="907"/>
      <c r="AA717" s="907"/>
      <c r="AB717" s="907"/>
      <c r="AC717" s="907"/>
    </row>
    <row r="718" spans="1:29">
      <c r="A718" s="907"/>
      <c r="B718" s="907"/>
      <c r="C718" s="907"/>
      <c r="D718" s="907"/>
      <c r="E718" s="907"/>
      <c r="F718" s="907"/>
      <c r="G718" s="907"/>
      <c r="H718" s="907"/>
      <c r="I718" s="907"/>
      <c r="J718" s="907"/>
      <c r="K718" s="907"/>
      <c r="L718" s="907"/>
      <c r="M718" s="907"/>
      <c r="N718" s="907"/>
      <c r="O718" s="907"/>
      <c r="P718" s="907"/>
      <c r="Q718" s="907"/>
      <c r="R718" s="907"/>
      <c r="S718" s="907"/>
      <c r="T718" s="907"/>
      <c r="U718" s="907"/>
      <c r="V718" s="907"/>
      <c r="W718" s="907"/>
      <c r="X718" s="907"/>
      <c r="Y718" s="907"/>
      <c r="Z718" s="907"/>
      <c r="AA718" s="907"/>
      <c r="AB718" s="907"/>
      <c r="AC718" s="907"/>
    </row>
    <row r="719" spans="1:29">
      <c r="A719" s="907"/>
      <c r="B719" s="907"/>
      <c r="C719" s="907"/>
      <c r="D719" s="907"/>
      <c r="E719" s="907"/>
      <c r="F719" s="907"/>
      <c r="G719" s="907"/>
      <c r="H719" s="907"/>
      <c r="I719" s="907"/>
      <c r="J719" s="907"/>
      <c r="K719" s="907"/>
      <c r="L719" s="907"/>
      <c r="M719" s="907"/>
      <c r="N719" s="907"/>
      <c r="O719" s="907"/>
      <c r="P719" s="907"/>
      <c r="Q719" s="907"/>
      <c r="R719" s="907"/>
      <c r="S719" s="907"/>
      <c r="T719" s="907"/>
      <c r="U719" s="907"/>
      <c r="V719" s="907"/>
      <c r="W719" s="907"/>
      <c r="X719" s="907"/>
      <c r="Y719" s="907"/>
      <c r="Z719" s="907"/>
      <c r="AA719" s="907"/>
      <c r="AB719" s="907"/>
      <c r="AC719" s="907"/>
    </row>
    <row r="720" spans="1:29">
      <c r="A720" s="907"/>
      <c r="B720" s="907"/>
      <c r="C720" s="907"/>
      <c r="D720" s="907"/>
      <c r="E720" s="907"/>
      <c r="F720" s="907"/>
      <c r="G720" s="907"/>
      <c r="H720" s="907"/>
      <c r="I720" s="907"/>
      <c r="J720" s="907"/>
      <c r="K720" s="907"/>
      <c r="L720" s="907"/>
      <c r="M720" s="907"/>
      <c r="N720" s="907"/>
      <c r="O720" s="907"/>
      <c r="P720" s="907"/>
      <c r="Q720" s="907"/>
      <c r="R720" s="907"/>
      <c r="S720" s="907"/>
      <c r="T720" s="907"/>
      <c r="U720" s="907"/>
      <c r="V720" s="907"/>
      <c r="W720" s="907"/>
      <c r="X720" s="907"/>
      <c r="Y720" s="907"/>
      <c r="Z720" s="907"/>
      <c r="AA720" s="907"/>
      <c r="AB720" s="907"/>
      <c r="AC720" s="907"/>
    </row>
    <row r="721" spans="1:29">
      <c r="A721" s="907"/>
      <c r="B721" s="907"/>
      <c r="C721" s="907"/>
      <c r="D721" s="907"/>
      <c r="E721" s="907"/>
      <c r="F721" s="907"/>
      <c r="G721" s="907"/>
      <c r="H721" s="907"/>
      <c r="I721" s="907"/>
      <c r="J721" s="907"/>
      <c r="K721" s="907"/>
      <c r="L721" s="907"/>
      <c r="M721" s="907"/>
      <c r="N721" s="907"/>
      <c r="O721" s="907"/>
      <c r="P721" s="907"/>
      <c r="Q721" s="907"/>
      <c r="R721" s="907"/>
      <c r="S721" s="907"/>
      <c r="T721" s="907"/>
      <c r="U721" s="907"/>
      <c r="V721" s="907"/>
      <c r="W721" s="907"/>
      <c r="X721" s="907"/>
      <c r="Y721" s="907"/>
      <c r="Z721" s="907"/>
      <c r="AA721" s="907"/>
      <c r="AB721" s="907"/>
      <c r="AC721" s="907"/>
    </row>
    <row r="722" spans="1:29">
      <c r="A722" s="907"/>
      <c r="B722" s="907"/>
      <c r="C722" s="907"/>
      <c r="D722" s="907"/>
      <c r="E722" s="907"/>
      <c r="F722" s="907"/>
      <c r="G722" s="907"/>
      <c r="H722" s="907"/>
      <c r="I722" s="907"/>
      <c r="J722" s="907"/>
      <c r="K722" s="907"/>
      <c r="L722" s="907"/>
      <c r="M722" s="907"/>
      <c r="N722" s="907"/>
      <c r="O722" s="907"/>
      <c r="P722" s="907"/>
      <c r="Q722" s="907"/>
      <c r="R722" s="907"/>
      <c r="S722" s="907"/>
      <c r="T722" s="907"/>
      <c r="U722" s="907"/>
      <c r="V722" s="907"/>
      <c r="W722" s="907"/>
      <c r="X722" s="907"/>
      <c r="Y722" s="907"/>
      <c r="Z722" s="907"/>
      <c r="AA722" s="907"/>
      <c r="AB722" s="907"/>
      <c r="AC722" s="907"/>
    </row>
    <row r="723" spans="1:29">
      <c r="A723" s="907"/>
      <c r="B723" s="907"/>
      <c r="C723" s="907"/>
      <c r="D723" s="907"/>
      <c r="E723" s="907"/>
      <c r="F723" s="907"/>
      <c r="G723" s="907"/>
      <c r="H723" s="907"/>
      <c r="I723" s="907"/>
      <c r="J723" s="907"/>
      <c r="K723" s="907"/>
      <c r="L723" s="907"/>
      <c r="M723" s="907"/>
      <c r="N723" s="907"/>
      <c r="O723" s="907"/>
      <c r="P723" s="907"/>
      <c r="Q723" s="907"/>
      <c r="R723" s="907"/>
      <c r="S723" s="907"/>
      <c r="T723" s="907"/>
      <c r="U723" s="907"/>
      <c r="V723" s="907"/>
      <c r="W723" s="907"/>
      <c r="X723" s="907"/>
      <c r="Y723" s="907"/>
      <c r="Z723" s="907"/>
      <c r="AA723" s="907"/>
      <c r="AB723" s="907"/>
      <c r="AC723" s="907"/>
    </row>
    <row r="724" spans="1:29">
      <c r="A724" s="907"/>
      <c r="B724" s="907"/>
      <c r="C724" s="907"/>
      <c r="D724" s="907"/>
      <c r="E724" s="907"/>
      <c r="F724" s="907"/>
      <c r="G724" s="907"/>
      <c r="H724" s="907"/>
      <c r="I724" s="907"/>
      <c r="J724" s="907"/>
      <c r="K724" s="907"/>
      <c r="L724" s="907"/>
      <c r="M724" s="907"/>
      <c r="N724" s="907"/>
      <c r="O724" s="907"/>
      <c r="P724" s="907"/>
      <c r="Q724" s="907"/>
      <c r="R724" s="907"/>
      <c r="S724" s="907"/>
      <c r="T724" s="907"/>
      <c r="U724" s="907"/>
      <c r="V724" s="907"/>
      <c r="W724" s="907"/>
      <c r="X724" s="907"/>
      <c r="Y724" s="907"/>
      <c r="Z724" s="907"/>
      <c r="AA724" s="907"/>
      <c r="AB724" s="907"/>
      <c r="AC724" s="907"/>
    </row>
    <row r="725" spans="1:29">
      <c r="A725" s="907"/>
      <c r="B725" s="907"/>
      <c r="C725" s="907"/>
      <c r="D725" s="907"/>
      <c r="E725" s="907"/>
      <c r="F725" s="907"/>
      <c r="G725" s="907"/>
      <c r="H725" s="907"/>
      <c r="I725" s="907"/>
      <c r="J725" s="907"/>
      <c r="K725" s="907"/>
      <c r="L725" s="907"/>
      <c r="M725" s="907"/>
      <c r="N725" s="907"/>
      <c r="O725" s="907"/>
      <c r="P725" s="907"/>
      <c r="Q725" s="907"/>
      <c r="R725" s="907"/>
      <c r="S725" s="907"/>
      <c r="T725" s="907"/>
      <c r="U725" s="907"/>
      <c r="V725" s="907"/>
      <c r="W725" s="907"/>
      <c r="X725" s="907"/>
      <c r="Y725" s="907"/>
      <c r="Z725" s="907"/>
      <c r="AA725" s="907"/>
      <c r="AB725" s="907"/>
      <c r="AC725" s="907"/>
    </row>
    <row r="726" spans="1:29">
      <c r="A726" s="907"/>
      <c r="B726" s="907"/>
      <c r="C726" s="907"/>
      <c r="D726" s="907"/>
      <c r="E726" s="907"/>
      <c r="F726" s="907"/>
      <c r="G726" s="907"/>
      <c r="H726" s="907"/>
      <c r="I726" s="907"/>
      <c r="J726" s="907"/>
      <c r="K726" s="907"/>
      <c r="L726" s="907"/>
      <c r="M726" s="907"/>
      <c r="N726" s="907"/>
      <c r="O726" s="907"/>
      <c r="P726" s="907"/>
      <c r="Q726" s="907"/>
      <c r="R726" s="907"/>
      <c r="S726" s="907"/>
      <c r="T726" s="907"/>
      <c r="U726" s="907"/>
      <c r="V726" s="907"/>
      <c r="W726" s="907"/>
      <c r="X726" s="907"/>
      <c r="Y726" s="907"/>
      <c r="Z726" s="907"/>
      <c r="AA726" s="907"/>
      <c r="AB726" s="907"/>
      <c r="AC726" s="907"/>
    </row>
    <row r="727" spans="1:29">
      <c r="A727" s="907"/>
      <c r="B727" s="907"/>
      <c r="C727" s="907"/>
      <c r="D727" s="907"/>
      <c r="E727" s="907"/>
      <c r="F727" s="907"/>
      <c r="G727" s="907"/>
      <c r="H727" s="907"/>
      <c r="I727" s="907"/>
      <c r="J727" s="907"/>
      <c r="K727" s="907"/>
      <c r="L727" s="907"/>
      <c r="M727" s="907"/>
      <c r="N727" s="907"/>
      <c r="O727" s="907"/>
      <c r="P727" s="907"/>
      <c r="Q727" s="907"/>
      <c r="R727" s="907"/>
      <c r="S727" s="907"/>
      <c r="T727" s="907"/>
      <c r="U727" s="907"/>
      <c r="V727" s="907"/>
      <c r="W727" s="907"/>
      <c r="X727" s="907"/>
      <c r="Y727" s="907"/>
      <c r="Z727" s="907"/>
      <c r="AA727" s="907"/>
      <c r="AB727" s="907"/>
      <c r="AC727" s="907"/>
    </row>
    <row r="728" spans="1:29">
      <c r="A728" s="907"/>
      <c r="B728" s="907"/>
      <c r="C728" s="907"/>
      <c r="D728" s="907"/>
      <c r="E728" s="907"/>
      <c r="F728" s="907"/>
      <c r="G728" s="907"/>
      <c r="H728" s="907"/>
      <c r="I728" s="907"/>
      <c r="J728" s="907"/>
      <c r="K728" s="907"/>
      <c r="L728" s="907"/>
      <c r="M728" s="907"/>
      <c r="N728" s="907"/>
      <c r="O728" s="907"/>
      <c r="P728" s="907"/>
      <c r="Q728" s="907"/>
      <c r="R728" s="907"/>
      <c r="S728" s="907"/>
      <c r="T728" s="907"/>
      <c r="U728" s="907"/>
      <c r="V728" s="907"/>
      <c r="W728" s="907"/>
      <c r="X728" s="907"/>
      <c r="Y728" s="907"/>
      <c r="Z728" s="907"/>
      <c r="AA728" s="907"/>
      <c r="AB728" s="907"/>
      <c r="AC728" s="907"/>
    </row>
    <row r="729" spans="1:29">
      <c r="A729" s="907"/>
      <c r="B729" s="907"/>
      <c r="C729" s="907"/>
      <c r="D729" s="907"/>
      <c r="E729" s="907"/>
      <c r="F729" s="907"/>
      <c r="G729" s="907"/>
      <c r="H729" s="907"/>
      <c r="I729" s="907"/>
      <c r="J729" s="907"/>
      <c r="K729" s="907"/>
      <c r="L729" s="907"/>
      <c r="M729" s="907"/>
      <c r="N729" s="907"/>
      <c r="O729" s="907"/>
      <c r="P729" s="907"/>
      <c r="Q729" s="907"/>
      <c r="R729" s="907"/>
      <c r="S729" s="907"/>
      <c r="T729" s="907"/>
      <c r="U729" s="907"/>
      <c r="V729" s="907"/>
      <c r="W729" s="907"/>
      <c r="X729" s="907"/>
      <c r="Y729" s="907"/>
      <c r="Z729" s="907"/>
      <c r="AA729" s="907"/>
      <c r="AB729" s="907"/>
      <c r="AC729" s="907"/>
    </row>
    <row r="730" spans="1:29">
      <c r="A730" s="907"/>
      <c r="B730" s="907"/>
      <c r="C730" s="907"/>
      <c r="D730" s="907"/>
      <c r="E730" s="907"/>
      <c r="F730" s="907"/>
      <c r="G730" s="907"/>
      <c r="H730" s="907"/>
      <c r="I730" s="907"/>
      <c r="J730" s="907"/>
      <c r="K730" s="907"/>
      <c r="L730" s="907"/>
      <c r="M730" s="907"/>
      <c r="N730" s="907"/>
      <c r="O730" s="907"/>
      <c r="P730" s="907"/>
      <c r="Q730" s="907"/>
      <c r="R730" s="907"/>
      <c r="S730" s="907"/>
      <c r="T730" s="907"/>
      <c r="U730" s="907"/>
      <c r="V730" s="907"/>
      <c r="W730" s="907"/>
      <c r="X730" s="907"/>
      <c r="Y730" s="907"/>
      <c r="Z730" s="907"/>
      <c r="AA730" s="907"/>
      <c r="AB730" s="907"/>
      <c r="AC730" s="907"/>
    </row>
    <row r="731" spans="1:29">
      <c r="A731" s="907"/>
      <c r="B731" s="907"/>
      <c r="C731" s="907"/>
      <c r="D731" s="907"/>
      <c r="E731" s="907"/>
      <c r="F731" s="907"/>
      <c r="G731" s="907"/>
      <c r="H731" s="907"/>
      <c r="I731" s="907"/>
      <c r="J731" s="907"/>
      <c r="K731" s="907"/>
      <c r="L731" s="907"/>
      <c r="M731" s="907"/>
      <c r="N731" s="907"/>
      <c r="O731" s="907"/>
      <c r="P731" s="907"/>
      <c r="Q731" s="907"/>
      <c r="R731" s="907"/>
      <c r="S731" s="907"/>
      <c r="T731" s="907"/>
      <c r="U731" s="907"/>
      <c r="V731" s="907"/>
      <c r="W731" s="907"/>
      <c r="X731" s="907"/>
      <c r="Y731" s="907"/>
      <c r="Z731" s="907"/>
      <c r="AA731" s="907"/>
      <c r="AB731" s="907"/>
      <c r="AC731" s="907"/>
    </row>
    <row r="732" spans="1:29">
      <c r="A732" s="907"/>
      <c r="B732" s="907"/>
      <c r="C732" s="907"/>
      <c r="D732" s="907"/>
      <c r="E732" s="907"/>
      <c r="F732" s="907"/>
      <c r="G732" s="907"/>
      <c r="H732" s="907"/>
      <c r="I732" s="907"/>
      <c r="J732" s="907"/>
      <c r="K732" s="907"/>
      <c r="L732" s="907"/>
      <c r="M732" s="907"/>
      <c r="N732" s="907"/>
      <c r="O732" s="907"/>
      <c r="P732" s="907"/>
      <c r="Q732" s="907"/>
      <c r="R732" s="907"/>
      <c r="S732" s="907"/>
      <c r="T732" s="907"/>
      <c r="U732" s="907"/>
      <c r="V732" s="907"/>
      <c r="W732" s="907"/>
      <c r="X732" s="907"/>
      <c r="Y732" s="907"/>
      <c r="Z732" s="907"/>
      <c r="AA732" s="907"/>
      <c r="AB732" s="907"/>
      <c r="AC732" s="907"/>
    </row>
    <row r="733" spans="1:29">
      <c r="A733" s="907"/>
      <c r="B733" s="907"/>
      <c r="C733" s="907"/>
      <c r="D733" s="907"/>
      <c r="E733" s="907"/>
      <c r="F733" s="907"/>
      <c r="G733" s="907"/>
      <c r="H733" s="907"/>
      <c r="I733" s="907"/>
      <c r="J733" s="907"/>
      <c r="K733" s="907"/>
      <c r="L733" s="907"/>
      <c r="M733" s="907"/>
      <c r="N733" s="907"/>
      <c r="O733" s="907"/>
      <c r="P733" s="907"/>
      <c r="Q733" s="907"/>
      <c r="R733" s="907"/>
      <c r="S733" s="907"/>
      <c r="T733" s="907"/>
      <c r="U733" s="907"/>
      <c r="V733" s="907"/>
      <c r="W733" s="907"/>
      <c r="X733" s="907"/>
      <c r="Y733" s="907"/>
      <c r="Z733" s="907"/>
      <c r="AA733" s="907"/>
      <c r="AB733" s="907"/>
      <c r="AC733" s="907"/>
    </row>
    <row r="734" spans="1:29">
      <c r="A734" s="907"/>
      <c r="B734" s="907"/>
      <c r="C734" s="907"/>
      <c r="D734" s="907"/>
      <c r="E734" s="907"/>
      <c r="F734" s="907"/>
      <c r="G734" s="907"/>
      <c r="H734" s="907"/>
      <c r="I734" s="907"/>
      <c r="J734" s="907"/>
      <c r="K734" s="907"/>
      <c r="L734" s="907"/>
      <c r="M734" s="907"/>
      <c r="N734" s="907"/>
      <c r="O734" s="907"/>
      <c r="P734" s="907"/>
      <c r="Q734" s="907"/>
      <c r="R734" s="907"/>
      <c r="S734" s="907"/>
      <c r="T734" s="907"/>
      <c r="U734" s="907"/>
      <c r="V734" s="907"/>
      <c r="W734" s="907"/>
      <c r="X734" s="907"/>
      <c r="Y734" s="907"/>
      <c r="Z734" s="907"/>
      <c r="AA734" s="907"/>
      <c r="AB734" s="907"/>
      <c r="AC734" s="907"/>
    </row>
    <row r="735" spans="1:29">
      <c r="A735" s="907"/>
      <c r="B735" s="907"/>
      <c r="C735" s="907"/>
      <c r="D735" s="907"/>
      <c r="E735" s="907"/>
      <c r="F735" s="907"/>
      <c r="G735" s="907"/>
      <c r="H735" s="907"/>
      <c r="I735" s="907"/>
      <c r="J735" s="907"/>
      <c r="K735" s="907"/>
      <c r="L735" s="907"/>
      <c r="M735" s="907"/>
      <c r="N735" s="907"/>
      <c r="O735" s="907"/>
      <c r="P735" s="907"/>
      <c r="Q735" s="907"/>
      <c r="R735" s="907"/>
      <c r="S735" s="907"/>
      <c r="T735" s="907"/>
      <c r="U735" s="907"/>
      <c r="V735" s="907"/>
      <c r="W735" s="907"/>
      <c r="X735" s="907"/>
      <c r="Y735" s="907"/>
      <c r="Z735" s="907"/>
      <c r="AA735" s="907"/>
      <c r="AB735" s="907"/>
      <c r="AC735" s="907"/>
    </row>
    <row r="736" spans="1:29">
      <c r="A736" s="907"/>
      <c r="B736" s="907"/>
      <c r="C736" s="907"/>
      <c r="D736" s="907"/>
      <c r="E736" s="907"/>
      <c r="F736" s="907"/>
      <c r="G736" s="907"/>
      <c r="H736" s="907"/>
      <c r="I736" s="907"/>
      <c r="J736" s="907"/>
      <c r="K736" s="907"/>
      <c r="L736" s="907"/>
      <c r="M736" s="907"/>
      <c r="N736" s="907"/>
      <c r="O736" s="907"/>
      <c r="P736" s="907"/>
      <c r="Q736" s="907"/>
      <c r="R736" s="907"/>
      <c r="S736" s="907"/>
      <c r="T736" s="907"/>
      <c r="U736" s="907"/>
      <c r="V736" s="907"/>
      <c r="W736" s="907"/>
      <c r="X736" s="907"/>
      <c r="Y736" s="907"/>
      <c r="Z736" s="907"/>
      <c r="AA736" s="907"/>
      <c r="AB736" s="907"/>
      <c r="AC736" s="907"/>
    </row>
    <row r="737" spans="1:29">
      <c r="A737" s="907"/>
      <c r="B737" s="907"/>
      <c r="C737" s="907"/>
      <c r="D737" s="907"/>
      <c r="E737" s="907"/>
      <c r="F737" s="907"/>
      <c r="G737" s="907"/>
      <c r="H737" s="907"/>
      <c r="I737" s="907"/>
      <c r="J737" s="907"/>
      <c r="K737" s="907"/>
      <c r="L737" s="907"/>
      <c r="M737" s="907"/>
      <c r="N737" s="907"/>
      <c r="O737" s="907"/>
      <c r="P737" s="907"/>
      <c r="Q737" s="907"/>
      <c r="R737" s="907"/>
      <c r="S737" s="907"/>
      <c r="T737" s="907"/>
      <c r="U737" s="907"/>
      <c r="V737" s="907"/>
      <c r="W737" s="907"/>
      <c r="X737" s="907"/>
      <c r="Y737" s="907"/>
      <c r="Z737" s="907"/>
      <c r="AA737" s="907"/>
      <c r="AB737" s="907"/>
      <c r="AC737" s="907"/>
    </row>
    <row r="738" spans="1:29">
      <c r="A738" s="907"/>
      <c r="B738" s="907"/>
      <c r="C738" s="907"/>
      <c r="D738" s="907"/>
      <c r="E738" s="907"/>
      <c r="F738" s="907"/>
      <c r="G738" s="907"/>
      <c r="H738" s="907"/>
      <c r="I738" s="907"/>
      <c r="J738" s="907"/>
      <c r="K738" s="907"/>
      <c r="L738" s="907"/>
      <c r="M738" s="907"/>
      <c r="N738" s="907"/>
      <c r="O738" s="907"/>
      <c r="P738" s="907"/>
      <c r="Q738" s="907"/>
      <c r="R738" s="907"/>
      <c r="S738" s="907"/>
      <c r="T738" s="907"/>
      <c r="U738" s="907"/>
      <c r="V738" s="907"/>
      <c r="W738" s="907"/>
      <c r="X738" s="907"/>
      <c r="Y738" s="907"/>
      <c r="Z738" s="907"/>
      <c r="AA738" s="907"/>
      <c r="AB738" s="907"/>
      <c r="AC738" s="907"/>
    </row>
    <row r="739" spans="1:29">
      <c r="A739" s="907"/>
      <c r="B739" s="907"/>
      <c r="C739" s="907"/>
      <c r="D739" s="907"/>
      <c r="E739" s="907"/>
      <c r="F739" s="907"/>
      <c r="G739" s="907"/>
      <c r="H739" s="907"/>
      <c r="I739" s="907"/>
      <c r="J739" s="907"/>
      <c r="K739" s="907"/>
      <c r="L739" s="907"/>
      <c r="M739" s="907"/>
      <c r="N739" s="907"/>
      <c r="O739" s="907"/>
      <c r="P739" s="907"/>
      <c r="Q739" s="907"/>
      <c r="R739" s="907"/>
      <c r="S739" s="907"/>
      <c r="T739" s="907"/>
      <c r="U739" s="907"/>
      <c r="V739" s="907"/>
      <c r="W739" s="907"/>
      <c r="X739" s="907"/>
      <c r="Y739" s="907"/>
      <c r="Z739" s="907"/>
      <c r="AA739" s="907"/>
      <c r="AB739" s="907"/>
      <c r="AC739" s="907"/>
    </row>
    <row r="740" spans="1:29">
      <c r="A740" s="907"/>
      <c r="B740" s="907"/>
      <c r="C740" s="907"/>
      <c r="D740" s="907"/>
      <c r="E740" s="907"/>
      <c r="F740" s="907"/>
      <c r="G740" s="907"/>
      <c r="H740" s="907"/>
      <c r="I740" s="907"/>
      <c r="J740" s="907"/>
      <c r="K740" s="907"/>
      <c r="L740" s="907"/>
      <c r="M740" s="907"/>
      <c r="N740" s="907"/>
      <c r="O740" s="907"/>
      <c r="P740" s="907"/>
      <c r="Q740" s="907"/>
      <c r="R740" s="907"/>
      <c r="S740" s="907"/>
      <c r="T740" s="907"/>
      <c r="U740" s="907"/>
      <c r="V740" s="907"/>
      <c r="W740" s="907"/>
      <c r="X740" s="907"/>
      <c r="Y740" s="907"/>
      <c r="Z740" s="907"/>
      <c r="AA740" s="907"/>
      <c r="AB740" s="907"/>
      <c r="AC740" s="907"/>
    </row>
    <row r="741" spans="1:29">
      <c r="A741" s="907"/>
      <c r="B741" s="907"/>
      <c r="C741" s="907"/>
      <c r="D741" s="907"/>
      <c r="E741" s="907"/>
      <c r="F741" s="907"/>
      <c r="G741" s="907"/>
      <c r="H741" s="907"/>
      <c r="I741" s="907"/>
      <c r="J741" s="907"/>
      <c r="K741" s="907"/>
      <c r="L741" s="907"/>
      <c r="M741" s="907"/>
      <c r="N741" s="907"/>
      <c r="O741" s="907"/>
      <c r="P741" s="907"/>
      <c r="Q741" s="907"/>
      <c r="R741" s="907"/>
      <c r="S741" s="907"/>
      <c r="T741" s="907"/>
      <c r="U741" s="907"/>
      <c r="V741" s="907"/>
      <c r="W741" s="907"/>
      <c r="X741" s="907"/>
      <c r="Y741" s="907"/>
      <c r="Z741" s="907"/>
      <c r="AA741" s="907"/>
      <c r="AB741" s="907"/>
      <c r="AC741" s="907"/>
    </row>
    <row r="742" spans="1:29">
      <c r="A742" s="907"/>
      <c r="B742" s="907"/>
      <c r="C742" s="907"/>
      <c r="D742" s="907"/>
      <c r="E742" s="907"/>
      <c r="F742" s="907"/>
      <c r="G742" s="907"/>
      <c r="H742" s="907"/>
      <c r="I742" s="907"/>
      <c r="J742" s="907"/>
      <c r="K742" s="907"/>
      <c r="L742" s="907"/>
      <c r="M742" s="907"/>
      <c r="N742" s="907"/>
      <c r="O742" s="907"/>
      <c r="P742" s="907"/>
      <c r="Q742" s="907"/>
      <c r="R742" s="907"/>
      <c r="S742" s="907"/>
      <c r="T742" s="907"/>
      <c r="U742" s="907"/>
      <c r="V742" s="907"/>
      <c r="W742" s="907"/>
      <c r="X742" s="907"/>
      <c r="Y742" s="907"/>
      <c r="Z742" s="907"/>
      <c r="AA742" s="907"/>
      <c r="AB742" s="907"/>
      <c r="AC742" s="907"/>
    </row>
    <row r="743" spans="1:29">
      <c r="A743" s="907"/>
      <c r="B743" s="907"/>
      <c r="C743" s="907"/>
      <c r="D743" s="907"/>
      <c r="E743" s="907"/>
      <c r="F743" s="907"/>
      <c r="G743" s="907"/>
      <c r="H743" s="907"/>
      <c r="I743" s="907"/>
      <c r="J743" s="907"/>
      <c r="K743" s="907"/>
      <c r="L743" s="907"/>
      <c r="M743" s="907"/>
      <c r="N743" s="907"/>
      <c r="O743" s="907"/>
      <c r="P743" s="907"/>
      <c r="Q743" s="907"/>
      <c r="R743" s="907"/>
      <c r="S743" s="907"/>
      <c r="T743" s="907"/>
      <c r="U743" s="907"/>
      <c r="V743" s="907"/>
      <c r="W743" s="907"/>
      <c r="X743" s="907"/>
      <c r="Y743" s="907"/>
      <c r="Z743" s="907"/>
      <c r="AA743" s="907"/>
      <c r="AB743" s="907"/>
      <c r="AC743" s="907"/>
    </row>
    <row r="744" spans="1:29">
      <c r="A744" s="907"/>
      <c r="B744" s="907"/>
      <c r="C744" s="907"/>
      <c r="D744" s="907"/>
      <c r="E744" s="907"/>
      <c r="F744" s="907"/>
      <c r="G744" s="907"/>
      <c r="H744" s="907"/>
      <c r="I744" s="907"/>
      <c r="J744" s="907"/>
      <c r="K744" s="907"/>
      <c r="L744" s="907"/>
      <c r="M744" s="907"/>
      <c r="N744" s="907"/>
      <c r="O744" s="907"/>
      <c r="P744" s="907"/>
      <c r="Q744" s="907"/>
      <c r="R744" s="907"/>
      <c r="S744" s="907"/>
      <c r="T744" s="907"/>
      <c r="U744" s="907"/>
      <c r="V744" s="907"/>
      <c r="W744" s="907"/>
      <c r="X744" s="907"/>
      <c r="Y744" s="907"/>
      <c r="Z744" s="907"/>
      <c r="AA744" s="907"/>
      <c r="AB744" s="907"/>
      <c r="AC744" s="907"/>
    </row>
    <row r="745" spans="1:29">
      <c r="A745" s="907"/>
      <c r="B745" s="907"/>
      <c r="C745" s="907"/>
      <c r="D745" s="907"/>
      <c r="E745" s="907"/>
      <c r="F745" s="907"/>
      <c r="G745" s="907"/>
      <c r="H745" s="907"/>
      <c r="I745" s="907"/>
      <c r="J745" s="907"/>
      <c r="K745" s="907"/>
      <c r="L745" s="907"/>
      <c r="M745" s="907"/>
      <c r="N745" s="907"/>
      <c r="O745" s="907"/>
      <c r="P745" s="907"/>
      <c r="Q745" s="907"/>
      <c r="R745" s="907"/>
      <c r="S745" s="907"/>
      <c r="T745" s="907"/>
      <c r="U745" s="907"/>
      <c r="V745" s="907"/>
      <c r="W745" s="907"/>
      <c r="X745" s="907"/>
      <c r="Y745" s="907"/>
      <c r="Z745" s="907"/>
      <c r="AA745" s="907"/>
      <c r="AB745" s="907"/>
      <c r="AC745" s="907"/>
    </row>
    <row r="746" spans="1:29">
      <c r="A746" s="907"/>
      <c r="B746" s="907"/>
      <c r="C746" s="907"/>
      <c r="D746" s="907"/>
      <c r="E746" s="907"/>
      <c r="F746" s="907"/>
      <c r="G746" s="907"/>
      <c r="H746" s="907"/>
      <c r="I746" s="907"/>
      <c r="J746" s="907"/>
      <c r="K746" s="907"/>
      <c r="L746" s="907"/>
      <c r="M746" s="907"/>
      <c r="N746" s="907"/>
      <c r="O746" s="907"/>
      <c r="P746" s="907"/>
      <c r="Q746" s="907"/>
      <c r="R746" s="907"/>
      <c r="S746" s="907"/>
      <c r="T746" s="907"/>
      <c r="U746" s="907"/>
      <c r="V746" s="907"/>
      <c r="W746" s="907"/>
      <c r="X746" s="907"/>
      <c r="Y746" s="907"/>
      <c r="Z746" s="907"/>
      <c r="AA746" s="907"/>
      <c r="AB746" s="907"/>
      <c r="AC746" s="907"/>
    </row>
    <row r="747" spans="1:29">
      <c r="A747" s="907"/>
      <c r="B747" s="907"/>
      <c r="C747" s="907"/>
      <c r="D747" s="907"/>
      <c r="E747" s="907"/>
      <c r="F747" s="907"/>
      <c r="G747" s="907"/>
      <c r="H747" s="907"/>
      <c r="I747" s="907"/>
      <c r="J747" s="907"/>
      <c r="K747" s="907"/>
      <c r="L747" s="907"/>
      <c r="M747" s="907"/>
      <c r="N747" s="907"/>
      <c r="O747" s="907"/>
      <c r="P747" s="907"/>
      <c r="Q747" s="907"/>
      <c r="R747" s="907"/>
      <c r="S747" s="907"/>
      <c r="T747" s="907"/>
      <c r="U747" s="907"/>
      <c r="V747" s="907"/>
      <c r="W747" s="907"/>
      <c r="X747" s="907"/>
      <c r="Y747" s="907"/>
      <c r="Z747" s="907"/>
      <c r="AA747" s="907"/>
      <c r="AB747" s="907"/>
      <c r="AC747" s="907"/>
    </row>
    <row r="748" spans="1:29">
      <c r="A748" s="907"/>
      <c r="B748" s="907"/>
      <c r="C748" s="907"/>
      <c r="D748" s="907"/>
      <c r="E748" s="907"/>
      <c r="F748" s="907"/>
      <c r="G748" s="907"/>
      <c r="H748" s="907"/>
      <c r="I748" s="907"/>
      <c r="J748" s="907"/>
      <c r="K748" s="907"/>
      <c r="L748" s="907"/>
      <c r="M748" s="907"/>
      <c r="N748" s="907"/>
      <c r="O748" s="907"/>
      <c r="P748" s="907"/>
      <c r="Q748" s="907"/>
      <c r="R748" s="907"/>
      <c r="S748" s="907"/>
      <c r="T748" s="907"/>
      <c r="U748" s="907"/>
      <c r="V748" s="907"/>
      <c r="W748" s="907"/>
      <c r="X748" s="907"/>
      <c r="Y748" s="907"/>
      <c r="Z748" s="907"/>
      <c r="AA748" s="907"/>
      <c r="AB748" s="907"/>
      <c r="AC748" s="907"/>
    </row>
    <row r="749" spans="1:29">
      <c r="A749" s="907"/>
      <c r="B749" s="907"/>
      <c r="C749" s="907"/>
      <c r="D749" s="907"/>
      <c r="E749" s="907"/>
      <c r="F749" s="907"/>
      <c r="G749" s="907"/>
      <c r="H749" s="907"/>
      <c r="I749" s="907"/>
      <c r="J749" s="907"/>
      <c r="K749" s="907"/>
      <c r="L749" s="907"/>
      <c r="M749" s="907"/>
      <c r="N749" s="907"/>
      <c r="O749" s="907"/>
      <c r="P749" s="907"/>
      <c r="Q749" s="907"/>
      <c r="R749" s="907"/>
      <c r="S749" s="907"/>
      <c r="T749" s="907"/>
      <c r="U749" s="907"/>
      <c r="V749" s="907"/>
      <c r="W749" s="907"/>
      <c r="X749" s="907"/>
      <c r="Y749" s="907"/>
      <c r="Z749" s="907"/>
      <c r="AA749" s="907"/>
      <c r="AB749" s="907"/>
      <c r="AC749" s="907"/>
    </row>
    <row r="750" spans="1:29">
      <c r="A750" s="907"/>
      <c r="B750" s="907"/>
      <c r="C750" s="907"/>
      <c r="D750" s="907"/>
      <c r="E750" s="907"/>
      <c r="F750" s="907"/>
      <c r="G750" s="907"/>
      <c r="H750" s="907"/>
      <c r="I750" s="907"/>
      <c r="J750" s="907"/>
      <c r="K750" s="907"/>
      <c r="L750" s="907"/>
      <c r="M750" s="907"/>
      <c r="N750" s="907"/>
      <c r="O750" s="907"/>
      <c r="P750" s="907"/>
      <c r="Q750" s="907"/>
      <c r="R750" s="907"/>
      <c r="S750" s="907"/>
      <c r="T750" s="907"/>
      <c r="U750" s="907"/>
      <c r="V750" s="907"/>
      <c r="W750" s="907"/>
      <c r="X750" s="907"/>
      <c r="Y750" s="907"/>
      <c r="Z750" s="907"/>
      <c r="AA750" s="907"/>
      <c r="AB750" s="907"/>
      <c r="AC750" s="907"/>
    </row>
    <row r="751" spans="1:29">
      <c r="A751" s="907"/>
      <c r="B751" s="907"/>
      <c r="C751" s="907"/>
      <c r="D751" s="907"/>
      <c r="E751" s="907"/>
      <c r="F751" s="907"/>
      <c r="G751" s="907"/>
      <c r="H751" s="907"/>
      <c r="I751" s="907"/>
      <c r="J751" s="907"/>
      <c r="K751" s="907"/>
      <c r="L751" s="907"/>
      <c r="M751" s="907"/>
      <c r="N751" s="907"/>
      <c r="O751" s="907"/>
      <c r="P751" s="907"/>
      <c r="Q751" s="907"/>
      <c r="R751" s="907"/>
      <c r="S751" s="907"/>
      <c r="T751" s="907"/>
      <c r="U751" s="907"/>
      <c r="V751" s="907"/>
      <c r="W751" s="907"/>
      <c r="X751" s="907"/>
      <c r="Y751" s="907"/>
      <c r="Z751" s="907"/>
      <c r="AA751" s="907"/>
      <c r="AB751" s="907"/>
      <c r="AC751" s="907"/>
    </row>
    <row r="752" spans="1:29">
      <c r="A752" s="907"/>
      <c r="B752" s="907"/>
      <c r="C752" s="907"/>
      <c r="D752" s="907"/>
      <c r="E752" s="907"/>
      <c r="F752" s="907"/>
      <c r="G752" s="907"/>
      <c r="H752" s="907"/>
      <c r="I752" s="907"/>
      <c r="J752" s="907"/>
      <c r="K752" s="907"/>
      <c r="L752" s="907"/>
      <c r="M752" s="907"/>
      <c r="N752" s="907"/>
      <c r="O752" s="907"/>
      <c r="P752" s="907"/>
      <c r="Q752" s="907"/>
      <c r="R752" s="907"/>
      <c r="S752" s="907"/>
      <c r="T752" s="907"/>
      <c r="U752" s="907"/>
      <c r="V752" s="907"/>
      <c r="W752" s="907"/>
      <c r="X752" s="907"/>
      <c r="Y752" s="907"/>
      <c r="Z752" s="907"/>
      <c r="AA752" s="907"/>
      <c r="AB752" s="907"/>
      <c r="AC752" s="907"/>
    </row>
    <row r="753" spans="1:29">
      <c r="A753" s="907"/>
      <c r="B753" s="907"/>
      <c r="C753" s="907"/>
      <c r="D753" s="907"/>
      <c r="E753" s="907"/>
      <c r="F753" s="907"/>
      <c r="G753" s="907"/>
      <c r="H753" s="907"/>
      <c r="I753" s="907"/>
      <c r="J753" s="907"/>
      <c r="K753" s="907"/>
      <c r="L753" s="907"/>
      <c r="M753" s="907"/>
      <c r="N753" s="907"/>
      <c r="O753" s="907"/>
      <c r="P753" s="907"/>
      <c r="Q753" s="907"/>
      <c r="R753" s="907"/>
      <c r="S753" s="907"/>
      <c r="T753" s="907"/>
      <c r="U753" s="907"/>
      <c r="V753" s="907"/>
      <c r="W753" s="907"/>
      <c r="X753" s="907"/>
      <c r="Y753" s="907"/>
      <c r="Z753" s="907"/>
      <c r="AA753" s="907"/>
      <c r="AB753" s="907"/>
      <c r="AC753" s="907"/>
    </row>
    <row r="754" spans="1:29">
      <c r="A754" s="907"/>
      <c r="B754" s="907"/>
      <c r="C754" s="907"/>
      <c r="D754" s="907"/>
      <c r="E754" s="907"/>
      <c r="F754" s="907"/>
      <c r="G754" s="907"/>
      <c r="H754" s="907"/>
      <c r="I754" s="907"/>
      <c r="J754" s="907"/>
      <c r="K754" s="907"/>
      <c r="L754" s="907"/>
      <c r="M754" s="907"/>
      <c r="N754" s="907"/>
      <c r="O754" s="907"/>
      <c r="P754" s="907"/>
      <c r="Q754" s="907"/>
      <c r="R754" s="907"/>
      <c r="S754" s="907"/>
      <c r="T754" s="907"/>
      <c r="U754" s="907"/>
      <c r="V754" s="907"/>
      <c r="W754" s="907"/>
      <c r="X754" s="907"/>
      <c r="Y754" s="907"/>
      <c r="Z754" s="907"/>
      <c r="AA754" s="907"/>
      <c r="AB754" s="907"/>
      <c r="AC754" s="907"/>
    </row>
    <row r="755" spans="1:29">
      <c r="A755" s="907"/>
      <c r="B755" s="907"/>
      <c r="C755" s="907"/>
      <c r="D755" s="907"/>
      <c r="E755" s="907"/>
      <c r="F755" s="907"/>
      <c r="G755" s="907"/>
      <c r="H755" s="907"/>
      <c r="I755" s="907"/>
      <c r="J755" s="907"/>
      <c r="K755" s="907"/>
      <c r="L755" s="907"/>
      <c r="M755" s="907"/>
      <c r="N755" s="907"/>
      <c r="O755" s="907"/>
      <c r="P755" s="907"/>
      <c r="Q755" s="907"/>
      <c r="R755" s="907"/>
      <c r="S755" s="907"/>
      <c r="T755" s="907"/>
      <c r="U755" s="907"/>
      <c r="V755" s="907"/>
      <c r="W755" s="907"/>
      <c r="X755" s="907"/>
      <c r="Y755" s="907"/>
      <c r="Z755" s="907"/>
      <c r="AA755" s="907"/>
      <c r="AB755" s="907"/>
      <c r="AC755" s="907"/>
    </row>
    <row r="756" spans="1:29">
      <c r="A756" s="907"/>
      <c r="B756" s="907"/>
      <c r="C756" s="907"/>
      <c r="D756" s="907"/>
      <c r="E756" s="907"/>
      <c r="F756" s="907"/>
      <c r="G756" s="907"/>
      <c r="H756" s="907"/>
      <c r="I756" s="907"/>
      <c r="J756" s="907"/>
      <c r="K756" s="907"/>
      <c r="L756" s="907"/>
      <c r="M756" s="907"/>
      <c r="N756" s="907"/>
      <c r="O756" s="907"/>
      <c r="P756" s="907"/>
      <c r="Q756" s="907"/>
      <c r="R756" s="907"/>
      <c r="S756" s="907"/>
      <c r="T756" s="907"/>
      <c r="U756" s="907"/>
      <c r="V756" s="907"/>
      <c r="W756" s="907"/>
      <c r="X756" s="907"/>
      <c r="Y756" s="907"/>
      <c r="Z756" s="907"/>
      <c r="AA756" s="907"/>
      <c r="AB756" s="907"/>
      <c r="AC756" s="907"/>
    </row>
    <row r="757" spans="1:29">
      <c r="A757" s="907"/>
      <c r="B757" s="907"/>
      <c r="C757" s="907"/>
      <c r="D757" s="907"/>
      <c r="E757" s="907"/>
      <c r="F757" s="907"/>
      <c r="G757" s="907"/>
      <c r="H757" s="907"/>
      <c r="I757" s="907"/>
      <c r="J757" s="907"/>
      <c r="K757" s="907"/>
      <c r="L757" s="907"/>
      <c r="M757" s="907"/>
      <c r="N757" s="907"/>
      <c r="O757" s="907"/>
      <c r="P757" s="907"/>
      <c r="Q757" s="907"/>
      <c r="R757" s="907"/>
      <c r="S757" s="907"/>
      <c r="T757" s="907"/>
      <c r="U757" s="907"/>
      <c r="V757" s="907"/>
      <c r="W757" s="907"/>
      <c r="X757" s="907"/>
      <c r="Y757" s="907"/>
      <c r="Z757" s="907"/>
      <c r="AA757" s="907"/>
      <c r="AB757" s="907"/>
      <c r="AC757" s="907"/>
    </row>
    <row r="758" spans="1:29">
      <c r="A758" s="907"/>
      <c r="B758" s="907"/>
      <c r="C758" s="907"/>
      <c r="D758" s="907"/>
      <c r="E758" s="907"/>
      <c r="F758" s="907"/>
      <c r="G758" s="907"/>
      <c r="H758" s="907"/>
      <c r="I758" s="907"/>
      <c r="J758" s="907"/>
      <c r="K758" s="907"/>
      <c r="L758" s="907"/>
      <c r="M758" s="907"/>
      <c r="N758" s="907"/>
      <c r="O758" s="907"/>
      <c r="P758" s="907"/>
      <c r="Q758" s="907"/>
      <c r="R758" s="907"/>
      <c r="S758" s="907"/>
      <c r="T758" s="907"/>
      <c r="U758" s="907"/>
      <c r="V758" s="907"/>
      <c r="W758" s="907"/>
      <c r="X758" s="907"/>
      <c r="Y758" s="907"/>
      <c r="Z758" s="907"/>
      <c r="AA758" s="907"/>
      <c r="AB758" s="907"/>
      <c r="AC758" s="907"/>
    </row>
    <row r="759" spans="1:29">
      <c r="A759" s="907"/>
      <c r="B759" s="907"/>
      <c r="C759" s="907"/>
      <c r="D759" s="907"/>
      <c r="E759" s="907"/>
      <c r="F759" s="907"/>
      <c r="G759" s="907"/>
      <c r="H759" s="907"/>
      <c r="I759" s="907"/>
      <c r="J759" s="907"/>
      <c r="K759" s="907"/>
      <c r="L759" s="907"/>
      <c r="M759" s="907"/>
      <c r="N759" s="907"/>
      <c r="O759" s="907"/>
      <c r="P759" s="907"/>
      <c r="Q759" s="907"/>
      <c r="R759" s="907"/>
      <c r="S759" s="907"/>
      <c r="T759" s="907"/>
      <c r="U759" s="907"/>
      <c r="V759" s="907"/>
      <c r="W759" s="907"/>
      <c r="X759" s="907"/>
      <c r="Y759" s="907"/>
      <c r="Z759" s="907"/>
      <c r="AA759" s="907"/>
      <c r="AB759" s="907"/>
      <c r="AC759" s="907"/>
    </row>
    <row r="760" spans="1:29">
      <c r="A760" s="907"/>
      <c r="B760" s="907"/>
      <c r="C760" s="907"/>
      <c r="D760" s="907"/>
      <c r="E760" s="907"/>
      <c r="F760" s="907"/>
      <c r="G760" s="907"/>
      <c r="H760" s="907"/>
      <c r="I760" s="907"/>
      <c r="J760" s="907"/>
      <c r="K760" s="907"/>
      <c r="L760" s="907"/>
      <c r="M760" s="907"/>
      <c r="N760" s="907"/>
      <c r="O760" s="907"/>
      <c r="P760" s="907"/>
      <c r="Q760" s="907"/>
      <c r="R760" s="907"/>
      <c r="S760" s="907"/>
      <c r="T760" s="907"/>
      <c r="U760" s="907"/>
      <c r="V760" s="907"/>
      <c r="W760" s="907"/>
      <c r="X760" s="907"/>
      <c r="Y760" s="907"/>
      <c r="Z760" s="907"/>
      <c r="AA760" s="907"/>
      <c r="AB760" s="907"/>
      <c r="AC760" s="907"/>
    </row>
    <row r="761" spans="1:29">
      <c r="A761" s="907"/>
      <c r="B761" s="907"/>
      <c r="C761" s="907"/>
      <c r="D761" s="907"/>
      <c r="E761" s="907"/>
      <c r="F761" s="907"/>
      <c r="G761" s="907"/>
      <c r="H761" s="907"/>
      <c r="I761" s="907"/>
      <c r="J761" s="907"/>
      <c r="K761" s="907"/>
      <c r="L761" s="907"/>
      <c r="M761" s="907"/>
      <c r="N761" s="907"/>
      <c r="O761" s="907"/>
      <c r="P761" s="907"/>
      <c r="Q761" s="907"/>
      <c r="R761" s="907"/>
      <c r="S761" s="907"/>
      <c r="T761" s="907"/>
      <c r="U761" s="907"/>
      <c r="V761" s="907"/>
      <c r="W761" s="907"/>
      <c r="X761" s="907"/>
      <c r="Y761" s="907"/>
      <c r="Z761" s="907"/>
      <c r="AA761" s="907"/>
      <c r="AB761" s="907"/>
      <c r="AC761" s="907"/>
    </row>
    <row r="762" spans="1:29">
      <c r="A762" s="907"/>
      <c r="B762" s="907"/>
      <c r="C762" s="907"/>
      <c r="D762" s="907"/>
      <c r="E762" s="907"/>
      <c r="F762" s="907"/>
      <c r="G762" s="907"/>
      <c r="H762" s="907"/>
      <c r="I762" s="907"/>
      <c r="J762" s="907"/>
      <c r="K762" s="907"/>
      <c r="L762" s="907"/>
      <c r="M762" s="907"/>
      <c r="N762" s="907"/>
      <c r="O762" s="907"/>
      <c r="P762" s="907"/>
      <c r="Q762" s="907"/>
      <c r="R762" s="907"/>
      <c r="S762" s="907"/>
      <c r="T762" s="907"/>
      <c r="U762" s="907"/>
      <c r="V762" s="907"/>
      <c r="W762" s="907"/>
      <c r="X762" s="907"/>
      <c r="Y762" s="907"/>
      <c r="Z762" s="907"/>
      <c r="AA762" s="907"/>
      <c r="AB762" s="907"/>
      <c r="AC762" s="907"/>
    </row>
    <row r="763" spans="1:29">
      <c r="A763" s="907"/>
      <c r="B763" s="907"/>
      <c r="C763" s="907"/>
      <c r="D763" s="907"/>
      <c r="E763" s="907"/>
      <c r="F763" s="907"/>
      <c r="G763" s="907"/>
      <c r="H763" s="907"/>
      <c r="I763" s="907"/>
      <c r="J763" s="907"/>
      <c r="K763" s="907"/>
      <c r="L763" s="907"/>
      <c r="M763" s="907"/>
      <c r="N763" s="907"/>
      <c r="O763" s="907"/>
      <c r="P763" s="907"/>
      <c r="Q763" s="907"/>
      <c r="R763" s="907"/>
      <c r="S763" s="907"/>
      <c r="T763" s="907"/>
      <c r="U763" s="907"/>
      <c r="V763" s="907"/>
      <c r="W763" s="907"/>
      <c r="X763" s="907"/>
      <c r="Y763" s="907"/>
      <c r="Z763" s="907"/>
      <c r="AA763" s="907"/>
      <c r="AB763" s="907"/>
      <c r="AC763" s="907"/>
    </row>
    <row r="764" spans="1:29">
      <c r="A764" s="907"/>
      <c r="B764" s="907"/>
      <c r="C764" s="907"/>
      <c r="D764" s="907"/>
      <c r="E764" s="907"/>
      <c r="F764" s="907"/>
      <c r="G764" s="907"/>
      <c r="H764" s="907"/>
      <c r="I764" s="907"/>
      <c r="J764" s="907"/>
      <c r="K764" s="907"/>
      <c r="L764" s="907"/>
      <c r="M764" s="907"/>
      <c r="N764" s="907"/>
      <c r="O764" s="907"/>
      <c r="P764" s="907"/>
      <c r="Q764" s="907"/>
      <c r="R764" s="907"/>
      <c r="S764" s="907"/>
      <c r="T764" s="907"/>
      <c r="U764" s="907"/>
      <c r="V764" s="907"/>
      <c r="W764" s="907"/>
      <c r="X764" s="907"/>
      <c r="Y764" s="907"/>
      <c r="Z764" s="907"/>
      <c r="AA764" s="907"/>
      <c r="AB764" s="907"/>
      <c r="AC764" s="907"/>
    </row>
    <row r="765" spans="1:29">
      <c r="A765" s="907"/>
      <c r="B765" s="907"/>
      <c r="C765" s="907"/>
      <c r="D765" s="907"/>
      <c r="E765" s="907"/>
      <c r="F765" s="907"/>
      <c r="G765" s="907"/>
      <c r="H765" s="907"/>
      <c r="I765" s="907"/>
      <c r="J765" s="907"/>
      <c r="K765" s="907"/>
      <c r="L765" s="907"/>
      <c r="M765" s="907"/>
      <c r="N765" s="907"/>
      <c r="O765" s="907"/>
      <c r="P765" s="907"/>
      <c r="Q765" s="907"/>
      <c r="R765" s="907"/>
      <c r="S765" s="907"/>
      <c r="T765" s="907"/>
      <c r="U765" s="907"/>
      <c r="V765" s="907"/>
      <c r="W765" s="907"/>
      <c r="X765" s="907"/>
      <c r="Y765" s="907"/>
      <c r="Z765" s="907"/>
      <c r="AA765" s="907"/>
      <c r="AB765" s="907"/>
      <c r="AC765" s="907"/>
    </row>
    <row r="766" spans="1:29">
      <c r="A766" s="907"/>
      <c r="B766" s="907"/>
      <c r="C766" s="907"/>
      <c r="D766" s="907"/>
      <c r="E766" s="907"/>
      <c r="F766" s="907"/>
      <c r="G766" s="907"/>
      <c r="H766" s="907"/>
      <c r="I766" s="907"/>
      <c r="J766" s="907"/>
      <c r="K766" s="907"/>
      <c r="L766" s="907"/>
      <c r="M766" s="907"/>
      <c r="N766" s="907"/>
      <c r="O766" s="907"/>
      <c r="P766" s="907"/>
      <c r="Q766" s="907"/>
      <c r="R766" s="907"/>
      <c r="S766" s="907"/>
      <c r="T766" s="907"/>
      <c r="U766" s="907"/>
      <c r="V766" s="907"/>
      <c r="W766" s="907"/>
      <c r="X766" s="907"/>
      <c r="Y766" s="907"/>
      <c r="Z766" s="907"/>
      <c r="AA766" s="907"/>
      <c r="AB766" s="907"/>
      <c r="AC766" s="907"/>
    </row>
    <row r="767" spans="1:29">
      <c r="A767" s="907"/>
      <c r="B767" s="907"/>
      <c r="C767" s="907"/>
      <c r="D767" s="907"/>
      <c r="E767" s="907"/>
      <c r="F767" s="907"/>
      <c r="G767" s="907"/>
      <c r="H767" s="907"/>
      <c r="I767" s="907"/>
      <c r="J767" s="907"/>
      <c r="K767" s="907"/>
      <c r="L767" s="907"/>
      <c r="M767" s="907"/>
      <c r="N767" s="907"/>
      <c r="O767" s="907"/>
      <c r="P767" s="907"/>
      <c r="Q767" s="907"/>
      <c r="R767" s="907"/>
      <c r="S767" s="907"/>
      <c r="T767" s="907"/>
      <c r="U767" s="907"/>
      <c r="V767" s="907"/>
      <c r="W767" s="907"/>
      <c r="X767" s="907"/>
      <c r="Y767" s="907"/>
      <c r="Z767" s="907"/>
      <c r="AA767" s="907"/>
      <c r="AB767" s="907"/>
      <c r="AC767" s="907"/>
    </row>
    <row r="768" spans="1:29">
      <c r="A768" s="907"/>
      <c r="B768" s="907"/>
      <c r="C768" s="907"/>
      <c r="D768" s="907"/>
      <c r="E768" s="907"/>
      <c r="F768" s="907"/>
      <c r="G768" s="907"/>
      <c r="H768" s="907"/>
      <c r="I768" s="907"/>
      <c r="J768" s="907"/>
      <c r="K768" s="907"/>
      <c r="L768" s="907"/>
      <c r="M768" s="907"/>
      <c r="N768" s="907"/>
      <c r="O768" s="907"/>
      <c r="P768" s="907"/>
      <c r="Q768" s="907"/>
      <c r="R768" s="907"/>
      <c r="S768" s="907"/>
      <c r="T768" s="907"/>
      <c r="U768" s="907"/>
      <c r="V768" s="907"/>
      <c r="W768" s="907"/>
      <c r="X768" s="907"/>
      <c r="Y768" s="907"/>
      <c r="Z768" s="907"/>
      <c r="AA768" s="907"/>
      <c r="AB768" s="907"/>
      <c r="AC768" s="907"/>
    </row>
    <row r="769" spans="1:29">
      <c r="A769" s="907"/>
      <c r="B769" s="907"/>
      <c r="C769" s="907"/>
      <c r="D769" s="907"/>
      <c r="E769" s="907"/>
      <c r="F769" s="907"/>
      <c r="G769" s="907"/>
      <c r="H769" s="907"/>
      <c r="I769" s="907"/>
      <c r="J769" s="907"/>
      <c r="K769" s="907"/>
      <c r="L769" s="907"/>
      <c r="M769" s="907"/>
      <c r="N769" s="907"/>
      <c r="O769" s="907"/>
      <c r="P769" s="907"/>
      <c r="Q769" s="907"/>
      <c r="R769" s="907"/>
      <c r="S769" s="907"/>
      <c r="T769" s="907"/>
      <c r="U769" s="907"/>
      <c r="V769" s="907"/>
      <c r="W769" s="907"/>
      <c r="X769" s="907"/>
      <c r="Y769" s="907"/>
      <c r="Z769" s="907"/>
      <c r="AA769" s="907"/>
      <c r="AB769" s="907"/>
      <c r="AC769" s="907"/>
    </row>
    <row r="770" spans="1:29">
      <c r="A770" s="907"/>
      <c r="B770" s="907"/>
      <c r="C770" s="907"/>
      <c r="D770" s="907"/>
      <c r="E770" s="907"/>
      <c r="F770" s="907"/>
      <c r="G770" s="907"/>
      <c r="H770" s="907"/>
      <c r="I770" s="907"/>
      <c r="J770" s="907"/>
      <c r="K770" s="907"/>
      <c r="L770" s="907"/>
      <c r="M770" s="907"/>
      <c r="N770" s="907"/>
      <c r="O770" s="907"/>
      <c r="P770" s="907"/>
      <c r="Q770" s="907"/>
      <c r="R770" s="907"/>
      <c r="S770" s="907"/>
      <c r="T770" s="907"/>
      <c r="U770" s="907"/>
      <c r="V770" s="907"/>
      <c r="W770" s="907"/>
      <c r="X770" s="907"/>
      <c r="Y770" s="907"/>
      <c r="Z770" s="907"/>
      <c r="AA770" s="907"/>
      <c r="AB770" s="907"/>
      <c r="AC770" s="907"/>
    </row>
    <row r="771" spans="1:29">
      <c r="A771" s="907"/>
      <c r="B771" s="907"/>
      <c r="C771" s="907"/>
      <c r="D771" s="907"/>
      <c r="E771" s="907"/>
      <c r="F771" s="907"/>
      <c r="G771" s="907"/>
      <c r="H771" s="907"/>
      <c r="I771" s="907"/>
      <c r="J771" s="907"/>
      <c r="K771" s="907"/>
      <c r="L771" s="907"/>
      <c r="M771" s="907"/>
      <c r="N771" s="907"/>
      <c r="O771" s="907"/>
      <c r="P771" s="907"/>
      <c r="Q771" s="907"/>
      <c r="R771" s="907"/>
      <c r="S771" s="907"/>
      <c r="T771" s="907"/>
      <c r="U771" s="907"/>
      <c r="V771" s="907"/>
      <c r="W771" s="907"/>
      <c r="X771" s="907"/>
      <c r="Y771" s="907"/>
      <c r="Z771" s="907"/>
      <c r="AA771" s="907"/>
      <c r="AB771" s="907"/>
      <c r="AC771" s="907"/>
    </row>
    <row r="772" spans="1:29">
      <c r="A772" s="907"/>
      <c r="B772" s="907"/>
      <c r="C772" s="907"/>
      <c r="D772" s="907"/>
      <c r="E772" s="907"/>
      <c r="F772" s="907"/>
      <c r="G772" s="907"/>
      <c r="H772" s="907"/>
      <c r="I772" s="907"/>
      <c r="J772" s="907"/>
      <c r="K772" s="907"/>
      <c r="L772" s="907"/>
      <c r="M772" s="907"/>
      <c r="N772" s="907"/>
      <c r="O772" s="907"/>
      <c r="P772" s="907"/>
      <c r="Q772" s="907"/>
      <c r="R772" s="907"/>
      <c r="S772" s="907"/>
      <c r="T772" s="907"/>
      <c r="U772" s="907"/>
      <c r="V772" s="907"/>
      <c r="W772" s="907"/>
      <c r="X772" s="907"/>
      <c r="Y772" s="907"/>
      <c r="Z772" s="907"/>
      <c r="AA772" s="907"/>
      <c r="AB772" s="907"/>
      <c r="AC772" s="907"/>
    </row>
    <row r="773" spans="1:29">
      <c r="A773" s="907"/>
      <c r="B773" s="907"/>
      <c r="C773" s="907"/>
      <c r="D773" s="907"/>
      <c r="E773" s="907"/>
      <c r="F773" s="907"/>
      <c r="G773" s="907"/>
      <c r="H773" s="907"/>
      <c r="I773" s="907"/>
      <c r="J773" s="907"/>
      <c r="K773" s="907"/>
      <c r="L773" s="907"/>
      <c r="M773" s="907"/>
      <c r="N773" s="907"/>
      <c r="O773" s="907"/>
      <c r="P773" s="907"/>
      <c r="Q773" s="907"/>
      <c r="R773" s="907"/>
      <c r="S773" s="907"/>
      <c r="T773" s="907"/>
      <c r="U773" s="907"/>
      <c r="V773" s="907"/>
      <c r="W773" s="907"/>
      <c r="X773" s="907"/>
      <c r="Y773" s="907"/>
      <c r="Z773" s="907"/>
      <c r="AA773" s="907"/>
      <c r="AB773" s="907"/>
      <c r="AC773" s="907"/>
    </row>
    <row r="774" spans="1:29">
      <c r="A774" s="907"/>
      <c r="B774" s="907"/>
      <c r="C774" s="907"/>
      <c r="D774" s="907"/>
      <c r="E774" s="907"/>
      <c r="F774" s="907"/>
      <c r="G774" s="907"/>
      <c r="H774" s="907"/>
      <c r="I774" s="907"/>
      <c r="J774" s="907"/>
      <c r="K774" s="907"/>
      <c r="L774" s="907"/>
      <c r="M774" s="907"/>
      <c r="N774" s="907"/>
      <c r="O774" s="907"/>
      <c r="P774" s="907"/>
      <c r="Q774" s="907"/>
      <c r="R774" s="907"/>
      <c r="S774" s="907"/>
      <c r="T774" s="907"/>
      <c r="U774" s="907"/>
      <c r="V774" s="907"/>
      <c r="W774" s="907"/>
      <c r="X774" s="907"/>
      <c r="Y774" s="907"/>
      <c r="Z774" s="907"/>
      <c r="AA774" s="907"/>
      <c r="AB774" s="907"/>
      <c r="AC774" s="907"/>
    </row>
    <row r="775" spans="1:29">
      <c r="A775" s="907"/>
      <c r="B775" s="907"/>
      <c r="C775" s="907"/>
      <c r="D775" s="907"/>
      <c r="E775" s="907"/>
      <c r="F775" s="907"/>
      <c r="G775" s="907"/>
      <c r="H775" s="907"/>
      <c r="I775" s="907"/>
      <c r="J775" s="907"/>
      <c r="K775" s="907"/>
      <c r="L775" s="907"/>
      <c r="M775" s="907"/>
      <c r="N775" s="907"/>
      <c r="O775" s="907"/>
      <c r="P775" s="907"/>
      <c r="Q775" s="907"/>
      <c r="R775" s="907"/>
      <c r="S775" s="907"/>
      <c r="T775" s="907"/>
      <c r="U775" s="907"/>
      <c r="V775" s="907"/>
      <c r="W775" s="907"/>
      <c r="X775" s="907"/>
      <c r="Y775" s="907"/>
      <c r="Z775" s="907"/>
      <c r="AA775" s="907"/>
      <c r="AB775" s="907"/>
      <c r="AC775" s="907"/>
    </row>
    <row r="776" spans="1:29">
      <c r="A776" s="907"/>
      <c r="B776" s="907"/>
      <c r="C776" s="907"/>
      <c r="D776" s="907"/>
      <c r="E776" s="907"/>
      <c r="F776" s="907"/>
      <c r="G776" s="907"/>
      <c r="H776" s="907"/>
      <c r="I776" s="907"/>
      <c r="J776" s="907"/>
      <c r="K776" s="907"/>
      <c r="L776" s="907"/>
      <c r="M776" s="907"/>
      <c r="N776" s="907"/>
      <c r="O776" s="907"/>
      <c r="P776" s="907"/>
      <c r="Q776" s="907"/>
      <c r="R776" s="907"/>
      <c r="S776" s="907"/>
      <c r="T776" s="907"/>
      <c r="U776" s="907"/>
      <c r="V776" s="907"/>
      <c r="W776" s="907"/>
      <c r="X776" s="907"/>
      <c r="Y776" s="907"/>
      <c r="Z776" s="907"/>
      <c r="AA776" s="907"/>
      <c r="AB776" s="907"/>
      <c r="AC776" s="907"/>
    </row>
    <row r="777" spans="1:29">
      <c r="A777" s="907"/>
      <c r="B777" s="907"/>
      <c r="C777" s="907"/>
      <c r="D777" s="907"/>
      <c r="E777" s="907"/>
      <c r="F777" s="907"/>
      <c r="G777" s="907"/>
      <c r="H777" s="907"/>
      <c r="I777" s="907"/>
      <c r="J777" s="907"/>
      <c r="K777" s="907"/>
      <c r="L777" s="907"/>
      <c r="M777" s="907"/>
      <c r="N777" s="907"/>
      <c r="O777" s="907"/>
      <c r="P777" s="907"/>
      <c r="Q777" s="907"/>
      <c r="R777" s="907"/>
      <c r="S777" s="907"/>
      <c r="T777" s="907"/>
      <c r="U777" s="907"/>
      <c r="V777" s="907"/>
      <c r="W777" s="907"/>
      <c r="X777" s="907"/>
      <c r="Y777" s="907"/>
      <c r="Z777" s="907"/>
      <c r="AA777" s="907"/>
      <c r="AB777" s="907"/>
      <c r="AC777" s="907"/>
    </row>
    <row r="778" spans="1:29">
      <c r="A778" s="907"/>
      <c r="B778" s="907"/>
      <c r="C778" s="907"/>
      <c r="D778" s="907"/>
      <c r="E778" s="907"/>
      <c r="F778" s="907"/>
      <c r="G778" s="907"/>
      <c r="H778" s="907"/>
      <c r="I778" s="907"/>
      <c r="J778" s="907"/>
      <c r="K778" s="907"/>
      <c r="L778" s="907"/>
      <c r="M778" s="907"/>
      <c r="N778" s="907"/>
      <c r="O778" s="907"/>
      <c r="P778" s="907"/>
      <c r="Q778" s="907"/>
      <c r="R778" s="907"/>
      <c r="S778" s="907"/>
      <c r="T778" s="907"/>
      <c r="U778" s="907"/>
      <c r="V778" s="907"/>
      <c r="W778" s="907"/>
      <c r="X778" s="907"/>
      <c r="Y778" s="907"/>
      <c r="Z778" s="907"/>
      <c r="AA778" s="907"/>
      <c r="AB778" s="907"/>
      <c r="AC778" s="907"/>
    </row>
    <row r="779" spans="1:29">
      <c r="A779" s="907"/>
      <c r="B779" s="907"/>
      <c r="C779" s="907"/>
      <c r="D779" s="907"/>
      <c r="E779" s="907"/>
      <c r="F779" s="907"/>
      <c r="G779" s="907"/>
      <c r="H779" s="907"/>
      <c r="I779" s="907"/>
      <c r="J779" s="907"/>
      <c r="K779" s="907"/>
      <c r="L779" s="907"/>
      <c r="M779" s="907"/>
      <c r="N779" s="907"/>
      <c r="O779" s="907"/>
      <c r="P779" s="907"/>
      <c r="Q779" s="907"/>
      <c r="R779" s="907"/>
      <c r="S779" s="907"/>
      <c r="T779" s="907"/>
      <c r="U779" s="907"/>
      <c r="V779" s="907"/>
      <c r="W779" s="907"/>
      <c r="X779" s="907"/>
      <c r="Y779" s="907"/>
      <c r="Z779" s="907"/>
      <c r="AA779" s="907"/>
      <c r="AB779" s="907"/>
      <c r="AC779" s="907"/>
    </row>
    <row r="780" spans="1:29">
      <c r="A780" s="907"/>
      <c r="B780" s="907"/>
      <c r="C780" s="907"/>
      <c r="D780" s="907"/>
      <c r="E780" s="907"/>
      <c r="F780" s="907"/>
      <c r="G780" s="907"/>
      <c r="H780" s="907"/>
      <c r="I780" s="907"/>
      <c r="J780" s="907"/>
      <c r="K780" s="907"/>
      <c r="L780" s="907"/>
      <c r="M780" s="907"/>
      <c r="N780" s="907"/>
      <c r="O780" s="907"/>
      <c r="P780" s="907"/>
      <c r="Q780" s="907"/>
      <c r="R780" s="907"/>
      <c r="S780" s="907"/>
      <c r="T780" s="907"/>
      <c r="U780" s="907"/>
      <c r="V780" s="907"/>
      <c r="W780" s="907"/>
      <c r="X780" s="907"/>
      <c r="Y780" s="907"/>
      <c r="Z780" s="907"/>
      <c r="AA780" s="907"/>
      <c r="AB780" s="907"/>
      <c r="AC780" s="907"/>
    </row>
    <row r="781" spans="1:29">
      <c r="A781" s="907"/>
      <c r="B781" s="907"/>
      <c r="C781" s="907"/>
      <c r="D781" s="907"/>
      <c r="E781" s="907"/>
      <c r="F781" s="907"/>
      <c r="G781" s="907"/>
      <c r="H781" s="907"/>
      <c r="I781" s="907"/>
      <c r="J781" s="907"/>
      <c r="K781" s="907"/>
      <c r="L781" s="907"/>
      <c r="M781" s="907"/>
      <c r="N781" s="907"/>
      <c r="O781" s="907"/>
      <c r="P781" s="907"/>
      <c r="Q781" s="907"/>
      <c r="R781" s="907"/>
      <c r="S781" s="907"/>
      <c r="T781" s="907"/>
      <c r="U781" s="907"/>
      <c r="V781" s="907"/>
      <c r="W781" s="907"/>
      <c r="X781" s="907"/>
      <c r="Y781" s="907"/>
      <c r="Z781" s="907"/>
      <c r="AA781" s="907"/>
      <c r="AB781" s="907"/>
      <c r="AC781" s="907"/>
    </row>
    <row r="782" spans="1:29">
      <c r="A782" s="907"/>
      <c r="B782" s="907"/>
      <c r="C782" s="907"/>
      <c r="D782" s="907"/>
      <c r="E782" s="907"/>
      <c r="F782" s="907"/>
      <c r="G782" s="907"/>
      <c r="H782" s="907"/>
      <c r="I782" s="907"/>
      <c r="J782" s="907"/>
      <c r="K782" s="907"/>
      <c r="L782" s="907"/>
      <c r="M782" s="907"/>
      <c r="N782" s="907"/>
      <c r="O782" s="907"/>
      <c r="P782" s="907"/>
      <c r="Q782" s="907"/>
      <c r="R782" s="907"/>
      <c r="S782" s="907"/>
      <c r="T782" s="907"/>
      <c r="U782" s="907"/>
      <c r="V782" s="907"/>
      <c r="W782" s="907"/>
      <c r="X782" s="907"/>
      <c r="Y782" s="907"/>
      <c r="Z782" s="907"/>
      <c r="AA782" s="907"/>
      <c r="AB782" s="907"/>
      <c r="AC782" s="907"/>
    </row>
    <row r="783" spans="1:29">
      <c r="A783" s="907"/>
      <c r="B783" s="907"/>
      <c r="C783" s="907"/>
      <c r="D783" s="907"/>
      <c r="E783" s="907"/>
      <c r="F783" s="907"/>
      <c r="G783" s="907"/>
      <c r="H783" s="907"/>
      <c r="I783" s="907"/>
      <c r="J783" s="907"/>
      <c r="K783" s="907"/>
      <c r="L783" s="907"/>
      <c r="M783" s="907"/>
      <c r="N783" s="907"/>
      <c r="O783" s="907"/>
      <c r="P783" s="907"/>
      <c r="Q783" s="907"/>
      <c r="R783" s="907"/>
      <c r="S783" s="907"/>
      <c r="T783" s="907"/>
      <c r="U783" s="907"/>
      <c r="V783" s="907"/>
      <c r="W783" s="907"/>
      <c r="X783" s="907"/>
      <c r="Y783" s="907"/>
      <c r="Z783" s="907"/>
      <c r="AA783" s="907"/>
      <c r="AB783" s="907"/>
      <c r="AC783" s="907"/>
    </row>
    <row r="784" spans="1:29">
      <c r="A784" s="907"/>
      <c r="B784" s="907"/>
      <c r="C784" s="907"/>
      <c r="D784" s="907"/>
      <c r="E784" s="907"/>
      <c r="F784" s="907"/>
      <c r="G784" s="907"/>
      <c r="H784" s="907"/>
      <c r="I784" s="907"/>
      <c r="J784" s="907"/>
      <c r="K784" s="907"/>
      <c r="L784" s="907"/>
      <c r="M784" s="907"/>
      <c r="N784" s="907"/>
      <c r="O784" s="907"/>
      <c r="P784" s="907"/>
      <c r="Q784" s="907"/>
      <c r="R784" s="907"/>
      <c r="S784" s="907"/>
      <c r="T784" s="907"/>
      <c r="U784" s="907"/>
      <c r="V784" s="907"/>
      <c r="W784" s="907"/>
      <c r="X784" s="907"/>
      <c r="Y784" s="907"/>
      <c r="Z784" s="907"/>
      <c r="AA784" s="907"/>
      <c r="AB784" s="907"/>
      <c r="AC784" s="907"/>
    </row>
    <row r="785" spans="1:29">
      <c r="A785" s="907"/>
      <c r="B785" s="907"/>
      <c r="C785" s="907"/>
      <c r="D785" s="907"/>
      <c r="E785" s="907"/>
      <c r="F785" s="907"/>
      <c r="G785" s="907"/>
      <c r="H785" s="907"/>
      <c r="I785" s="907"/>
      <c r="J785" s="907"/>
      <c r="K785" s="907"/>
      <c r="L785" s="907"/>
      <c r="M785" s="907"/>
      <c r="N785" s="907"/>
      <c r="O785" s="907"/>
      <c r="P785" s="907"/>
      <c r="Q785" s="907"/>
      <c r="R785" s="907"/>
      <c r="S785" s="907"/>
      <c r="T785" s="907"/>
      <c r="U785" s="907"/>
      <c r="V785" s="907"/>
      <c r="W785" s="907"/>
      <c r="X785" s="907"/>
      <c r="Y785" s="907"/>
      <c r="Z785" s="907"/>
      <c r="AA785" s="907"/>
      <c r="AB785" s="907"/>
      <c r="AC785" s="907"/>
    </row>
    <row r="786" spans="1:29">
      <c r="A786" s="907"/>
      <c r="B786" s="907"/>
      <c r="C786" s="907"/>
      <c r="D786" s="907"/>
      <c r="E786" s="907"/>
      <c r="F786" s="907"/>
      <c r="G786" s="907"/>
      <c r="H786" s="907"/>
      <c r="I786" s="907"/>
      <c r="J786" s="907"/>
      <c r="K786" s="907"/>
      <c r="L786" s="907"/>
      <c r="M786" s="907"/>
      <c r="N786" s="907"/>
      <c r="O786" s="907"/>
      <c r="P786" s="907"/>
      <c r="Q786" s="907"/>
      <c r="R786" s="907"/>
      <c r="S786" s="907"/>
      <c r="T786" s="907"/>
      <c r="U786" s="907"/>
      <c r="V786" s="907"/>
      <c r="W786" s="907"/>
      <c r="X786" s="907"/>
      <c r="Y786" s="907"/>
      <c r="Z786" s="907"/>
      <c r="AA786" s="907"/>
      <c r="AB786" s="907"/>
      <c r="AC786" s="907"/>
    </row>
    <row r="787" spans="1:29">
      <c r="A787" s="907"/>
      <c r="B787" s="907"/>
      <c r="C787" s="907"/>
      <c r="D787" s="907"/>
      <c r="E787" s="907"/>
      <c r="F787" s="907"/>
      <c r="G787" s="907"/>
      <c r="H787" s="907"/>
      <c r="I787" s="907"/>
      <c r="J787" s="907"/>
      <c r="K787" s="907"/>
      <c r="L787" s="907"/>
      <c r="M787" s="907"/>
      <c r="N787" s="907"/>
      <c r="O787" s="907"/>
      <c r="P787" s="907"/>
      <c r="Q787" s="907"/>
      <c r="R787" s="907"/>
      <c r="S787" s="907"/>
      <c r="T787" s="907"/>
      <c r="U787" s="907"/>
      <c r="V787" s="907"/>
      <c r="W787" s="907"/>
      <c r="X787" s="907"/>
      <c r="Y787" s="907"/>
      <c r="Z787" s="907"/>
      <c r="AA787" s="907"/>
      <c r="AB787" s="907"/>
      <c r="AC787" s="907"/>
    </row>
    <row r="788" spans="1:29">
      <c r="A788" s="907"/>
      <c r="B788" s="907"/>
      <c r="C788" s="907"/>
      <c r="D788" s="907"/>
      <c r="E788" s="907"/>
      <c r="F788" s="907"/>
      <c r="G788" s="907"/>
      <c r="H788" s="907"/>
      <c r="I788" s="907"/>
      <c r="J788" s="907"/>
      <c r="K788" s="907"/>
      <c r="L788" s="907"/>
      <c r="M788" s="907"/>
      <c r="N788" s="907"/>
      <c r="O788" s="907"/>
      <c r="P788" s="907"/>
      <c r="Q788" s="907"/>
      <c r="R788" s="907"/>
      <c r="S788" s="907"/>
      <c r="T788" s="907"/>
      <c r="U788" s="907"/>
      <c r="V788" s="907"/>
      <c r="W788" s="907"/>
      <c r="X788" s="907"/>
      <c r="Y788" s="907"/>
      <c r="Z788" s="907"/>
      <c r="AA788" s="907"/>
      <c r="AB788" s="907"/>
      <c r="AC788" s="907"/>
    </row>
    <row r="789" spans="1:29">
      <c r="A789" s="907"/>
      <c r="B789" s="907"/>
      <c r="C789" s="907"/>
      <c r="D789" s="907"/>
      <c r="E789" s="907"/>
      <c r="F789" s="907"/>
      <c r="G789" s="907"/>
      <c r="H789" s="907"/>
      <c r="I789" s="907"/>
      <c r="J789" s="907"/>
      <c r="K789" s="907"/>
      <c r="L789" s="907"/>
      <c r="M789" s="907"/>
      <c r="N789" s="907"/>
      <c r="O789" s="907"/>
      <c r="P789" s="907"/>
      <c r="Q789" s="907"/>
      <c r="R789" s="907"/>
      <c r="S789" s="907"/>
      <c r="T789" s="907"/>
      <c r="U789" s="907"/>
      <c r="V789" s="907"/>
      <c r="W789" s="907"/>
      <c r="X789" s="907"/>
      <c r="Y789" s="907"/>
      <c r="Z789" s="907"/>
      <c r="AA789" s="907"/>
      <c r="AB789" s="907"/>
      <c r="AC789" s="907"/>
    </row>
    <row r="790" spans="1:29">
      <c r="A790" s="907"/>
      <c r="B790" s="907"/>
      <c r="C790" s="907"/>
      <c r="D790" s="907"/>
      <c r="E790" s="907"/>
      <c r="F790" s="907"/>
      <c r="G790" s="907"/>
      <c r="H790" s="907"/>
      <c r="I790" s="907"/>
      <c r="J790" s="907"/>
      <c r="K790" s="907"/>
      <c r="L790" s="907"/>
      <c r="M790" s="907"/>
      <c r="N790" s="907"/>
      <c r="O790" s="907"/>
      <c r="P790" s="907"/>
      <c r="Q790" s="907"/>
      <c r="R790" s="907"/>
      <c r="S790" s="907"/>
      <c r="T790" s="907"/>
      <c r="U790" s="907"/>
      <c r="V790" s="907"/>
      <c r="W790" s="907"/>
      <c r="X790" s="907"/>
      <c r="Y790" s="907"/>
      <c r="Z790" s="907"/>
      <c r="AA790" s="907"/>
      <c r="AB790" s="907"/>
      <c r="AC790" s="907"/>
    </row>
    <row r="791" spans="1:29">
      <c r="A791" s="907"/>
      <c r="B791" s="907"/>
      <c r="C791" s="907"/>
      <c r="D791" s="907"/>
      <c r="E791" s="907"/>
      <c r="F791" s="907"/>
      <c r="G791" s="907"/>
      <c r="H791" s="907"/>
      <c r="I791" s="907"/>
      <c r="J791" s="907"/>
      <c r="K791" s="907"/>
      <c r="L791" s="907"/>
      <c r="M791" s="907"/>
      <c r="N791" s="907"/>
      <c r="O791" s="907"/>
      <c r="P791" s="907"/>
      <c r="Q791" s="907"/>
      <c r="R791" s="907"/>
      <c r="S791" s="907"/>
      <c r="T791" s="907"/>
      <c r="U791" s="907"/>
      <c r="V791" s="907"/>
      <c r="W791" s="907"/>
      <c r="X791" s="907"/>
      <c r="Y791" s="907"/>
      <c r="Z791" s="907"/>
      <c r="AA791" s="907"/>
      <c r="AB791" s="907"/>
      <c r="AC791" s="907"/>
    </row>
    <row r="792" spans="1:29">
      <c r="A792" s="907"/>
      <c r="B792" s="907"/>
      <c r="C792" s="907"/>
      <c r="D792" s="907"/>
      <c r="E792" s="907"/>
      <c r="F792" s="907"/>
      <c r="G792" s="907"/>
      <c r="H792" s="907"/>
      <c r="I792" s="907"/>
      <c r="J792" s="907"/>
      <c r="K792" s="907"/>
      <c r="L792" s="907"/>
      <c r="M792" s="907"/>
      <c r="N792" s="907"/>
      <c r="O792" s="907"/>
      <c r="P792" s="907"/>
      <c r="Q792" s="907"/>
      <c r="R792" s="907"/>
      <c r="S792" s="907"/>
      <c r="T792" s="907"/>
      <c r="U792" s="907"/>
      <c r="V792" s="907"/>
      <c r="W792" s="907"/>
      <c r="X792" s="907"/>
      <c r="Y792" s="907"/>
      <c r="Z792" s="907"/>
      <c r="AA792" s="907"/>
      <c r="AB792" s="907"/>
      <c r="AC792" s="907"/>
    </row>
    <row r="793" spans="1:29">
      <c r="A793" s="907"/>
      <c r="B793" s="907"/>
      <c r="C793" s="907"/>
      <c r="D793" s="907"/>
      <c r="E793" s="907"/>
      <c r="F793" s="907"/>
      <c r="G793" s="907"/>
      <c r="H793" s="907"/>
      <c r="I793" s="907"/>
      <c r="J793" s="907"/>
      <c r="K793" s="907"/>
      <c r="L793" s="907"/>
      <c r="M793" s="907"/>
      <c r="N793" s="907"/>
      <c r="O793" s="907"/>
      <c r="P793" s="907"/>
      <c r="Q793" s="907"/>
      <c r="R793" s="907"/>
      <c r="S793" s="907"/>
      <c r="T793" s="907"/>
      <c r="U793" s="907"/>
      <c r="V793" s="907"/>
      <c r="W793" s="907"/>
      <c r="X793" s="907"/>
      <c r="Y793" s="907"/>
      <c r="Z793" s="907"/>
      <c r="AA793" s="907"/>
      <c r="AB793" s="907"/>
      <c r="AC793" s="907"/>
    </row>
    <row r="794" spans="1:29">
      <c r="A794" s="907"/>
      <c r="B794" s="907"/>
      <c r="C794" s="907"/>
      <c r="D794" s="907"/>
      <c r="E794" s="907"/>
      <c r="F794" s="907"/>
      <c r="G794" s="907"/>
      <c r="H794" s="907"/>
      <c r="I794" s="907"/>
      <c r="J794" s="907"/>
      <c r="K794" s="907"/>
      <c r="L794" s="907"/>
      <c r="M794" s="907"/>
      <c r="N794" s="907"/>
      <c r="O794" s="907"/>
      <c r="P794" s="907"/>
      <c r="Q794" s="907"/>
      <c r="R794" s="907"/>
      <c r="S794" s="907"/>
      <c r="T794" s="907"/>
      <c r="U794" s="907"/>
      <c r="V794" s="907"/>
      <c r="W794" s="907"/>
      <c r="X794" s="907"/>
      <c r="Y794" s="907"/>
      <c r="Z794" s="907"/>
      <c r="AA794" s="907"/>
      <c r="AB794" s="907"/>
      <c r="AC794" s="907"/>
    </row>
    <row r="795" spans="1:29">
      <c r="A795" s="907"/>
      <c r="B795" s="907"/>
      <c r="C795" s="907"/>
      <c r="D795" s="907"/>
      <c r="E795" s="907"/>
      <c r="F795" s="907"/>
      <c r="G795" s="907"/>
      <c r="H795" s="907"/>
      <c r="I795" s="907"/>
      <c r="J795" s="907"/>
      <c r="K795" s="907"/>
      <c r="L795" s="907"/>
      <c r="M795" s="907"/>
      <c r="N795" s="907"/>
      <c r="O795" s="907"/>
      <c r="P795" s="907"/>
      <c r="Q795" s="907"/>
      <c r="R795" s="907"/>
      <c r="S795" s="907"/>
      <c r="T795" s="907"/>
      <c r="U795" s="907"/>
      <c r="V795" s="907"/>
      <c r="W795" s="907"/>
      <c r="X795" s="907"/>
      <c r="Y795" s="907"/>
      <c r="Z795" s="907"/>
      <c r="AA795" s="907"/>
      <c r="AB795" s="907"/>
      <c r="AC795" s="907"/>
    </row>
    <row r="796" spans="1:29">
      <c r="A796" s="907"/>
      <c r="B796" s="907"/>
      <c r="C796" s="907"/>
      <c r="D796" s="907"/>
      <c r="E796" s="907"/>
      <c r="F796" s="907"/>
      <c r="G796" s="907"/>
      <c r="H796" s="907"/>
      <c r="I796" s="907"/>
      <c r="J796" s="907"/>
      <c r="K796" s="907"/>
      <c r="L796" s="907"/>
      <c r="M796" s="907"/>
      <c r="N796" s="907"/>
      <c r="O796" s="907"/>
      <c r="P796" s="907"/>
      <c r="Q796" s="907"/>
      <c r="R796" s="907"/>
      <c r="S796" s="907"/>
      <c r="T796" s="907"/>
      <c r="U796" s="907"/>
      <c r="V796" s="907"/>
      <c r="W796" s="907"/>
      <c r="X796" s="907"/>
      <c r="Y796" s="907"/>
      <c r="Z796" s="907"/>
      <c r="AA796" s="907"/>
      <c r="AB796" s="907"/>
      <c r="AC796" s="907"/>
    </row>
    <row r="797" spans="1:29">
      <c r="A797" s="907"/>
      <c r="B797" s="907"/>
      <c r="C797" s="907"/>
      <c r="D797" s="907"/>
      <c r="E797" s="907"/>
      <c r="F797" s="907"/>
      <c r="G797" s="907"/>
      <c r="H797" s="907"/>
      <c r="I797" s="907"/>
      <c r="J797" s="907"/>
      <c r="K797" s="907"/>
      <c r="L797" s="907"/>
      <c r="M797" s="907"/>
      <c r="N797" s="907"/>
      <c r="O797" s="907"/>
      <c r="P797" s="907"/>
      <c r="Q797" s="907"/>
      <c r="R797" s="907"/>
      <c r="S797" s="907"/>
      <c r="T797" s="907"/>
      <c r="U797" s="907"/>
      <c r="V797" s="907"/>
      <c r="W797" s="907"/>
      <c r="X797" s="907"/>
      <c r="Y797" s="907"/>
      <c r="Z797" s="907"/>
      <c r="AA797" s="907"/>
      <c r="AB797" s="907"/>
      <c r="AC797" s="907"/>
    </row>
    <row r="798" spans="1:29">
      <c r="A798" s="907"/>
      <c r="B798" s="907"/>
      <c r="C798" s="907"/>
      <c r="D798" s="907"/>
      <c r="E798" s="907"/>
      <c r="F798" s="907"/>
      <c r="G798" s="907"/>
      <c r="H798" s="907"/>
      <c r="I798" s="907"/>
      <c r="J798" s="907"/>
      <c r="K798" s="907"/>
      <c r="L798" s="907"/>
      <c r="M798" s="907"/>
      <c r="N798" s="907"/>
      <c r="O798" s="907"/>
      <c r="P798" s="907"/>
      <c r="Q798" s="907"/>
      <c r="R798" s="907"/>
      <c r="S798" s="907"/>
      <c r="T798" s="907"/>
      <c r="U798" s="907"/>
      <c r="V798" s="907"/>
      <c r="W798" s="907"/>
      <c r="X798" s="907"/>
      <c r="Y798" s="907"/>
      <c r="Z798" s="907"/>
      <c r="AA798" s="907"/>
      <c r="AB798" s="907"/>
      <c r="AC798" s="907"/>
    </row>
    <row r="799" spans="1:29">
      <c r="A799" s="907"/>
      <c r="B799" s="907"/>
      <c r="C799" s="907"/>
      <c r="D799" s="907"/>
      <c r="E799" s="907"/>
      <c r="F799" s="907"/>
      <c r="G799" s="907"/>
      <c r="H799" s="907"/>
      <c r="I799" s="907"/>
      <c r="J799" s="907"/>
      <c r="K799" s="907"/>
      <c r="L799" s="907"/>
      <c r="M799" s="907"/>
      <c r="N799" s="907"/>
      <c r="O799" s="907"/>
      <c r="P799" s="907"/>
      <c r="Q799" s="907"/>
      <c r="R799" s="907"/>
      <c r="S799" s="907"/>
      <c r="T799" s="907"/>
      <c r="U799" s="907"/>
      <c r="V799" s="907"/>
      <c r="W799" s="907"/>
      <c r="X799" s="907"/>
      <c r="Y799" s="907"/>
      <c r="Z799" s="907"/>
      <c r="AA799" s="907"/>
      <c r="AB799" s="907"/>
      <c r="AC799" s="907"/>
    </row>
    <row r="800" spans="1:29">
      <c r="A800" s="907"/>
      <c r="B800" s="907"/>
      <c r="C800" s="907"/>
      <c r="D800" s="907"/>
      <c r="E800" s="907"/>
      <c r="F800" s="907"/>
      <c r="G800" s="907"/>
      <c r="H800" s="907"/>
      <c r="I800" s="907"/>
      <c r="J800" s="907"/>
      <c r="K800" s="907"/>
      <c r="L800" s="907"/>
      <c r="M800" s="907"/>
      <c r="N800" s="907"/>
      <c r="O800" s="907"/>
      <c r="P800" s="907"/>
      <c r="Q800" s="907"/>
      <c r="R800" s="907"/>
      <c r="S800" s="907"/>
      <c r="T800" s="907"/>
      <c r="U800" s="907"/>
      <c r="V800" s="907"/>
      <c r="W800" s="907"/>
      <c r="X800" s="907"/>
      <c r="Y800" s="907"/>
      <c r="Z800" s="907"/>
      <c r="AA800" s="907"/>
      <c r="AB800" s="907"/>
      <c r="AC800" s="907"/>
    </row>
    <row r="801" spans="1:29">
      <c r="A801" s="907"/>
      <c r="B801" s="907"/>
      <c r="C801" s="907"/>
      <c r="D801" s="907"/>
      <c r="E801" s="907"/>
      <c r="F801" s="907"/>
      <c r="G801" s="907"/>
      <c r="H801" s="907"/>
      <c r="I801" s="907"/>
      <c r="J801" s="907"/>
      <c r="K801" s="907"/>
      <c r="L801" s="907"/>
      <c r="M801" s="907"/>
      <c r="N801" s="907"/>
      <c r="O801" s="907"/>
      <c r="P801" s="907"/>
      <c r="Q801" s="907"/>
      <c r="R801" s="907"/>
      <c r="S801" s="907"/>
      <c r="T801" s="907"/>
      <c r="U801" s="907"/>
      <c r="V801" s="907"/>
      <c r="W801" s="907"/>
      <c r="X801" s="907"/>
      <c r="Y801" s="907"/>
      <c r="Z801" s="907"/>
      <c r="AA801" s="907"/>
      <c r="AB801" s="907"/>
      <c r="AC801" s="907"/>
    </row>
    <row r="802" spans="1:29">
      <c r="A802" s="907"/>
      <c r="B802" s="907"/>
      <c r="C802" s="907"/>
      <c r="D802" s="907"/>
      <c r="E802" s="907"/>
      <c r="F802" s="907"/>
      <c r="G802" s="907"/>
      <c r="H802" s="907"/>
      <c r="I802" s="907"/>
      <c r="J802" s="907"/>
      <c r="K802" s="907"/>
      <c r="L802" s="907"/>
      <c r="M802" s="907"/>
      <c r="N802" s="907"/>
      <c r="O802" s="907"/>
      <c r="P802" s="907"/>
      <c r="Q802" s="907"/>
      <c r="R802" s="907"/>
      <c r="S802" s="907"/>
      <c r="T802" s="907"/>
      <c r="U802" s="907"/>
      <c r="V802" s="907"/>
      <c r="W802" s="907"/>
      <c r="X802" s="907"/>
      <c r="Y802" s="907"/>
      <c r="Z802" s="907"/>
      <c r="AA802" s="907"/>
      <c r="AB802" s="907"/>
      <c r="AC802" s="907"/>
    </row>
    <row r="803" spans="1:29">
      <c r="A803" s="907"/>
      <c r="B803" s="907"/>
      <c r="C803" s="907"/>
      <c r="D803" s="907"/>
      <c r="E803" s="907"/>
      <c r="F803" s="907"/>
      <c r="G803" s="907"/>
      <c r="H803" s="907"/>
      <c r="I803" s="907"/>
      <c r="J803" s="907"/>
      <c r="K803" s="907"/>
      <c r="L803" s="907"/>
      <c r="M803" s="907"/>
      <c r="N803" s="907"/>
      <c r="O803" s="907"/>
      <c r="P803" s="907"/>
      <c r="Q803" s="907"/>
      <c r="R803" s="907"/>
      <c r="S803" s="907"/>
      <c r="T803" s="907"/>
      <c r="U803" s="907"/>
      <c r="V803" s="907"/>
      <c r="W803" s="907"/>
      <c r="X803" s="907"/>
      <c r="Y803" s="907"/>
      <c r="Z803" s="907"/>
      <c r="AA803" s="907"/>
      <c r="AB803" s="907"/>
      <c r="AC803" s="907"/>
    </row>
    <row r="804" spans="1:29">
      <c r="A804" s="907"/>
      <c r="B804" s="907"/>
      <c r="C804" s="907"/>
      <c r="D804" s="907"/>
      <c r="E804" s="907"/>
      <c r="F804" s="907"/>
      <c r="G804" s="907"/>
      <c r="H804" s="907"/>
      <c r="I804" s="907"/>
      <c r="J804" s="907"/>
      <c r="K804" s="907"/>
      <c r="L804" s="907"/>
      <c r="M804" s="907"/>
      <c r="N804" s="907"/>
      <c r="O804" s="907"/>
      <c r="P804" s="907"/>
      <c r="Q804" s="907"/>
      <c r="R804" s="907"/>
      <c r="S804" s="907"/>
      <c r="T804" s="907"/>
      <c r="U804" s="907"/>
      <c r="V804" s="907"/>
      <c r="W804" s="907"/>
      <c r="X804" s="907"/>
      <c r="Y804" s="907"/>
      <c r="Z804" s="907"/>
      <c r="AA804" s="907"/>
      <c r="AB804" s="907"/>
      <c r="AC804" s="907"/>
    </row>
    <row r="805" spans="1:29">
      <c r="A805" s="907"/>
      <c r="B805" s="907"/>
      <c r="C805" s="907"/>
      <c r="D805" s="907"/>
      <c r="E805" s="907"/>
      <c r="F805" s="907"/>
      <c r="G805" s="907"/>
      <c r="H805" s="907"/>
      <c r="I805" s="907"/>
      <c r="J805" s="907"/>
      <c r="K805" s="907"/>
      <c r="L805" s="907"/>
      <c r="M805" s="907"/>
      <c r="N805" s="907"/>
      <c r="O805" s="907"/>
      <c r="P805" s="907"/>
      <c r="Q805" s="907"/>
      <c r="R805" s="907"/>
      <c r="S805" s="907"/>
      <c r="T805" s="907"/>
      <c r="U805" s="907"/>
      <c r="V805" s="907"/>
      <c r="W805" s="907"/>
      <c r="X805" s="907"/>
      <c r="Y805" s="907"/>
      <c r="Z805" s="907"/>
      <c r="AA805" s="907"/>
      <c r="AB805" s="907"/>
      <c r="AC805" s="907"/>
    </row>
    <row r="806" spans="1:29">
      <c r="A806" s="907"/>
      <c r="B806" s="907"/>
      <c r="C806" s="907"/>
      <c r="D806" s="907"/>
      <c r="E806" s="907"/>
      <c r="F806" s="907"/>
      <c r="G806" s="907"/>
      <c r="H806" s="907"/>
      <c r="I806" s="907"/>
      <c r="J806" s="907"/>
      <c r="K806" s="907"/>
      <c r="L806" s="907"/>
      <c r="M806" s="907"/>
      <c r="N806" s="907"/>
      <c r="O806" s="907"/>
      <c r="P806" s="907"/>
      <c r="Q806" s="907"/>
      <c r="R806" s="907"/>
      <c r="S806" s="907"/>
      <c r="T806" s="907"/>
      <c r="U806" s="907"/>
      <c r="V806" s="907"/>
      <c r="W806" s="907"/>
      <c r="X806" s="907"/>
      <c r="Y806" s="907"/>
      <c r="Z806" s="907"/>
      <c r="AA806" s="907"/>
      <c r="AB806" s="907"/>
      <c r="AC806" s="907"/>
    </row>
    <row r="807" spans="1:29">
      <c r="A807" s="907"/>
      <c r="B807" s="907"/>
      <c r="C807" s="907"/>
      <c r="D807" s="907"/>
      <c r="E807" s="907"/>
      <c r="F807" s="907"/>
      <c r="G807" s="907"/>
      <c r="H807" s="907"/>
      <c r="I807" s="907"/>
      <c r="J807" s="907"/>
      <c r="K807" s="907"/>
      <c r="L807" s="907"/>
      <c r="M807" s="907"/>
      <c r="N807" s="907"/>
      <c r="O807" s="907"/>
      <c r="P807" s="907"/>
      <c r="Q807" s="907"/>
      <c r="R807" s="907"/>
      <c r="S807" s="907"/>
      <c r="T807" s="907"/>
      <c r="U807" s="907"/>
      <c r="V807" s="907"/>
      <c r="W807" s="907"/>
      <c r="X807" s="907"/>
      <c r="Y807" s="907"/>
      <c r="Z807" s="907"/>
      <c r="AA807" s="907"/>
      <c r="AB807" s="907"/>
      <c r="AC807" s="907"/>
    </row>
    <row r="808" spans="1:29">
      <c r="A808" s="907"/>
      <c r="B808" s="907"/>
      <c r="C808" s="907"/>
      <c r="D808" s="907"/>
      <c r="E808" s="907"/>
      <c r="F808" s="907"/>
      <c r="G808" s="907"/>
      <c r="H808" s="907"/>
      <c r="I808" s="907"/>
      <c r="J808" s="907"/>
      <c r="K808" s="907"/>
      <c r="L808" s="907"/>
      <c r="M808" s="907"/>
      <c r="N808" s="907"/>
      <c r="O808" s="907"/>
      <c r="P808" s="907"/>
      <c r="Q808" s="907"/>
      <c r="R808" s="907"/>
      <c r="S808" s="907"/>
      <c r="T808" s="907"/>
      <c r="U808" s="907"/>
      <c r="V808" s="907"/>
      <c r="W808" s="907"/>
      <c r="X808" s="907"/>
      <c r="Y808" s="907"/>
      <c r="Z808" s="907"/>
      <c r="AA808" s="907"/>
      <c r="AB808" s="907"/>
      <c r="AC808" s="907"/>
    </row>
    <row r="809" spans="1:29">
      <c r="A809" s="907"/>
      <c r="B809" s="907"/>
      <c r="C809" s="907"/>
      <c r="D809" s="907"/>
      <c r="E809" s="907"/>
      <c r="F809" s="907"/>
      <c r="G809" s="907"/>
      <c r="H809" s="907"/>
      <c r="I809" s="907"/>
      <c r="J809" s="907"/>
      <c r="K809" s="907"/>
      <c r="L809" s="907"/>
      <c r="M809" s="907"/>
      <c r="N809" s="907"/>
      <c r="O809" s="907"/>
      <c r="P809" s="907"/>
      <c r="Q809" s="907"/>
      <c r="R809" s="907"/>
      <c r="S809" s="907"/>
      <c r="T809" s="907"/>
      <c r="U809" s="907"/>
      <c r="V809" s="907"/>
      <c r="W809" s="907"/>
      <c r="X809" s="907"/>
      <c r="Y809" s="907"/>
      <c r="Z809" s="907"/>
      <c r="AA809" s="907"/>
      <c r="AB809" s="907"/>
      <c r="AC809" s="907"/>
    </row>
    <row r="810" spans="1:29">
      <c r="A810" s="907"/>
      <c r="B810" s="907"/>
      <c r="C810" s="907"/>
      <c r="D810" s="907"/>
      <c r="E810" s="907"/>
      <c r="F810" s="907"/>
      <c r="G810" s="907"/>
      <c r="H810" s="907"/>
      <c r="I810" s="907"/>
      <c r="J810" s="907"/>
      <c r="K810" s="907"/>
      <c r="L810" s="907"/>
      <c r="M810" s="907"/>
      <c r="N810" s="907"/>
      <c r="O810" s="907"/>
      <c r="P810" s="907"/>
      <c r="Q810" s="907"/>
      <c r="R810" s="907"/>
      <c r="S810" s="907"/>
      <c r="T810" s="907"/>
      <c r="U810" s="907"/>
      <c r="V810" s="907"/>
      <c r="W810" s="907"/>
      <c r="X810" s="907"/>
      <c r="Y810" s="907"/>
      <c r="Z810" s="907"/>
      <c r="AA810" s="907"/>
      <c r="AB810" s="907"/>
      <c r="AC810" s="907"/>
    </row>
    <row r="811" spans="1:29">
      <c r="A811" s="907"/>
      <c r="B811" s="907"/>
      <c r="C811" s="907"/>
      <c r="D811" s="907"/>
      <c r="E811" s="907"/>
      <c r="F811" s="907"/>
      <c r="G811" s="907"/>
      <c r="H811" s="907"/>
      <c r="I811" s="907"/>
      <c r="J811" s="907"/>
      <c r="K811" s="907"/>
      <c r="L811" s="907"/>
      <c r="M811" s="907"/>
      <c r="N811" s="907"/>
      <c r="O811" s="907"/>
      <c r="P811" s="907"/>
      <c r="Q811" s="907"/>
      <c r="R811" s="907"/>
      <c r="S811" s="907"/>
      <c r="T811" s="907"/>
      <c r="U811" s="907"/>
      <c r="V811" s="907"/>
      <c r="W811" s="907"/>
      <c r="X811" s="907"/>
      <c r="Y811" s="907"/>
      <c r="Z811" s="907"/>
      <c r="AA811" s="907"/>
      <c r="AB811" s="907"/>
      <c r="AC811" s="907"/>
    </row>
    <row r="812" spans="1:29">
      <c r="A812" s="907"/>
      <c r="B812" s="907"/>
      <c r="C812" s="907"/>
      <c r="D812" s="907"/>
      <c r="E812" s="907"/>
      <c r="F812" s="907"/>
      <c r="G812" s="907"/>
      <c r="H812" s="907"/>
      <c r="I812" s="907"/>
      <c r="J812" s="907"/>
      <c r="K812" s="907"/>
      <c r="L812" s="907"/>
      <c r="M812" s="907"/>
      <c r="N812" s="907"/>
      <c r="O812" s="907"/>
      <c r="P812" s="907"/>
      <c r="Q812" s="907"/>
      <c r="R812" s="907"/>
      <c r="S812" s="907"/>
      <c r="T812" s="907"/>
      <c r="U812" s="907"/>
      <c r="V812" s="907"/>
      <c r="W812" s="907"/>
      <c r="X812" s="907"/>
      <c r="Y812" s="907"/>
      <c r="Z812" s="907"/>
      <c r="AA812" s="907"/>
      <c r="AB812" s="907"/>
      <c r="AC812" s="907"/>
    </row>
    <row r="813" spans="1:29">
      <c r="A813" s="907"/>
      <c r="B813" s="907"/>
      <c r="C813" s="907"/>
      <c r="D813" s="907"/>
      <c r="E813" s="907"/>
      <c r="F813" s="907"/>
      <c r="G813" s="907"/>
      <c r="H813" s="907"/>
      <c r="I813" s="907"/>
      <c r="J813" s="907"/>
      <c r="K813" s="907"/>
      <c r="L813" s="907"/>
      <c r="M813" s="907"/>
      <c r="N813" s="907"/>
      <c r="O813" s="907"/>
      <c r="P813" s="907"/>
      <c r="Q813" s="907"/>
      <c r="R813" s="907"/>
      <c r="S813" s="907"/>
      <c r="T813" s="907"/>
      <c r="U813" s="907"/>
      <c r="V813" s="907"/>
      <c r="W813" s="907"/>
      <c r="X813" s="907"/>
      <c r="Y813" s="907"/>
      <c r="Z813" s="907"/>
      <c r="AA813" s="907"/>
      <c r="AB813" s="907"/>
      <c r="AC813" s="907"/>
    </row>
    <row r="814" spans="1:29">
      <c r="A814" s="907"/>
      <c r="B814" s="907"/>
      <c r="C814" s="907"/>
      <c r="D814" s="907"/>
      <c r="E814" s="907"/>
      <c r="F814" s="907"/>
      <c r="G814" s="907"/>
      <c r="H814" s="907"/>
      <c r="I814" s="907"/>
      <c r="J814" s="907"/>
      <c r="K814" s="907"/>
      <c r="L814" s="907"/>
      <c r="M814" s="907"/>
      <c r="N814" s="907"/>
      <c r="O814" s="907"/>
      <c r="P814" s="907"/>
      <c r="Q814" s="907"/>
      <c r="R814" s="907"/>
      <c r="S814" s="907"/>
      <c r="T814" s="907"/>
      <c r="U814" s="907"/>
      <c r="V814" s="907"/>
      <c r="W814" s="907"/>
      <c r="X814" s="907"/>
      <c r="Y814" s="907"/>
      <c r="Z814" s="907"/>
      <c r="AA814" s="907"/>
      <c r="AB814" s="907"/>
      <c r="AC814" s="907"/>
    </row>
  </sheetData>
  <mergeCells count="25">
    <mergeCell ref="AA60:AA61"/>
    <mergeCell ref="N13:N14"/>
    <mergeCell ref="T16:U17"/>
    <mergeCell ref="X16:X17"/>
    <mergeCell ref="AA16:AB17"/>
    <mergeCell ref="V23:W27"/>
    <mergeCell ref="P25:Q26"/>
    <mergeCell ref="N28:N29"/>
    <mergeCell ref="N15:N22"/>
    <mergeCell ref="N23:N25"/>
    <mergeCell ref="R42:R43"/>
    <mergeCell ref="W42:W43"/>
    <mergeCell ref="Q59:Q60"/>
    <mergeCell ref="S59:T60"/>
    <mergeCell ref="A4:A5"/>
    <mergeCell ref="N4:N5"/>
    <mergeCell ref="A6:A7"/>
    <mergeCell ref="A8:A10"/>
    <mergeCell ref="A11:A12"/>
    <mergeCell ref="N11:N12"/>
    <mergeCell ref="A13:A14"/>
    <mergeCell ref="A15:A22"/>
    <mergeCell ref="A23:A25"/>
    <mergeCell ref="A26:A27"/>
    <mergeCell ref="A28:A29"/>
  </mergeCells>
  <phoneticPr fontId="135"/>
  <printOptions horizontalCentered="1" gridLines="1"/>
  <pageMargins left="0.25" right="0.25" top="0.75" bottom="0.75" header="0" footer="0"/>
  <pageSetup paperSize="9" pageOrder="overThenDown" orientation="landscape"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AL910"/>
  <sheetViews>
    <sheetView workbookViewId="0"/>
  </sheetViews>
  <sheetFormatPr defaultColWidth="12.6328125" defaultRowHeight="15" customHeight="1"/>
  <cols>
    <col min="1" max="1" width="6.453125" customWidth="1"/>
    <col min="2" max="2" width="4" customWidth="1"/>
    <col min="3" max="3" width="6.453125" customWidth="1"/>
    <col min="4" max="4" width="13.453125" customWidth="1"/>
    <col min="5" max="5" width="31.6328125" customWidth="1"/>
    <col min="6" max="6" width="4.6328125" customWidth="1"/>
    <col min="7" max="7" width="9.90625" customWidth="1"/>
    <col min="8" max="8" width="4.6328125" customWidth="1"/>
    <col min="9" max="9" width="12" customWidth="1"/>
    <col min="10" max="10" width="14.453125" customWidth="1"/>
    <col min="11" max="11" width="12" customWidth="1"/>
    <col min="12" max="12" width="8.36328125" customWidth="1"/>
    <col min="13" max="13" width="8.36328125" hidden="1" customWidth="1"/>
    <col min="14" max="14" width="15.36328125" customWidth="1"/>
    <col min="15" max="15" width="12" customWidth="1"/>
    <col min="16" max="16" width="16.90625" customWidth="1"/>
    <col min="17" max="34" width="11.453125" customWidth="1"/>
  </cols>
  <sheetData>
    <row r="1" spans="1:38">
      <c r="A1" s="907" t="s">
        <v>4474</v>
      </c>
      <c r="B1" s="906"/>
      <c r="C1" s="907"/>
      <c r="D1" s="908" t="s">
        <v>920</v>
      </c>
      <c r="E1" s="907"/>
      <c r="F1" s="907"/>
      <c r="G1" s="907"/>
      <c r="H1" s="907"/>
      <c r="I1" s="907"/>
      <c r="J1" s="907"/>
      <c r="K1" s="907">
        <f ca="1">COUNTA(C4:C21)</f>
        <v>5</v>
      </c>
      <c r="L1" s="907" t="s">
        <v>4475</v>
      </c>
      <c r="M1" s="907"/>
      <c r="N1" s="907" t="s">
        <v>4476</v>
      </c>
      <c r="O1" s="907"/>
      <c r="P1" s="907"/>
      <c r="Q1" s="907"/>
      <c r="R1" s="907"/>
      <c r="S1" s="907"/>
      <c r="T1" s="907"/>
      <c r="U1" s="907"/>
      <c r="V1" s="907"/>
      <c r="W1" s="907"/>
      <c r="X1" s="907"/>
      <c r="Y1" s="907"/>
      <c r="Z1" s="907"/>
      <c r="AA1" s="907"/>
      <c r="AB1" s="907"/>
      <c r="AC1" s="907"/>
      <c r="AD1" s="907"/>
      <c r="AE1" s="907"/>
      <c r="AF1" s="907"/>
      <c r="AG1" s="907"/>
      <c r="AH1" s="907"/>
      <c r="AI1" s="907"/>
      <c r="AJ1" s="907"/>
      <c r="AK1" s="907"/>
      <c r="AL1" s="907"/>
    </row>
    <row r="2" spans="1:38">
      <c r="A2" s="907"/>
      <c r="B2" s="906"/>
      <c r="C2" s="907"/>
      <c r="D2" s="907" t="s">
        <v>4442</v>
      </c>
      <c r="E2" s="907"/>
      <c r="F2" s="907"/>
      <c r="G2" s="907"/>
      <c r="H2" s="907"/>
      <c r="I2" s="907"/>
      <c r="J2" s="907"/>
      <c r="K2" s="907"/>
      <c r="L2" s="907"/>
      <c r="M2" s="907"/>
      <c r="N2" s="907"/>
      <c r="O2" s="907"/>
      <c r="P2" s="907"/>
      <c r="Q2" s="907"/>
      <c r="R2" s="907"/>
      <c r="S2" s="907"/>
      <c r="T2" s="907"/>
      <c r="U2" s="907"/>
      <c r="V2" s="907"/>
      <c r="W2" s="907"/>
      <c r="X2" s="907"/>
      <c r="Y2" s="907"/>
      <c r="Z2" s="907"/>
      <c r="AA2" s="907"/>
      <c r="AB2" s="907"/>
      <c r="AC2" s="907"/>
      <c r="AD2" s="907"/>
      <c r="AE2" s="907"/>
      <c r="AF2" s="907"/>
      <c r="AG2" s="907"/>
      <c r="AH2" s="907"/>
      <c r="AI2" s="907"/>
      <c r="AJ2" s="907"/>
      <c r="AK2" s="907"/>
      <c r="AL2" s="907"/>
    </row>
    <row r="3" spans="1:38">
      <c r="A3" s="1251" t="s">
        <v>4477</v>
      </c>
      <c r="B3" s="1252" t="str">
        <f ca="1">IFERROR(__xludf.DUMMYFUNCTION("QUERY('管理表'!A:AP,""select B,C,D,G,J,K,L,N,O,Q,T where ((C = '津吉' and R = '""&amp;$D$1&amp;$N4&amp;""'and S = '""&amp;$A4&amp;""')) and not(AH = '退職')"",1)"),"No")</f>
        <v>No</v>
      </c>
      <c r="C3" s="1252" t="str">
        <f ca="1">IFERROR(__xludf.DUMMYFUNCTION("""COMPUTED_VALUE"""),"勤務地")</f>
        <v>勤務地</v>
      </c>
      <c r="D3" s="1252" t="str">
        <f ca="1">IFERROR(__xludf.DUMMYFUNCTION("""COMPUTED_VALUE"""),"国籍")</f>
        <v>国籍</v>
      </c>
      <c r="E3" s="1252" t="str">
        <f ca="1">IFERROR(__xludf.DUMMYFUNCTION("""COMPUTED_VALUE"""),"フリガナ")</f>
        <v>フリガナ</v>
      </c>
      <c r="F3" s="1252" t="str">
        <f ca="1">IFERROR(__xludf.DUMMYFUNCTION("""COMPUTED_VALUE"""),"性別")</f>
        <v>性別</v>
      </c>
      <c r="G3" s="1252" t="str">
        <f ca="1">IFERROR(__xludf.DUMMYFUNCTION("""COMPUTED_VALUE"""),"生年月日")</f>
        <v>生年月日</v>
      </c>
      <c r="H3" s="1252" t="str">
        <f ca="1">IFERROR(__xludf.DUMMYFUNCTION("""COMPUTED_VALUE"""),"年齢")</f>
        <v>年齢</v>
      </c>
      <c r="I3" s="1252" t="str">
        <f ca="1">IFERROR(__xludf.DUMMYFUNCTION("""COMPUTED_VALUE"""),"登録支援機関")</f>
        <v>登録支援機関</v>
      </c>
      <c r="J3" s="1252" t="str">
        <f ca="1">IFERROR(__xludf.DUMMYFUNCTION("""COMPUTED_VALUE"""),"入社日")</f>
        <v>入社日</v>
      </c>
      <c r="K3" s="1252" t="str">
        <f ca="1">IFERROR(__xludf.DUMMYFUNCTION("""COMPUTED_VALUE"""),"実習区分")</f>
        <v>実習区分</v>
      </c>
      <c r="L3" s="1253" t="str">
        <f ca="1">IFERROR(__xludf.DUMMYFUNCTION("""COMPUTED_VALUE"""),"家賃負担")</f>
        <v>家賃負担</v>
      </c>
      <c r="M3" s="1252"/>
      <c r="N3" s="1254" t="s">
        <v>4262</v>
      </c>
      <c r="O3" s="907"/>
      <c r="P3" s="907"/>
      <c r="Q3" s="907"/>
      <c r="R3" s="907"/>
      <c r="S3" s="907"/>
      <c r="T3" s="907"/>
      <c r="U3" s="907"/>
      <c r="V3" s="907"/>
      <c r="W3" s="907"/>
      <c r="X3" s="907"/>
      <c r="Y3" s="907"/>
      <c r="Z3" s="907"/>
      <c r="AA3" s="907"/>
      <c r="AB3" s="907"/>
      <c r="AC3" s="907"/>
      <c r="AD3" s="907"/>
      <c r="AE3" s="907"/>
      <c r="AF3" s="907"/>
      <c r="AG3" s="907"/>
      <c r="AH3" s="907"/>
      <c r="AI3" s="907"/>
      <c r="AJ3" s="907"/>
      <c r="AK3" s="907"/>
      <c r="AL3" s="907"/>
    </row>
    <row r="4" spans="1:38">
      <c r="A4" s="1688">
        <v>6</v>
      </c>
      <c r="B4" s="1302">
        <f ca="1">IFERROR(__xludf.DUMMYFUNCTION("QUERY('管理表'!A:AP,""select B,C,D,G,J,K,L,N,O,Q,T where ((C = '津吉' and R = '""&amp;$D$1&amp;""' and S = '""&amp;$N$4&amp;""')) and not(AH = '退職')"",0)"),106)</f>
        <v>106</v>
      </c>
      <c r="C4" s="1302" t="str">
        <f ca="1">IFERROR(__xludf.DUMMYFUNCTION("""COMPUTED_VALUE"""),"津吉")</f>
        <v>津吉</v>
      </c>
      <c r="D4" s="1302" t="str">
        <f ca="1">IFERROR(__xludf.DUMMYFUNCTION("""COMPUTED_VALUE"""),"インドネシア")</f>
        <v>インドネシア</v>
      </c>
      <c r="E4" s="1302" t="str">
        <f ca="1">IFERROR(__xludf.DUMMYFUNCTION("""COMPUTED_VALUE"""),"イスラ ナディア")</f>
        <v>イスラ ナディア</v>
      </c>
      <c r="F4" s="1302" t="str">
        <f ca="1">IFERROR(__xludf.DUMMYFUNCTION("""COMPUTED_VALUE"""),"女")</f>
        <v>女</v>
      </c>
      <c r="G4" s="1358">
        <f ca="1">IFERROR(__xludf.DUMMYFUNCTION("""COMPUTED_VALUE"""),37280)</f>
        <v>37280</v>
      </c>
      <c r="H4" s="1302">
        <f ca="1">IFERROR(__xludf.DUMMYFUNCTION("""COMPUTED_VALUE"""),24)</f>
        <v>24</v>
      </c>
      <c r="I4" s="1302" t="str">
        <f ca="1">IFERROR(__xludf.DUMMYFUNCTION("""COMPUTED_VALUE"""),"H&amp;C")</f>
        <v>H&amp;C</v>
      </c>
      <c r="J4" s="1359">
        <f ca="1">IFERROR(__xludf.DUMMYFUNCTION("""COMPUTED_VALUE"""),45098)</f>
        <v>45098</v>
      </c>
      <c r="K4" s="1302" t="str">
        <f ca="1">IFERROR(__xludf.DUMMYFUNCTION("""COMPUTED_VALUE"""),"特定技能１号")</f>
        <v>特定技能１号</v>
      </c>
      <c r="L4" s="1360">
        <f ca="1">IFERROR(__xludf.DUMMYFUNCTION("""COMPUTED_VALUE"""),15000)</f>
        <v>15000</v>
      </c>
      <c r="M4" s="1260"/>
      <c r="N4" s="1685" t="s">
        <v>957</v>
      </c>
      <c r="O4" s="907"/>
      <c r="P4" s="907"/>
      <c r="Q4" s="1249"/>
      <c r="R4" s="1273"/>
      <c r="S4" s="1273"/>
      <c r="T4" s="1250"/>
      <c r="U4" s="1249"/>
      <c r="V4" s="1273"/>
      <c r="W4" s="1250"/>
      <c r="X4" s="1249"/>
      <c r="Y4" s="1273"/>
      <c r="Z4" s="1273"/>
      <c r="AA4" s="1250"/>
      <c r="AB4" s="907"/>
      <c r="AC4" s="907"/>
      <c r="AD4" s="907"/>
      <c r="AE4" s="907"/>
      <c r="AF4" s="907"/>
      <c r="AG4" s="907"/>
      <c r="AH4" s="907"/>
      <c r="AI4" s="907"/>
      <c r="AJ4" s="907"/>
      <c r="AK4" s="907"/>
      <c r="AL4" s="907"/>
    </row>
    <row r="5" spans="1:38">
      <c r="A5" s="1689"/>
      <c r="B5" s="961"/>
      <c r="C5" s="961"/>
      <c r="D5" s="961"/>
      <c r="E5" s="961"/>
      <c r="F5" s="961"/>
      <c r="G5" s="962"/>
      <c r="H5" s="961"/>
      <c r="I5" s="961"/>
      <c r="J5" s="961"/>
      <c r="K5" s="961"/>
      <c r="L5" s="1361"/>
      <c r="M5" s="1267"/>
      <c r="N5" s="1683"/>
      <c r="O5" s="907"/>
      <c r="P5" s="907"/>
      <c r="Q5" s="1256"/>
      <c r="R5" s="907"/>
      <c r="S5" s="907"/>
      <c r="T5" s="1257"/>
      <c r="U5" s="1280"/>
      <c r="V5" s="1296"/>
      <c r="W5" s="1297"/>
      <c r="X5" s="1256"/>
      <c r="Y5" s="907" t="s">
        <v>989</v>
      </c>
      <c r="Z5" s="907"/>
      <c r="AA5" s="1257"/>
      <c r="AB5" s="907"/>
      <c r="AC5" s="907"/>
      <c r="AD5" s="907"/>
      <c r="AE5" s="907"/>
      <c r="AF5" s="907"/>
      <c r="AG5" s="907"/>
      <c r="AH5" s="907"/>
      <c r="AI5" s="907"/>
      <c r="AJ5" s="907"/>
      <c r="AK5" s="907"/>
      <c r="AL5" s="907"/>
    </row>
    <row r="6" spans="1:38">
      <c r="A6" s="1690">
        <v>8</v>
      </c>
      <c r="B6" s="923" t="str">
        <f ca="1">IFERROR(__xludf.DUMMYFUNCTION("QUERY('管理表'!A:AP,""select B,C,D,G,J,K,L,N,O,Q,T where ((C = '津吉' and R = '""&amp;$D$1&amp;""' and S = '""&amp;$N$6&amp;""')) and not(AH = '退職')"",0)"),"#N/A")</f>
        <v>#N/A</v>
      </c>
      <c r="C6" s="923"/>
      <c r="D6" s="923"/>
      <c r="E6" s="947"/>
      <c r="F6" s="923"/>
      <c r="G6" s="925"/>
      <c r="H6" s="923"/>
      <c r="I6" s="923"/>
      <c r="J6" s="923"/>
      <c r="K6" s="923"/>
      <c r="L6" s="1362"/>
      <c r="M6" s="1267"/>
      <c r="N6" s="1682" t="s">
        <v>4478</v>
      </c>
      <c r="O6" s="1304" t="s">
        <v>4479</v>
      </c>
      <c r="P6" s="1216"/>
      <c r="Q6" s="1256"/>
      <c r="R6" s="907" t="s">
        <v>999</v>
      </c>
      <c r="S6" s="907"/>
      <c r="T6" s="1257"/>
      <c r="U6" s="907"/>
      <c r="V6" s="907"/>
      <c r="W6" s="1353"/>
      <c r="X6" s="1256"/>
      <c r="Y6" s="918"/>
      <c r="Z6" s="907"/>
      <c r="AA6" s="1257"/>
      <c r="AB6" s="907"/>
      <c r="AC6" s="907"/>
      <c r="AD6" s="907"/>
      <c r="AE6" s="907"/>
      <c r="AF6" s="907"/>
      <c r="AG6" s="907"/>
      <c r="AH6" s="907"/>
      <c r="AI6" s="907"/>
      <c r="AJ6" s="907"/>
      <c r="AK6" s="907"/>
      <c r="AL6" s="907"/>
    </row>
    <row r="7" spans="1:38">
      <c r="A7" s="1691"/>
      <c r="B7" s="923"/>
      <c r="C7" s="923"/>
      <c r="D7" s="923"/>
      <c r="E7" s="947"/>
      <c r="F7" s="923"/>
      <c r="G7" s="925"/>
      <c r="H7" s="923"/>
      <c r="I7" s="923"/>
      <c r="J7" s="923"/>
      <c r="K7" s="923"/>
      <c r="L7" s="1362"/>
      <c r="M7" s="1267"/>
      <c r="N7" s="1684"/>
      <c r="O7" s="918"/>
      <c r="P7" s="907"/>
      <c r="Q7" s="1256"/>
      <c r="R7" s="907" t="s">
        <v>1039</v>
      </c>
      <c r="S7" s="907"/>
      <c r="T7" s="1257"/>
      <c r="U7" s="907"/>
      <c r="V7" s="907"/>
      <c r="W7" s="1354"/>
      <c r="X7" s="1256"/>
      <c r="Y7" s="1363"/>
      <c r="Z7" s="907" t="s">
        <v>4480</v>
      </c>
      <c r="AA7" s="1257"/>
      <c r="AB7" s="907"/>
      <c r="AC7" s="907"/>
      <c r="AD7" s="907"/>
      <c r="AE7" s="907"/>
      <c r="AF7" s="907"/>
      <c r="AG7" s="907"/>
      <c r="AH7" s="907"/>
      <c r="AI7" s="907"/>
      <c r="AJ7" s="907"/>
      <c r="AK7" s="907"/>
      <c r="AL7" s="907"/>
    </row>
    <row r="8" spans="1:38">
      <c r="A8" s="1689"/>
      <c r="B8" s="961"/>
      <c r="C8" s="961"/>
      <c r="D8" s="961"/>
      <c r="E8" s="961"/>
      <c r="F8" s="961"/>
      <c r="G8" s="962"/>
      <c r="H8" s="961"/>
      <c r="I8" s="961"/>
      <c r="J8" s="961"/>
      <c r="K8" s="961"/>
      <c r="L8" s="1361"/>
      <c r="M8" s="1267"/>
      <c r="N8" s="1683"/>
      <c r="O8" s="907"/>
      <c r="P8" s="907"/>
      <c r="Q8" s="1256"/>
      <c r="R8" s="918"/>
      <c r="S8" s="907"/>
      <c r="T8" s="1257"/>
      <c r="U8" s="907"/>
      <c r="V8" s="907"/>
      <c r="W8" s="1354"/>
      <c r="X8" s="1256"/>
      <c r="Y8" s="1668">
        <v>8</v>
      </c>
      <c r="Z8" s="1602"/>
      <c r="AA8" s="1257"/>
      <c r="AB8" s="907"/>
      <c r="AC8" s="907"/>
      <c r="AD8" s="907"/>
      <c r="AE8" s="907"/>
      <c r="AF8" s="907"/>
      <c r="AG8" s="907"/>
      <c r="AH8" s="907"/>
      <c r="AI8" s="907"/>
      <c r="AJ8" s="907"/>
      <c r="AK8" s="907"/>
      <c r="AL8" s="907"/>
    </row>
    <row r="9" spans="1:38">
      <c r="A9" s="1690">
        <v>7</v>
      </c>
      <c r="B9" s="923" t="str">
        <f ca="1">IFERROR(__xludf.DUMMYFUNCTION("QUERY('管理表'!A:AP,""select B,C,D,G,J,K,L,N,O,Q,T where ((C = '津吉' and R = '""&amp;$D$1&amp;""' and S = '""&amp;$N$9&amp;""')) and not(AH = '退職')"",0)"),"#N/A")</f>
        <v>#N/A</v>
      </c>
      <c r="C9" s="923"/>
      <c r="D9" s="923"/>
      <c r="E9" s="924"/>
      <c r="F9" s="923"/>
      <c r="G9" s="925"/>
      <c r="H9" s="923"/>
      <c r="I9" s="923"/>
      <c r="J9" s="923"/>
      <c r="K9" s="923"/>
      <c r="L9" s="1362"/>
      <c r="M9" s="1267"/>
      <c r="N9" s="1682" t="s">
        <v>921</v>
      </c>
      <c r="O9" s="918" t="s">
        <v>4481</v>
      </c>
      <c r="P9" s="907"/>
      <c r="Q9" s="1256"/>
      <c r="R9" s="907"/>
      <c r="S9" s="907"/>
      <c r="T9" s="1257"/>
      <c r="U9" s="907"/>
      <c r="V9" s="907"/>
      <c r="W9" s="1354"/>
      <c r="X9" s="1256"/>
      <c r="Y9" s="1602"/>
      <c r="Z9" s="1602"/>
      <c r="AA9" s="1257"/>
      <c r="AB9" s="907"/>
      <c r="AC9" s="907"/>
      <c r="AD9" s="907"/>
      <c r="AE9" s="907"/>
      <c r="AF9" s="907"/>
      <c r="AG9" s="907"/>
      <c r="AH9" s="907"/>
      <c r="AI9" s="907"/>
      <c r="AJ9" s="907"/>
      <c r="AK9" s="907"/>
      <c r="AL9" s="907"/>
    </row>
    <row r="10" spans="1:38">
      <c r="A10" s="1689"/>
      <c r="B10" s="961"/>
      <c r="C10" s="961"/>
      <c r="D10" s="961"/>
      <c r="E10" s="961"/>
      <c r="F10" s="961"/>
      <c r="G10" s="962"/>
      <c r="H10" s="961"/>
      <c r="I10" s="961"/>
      <c r="J10" s="961"/>
      <c r="K10" s="961"/>
      <c r="L10" s="1361"/>
      <c r="M10" s="1267"/>
      <c r="N10" s="1683"/>
      <c r="O10" s="918" t="s">
        <v>4482</v>
      </c>
      <c r="P10" s="907"/>
      <c r="Q10" s="1256"/>
      <c r="R10" s="907"/>
      <c r="S10" s="907"/>
      <c r="T10" s="1257"/>
      <c r="U10" s="907"/>
      <c r="V10" s="907"/>
      <c r="W10" s="1364"/>
      <c r="X10" s="1280"/>
      <c r="Y10" s="1296"/>
      <c r="Z10" s="1296"/>
      <c r="AA10" s="1297"/>
      <c r="AB10" s="907"/>
      <c r="AC10" s="907"/>
      <c r="AD10" s="907"/>
      <c r="AE10" s="907"/>
      <c r="AF10" s="907"/>
      <c r="AG10" s="907"/>
      <c r="AH10" s="907"/>
      <c r="AI10" s="907"/>
      <c r="AJ10" s="907"/>
      <c r="AK10" s="907"/>
      <c r="AL10" s="907"/>
    </row>
    <row r="11" spans="1:38">
      <c r="A11" s="1690">
        <v>8</v>
      </c>
      <c r="B11" s="923">
        <f ca="1">IFERROR(__xludf.DUMMYFUNCTION("QUERY('管理表'!A:AP,""select B,C,D,G,J,K,L,N,O,Q,T where ((C = '津吉' and R = '""&amp;$D$1&amp;""' and S = '""&amp;$N$11&amp;""')) and not(AH = '退職')"",0)"),113)</f>
        <v>113</v>
      </c>
      <c r="C11" s="923" t="str">
        <f ca="1">IFERROR(__xludf.DUMMYFUNCTION("""COMPUTED_VALUE"""),"津吉")</f>
        <v>津吉</v>
      </c>
      <c r="D11" s="923" t="str">
        <f ca="1">IFERROR(__xludf.DUMMYFUNCTION("""COMPUTED_VALUE"""),"インドネシア")</f>
        <v>インドネシア</v>
      </c>
      <c r="E11" s="947" t="str">
        <f ca="1">IFERROR(__xludf.DUMMYFUNCTION("""COMPUTED_VALUE"""),"リズカ スティヤニンシー")</f>
        <v>リズカ スティヤニンシー</v>
      </c>
      <c r="F11" s="923" t="str">
        <f ca="1">IFERROR(__xludf.DUMMYFUNCTION("""COMPUTED_VALUE"""),"女")</f>
        <v>女</v>
      </c>
      <c r="G11" s="925">
        <f ca="1">IFERROR(__xludf.DUMMYFUNCTION("""COMPUTED_VALUE"""),36058)</f>
        <v>36058</v>
      </c>
      <c r="H11" s="923">
        <f ca="1">IFERROR(__xludf.DUMMYFUNCTION("""COMPUTED_VALUE"""),27)</f>
        <v>27</v>
      </c>
      <c r="I11" s="923" t="str">
        <f ca="1">IFERROR(__xludf.DUMMYFUNCTION("""COMPUTED_VALUE"""),"H&amp;C")</f>
        <v>H&amp;C</v>
      </c>
      <c r="J11" s="1365">
        <f ca="1">IFERROR(__xludf.DUMMYFUNCTION("""COMPUTED_VALUE"""),45210)</f>
        <v>45210</v>
      </c>
      <c r="K11" s="923" t="str">
        <f ca="1">IFERROR(__xludf.DUMMYFUNCTION("""COMPUTED_VALUE"""),"特定技能１号")</f>
        <v>特定技能１号</v>
      </c>
      <c r="L11" s="1366">
        <f ca="1">IFERROR(__xludf.DUMMYFUNCTION("""COMPUTED_VALUE"""),10000)</f>
        <v>10000</v>
      </c>
      <c r="M11" s="1267"/>
      <c r="N11" s="1682" t="s">
        <v>1023</v>
      </c>
      <c r="O11" s="918" t="s">
        <v>4483</v>
      </c>
      <c r="P11" s="907"/>
      <c r="Q11" s="1256"/>
      <c r="R11" s="907"/>
      <c r="S11" s="907"/>
      <c r="T11" s="1257"/>
      <c r="U11" s="907"/>
      <c r="V11" s="907"/>
      <c r="W11" s="907"/>
      <c r="X11" s="1249"/>
      <c r="Y11" s="1273"/>
      <c r="Z11" s="1273"/>
      <c r="AA11" s="1250"/>
      <c r="AB11" s="907"/>
      <c r="AC11" s="907"/>
      <c r="AD11" s="907"/>
      <c r="AE11" s="907"/>
      <c r="AF11" s="907"/>
      <c r="AG11" s="907"/>
      <c r="AH11" s="907"/>
      <c r="AI11" s="907"/>
      <c r="AJ11" s="907"/>
      <c r="AK11" s="907"/>
      <c r="AL11" s="907"/>
    </row>
    <row r="12" spans="1:38">
      <c r="A12" s="1691"/>
      <c r="B12" s="1128"/>
      <c r="C12" s="923"/>
      <c r="D12" s="923"/>
      <c r="E12" s="924"/>
      <c r="F12" s="923"/>
      <c r="G12" s="925"/>
      <c r="H12" s="923"/>
      <c r="I12" s="923"/>
      <c r="J12" s="923"/>
      <c r="K12" s="923"/>
      <c r="L12" s="1367"/>
      <c r="M12" s="1277"/>
      <c r="N12" s="1684"/>
      <c r="O12" s="918" t="s">
        <v>4484</v>
      </c>
      <c r="P12" s="907"/>
      <c r="Q12" s="1256"/>
      <c r="R12" s="1668">
        <v>10</v>
      </c>
      <c r="S12" s="1602"/>
      <c r="T12" s="1257"/>
      <c r="U12" s="907"/>
      <c r="V12" s="907"/>
      <c r="W12" s="907"/>
      <c r="X12" s="1256"/>
      <c r="Y12" s="907"/>
      <c r="Z12" s="907"/>
      <c r="AA12" s="1257"/>
      <c r="AB12" s="907"/>
      <c r="AC12" s="907"/>
      <c r="AD12" s="907"/>
      <c r="AE12" s="907"/>
      <c r="AF12" s="907"/>
      <c r="AG12" s="907"/>
      <c r="AH12" s="907"/>
      <c r="AI12" s="907"/>
      <c r="AJ12" s="907"/>
      <c r="AK12" s="907"/>
      <c r="AL12" s="907"/>
    </row>
    <row r="13" spans="1:38">
      <c r="A13" s="1691"/>
      <c r="B13" s="961"/>
      <c r="C13" s="961"/>
      <c r="D13" s="961"/>
      <c r="E13" s="961"/>
      <c r="F13" s="961"/>
      <c r="G13" s="962"/>
      <c r="H13" s="961"/>
      <c r="I13" s="961"/>
      <c r="J13" s="961"/>
      <c r="K13" s="961"/>
      <c r="L13" s="1368"/>
      <c r="M13" s="1277"/>
      <c r="N13" s="1684"/>
      <c r="O13" s="918"/>
      <c r="P13" s="907"/>
      <c r="Q13" s="1256"/>
      <c r="R13" s="1602"/>
      <c r="S13" s="1602"/>
      <c r="T13" s="1257"/>
      <c r="U13" s="907"/>
      <c r="V13" s="907"/>
      <c r="W13" s="907"/>
      <c r="X13" s="1256"/>
      <c r="Y13" s="918"/>
      <c r="Z13" s="907"/>
      <c r="AA13" s="1257"/>
      <c r="AB13" s="907"/>
      <c r="AC13" s="907"/>
      <c r="AD13" s="907"/>
      <c r="AE13" s="907"/>
      <c r="AF13" s="907"/>
      <c r="AG13" s="907"/>
      <c r="AH13" s="907"/>
      <c r="AI13" s="907"/>
      <c r="AJ13" s="907"/>
      <c r="AK13" s="907"/>
      <c r="AL13" s="907"/>
    </row>
    <row r="14" spans="1:38">
      <c r="A14" s="1689"/>
      <c r="B14" s="961"/>
      <c r="C14" s="961"/>
      <c r="D14" s="961"/>
      <c r="E14" s="961"/>
      <c r="F14" s="961"/>
      <c r="G14" s="962"/>
      <c r="H14" s="961"/>
      <c r="I14" s="961"/>
      <c r="J14" s="961"/>
      <c r="K14" s="961"/>
      <c r="L14" s="1368"/>
      <c r="M14" s="1277"/>
      <c r="N14" s="1683"/>
      <c r="O14" s="907"/>
      <c r="P14" s="907"/>
      <c r="Q14" s="1280"/>
      <c r="R14" s="1296"/>
      <c r="S14" s="1296"/>
      <c r="T14" s="1297"/>
      <c r="U14" s="907"/>
      <c r="V14" s="907"/>
      <c r="W14" s="907"/>
      <c r="X14" s="1256"/>
      <c r="Y14" s="1668">
        <v>8</v>
      </c>
      <c r="Z14" s="1602"/>
      <c r="AA14" s="1257"/>
      <c r="AB14" s="907"/>
      <c r="AC14" s="907"/>
      <c r="AD14" s="907"/>
      <c r="AE14" s="907"/>
      <c r="AF14" s="907"/>
      <c r="AG14" s="907"/>
      <c r="AH14" s="907"/>
      <c r="AI14" s="907"/>
      <c r="AJ14" s="907"/>
      <c r="AK14" s="907"/>
      <c r="AL14" s="907"/>
    </row>
    <row r="15" spans="1:38">
      <c r="A15" s="1690">
        <v>8</v>
      </c>
      <c r="B15" s="923">
        <f ca="1">IFERROR(__xludf.DUMMYFUNCTION("QUERY('管理表'!A:AP,""select B,C,D,G,J,K,L,N,O,Q,T where ((C = '津吉' and R = '""&amp;$D$1&amp;""' and S = '""&amp;$N$15&amp;""')) and not(AH = '退職')"",0)"),110)</f>
        <v>110</v>
      </c>
      <c r="C15" s="923" t="str">
        <f ca="1">IFERROR(__xludf.DUMMYFUNCTION("""COMPUTED_VALUE"""),"津吉")</f>
        <v>津吉</v>
      </c>
      <c r="D15" s="923" t="str">
        <f ca="1">IFERROR(__xludf.DUMMYFUNCTION("""COMPUTED_VALUE"""),"インドネシア")</f>
        <v>インドネシア</v>
      </c>
      <c r="E15" s="923" t="str">
        <f ca="1">IFERROR(__xludf.DUMMYFUNCTION("""COMPUTED_VALUE"""),"リリス ワユニ")</f>
        <v>リリス ワユニ</v>
      </c>
      <c r="F15" s="923" t="str">
        <f ca="1">IFERROR(__xludf.DUMMYFUNCTION("""COMPUTED_VALUE"""),"女")</f>
        <v>女</v>
      </c>
      <c r="G15" s="925">
        <f ca="1">IFERROR(__xludf.DUMMYFUNCTION("""COMPUTED_VALUE"""),35504)</f>
        <v>35504</v>
      </c>
      <c r="H15" s="923">
        <f ca="1">IFERROR(__xludf.DUMMYFUNCTION("""COMPUTED_VALUE"""),29)</f>
        <v>29</v>
      </c>
      <c r="I15" s="923" t="str">
        <f ca="1">IFERROR(__xludf.DUMMYFUNCTION("""COMPUTED_VALUE"""),"H&amp;C")</f>
        <v>H&amp;C</v>
      </c>
      <c r="J15" s="1365">
        <f ca="1">IFERROR(__xludf.DUMMYFUNCTION("""COMPUTED_VALUE"""),45210)</f>
        <v>45210</v>
      </c>
      <c r="K15" s="923" t="str">
        <f ca="1">IFERROR(__xludf.DUMMYFUNCTION("""COMPUTED_VALUE"""),"特定技能１号")</f>
        <v>特定技能１号</v>
      </c>
      <c r="L15" s="1369">
        <f ca="1">IFERROR(__xludf.DUMMYFUNCTION("""COMPUTED_VALUE"""),10000)</f>
        <v>10000</v>
      </c>
      <c r="M15" s="1277"/>
      <c r="N15" s="1682" t="s">
        <v>991</v>
      </c>
      <c r="O15" s="918"/>
      <c r="P15" s="907"/>
      <c r="Q15" s="907"/>
      <c r="R15" s="907"/>
      <c r="S15" s="907"/>
      <c r="T15" s="907"/>
      <c r="U15" s="907"/>
      <c r="V15" s="907"/>
      <c r="W15" s="907"/>
      <c r="X15" s="1256"/>
      <c r="Y15" s="1602"/>
      <c r="Z15" s="1602"/>
      <c r="AA15" s="1257"/>
      <c r="AB15" s="907"/>
      <c r="AC15" s="907"/>
      <c r="AD15" s="907"/>
      <c r="AE15" s="907"/>
      <c r="AF15" s="907"/>
      <c r="AG15" s="907"/>
      <c r="AH15" s="907"/>
      <c r="AI15" s="907"/>
      <c r="AJ15" s="907"/>
      <c r="AK15" s="907"/>
      <c r="AL15" s="907"/>
    </row>
    <row r="16" spans="1:38">
      <c r="A16" s="1691"/>
      <c r="B16" s="923"/>
      <c r="C16" s="923"/>
      <c r="D16" s="923"/>
      <c r="E16" s="924"/>
      <c r="F16" s="923"/>
      <c r="G16" s="925"/>
      <c r="H16" s="923"/>
      <c r="I16" s="923"/>
      <c r="J16" s="923"/>
      <c r="K16" s="923"/>
      <c r="L16" s="1367"/>
      <c r="M16" s="1277"/>
      <c r="N16" s="1684"/>
      <c r="O16" s="918" t="s">
        <v>4485</v>
      </c>
      <c r="P16" s="907"/>
      <c r="Q16" s="907"/>
      <c r="R16" s="907"/>
      <c r="S16" s="907"/>
      <c r="T16" s="907"/>
      <c r="U16" s="907"/>
      <c r="V16" s="907"/>
      <c r="W16" s="907"/>
      <c r="X16" s="1272"/>
      <c r="Y16" s="1363"/>
      <c r="Z16" s="594" t="s">
        <v>2007</v>
      </c>
      <c r="AA16" s="1275"/>
      <c r="AB16" s="907"/>
      <c r="AC16" s="907"/>
      <c r="AD16" s="907"/>
      <c r="AE16" s="907"/>
      <c r="AF16" s="907"/>
      <c r="AG16" s="907"/>
      <c r="AH16" s="907"/>
      <c r="AI16" s="907"/>
      <c r="AJ16" s="907"/>
      <c r="AK16" s="907"/>
      <c r="AL16" s="907"/>
    </row>
    <row r="17" spans="1:38">
      <c r="A17" s="1691"/>
      <c r="B17" s="961"/>
      <c r="C17" s="961"/>
      <c r="D17" s="961"/>
      <c r="E17" s="961"/>
      <c r="F17" s="961"/>
      <c r="G17" s="962"/>
      <c r="H17" s="961"/>
      <c r="I17" s="961"/>
      <c r="J17" s="961"/>
      <c r="K17" s="961"/>
      <c r="L17" s="1368"/>
      <c r="M17" s="1277"/>
      <c r="N17" s="1684"/>
      <c r="O17" s="918"/>
      <c r="P17" s="907"/>
      <c r="Q17" s="907"/>
      <c r="R17" s="907"/>
      <c r="S17" s="907"/>
      <c r="T17" s="907"/>
      <c r="U17" s="907"/>
      <c r="V17" s="907"/>
      <c r="W17" s="907"/>
      <c r="X17" s="1280"/>
      <c r="Y17" s="1296"/>
      <c r="Z17" s="1296"/>
      <c r="AA17" s="1297"/>
      <c r="AB17" s="907"/>
      <c r="AC17" s="907"/>
      <c r="AD17" s="907"/>
      <c r="AE17" s="907"/>
      <c r="AF17" s="907"/>
      <c r="AG17" s="907"/>
      <c r="AH17" s="907"/>
      <c r="AI17" s="907"/>
      <c r="AJ17" s="907"/>
      <c r="AK17" s="907"/>
      <c r="AL17" s="907"/>
    </row>
    <row r="18" spans="1:38">
      <c r="A18" s="1689"/>
      <c r="B18" s="961"/>
      <c r="C18" s="961"/>
      <c r="D18" s="961"/>
      <c r="E18" s="961"/>
      <c r="F18" s="961"/>
      <c r="G18" s="962"/>
      <c r="H18" s="961"/>
      <c r="I18" s="961"/>
      <c r="J18" s="961"/>
      <c r="K18" s="961"/>
      <c r="L18" s="1370"/>
      <c r="M18" s="923"/>
      <c r="N18" s="1683"/>
      <c r="O18" s="907"/>
      <c r="P18" s="907"/>
      <c r="Q18" s="907"/>
      <c r="R18" s="907"/>
      <c r="S18" s="907"/>
      <c r="T18" s="907"/>
      <c r="U18" s="907"/>
      <c r="V18" s="907"/>
      <c r="W18" s="907"/>
      <c r="X18" s="907"/>
      <c r="Y18" s="907"/>
      <c r="Z18" s="907"/>
      <c r="AA18" s="907"/>
      <c r="AB18" s="907"/>
      <c r="AC18" s="907"/>
      <c r="AD18" s="907"/>
      <c r="AE18" s="907"/>
      <c r="AF18" s="907"/>
      <c r="AG18" s="907"/>
      <c r="AH18" s="907"/>
      <c r="AI18" s="907"/>
      <c r="AJ18" s="907"/>
      <c r="AK18" s="907"/>
      <c r="AL18" s="907"/>
    </row>
    <row r="19" spans="1:38">
      <c r="A19" s="1690">
        <v>10</v>
      </c>
      <c r="B19" s="923">
        <f ca="1">IFERROR(__xludf.DUMMYFUNCTION("QUERY('管理表'!A:AP,""select B,C,D,G,J,K,L,N,O,Q,T where ((C = '津吉' and R = '""&amp;$D$1&amp;""' and S = '""&amp;$N$19&amp;""')) and not(AH = '退職')"",0)"),111)</f>
        <v>111</v>
      </c>
      <c r="C19" s="923" t="str">
        <f ca="1">IFERROR(__xludf.DUMMYFUNCTION("""COMPUTED_VALUE"""),"津吉")</f>
        <v>津吉</v>
      </c>
      <c r="D19" s="923" t="str">
        <f ca="1">IFERROR(__xludf.DUMMYFUNCTION("""COMPUTED_VALUE"""),"インドネシア")</f>
        <v>インドネシア</v>
      </c>
      <c r="E19" s="1371" t="str">
        <f ca="1">IFERROR(__xludf.DUMMYFUNCTION("""COMPUTED_VALUE"""),"ディアナ プルティウィ")</f>
        <v>ディアナ プルティウィ</v>
      </c>
      <c r="F19" s="923" t="str">
        <f ca="1">IFERROR(__xludf.DUMMYFUNCTION("""COMPUTED_VALUE"""),"女")</f>
        <v>女</v>
      </c>
      <c r="G19" s="925">
        <f ca="1">IFERROR(__xludf.DUMMYFUNCTION("""COMPUTED_VALUE"""),36185)</f>
        <v>36185</v>
      </c>
      <c r="H19" s="923">
        <f ca="1">IFERROR(__xludf.DUMMYFUNCTION("""COMPUTED_VALUE"""),27)</f>
        <v>27</v>
      </c>
      <c r="I19" s="923" t="str">
        <f ca="1">IFERROR(__xludf.DUMMYFUNCTION("""COMPUTED_VALUE"""),"H&amp;C")</f>
        <v>H&amp;C</v>
      </c>
      <c r="J19" s="1365">
        <f ca="1">IFERROR(__xludf.DUMMYFUNCTION("""COMPUTED_VALUE"""),45210)</f>
        <v>45210</v>
      </c>
      <c r="K19" s="923" t="str">
        <f ca="1">IFERROR(__xludf.DUMMYFUNCTION("""COMPUTED_VALUE"""),"特定技能１号")</f>
        <v>特定技能１号</v>
      </c>
      <c r="L19" s="926">
        <f ca="1">IFERROR(__xludf.DUMMYFUNCTION("""COMPUTED_VALUE"""),10000)</f>
        <v>10000</v>
      </c>
      <c r="M19" s="923"/>
      <c r="N19" s="1686" t="s">
        <v>948</v>
      </c>
      <c r="O19" s="918" t="s">
        <v>4486</v>
      </c>
      <c r="P19" s="907"/>
      <c r="Q19" s="907"/>
      <c r="R19" s="907"/>
      <c r="S19" s="907"/>
      <c r="T19" s="907"/>
      <c r="U19" s="907"/>
      <c r="V19" s="907"/>
      <c r="W19" s="907"/>
      <c r="X19" s="907"/>
      <c r="Y19" s="907"/>
      <c r="Z19" s="907"/>
      <c r="AA19" s="907"/>
      <c r="AB19" s="907"/>
      <c r="AC19" s="907"/>
      <c r="AD19" s="907"/>
      <c r="AE19" s="907"/>
      <c r="AF19" s="907"/>
      <c r="AG19" s="907"/>
      <c r="AH19" s="907"/>
      <c r="AI19" s="907"/>
      <c r="AJ19" s="907"/>
      <c r="AK19" s="907"/>
      <c r="AL19" s="907"/>
    </row>
    <row r="20" spans="1:38">
      <c r="A20" s="1691"/>
      <c r="B20" s="923">
        <f ca="1">IFERROR(__xludf.DUMMYFUNCTION("""COMPUTED_VALUE"""),115)</f>
        <v>115</v>
      </c>
      <c r="C20" s="923" t="str">
        <f ca="1">IFERROR(__xludf.DUMMYFUNCTION("""COMPUTED_VALUE"""),"津吉")</f>
        <v>津吉</v>
      </c>
      <c r="D20" s="923" t="str">
        <f ca="1">IFERROR(__xludf.DUMMYFUNCTION("""COMPUTED_VALUE"""),"インドネシア")</f>
        <v>インドネシア</v>
      </c>
      <c r="E20" s="923" t="str">
        <f ca="1">IFERROR(__xludf.DUMMYFUNCTION("""COMPUTED_VALUE"""),"デフィ ダマヤンティ")</f>
        <v>デフィ ダマヤンティ</v>
      </c>
      <c r="F20" s="923" t="str">
        <f ca="1">IFERROR(__xludf.DUMMYFUNCTION("""COMPUTED_VALUE"""),"女")</f>
        <v>女</v>
      </c>
      <c r="G20" s="925">
        <f ca="1">IFERROR(__xludf.DUMMYFUNCTION("""COMPUTED_VALUE"""),37244)</f>
        <v>37244</v>
      </c>
      <c r="H20" s="923">
        <f ca="1">IFERROR(__xludf.DUMMYFUNCTION("""COMPUTED_VALUE"""),24)</f>
        <v>24</v>
      </c>
      <c r="I20" s="923" t="str">
        <f ca="1">IFERROR(__xludf.DUMMYFUNCTION("""COMPUTED_VALUE"""),"H&amp;C")</f>
        <v>H&amp;C</v>
      </c>
      <c r="J20" s="1365">
        <f ca="1">IFERROR(__xludf.DUMMYFUNCTION("""COMPUTED_VALUE"""),45210)</f>
        <v>45210</v>
      </c>
      <c r="K20" s="923" t="str">
        <f ca="1">IFERROR(__xludf.DUMMYFUNCTION("""COMPUTED_VALUE"""),"特定技能１号")</f>
        <v>特定技能１号</v>
      </c>
      <c r="L20" s="926">
        <f ca="1">IFERROR(__xludf.DUMMYFUNCTION("""COMPUTED_VALUE"""),10000)</f>
        <v>10000</v>
      </c>
      <c r="M20" s="923"/>
      <c r="N20" s="1684"/>
      <c r="O20" s="907"/>
      <c r="P20" s="907"/>
      <c r="Q20" s="1249"/>
      <c r="R20" s="1273"/>
      <c r="S20" s="1250"/>
      <c r="T20" s="907"/>
      <c r="U20" s="907"/>
      <c r="V20" s="907"/>
      <c r="W20" s="907"/>
      <c r="X20" s="907"/>
      <c r="Y20" s="907"/>
      <c r="Z20" s="907"/>
      <c r="AA20" s="907"/>
      <c r="AB20" s="907"/>
      <c r="AC20" s="907"/>
      <c r="AD20" s="907"/>
      <c r="AE20" s="907"/>
      <c r="AF20" s="907"/>
      <c r="AG20" s="907"/>
      <c r="AH20" s="907"/>
      <c r="AI20" s="907"/>
      <c r="AJ20" s="907"/>
      <c r="AK20" s="907"/>
      <c r="AL20" s="907"/>
    </row>
    <row r="21" spans="1:38">
      <c r="A21" s="1692"/>
      <c r="B21" s="1372"/>
      <c r="C21" s="1372"/>
      <c r="D21" s="1372"/>
      <c r="E21" s="1372"/>
      <c r="F21" s="1372"/>
      <c r="G21" s="1373"/>
      <c r="H21" s="1372"/>
      <c r="I21" s="1372"/>
      <c r="J21" s="1372"/>
      <c r="K21" s="1372"/>
      <c r="L21" s="1372"/>
      <c r="M21" s="1282"/>
      <c r="N21" s="1687"/>
      <c r="O21" s="907"/>
      <c r="P21" s="907"/>
      <c r="Q21" s="1256"/>
      <c r="R21" s="907"/>
      <c r="S21" s="1257"/>
      <c r="T21" s="907"/>
      <c r="U21" s="907"/>
      <c r="V21" s="907"/>
      <c r="W21" s="907"/>
      <c r="X21" s="907"/>
      <c r="Y21" s="907"/>
      <c r="Z21" s="907"/>
      <c r="AA21" s="907"/>
      <c r="AB21" s="907"/>
      <c r="AC21" s="907"/>
      <c r="AD21" s="907"/>
      <c r="AE21" s="907"/>
      <c r="AF21" s="907"/>
      <c r="AG21" s="907"/>
      <c r="AH21" s="907"/>
      <c r="AI21" s="907"/>
      <c r="AJ21" s="907"/>
      <c r="AK21" s="907"/>
      <c r="AL21" s="907"/>
    </row>
    <row r="22" spans="1:38">
      <c r="A22" s="907"/>
      <c r="B22" s="907"/>
      <c r="C22" s="907"/>
      <c r="D22" s="907"/>
      <c r="E22" s="907"/>
      <c r="F22" s="907"/>
      <c r="G22" s="907"/>
      <c r="H22" s="907"/>
      <c r="I22" s="907"/>
      <c r="J22" s="907"/>
      <c r="K22" s="907"/>
      <c r="L22" s="907"/>
      <c r="M22" s="907"/>
      <c r="N22" s="907"/>
      <c r="O22" s="907"/>
      <c r="P22" s="907"/>
      <c r="Q22" s="1272"/>
      <c r="R22" s="918" t="s">
        <v>4487</v>
      </c>
      <c r="S22" s="1275"/>
      <c r="AB22" s="907"/>
      <c r="AC22" s="907"/>
      <c r="AD22" s="907"/>
      <c r="AE22" s="907"/>
      <c r="AF22" s="907"/>
      <c r="AG22" s="907"/>
      <c r="AH22" s="907"/>
      <c r="AI22" s="907"/>
      <c r="AJ22" s="907"/>
      <c r="AK22" s="907"/>
      <c r="AL22" s="907"/>
    </row>
    <row r="23" spans="1:38">
      <c r="A23" s="907"/>
      <c r="B23" s="907"/>
      <c r="C23" s="907"/>
      <c r="D23" s="907"/>
      <c r="E23" s="907"/>
      <c r="F23" s="907"/>
      <c r="G23" s="907"/>
      <c r="H23" s="907"/>
      <c r="I23" s="907"/>
      <c r="J23" s="907"/>
      <c r="K23" s="907"/>
      <c r="L23" s="907"/>
      <c r="M23" s="907"/>
      <c r="N23" s="907"/>
      <c r="O23" s="907"/>
      <c r="P23" s="907"/>
      <c r="Q23" s="1272"/>
      <c r="S23" s="1275"/>
      <c r="AB23" s="907"/>
      <c r="AC23" s="907"/>
      <c r="AD23" s="907"/>
      <c r="AE23" s="907"/>
      <c r="AF23" s="907"/>
      <c r="AG23" s="907"/>
      <c r="AH23" s="907"/>
      <c r="AI23" s="907"/>
      <c r="AJ23" s="907"/>
      <c r="AK23" s="907"/>
      <c r="AL23" s="907"/>
    </row>
    <row r="24" spans="1:38">
      <c r="A24" s="907"/>
      <c r="B24" s="907"/>
      <c r="C24" s="907"/>
      <c r="D24" s="907"/>
      <c r="E24" s="907"/>
      <c r="F24" s="907"/>
      <c r="G24" s="907"/>
      <c r="H24" s="907"/>
      <c r="I24" s="907"/>
      <c r="J24" s="907"/>
      <c r="K24" s="907"/>
      <c r="L24" s="907"/>
      <c r="M24" s="907"/>
      <c r="N24" s="907"/>
      <c r="O24" s="907"/>
      <c r="P24" s="907"/>
      <c r="Q24" s="1333" t="s">
        <v>4488</v>
      </c>
      <c r="R24" s="907" t="s">
        <v>954</v>
      </c>
      <c r="S24" s="1275"/>
      <c r="AB24" s="907"/>
      <c r="AC24" s="907"/>
      <c r="AD24" s="907"/>
      <c r="AE24" s="907"/>
      <c r="AF24" s="907"/>
      <c r="AG24" s="907"/>
      <c r="AH24" s="907"/>
      <c r="AI24" s="907"/>
      <c r="AJ24" s="907"/>
      <c r="AK24" s="907"/>
      <c r="AL24" s="907"/>
    </row>
    <row r="25" spans="1:38">
      <c r="A25" s="907"/>
      <c r="B25" s="907"/>
      <c r="C25" s="907"/>
      <c r="D25" s="907"/>
      <c r="E25" s="907"/>
      <c r="F25" s="907"/>
      <c r="G25" s="907"/>
      <c r="H25" s="907"/>
      <c r="I25" s="907"/>
      <c r="J25" s="907"/>
      <c r="K25" s="907"/>
      <c r="L25" s="907"/>
      <c r="M25" s="907"/>
      <c r="N25" s="907"/>
      <c r="O25" s="907"/>
      <c r="P25" s="907"/>
      <c r="Q25" s="1272"/>
      <c r="R25" s="1668">
        <v>7</v>
      </c>
      <c r="S25" s="1275"/>
      <c r="AB25" s="907"/>
      <c r="AC25" s="907"/>
      <c r="AD25" s="907"/>
      <c r="AE25" s="907"/>
      <c r="AF25" s="907"/>
      <c r="AG25" s="907"/>
      <c r="AH25" s="907"/>
      <c r="AI25" s="907"/>
      <c r="AJ25" s="907"/>
      <c r="AK25" s="907"/>
      <c r="AL25" s="907"/>
    </row>
    <row r="26" spans="1:38">
      <c r="A26" s="907"/>
      <c r="B26" s="907"/>
      <c r="C26" s="907"/>
      <c r="D26" s="907"/>
      <c r="E26" s="907"/>
      <c r="F26" s="907"/>
      <c r="G26" s="907"/>
      <c r="H26" s="907"/>
      <c r="I26" s="907"/>
      <c r="J26" s="907"/>
      <c r="K26" s="907"/>
      <c r="L26" s="907"/>
      <c r="M26" s="907"/>
      <c r="N26" s="907"/>
      <c r="O26" s="907"/>
      <c r="P26" s="907"/>
      <c r="Q26" s="1300"/>
      <c r="R26" s="1669"/>
      <c r="S26" s="1336"/>
      <c r="AB26" s="907"/>
      <c r="AC26" s="907"/>
      <c r="AD26" s="907"/>
      <c r="AE26" s="907"/>
      <c r="AF26" s="907"/>
      <c r="AG26" s="907"/>
      <c r="AH26" s="907"/>
      <c r="AI26" s="907"/>
      <c r="AJ26" s="907"/>
      <c r="AK26" s="907"/>
      <c r="AL26" s="907"/>
    </row>
    <row r="27" spans="1:38">
      <c r="A27" s="907"/>
      <c r="B27" s="907"/>
      <c r="C27" s="907"/>
      <c r="D27" s="907"/>
      <c r="E27" s="907"/>
      <c r="F27" s="907"/>
      <c r="G27" s="907"/>
      <c r="H27" s="907"/>
      <c r="I27" s="907"/>
      <c r="J27" s="907"/>
      <c r="K27" s="907"/>
      <c r="L27" s="907"/>
      <c r="M27" s="907"/>
      <c r="N27" s="907"/>
      <c r="O27" s="907"/>
      <c r="P27" s="907"/>
      <c r="AB27" s="907"/>
      <c r="AC27" s="907"/>
      <c r="AD27" s="907"/>
      <c r="AE27" s="907"/>
      <c r="AF27" s="907"/>
      <c r="AG27" s="907"/>
      <c r="AH27" s="907"/>
      <c r="AI27" s="907"/>
      <c r="AJ27" s="907"/>
      <c r="AK27" s="907"/>
      <c r="AL27" s="907"/>
    </row>
    <row r="28" spans="1:38">
      <c r="A28" s="907"/>
      <c r="B28" s="907"/>
      <c r="C28" s="907"/>
      <c r="D28" s="907"/>
      <c r="E28" s="907"/>
      <c r="F28" s="907"/>
      <c r="G28" s="907"/>
      <c r="H28" s="907"/>
      <c r="I28" s="907"/>
      <c r="J28" s="907"/>
      <c r="K28" s="907"/>
      <c r="L28" s="907"/>
      <c r="M28" s="907"/>
      <c r="N28" s="907"/>
      <c r="O28" s="907"/>
      <c r="P28" s="907"/>
      <c r="AB28" s="907"/>
      <c r="AC28" s="907"/>
      <c r="AD28" s="907"/>
      <c r="AE28" s="907"/>
      <c r="AF28" s="907"/>
      <c r="AG28" s="907"/>
      <c r="AH28" s="907"/>
      <c r="AI28" s="907"/>
      <c r="AJ28" s="907"/>
      <c r="AK28" s="907"/>
      <c r="AL28" s="907"/>
    </row>
    <row r="29" spans="1:38">
      <c r="A29" s="907"/>
      <c r="B29" s="907"/>
      <c r="C29" s="907"/>
      <c r="D29" s="907"/>
      <c r="E29" s="907"/>
      <c r="F29" s="907"/>
      <c r="G29" s="907"/>
      <c r="H29" s="907"/>
      <c r="I29" s="907"/>
      <c r="J29" s="907"/>
      <c r="K29" s="907"/>
      <c r="L29" s="907"/>
      <c r="M29" s="907"/>
      <c r="N29" s="907"/>
      <c r="O29" s="907"/>
      <c r="P29" s="907"/>
      <c r="Q29" s="907"/>
      <c r="R29" s="907"/>
      <c r="S29" s="907"/>
      <c r="T29" s="907"/>
      <c r="U29" s="907"/>
      <c r="V29" s="1249"/>
      <c r="W29" s="1250"/>
      <c r="X29" s="1249"/>
      <c r="Y29" s="1273"/>
      <c r="Z29" s="1273"/>
      <c r="AA29" s="1250"/>
      <c r="AB29" s="907"/>
      <c r="AC29" s="907"/>
      <c r="AD29" s="907"/>
      <c r="AE29" s="907"/>
      <c r="AF29" s="907"/>
      <c r="AG29" s="907"/>
      <c r="AH29" s="907"/>
      <c r="AI29" s="907"/>
      <c r="AJ29" s="907"/>
      <c r="AK29" s="907"/>
      <c r="AL29" s="907"/>
    </row>
    <row r="30" spans="1:38">
      <c r="A30" s="907"/>
      <c r="B30" s="907"/>
      <c r="C30" s="907"/>
      <c r="D30" s="907"/>
      <c r="E30" s="907"/>
      <c r="F30" s="907"/>
      <c r="G30" s="907"/>
      <c r="H30" s="907"/>
      <c r="I30" s="907"/>
      <c r="J30" s="907"/>
      <c r="K30" s="907"/>
      <c r="L30" s="907"/>
      <c r="M30" s="907"/>
      <c r="N30" s="907"/>
      <c r="O30" s="907"/>
      <c r="P30" s="907"/>
      <c r="Q30" s="907"/>
      <c r="R30" s="907"/>
      <c r="S30" s="907"/>
      <c r="T30" s="907"/>
      <c r="U30" s="907"/>
      <c r="V30" s="1256"/>
      <c r="W30" s="1257"/>
      <c r="X30" s="1256"/>
      <c r="Y30" s="907"/>
      <c r="Z30" s="907"/>
      <c r="AA30" s="1257"/>
      <c r="AB30" s="907"/>
      <c r="AC30" s="907"/>
      <c r="AD30" s="907"/>
      <c r="AE30" s="907"/>
      <c r="AF30" s="907"/>
      <c r="AG30" s="907"/>
      <c r="AH30" s="907"/>
      <c r="AI30" s="907"/>
      <c r="AJ30" s="907"/>
      <c r="AK30" s="907"/>
      <c r="AL30" s="907"/>
    </row>
    <row r="31" spans="1:38">
      <c r="A31" s="907"/>
      <c r="B31" s="907"/>
      <c r="C31" s="907"/>
      <c r="D31" s="907"/>
      <c r="E31" s="907"/>
      <c r="F31" s="907"/>
      <c r="G31" s="907"/>
      <c r="H31" s="907"/>
      <c r="I31" s="907"/>
      <c r="J31" s="907"/>
      <c r="K31" s="907"/>
      <c r="L31" s="907"/>
      <c r="M31" s="907"/>
      <c r="N31" s="907"/>
      <c r="O31" s="907"/>
      <c r="P31" s="907"/>
      <c r="Q31" s="1249"/>
      <c r="R31" s="1273"/>
      <c r="S31" s="1250"/>
      <c r="T31" s="1249"/>
      <c r="U31" s="1250"/>
      <c r="V31" s="1256"/>
      <c r="W31" s="1257"/>
      <c r="X31" s="1256"/>
      <c r="Y31" s="907" t="s">
        <v>4489</v>
      </c>
      <c r="Z31" s="907"/>
      <c r="AA31" s="1257"/>
      <c r="AB31" s="907"/>
      <c r="AC31" s="907"/>
      <c r="AD31" s="907"/>
      <c r="AE31" s="907"/>
      <c r="AF31" s="907"/>
      <c r="AG31" s="907"/>
      <c r="AH31" s="907"/>
      <c r="AI31" s="907"/>
      <c r="AJ31" s="907"/>
      <c r="AK31" s="907"/>
      <c r="AL31" s="907"/>
    </row>
    <row r="32" spans="1:38">
      <c r="A32" s="907"/>
      <c r="B32" s="907"/>
      <c r="C32" s="907"/>
      <c r="D32" s="907"/>
      <c r="E32" s="907"/>
      <c r="F32" s="907"/>
      <c r="G32" s="907"/>
      <c r="H32" s="907"/>
      <c r="I32" s="907"/>
      <c r="J32" s="907"/>
      <c r="K32" s="907"/>
      <c r="L32" s="907"/>
      <c r="M32" s="907"/>
      <c r="N32" s="907"/>
      <c r="O32" s="907"/>
      <c r="P32" s="907"/>
      <c r="Q32" s="1256"/>
      <c r="R32" s="907"/>
      <c r="S32" s="1257"/>
      <c r="T32" s="1256"/>
      <c r="U32" s="1257"/>
      <c r="V32" s="1256"/>
      <c r="W32" s="1257"/>
      <c r="X32" s="1256"/>
      <c r="Y32" s="907"/>
      <c r="Z32" s="907"/>
      <c r="AA32" s="1257"/>
      <c r="AB32" s="907"/>
      <c r="AC32" s="907"/>
      <c r="AD32" s="907"/>
      <c r="AE32" s="907"/>
      <c r="AF32" s="907"/>
      <c r="AG32" s="907"/>
      <c r="AH32" s="907"/>
      <c r="AI32" s="907"/>
      <c r="AJ32" s="907"/>
      <c r="AK32" s="907"/>
      <c r="AL32" s="907"/>
    </row>
    <row r="33" spans="1:38">
      <c r="A33" s="907"/>
      <c r="B33" s="907"/>
      <c r="C33" s="907"/>
      <c r="D33" s="907"/>
      <c r="E33" s="907"/>
      <c r="F33" s="907"/>
      <c r="G33" s="907"/>
      <c r="H33" s="907"/>
      <c r="I33" s="907"/>
      <c r="J33" s="907"/>
      <c r="K33" s="907"/>
      <c r="L33" s="907"/>
      <c r="M33" s="907"/>
      <c r="N33" s="907"/>
      <c r="O33" s="907"/>
      <c r="P33" s="907"/>
      <c r="Q33" s="1256"/>
      <c r="R33" s="1363"/>
      <c r="S33" s="1257"/>
      <c r="T33" s="907" t="s">
        <v>954</v>
      </c>
      <c r="U33" s="1257"/>
      <c r="V33" s="1280"/>
      <c r="W33" s="1297"/>
      <c r="X33" s="1280"/>
      <c r="Y33" s="1296"/>
      <c r="Z33" s="1296"/>
      <c r="AA33" s="1297"/>
      <c r="AB33" s="907"/>
      <c r="AC33" s="907"/>
      <c r="AD33" s="907"/>
      <c r="AE33" s="907"/>
      <c r="AF33" s="907"/>
      <c r="AG33" s="907"/>
      <c r="AH33" s="907"/>
      <c r="AI33" s="907"/>
      <c r="AJ33" s="907"/>
      <c r="AK33" s="907"/>
      <c r="AL33" s="907"/>
    </row>
    <row r="34" spans="1:38">
      <c r="A34" s="907"/>
      <c r="B34" s="907"/>
      <c r="C34" s="907"/>
      <c r="D34" s="907"/>
      <c r="E34" s="907"/>
      <c r="F34" s="907"/>
      <c r="G34" s="907"/>
      <c r="H34" s="907"/>
      <c r="I34" s="907"/>
      <c r="J34" s="907"/>
      <c r="K34" s="907"/>
      <c r="L34" s="907"/>
      <c r="M34" s="907"/>
      <c r="N34" s="907"/>
      <c r="O34" s="907"/>
      <c r="P34" s="907"/>
      <c r="Q34" s="1256"/>
      <c r="R34" s="907"/>
      <c r="S34" s="1257"/>
      <c r="T34" s="1256"/>
      <c r="U34" s="1257"/>
      <c r="V34" s="907"/>
      <c r="W34" s="907"/>
      <c r="X34" s="1249"/>
      <c r="Y34" s="1273"/>
      <c r="Z34" s="1273"/>
      <c r="AA34" s="1250"/>
      <c r="AB34" s="907"/>
      <c r="AC34" s="907"/>
      <c r="AD34" s="907"/>
      <c r="AE34" s="907"/>
      <c r="AF34" s="907"/>
      <c r="AG34" s="907"/>
      <c r="AH34" s="907"/>
      <c r="AI34" s="907"/>
      <c r="AJ34" s="907"/>
      <c r="AK34" s="907"/>
      <c r="AL34" s="907"/>
    </row>
    <row r="35" spans="1:38">
      <c r="A35" s="907"/>
      <c r="B35" s="907"/>
      <c r="C35" s="907"/>
      <c r="D35" s="907"/>
      <c r="E35" s="907"/>
      <c r="F35" s="907"/>
      <c r="G35" s="907"/>
      <c r="H35" s="907"/>
      <c r="I35" s="907"/>
      <c r="J35" s="907"/>
      <c r="K35" s="907"/>
      <c r="L35" s="907"/>
      <c r="M35" s="907"/>
      <c r="N35" s="907"/>
      <c r="O35" s="907"/>
      <c r="P35" s="907"/>
      <c r="Q35" s="1256"/>
      <c r="R35" s="907" t="s">
        <v>1998</v>
      </c>
      <c r="S35" s="1257"/>
      <c r="T35" s="1256" t="s">
        <v>4490</v>
      </c>
      <c r="U35" s="1257"/>
      <c r="V35" s="907"/>
      <c r="W35" s="907"/>
      <c r="X35" s="1256"/>
      <c r="Y35" s="907"/>
      <c r="Z35" s="907"/>
      <c r="AA35" s="1257"/>
      <c r="AB35" s="907"/>
      <c r="AC35" s="907"/>
      <c r="AD35" s="907"/>
      <c r="AE35" s="907"/>
      <c r="AF35" s="907"/>
      <c r="AG35" s="907"/>
      <c r="AH35" s="907"/>
      <c r="AI35" s="907"/>
      <c r="AJ35" s="907"/>
      <c r="AK35" s="907"/>
      <c r="AL35" s="907"/>
    </row>
    <row r="36" spans="1:38">
      <c r="A36" s="907"/>
      <c r="B36" s="907"/>
      <c r="C36" s="907"/>
      <c r="D36" s="907"/>
      <c r="E36" s="907"/>
      <c r="F36" s="907"/>
      <c r="G36" s="907"/>
      <c r="H36" s="907"/>
      <c r="I36" s="907"/>
      <c r="J36" s="907"/>
      <c r="K36" s="907"/>
      <c r="L36" s="907"/>
      <c r="M36" s="907"/>
      <c r="N36" s="907"/>
      <c r="O36" s="907"/>
      <c r="P36" s="907"/>
      <c r="Q36" s="1256"/>
      <c r="R36" s="907" t="s">
        <v>4491</v>
      </c>
      <c r="S36" s="1257"/>
      <c r="T36" s="1256"/>
      <c r="U36" s="1257"/>
      <c r="V36" s="907"/>
      <c r="W36" s="907"/>
      <c r="X36" s="1256"/>
      <c r="Y36" s="907"/>
      <c r="Z36" s="907"/>
      <c r="AA36" s="1257"/>
      <c r="AB36" s="907"/>
      <c r="AC36" s="907"/>
      <c r="AD36" s="907"/>
      <c r="AE36" s="907"/>
      <c r="AF36" s="907"/>
      <c r="AG36" s="907"/>
      <c r="AH36" s="907"/>
      <c r="AI36" s="907"/>
      <c r="AJ36" s="907"/>
      <c r="AK36" s="907"/>
      <c r="AL36" s="907"/>
    </row>
    <row r="37" spans="1:38">
      <c r="A37" s="907"/>
      <c r="B37" s="907"/>
      <c r="C37" s="907"/>
      <c r="D37" s="907"/>
      <c r="E37" s="907"/>
      <c r="F37" s="907"/>
      <c r="G37" s="907"/>
      <c r="H37" s="907"/>
      <c r="I37" s="907"/>
      <c r="J37" s="907"/>
      <c r="K37" s="907"/>
      <c r="L37" s="907"/>
      <c r="M37" s="907"/>
      <c r="N37" s="907"/>
      <c r="O37" s="907"/>
      <c r="P37" s="907"/>
      <c r="Q37" s="1256"/>
      <c r="R37" s="1363"/>
      <c r="S37" s="1257"/>
      <c r="T37" s="1256"/>
      <c r="U37" s="1257"/>
      <c r="V37" s="907"/>
      <c r="W37" s="907"/>
      <c r="X37" s="1256"/>
      <c r="Y37" s="907"/>
      <c r="Z37" s="907"/>
      <c r="AA37" s="1257"/>
      <c r="AB37" s="907"/>
      <c r="AC37" s="907"/>
      <c r="AD37" s="907"/>
      <c r="AE37" s="907"/>
      <c r="AF37" s="907"/>
      <c r="AG37" s="907"/>
      <c r="AH37" s="907"/>
      <c r="AI37" s="907"/>
      <c r="AJ37" s="907"/>
      <c r="AK37" s="907"/>
      <c r="AL37" s="907"/>
    </row>
    <row r="38" spans="1:38">
      <c r="A38" s="907"/>
      <c r="B38" s="907"/>
      <c r="C38" s="907"/>
      <c r="D38" s="907"/>
      <c r="E38" s="907"/>
      <c r="F38" s="907"/>
      <c r="G38" s="907"/>
      <c r="H38" s="907"/>
      <c r="I38" s="907"/>
      <c r="J38" s="907"/>
      <c r="K38" s="907"/>
      <c r="L38" s="907"/>
      <c r="M38" s="907"/>
      <c r="N38" s="907"/>
      <c r="O38" s="907"/>
      <c r="P38" s="907"/>
      <c r="Q38" s="1256"/>
      <c r="R38" s="907"/>
      <c r="S38" s="1257"/>
      <c r="T38" s="1256"/>
      <c r="U38" s="1257"/>
      <c r="V38" s="907"/>
      <c r="W38" s="907"/>
      <c r="X38" s="1256"/>
      <c r="Y38" s="907"/>
      <c r="Z38" s="907"/>
      <c r="AA38" s="1257"/>
      <c r="AB38" s="907"/>
      <c r="AC38" s="907"/>
      <c r="AD38" s="907"/>
      <c r="AE38" s="907"/>
      <c r="AF38" s="907"/>
      <c r="AG38" s="907"/>
      <c r="AH38" s="907"/>
      <c r="AI38" s="907"/>
      <c r="AJ38" s="907"/>
      <c r="AK38" s="907"/>
      <c r="AL38" s="907"/>
    </row>
    <row r="39" spans="1:38">
      <c r="A39" s="907"/>
      <c r="B39" s="907"/>
      <c r="C39" s="907"/>
      <c r="D39" s="907"/>
      <c r="E39" s="907"/>
      <c r="F39" s="907"/>
      <c r="G39" s="907"/>
      <c r="H39" s="907"/>
      <c r="I39" s="907"/>
      <c r="J39" s="907"/>
      <c r="K39" s="907"/>
      <c r="L39" s="907"/>
      <c r="M39" s="907"/>
      <c r="N39" s="907"/>
      <c r="O39" s="907"/>
      <c r="P39" s="907"/>
      <c r="Q39" s="1256"/>
      <c r="R39" s="1668">
        <v>8</v>
      </c>
      <c r="S39" s="1257"/>
      <c r="T39" s="1671">
        <v>6</v>
      </c>
      <c r="U39" s="1666"/>
      <c r="V39" s="907"/>
      <c r="W39" s="907"/>
      <c r="X39" s="1256"/>
      <c r="Y39" s="907" t="s">
        <v>4492</v>
      </c>
      <c r="Z39" s="907"/>
      <c r="AA39" s="1257"/>
      <c r="AB39" s="907"/>
      <c r="AC39" s="907"/>
      <c r="AD39" s="907"/>
      <c r="AE39" s="907"/>
      <c r="AF39" s="907"/>
      <c r="AG39" s="907"/>
      <c r="AH39" s="907"/>
      <c r="AI39" s="907"/>
      <c r="AJ39" s="907"/>
      <c r="AK39" s="907"/>
      <c r="AL39" s="907"/>
    </row>
    <row r="40" spans="1:38">
      <c r="A40" s="907"/>
      <c r="B40" s="907"/>
      <c r="C40" s="907"/>
      <c r="D40" s="907"/>
      <c r="E40" s="907"/>
      <c r="F40" s="907"/>
      <c r="G40" s="907"/>
      <c r="H40" s="907"/>
      <c r="I40" s="907"/>
      <c r="J40" s="907"/>
      <c r="K40" s="907"/>
      <c r="L40" s="907"/>
      <c r="M40" s="907"/>
      <c r="N40" s="907"/>
      <c r="O40" s="907"/>
      <c r="P40" s="907"/>
      <c r="Q40" s="1280"/>
      <c r="R40" s="1669"/>
      <c r="S40" s="1297"/>
      <c r="T40" s="1672"/>
      <c r="U40" s="1670"/>
      <c r="V40" s="907"/>
      <c r="W40" s="907"/>
      <c r="X40" s="1256"/>
      <c r="Y40" s="907"/>
      <c r="Z40" s="907"/>
      <c r="AA40" s="1257"/>
      <c r="AB40" s="907"/>
      <c r="AC40" s="907"/>
      <c r="AD40" s="907"/>
      <c r="AE40" s="907"/>
      <c r="AF40" s="907"/>
      <c r="AG40" s="907"/>
      <c r="AH40" s="907"/>
      <c r="AI40" s="907"/>
      <c r="AJ40" s="907"/>
      <c r="AK40" s="907"/>
      <c r="AL40" s="907"/>
    </row>
    <row r="41" spans="1:38">
      <c r="A41" s="907"/>
      <c r="B41" s="907"/>
      <c r="C41" s="907"/>
      <c r="D41" s="907"/>
      <c r="E41" s="907"/>
      <c r="F41" s="907"/>
      <c r="G41" s="907"/>
      <c r="H41" s="907"/>
      <c r="I41" s="907"/>
      <c r="J41" s="907"/>
      <c r="K41" s="907"/>
      <c r="L41" s="907"/>
      <c r="M41" s="907"/>
      <c r="N41" s="907"/>
      <c r="O41" s="907"/>
      <c r="P41" s="907"/>
      <c r="Q41" s="907"/>
      <c r="R41" s="907"/>
      <c r="S41" s="907"/>
      <c r="T41" s="907"/>
      <c r="U41" s="907"/>
      <c r="V41" s="907"/>
      <c r="W41" s="907"/>
      <c r="X41" s="1256"/>
      <c r="Y41" s="907"/>
      <c r="Z41" s="907"/>
      <c r="AA41" s="1257"/>
      <c r="AB41" s="907"/>
      <c r="AC41" s="907"/>
      <c r="AD41" s="907"/>
      <c r="AE41" s="907"/>
      <c r="AF41" s="907"/>
      <c r="AG41" s="907"/>
      <c r="AH41" s="907"/>
      <c r="AI41" s="907"/>
      <c r="AJ41" s="907"/>
      <c r="AK41" s="907"/>
      <c r="AL41" s="907"/>
    </row>
    <row r="42" spans="1:38">
      <c r="A42" s="907"/>
      <c r="B42" s="907"/>
      <c r="C42" s="907"/>
      <c r="D42" s="907"/>
      <c r="E42" s="907"/>
      <c r="F42" s="907"/>
      <c r="G42" s="907"/>
      <c r="H42" s="907"/>
      <c r="I42" s="907"/>
      <c r="J42" s="907"/>
      <c r="K42" s="907"/>
      <c r="L42" s="907"/>
      <c r="M42" s="907"/>
      <c r="N42" s="907"/>
      <c r="O42" s="907"/>
      <c r="P42" s="907"/>
      <c r="Q42" s="907"/>
      <c r="R42" s="907"/>
      <c r="S42" s="907"/>
      <c r="T42" s="907"/>
      <c r="U42" s="907"/>
      <c r="V42" s="907"/>
      <c r="W42" s="907"/>
      <c r="X42" s="1256"/>
      <c r="Y42" s="907"/>
      <c r="Z42" s="907"/>
      <c r="AA42" s="1257"/>
      <c r="AB42" s="907"/>
      <c r="AC42" s="907"/>
      <c r="AD42" s="907"/>
      <c r="AE42" s="907"/>
      <c r="AF42" s="907"/>
      <c r="AG42" s="907"/>
      <c r="AH42" s="907"/>
      <c r="AI42" s="907"/>
      <c r="AJ42" s="907"/>
      <c r="AK42" s="907"/>
      <c r="AL42" s="907"/>
    </row>
    <row r="43" spans="1:38">
      <c r="A43" s="907"/>
      <c r="B43" s="907"/>
      <c r="C43" s="907"/>
      <c r="D43" s="907"/>
      <c r="E43" s="907"/>
      <c r="F43" s="907"/>
      <c r="G43" s="907"/>
      <c r="H43" s="907"/>
      <c r="I43" s="907"/>
      <c r="J43" s="907"/>
      <c r="K43" s="907"/>
      <c r="L43" s="907"/>
      <c r="M43" s="907"/>
      <c r="N43" s="907"/>
      <c r="O43" s="907"/>
      <c r="P43" s="907"/>
      <c r="Q43" s="907"/>
      <c r="R43" s="907"/>
      <c r="S43" s="907"/>
      <c r="T43" s="907"/>
      <c r="U43" s="907"/>
      <c r="V43" s="907"/>
      <c r="W43" s="907"/>
      <c r="X43" s="1280"/>
      <c r="Y43" s="1296"/>
      <c r="Z43" s="1296"/>
      <c r="AA43" s="1297"/>
      <c r="AB43" s="907"/>
      <c r="AC43" s="907"/>
      <c r="AD43" s="907"/>
      <c r="AE43" s="907"/>
      <c r="AF43" s="907"/>
      <c r="AG43" s="907"/>
      <c r="AH43" s="907"/>
      <c r="AI43" s="907"/>
      <c r="AJ43" s="907"/>
      <c r="AK43" s="907"/>
      <c r="AL43" s="907"/>
    </row>
    <row r="44" spans="1:38">
      <c r="A44" s="907"/>
      <c r="B44" s="907"/>
      <c r="C44" s="907"/>
      <c r="D44" s="907"/>
      <c r="E44" s="907"/>
      <c r="F44" s="907"/>
      <c r="G44" s="907"/>
      <c r="H44" s="907"/>
      <c r="I44" s="907"/>
      <c r="J44" s="907"/>
      <c r="K44" s="907"/>
      <c r="L44" s="907"/>
      <c r="M44" s="907"/>
      <c r="N44" s="907"/>
      <c r="O44" s="907"/>
      <c r="P44" s="907"/>
      <c r="Q44" s="907"/>
      <c r="R44" s="907"/>
      <c r="S44" s="907"/>
      <c r="T44" s="907"/>
      <c r="U44" s="907"/>
      <c r="V44" s="907"/>
      <c r="W44" s="907"/>
      <c r="X44" s="1249"/>
      <c r="Y44" s="1273"/>
      <c r="Z44" s="1273"/>
      <c r="AA44" s="1250"/>
      <c r="AB44" s="907"/>
      <c r="AC44" s="907"/>
      <c r="AD44" s="907"/>
      <c r="AE44" s="907"/>
      <c r="AF44" s="907"/>
      <c r="AG44" s="907"/>
      <c r="AH44" s="907"/>
      <c r="AI44" s="907"/>
      <c r="AJ44" s="907"/>
      <c r="AK44" s="907"/>
      <c r="AL44" s="907"/>
    </row>
    <row r="45" spans="1:38">
      <c r="A45" s="907"/>
      <c r="B45" s="907"/>
      <c r="C45" s="907"/>
      <c r="D45" s="907"/>
      <c r="E45" s="907"/>
      <c r="F45" s="907"/>
      <c r="G45" s="907"/>
      <c r="H45" s="907"/>
      <c r="I45" s="907"/>
      <c r="J45" s="907"/>
      <c r="K45" s="907"/>
      <c r="L45" s="907"/>
      <c r="M45" s="907"/>
      <c r="N45" s="907"/>
      <c r="O45" s="907"/>
      <c r="P45" s="907"/>
      <c r="Q45" s="907"/>
      <c r="R45" s="907"/>
      <c r="S45" s="907"/>
      <c r="T45" s="907"/>
      <c r="U45" s="907"/>
      <c r="V45" s="907"/>
      <c r="W45" s="907"/>
      <c r="X45" s="1256"/>
      <c r="Y45" s="907"/>
      <c r="Z45" s="907"/>
      <c r="AA45" s="1257"/>
      <c r="AB45" s="907"/>
      <c r="AC45" s="907"/>
      <c r="AD45" s="907"/>
      <c r="AE45" s="907"/>
      <c r="AF45" s="907"/>
      <c r="AG45" s="907"/>
      <c r="AH45" s="907"/>
      <c r="AI45" s="907"/>
      <c r="AJ45" s="907"/>
      <c r="AK45" s="907"/>
      <c r="AL45" s="907"/>
    </row>
    <row r="46" spans="1:38">
      <c r="A46" s="907"/>
      <c r="B46" s="907"/>
      <c r="C46" s="907"/>
      <c r="D46" s="907"/>
      <c r="E46" s="907"/>
      <c r="F46" s="907"/>
      <c r="G46" s="907"/>
      <c r="H46" s="907"/>
      <c r="I46" s="907"/>
      <c r="J46" s="907"/>
      <c r="K46" s="907"/>
      <c r="L46" s="907"/>
      <c r="M46" s="907"/>
      <c r="N46" s="907"/>
      <c r="O46" s="907"/>
      <c r="P46" s="907"/>
      <c r="Q46" s="907"/>
      <c r="R46" s="907"/>
      <c r="S46" s="907"/>
      <c r="T46" s="907"/>
      <c r="U46" s="907"/>
      <c r="V46" s="907"/>
      <c r="W46" s="907"/>
      <c r="X46" s="1256"/>
      <c r="Y46" s="907"/>
      <c r="Z46" s="907"/>
      <c r="AA46" s="1257"/>
      <c r="AB46" s="907"/>
      <c r="AC46" s="907"/>
      <c r="AD46" s="907"/>
      <c r="AE46" s="907"/>
      <c r="AF46" s="907"/>
      <c r="AG46" s="907"/>
      <c r="AH46" s="907"/>
      <c r="AI46" s="907"/>
      <c r="AJ46" s="907"/>
      <c r="AK46" s="907"/>
      <c r="AL46" s="907"/>
    </row>
    <row r="47" spans="1:38">
      <c r="A47" s="907"/>
      <c r="B47" s="907"/>
      <c r="C47" s="907"/>
      <c r="D47" s="907"/>
      <c r="E47" s="907"/>
      <c r="F47" s="907"/>
      <c r="G47" s="907"/>
      <c r="H47" s="907"/>
      <c r="I47" s="907"/>
      <c r="J47" s="907"/>
      <c r="K47" s="907"/>
      <c r="L47" s="907"/>
      <c r="M47" s="907"/>
      <c r="N47" s="907"/>
      <c r="O47" s="907"/>
      <c r="P47" s="907"/>
      <c r="Q47" s="907"/>
      <c r="R47" s="907"/>
      <c r="S47" s="907"/>
      <c r="T47" s="907"/>
      <c r="U47" s="907"/>
      <c r="V47" s="907"/>
      <c r="W47" s="907"/>
      <c r="X47" s="1256"/>
      <c r="Y47" s="907"/>
      <c r="Z47" s="907"/>
      <c r="AA47" s="1257"/>
      <c r="AB47" s="907"/>
      <c r="AC47" s="907"/>
      <c r="AD47" s="907"/>
      <c r="AE47" s="907"/>
      <c r="AF47" s="907"/>
      <c r="AG47" s="907"/>
      <c r="AH47" s="907"/>
      <c r="AI47" s="907"/>
      <c r="AJ47" s="907"/>
      <c r="AK47" s="907"/>
      <c r="AL47" s="907"/>
    </row>
    <row r="48" spans="1:38">
      <c r="A48" s="907"/>
      <c r="B48" s="907"/>
      <c r="C48" s="907"/>
      <c r="D48" s="907"/>
      <c r="E48" s="907"/>
      <c r="F48" s="907"/>
      <c r="G48" s="907"/>
      <c r="H48" s="907"/>
      <c r="I48" s="907"/>
      <c r="J48" s="907"/>
      <c r="K48" s="907"/>
      <c r="L48" s="907"/>
      <c r="M48" s="907"/>
      <c r="N48" s="907"/>
      <c r="O48" s="907"/>
      <c r="P48" s="907"/>
      <c r="Q48" s="907"/>
      <c r="R48" s="907"/>
      <c r="S48" s="907"/>
      <c r="T48" s="907"/>
      <c r="U48" s="907"/>
      <c r="V48" s="907"/>
      <c r="W48" s="907"/>
      <c r="X48" s="1256"/>
      <c r="Y48" s="907" t="s">
        <v>4493</v>
      </c>
      <c r="Z48" s="907"/>
      <c r="AA48" s="1257"/>
      <c r="AB48" s="907"/>
      <c r="AC48" s="907"/>
      <c r="AD48" s="907"/>
      <c r="AE48" s="907"/>
      <c r="AF48" s="907"/>
      <c r="AG48" s="907"/>
      <c r="AH48" s="907"/>
      <c r="AI48" s="907"/>
      <c r="AJ48" s="907"/>
      <c r="AK48" s="907"/>
      <c r="AL48" s="907"/>
    </row>
    <row r="49" spans="1:38">
      <c r="A49" s="907"/>
      <c r="B49" s="907"/>
      <c r="C49" s="907"/>
      <c r="D49" s="907"/>
      <c r="E49" s="907"/>
      <c r="F49" s="907"/>
      <c r="G49" s="907"/>
      <c r="H49" s="907"/>
      <c r="I49" s="907"/>
      <c r="J49" s="907"/>
      <c r="K49" s="907"/>
      <c r="L49" s="907"/>
      <c r="M49" s="907"/>
      <c r="N49" s="907"/>
      <c r="O49" s="907"/>
      <c r="P49" s="907"/>
      <c r="Q49" s="907"/>
      <c r="R49" s="907"/>
      <c r="S49" s="907"/>
      <c r="T49" s="907"/>
      <c r="U49" s="907"/>
      <c r="V49" s="907"/>
      <c r="W49" s="907"/>
      <c r="X49" s="1256"/>
      <c r="Y49" s="907"/>
      <c r="Z49" s="907"/>
      <c r="AA49" s="1257"/>
      <c r="AB49" s="907"/>
      <c r="AC49" s="907"/>
      <c r="AD49" s="907"/>
      <c r="AE49" s="907"/>
      <c r="AF49" s="907"/>
      <c r="AG49" s="907"/>
      <c r="AH49" s="907"/>
      <c r="AI49" s="907"/>
      <c r="AJ49" s="907"/>
      <c r="AK49" s="907"/>
      <c r="AL49" s="907"/>
    </row>
    <row r="50" spans="1:38">
      <c r="A50" s="907"/>
      <c r="B50" s="907"/>
      <c r="C50" s="907"/>
      <c r="D50" s="907"/>
      <c r="E50" s="907"/>
      <c r="F50" s="907"/>
      <c r="G50" s="907"/>
      <c r="H50" s="907"/>
      <c r="I50" s="907"/>
      <c r="J50" s="907"/>
      <c r="K50" s="907"/>
      <c r="L50" s="907"/>
      <c r="M50" s="907"/>
      <c r="N50" s="907"/>
      <c r="O50" s="907"/>
      <c r="P50" s="907"/>
      <c r="Q50" s="907"/>
      <c r="R50" s="907"/>
      <c r="S50" s="907"/>
      <c r="T50" s="907"/>
      <c r="U50" s="907"/>
      <c r="V50" s="907"/>
      <c r="W50" s="907"/>
      <c r="X50" s="1256"/>
      <c r="Y50" s="907"/>
      <c r="Z50" s="907"/>
      <c r="AA50" s="1257"/>
      <c r="AB50" s="907"/>
      <c r="AC50" s="907"/>
      <c r="AD50" s="907"/>
      <c r="AE50" s="907"/>
      <c r="AF50" s="907"/>
      <c r="AG50" s="907"/>
      <c r="AH50" s="907"/>
      <c r="AI50" s="907"/>
      <c r="AJ50" s="907"/>
      <c r="AK50" s="907"/>
      <c r="AL50" s="907"/>
    </row>
    <row r="51" spans="1:38">
      <c r="A51" s="907"/>
      <c r="B51" s="907"/>
      <c r="C51" s="907"/>
      <c r="D51" s="907"/>
      <c r="E51" s="907"/>
      <c r="F51" s="907"/>
      <c r="G51" s="907"/>
      <c r="H51" s="907"/>
      <c r="I51" s="907"/>
      <c r="J51" s="907"/>
      <c r="K51" s="907"/>
      <c r="L51" s="907"/>
      <c r="M51" s="907"/>
      <c r="N51" s="907"/>
      <c r="O51" s="907"/>
      <c r="P51" s="907"/>
      <c r="Q51" s="907"/>
      <c r="R51" s="907"/>
      <c r="S51" s="907"/>
      <c r="T51" s="907"/>
      <c r="U51" s="907"/>
      <c r="V51" s="907"/>
      <c r="W51" s="907"/>
      <c r="X51" s="1256"/>
      <c r="Y51" s="907"/>
      <c r="Z51" s="907"/>
      <c r="AA51" s="1257"/>
      <c r="AB51" s="907"/>
      <c r="AC51" s="907"/>
      <c r="AD51" s="907"/>
      <c r="AE51" s="907"/>
      <c r="AF51" s="907"/>
      <c r="AG51" s="907"/>
      <c r="AH51" s="907"/>
      <c r="AI51" s="907"/>
      <c r="AJ51" s="907"/>
      <c r="AK51" s="907"/>
      <c r="AL51" s="907"/>
    </row>
    <row r="52" spans="1:38">
      <c r="A52" s="907"/>
      <c r="B52" s="907"/>
      <c r="C52" s="907"/>
      <c r="D52" s="907"/>
      <c r="E52" s="907"/>
      <c r="F52" s="907"/>
      <c r="G52" s="907"/>
      <c r="H52" s="907"/>
      <c r="I52" s="907"/>
      <c r="J52" s="907"/>
      <c r="K52" s="907"/>
      <c r="L52" s="907"/>
      <c r="M52" s="907"/>
      <c r="N52" s="907"/>
      <c r="O52" s="907"/>
      <c r="P52" s="907"/>
      <c r="Q52" s="907"/>
      <c r="R52" s="907"/>
      <c r="S52" s="907"/>
      <c r="T52" s="907"/>
      <c r="U52" s="907"/>
      <c r="V52" s="907"/>
      <c r="W52" s="907"/>
      <c r="X52" s="1256"/>
      <c r="Y52" s="907"/>
      <c r="Z52" s="907"/>
      <c r="AA52" s="1257"/>
      <c r="AB52" s="907"/>
      <c r="AC52" s="907"/>
      <c r="AD52" s="907"/>
      <c r="AE52" s="907"/>
      <c r="AF52" s="907"/>
      <c r="AG52" s="907"/>
      <c r="AH52" s="907"/>
      <c r="AI52" s="907"/>
      <c r="AJ52" s="907"/>
      <c r="AK52" s="907"/>
      <c r="AL52" s="907"/>
    </row>
    <row r="53" spans="1:38">
      <c r="A53" s="907"/>
      <c r="B53" s="907"/>
      <c r="C53" s="907"/>
      <c r="D53" s="907"/>
      <c r="E53" s="907"/>
      <c r="F53" s="907"/>
      <c r="G53" s="907"/>
      <c r="H53" s="907"/>
      <c r="I53" s="907"/>
      <c r="J53" s="907"/>
      <c r="K53" s="907"/>
      <c r="L53" s="907"/>
      <c r="M53" s="907"/>
      <c r="N53" s="907"/>
      <c r="O53" s="907"/>
      <c r="P53" s="907"/>
      <c r="Q53" s="907"/>
      <c r="R53" s="907"/>
      <c r="S53" s="907"/>
      <c r="T53" s="907"/>
      <c r="U53" s="907"/>
      <c r="V53" s="907"/>
      <c r="W53" s="907"/>
      <c r="X53" s="1280"/>
      <c r="Y53" s="1296"/>
      <c r="Z53" s="1296"/>
      <c r="AA53" s="1297"/>
      <c r="AB53" s="907"/>
      <c r="AC53" s="907"/>
      <c r="AD53" s="907"/>
      <c r="AE53" s="907"/>
      <c r="AF53" s="907"/>
      <c r="AG53" s="907"/>
      <c r="AH53" s="907"/>
      <c r="AI53" s="907"/>
      <c r="AJ53" s="907"/>
      <c r="AK53" s="907"/>
      <c r="AL53" s="907"/>
    </row>
    <row r="54" spans="1:38">
      <c r="A54" s="907"/>
      <c r="B54" s="907"/>
      <c r="C54" s="907"/>
      <c r="D54" s="907"/>
      <c r="E54" s="907"/>
      <c r="F54" s="907"/>
      <c r="G54" s="907"/>
      <c r="H54" s="907"/>
      <c r="I54" s="907"/>
      <c r="J54" s="907"/>
      <c r="K54" s="907"/>
      <c r="L54" s="907"/>
      <c r="M54" s="907"/>
      <c r="N54" s="907"/>
      <c r="O54" s="907"/>
      <c r="P54" s="907"/>
      <c r="Q54" s="907"/>
      <c r="R54" s="907"/>
      <c r="S54" s="907"/>
      <c r="T54" s="907"/>
      <c r="U54" s="907"/>
      <c r="V54" s="907"/>
      <c r="W54" s="907"/>
      <c r="X54" s="907"/>
      <c r="Y54" s="907"/>
      <c r="Z54" s="907"/>
      <c r="AA54" s="907"/>
      <c r="AB54" s="907"/>
      <c r="AC54" s="907"/>
      <c r="AD54" s="907"/>
      <c r="AE54" s="907"/>
      <c r="AF54" s="907"/>
      <c r="AG54" s="907"/>
      <c r="AH54" s="907"/>
      <c r="AI54" s="907"/>
      <c r="AJ54" s="907"/>
      <c r="AK54" s="907"/>
      <c r="AL54" s="907"/>
    </row>
    <row r="55" spans="1:38">
      <c r="A55" s="907"/>
      <c r="B55" s="907"/>
      <c r="C55" s="907"/>
      <c r="D55" s="907"/>
      <c r="E55" s="907"/>
      <c r="F55" s="907"/>
      <c r="G55" s="907"/>
      <c r="H55" s="907"/>
      <c r="I55" s="907"/>
      <c r="J55" s="907"/>
      <c r="K55" s="907"/>
      <c r="L55" s="907"/>
      <c r="M55" s="907"/>
      <c r="N55" s="907"/>
      <c r="O55" s="907"/>
      <c r="P55" s="907"/>
      <c r="Q55" s="907"/>
      <c r="R55" s="907"/>
      <c r="S55" s="907"/>
      <c r="T55" s="907"/>
      <c r="U55" s="907"/>
      <c r="V55" s="907"/>
      <c r="W55" s="907"/>
      <c r="X55" s="907"/>
      <c r="Y55" s="907"/>
      <c r="Z55" s="907"/>
      <c r="AA55" s="907"/>
      <c r="AB55" s="907"/>
      <c r="AC55" s="907"/>
      <c r="AD55" s="907"/>
      <c r="AE55" s="907"/>
      <c r="AF55" s="907"/>
      <c r="AG55" s="907"/>
      <c r="AH55" s="907"/>
      <c r="AI55" s="907"/>
      <c r="AJ55" s="907"/>
      <c r="AK55" s="907"/>
      <c r="AL55" s="907"/>
    </row>
    <row r="56" spans="1:38">
      <c r="A56" s="907"/>
      <c r="B56" s="907"/>
      <c r="C56" s="907"/>
      <c r="D56" s="907"/>
      <c r="E56" s="907"/>
      <c r="F56" s="907"/>
      <c r="G56" s="907"/>
      <c r="H56" s="907"/>
      <c r="I56" s="907"/>
      <c r="J56" s="907"/>
      <c r="K56" s="907"/>
      <c r="L56" s="907"/>
      <c r="M56" s="907"/>
      <c r="N56" s="907"/>
      <c r="O56" s="907"/>
      <c r="P56" s="907"/>
      <c r="Q56" s="907"/>
      <c r="R56" s="907"/>
      <c r="S56" s="907"/>
      <c r="T56" s="907"/>
      <c r="U56" s="907"/>
      <c r="V56" s="907"/>
      <c r="W56" s="907"/>
      <c r="X56" s="907"/>
      <c r="Y56" s="907"/>
      <c r="Z56" s="907"/>
      <c r="AA56" s="907"/>
      <c r="AB56" s="907"/>
      <c r="AC56" s="907"/>
      <c r="AD56" s="907"/>
      <c r="AE56" s="907"/>
      <c r="AF56" s="907"/>
      <c r="AG56" s="907"/>
      <c r="AH56" s="907"/>
      <c r="AI56" s="907"/>
      <c r="AJ56" s="907"/>
      <c r="AK56" s="907"/>
      <c r="AL56" s="907"/>
    </row>
    <row r="57" spans="1:38">
      <c r="A57" s="907"/>
      <c r="B57" s="907"/>
      <c r="C57" s="907"/>
      <c r="D57" s="907"/>
      <c r="E57" s="907"/>
      <c r="F57" s="907"/>
      <c r="G57" s="907"/>
      <c r="H57" s="907"/>
      <c r="I57" s="907"/>
      <c r="J57" s="907"/>
      <c r="K57" s="907"/>
      <c r="L57" s="907"/>
      <c r="M57" s="907"/>
      <c r="N57" s="907"/>
      <c r="O57" s="907"/>
      <c r="P57" s="907"/>
      <c r="Q57" s="907"/>
      <c r="R57" s="907"/>
      <c r="S57" s="907"/>
      <c r="T57" s="907"/>
      <c r="U57" s="907"/>
      <c r="V57" s="907"/>
      <c r="W57" s="907"/>
      <c r="X57" s="907"/>
      <c r="Y57" s="907"/>
      <c r="Z57" s="907"/>
      <c r="AA57" s="907"/>
      <c r="AB57" s="907"/>
      <c r="AC57" s="907"/>
      <c r="AD57" s="907"/>
      <c r="AE57" s="907"/>
      <c r="AF57" s="907"/>
      <c r="AG57" s="907"/>
      <c r="AH57" s="907"/>
      <c r="AI57" s="907"/>
      <c r="AJ57" s="907"/>
      <c r="AK57" s="907"/>
      <c r="AL57" s="907"/>
    </row>
    <row r="58" spans="1:38">
      <c r="A58" s="907"/>
      <c r="B58" s="907"/>
      <c r="C58" s="907"/>
      <c r="D58" s="907"/>
      <c r="E58" s="907"/>
      <c r="F58" s="907"/>
      <c r="G58" s="907"/>
      <c r="H58" s="907"/>
      <c r="I58" s="907"/>
      <c r="J58" s="907"/>
      <c r="K58" s="907"/>
      <c r="L58" s="907"/>
      <c r="M58" s="907"/>
      <c r="N58" s="907"/>
      <c r="O58" s="907"/>
      <c r="P58" s="907"/>
      <c r="Q58" s="907"/>
      <c r="R58" s="907"/>
      <c r="S58" s="907"/>
      <c r="T58" s="907"/>
      <c r="U58" s="907"/>
      <c r="V58" s="907"/>
      <c r="W58" s="907"/>
      <c r="X58" s="907"/>
      <c r="Y58" s="907"/>
      <c r="Z58" s="907"/>
      <c r="AA58" s="907"/>
      <c r="AB58" s="907"/>
      <c r="AC58" s="907"/>
      <c r="AD58" s="907"/>
      <c r="AE58" s="907"/>
      <c r="AF58" s="907"/>
      <c r="AG58" s="907"/>
      <c r="AH58" s="907"/>
      <c r="AI58" s="907"/>
      <c r="AJ58" s="907"/>
      <c r="AK58" s="907"/>
      <c r="AL58" s="907"/>
    </row>
    <row r="59" spans="1:38">
      <c r="A59" s="907"/>
      <c r="B59" s="907"/>
      <c r="C59" s="907"/>
      <c r="D59" s="907"/>
      <c r="E59" s="907"/>
      <c r="F59" s="907"/>
      <c r="G59" s="907"/>
      <c r="H59" s="907"/>
      <c r="I59" s="907"/>
      <c r="J59" s="907"/>
      <c r="K59" s="907"/>
      <c r="L59" s="907"/>
      <c r="M59" s="907"/>
      <c r="N59" s="907"/>
      <c r="O59" s="907"/>
      <c r="P59" s="907"/>
      <c r="Q59" s="907"/>
      <c r="R59" s="907"/>
      <c r="S59" s="907"/>
      <c r="T59" s="907"/>
      <c r="U59" s="907"/>
      <c r="V59" s="907"/>
      <c r="W59" s="907"/>
      <c r="X59" s="907"/>
      <c r="Y59" s="907"/>
      <c r="Z59" s="907"/>
      <c r="AA59" s="907"/>
      <c r="AB59" s="907"/>
      <c r="AC59" s="907"/>
      <c r="AD59" s="907"/>
      <c r="AE59" s="907"/>
      <c r="AF59" s="907"/>
      <c r="AG59" s="907"/>
      <c r="AH59" s="907"/>
      <c r="AI59" s="907"/>
      <c r="AJ59" s="907"/>
      <c r="AK59" s="907"/>
      <c r="AL59" s="907"/>
    </row>
    <row r="60" spans="1:38">
      <c r="A60" s="907"/>
      <c r="B60" s="907"/>
      <c r="C60" s="907"/>
      <c r="D60" s="907"/>
      <c r="E60" s="907"/>
      <c r="F60" s="907"/>
      <c r="G60" s="907"/>
      <c r="H60" s="907"/>
      <c r="I60" s="907"/>
      <c r="J60" s="907"/>
      <c r="K60" s="907"/>
      <c r="L60" s="907"/>
      <c r="M60" s="907"/>
      <c r="N60" s="907"/>
      <c r="O60" s="907"/>
      <c r="P60" s="907"/>
      <c r="Q60" s="907"/>
      <c r="R60" s="907"/>
      <c r="S60" s="907"/>
      <c r="T60" s="907"/>
      <c r="U60" s="907"/>
      <c r="V60" s="907"/>
      <c r="W60" s="907"/>
      <c r="X60" s="907"/>
      <c r="Y60" s="907"/>
      <c r="Z60" s="907"/>
      <c r="AA60" s="907"/>
      <c r="AB60" s="907"/>
      <c r="AC60" s="907"/>
      <c r="AD60" s="907"/>
      <c r="AE60" s="907"/>
      <c r="AF60" s="907"/>
      <c r="AG60" s="907"/>
      <c r="AH60" s="907"/>
      <c r="AI60" s="907"/>
      <c r="AJ60" s="907"/>
      <c r="AK60" s="907"/>
      <c r="AL60" s="907"/>
    </row>
    <row r="61" spans="1:38">
      <c r="A61" s="907"/>
      <c r="B61" s="907"/>
      <c r="C61" s="907"/>
      <c r="D61" s="907"/>
      <c r="E61" s="907"/>
      <c r="F61" s="907"/>
      <c r="G61" s="907"/>
      <c r="H61" s="907"/>
      <c r="I61" s="907"/>
      <c r="J61" s="907"/>
      <c r="K61" s="907"/>
      <c r="L61" s="907"/>
      <c r="M61" s="907"/>
      <c r="N61" s="907"/>
      <c r="O61" s="907"/>
      <c r="P61" s="907"/>
      <c r="Q61" s="907"/>
      <c r="R61" s="907"/>
      <c r="S61" s="907"/>
      <c r="T61" s="907"/>
      <c r="U61" s="907"/>
      <c r="V61" s="907"/>
      <c r="W61" s="907"/>
      <c r="X61" s="907"/>
      <c r="Y61" s="907"/>
      <c r="Z61" s="907"/>
      <c r="AA61" s="907"/>
      <c r="AB61" s="907"/>
      <c r="AC61" s="907"/>
      <c r="AD61" s="907"/>
      <c r="AE61" s="907"/>
      <c r="AF61" s="907"/>
      <c r="AG61" s="907"/>
      <c r="AH61" s="907"/>
      <c r="AI61" s="907"/>
      <c r="AJ61" s="907"/>
      <c r="AK61" s="907"/>
      <c r="AL61" s="907"/>
    </row>
    <row r="62" spans="1:38">
      <c r="A62" s="907"/>
      <c r="B62" s="907"/>
      <c r="C62" s="907"/>
      <c r="D62" s="907"/>
      <c r="E62" s="907"/>
      <c r="F62" s="907"/>
      <c r="G62" s="907"/>
      <c r="H62" s="907"/>
      <c r="I62" s="907"/>
      <c r="J62" s="907"/>
      <c r="K62" s="907"/>
      <c r="L62" s="907"/>
      <c r="M62" s="907"/>
      <c r="N62" s="907"/>
      <c r="O62" s="907"/>
      <c r="P62" s="907"/>
      <c r="Q62" s="907"/>
      <c r="R62" s="907"/>
      <c r="S62" s="907"/>
      <c r="T62" s="907"/>
      <c r="U62" s="907"/>
      <c r="V62" s="907"/>
      <c r="W62" s="907"/>
      <c r="X62" s="907"/>
      <c r="Y62" s="907"/>
      <c r="Z62" s="907"/>
      <c r="AA62" s="907"/>
      <c r="AB62" s="907"/>
      <c r="AC62" s="907"/>
      <c r="AD62" s="907"/>
      <c r="AE62" s="907"/>
      <c r="AF62" s="907"/>
      <c r="AG62" s="907"/>
      <c r="AH62" s="907"/>
      <c r="AI62" s="907"/>
      <c r="AJ62" s="907"/>
      <c r="AK62" s="907"/>
      <c r="AL62" s="907"/>
    </row>
    <row r="63" spans="1:38">
      <c r="A63" s="907"/>
      <c r="B63" s="907"/>
      <c r="C63" s="907"/>
      <c r="D63" s="907"/>
      <c r="E63" s="907"/>
      <c r="F63" s="907"/>
      <c r="G63" s="907"/>
      <c r="H63" s="907"/>
      <c r="I63" s="907"/>
      <c r="J63" s="907"/>
      <c r="K63" s="907"/>
      <c r="L63" s="907"/>
      <c r="M63" s="907"/>
      <c r="N63" s="907"/>
      <c r="O63" s="907"/>
      <c r="P63" s="907"/>
      <c r="Q63" s="907"/>
      <c r="R63" s="907"/>
      <c r="S63" s="907"/>
      <c r="T63" s="907"/>
      <c r="U63" s="907"/>
      <c r="V63" s="907"/>
      <c r="W63" s="907"/>
      <c r="X63" s="907"/>
      <c r="Y63" s="907"/>
      <c r="Z63" s="907"/>
      <c r="AA63" s="907"/>
      <c r="AB63" s="907"/>
      <c r="AC63" s="907"/>
      <c r="AD63" s="907"/>
      <c r="AE63" s="907"/>
      <c r="AF63" s="907"/>
      <c r="AG63" s="907"/>
      <c r="AH63" s="907"/>
      <c r="AI63" s="907"/>
      <c r="AJ63" s="907"/>
      <c r="AK63" s="907"/>
      <c r="AL63" s="907"/>
    </row>
    <row r="64" spans="1:38">
      <c r="A64" s="907"/>
      <c r="B64" s="907"/>
      <c r="C64" s="907"/>
      <c r="D64" s="907"/>
      <c r="E64" s="907"/>
      <c r="F64" s="907"/>
      <c r="G64" s="907"/>
      <c r="H64" s="907"/>
      <c r="I64" s="907"/>
      <c r="J64" s="907"/>
      <c r="K64" s="907"/>
      <c r="L64" s="907"/>
      <c r="M64" s="907"/>
      <c r="N64" s="907"/>
      <c r="O64" s="907"/>
      <c r="P64" s="907"/>
      <c r="Q64" s="907"/>
      <c r="R64" s="907"/>
      <c r="S64" s="907"/>
      <c r="T64" s="907"/>
      <c r="U64" s="907"/>
      <c r="V64" s="907"/>
      <c r="W64" s="907"/>
      <c r="X64" s="907"/>
      <c r="Y64" s="907"/>
      <c r="Z64" s="907"/>
      <c r="AA64" s="907"/>
      <c r="AB64" s="907"/>
      <c r="AC64" s="907"/>
      <c r="AD64" s="907"/>
      <c r="AE64" s="907"/>
      <c r="AF64" s="907"/>
      <c r="AG64" s="907"/>
      <c r="AH64" s="907"/>
      <c r="AI64" s="907"/>
      <c r="AJ64" s="907"/>
      <c r="AK64" s="907"/>
      <c r="AL64" s="907"/>
    </row>
    <row r="65" spans="1:38">
      <c r="A65" s="907"/>
      <c r="B65" s="907"/>
      <c r="C65" s="907"/>
      <c r="D65" s="907"/>
      <c r="E65" s="907"/>
      <c r="F65" s="907"/>
      <c r="G65" s="907"/>
      <c r="H65" s="907"/>
      <c r="I65" s="907"/>
      <c r="J65" s="907"/>
      <c r="K65" s="907"/>
      <c r="L65" s="907"/>
      <c r="M65" s="907"/>
      <c r="N65" s="907"/>
      <c r="O65" s="907"/>
      <c r="P65" s="907"/>
      <c r="Q65" s="907"/>
      <c r="R65" s="907"/>
      <c r="S65" s="907"/>
      <c r="T65" s="907"/>
      <c r="U65" s="907"/>
      <c r="V65" s="907"/>
      <c r="W65" s="907"/>
      <c r="X65" s="907"/>
      <c r="Y65" s="907"/>
      <c r="Z65" s="907"/>
      <c r="AA65" s="907"/>
      <c r="AB65" s="907"/>
      <c r="AC65" s="907"/>
      <c r="AD65" s="907"/>
      <c r="AE65" s="907"/>
      <c r="AF65" s="907"/>
      <c r="AG65" s="907"/>
      <c r="AH65" s="907"/>
      <c r="AI65" s="907"/>
      <c r="AJ65" s="907"/>
      <c r="AK65" s="907"/>
      <c r="AL65" s="907"/>
    </row>
    <row r="66" spans="1:38">
      <c r="A66" s="907"/>
      <c r="B66" s="907"/>
      <c r="C66" s="907"/>
      <c r="D66" s="907"/>
      <c r="E66" s="907"/>
      <c r="F66" s="907"/>
      <c r="G66" s="907"/>
      <c r="H66" s="907"/>
      <c r="I66" s="907"/>
      <c r="J66" s="907"/>
      <c r="K66" s="907"/>
      <c r="L66" s="907"/>
      <c r="M66" s="907"/>
      <c r="N66" s="907"/>
      <c r="O66" s="907"/>
      <c r="P66" s="907"/>
      <c r="Q66" s="907"/>
      <c r="R66" s="907"/>
      <c r="S66" s="907"/>
      <c r="T66" s="907"/>
      <c r="U66" s="907"/>
      <c r="V66" s="907"/>
      <c r="W66" s="907"/>
      <c r="X66" s="907"/>
      <c r="Y66" s="907"/>
      <c r="Z66" s="907"/>
      <c r="AA66" s="907"/>
      <c r="AB66" s="907"/>
      <c r="AC66" s="907"/>
      <c r="AD66" s="907"/>
      <c r="AE66" s="907"/>
      <c r="AF66" s="907"/>
      <c r="AG66" s="907"/>
      <c r="AH66" s="907"/>
      <c r="AI66" s="907"/>
      <c r="AJ66" s="907"/>
      <c r="AK66" s="907"/>
      <c r="AL66" s="907"/>
    </row>
    <row r="67" spans="1:38">
      <c r="A67" s="907"/>
      <c r="B67" s="907"/>
      <c r="C67" s="907"/>
      <c r="D67" s="907"/>
      <c r="E67" s="907"/>
      <c r="F67" s="907"/>
      <c r="G67" s="907"/>
      <c r="H67" s="907"/>
      <c r="I67" s="907"/>
      <c r="J67" s="907"/>
      <c r="K67" s="907"/>
      <c r="L67" s="907"/>
      <c r="M67" s="907"/>
      <c r="N67" s="907"/>
      <c r="O67" s="907"/>
      <c r="P67" s="907"/>
      <c r="Q67" s="907"/>
      <c r="R67" s="907"/>
      <c r="S67" s="907"/>
      <c r="T67" s="907"/>
      <c r="U67" s="907"/>
      <c r="V67" s="907"/>
      <c r="W67" s="907"/>
      <c r="X67" s="907"/>
      <c r="Y67" s="907"/>
      <c r="Z67" s="907"/>
      <c r="AA67" s="907"/>
      <c r="AB67" s="907"/>
      <c r="AC67" s="907"/>
      <c r="AD67" s="907"/>
      <c r="AE67" s="907"/>
      <c r="AF67" s="907"/>
      <c r="AG67" s="907"/>
      <c r="AH67" s="907"/>
      <c r="AI67" s="907"/>
      <c r="AJ67" s="907"/>
      <c r="AK67" s="907"/>
      <c r="AL67" s="907"/>
    </row>
    <row r="68" spans="1:38">
      <c r="A68" s="907"/>
      <c r="B68" s="907"/>
      <c r="C68" s="907"/>
      <c r="D68" s="907"/>
      <c r="E68" s="907"/>
      <c r="F68" s="907"/>
      <c r="G68" s="907"/>
      <c r="H68" s="907"/>
      <c r="I68" s="907"/>
      <c r="J68" s="907"/>
      <c r="K68" s="907"/>
      <c r="L68" s="907"/>
      <c r="M68" s="907"/>
      <c r="N68" s="907"/>
      <c r="O68" s="907"/>
      <c r="P68" s="907"/>
      <c r="Q68" s="907"/>
      <c r="R68" s="907"/>
      <c r="S68" s="907"/>
      <c r="T68" s="907"/>
      <c r="U68" s="907"/>
      <c r="V68" s="907"/>
      <c r="W68" s="907"/>
      <c r="X68" s="907"/>
      <c r="Y68" s="907"/>
      <c r="Z68" s="907"/>
      <c r="AA68" s="907"/>
      <c r="AB68" s="907"/>
      <c r="AC68" s="907"/>
      <c r="AD68" s="907"/>
      <c r="AE68" s="907"/>
      <c r="AF68" s="907"/>
      <c r="AG68" s="907"/>
      <c r="AH68" s="907"/>
      <c r="AI68" s="907"/>
      <c r="AJ68" s="907"/>
      <c r="AK68" s="907"/>
      <c r="AL68" s="907"/>
    </row>
    <row r="69" spans="1:38">
      <c r="A69" s="907"/>
      <c r="B69" s="907"/>
      <c r="C69" s="907"/>
      <c r="D69" s="907"/>
      <c r="E69" s="907"/>
      <c r="F69" s="907"/>
      <c r="G69" s="907"/>
      <c r="H69" s="907"/>
      <c r="I69" s="907"/>
      <c r="J69" s="907"/>
      <c r="K69" s="907"/>
      <c r="L69" s="907"/>
      <c r="M69" s="907"/>
      <c r="N69" s="907"/>
      <c r="O69" s="907"/>
      <c r="P69" s="907"/>
      <c r="Q69" s="907"/>
      <c r="R69" s="907"/>
      <c r="S69" s="907"/>
      <c r="T69" s="907"/>
      <c r="U69" s="907"/>
      <c r="V69" s="907"/>
      <c r="W69" s="907"/>
      <c r="X69" s="907"/>
      <c r="Y69" s="907"/>
      <c r="Z69" s="907"/>
      <c r="AA69" s="907"/>
      <c r="AB69" s="907"/>
      <c r="AC69" s="907"/>
      <c r="AD69" s="907"/>
      <c r="AE69" s="907"/>
      <c r="AF69" s="907"/>
      <c r="AG69" s="907"/>
      <c r="AH69" s="907"/>
      <c r="AI69" s="907"/>
      <c r="AJ69" s="907"/>
      <c r="AK69" s="907"/>
      <c r="AL69" s="907"/>
    </row>
    <row r="70" spans="1:38">
      <c r="A70" s="907"/>
      <c r="B70" s="907"/>
      <c r="C70" s="907"/>
      <c r="D70" s="907"/>
      <c r="E70" s="907"/>
      <c r="F70" s="907"/>
      <c r="G70" s="907"/>
      <c r="H70" s="907"/>
      <c r="I70" s="907"/>
      <c r="J70" s="907"/>
      <c r="K70" s="907"/>
      <c r="L70" s="907"/>
      <c r="M70" s="907"/>
      <c r="N70" s="907"/>
      <c r="O70" s="907"/>
      <c r="P70" s="907"/>
      <c r="Q70" s="907"/>
      <c r="R70" s="907"/>
      <c r="S70" s="907"/>
      <c r="T70" s="907"/>
      <c r="U70" s="907"/>
      <c r="V70" s="907"/>
      <c r="W70" s="907"/>
      <c r="X70" s="907"/>
      <c r="Y70" s="907"/>
      <c r="Z70" s="907"/>
      <c r="AA70" s="907"/>
      <c r="AB70" s="907"/>
      <c r="AC70" s="907"/>
      <c r="AD70" s="907"/>
      <c r="AE70" s="907"/>
      <c r="AF70" s="907"/>
      <c r="AG70" s="907"/>
      <c r="AH70" s="907"/>
      <c r="AI70" s="907"/>
      <c r="AJ70" s="907"/>
      <c r="AK70" s="907"/>
      <c r="AL70" s="907"/>
    </row>
    <row r="71" spans="1:38">
      <c r="A71" s="907"/>
      <c r="B71" s="907"/>
      <c r="C71" s="907"/>
      <c r="D71" s="907"/>
      <c r="E71" s="907"/>
      <c r="F71" s="907"/>
      <c r="G71" s="907"/>
      <c r="H71" s="907"/>
      <c r="I71" s="907"/>
      <c r="J71" s="907"/>
      <c r="K71" s="907"/>
      <c r="L71" s="907"/>
      <c r="M71" s="907"/>
      <c r="N71" s="907"/>
      <c r="O71" s="907"/>
      <c r="P71" s="907"/>
      <c r="Q71" s="907"/>
      <c r="R71" s="907"/>
      <c r="S71" s="907"/>
      <c r="T71" s="907"/>
      <c r="U71" s="907"/>
      <c r="V71" s="907"/>
      <c r="W71" s="907"/>
      <c r="X71" s="907"/>
      <c r="Y71" s="907"/>
      <c r="Z71" s="907"/>
      <c r="AA71" s="907"/>
      <c r="AB71" s="907"/>
      <c r="AC71" s="907"/>
      <c r="AD71" s="907"/>
      <c r="AE71" s="907"/>
      <c r="AF71" s="907"/>
      <c r="AG71" s="907"/>
      <c r="AH71" s="907"/>
      <c r="AI71" s="907"/>
      <c r="AJ71" s="907"/>
      <c r="AK71" s="907"/>
      <c r="AL71" s="907"/>
    </row>
    <row r="72" spans="1:38">
      <c r="A72" s="907"/>
      <c r="B72" s="907"/>
      <c r="C72" s="907"/>
      <c r="D72" s="907"/>
      <c r="E72" s="907"/>
      <c r="F72" s="907"/>
      <c r="G72" s="907"/>
      <c r="H72" s="907"/>
      <c r="I72" s="907"/>
      <c r="J72" s="907"/>
      <c r="K72" s="907"/>
      <c r="L72" s="907"/>
      <c r="M72" s="907"/>
      <c r="N72" s="907"/>
      <c r="O72" s="907"/>
      <c r="P72" s="907"/>
      <c r="Q72" s="907"/>
      <c r="R72" s="907"/>
      <c r="S72" s="907"/>
      <c r="T72" s="907"/>
      <c r="U72" s="907"/>
      <c r="V72" s="907"/>
      <c r="W72" s="907"/>
      <c r="X72" s="907"/>
      <c r="Y72" s="907"/>
      <c r="Z72" s="907"/>
      <c r="AA72" s="907"/>
      <c r="AB72" s="907"/>
      <c r="AC72" s="907"/>
      <c r="AD72" s="907"/>
      <c r="AE72" s="907"/>
      <c r="AF72" s="907"/>
      <c r="AG72" s="907"/>
      <c r="AH72" s="907"/>
      <c r="AI72" s="907"/>
      <c r="AJ72" s="907"/>
      <c r="AK72" s="907"/>
      <c r="AL72" s="907"/>
    </row>
    <row r="73" spans="1:38">
      <c r="A73" s="907"/>
      <c r="B73" s="907"/>
      <c r="C73" s="907"/>
      <c r="D73" s="907"/>
      <c r="E73" s="907"/>
      <c r="F73" s="907"/>
      <c r="G73" s="907"/>
      <c r="H73" s="907"/>
      <c r="I73" s="907"/>
      <c r="J73" s="907"/>
      <c r="K73" s="907"/>
      <c r="L73" s="907"/>
      <c r="M73" s="907"/>
      <c r="N73" s="907"/>
      <c r="O73" s="907"/>
      <c r="P73" s="907"/>
      <c r="Q73" s="907"/>
      <c r="R73" s="907"/>
      <c r="S73" s="907"/>
      <c r="T73" s="907"/>
      <c r="U73" s="907"/>
      <c r="V73" s="907"/>
      <c r="W73" s="907"/>
      <c r="X73" s="907"/>
      <c r="Y73" s="907"/>
      <c r="Z73" s="907"/>
      <c r="AA73" s="907"/>
      <c r="AB73" s="907"/>
      <c r="AC73" s="907"/>
      <c r="AD73" s="907"/>
      <c r="AE73" s="907"/>
      <c r="AF73" s="907"/>
      <c r="AG73" s="907"/>
      <c r="AH73" s="907"/>
      <c r="AI73" s="907"/>
      <c r="AJ73" s="907"/>
      <c r="AK73" s="907"/>
      <c r="AL73" s="907"/>
    </row>
    <row r="74" spans="1:38">
      <c r="A74" s="907"/>
      <c r="B74" s="907"/>
      <c r="C74" s="907"/>
      <c r="D74" s="907"/>
      <c r="E74" s="907"/>
      <c r="F74" s="907"/>
      <c r="G74" s="907"/>
      <c r="H74" s="907"/>
      <c r="I74" s="907"/>
      <c r="J74" s="907"/>
      <c r="K74" s="907"/>
      <c r="L74" s="907"/>
      <c r="M74" s="907"/>
      <c r="N74" s="907"/>
      <c r="O74" s="907"/>
      <c r="P74" s="907"/>
      <c r="Q74" s="907"/>
      <c r="R74" s="907"/>
      <c r="S74" s="907"/>
      <c r="T74" s="907"/>
      <c r="U74" s="907"/>
      <c r="V74" s="907"/>
      <c r="W74" s="907"/>
      <c r="X74" s="907"/>
      <c r="Y74" s="907"/>
      <c r="Z74" s="907"/>
      <c r="AA74" s="907"/>
      <c r="AB74" s="907"/>
      <c r="AC74" s="907"/>
      <c r="AD74" s="907"/>
      <c r="AE74" s="907"/>
      <c r="AF74" s="907"/>
      <c r="AG74" s="907"/>
      <c r="AH74" s="907"/>
      <c r="AI74" s="907"/>
      <c r="AJ74" s="907"/>
      <c r="AK74" s="907"/>
      <c r="AL74" s="907"/>
    </row>
    <row r="75" spans="1:38">
      <c r="A75" s="907"/>
      <c r="B75" s="907"/>
      <c r="C75" s="907"/>
      <c r="D75" s="907"/>
      <c r="E75" s="907"/>
      <c r="F75" s="907"/>
      <c r="G75" s="907"/>
      <c r="H75" s="907"/>
      <c r="I75" s="907"/>
      <c r="J75" s="907"/>
      <c r="K75" s="907"/>
      <c r="L75" s="907"/>
      <c r="M75" s="907"/>
      <c r="N75" s="907"/>
      <c r="O75" s="907"/>
      <c r="P75" s="907"/>
      <c r="Q75" s="907"/>
      <c r="R75" s="907"/>
      <c r="S75" s="907"/>
      <c r="T75" s="907"/>
      <c r="U75" s="907"/>
      <c r="V75" s="907"/>
      <c r="W75" s="907"/>
      <c r="X75" s="907"/>
      <c r="Y75" s="907"/>
      <c r="Z75" s="907"/>
      <c r="AA75" s="907"/>
      <c r="AB75" s="907"/>
      <c r="AC75" s="907"/>
      <c r="AD75" s="907"/>
      <c r="AE75" s="907"/>
      <c r="AF75" s="907"/>
      <c r="AG75" s="907"/>
      <c r="AH75" s="907"/>
      <c r="AI75" s="907"/>
      <c r="AJ75" s="907"/>
      <c r="AK75" s="907"/>
      <c r="AL75" s="907"/>
    </row>
    <row r="76" spans="1:38">
      <c r="A76" s="907"/>
      <c r="B76" s="907"/>
      <c r="C76" s="907"/>
      <c r="D76" s="907"/>
      <c r="E76" s="907"/>
      <c r="F76" s="907"/>
      <c r="G76" s="907"/>
      <c r="H76" s="907"/>
      <c r="I76" s="907"/>
      <c r="J76" s="907"/>
      <c r="K76" s="907"/>
      <c r="L76" s="907"/>
      <c r="M76" s="907"/>
      <c r="N76" s="907"/>
      <c r="O76" s="907"/>
      <c r="P76" s="907"/>
      <c r="Q76" s="907"/>
      <c r="R76" s="907"/>
      <c r="S76" s="907"/>
      <c r="T76" s="907"/>
      <c r="U76" s="907"/>
      <c r="V76" s="907"/>
      <c r="W76" s="907"/>
      <c r="X76" s="907"/>
      <c r="Y76" s="907"/>
      <c r="Z76" s="907"/>
      <c r="AA76" s="907"/>
      <c r="AB76" s="907"/>
      <c r="AC76" s="907"/>
      <c r="AD76" s="907"/>
      <c r="AE76" s="907"/>
      <c r="AF76" s="907"/>
      <c r="AG76" s="907"/>
      <c r="AH76" s="907"/>
      <c r="AI76" s="907"/>
      <c r="AJ76" s="907"/>
      <c r="AK76" s="907"/>
      <c r="AL76" s="907"/>
    </row>
    <row r="77" spans="1:38">
      <c r="A77" s="907"/>
      <c r="B77" s="907"/>
      <c r="C77" s="907"/>
      <c r="D77" s="907"/>
      <c r="E77" s="907"/>
      <c r="F77" s="907"/>
      <c r="G77" s="907"/>
      <c r="H77" s="907"/>
      <c r="I77" s="907"/>
      <c r="J77" s="907"/>
      <c r="K77" s="907"/>
      <c r="L77" s="907"/>
      <c r="M77" s="907"/>
      <c r="N77" s="907"/>
      <c r="O77" s="907"/>
      <c r="P77" s="907"/>
      <c r="Q77" s="907"/>
      <c r="R77" s="907"/>
      <c r="S77" s="907"/>
      <c r="T77" s="907"/>
      <c r="U77" s="907"/>
      <c r="V77" s="907"/>
      <c r="W77" s="907"/>
      <c r="X77" s="907"/>
      <c r="Y77" s="907"/>
      <c r="Z77" s="907"/>
      <c r="AA77" s="907"/>
      <c r="AB77" s="907"/>
      <c r="AC77" s="907"/>
      <c r="AD77" s="907"/>
      <c r="AE77" s="907"/>
      <c r="AF77" s="907"/>
      <c r="AG77" s="907"/>
      <c r="AH77" s="907"/>
      <c r="AI77" s="907"/>
      <c r="AJ77" s="907"/>
      <c r="AK77" s="907"/>
      <c r="AL77" s="907"/>
    </row>
    <row r="78" spans="1:38">
      <c r="A78" s="907"/>
      <c r="B78" s="907"/>
      <c r="C78" s="907"/>
      <c r="D78" s="907"/>
      <c r="E78" s="907"/>
      <c r="F78" s="907"/>
      <c r="G78" s="907"/>
      <c r="H78" s="907"/>
      <c r="I78" s="907"/>
      <c r="J78" s="907"/>
      <c r="K78" s="907"/>
      <c r="L78" s="907"/>
      <c r="M78" s="907"/>
      <c r="N78" s="907"/>
      <c r="O78" s="907"/>
      <c r="P78" s="907"/>
      <c r="Q78" s="907"/>
      <c r="R78" s="907"/>
      <c r="S78" s="907"/>
      <c r="T78" s="907"/>
      <c r="U78" s="907"/>
      <c r="V78" s="907"/>
      <c r="W78" s="907"/>
      <c r="X78" s="907"/>
      <c r="Y78" s="907"/>
      <c r="Z78" s="907"/>
      <c r="AA78" s="907"/>
      <c r="AB78" s="907"/>
      <c r="AC78" s="907"/>
      <c r="AD78" s="907"/>
      <c r="AE78" s="907"/>
      <c r="AF78" s="907"/>
      <c r="AG78" s="907"/>
      <c r="AH78" s="907"/>
      <c r="AI78" s="907"/>
      <c r="AJ78" s="907"/>
      <c r="AK78" s="907"/>
      <c r="AL78" s="907"/>
    </row>
    <row r="79" spans="1:38">
      <c r="A79" s="907"/>
      <c r="B79" s="907"/>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c r="AB79" s="907"/>
      <c r="AC79" s="907"/>
      <c r="AD79" s="907"/>
      <c r="AE79" s="907"/>
      <c r="AF79" s="907"/>
      <c r="AG79" s="907"/>
      <c r="AH79" s="907"/>
      <c r="AI79" s="907"/>
      <c r="AJ79" s="907"/>
      <c r="AK79" s="907"/>
      <c r="AL79" s="907"/>
    </row>
    <row r="80" spans="1:38">
      <c r="A80" s="907"/>
      <c r="B80" s="907"/>
      <c r="C80" s="907"/>
      <c r="D80" s="907"/>
      <c r="E80" s="907"/>
      <c r="F80" s="907"/>
      <c r="G80" s="907"/>
      <c r="H80" s="907"/>
      <c r="I80" s="907"/>
      <c r="J80" s="907"/>
      <c r="K80" s="907"/>
      <c r="L80" s="907"/>
      <c r="M80" s="907"/>
      <c r="N80" s="907"/>
      <c r="O80" s="907"/>
      <c r="P80" s="907"/>
      <c r="Q80" s="907"/>
      <c r="R80" s="907"/>
      <c r="S80" s="907"/>
      <c r="T80" s="907"/>
      <c r="U80" s="907"/>
      <c r="V80" s="907"/>
      <c r="W80" s="907"/>
      <c r="X80" s="907"/>
      <c r="Y80" s="907"/>
      <c r="Z80" s="907"/>
      <c r="AA80" s="907"/>
      <c r="AB80" s="907"/>
      <c r="AC80" s="907"/>
      <c r="AD80" s="907"/>
      <c r="AE80" s="907"/>
      <c r="AF80" s="907"/>
      <c r="AG80" s="907"/>
      <c r="AH80" s="907"/>
      <c r="AI80" s="907"/>
      <c r="AJ80" s="907"/>
      <c r="AK80" s="907"/>
      <c r="AL80" s="907"/>
    </row>
    <row r="81" spans="1:38">
      <c r="A81" s="907"/>
      <c r="B81" s="907"/>
      <c r="C81" s="907"/>
      <c r="D81" s="907"/>
      <c r="E81" s="907"/>
      <c r="F81" s="907"/>
      <c r="G81" s="907"/>
      <c r="H81" s="907"/>
      <c r="I81" s="907"/>
      <c r="J81" s="907"/>
      <c r="K81" s="907"/>
      <c r="L81" s="907"/>
      <c r="M81" s="907"/>
      <c r="N81" s="907"/>
      <c r="O81" s="907"/>
      <c r="P81" s="907"/>
      <c r="Q81" s="907"/>
      <c r="R81" s="907"/>
      <c r="S81" s="907"/>
      <c r="T81" s="907"/>
      <c r="U81" s="907"/>
      <c r="V81" s="907"/>
      <c r="W81" s="907"/>
      <c r="X81" s="907"/>
      <c r="Y81" s="907"/>
      <c r="Z81" s="907"/>
      <c r="AA81" s="907"/>
      <c r="AB81" s="907"/>
      <c r="AC81" s="907"/>
      <c r="AD81" s="907"/>
      <c r="AE81" s="907"/>
      <c r="AF81" s="907"/>
      <c r="AG81" s="907"/>
      <c r="AH81" s="907"/>
      <c r="AI81" s="907"/>
      <c r="AJ81" s="907"/>
      <c r="AK81" s="907"/>
      <c r="AL81" s="907"/>
    </row>
    <row r="82" spans="1:38">
      <c r="A82" s="907"/>
      <c r="B82" s="907"/>
      <c r="C82" s="907"/>
      <c r="D82" s="907"/>
      <c r="E82" s="907"/>
      <c r="F82" s="907"/>
      <c r="G82" s="907"/>
      <c r="H82" s="907"/>
      <c r="I82" s="907"/>
      <c r="J82" s="907"/>
      <c r="K82" s="907"/>
      <c r="L82" s="907"/>
      <c r="M82" s="907"/>
      <c r="N82" s="907"/>
      <c r="O82" s="907"/>
      <c r="P82" s="907"/>
      <c r="Q82" s="907"/>
      <c r="R82" s="907"/>
      <c r="S82" s="907"/>
      <c r="T82" s="907"/>
      <c r="U82" s="907"/>
      <c r="V82" s="907"/>
      <c r="W82" s="907"/>
      <c r="X82" s="907"/>
      <c r="Y82" s="907"/>
      <c r="Z82" s="907"/>
      <c r="AA82" s="907"/>
      <c r="AB82" s="907"/>
      <c r="AC82" s="907"/>
      <c r="AD82" s="907"/>
      <c r="AE82" s="907"/>
      <c r="AF82" s="907"/>
      <c r="AG82" s="907"/>
      <c r="AH82" s="907"/>
      <c r="AI82" s="907"/>
      <c r="AJ82" s="907"/>
      <c r="AK82" s="907"/>
      <c r="AL82" s="907"/>
    </row>
    <row r="83" spans="1:38">
      <c r="A83" s="907"/>
      <c r="B83" s="907"/>
      <c r="C83" s="907"/>
      <c r="D83" s="907"/>
      <c r="E83" s="907"/>
      <c r="F83" s="907"/>
      <c r="G83" s="907"/>
      <c r="H83" s="907"/>
      <c r="I83" s="907"/>
      <c r="J83" s="907"/>
      <c r="K83" s="907"/>
      <c r="L83" s="907"/>
      <c r="M83" s="907"/>
      <c r="N83" s="907"/>
      <c r="O83" s="907"/>
      <c r="P83" s="907"/>
      <c r="Q83" s="907"/>
      <c r="R83" s="907"/>
      <c r="S83" s="907"/>
      <c r="T83" s="907"/>
      <c r="U83" s="907"/>
      <c r="V83" s="907"/>
      <c r="W83" s="907"/>
      <c r="X83" s="907"/>
      <c r="Y83" s="907"/>
      <c r="Z83" s="907"/>
      <c r="AA83" s="907"/>
      <c r="AB83" s="907"/>
      <c r="AC83" s="907"/>
      <c r="AD83" s="907"/>
      <c r="AE83" s="907"/>
      <c r="AF83" s="907"/>
      <c r="AG83" s="907"/>
      <c r="AH83" s="907"/>
      <c r="AI83" s="907"/>
      <c r="AJ83" s="907"/>
      <c r="AK83" s="907"/>
      <c r="AL83" s="907"/>
    </row>
    <row r="84" spans="1:38">
      <c r="A84" s="907"/>
      <c r="B84" s="907"/>
      <c r="C84" s="907"/>
      <c r="D84" s="907"/>
      <c r="E84" s="907"/>
      <c r="F84" s="907"/>
      <c r="G84" s="907"/>
      <c r="H84" s="907"/>
      <c r="I84" s="907"/>
      <c r="J84" s="907"/>
      <c r="K84" s="907"/>
      <c r="L84" s="907"/>
      <c r="M84" s="907"/>
      <c r="N84" s="907"/>
      <c r="O84" s="907"/>
      <c r="P84" s="907"/>
      <c r="Q84" s="907"/>
      <c r="R84" s="907"/>
      <c r="S84" s="907"/>
      <c r="T84" s="907"/>
      <c r="U84" s="907"/>
      <c r="V84" s="907"/>
      <c r="W84" s="907"/>
      <c r="X84" s="907"/>
      <c r="Y84" s="907"/>
      <c r="Z84" s="907"/>
      <c r="AA84" s="907"/>
      <c r="AB84" s="907"/>
      <c r="AC84" s="907"/>
      <c r="AD84" s="907"/>
      <c r="AE84" s="907"/>
      <c r="AF84" s="907"/>
      <c r="AG84" s="907"/>
      <c r="AH84" s="907"/>
      <c r="AI84" s="907"/>
      <c r="AJ84" s="907"/>
      <c r="AK84" s="907"/>
      <c r="AL84" s="907"/>
    </row>
    <row r="85" spans="1:38">
      <c r="A85" s="907"/>
      <c r="B85" s="907"/>
      <c r="C85" s="907"/>
      <c r="D85" s="907"/>
      <c r="E85" s="907"/>
      <c r="F85" s="907"/>
      <c r="G85" s="907"/>
      <c r="H85" s="907"/>
      <c r="I85" s="907"/>
      <c r="J85" s="907"/>
      <c r="K85" s="907"/>
      <c r="L85" s="907"/>
      <c r="M85" s="907"/>
      <c r="N85" s="907"/>
      <c r="O85" s="907"/>
      <c r="P85" s="907"/>
      <c r="Q85" s="907"/>
      <c r="R85" s="907"/>
      <c r="S85" s="907"/>
      <c r="T85" s="907"/>
      <c r="U85" s="907"/>
      <c r="V85" s="907"/>
      <c r="W85" s="907"/>
      <c r="X85" s="907"/>
      <c r="Y85" s="907"/>
      <c r="Z85" s="907"/>
      <c r="AA85" s="907"/>
      <c r="AB85" s="907"/>
      <c r="AC85" s="907"/>
      <c r="AD85" s="907"/>
      <c r="AE85" s="907"/>
      <c r="AF85" s="907"/>
      <c r="AG85" s="907"/>
      <c r="AH85" s="907"/>
      <c r="AI85" s="907"/>
      <c r="AJ85" s="907"/>
      <c r="AK85" s="907"/>
      <c r="AL85" s="907"/>
    </row>
    <row r="86" spans="1:38">
      <c r="A86" s="907"/>
      <c r="B86" s="907"/>
      <c r="C86" s="907"/>
      <c r="D86" s="907"/>
      <c r="E86" s="907"/>
      <c r="F86" s="907"/>
      <c r="G86" s="907"/>
      <c r="H86" s="907"/>
      <c r="I86" s="907"/>
      <c r="J86" s="907"/>
      <c r="K86" s="907"/>
      <c r="L86" s="907"/>
      <c r="M86" s="907"/>
      <c r="N86" s="907"/>
      <c r="O86" s="907"/>
      <c r="P86" s="907"/>
      <c r="Q86" s="907"/>
      <c r="R86" s="907"/>
      <c r="S86" s="907"/>
      <c r="T86" s="907"/>
      <c r="U86" s="907"/>
      <c r="V86" s="907"/>
      <c r="W86" s="907"/>
      <c r="X86" s="907"/>
      <c r="Y86" s="907"/>
      <c r="Z86" s="907"/>
      <c r="AA86" s="907"/>
      <c r="AB86" s="907"/>
      <c r="AC86" s="907"/>
      <c r="AD86" s="907"/>
      <c r="AE86" s="907"/>
      <c r="AF86" s="907"/>
      <c r="AG86" s="907"/>
      <c r="AH86" s="907"/>
      <c r="AI86" s="907"/>
      <c r="AJ86" s="907"/>
      <c r="AK86" s="907"/>
      <c r="AL86" s="907"/>
    </row>
    <row r="87" spans="1:38">
      <c r="A87" s="907"/>
      <c r="B87" s="907"/>
      <c r="C87" s="907"/>
      <c r="D87" s="907"/>
      <c r="E87" s="907"/>
      <c r="F87" s="907"/>
      <c r="G87" s="907"/>
      <c r="H87" s="907"/>
      <c r="I87" s="907"/>
      <c r="J87" s="907"/>
      <c r="K87" s="907"/>
      <c r="L87" s="907"/>
      <c r="M87" s="907"/>
      <c r="N87" s="907"/>
      <c r="O87" s="907"/>
      <c r="P87" s="907"/>
      <c r="Q87" s="907"/>
      <c r="R87" s="907"/>
      <c r="S87" s="907"/>
      <c r="T87" s="907"/>
      <c r="U87" s="907"/>
      <c r="V87" s="907"/>
      <c r="W87" s="907"/>
      <c r="X87" s="907"/>
      <c r="Y87" s="907"/>
      <c r="Z87" s="907"/>
      <c r="AA87" s="907"/>
      <c r="AB87" s="907"/>
      <c r="AC87" s="907"/>
      <c r="AD87" s="907"/>
      <c r="AE87" s="907"/>
      <c r="AF87" s="907"/>
      <c r="AG87" s="907"/>
      <c r="AH87" s="907"/>
      <c r="AI87" s="907"/>
      <c r="AJ87" s="907"/>
      <c r="AK87" s="907"/>
      <c r="AL87" s="907"/>
    </row>
    <row r="88" spans="1:38">
      <c r="A88" s="907"/>
      <c r="B88" s="907"/>
      <c r="C88" s="907"/>
      <c r="D88" s="907"/>
      <c r="E88" s="907"/>
      <c r="F88" s="907"/>
      <c r="G88" s="907"/>
      <c r="H88" s="907"/>
      <c r="I88" s="907"/>
      <c r="J88" s="907"/>
      <c r="K88" s="907"/>
      <c r="L88" s="907"/>
      <c r="M88" s="907"/>
      <c r="N88" s="907"/>
      <c r="O88" s="907"/>
      <c r="P88" s="907"/>
      <c r="Q88" s="907"/>
      <c r="R88" s="907"/>
      <c r="S88" s="907"/>
      <c r="T88" s="907"/>
      <c r="U88" s="907"/>
      <c r="V88" s="907"/>
      <c r="W88" s="907"/>
      <c r="X88" s="907"/>
      <c r="Y88" s="907"/>
      <c r="Z88" s="907"/>
      <c r="AA88" s="907"/>
      <c r="AB88" s="907"/>
      <c r="AC88" s="907"/>
      <c r="AD88" s="907"/>
      <c r="AE88" s="907"/>
      <c r="AF88" s="907"/>
      <c r="AG88" s="907"/>
      <c r="AH88" s="907"/>
      <c r="AI88" s="907"/>
      <c r="AJ88" s="907"/>
      <c r="AK88" s="907"/>
      <c r="AL88" s="907"/>
    </row>
    <row r="89" spans="1:38">
      <c r="A89" s="907"/>
      <c r="B89" s="907"/>
      <c r="C89" s="907"/>
      <c r="D89" s="907"/>
      <c r="E89" s="907"/>
      <c r="F89" s="907"/>
      <c r="G89" s="907"/>
      <c r="H89" s="907"/>
      <c r="I89" s="907"/>
      <c r="J89" s="907"/>
      <c r="K89" s="907"/>
      <c r="L89" s="907"/>
      <c r="M89" s="907"/>
      <c r="N89" s="907"/>
      <c r="O89" s="907"/>
      <c r="P89" s="907"/>
      <c r="Q89" s="907"/>
      <c r="R89" s="907"/>
      <c r="S89" s="907"/>
      <c r="T89" s="907"/>
      <c r="U89" s="907"/>
      <c r="V89" s="907"/>
      <c r="W89" s="907"/>
      <c r="X89" s="907"/>
      <c r="Y89" s="907"/>
      <c r="Z89" s="907"/>
      <c r="AA89" s="907"/>
      <c r="AB89" s="907"/>
      <c r="AC89" s="907"/>
      <c r="AD89" s="907"/>
      <c r="AE89" s="907"/>
      <c r="AF89" s="907"/>
      <c r="AG89" s="907"/>
      <c r="AH89" s="907"/>
      <c r="AI89" s="907"/>
      <c r="AJ89" s="907"/>
      <c r="AK89" s="907"/>
      <c r="AL89" s="907"/>
    </row>
    <row r="90" spans="1:38">
      <c r="A90" s="907"/>
      <c r="B90" s="907"/>
      <c r="C90" s="907"/>
      <c r="D90" s="907"/>
      <c r="E90" s="907"/>
      <c r="F90" s="907"/>
      <c r="G90" s="907"/>
      <c r="H90" s="907"/>
      <c r="I90" s="907"/>
      <c r="J90" s="907"/>
      <c r="K90" s="907"/>
      <c r="L90" s="907"/>
      <c r="M90" s="907"/>
      <c r="N90" s="907"/>
      <c r="O90" s="907"/>
      <c r="P90" s="907"/>
      <c r="Q90" s="907"/>
      <c r="R90" s="907"/>
      <c r="S90" s="907"/>
      <c r="T90" s="907"/>
      <c r="U90" s="907"/>
      <c r="V90" s="907"/>
      <c r="W90" s="907"/>
      <c r="X90" s="907"/>
      <c r="Y90" s="907"/>
      <c r="Z90" s="907"/>
      <c r="AA90" s="907"/>
      <c r="AB90" s="907"/>
      <c r="AC90" s="907"/>
      <c r="AD90" s="907"/>
      <c r="AE90" s="907"/>
      <c r="AF90" s="907"/>
      <c r="AG90" s="907"/>
      <c r="AH90" s="907"/>
      <c r="AI90" s="907"/>
      <c r="AJ90" s="907"/>
      <c r="AK90" s="907"/>
      <c r="AL90" s="907"/>
    </row>
    <row r="91" spans="1:38">
      <c r="A91" s="907"/>
      <c r="B91" s="907"/>
      <c r="C91" s="907"/>
      <c r="D91" s="907"/>
      <c r="E91" s="907"/>
      <c r="F91" s="907"/>
      <c r="G91" s="907"/>
      <c r="H91" s="907"/>
      <c r="I91" s="907"/>
      <c r="J91" s="907"/>
      <c r="K91" s="907"/>
      <c r="L91" s="907"/>
      <c r="M91" s="907"/>
      <c r="N91" s="907"/>
      <c r="O91" s="907"/>
      <c r="P91" s="907"/>
      <c r="Q91" s="907"/>
      <c r="R91" s="907"/>
      <c r="S91" s="907"/>
      <c r="T91" s="907"/>
      <c r="U91" s="907"/>
      <c r="V91" s="907"/>
      <c r="W91" s="907"/>
      <c r="X91" s="907"/>
      <c r="Y91" s="907"/>
      <c r="Z91" s="907"/>
      <c r="AA91" s="907"/>
      <c r="AB91" s="907"/>
      <c r="AC91" s="907"/>
      <c r="AD91" s="907"/>
      <c r="AE91" s="907"/>
      <c r="AF91" s="907"/>
      <c r="AG91" s="907"/>
      <c r="AH91" s="907"/>
      <c r="AI91" s="907"/>
      <c r="AJ91" s="907"/>
      <c r="AK91" s="907"/>
      <c r="AL91" s="907"/>
    </row>
    <row r="92" spans="1:38">
      <c r="A92" s="907"/>
      <c r="B92" s="907"/>
      <c r="C92" s="907"/>
      <c r="D92" s="907"/>
      <c r="E92" s="907"/>
      <c r="F92" s="907"/>
      <c r="G92" s="907"/>
      <c r="H92" s="907"/>
      <c r="I92" s="907"/>
      <c r="J92" s="907"/>
      <c r="K92" s="907"/>
      <c r="L92" s="907"/>
      <c r="M92" s="907"/>
      <c r="N92" s="907"/>
      <c r="O92" s="907"/>
      <c r="P92" s="907"/>
      <c r="Q92" s="907"/>
      <c r="R92" s="907"/>
      <c r="S92" s="907"/>
      <c r="T92" s="907"/>
      <c r="U92" s="907"/>
      <c r="V92" s="907"/>
      <c r="W92" s="907"/>
      <c r="X92" s="907"/>
      <c r="Y92" s="907"/>
      <c r="Z92" s="907"/>
      <c r="AA92" s="907"/>
      <c r="AB92" s="907"/>
      <c r="AC92" s="907"/>
      <c r="AD92" s="907"/>
      <c r="AE92" s="907"/>
      <c r="AF92" s="907"/>
      <c r="AG92" s="907"/>
      <c r="AH92" s="907"/>
      <c r="AI92" s="907"/>
      <c r="AJ92" s="907"/>
      <c r="AK92" s="907"/>
      <c r="AL92" s="907"/>
    </row>
    <row r="93" spans="1:38">
      <c r="A93" s="907"/>
      <c r="B93" s="907"/>
      <c r="C93" s="907"/>
      <c r="D93" s="907"/>
      <c r="E93" s="907"/>
      <c r="F93" s="907"/>
      <c r="G93" s="907"/>
      <c r="H93" s="907"/>
      <c r="I93" s="907"/>
      <c r="J93" s="907"/>
      <c r="K93" s="907"/>
      <c r="L93" s="907"/>
      <c r="M93" s="907"/>
      <c r="N93" s="907"/>
      <c r="O93" s="907"/>
      <c r="P93" s="907"/>
      <c r="Q93" s="907"/>
      <c r="R93" s="907"/>
      <c r="S93" s="907"/>
      <c r="T93" s="907"/>
      <c r="U93" s="907"/>
      <c r="V93" s="907"/>
      <c r="W93" s="907"/>
      <c r="X93" s="907"/>
      <c r="Y93" s="907"/>
      <c r="Z93" s="907"/>
      <c r="AA93" s="907"/>
      <c r="AB93" s="907"/>
      <c r="AC93" s="907"/>
      <c r="AD93" s="907"/>
      <c r="AE93" s="907"/>
      <c r="AF93" s="907"/>
      <c r="AG93" s="907"/>
      <c r="AH93" s="907"/>
      <c r="AI93" s="907"/>
      <c r="AJ93" s="907"/>
      <c r="AK93" s="907"/>
      <c r="AL93" s="907"/>
    </row>
    <row r="94" spans="1:38">
      <c r="A94" s="907"/>
      <c r="B94" s="907"/>
      <c r="C94" s="907"/>
      <c r="D94" s="907"/>
      <c r="E94" s="907"/>
      <c r="F94" s="907"/>
      <c r="G94" s="907"/>
      <c r="H94" s="907"/>
      <c r="I94" s="907"/>
      <c r="J94" s="907"/>
      <c r="K94" s="907"/>
      <c r="L94" s="907"/>
      <c r="M94" s="907"/>
      <c r="N94" s="907"/>
      <c r="O94" s="907"/>
      <c r="P94" s="907"/>
      <c r="Q94" s="907"/>
      <c r="R94" s="907"/>
      <c r="S94" s="907"/>
      <c r="T94" s="907"/>
      <c r="U94" s="907"/>
      <c r="V94" s="907"/>
      <c r="W94" s="907"/>
      <c r="X94" s="907"/>
      <c r="Y94" s="907"/>
      <c r="Z94" s="907"/>
      <c r="AA94" s="907"/>
      <c r="AB94" s="907"/>
      <c r="AC94" s="907"/>
      <c r="AD94" s="907"/>
      <c r="AE94" s="907"/>
      <c r="AF94" s="907"/>
      <c r="AG94" s="907"/>
      <c r="AH94" s="907"/>
      <c r="AI94" s="907"/>
      <c r="AJ94" s="907"/>
      <c r="AK94" s="907"/>
      <c r="AL94" s="907"/>
    </row>
    <row r="95" spans="1:38">
      <c r="A95" s="907"/>
      <c r="B95" s="907"/>
      <c r="C95" s="907"/>
      <c r="D95" s="907"/>
      <c r="E95" s="907"/>
      <c r="F95" s="907"/>
      <c r="G95" s="907"/>
      <c r="H95" s="907"/>
      <c r="I95" s="907"/>
      <c r="J95" s="907"/>
      <c r="K95" s="907"/>
      <c r="L95" s="907"/>
      <c r="M95" s="907"/>
      <c r="N95" s="907"/>
      <c r="O95" s="907"/>
      <c r="P95" s="907"/>
      <c r="Q95" s="907"/>
      <c r="R95" s="907"/>
      <c r="S95" s="907"/>
      <c r="T95" s="907"/>
      <c r="U95" s="907"/>
      <c r="V95" s="907"/>
      <c r="W95" s="907"/>
      <c r="X95" s="907"/>
      <c r="Y95" s="907"/>
      <c r="Z95" s="907"/>
      <c r="AA95" s="907"/>
      <c r="AB95" s="907"/>
      <c r="AC95" s="907"/>
      <c r="AD95" s="907"/>
      <c r="AE95" s="907"/>
      <c r="AF95" s="907"/>
      <c r="AG95" s="907"/>
      <c r="AH95" s="907"/>
      <c r="AI95" s="907"/>
      <c r="AJ95" s="907"/>
      <c r="AK95" s="907"/>
      <c r="AL95" s="907"/>
    </row>
    <row r="96" spans="1:38">
      <c r="A96" s="907"/>
      <c r="B96" s="907"/>
      <c r="C96" s="907"/>
      <c r="D96" s="907"/>
      <c r="E96" s="907"/>
      <c r="F96" s="907"/>
      <c r="G96" s="907"/>
      <c r="H96" s="907"/>
      <c r="I96" s="907"/>
      <c r="J96" s="907"/>
      <c r="K96" s="907"/>
      <c r="L96" s="907"/>
      <c r="M96" s="907"/>
      <c r="N96" s="907"/>
      <c r="O96" s="907"/>
      <c r="P96" s="907"/>
      <c r="Q96" s="907"/>
      <c r="R96" s="907"/>
      <c r="S96" s="907"/>
      <c r="T96" s="907"/>
      <c r="U96" s="907"/>
      <c r="V96" s="907"/>
      <c r="W96" s="907"/>
      <c r="X96" s="907"/>
      <c r="Y96" s="907"/>
      <c r="Z96" s="907"/>
      <c r="AA96" s="907"/>
      <c r="AB96" s="907"/>
      <c r="AC96" s="907"/>
      <c r="AD96" s="907"/>
      <c r="AE96" s="907"/>
      <c r="AF96" s="907"/>
      <c r="AG96" s="907"/>
      <c r="AH96" s="907"/>
      <c r="AI96" s="907"/>
      <c r="AJ96" s="907"/>
      <c r="AK96" s="907"/>
      <c r="AL96" s="907"/>
    </row>
    <row r="97" spans="1:38">
      <c r="A97" s="907"/>
      <c r="B97" s="907"/>
      <c r="C97" s="907"/>
      <c r="D97" s="907"/>
      <c r="E97" s="907"/>
      <c r="F97" s="907"/>
      <c r="G97" s="907"/>
      <c r="H97" s="907"/>
      <c r="I97" s="907"/>
      <c r="J97" s="907"/>
      <c r="K97" s="907"/>
      <c r="L97" s="907"/>
      <c r="M97" s="907"/>
      <c r="N97" s="907"/>
      <c r="O97" s="907"/>
      <c r="P97" s="907"/>
      <c r="Q97" s="907"/>
      <c r="R97" s="907"/>
      <c r="S97" s="907"/>
      <c r="T97" s="907"/>
      <c r="U97" s="907"/>
      <c r="V97" s="907"/>
      <c r="W97" s="907"/>
      <c r="X97" s="907"/>
      <c r="Y97" s="907"/>
      <c r="Z97" s="907"/>
      <c r="AA97" s="907"/>
      <c r="AB97" s="907"/>
      <c r="AC97" s="907"/>
      <c r="AD97" s="907"/>
      <c r="AE97" s="907"/>
      <c r="AF97" s="907"/>
      <c r="AG97" s="907"/>
      <c r="AH97" s="907"/>
      <c r="AI97" s="907"/>
      <c r="AJ97" s="907"/>
      <c r="AK97" s="907"/>
      <c r="AL97" s="907"/>
    </row>
    <row r="98" spans="1:38">
      <c r="A98" s="907"/>
      <c r="B98" s="907"/>
      <c r="C98" s="907"/>
      <c r="D98" s="907"/>
      <c r="E98" s="907"/>
      <c r="F98" s="907"/>
      <c r="G98" s="907"/>
      <c r="H98" s="907"/>
      <c r="I98" s="907"/>
      <c r="J98" s="907"/>
      <c r="K98" s="907"/>
      <c r="L98" s="907"/>
      <c r="M98" s="907"/>
      <c r="N98" s="907"/>
      <c r="O98" s="907"/>
      <c r="P98" s="907"/>
      <c r="Q98" s="907"/>
      <c r="R98" s="907"/>
      <c r="S98" s="907"/>
      <c r="T98" s="907"/>
      <c r="U98" s="907"/>
      <c r="V98" s="907"/>
      <c r="W98" s="907"/>
      <c r="X98" s="907"/>
      <c r="Y98" s="907"/>
      <c r="Z98" s="907"/>
      <c r="AA98" s="907"/>
      <c r="AB98" s="907"/>
      <c r="AC98" s="907"/>
      <c r="AD98" s="907"/>
      <c r="AE98" s="907"/>
      <c r="AF98" s="907"/>
      <c r="AG98" s="907"/>
      <c r="AH98" s="907"/>
      <c r="AI98" s="907"/>
      <c r="AJ98" s="907"/>
      <c r="AK98" s="907"/>
      <c r="AL98" s="907"/>
    </row>
    <row r="99" spans="1:38">
      <c r="A99" s="907"/>
      <c r="B99" s="907"/>
      <c r="C99" s="907"/>
      <c r="D99" s="907"/>
      <c r="E99" s="907"/>
      <c r="F99" s="907"/>
      <c r="G99" s="907"/>
      <c r="H99" s="907"/>
      <c r="I99" s="907"/>
      <c r="J99" s="907"/>
      <c r="K99" s="907"/>
      <c r="L99" s="907"/>
      <c r="M99" s="907"/>
      <c r="N99" s="907"/>
      <c r="O99" s="907"/>
      <c r="P99" s="907"/>
      <c r="Q99" s="907"/>
      <c r="R99" s="907"/>
      <c r="S99" s="907"/>
      <c r="T99" s="907"/>
      <c r="U99" s="907"/>
      <c r="V99" s="907"/>
      <c r="W99" s="907"/>
      <c r="X99" s="907"/>
      <c r="Y99" s="907"/>
      <c r="Z99" s="907"/>
      <c r="AA99" s="907"/>
      <c r="AB99" s="907"/>
      <c r="AC99" s="907"/>
      <c r="AD99" s="907"/>
      <c r="AE99" s="907"/>
      <c r="AF99" s="907"/>
      <c r="AG99" s="907"/>
      <c r="AH99" s="907"/>
      <c r="AI99" s="907"/>
      <c r="AJ99" s="907"/>
      <c r="AK99" s="907"/>
      <c r="AL99" s="907"/>
    </row>
    <row r="100" spans="1:38">
      <c r="A100" s="907"/>
      <c r="B100" s="907"/>
      <c r="C100" s="907"/>
      <c r="D100" s="907"/>
      <c r="E100" s="907"/>
      <c r="F100" s="907"/>
      <c r="G100" s="907"/>
      <c r="H100" s="907"/>
      <c r="I100" s="907"/>
      <c r="J100" s="907"/>
      <c r="K100" s="907"/>
      <c r="L100" s="907"/>
      <c r="M100" s="907"/>
      <c r="N100" s="907"/>
      <c r="O100" s="907"/>
      <c r="P100" s="907"/>
      <c r="Q100" s="907"/>
      <c r="R100" s="907"/>
      <c r="S100" s="907"/>
      <c r="T100" s="907"/>
      <c r="U100" s="907"/>
      <c r="V100" s="907"/>
      <c r="W100" s="907"/>
      <c r="X100" s="907"/>
      <c r="Y100" s="907"/>
      <c r="Z100" s="907"/>
      <c r="AA100" s="907"/>
      <c r="AB100" s="907"/>
      <c r="AC100" s="907"/>
      <c r="AD100" s="907"/>
      <c r="AE100" s="907"/>
      <c r="AF100" s="907"/>
      <c r="AG100" s="907"/>
      <c r="AH100" s="907"/>
      <c r="AI100" s="907"/>
      <c r="AJ100" s="907"/>
      <c r="AK100" s="907"/>
      <c r="AL100" s="907"/>
    </row>
    <row r="101" spans="1:38">
      <c r="A101" s="907"/>
      <c r="B101" s="907"/>
      <c r="C101" s="907"/>
      <c r="D101" s="907"/>
      <c r="E101" s="907"/>
      <c r="F101" s="907"/>
      <c r="G101" s="907"/>
      <c r="H101" s="907"/>
      <c r="I101" s="907"/>
      <c r="J101" s="907"/>
      <c r="K101" s="907"/>
      <c r="L101" s="907"/>
      <c r="M101" s="907"/>
      <c r="N101" s="907"/>
      <c r="O101" s="907"/>
      <c r="P101" s="907"/>
      <c r="Q101" s="907"/>
      <c r="R101" s="907"/>
      <c r="S101" s="907"/>
      <c r="T101" s="907"/>
      <c r="U101" s="907"/>
      <c r="V101" s="907"/>
      <c r="W101" s="907"/>
      <c r="X101" s="907"/>
      <c r="Y101" s="907"/>
      <c r="Z101" s="907"/>
      <c r="AA101" s="907"/>
      <c r="AB101" s="907"/>
      <c r="AC101" s="907"/>
      <c r="AD101" s="907"/>
      <c r="AE101" s="907"/>
      <c r="AF101" s="907"/>
      <c r="AG101" s="907"/>
      <c r="AH101" s="907"/>
      <c r="AI101" s="907"/>
      <c r="AJ101" s="907"/>
      <c r="AK101" s="907"/>
      <c r="AL101" s="907"/>
    </row>
    <row r="102" spans="1:38">
      <c r="A102" s="907"/>
      <c r="B102" s="907"/>
      <c r="C102" s="907"/>
      <c r="D102" s="907"/>
      <c r="E102" s="907"/>
      <c r="F102" s="907"/>
      <c r="G102" s="907"/>
      <c r="H102" s="907"/>
      <c r="I102" s="907"/>
      <c r="J102" s="907"/>
      <c r="K102" s="907"/>
      <c r="L102" s="907"/>
      <c r="M102" s="907"/>
      <c r="N102" s="907"/>
      <c r="O102" s="907"/>
      <c r="P102" s="907"/>
      <c r="Q102" s="907"/>
      <c r="R102" s="907"/>
      <c r="S102" s="907"/>
      <c r="T102" s="907"/>
      <c r="U102" s="907"/>
      <c r="V102" s="907"/>
      <c r="W102" s="907"/>
      <c r="X102" s="907"/>
      <c r="Y102" s="907"/>
      <c r="Z102" s="907"/>
      <c r="AA102" s="907"/>
      <c r="AB102" s="907"/>
      <c r="AC102" s="907"/>
      <c r="AD102" s="907"/>
      <c r="AE102" s="907"/>
      <c r="AF102" s="907"/>
      <c r="AG102" s="907"/>
      <c r="AH102" s="907"/>
      <c r="AI102" s="907"/>
      <c r="AJ102" s="907"/>
      <c r="AK102" s="907"/>
      <c r="AL102" s="907"/>
    </row>
    <row r="103" spans="1:38">
      <c r="A103" s="907"/>
      <c r="B103" s="907"/>
      <c r="C103" s="907"/>
      <c r="D103" s="907"/>
      <c r="E103" s="907"/>
      <c r="F103" s="907"/>
      <c r="G103" s="907"/>
      <c r="H103" s="907"/>
      <c r="I103" s="907"/>
      <c r="J103" s="907"/>
      <c r="K103" s="907"/>
      <c r="L103" s="907"/>
      <c r="M103" s="907"/>
      <c r="N103" s="907"/>
      <c r="O103" s="907"/>
      <c r="P103" s="907"/>
      <c r="Q103" s="907"/>
      <c r="R103" s="907"/>
      <c r="S103" s="907"/>
      <c r="T103" s="907"/>
      <c r="U103" s="907"/>
      <c r="V103" s="907"/>
      <c r="W103" s="907"/>
      <c r="X103" s="907"/>
      <c r="Y103" s="907"/>
      <c r="Z103" s="907"/>
      <c r="AA103" s="907"/>
      <c r="AB103" s="907"/>
      <c r="AC103" s="907"/>
      <c r="AD103" s="907"/>
      <c r="AE103" s="907"/>
      <c r="AF103" s="907"/>
      <c r="AG103" s="907"/>
      <c r="AH103" s="907"/>
      <c r="AI103" s="907"/>
      <c r="AJ103" s="907"/>
      <c r="AK103" s="907"/>
      <c r="AL103" s="907"/>
    </row>
    <row r="104" spans="1:38">
      <c r="A104" s="907"/>
      <c r="B104" s="907"/>
      <c r="C104" s="907"/>
      <c r="D104" s="907"/>
      <c r="E104" s="907"/>
      <c r="F104" s="907"/>
      <c r="G104" s="907"/>
      <c r="H104" s="907"/>
      <c r="I104" s="907"/>
      <c r="J104" s="907"/>
      <c r="K104" s="907"/>
      <c r="L104" s="907"/>
      <c r="M104" s="907"/>
      <c r="N104" s="907"/>
      <c r="O104" s="907"/>
      <c r="P104" s="907"/>
      <c r="Q104" s="907"/>
      <c r="R104" s="907"/>
      <c r="S104" s="907"/>
      <c r="T104" s="907"/>
      <c r="U104" s="907"/>
      <c r="V104" s="907"/>
      <c r="W104" s="907"/>
      <c r="X104" s="907"/>
      <c r="Y104" s="907"/>
      <c r="Z104" s="907"/>
      <c r="AA104" s="907"/>
      <c r="AB104" s="907"/>
      <c r="AC104" s="907"/>
      <c r="AD104" s="907"/>
      <c r="AE104" s="907"/>
      <c r="AF104" s="907"/>
      <c r="AG104" s="907"/>
      <c r="AH104" s="907"/>
      <c r="AI104" s="907"/>
      <c r="AJ104" s="907"/>
      <c r="AK104" s="907"/>
      <c r="AL104" s="907"/>
    </row>
    <row r="105" spans="1:38">
      <c r="A105" s="907"/>
      <c r="B105" s="907"/>
      <c r="C105" s="907"/>
      <c r="D105" s="907"/>
      <c r="E105" s="907"/>
      <c r="F105" s="907"/>
      <c r="G105" s="907"/>
      <c r="H105" s="907"/>
      <c r="I105" s="907"/>
      <c r="J105" s="907"/>
      <c r="K105" s="907"/>
      <c r="L105" s="907"/>
      <c r="M105" s="907"/>
      <c r="N105" s="907"/>
      <c r="O105" s="907"/>
      <c r="P105" s="907"/>
      <c r="Q105" s="907"/>
      <c r="R105" s="907"/>
      <c r="S105" s="907"/>
      <c r="T105" s="907"/>
      <c r="U105" s="907"/>
      <c r="V105" s="907"/>
      <c r="W105" s="907"/>
      <c r="X105" s="907"/>
      <c r="Y105" s="907"/>
      <c r="Z105" s="907"/>
      <c r="AA105" s="907"/>
      <c r="AB105" s="907"/>
      <c r="AC105" s="907"/>
      <c r="AD105" s="907"/>
      <c r="AE105" s="907"/>
      <c r="AF105" s="907"/>
      <c r="AG105" s="907"/>
      <c r="AH105" s="907"/>
      <c r="AI105" s="907"/>
      <c r="AJ105" s="907"/>
      <c r="AK105" s="907"/>
      <c r="AL105" s="907"/>
    </row>
    <row r="106" spans="1:38">
      <c r="A106" s="907"/>
      <c r="B106" s="907"/>
      <c r="C106" s="907"/>
      <c r="D106" s="907"/>
      <c r="E106" s="907"/>
      <c r="F106" s="907"/>
      <c r="G106" s="907"/>
      <c r="H106" s="907"/>
      <c r="I106" s="907"/>
      <c r="J106" s="907"/>
      <c r="K106" s="907"/>
      <c r="L106" s="907"/>
      <c r="M106" s="907"/>
      <c r="N106" s="907"/>
      <c r="O106" s="907"/>
      <c r="P106" s="907"/>
      <c r="Q106" s="907"/>
      <c r="R106" s="907"/>
      <c r="S106" s="907"/>
      <c r="T106" s="907"/>
      <c r="U106" s="907"/>
      <c r="V106" s="907"/>
      <c r="W106" s="907"/>
      <c r="X106" s="907"/>
      <c r="Y106" s="907"/>
      <c r="Z106" s="907"/>
      <c r="AA106" s="907"/>
      <c r="AB106" s="907"/>
      <c r="AC106" s="907"/>
      <c r="AD106" s="907"/>
      <c r="AE106" s="907"/>
      <c r="AF106" s="907"/>
      <c r="AG106" s="907"/>
      <c r="AH106" s="907"/>
      <c r="AI106" s="907"/>
      <c r="AJ106" s="907"/>
      <c r="AK106" s="907"/>
      <c r="AL106" s="907"/>
    </row>
    <row r="107" spans="1:38">
      <c r="A107" s="907"/>
      <c r="B107" s="907"/>
      <c r="C107" s="907"/>
      <c r="D107" s="907"/>
      <c r="E107" s="907"/>
      <c r="F107" s="907"/>
      <c r="G107" s="907"/>
      <c r="H107" s="907"/>
      <c r="I107" s="907"/>
      <c r="J107" s="907"/>
      <c r="K107" s="907"/>
      <c r="L107" s="907"/>
      <c r="M107" s="907"/>
      <c r="N107" s="907"/>
      <c r="O107" s="907"/>
      <c r="P107" s="907"/>
      <c r="Q107" s="907"/>
      <c r="R107" s="907"/>
      <c r="S107" s="907"/>
      <c r="T107" s="907"/>
      <c r="U107" s="907"/>
      <c r="V107" s="907"/>
      <c r="W107" s="907"/>
      <c r="X107" s="907"/>
      <c r="Y107" s="907"/>
      <c r="Z107" s="907"/>
      <c r="AA107" s="907"/>
      <c r="AB107" s="907"/>
      <c r="AC107" s="907"/>
      <c r="AD107" s="907"/>
      <c r="AE107" s="907"/>
      <c r="AF107" s="907"/>
      <c r="AG107" s="907"/>
      <c r="AH107" s="907"/>
      <c r="AI107" s="907"/>
      <c r="AJ107" s="907"/>
      <c r="AK107" s="907"/>
      <c r="AL107" s="907"/>
    </row>
    <row r="108" spans="1:38">
      <c r="A108" s="907"/>
      <c r="B108" s="907"/>
      <c r="C108" s="907"/>
      <c r="D108" s="907"/>
      <c r="E108" s="907"/>
      <c r="F108" s="907"/>
      <c r="G108" s="907"/>
      <c r="H108" s="907"/>
      <c r="I108" s="907"/>
      <c r="J108" s="907"/>
      <c r="K108" s="907"/>
      <c r="L108" s="907"/>
      <c r="M108" s="907"/>
      <c r="N108" s="907"/>
      <c r="O108" s="907"/>
      <c r="P108" s="907"/>
      <c r="Q108" s="907"/>
      <c r="R108" s="907"/>
      <c r="S108" s="907"/>
      <c r="T108" s="907"/>
      <c r="U108" s="907"/>
      <c r="V108" s="907"/>
      <c r="W108" s="907"/>
      <c r="X108" s="907"/>
      <c r="Y108" s="907"/>
      <c r="Z108" s="907"/>
      <c r="AA108" s="907"/>
      <c r="AB108" s="907"/>
      <c r="AC108" s="907"/>
      <c r="AD108" s="907"/>
      <c r="AE108" s="907"/>
      <c r="AF108" s="907"/>
      <c r="AG108" s="907"/>
      <c r="AH108" s="907"/>
      <c r="AI108" s="907"/>
      <c r="AJ108" s="907"/>
      <c r="AK108" s="907"/>
      <c r="AL108" s="907"/>
    </row>
    <row r="109" spans="1:38">
      <c r="A109" s="907"/>
      <c r="B109" s="907"/>
      <c r="C109" s="907"/>
      <c r="D109" s="907"/>
      <c r="E109" s="907"/>
      <c r="F109" s="907"/>
      <c r="G109" s="907"/>
      <c r="H109" s="907"/>
      <c r="I109" s="907"/>
      <c r="J109" s="907"/>
      <c r="K109" s="907"/>
      <c r="L109" s="907"/>
      <c r="M109" s="907"/>
      <c r="N109" s="907"/>
      <c r="O109" s="907"/>
      <c r="P109" s="907"/>
      <c r="Q109" s="907"/>
      <c r="R109" s="907"/>
      <c r="S109" s="907"/>
      <c r="T109" s="907"/>
      <c r="U109" s="907"/>
      <c r="V109" s="907"/>
      <c r="W109" s="907"/>
      <c r="X109" s="907"/>
      <c r="Y109" s="907"/>
      <c r="Z109" s="907"/>
      <c r="AA109" s="907"/>
      <c r="AB109" s="907"/>
      <c r="AC109" s="907"/>
      <c r="AD109" s="907"/>
      <c r="AE109" s="907"/>
      <c r="AF109" s="907"/>
      <c r="AG109" s="907"/>
      <c r="AH109" s="907"/>
      <c r="AI109" s="907"/>
      <c r="AJ109" s="907"/>
      <c r="AK109" s="907"/>
      <c r="AL109" s="907"/>
    </row>
    <row r="110" spans="1:38">
      <c r="A110" s="907"/>
      <c r="B110" s="907"/>
      <c r="C110" s="907"/>
      <c r="D110" s="907"/>
      <c r="E110" s="907"/>
      <c r="F110" s="907"/>
      <c r="G110" s="907"/>
      <c r="H110" s="907"/>
      <c r="I110" s="907"/>
      <c r="J110" s="907"/>
      <c r="K110" s="907"/>
      <c r="L110" s="907"/>
      <c r="M110" s="907"/>
      <c r="N110" s="907"/>
      <c r="O110" s="907"/>
      <c r="P110" s="907"/>
      <c r="Q110" s="907"/>
      <c r="R110" s="907"/>
      <c r="S110" s="907"/>
      <c r="T110" s="907"/>
      <c r="U110" s="907"/>
      <c r="V110" s="907"/>
      <c r="W110" s="907"/>
      <c r="X110" s="907"/>
      <c r="Y110" s="907"/>
      <c r="Z110" s="907"/>
      <c r="AA110" s="907"/>
      <c r="AB110" s="907"/>
      <c r="AC110" s="907"/>
      <c r="AD110" s="907"/>
      <c r="AE110" s="907"/>
      <c r="AF110" s="907"/>
      <c r="AG110" s="907"/>
      <c r="AH110" s="907"/>
      <c r="AI110" s="907"/>
      <c r="AJ110" s="907"/>
      <c r="AK110" s="907"/>
      <c r="AL110" s="907"/>
    </row>
    <row r="111" spans="1:38">
      <c r="A111" s="907"/>
      <c r="B111" s="907"/>
      <c r="C111" s="907"/>
      <c r="D111" s="907"/>
      <c r="E111" s="907"/>
      <c r="F111" s="907"/>
      <c r="G111" s="907"/>
      <c r="H111" s="907"/>
      <c r="I111" s="907"/>
      <c r="J111" s="907"/>
      <c r="K111" s="907"/>
      <c r="L111" s="907"/>
      <c r="M111" s="907"/>
      <c r="N111" s="907"/>
      <c r="O111" s="907"/>
      <c r="P111" s="907"/>
      <c r="Q111" s="907"/>
      <c r="R111" s="907"/>
      <c r="S111" s="907"/>
      <c r="T111" s="907"/>
      <c r="U111" s="907"/>
      <c r="V111" s="907"/>
      <c r="W111" s="907"/>
      <c r="X111" s="907"/>
      <c r="Y111" s="907"/>
      <c r="Z111" s="907"/>
      <c r="AA111" s="907"/>
      <c r="AB111" s="907"/>
      <c r="AC111" s="907"/>
      <c r="AD111" s="907"/>
      <c r="AE111" s="907"/>
      <c r="AF111" s="907"/>
      <c r="AG111" s="907"/>
      <c r="AH111" s="907"/>
      <c r="AI111" s="907"/>
      <c r="AJ111" s="907"/>
      <c r="AK111" s="907"/>
      <c r="AL111" s="907"/>
    </row>
    <row r="112" spans="1:38">
      <c r="A112" s="907"/>
      <c r="B112" s="907"/>
      <c r="C112" s="907"/>
      <c r="D112" s="907"/>
      <c r="E112" s="907"/>
      <c r="F112" s="907"/>
      <c r="G112" s="907"/>
      <c r="H112" s="907"/>
      <c r="I112" s="907"/>
      <c r="J112" s="907"/>
      <c r="K112" s="907"/>
      <c r="L112" s="907"/>
      <c r="M112" s="907"/>
      <c r="N112" s="907"/>
      <c r="O112" s="907"/>
      <c r="P112" s="907"/>
      <c r="Q112" s="907"/>
      <c r="R112" s="907"/>
      <c r="S112" s="907"/>
      <c r="T112" s="907"/>
      <c r="U112" s="907"/>
      <c r="V112" s="907"/>
      <c r="W112" s="907"/>
      <c r="X112" s="907"/>
      <c r="Y112" s="907"/>
      <c r="Z112" s="907"/>
      <c r="AA112" s="907"/>
      <c r="AB112" s="907"/>
      <c r="AC112" s="907"/>
      <c r="AD112" s="907"/>
      <c r="AE112" s="907"/>
      <c r="AF112" s="907"/>
      <c r="AG112" s="907"/>
      <c r="AH112" s="907"/>
      <c r="AI112" s="907"/>
      <c r="AJ112" s="907"/>
      <c r="AK112" s="907"/>
      <c r="AL112" s="907"/>
    </row>
    <row r="113" spans="1:38">
      <c r="A113" s="907"/>
      <c r="B113" s="907"/>
      <c r="C113" s="907"/>
      <c r="D113" s="907"/>
      <c r="E113" s="907"/>
      <c r="F113" s="907"/>
      <c r="G113" s="907"/>
      <c r="H113" s="907"/>
      <c r="I113" s="907"/>
      <c r="J113" s="907"/>
      <c r="K113" s="907"/>
      <c r="L113" s="907"/>
      <c r="M113" s="907"/>
      <c r="N113" s="907"/>
      <c r="O113" s="907"/>
      <c r="P113" s="907"/>
      <c r="Q113" s="907"/>
      <c r="R113" s="907"/>
      <c r="S113" s="907"/>
      <c r="T113" s="907"/>
      <c r="U113" s="907"/>
      <c r="V113" s="907"/>
      <c r="W113" s="907"/>
      <c r="X113" s="907"/>
      <c r="Y113" s="907"/>
      <c r="Z113" s="907"/>
      <c r="AA113" s="907"/>
      <c r="AB113" s="907"/>
      <c r="AC113" s="907"/>
      <c r="AD113" s="907"/>
      <c r="AE113" s="907"/>
      <c r="AF113" s="907"/>
      <c r="AG113" s="907"/>
      <c r="AH113" s="907"/>
      <c r="AI113" s="907"/>
      <c r="AJ113" s="907"/>
      <c r="AK113" s="907"/>
      <c r="AL113" s="907"/>
    </row>
    <row r="114" spans="1:38">
      <c r="A114" s="907"/>
      <c r="B114" s="907"/>
      <c r="C114" s="907"/>
      <c r="D114" s="907"/>
      <c r="E114" s="907"/>
      <c r="F114" s="907"/>
      <c r="G114" s="907"/>
      <c r="H114" s="907"/>
      <c r="I114" s="907"/>
      <c r="J114" s="907"/>
      <c r="K114" s="907"/>
      <c r="L114" s="907"/>
      <c r="M114" s="907"/>
      <c r="N114" s="907"/>
      <c r="O114" s="907"/>
      <c r="P114" s="907"/>
      <c r="Q114" s="907"/>
      <c r="R114" s="907"/>
      <c r="S114" s="907"/>
      <c r="T114" s="907"/>
      <c r="U114" s="907"/>
      <c r="V114" s="907"/>
      <c r="W114" s="907"/>
      <c r="X114" s="907"/>
      <c r="Y114" s="907"/>
      <c r="Z114" s="907"/>
      <c r="AA114" s="907"/>
      <c r="AB114" s="907"/>
      <c r="AC114" s="907"/>
      <c r="AD114" s="907"/>
      <c r="AE114" s="907"/>
      <c r="AF114" s="907"/>
      <c r="AG114" s="907"/>
      <c r="AH114" s="907"/>
      <c r="AI114" s="907"/>
      <c r="AJ114" s="907"/>
      <c r="AK114" s="907"/>
      <c r="AL114" s="907"/>
    </row>
    <row r="115" spans="1:38">
      <c r="A115" s="907"/>
      <c r="B115" s="907"/>
      <c r="C115" s="907"/>
      <c r="D115" s="907"/>
      <c r="E115" s="907"/>
      <c r="F115" s="907"/>
      <c r="G115" s="907"/>
      <c r="H115" s="907"/>
      <c r="I115" s="907"/>
      <c r="J115" s="907"/>
      <c r="K115" s="907"/>
      <c r="L115" s="907"/>
      <c r="M115" s="907"/>
      <c r="N115" s="907"/>
      <c r="O115" s="907"/>
      <c r="P115" s="907"/>
      <c r="Q115" s="907"/>
      <c r="R115" s="907"/>
      <c r="S115" s="907"/>
      <c r="T115" s="907"/>
      <c r="U115" s="907"/>
      <c r="V115" s="907"/>
      <c r="W115" s="907"/>
      <c r="X115" s="907"/>
      <c r="Y115" s="907"/>
      <c r="Z115" s="907"/>
      <c r="AA115" s="907"/>
      <c r="AB115" s="907"/>
      <c r="AC115" s="907"/>
      <c r="AD115" s="907"/>
      <c r="AE115" s="907"/>
      <c r="AF115" s="907"/>
      <c r="AG115" s="907"/>
      <c r="AH115" s="907"/>
      <c r="AI115" s="907"/>
      <c r="AJ115" s="907"/>
      <c r="AK115" s="907"/>
      <c r="AL115" s="907"/>
    </row>
    <row r="116" spans="1:38">
      <c r="A116" s="907"/>
      <c r="B116" s="907"/>
      <c r="C116" s="907"/>
      <c r="D116" s="907"/>
      <c r="E116" s="907"/>
      <c r="F116" s="907"/>
      <c r="G116" s="907"/>
      <c r="H116" s="907"/>
      <c r="I116" s="907"/>
      <c r="J116" s="907"/>
      <c r="K116" s="907"/>
      <c r="L116" s="907"/>
      <c r="M116" s="907"/>
      <c r="N116" s="907"/>
      <c r="O116" s="907"/>
      <c r="P116" s="907"/>
      <c r="Q116" s="907"/>
      <c r="R116" s="907"/>
      <c r="S116" s="907"/>
      <c r="T116" s="907"/>
      <c r="U116" s="907"/>
      <c r="V116" s="907"/>
      <c r="W116" s="907"/>
      <c r="X116" s="907"/>
      <c r="Y116" s="907"/>
      <c r="Z116" s="907"/>
      <c r="AA116" s="907"/>
      <c r="AB116" s="907"/>
      <c r="AC116" s="907"/>
      <c r="AD116" s="907"/>
      <c r="AE116" s="907"/>
      <c r="AF116" s="907"/>
      <c r="AG116" s="907"/>
      <c r="AH116" s="907"/>
      <c r="AI116" s="907"/>
      <c r="AJ116" s="907"/>
      <c r="AK116" s="907"/>
      <c r="AL116" s="907"/>
    </row>
    <row r="117" spans="1:38">
      <c r="A117" s="907"/>
      <c r="B117" s="907"/>
      <c r="C117" s="907"/>
      <c r="D117" s="907"/>
      <c r="E117" s="907"/>
      <c r="F117" s="907"/>
      <c r="G117" s="907"/>
      <c r="H117" s="907"/>
      <c r="I117" s="907"/>
      <c r="J117" s="907"/>
      <c r="K117" s="907"/>
      <c r="L117" s="907"/>
      <c r="M117" s="907"/>
      <c r="N117" s="907"/>
      <c r="O117" s="907"/>
      <c r="P117" s="907"/>
      <c r="Q117" s="907"/>
      <c r="R117" s="907"/>
      <c r="S117" s="907"/>
      <c r="T117" s="907"/>
      <c r="U117" s="907"/>
      <c r="V117" s="907"/>
      <c r="W117" s="907"/>
      <c r="X117" s="907"/>
      <c r="Y117" s="907"/>
      <c r="Z117" s="907"/>
      <c r="AA117" s="907"/>
      <c r="AB117" s="907"/>
      <c r="AC117" s="907"/>
      <c r="AD117" s="907"/>
      <c r="AE117" s="907"/>
      <c r="AF117" s="907"/>
      <c r="AG117" s="907"/>
      <c r="AH117" s="907"/>
      <c r="AI117" s="907"/>
      <c r="AJ117" s="907"/>
      <c r="AK117" s="907"/>
      <c r="AL117" s="907"/>
    </row>
    <row r="118" spans="1:38">
      <c r="A118" s="907"/>
      <c r="B118" s="907"/>
      <c r="C118" s="907"/>
      <c r="D118" s="907"/>
      <c r="E118" s="907"/>
      <c r="F118" s="907"/>
      <c r="G118" s="907"/>
      <c r="H118" s="907"/>
      <c r="I118" s="907"/>
      <c r="J118" s="907"/>
      <c r="K118" s="907"/>
      <c r="L118" s="907"/>
      <c r="M118" s="907"/>
      <c r="N118" s="907"/>
      <c r="O118" s="907"/>
      <c r="P118" s="907"/>
      <c r="Q118" s="907"/>
      <c r="R118" s="907"/>
      <c r="S118" s="907"/>
      <c r="T118" s="907"/>
      <c r="U118" s="907"/>
      <c r="V118" s="907"/>
      <c r="W118" s="907"/>
      <c r="X118" s="907"/>
      <c r="Y118" s="907"/>
      <c r="Z118" s="907"/>
      <c r="AA118" s="907"/>
      <c r="AB118" s="907"/>
      <c r="AC118" s="907"/>
      <c r="AD118" s="907"/>
      <c r="AE118" s="907"/>
      <c r="AF118" s="907"/>
      <c r="AG118" s="907"/>
      <c r="AH118" s="907"/>
      <c r="AI118" s="907"/>
      <c r="AJ118" s="907"/>
      <c r="AK118" s="907"/>
      <c r="AL118" s="907"/>
    </row>
    <row r="119" spans="1:38">
      <c r="A119" s="907"/>
      <c r="B119" s="907"/>
      <c r="C119" s="907"/>
      <c r="D119" s="907"/>
      <c r="E119" s="907"/>
      <c r="F119" s="907"/>
      <c r="G119" s="907"/>
      <c r="H119" s="907"/>
      <c r="I119" s="907"/>
      <c r="J119" s="907"/>
      <c r="K119" s="907"/>
      <c r="L119" s="907"/>
      <c r="M119" s="907"/>
      <c r="N119" s="907"/>
      <c r="O119" s="907"/>
      <c r="P119" s="907"/>
      <c r="Q119" s="907"/>
      <c r="R119" s="907"/>
      <c r="S119" s="907"/>
      <c r="T119" s="907"/>
      <c r="U119" s="907"/>
      <c r="V119" s="907"/>
      <c r="W119" s="907"/>
      <c r="X119" s="907"/>
      <c r="Y119" s="907"/>
      <c r="Z119" s="907"/>
      <c r="AA119" s="907"/>
      <c r="AB119" s="907"/>
      <c r="AC119" s="907"/>
      <c r="AD119" s="907"/>
      <c r="AE119" s="907"/>
      <c r="AF119" s="907"/>
      <c r="AG119" s="907"/>
      <c r="AH119" s="907"/>
      <c r="AI119" s="907"/>
      <c r="AJ119" s="907"/>
      <c r="AK119" s="907"/>
      <c r="AL119" s="907"/>
    </row>
    <row r="120" spans="1:38">
      <c r="A120" s="907"/>
      <c r="B120" s="907"/>
      <c r="C120" s="907"/>
      <c r="D120" s="907"/>
      <c r="E120" s="907"/>
      <c r="F120" s="907"/>
      <c r="G120" s="907"/>
      <c r="H120" s="907"/>
      <c r="I120" s="907"/>
      <c r="J120" s="907"/>
      <c r="K120" s="907"/>
      <c r="L120" s="907"/>
      <c r="M120" s="907"/>
      <c r="N120" s="907"/>
      <c r="O120" s="907"/>
      <c r="P120" s="907"/>
      <c r="Q120" s="907"/>
      <c r="R120" s="907"/>
      <c r="S120" s="907"/>
      <c r="T120" s="907"/>
      <c r="U120" s="907"/>
      <c r="V120" s="907"/>
      <c r="W120" s="907"/>
      <c r="X120" s="907"/>
      <c r="Y120" s="907"/>
      <c r="Z120" s="907"/>
      <c r="AA120" s="907"/>
      <c r="AB120" s="907"/>
      <c r="AC120" s="907"/>
      <c r="AD120" s="907"/>
      <c r="AE120" s="907"/>
      <c r="AF120" s="907"/>
      <c r="AG120" s="907"/>
      <c r="AH120" s="907"/>
      <c r="AI120" s="907"/>
      <c r="AJ120" s="907"/>
      <c r="AK120" s="907"/>
      <c r="AL120" s="907"/>
    </row>
    <row r="121" spans="1:38">
      <c r="A121" s="907"/>
      <c r="B121" s="907"/>
      <c r="C121" s="907"/>
      <c r="D121" s="907"/>
      <c r="E121" s="907"/>
      <c r="F121" s="907"/>
      <c r="G121" s="907"/>
      <c r="H121" s="907"/>
      <c r="I121" s="907"/>
      <c r="J121" s="907"/>
      <c r="K121" s="907"/>
      <c r="L121" s="907"/>
      <c r="M121" s="907"/>
      <c r="N121" s="907"/>
      <c r="O121" s="907"/>
      <c r="P121" s="907"/>
      <c r="Q121" s="907"/>
      <c r="R121" s="907"/>
      <c r="S121" s="907"/>
      <c r="T121" s="907"/>
      <c r="U121" s="907"/>
      <c r="V121" s="907"/>
      <c r="W121" s="907"/>
      <c r="X121" s="907"/>
      <c r="Y121" s="907"/>
      <c r="Z121" s="907"/>
      <c r="AA121" s="907"/>
      <c r="AB121" s="907"/>
      <c r="AC121" s="907"/>
      <c r="AD121" s="907"/>
      <c r="AE121" s="907"/>
      <c r="AF121" s="907"/>
      <c r="AG121" s="907"/>
      <c r="AH121" s="907"/>
      <c r="AI121" s="907"/>
      <c r="AJ121" s="907"/>
      <c r="AK121" s="907"/>
      <c r="AL121" s="907"/>
    </row>
    <row r="122" spans="1:38">
      <c r="A122" s="907"/>
      <c r="B122" s="907"/>
      <c r="C122" s="907"/>
      <c r="D122" s="907"/>
      <c r="E122" s="907"/>
      <c r="F122" s="907"/>
      <c r="G122" s="907"/>
      <c r="H122" s="907"/>
      <c r="I122" s="907"/>
      <c r="J122" s="907"/>
      <c r="K122" s="907"/>
      <c r="L122" s="907"/>
      <c r="M122" s="907"/>
      <c r="N122" s="907"/>
      <c r="O122" s="907"/>
      <c r="P122" s="907"/>
      <c r="Q122" s="907"/>
      <c r="R122" s="907"/>
      <c r="S122" s="907"/>
      <c r="T122" s="907"/>
      <c r="U122" s="907"/>
      <c r="V122" s="907"/>
      <c r="W122" s="907"/>
      <c r="X122" s="907"/>
      <c r="Y122" s="907"/>
      <c r="Z122" s="907"/>
      <c r="AA122" s="907"/>
      <c r="AB122" s="907"/>
      <c r="AC122" s="907"/>
      <c r="AD122" s="907"/>
      <c r="AE122" s="907"/>
      <c r="AF122" s="907"/>
      <c r="AG122" s="907"/>
      <c r="AH122" s="907"/>
      <c r="AI122" s="907"/>
      <c r="AJ122" s="907"/>
      <c r="AK122" s="907"/>
      <c r="AL122" s="907"/>
    </row>
    <row r="123" spans="1:38">
      <c r="A123" s="907"/>
      <c r="B123" s="907"/>
      <c r="C123" s="907"/>
      <c r="D123" s="907"/>
      <c r="E123" s="907"/>
      <c r="F123" s="907"/>
      <c r="G123" s="907"/>
      <c r="H123" s="907"/>
      <c r="I123" s="907"/>
      <c r="J123" s="907"/>
      <c r="K123" s="907"/>
      <c r="L123" s="907"/>
      <c r="M123" s="907"/>
      <c r="N123" s="907"/>
      <c r="O123" s="907"/>
      <c r="P123" s="907"/>
      <c r="Q123" s="907"/>
      <c r="R123" s="907"/>
      <c r="S123" s="907"/>
      <c r="T123" s="907"/>
      <c r="U123" s="907"/>
      <c r="V123" s="907"/>
      <c r="W123" s="907"/>
      <c r="X123" s="907"/>
      <c r="Y123" s="907"/>
      <c r="Z123" s="907"/>
      <c r="AA123" s="907"/>
      <c r="AB123" s="907"/>
      <c r="AC123" s="907"/>
      <c r="AD123" s="907"/>
      <c r="AE123" s="907"/>
      <c r="AF123" s="907"/>
      <c r="AG123" s="907"/>
      <c r="AH123" s="907"/>
      <c r="AI123" s="907"/>
      <c r="AJ123" s="907"/>
      <c r="AK123" s="907"/>
      <c r="AL123" s="907"/>
    </row>
    <row r="124" spans="1:38">
      <c r="A124" s="907"/>
      <c r="B124" s="907"/>
      <c r="C124" s="907"/>
      <c r="D124" s="907"/>
      <c r="E124" s="907"/>
      <c r="F124" s="907"/>
      <c r="G124" s="907"/>
      <c r="H124" s="907"/>
      <c r="I124" s="907"/>
      <c r="J124" s="907"/>
      <c r="K124" s="907"/>
      <c r="L124" s="907"/>
      <c r="M124" s="907"/>
      <c r="N124" s="907"/>
      <c r="O124" s="907"/>
      <c r="P124" s="907"/>
      <c r="Q124" s="907"/>
      <c r="R124" s="907"/>
      <c r="S124" s="907"/>
      <c r="T124" s="907"/>
      <c r="U124" s="907"/>
      <c r="V124" s="907"/>
      <c r="W124" s="907"/>
      <c r="X124" s="907"/>
      <c r="Y124" s="907"/>
      <c r="Z124" s="907"/>
      <c r="AA124" s="907"/>
      <c r="AB124" s="907"/>
      <c r="AC124" s="907"/>
      <c r="AD124" s="907"/>
      <c r="AE124" s="907"/>
      <c r="AF124" s="907"/>
      <c r="AG124" s="907"/>
      <c r="AH124" s="907"/>
      <c r="AI124" s="907"/>
      <c r="AJ124" s="907"/>
      <c r="AK124" s="907"/>
      <c r="AL124" s="907"/>
    </row>
    <row r="125" spans="1:38">
      <c r="A125" s="907"/>
      <c r="B125" s="907"/>
      <c r="C125" s="907"/>
      <c r="D125" s="907"/>
      <c r="E125" s="907"/>
      <c r="F125" s="907"/>
      <c r="G125" s="907"/>
      <c r="H125" s="907"/>
      <c r="I125" s="907"/>
      <c r="J125" s="907"/>
      <c r="K125" s="907"/>
      <c r="L125" s="907"/>
      <c r="M125" s="907"/>
      <c r="N125" s="907"/>
      <c r="O125" s="907"/>
      <c r="P125" s="907"/>
      <c r="Q125" s="907"/>
      <c r="R125" s="907"/>
      <c r="S125" s="907"/>
      <c r="T125" s="907"/>
      <c r="U125" s="907"/>
      <c r="V125" s="907"/>
      <c r="W125" s="907"/>
      <c r="X125" s="907"/>
      <c r="Y125" s="907"/>
      <c r="Z125" s="907"/>
      <c r="AA125" s="907"/>
      <c r="AB125" s="907"/>
      <c r="AC125" s="907"/>
      <c r="AD125" s="907"/>
      <c r="AE125" s="907"/>
      <c r="AF125" s="907"/>
      <c r="AG125" s="907"/>
      <c r="AH125" s="907"/>
      <c r="AI125" s="907"/>
      <c r="AJ125" s="907"/>
      <c r="AK125" s="907"/>
      <c r="AL125" s="907"/>
    </row>
    <row r="126" spans="1:38">
      <c r="A126" s="907"/>
      <c r="B126" s="907"/>
      <c r="C126" s="907"/>
      <c r="D126" s="907"/>
      <c r="E126" s="907"/>
      <c r="F126" s="907"/>
      <c r="G126" s="907"/>
      <c r="H126" s="907"/>
      <c r="I126" s="907"/>
      <c r="J126" s="907"/>
      <c r="K126" s="907"/>
      <c r="L126" s="907"/>
      <c r="M126" s="907"/>
      <c r="N126" s="907"/>
      <c r="O126" s="907"/>
      <c r="P126" s="907"/>
      <c r="Q126" s="907"/>
      <c r="R126" s="907"/>
      <c r="S126" s="907"/>
      <c r="T126" s="907"/>
      <c r="U126" s="907"/>
      <c r="V126" s="907"/>
      <c r="W126" s="907"/>
      <c r="X126" s="907"/>
      <c r="Y126" s="907"/>
      <c r="Z126" s="907"/>
      <c r="AA126" s="907"/>
      <c r="AB126" s="907"/>
      <c r="AC126" s="907"/>
      <c r="AD126" s="907"/>
      <c r="AE126" s="907"/>
      <c r="AF126" s="907"/>
      <c r="AG126" s="907"/>
      <c r="AH126" s="907"/>
      <c r="AI126" s="907"/>
      <c r="AJ126" s="907"/>
      <c r="AK126" s="907"/>
      <c r="AL126" s="907"/>
    </row>
    <row r="127" spans="1:38">
      <c r="A127" s="907"/>
      <c r="B127" s="907"/>
      <c r="C127" s="907"/>
      <c r="D127" s="907"/>
      <c r="E127" s="907"/>
      <c r="F127" s="907"/>
      <c r="G127" s="907"/>
      <c r="H127" s="907"/>
      <c r="I127" s="907"/>
      <c r="J127" s="907"/>
      <c r="K127" s="907"/>
      <c r="L127" s="907"/>
      <c r="M127" s="907"/>
      <c r="N127" s="907"/>
      <c r="O127" s="907"/>
      <c r="P127" s="907"/>
      <c r="Q127" s="907"/>
      <c r="R127" s="907"/>
      <c r="S127" s="907"/>
      <c r="T127" s="907"/>
      <c r="U127" s="907"/>
      <c r="V127" s="907"/>
      <c r="W127" s="907"/>
      <c r="X127" s="907"/>
      <c r="Y127" s="907"/>
      <c r="Z127" s="907"/>
      <c r="AA127" s="907"/>
      <c r="AB127" s="907"/>
      <c r="AC127" s="907"/>
      <c r="AD127" s="907"/>
      <c r="AE127" s="907"/>
      <c r="AF127" s="907"/>
      <c r="AG127" s="907"/>
      <c r="AH127" s="907"/>
      <c r="AI127" s="907"/>
      <c r="AJ127" s="907"/>
      <c r="AK127" s="907"/>
      <c r="AL127" s="907"/>
    </row>
    <row r="128" spans="1:38">
      <c r="A128" s="907"/>
      <c r="B128" s="907"/>
      <c r="C128" s="907"/>
      <c r="D128" s="907"/>
      <c r="E128" s="907"/>
      <c r="F128" s="907"/>
      <c r="G128" s="907"/>
      <c r="H128" s="907"/>
      <c r="I128" s="907"/>
      <c r="J128" s="907"/>
      <c r="K128" s="907"/>
      <c r="L128" s="907"/>
      <c r="M128" s="907"/>
      <c r="N128" s="907"/>
      <c r="O128" s="907"/>
      <c r="P128" s="907"/>
      <c r="Q128" s="907"/>
      <c r="R128" s="907"/>
      <c r="S128" s="907"/>
      <c r="T128" s="907"/>
      <c r="U128" s="907"/>
      <c r="V128" s="907"/>
      <c r="W128" s="907"/>
      <c r="X128" s="907"/>
      <c r="Y128" s="907"/>
      <c r="Z128" s="907"/>
      <c r="AA128" s="907"/>
      <c r="AB128" s="907"/>
      <c r="AC128" s="907"/>
      <c r="AD128" s="907"/>
      <c r="AE128" s="907"/>
      <c r="AF128" s="907"/>
      <c r="AG128" s="907"/>
      <c r="AH128" s="907"/>
      <c r="AI128" s="907"/>
      <c r="AJ128" s="907"/>
      <c r="AK128" s="907"/>
      <c r="AL128" s="907"/>
    </row>
    <row r="129" spans="1:38">
      <c r="A129" s="907"/>
      <c r="B129" s="907"/>
      <c r="C129" s="907"/>
      <c r="D129" s="907"/>
      <c r="E129" s="907"/>
      <c r="F129" s="907"/>
      <c r="G129" s="907"/>
      <c r="H129" s="907"/>
      <c r="I129" s="907"/>
      <c r="J129" s="907"/>
      <c r="K129" s="907"/>
      <c r="L129" s="907"/>
      <c r="M129" s="907"/>
      <c r="N129" s="907"/>
      <c r="O129" s="907"/>
      <c r="P129" s="907"/>
      <c r="Q129" s="907"/>
      <c r="R129" s="907"/>
      <c r="S129" s="907"/>
      <c r="T129" s="907"/>
      <c r="U129" s="907"/>
      <c r="V129" s="907"/>
      <c r="W129" s="907"/>
      <c r="X129" s="907"/>
      <c r="Y129" s="907"/>
      <c r="Z129" s="907"/>
      <c r="AA129" s="907"/>
      <c r="AB129" s="907"/>
      <c r="AC129" s="907"/>
      <c r="AD129" s="907"/>
      <c r="AE129" s="907"/>
      <c r="AF129" s="907"/>
      <c r="AG129" s="907"/>
      <c r="AH129" s="907"/>
      <c r="AI129" s="907"/>
      <c r="AJ129" s="907"/>
      <c r="AK129" s="907"/>
      <c r="AL129" s="907"/>
    </row>
    <row r="130" spans="1:38">
      <c r="A130" s="907"/>
      <c r="B130" s="907"/>
      <c r="C130" s="907"/>
      <c r="D130" s="907"/>
      <c r="E130" s="907"/>
      <c r="F130" s="907"/>
      <c r="G130" s="907"/>
      <c r="H130" s="907"/>
      <c r="I130" s="907"/>
      <c r="J130" s="907"/>
      <c r="K130" s="907"/>
      <c r="L130" s="907"/>
      <c r="M130" s="907"/>
      <c r="N130" s="907"/>
      <c r="O130" s="907"/>
      <c r="P130" s="907"/>
      <c r="Q130" s="907"/>
      <c r="R130" s="907"/>
      <c r="S130" s="907"/>
      <c r="T130" s="907"/>
      <c r="U130" s="907"/>
      <c r="V130" s="907"/>
      <c r="W130" s="907"/>
      <c r="X130" s="907"/>
      <c r="Y130" s="907"/>
      <c r="Z130" s="907"/>
      <c r="AA130" s="907"/>
      <c r="AB130" s="907"/>
      <c r="AC130" s="907"/>
      <c r="AD130" s="907"/>
      <c r="AE130" s="907"/>
      <c r="AF130" s="907"/>
      <c r="AG130" s="907"/>
      <c r="AH130" s="907"/>
      <c r="AI130" s="907"/>
      <c r="AJ130" s="907"/>
      <c r="AK130" s="907"/>
      <c r="AL130" s="907"/>
    </row>
    <row r="131" spans="1:38">
      <c r="A131" s="907"/>
      <c r="B131" s="907"/>
      <c r="C131" s="907"/>
      <c r="D131" s="907"/>
      <c r="E131" s="907"/>
      <c r="F131" s="907"/>
      <c r="G131" s="907"/>
      <c r="H131" s="907"/>
      <c r="I131" s="907"/>
      <c r="J131" s="907"/>
      <c r="K131" s="907"/>
      <c r="L131" s="907"/>
      <c r="M131" s="907"/>
      <c r="N131" s="907"/>
      <c r="O131" s="907"/>
      <c r="P131" s="907"/>
      <c r="Q131" s="907"/>
      <c r="R131" s="907"/>
      <c r="S131" s="907"/>
      <c r="T131" s="907"/>
      <c r="U131" s="907"/>
      <c r="V131" s="907"/>
      <c r="W131" s="907"/>
      <c r="X131" s="907"/>
      <c r="Y131" s="907"/>
      <c r="Z131" s="907"/>
      <c r="AA131" s="907"/>
      <c r="AB131" s="907"/>
      <c r="AC131" s="907"/>
      <c r="AD131" s="907"/>
      <c r="AE131" s="907"/>
      <c r="AF131" s="907"/>
      <c r="AG131" s="907"/>
      <c r="AH131" s="907"/>
      <c r="AI131" s="907"/>
      <c r="AJ131" s="907"/>
      <c r="AK131" s="907"/>
      <c r="AL131" s="907"/>
    </row>
    <row r="132" spans="1:38">
      <c r="A132" s="907"/>
      <c r="B132" s="907"/>
      <c r="C132" s="907"/>
      <c r="D132" s="907"/>
      <c r="E132" s="907"/>
      <c r="F132" s="907"/>
      <c r="G132" s="907"/>
      <c r="H132" s="907"/>
      <c r="I132" s="907"/>
      <c r="J132" s="907"/>
      <c r="K132" s="907"/>
      <c r="L132" s="907"/>
      <c r="M132" s="907"/>
      <c r="N132" s="907"/>
      <c r="O132" s="907"/>
      <c r="P132" s="907"/>
      <c r="Q132" s="907"/>
      <c r="R132" s="907"/>
      <c r="S132" s="907"/>
      <c r="T132" s="907"/>
      <c r="U132" s="907"/>
      <c r="V132" s="907"/>
      <c r="W132" s="907"/>
      <c r="X132" s="907"/>
      <c r="Y132" s="907"/>
      <c r="Z132" s="907"/>
      <c r="AA132" s="907"/>
      <c r="AB132" s="907"/>
      <c r="AC132" s="907"/>
      <c r="AD132" s="907"/>
      <c r="AE132" s="907"/>
      <c r="AF132" s="907"/>
      <c r="AG132" s="907"/>
      <c r="AH132" s="907"/>
      <c r="AI132" s="907"/>
      <c r="AJ132" s="907"/>
      <c r="AK132" s="907"/>
      <c r="AL132" s="907"/>
    </row>
    <row r="133" spans="1:38">
      <c r="A133" s="907"/>
      <c r="B133" s="907"/>
      <c r="C133" s="907"/>
      <c r="D133" s="907"/>
      <c r="E133" s="907"/>
      <c r="F133" s="907"/>
      <c r="G133" s="907"/>
      <c r="H133" s="907"/>
      <c r="I133" s="907"/>
      <c r="J133" s="907"/>
      <c r="K133" s="907"/>
      <c r="L133" s="907"/>
      <c r="M133" s="907"/>
      <c r="N133" s="907"/>
      <c r="O133" s="907"/>
      <c r="P133" s="907"/>
      <c r="Q133" s="907"/>
      <c r="R133" s="907"/>
      <c r="S133" s="907"/>
      <c r="T133" s="907"/>
      <c r="U133" s="907"/>
      <c r="V133" s="907"/>
      <c r="W133" s="907"/>
      <c r="X133" s="907"/>
      <c r="Y133" s="907"/>
      <c r="Z133" s="907"/>
      <c r="AA133" s="907"/>
      <c r="AB133" s="907"/>
      <c r="AC133" s="907"/>
      <c r="AD133" s="907"/>
      <c r="AE133" s="907"/>
      <c r="AF133" s="907"/>
      <c r="AG133" s="907"/>
      <c r="AH133" s="907"/>
      <c r="AI133" s="907"/>
      <c r="AJ133" s="907"/>
      <c r="AK133" s="907"/>
      <c r="AL133" s="907"/>
    </row>
    <row r="134" spans="1:38">
      <c r="A134" s="907"/>
      <c r="B134" s="907"/>
      <c r="C134" s="907"/>
      <c r="D134" s="907"/>
      <c r="E134" s="907"/>
      <c r="F134" s="907"/>
      <c r="G134" s="907"/>
      <c r="H134" s="907"/>
      <c r="I134" s="907"/>
      <c r="J134" s="907"/>
      <c r="K134" s="907"/>
      <c r="L134" s="907"/>
      <c r="M134" s="907"/>
      <c r="N134" s="907"/>
      <c r="O134" s="907"/>
      <c r="P134" s="907"/>
      <c r="Q134" s="907"/>
      <c r="R134" s="907"/>
      <c r="S134" s="907"/>
      <c r="T134" s="907"/>
      <c r="U134" s="907"/>
      <c r="V134" s="907"/>
      <c r="W134" s="907"/>
      <c r="X134" s="907"/>
      <c r="Y134" s="907"/>
      <c r="Z134" s="907"/>
      <c r="AA134" s="907"/>
      <c r="AB134" s="907"/>
      <c r="AC134" s="907"/>
      <c r="AD134" s="907"/>
      <c r="AE134" s="907"/>
      <c r="AF134" s="907"/>
      <c r="AG134" s="907"/>
      <c r="AH134" s="907"/>
      <c r="AI134" s="907"/>
      <c r="AJ134" s="907"/>
      <c r="AK134" s="907"/>
      <c r="AL134" s="907"/>
    </row>
    <row r="135" spans="1:38">
      <c r="A135" s="907"/>
      <c r="B135" s="907"/>
      <c r="C135" s="907"/>
      <c r="D135" s="907"/>
      <c r="E135" s="907"/>
      <c r="F135" s="907"/>
      <c r="G135" s="907"/>
      <c r="H135" s="907"/>
      <c r="I135" s="907"/>
      <c r="J135" s="907"/>
      <c r="K135" s="907"/>
      <c r="L135" s="907"/>
      <c r="M135" s="907"/>
      <c r="N135" s="907"/>
      <c r="O135" s="907"/>
      <c r="P135" s="907"/>
      <c r="Q135" s="907"/>
      <c r="R135" s="907"/>
      <c r="S135" s="907"/>
      <c r="T135" s="907"/>
      <c r="U135" s="907"/>
      <c r="V135" s="907"/>
      <c r="W135" s="907"/>
      <c r="X135" s="907"/>
      <c r="Y135" s="907"/>
      <c r="Z135" s="907"/>
      <c r="AA135" s="907"/>
      <c r="AB135" s="907"/>
      <c r="AC135" s="907"/>
      <c r="AD135" s="907"/>
      <c r="AE135" s="907"/>
      <c r="AF135" s="907"/>
      <c r="AG135" s="907"/>
      <c r="AH135" s="907"/>
      <c r="AI135" s="907"/>
      <c r="AJ135" s="907"/>
      <c r="AK135" s="907"/>
      <c r="AL135" s="907"/>
    </row>
    <row r="136" spans="1:38">
      <c r="A136" s="907"/>
      <c r="B136" s="907"/>
      <c r="C136" s="907"/>
      <c r="D136" s="907"/>
      <c r="E136" s="907"/>
      <c r="F136" s="907"/>
      <c r="G136" s="907"/>
      <c r="H136" s="907"/>
      <c r="I136" s="907"/>
      <c r="J136" s="907"/>
      <c r="K136" s="907"/>
      <c r="L136" s="907"/>
      <c r="M136" s="907"/>
      <c r="N136" s="907"/>
      <c r="O136" s="907"/>
      <c r="P136" s="907"/>
      <c r="Q136" s="907"/>
      <c r="R136" s="907"/>
      <c r="S136" s="907"/>
      <c r="T136" s="907"/>
      <c r="U136" s="907"/>
      <c r="V136" s="907"/>
      <c r="W136" s="907"/>
      <c r="X136" s="907"/>
      <c r="Y136" s="907"/>
      <c r="Z136" s="907"/>
      <c r="AA136" s="907"/>
      <c r="AB136" s="907"/>
      <c r="AC136" s="907"/>
      <c r="AD136" s="907"/>
      <c r="AE136" s="907"/>
      <c r="AF136" s="907"/>
      <c r="AG136" s="907"/>
      <c r="AH136" s="907"/>
      <c r="AI136" s="907"/>
      <c r="AJ136" s="907"/>
      <c r="AK136" s="907"/>
      <c r="AL136" s="907"/>
    </row>
    <row r="137" spans="1:38">
      <c r="A137" s="907"/>
      <c r="B137" s="907"/>
      <c r="C137" s="907"/>
      <c r="D137" s="907"/>
      <c r="E137" s="907"/>
      <c r="F137" s="907"/>
      <c r="G137" s="907"/>
      <c r="H137" s="907"/>
      <c r="I137" s="907"/>
      <c r="J137" s="907"/>
      <c r="K137" s="907"/>
      <c r="L137" s="907"/>
      <c r="M137" s="907"/>
      <c r="N137" s="907"/>
      <c r="O137" s="907"/>
      <c r="P137" s="907"/>
      <c r="Q137" s="907"/>
      <c r="R137" s="907"/>
      <c r="S137" s="907"/>
      <c r="T137" s="907"/>
      <c r="U137" s="907"/>
      <c r="V137" s="907"/>
      <c r="W137" s="907"/>
      <c r="X137" s="907"/>
      <c r="Y137" s="907"/>
      <c r="Z137" s="907"/>
      <c r="AA137" s="907"/>
      <c r="AB137" s="907"/>
      <c r="AC137" s="907"/>
      <c r="AD137" s="907"/>
      <c r="AE137" s="907"/>
      <c r="AF137" s="907"/>
      <c r="AG137" s="907"/>
      <c r="AH137" s="907"/>
      <c r="AI137" s="907"/>
      <c r="AJ137" s="907"/>
      <c r="AK137" s="907"/>
      <c r="AL137" s="907"/>
    </row>
    <row r="138" spans="1:38">
      <c r="A138" s="907"/>
      <c r="B138" s="907"/>
      <c r="C138" s="907"/>
      <c r="D138" s="907"/>
      <c r="E138" s="907"/>
      <c r="F138" s="907"/>
      <c r="G138" s="907"/>
      <c r="H138" s="907"/>
      <c r="I138" s="907"/>
      <c r="J138" s="907"/>
      <c r="K138" s="907"/>
      <c r="L138" s="907"/>
      <c r="M138" s="907"/>
      <c r="N138" s="907"/>
      <c r="O138" s="907"/>
      <c r="P138" s="907"/>
      <c r="Q138" s="907"/>
      <c r="R138" s="907"/>
      <c r="S138" s="907"/>
      <c r="T138" s="907"/>
      <c r="U138" s="907"/>
      <c r="V138" s="907"/>
      <c r="W138" s="907"/>
      <c r="X138" s="907"/>
      <c r="Y138" s="907"/>
      <c r="Z138" s="907"/>
      <c r="AA138" s="907"/>
      <c r="AB138" s="907"/>
      <c r="AC138" s="907"/>
      <c r="AD138" s="907"/>
      <c r="AE138" s="907"/>
      <c r="AF138" s="907"/>
      <c r="AG138" s="907"/>
      <c r="AH138" s="907"/>
      <c r="AI138" s="907"/>
      <c r="AJ138" s="907"/>
      <c r="AK138" s="907"/>
      <c r="AL138" s="907"/>
    </row>
    <row r="139" spans="1:38">
      <c r="A139" s="907"/>
      <c r="B139" s="907"/>
      <c r="C139" s="907"/>
      <c r="D139" s="907"/>
      <c r="E139" s="907"/>
      <c r="F139" s="907"/>
      <c r="G139" s="907"/>
      <c r="H139" s="907"/>
      <c r="I139" s="907"/>
      <c r="J139" s="907"/>
      <c r="K139" s="907"/>
      <c r="L139" s="907"/>
      <c r="M139" s="907"/>
      <c r="N139" s="907"/>
      <c r="O139" s="907"/>
      <c r="P139" s="907"/>
      <c r="Q139" s="907"/>
      <c r="R139" s="907"/>
      <c r="S139" s="907"/>
      <c r="T139" s="907"/>
      <c r="U139" s="907"/>
      <c r="V139" s="907"/>
      <c r="W139" s="907"/>
      <c r="X139" s="907"/>
      <c r="Y139" s="907"/>
      <c r="Z139" s="907"/>
      <c r="AA139" s="907"/>
      <c r="AB139" s="907"/>
      <c r="AC139" s="907"/>
      <c r="AD139" s="907"/>
      <c r="AE139" s="907"/>
      <c r="AF139" s="907"/>
      <c r="AG139" s="907"/>
      <c r="AH139" s="907"/>
      <c r="AI139" s="907"/>
      <c r="AJ139" s="907"/>
      <c r="AK139" s="907"/>
      <c r="AL139" s="907"/>
    </row>
    <row r="140" spans="1:38">
      <c r="A140" s="907"/>
      <c r="B140" s="907"/>
      <c r="C140" s="907"/>
      <c r="D140" s="907"/>
      <c r="E140" s="907"/>
      <c r="F140" s="907"/>
      <c r="G140" s="907"/>
      <c r="H140" s="907"/>
      <c r="I140" s="907"/>
      <c r="J140" s="907"/>
      <c r="K140" s="907"/>
      <c r="L140" s="907"/>
      <c r="M140" s="907"/>
      <c r="N140" s="907"/>
      <c r="O140" s="907"/>
      <c r="P140" s="907"/>
      <c r="Q140" s="907"/>
      <c r="R140" s="907"/>
      <c r="S140" s="907"/>
      <c r="T140" s="907"/>
      <c r="U140" s="907"/>
      <c r="V140" s="907"/>
      <c r="W140" s="907"/>
      <c r="X140" s="907"/>
      <c r="Y140" s="907"/>
      <c r="Z140" s="907"/>
      <c r="AA140" s="907"/>
      <c r="AB140" s="907"/>
      <c r="AC140" s="907"/>
      <c r="AD140" s="907"/>
      <c r="AE140" s="907"/>
      <c r="AF140" s="907"/>
      <c r="AG140" s="907"/>
      <c r="AH140" s="907"/>
      <c r="AI140" s="907"/>
      <c r="AJ140" s="907"/>
      <c r="AK140" s="907"/>
      <c r="AL140" s="907"/>
    </row>
    <row r="141" spans="1:38">
      <c r="A141" s="907"/>
      <c r="B141" s="907"/>
      <c r="C141" s="907"/>
      <c r="D141" s="907"/>
      <c r="E141" s="907"/>
      <c r="F141" s="907"/>
      <c r="G141" s="907"/>
      <c r="H141" s="907"/>
      <c r="I141" s="907"/>
      <c r="J141" s="907"/>
      <c r="K141" s="907"/>
      <c r="L141" s="907"/>
      <c r="M141" s="907"/>
      <c r="N141" s="907"/>
      <c r="O141" s="907"/>
      <c r="P141" s="907"/>
      <c r="Q141" s="907"/>
      <c r="R141" s="907"/>
      <c r="S141" s="907"/>
      <c r="T141" s="907"/>
      <c r="U141" s="907"/>
      <c r="V141" s="907"/>
      <c r="W141" s="907"/>
      <c r="X141" s="907"/>
      <c r="Y141" s="907"/>
      <c r="Z141" s="907"/>
      <c r="AA141" s="907"/>
      <c r="AB141" s="907"/>
      <c r="AC141" s="907"/>
      <c r="AD141" s="907"/>
      <c r="AE141" s="907"/>
      <c r="AF141" s="907"/>
      <c r="AG141" s="907"/>
      <c r="AH141" s="907"/>
      <c r="AI141" s="907"/>
      <c r="AJ141" s="907"/>
      <c r="AK141" s="907"/>
      <c r="AL141" s="907"/>
    </row>
    <row r="142" spans="1:38">
      <c r="A142" s="907"/>
      <c r="B142" s="907"/>
      <c r="C142" s="907"/>
      <c r="D142" s="907"/>
      <c r="E142" s="907"/>
      <c r="F142" s="907"/>
      <c r="G142" s="907"/>
      <c r="H142" s="907"/>
      <c r="I142" s="907"/>
      <c r="J142" s="907"/>
      <c r="K142" s="907"/>
      <c r="L142" s="907"/>
      <c r="M142" s="907"/>
      <c r="N142" s="907"/>
      <c r="O142" s="907"/>
      <c r="P142" s="907"/>
      <c r="Q142" s="907"/>
      <c r="R142" s="907"/>
      <c r="S142" s="907"/>
      <c r="T142" s="907"/>
      <c r="U142" s="907"/>
      <c r="V142" s="907"/>
      <c r="W142" s="907"/>
      <c r="X142" s="907"/>
      <c r="Y142" s="907"/>
      <c r="Z142" s="907"/>
      <c r="AA142" s="907"/>
      <c r="AB142" s="907"/>
      <c r="AC142" s="907"/>
      <c r="AD142" s="907"/>
      <c r="AE142" s="907"/>
      <c r="AF142" s="907"/>
      <c r="AG142" s="907"/>
      <c r="AH142" s="907"/>
      <c r="AI142" s="907"/>
      <c r="AJ142" s="907"/>
      <c r="AK142" s="907"/>
      <c r="AL142" s="907"/>
    </row>
    <row r="143" spans="1:38">
      <c r="A143" s="907"/>
      <c r="B143" s="907"/>
      <c r="C143" s="907"/>
      <c r="D143" s="907"/>
      <c r="E143" s="907"/>
      <c r="F143" s="907"/>
      <c r="G143" s="907"/>
      <c r="H143" s="907"/>
      <c r="I143" s="907"/>
      <c r="J143" s="907"/>
      <c r="K143" s="907"/>
      <c r="L143" s="907"/>
      <c r="M143" s="907"/>
      <c r="N143" s="907"/>
      <c r="O143" s="907"/>
      <c r="P143" s="907"/>
      <c r="Q143" s="907"/>
      <c r="R143" s="907"/>
      <c r="S143" s="907"/>
      <c r="T143" s="907"/>
      <c r="U143" s="907"/>
      <c r="V143" s="907"/>
      <c r="W143" s="907"/>
      <c r="X143" s="907"/>
      <c r="Y143" s="907"/>
      <c r="Z143" s="907"/>
      <c r="AA143" s="907"/>
      <c r="AB143" s="907"/>
      <c r="AC143" s="907"/>
      <c r="AD143" s="907"/>
      <c r="AE143" s="907"/>
      <c r="AF143" s="907"/>
      <c r="AG143" s="907"/>
      <c r="AH143" s="907"/>
      <c r="AI143" s="907"/>
      <c r="AJ143" s="907"/>
      <c r="AK143" s="907"/>
      <c r="AL143" s="907"/>
    </row>
    <row r="144" spans="1:38">
      <c r="A144" s="907"/>
      <c r="B144" s="907"/>
      <c r="C144" s="907"/>
      <c r="D144" s="907"/>
      <c r="E144" s="907"/>
      <c r="F144" s="907"/>
      <c r="G144" s="907"/>
      <c r="H144" s="907"/>
      <c r="I144" s="907"/>
      <c r="J144" s="907"/>
      <c r="K144" s="907"/>
      <c r="L144" s="907"/>
      <c r="M144" s="907"/>
      <c r="N144" s="907"/>
      <c r="O144" s="907"/>
      <c r="P144" s="907"/>
      <c r="Q144" s="907"/>
      <c r="R144" s="907"/>
      <c r="S144" s="907"/>
      <c r="T144" s="907"/>
      <c r="U144" s="907"/>
      <c r="V144" s="907"/>
      <c r="W144" s="907"/>
      <c r="X144" s="907"/>
      <c r="Y144" s="907"/>
      <c r="Z144" s="907"/>
      <c r="AA144" s="907"/>
      <c r="AB144" s="907"/>
      <c r="AC144" s="907"/>
      <c r="AD144" s="907"/>
      <c r="AE144" s="907"/>
      <c r="AF144" s="907"/>
      <c r="AG144" s="907"/>
      <c r="AH144" s="907"/>
      <c r="AI144" s="907"/>
      <c r="AJ144" s="907"/>
      <c r="AK144" s="907"/>
      <c r="AL144" s="907"/>
    </row>
    <row r="145" spans="1:38">
      <c r="A145" s="907"/>
      <c r="B145" s="907"/>
      <c r="C145" s="907"/>
      <c r="D145" s="907"/>
      <c r="E145" s="907"/>
      <c r="F145" s="907"/>
      <c r="G145" s="907"/>
      <c r="H145" s="907"/>
      <c r="I145" s="907"/>
      <c r="J145" s="907"/>
      <c r="K145" s="907"/>
      <c r="L145" s="907"/>
      <c r="M145" s="907"/>
      <c r="N145" s="907"/>
      <c r="O145" s="907"/>
      <c r="P145" s="907"/>
      <c r="Q145" s="907"/>
      <c r="R145" s="907"/>
      <c r="S145" s="907"/>
      <c r="T145" s="907"/>
      <c r="U145" s="907"/>
      <c r="V145" s="907"/>
      <c r="W145" s="907"/>
      <c r="X145" s="907"/>
      <c r="Y145" s="907"/>
      <c r="Z145" s="907"/>
      <c r="AA145" s="907"/>
      <c r="AB145" s="907"/>
      <c r="AC145" s="907"/>
      <c r="AD145" s="907"/>
      <c r="AE145" s="907"/>
      <c r="AF145" s="907"/>
      <c r="AG145" s="907"/>
      <c r="AH145" s="907"/>
      <c r="AI145" s="907"/>
      <c r="AJ145" s="907"/>
      <c r="AK145" s="907"/>
      <c r="AL145" s="907"/>
    </row>
    <row r="146" spans="1:38">
      <c r="A146" s="907"/>
      <c r="B146" s="907"/>
      <c r="C146" s="907"/>
      <c r="D146" s="907"/>
      <c r="E146" s="907"/>
      <c r="F146" s="907"/>
      <c r="G146" s="907"/>
      <c r="H146" s="907"/>
      <c r="I146" s="907"/>
      <c r="J146" s="907"/>
      <c r="K146" s="907"/>
      <c r="L146" s="907"/>
      <c r="M146" s="907"/>
      <c r="N146" s="907"/>
      <c r="O146" s="907"/>
      <c r="P146" s="907"/>
      <c r="Q146" s="907"/>
      <c r="R146" s="907"/>
      <c r="S146" s="907"/>
      <c r="T146" s="907"/>
      <c r="U146" s="907"/>
      <c r="V146" s="907"/>
      <c r="W146" s="907"/>
      <c r="X146" s="907"/>
      <c r="Y146" s="907"/>
      <c r="Z146" s="907"/>
      <c r="AA146" s="907"/>
      <c r="AB146" s="907"/>
      <c r="AC146" s="907"/>
      <c r="AD146" s="907"/>
      <c r="AE146" s="907"/>
      <c r="AF146" s="907"/>
      <c r="AG146" s="907"/>
      <c r="AH146" s="907"/>
      <c r="AI146" s="907"/>
      <c r="AJ146" s="907"/>
      <c r="AK146" s="907"/>
      <c r="AL146" s="907"/>
    </row>
    <row r="147" spans="1:38">
      <c r="A147" s="907"/>
      <c r="B147" s="907"/>
      <c r="C147" s="907"/>
      <c r="D147" s="907"/>
      <c r="E147" s="907"/>
      <c r="F147" s="907"/>
      <c r="G147" s="907"/>
      <c r="H147" s="907"/>
      <c r="I147" s="907"/>
      <c r="J147" s="907"/>
      <c r="K147" s="907"/>
      <c r="L147" s="907"/>
      <c r="M147" s="907"/>
      <c r="N147" s="907"/>
      <c r="O147" s="907"/>
      <c r="P147" s="907"/>
      <c r="Q147" s="907"/>
      <c r="R147" s="907"/>
      <c r="S147" s="907"/>
      <c r="T147" s="907"/>
      <c r="U147" s="907"/>
      <c r="V147" s="907"/>
      <c r="W147" s="907"/>
      <c r="X147" s="907"/>
      <c r="Y147" s="907"/>
      <c r="Z147" s="907"/>
      <c r="AA147" s="907"/>
      <c r="AB147" s="907"/>
      <c r="AC147" s="907"/>
      <c r="AD147" s="907"/>
      <c r="AE147" s="907"/>
      <c r="AF147" s="907"/>
      <c r="AG147" s="907"/>
      <c r="AH147" s="907"/>
      <c r="AI147" s="907"/>
      <c r="AJ147" s="907"/>
      <c r="AK147" s="907"/>
      <c r="AL147" s="907"/>
    </row>
    <row r="148" spans="1:38">
      <c r="A148" s="907"/>
      <c r="B148" s="907"/>
      <c r="C148" s="907"/>
      <c r="D148" s="907"/>
      <c r="E148" s="907"/>
      <c r="F148" s="907"/>
      <c r="G148" s="907"/>
      <c r="H148" s="907"/>
      <c r="I148" s="907"/>
      <c r="J148" s="907"/>
      <c r="K148" s="907"/>
      <c r="L148" s="907"/>
      <c r="M148" s="907"/>
      <c r="N148" s="907"/>
      <c r="O148" s="907"/>
      <c r="P148" s="907"/>
      <c r="Q148" s="907"/>
      <c r="R148" s="907"/>
      <c r="S148" s="907"/>
      <c r="T148" s="907"/>
      <c r="U148" s="907"/>
      <c r="V148" s="907"/>
      <c r="W148" s="907"/>
      <c r="X148" s="907"/>
      <c r="Y148" s="907"/>
      <c r="Z148" s="907"/>
      <c r="AA148" s="907"/>
      <c r="AB148" s="907"/>
      <c r="AC148" s="907"/>
      <c r="AD148" s="907"/>
      <c r="AE148" s="907"/>
      <c r="AF148" s="907"/>
      <c r="AG148" s="907"/>
      <c r="AH148" s="907"/>
      <c r="AI148" s="907"/>
      <c r="AJ148" s="907"/>
      <c r="AK148" s="907"/>
      <c r="AL148" s="907"/>
    </row>
    <row r="149" spans="1:38">
      <c r="A149" s="907"/>
      <c r="B149" s="907"/>
      <c r="C149" s="907"/>
      <c r="D149" s="907"/>
      <c r="E149" s="907"/>
      <c r="F149" s="907"/>
      <c r="G149" s="907"/>
      <c r="H149" s="907"/>
      <c r="I149" s="907"/>
      <c r="J149" s="907"/>
      <c r="K149" s="907"/>
      <c r="L149" s="907"/>
      <c r="M149" s="907"/>
      <c r="N149" s="907"/>
      <c r="O149" s="907"/>
      <c r="P149" s="907"/>
      <c r="Q149" s="907"/>
      <c r="R149" s="907"/>
      <c r="S149" s="907"/>
      <c r="T149" s="907"/>
      <c r="U149" s="907"/>
      <c r="V149" s="907"/>
      <c r="W149" s="907"/>
      <c r="X149" s="907"/>
      <c r="Y149" s="907"/>
      <c r="Z149" s="907"/>
      <c r="AA149" s="907"/>
      <c r="AB149" s="907"/>
      <c r="AC149" s="907"/>
      <c r="AD149" s="907"/>
      <c r="AE149" s="907"/>
      <c r="AF149" s="907"/>
      <c r="AG149" s="907"/>
      <c r="AH149" s="907"/>
      <c r="AI149" s="907"/>
      <c r="AJ149" s="907"/>
      <c r="AK149" s="907"/>
      <c r="AL149" s="907"/>
    </row>
    <row r="150" spans="1:38">
      <c r="A150" s="907"/>
      <c r="B150" s="907"/>
      <c r="C150" s="907"/>
      <c r="D150" s="907"/>
      <c r="E150" s="907"/>
      <c r="F150" s="907"/>
      <c r="G150" s="907"/>
      <c r="H150" s="907"/>
      <c r="I150" s="907"/>
      <c r="J150" s="907"/>
      <c r="K150" s="907"/>
      <c r="L150" s="907"/>
      <c r="M150" s="907"/>
      <c r="N150" s="907"/>
      <c r="O150" s="907"/>
      <c r="P150" s="907"/>
      <c r="Q150" s="907"/>
      <c r="R150" s="907"/>
      <c r="S150" s="907"/>
      <c r="T150" s="907"/>
      <c r="U150" s="907"/>
      <c r="V150" s="907"/>
      <c r="W150" s="907"/>
      <c r="X150" s="907"/>
      <c r="Y150" s="907"/>
      <c r="Z150" s="907"/>
      <c r="AA150" s="907"/>
      <c r="AB150" s="907"/>
      <c r="AC150" s="907"/>
      <c r="AD150" s="907"/>
      <c r="AE150" s="907"/>
      <c r="AF150" s="907"/>
      <c r="AG150" s="907"/>
      <c r="AH150" s="907"/>
      <c r="AI150" s="907"/>
      <c r="AJ150" s="907"/>
      <c r="AK150" s="907"/>
      <c r="AL150" s="907"/>
    </row>
    <row r="151" spans="1:38">
      <c r="A151" s="907"/>
      <c r="B151" s="907"/>
      <c r="C151" s="907"/>
      <c r="D151" s="907"/>
      <c r="E151" s="907"/>
      <c r="F151" s="907"/>
      <c r="G151" s="907"/>
      <c r="H151" s="907"/>
      <c r="I151" s="907"/>
      <c r="J151" s="907"/>
      <c r="K151" s="907"/>
      <c r="L151" s="907"/>
      <c r="M151" s="907"/>
      <c r="N151" s="907"/>
      <c r="O151" s="907"/>
      <c r="P151" s="907"/>
      <c r="Q151" s="907"/>
      <c r="R151" s="907"/>
      <c r="S151" s="907"/>
      <c r="T151" s="907"/>
      <c r="U151" s="907"/>
      <c r="V151" s="907"/>
      <c r="W151" s="907"/>
      <c r="X151" s="907"/>
      <c r="Y151" s="907"/>
      <c r="Z151" s="907"/>
      <c r="AA151" s="907"/>
      <c r="AB151" s="907"/>
      <c r="AC151" s="907"/>
      <c r="AD151" s="907"/>
      <c r="AE151" s="907"/>
      <c r="AF151" s="907"/>
      <c r="AG151" s="907"/>
      <c r="AH151" s="907"/>
      <c r="AI151" s="907"/>
      <c r="AJ151" s="907"/>
      <c r="AK151" s="907"/>
      <c r="AL151" s="907"/>
    </row>
    <row r="152" spans="1:38">
      <c r="A152" s="907"/>
      <c r="B152" s="907"/>
      <c r="C152" s="907"/>
      <c r="D152" s="907"/>
      <c r="E152" s="907"/>
      <c r="F152" s="907"/>
      <c r="G152" s="907"/>
      <c r="H152" s="907"/>
      <c r="I152" s="907"/>
      <c r="J152" s="907"/>
      <c r="K152" s="907"/>
      <c r="L152" s="907"/>
      <c r="M152" s="907"/>
      <c r="N152" s="907"/>
      <c r="O152" s="907"/>
      <c r="P152" s="907"/>
      <c r="Q152" s="907"/>
      <c r="R152" s="907"/>
      <c r="S152" s="907"/>
      <c r="T152" s="907"/>
      <c r="U152" s="907"/>
      <c r="V152" s="907"/>
      <c r="W152" s="907"/>
      <c r="X152" s="907"/>
      <c r="Y152" s="907"/>
      <c r="Z152" s="907"/>
      <c r="AA152" s="907"/>
      <c r="AB152" s="907"/>
      <c r="AC152" s="907"/>
      <c r="AD152" s="907"/>
      <c r="AE152" s="907"/>
      <c r="AF152" s="907"/>
      <c r="AG152" s="907"/>
      <c r="AH152" s="907"/>
      <c r="AI152" s="907"/>
      <c r="AJ152" s="907"/>
      <c r="AK152" s="907"/>
      <c r="AL152" s="907"/>
    </row>
    <row r="153" spans="1:38">
      <c r="A153" s="907"/>
      <c r="B153" s="907"/>
      <c r="C153" s="907"/>
      <c r="D153" s="907"/>
      <c r="E153" s="907"/>
      <c r="F153" s="907"/>
      <c r="G153" s="907"/>
      <c r="H153" s="907"/>
      <c r="I153" s="907"/>
      <c r="J153" s="907"/>
      <c r="K153" s="907"/>
      <c r="L153" s="907"/>
      <c r="M153" s="907"/>
      <c r="N153" s="907"/>
      <c r="O153" s="907"/>
      <c r="P153" s="907"/>
      <c r="Q153" s="907"/>
      <c r="R153" s="907"/>
      <c r="S153" s="907"/>
      <c r="T153" s="907"/>
      <c r="U153" s="907"/>
      <c r="V153" s="907"/>
      <c r="W153" s="907"/>
      <c r="X153" s="907"/>
      <c r="Y153" s="907"/>
      <c r="Z153" s="907"/>
      <c r="AA153" s="907"/>
      <c r="AB153" s="907"/>
      <c r="AC153" s="907"/>
      <c r="AD153" s="907"/>
      <c r="AE153" s="907"/>
      <c r="AF153" s="907"/>
      <c r="AG153" s="907"/>
      <c r="AH153" s="907"/>
      <c r="AI153" s="907"/>
      <c r="AJ153" s="907"/>
      <c r="AK153" s="907"/>
      <c r="AL153" s="907"/>
    </row>
    <row r="154" spans="1:38">
      <c r="A154" s="907"/>
      <c r="B154" s="907"/>
      <c r="C154" s="907"/>
      <c r="D154" s="907"/>
      <c r="E154" s="907"/>
      <c r="F154" s="907"/>
      <c r="G154" s="907"/>
      <c r="H154" s="907"/>
      <c r="I154" s="907"/>
      <c r="J154" s="907"/>
      <c r="K154" s="907"/>
      <c r="L154" s="907"/>
      <c r="M154" s="907"/>
      <c r="N154" s="907"/>
      <c r="O154" s="907"/>
      <c r="P154" s="907"/>
      <c r="Q154" s="907"/>
      <c r="R154" s="907"/>
      <c r="S154" s="907"/>
      <c r="T154" s="907"/>
      <c r="U154" s="907"/>
      <c r="V154" s="907"/>
      <c r="W154" s="907"/>
      <c r="X154" s="907"/>
      <c r="Y154" s="907"/>
      <c r="Z154" s="907"/>
      <c r="AA154" s="907"/>
      <c r="AB154" s="907"/>
      <c r="AC154" s="907"/>
      <c r="AD154" s="907"/>
      <c r="AE154" s="907"/>
      <c r="AF154" s="907"/>
      <c r="AG154" s="907"/>
      <c r="AH154" s="907"/>
      <c r="AI154" s="907"/>
      <c r="AJ154" s="907"/>
      <c r="AK154" s="907"/>
      <c r="AL154" s="907"/>
    </row>
    <row r="155" spans="1:38">
      <c r="A155" s="907"/>
      <c r="B155" s="907"/>
      <c r="C155" s="907"/>
      <c r="D155" s="907"/>
      <c r="E155" s="907"/>
      <c r="F155" s="907"/>
      <c r="G155" s="907"/>
      <c r="H155" s="907"/>
      <c r="I155" s="907"/>
      <c r="J155" s="907"/>
      <c r="K155" s="907"/>
      <c r="L155" s="907"/>
      <c r="M155" s="907"/>
      <c r="N155" s="907"/>
      <c r="O155" s="907"/>
      <c r="P155" s="907"/>
      <c r="Q155" s="907"/>
      <c r="R155" s="907"/>
      <c r="S155" s="907"/>
      <c r="T155" s="907"/>
      <c r="U155" s="907"/>
      <c r="V155" s="907"/>
      <c r="W155" s="907"/>
      <c r="X155" s="907"/>
      <c r="Y155" s="907"/>
      <c r="Z155" s="907"/>
      <c r="AA155" s="907"/>
      <c r="AB155" s="907"/>
      <c r="AC155" s="907"/>
      <c r="AD155" s="907"/>
      <c r="AE155" s="907"/>
      <c r="AF155" s="907"/>
      <c r="AG155" s="907"/>
      <c r="AH155" s="907"/>
      <c r="AI155" s="907"/>
      <c r="AJ155" s="907"/>
      <c r="AK155" s="907"/>
      <c r="AL155" s="907"/>
    </row>
    <row r="156" spans="1:38">
      <c r="A156" s="907"/>
      <c r="B156" s="907"/>
      <c r="C156" s="907"/>
      <c r="D156" s="907"/>
      <c r="E156" s="907"/>
      <c r="F156" s="907"/>
      <c r="G156" s="907"/>
      <c r="H156" s="907"/>
      <c r="I156" s="907"/>
      <c r="J156" s="907"/>
      <c r="K156" s="907"/>
      <c r="L156" s="907"/>
      <c r="M156" s="907"/>
      <c r="N156" s="907"/>
      <c r="O156" s="907"/>
      <c r="P156" s="907"/>
      <c r="Q156" s="907"/>
      <c r="R156" s="907"/>
      <c r="S156" s="907"/>
      <c r="T156" s="907"/>
      <c r="U156" s="907"/>
      <c r="V156" s="907"/>
      <c r="W156" s="907"/>
      <c r="X156" s="907"/>
      <c r="Y156" s="907"/>
      <c r="Z156" s="907"/>
      <c r="AA156" s="907"/>
      <c r="AB156" s="907"/>
      <c r="AC156" s="907"/>
      <c r="AD156" s="907"/>
      <c r="AE156" s="907"/>
      <c r="AF156" s="907"/>
      <c r="AG156" s="907"/>
      <c r="AH156" s="907"/>
      <c r="AI156" s="907"/>
      <c r="AJ156" s="907"/>
      <c r="AK156" s="907"/>
      <c r="AL156" s="907"/>
    </row>
    <row r="157" spans="1:38">
      <c r="A157" s="907"/>
      <c r="B157" s="907"/>
      <c r="C157" s="907"/>
      <c r="D157" s="907"/>
      <c r="E157" s="907"/>
      <c r="F157" s="907"/>
      <c r="G157" s="907"/>
      <c r="H157" s="907"/>
      <c r="I157" s="907"/>
      <c r="J157" s="907"/>
      <c r="K157" s="907"/>
      <c r="L157" s="907"/>
      <c r="M157" s="907"/>
      <c r="N157" s="907"/>
      <c r="O157" s="907"/>
      <c r="P157" s="907"/>
      <c r="Q157" s="907"/>
      <c r="R157" s="907"/>
      <c r="S157" s="907"/>
      <c r="T157" s="907"/>
      <c r="U157" s="907"/>
      <c r="V157" s="907"/>
      <c r="W157" s="907"/>
      <c r="X157" s="907"/>
      <c r="Y157" s="907"/>
      <c r="Z157" s="907"/>
      <c r="AA157" s="907"/>
      <c r="AB157" s="907"/>
      <c r="AC157" s="907"/>
      <c r="AD157" s="907"/>
      <c r="AE157" s="907"/>
      <c r="AF157" s="907"/>
      <c r="AG157" s="907"/>
      <c r="AH157" s="907"/>
      <c r="AI157" s="907"/>
      <c r="AJ157" s="907"/>
      <c r="AK157" s="907"/>
      <c r="AL157" s="907"/>
    </row>
    <row r="158" spans="1:38">
      <c r="A158" s="907"/>
      <c r="B158" s="907"/>
      <c r="C158" s="907"/>
      <c r="D158" s="907"/>
      <c r="E158" s="907"/>
      <c r="F158" s="907"/>
      <c r="G158" s="907"/>
      <c r="H158" s="907"/>
      <c r="I158" s="907"/>
      <c r="J158" s="907"/>
      <c r="K158" s="907"/>
      <c r="L158" s="907"/>
      <c r="M158" s="907"/>
      <c r="N158" s="907"/>
      <c r="O158" s="907"/>
      <c r="P158" s="907"/>
      <c r="Q158" s="907"/>
      <c r="R158" s="907"/>
      <c r="S158" s="907"/>
      <c r="T158" s="907"/>
      <c r="U158" s="907"/>
      <c r="V158" s="907"/>
      <c r="W158" s="907"/>
      <c r="X158" s="907"/>
      <c r="Y158" s="907"/>
      <c r="Z158" s="907"/>
      <c r="AA158" s="907"/>
      <c r="AB158" s="907"/>
      <c r="AC158" s="907"/>
      <c r="AD158" s="907"/>
      <c r="AE158" s="907"/>
      <c r="AF158" s="907"/>
      <c r="AG158" s="907"/>
      <c r="AH158" s="907"/>
      <c r="AI158" s="907"/>
      <c r="AJ158" s="907"/>
      <c r="AK158" s="907"/>
      <c r="AL158" s="907"/>
    </row>
    <row r="159" spans="1:38">
      <c r="A159" s="907"/>
      <c r="B159" s="907"/>
      <c r="C159" s="907"/>
      <c r="D159" s="907"/>
      <c r="E159" s="907"/>
      <c r="F159" s="907"/>
      <c r="G159" s="907"/>
      <c r="H159" s="907"/>
      <c r="I159" s="907"/>
      <c r="J159" s="907"/>
      <c r="K159" s="907"/>
      <c r="L159" s="907"/>
      <c r="M159" s="907"/>
      <c r="N159" s="907"/>
      <c r="O159" s="907"/>
      <c r="P159" s="907"/>
      <c r="Q159" s="907"/>
      <c r="R159" s="907"/>
      <c r="S159" s="907"/>
      <c r="T159" s="907"/>
      <c r="U159" s="907"/>
      <c r="V159" s="907"/>
      <c r="W159" s="907"/>
      <c r="X159" s="907"/>
      <c r="Y159" s="907"/>
      <c r="Z159" s="907"/>
      <c r="AA159" s="907"/>
      <c r="AB159" s="907"/>
      <c r="AC159" s="907"/>
      <c r="AD159" s="907"/>
      <c r="AE159" s="907"/>
      <c r="AF159" s="907"/>
      <c r="AG159" s="907"/>
      <c r="AH159" s="907"/>
      <c r="AI159" s="907"/>
      <c r="AJ159" s="907"/>
      <c r="AK159" s="907"/>
      <c r="AL159" s="907"/>
    </row>
    <row r="160" spans="1:38">
      <c r="A160" s="907"/>
      <c r="B160" s="907"/>
      <c r="C160" s="907"/>
      <c r="D160" s="907"/>
      <c r="E160" s="907"/>
      <c r="F160" s="907"/>
      <c r="G160" s="907"/>
      <c r="H160" s="907"/>
      <c r="I160" s="907"/>
      <c r="J160" s="907"/>
      <c r="K160" s="907"/>
      <c r="L160" s="907"/>
      <c r="M160" s="907"/>
      <c r="N160" s="907"/>
      <c r="O160" s="907"/>
      <c r="P160" s="907"/>
      <c r="Q160" s="907"/>
      <c r="R160" s="907"/>
      <c r="S160" s="907"/>
      <c r="T160" s="907"/>
      <c r="U160" s="907"/>
      <c r="V160" s="907"/>
      <c r="W160" s="907"/>
      <c r="X160" s="907"/>
      <c r="Y160" s="907"/>
      <c r="Z160" s="907"/>
      <c r="AA160" s="907"/>
      <c r="AB160" s="907"/>
      <c r="AC160" s="907"/>
      <c r="AD160" s="907"/>
      <c r="AE160" s="907"/>
      <c r="AF160" s="907"/>
      <c r="AG160" s="907"/>
      <c r="AH160" s="907"/>
      <c r="AI160" s="907"/>
      <c r="AJ160" s="907"/>
      <c r="AK160" s="907"/>
      <c r="AL160" s="907"/>
    </row>
    <row r="161" spans="1:38">
      <c r="A161" s="907"/>
      <c r="B161" s="907"/>
      <c r="C161" s="907"/>
      <c r="D161" s="907"/>
      <c r="E161" s="907"/>
      <c r="F161" s="907"/>
      <c r="G161" s="907"/>
      <c r="H161" s="907"/>
      <c r="I161" s="907"/>
      <c r="J161" s="907"/>
      <c r="K161" s="907"/>
      <c r="L161" s="907"/>
      <c r="M161" s="907"/>
      <c r="N161" s="907"/>
      <c r="O161" s="907"/>
      <c r="P161" s="907"/>
      <c r="Q161" s="907"/>
      <c r="R161" s="907"/>
      <c r="S161" s="907"/>
      <c r="T161" s="907"/>
      <c r="U161" s="907"/>
      <c r="V161" s="907"/>
      <c r="W161" s="907"/>
      <c r="X161" s="907"/>
      <c r="Y161" s="907"/>
      <c r="Z161" s="907"/>
      <c r="AA161" s="907"/>
      <c r="AB161" s="907"/>
      <c r="AC161" s="907"/>
      <c r="AD161" s="907"/>
      <c r="AE161" s="907"/>
      <c r="AF161" s="907"/>
      <c r="AG161" s="907"/>
      <c r="AH161" s="907"/>
      <c r="AI161" s="907"/>
      <c r="AJ161" s="907"/>
      <c r="AK161" s="907"/>
      <c r="AL161" s="907"/>
    </row>
    <row r="162" spans="1:38">
      <c r="A162" s="907"/>
      <c r="B162" s="907"/>
      <c r="C162" s="907"/>
      <c r="D162" s="907"/>
      <c r="E162" s="907"/>
      <c r="F162" s="907"/>
      <c r="G162" s="907"/>
      <c r="H162" s="907"/>
      <c r="I162" s="907"/>
      <c r="J162" s="907"/>
      <c r="K162" s="907"/>
      <c r="L162" s="907"/>
      <c r="M162" s="907"/>
      <c r="N162" s="907"/>
      <c r="O162" s="907"/>
      <c r="P162" s="907"/>
      <c r="Q162" s="907"/>
      <c r="R162" s="907"/>
      <c r="S162" s="907"/>
      <c r="T162" s="907"/>
      <c r="U162" s="907"/>
      <c r="V162" s="907"/>
      <c r="W162" s="907"/>
      <c r="X162" s="907"/>
      <c r="Y162" s="907"/>
      <c r="Z162" s="907"/>
      <c r="AA162" s="907"/>
      <c r="AB162" s="907"/>
      <c r="AC162" s="907"/>
      <c r="AD162" s="907"/>
      <c r="AE162" s="907"/>
      <c r="AF162" s="907"/>
      <c r="AG162" s="907"/>
      <c r="AH162" s="907"/>
      <c r="AI162" s="907"/>
      <c r="AJ162" s="907"/>
      <c r="AK162" s="907"/>
      <c r="AL162" s="907"/>
    </row>
    <row r="163" spans="1:38">
      <c r="A163" s="907"/>
      <c r="B163" s="907"/>
      <c r="C163" s="907"/>
      <c r="D163" s="907"/>
      <c r="E163" s="907"/>
      <c r="F163" s="907"/>
      <c r="G163" s="907"/>
      <c r="H163" s="907"/>
      <c r="I163" s="907"/>
      <c r="J163" s="907"/>
      <c r="K163" s="907"/>
      <c r="L163" s="907"/>
      <c r="M163" s="907"/>
      <c r="N163" s="907"/>
      <c r="O163" s="907"/>
      <c r="P163" s="907"/>
      <c r="Q163" s="907"/>
      <c r="R163" s="907"/>
      <c r="S163" s="907"/>
      <c r="T163" s="907"/>
      <c r="U163" s="907"/>
      <c r="V163" s="907"/>
      <c r="W163" s="907"/>
      <c r="X163" s="907"/>
      <c r="Y163" s="907"/>
      <c r="Z163" s="907"/>
      <c r="AA163" s="907"/>
      <c r="AB163" s="907"/>
      <c r="AC163" s="907"/>
      <c r="AD163" s="907"/>
      <c r="AE163" s="907"/>
      <c r="AF163" s="907"/>
      <c r="AG163" s="907"/>
      <c r="AH163" s="907"/>
      <c r="AI163" s="907"/>
      <c r="AJ163" s="907"/>
      <c r="AK163" s="907"/>
      <c r="AL163" s="907"/>
    </row>
    <row r="164" spans="1:38">
      <c r="A164" s="907"/>
      <c r="B164" s="907"/>
      <c r="C164" s="907"/>
      <c r="D164" s="907"/>
      <c r="E164" s="907"/>
      <c r="F164" s="907"/>
      <c r="G164" s="907"/>
      <c r="H164" s="907"/>
      <c r="I164" s="907"/>
      <c r="J164" s="907"/>
      <c r="K164" s="907"/>
      <c r="L164" s="907"/>
      <c r="M164" s="907"/>
      <c r="N164" s="907"/>
      <c r="O164" s="907"/>
      <c r="P164" s="907"/>
      <c r="Q164" s="907"/>
      <c r="R164" s="907"/>
      <c r="S164" s="907"/>
      <c r="T164" s="907"/>
      <c r="U164" s="907"/>
      <c r="V164" s="907"/>
      <c r="W164" s="907"/>
      <c r="X164" s="907"/>
      <c r="Y164" s="907"/>
      <c r="Z164" s="907"/>
      <c r="AA164" s="907"/>
      <c r="AB164" s="907"/>
      <c r="AC164" s="907"/>
      <c r="AD164" s="907"/>
      <c r="AE164" s="907"/>
      <c r="AF164" s="907"/>
      <c r="AG164" s="907"/>
      <c r="AH164" s="907"/>
      <c r="AI164" s="907"/>
      <c r="AJ164" s="907"/>
      <c r="AK164" s="907"/>
      <c r="AL164" s="907"/>
    </row>
    <row r="165" spans="1:38">
      <c r="A165" s="907"/>
      <c r="B165" s="907"/>
      <c r="C165" s="907"/>
      <c r="D165" s="907"/>
      <c r="E165" s="907"/>
      <c r="F165" s="907"/>
      <c r="G165" s="907"/>
      <c r="H165" s="907"/>
      <c r="I165" s="907"/>
      <c r="J165" s="907"/>
      <c r="K165" s="907"/>
      <c r="L165" s="907"/>
      <c r="M165" s="907"/>
      <c r="N165" s="907"/>
      <c r="O165" s="907"/>
      <c r="P165" s="907"/>
      <c r="Q165" s="907"/>
      <c r="R165" s="907"/>
      <c r="S165" s="907"/>
      <c r="T165" s="907"/>
      <c r="U165" s="907"/>
      <c r="V165" s="907"/>
      <c r="W165" s="907"/>
      <c r="X165" s="907"/>
      <c r="Y165" s="907"/>
      <c r="Z165" s="907"/>
      <c r="AA165" s="907"/>
      <c r="AB165" s="907"/>
      <c r="AC165" s="907"/>
      <c r="AD165" s="907"/>
      <c r="AE165" s="907"/>
      <c r="AF165" s="907"/>
      <c r="AG165" s="907"/>
      <c r="AH165" s="907"/>
      <c r="AI165" s="907"/>
      <c r="AJ165" s="907"/>
      <c r="AK165" s="907"/>
      <c r="AL165" s="907"/>
    </row>
    <row r="166" spans="1:38">
      <c r="A166" s="907"/>
      <c r="B166" s="907"/>
      <c r="C166" s="907"/>
      <c r="D166" s="907"/>
      <c r="E166" s="907"/>
      <c r="F166" s="907"/>
      <c r="G166" s="907"/>
      <c r="H166" s="907"/>
      <c r="I166" s="907"/>
      <c r="J166" s="907"/>
      <c r="K166" s="907"/>
      <c r="L166" s="907"/>
      <c r="M166" s="907"/>
      <c r="N166" s="907"/>
      <c r="O166" s="907"/>
      <c r="P166" s="907"/>
      <c r="Q166" s="907"/>
      <c r="R166" s="907"/>
      <c r="S166" s="907"/>
      <c r="T166" s="907"/>
      <c r="U166" s="907"/>
      <c r="V166" s="907"/>
      <c r="W166" s="907"/>
      <c r="X166" s="907"/>
      <c r="Y166" s="907"/>
      <c r="Z166" s="907"/>
      <c r="AA166" s="907"/>
      <c r="AB166" s="907"/>
      <c r="AC166" s="907"/>
      <c r="AD166" s="907"/>
      <c r="AE166" s="907"/>
      <c r="AF166" s="907"/>
      <c r="AG166" s="907"/>
      <c r="AH166" s="907"/>
      <c r="AI166" s="907"/>
      <c r="AJ166" s="907"/>
      <c r="AK166" s="907"/>
      <c r="AL166" s="907"/>
    </row>
    <row r="167" spans="1:38">
      <c r="A167" s="907"/>
      <c r="B167" s="907"/>
      <c r="C167" s="907"/>
      <c r="D167" s="907"/>
      <c r="E167" s="907"/>
      <c r="F167" s="907"/>
      <c r="G167" s="907"/>
      <c r="H167" s="907"/>
      <c r="I167" s="907"/>
      <c r="J167" s="907"/>
      <c r="K167" s="907"/>
      <c r="L167" s="907"/>
      <c r="M167" s="907"/>
      <c r="N167" s="907"/>
      <c r="O167" s="907"/>
      <c r="P167" s="907"/>
      <c r="Q167" s="907"/>
      <c r="R167" s="907"/>
      <c r="S167" s="907"/>
      <c r="T167" s="907"/>
      <c r="U167" s="907"/>
      <c r="V167" s="907"/>
      <c r="W167" s="907"/>
      <c r="X167" s="907"/>
      <c r="Y167" s="907"/>
      <c r="Z167" s="907"/>
      <c r="AA167" s="907"/>
      <c r="AB167" s="907"/>
      <c r="AC167" s="907"/>
      <c r="AD167" s="907"/>
      <c r="AE167" s="907"/>
      <c r="AF167" s="907"/>
      <c r="AG167" s="907"/>
      <c r="AH167" s="907"/>
      <c r="AI167" s="907"/>
      <c r="AJ167" s="907"/>
      <c r="AK167" s="907"/>
      <c r="AL167" s="907"/>
    </row>
    <row r="168" spans="1:38">
      <c r="A168" s="907"/>
      <c r="B168" s="907"/>
      <c r="C168" s="907"/>
      <c r="D168" s="907"/>
      <c r="E168" s="907"/>
      <c r="F168" s="907"/>
      <c r="G168" s="907"/>
      <c r="H168" s="907"/>
      <c r="I168" s="907"/>
      <c r="J168" s="907"/>
      <c r="K168" s="907"/>
      <c r="L168" s="907"/>
      <c r="M168" s="907"/>
      <c r="N168" s="907"/>
      <c r="O168" s="907"/>
      <c r="P168" s="907"/>
      <c r="Q168" s="907"/>
      <c r="R168" s="907"/>
      <c r="S168" s="907"/>
      <c r="T168" s="907"/>
      <c r="U168" s="907"/>
      <c r="V168" s="907"/>
      <c r="W168" s="907"/>
      <c r="X168" s="907"/>
      <c r="Y168" s="907"/>
      <c r="Z168" s="907"/>
      <c r="AA168" s="907"/>
      <c r="AB168" s="907"/>
      <c r="AC168" s="907"/>
      <c r="AD168" s="907"/>
      <c r="AE168" s="907"/>
      <c r="AF168" s="907"/>
      <c r="AG168" s="907"/>
      <c r="AH168" s="907"/>
      <c r="AI168" s="907"/>
      <c r="AJ168" s="907"/>
      <c r="AK168" s="907"/>
      <c r="AL168" s="907"/>
    </row>
    <row r="169" spans="1:38">
      <c r="A169" s="907"/>
      <c r="B169" s="907"/>
      <c r="C169" s="907"/>
      <c r="D169" s="907"/>
      <c r="E169" s="907"/>
      <c r="F169" s="907"/>
      <c r="G169" s="907"/>
      <c r="H169" s="907"/>
      <c r="I169" s="907"/>
      <c r="J169" s="907"/>
      <c r="K169" s="907"/>
      <c r="L169" s="907"/>
      <c r="M169" s="907"/>
      <c r="N169" s="907"/>
      <c r="O169" s="907"/>
      <c r="P169" s="907"/>
      <c r="Q169" s="907"/>
      <c r="R169" s="907"/>
      <c r="S169" s="907"/>
      <c r="T169" s="907"/>
      <c r="U169" s="907"/>
      <c r="V169" s="907"/>
      <c r="W169" s="907"/>
      <c r="X169" s="907"/>
      <c r="Y169" s="907"/>
      <c r="Z169" s="907"/>
      <c r="AA169" s="907"/>
      <c r="AB169" s="907"/>
      <c r="AC169" s="907"/>
      <c r="AD169" s="907"/>
      <c r="AE169" s="907"/>
      <c r="AF169" s="907"/>
      <c r="AG169" s="907"/>
      <c r="AH169" s="907"/>
      <c r="AI169" s="907"/>
      <c r="AJ169" s="907"/>
      <c r="AK169" s="907"/>
      <c r="AL169" s="907"/>
    </row>
    <row r="170" spans="1:38">
      <c r="A170" s="907"/>
      <c r="B170" s="907"/>
      <c r="C170" s="907"/>
      <c r="D170" s="907"/>
      <c r="E170" s="907"/>
      <c r="F170" s="907"/>
      <c r="G170" s="907"/>
      <c r="H170" s="907"/>
      <c r="I170" s="907"/>
      <c r="J170" s="907"/>
      <c r="K170" s="907"/>
      <c r="L170" s="907"/>
      <c r="M170" s="907"/>
      <c r="N170" s="907"/>
      <c r="O170" s="907"/>
      <c r="P170" s="907"/>
      <c r="Q170" s="907"/>
      <c r="R170" s="907"/>
      <c r="S170" s="907"/>
      <c r="T170" s="907"/>
      <c r="U170" s="907"/>
      <c r="V170" s="907"/>
      <c r="W170" s="907"/>
      <c r="X170" s="907"/>
      <c r="Y170" s="907"/>
      <c r="Z170" s="907"/>
      <c r="AA170" s="907"/>
      <c r="AB170" s="907"/>
      <c r="AC170" s="907"/>
      <c r="AD170" s="907"/>
      <c r="AE170" s="907"/>
      <c r="AF170" s="907"/>
      <c r="AG170" s="907"/>
      <c r="AH170" s="907"/>
      <c r="AI170" s="907"/>
      <c r="AJ170" s="907"/>
      <c r="AK170" s="907"/>
      <c r="AL170" s="907"/>
    </row>
    <row r="171" spans="1:38">
      <c r="A171" s="907"/>
      <c r="B171" s="907"/>
      <c r="C171" s="907"/>
      <c r="D171" s="907"/>
      <c r="E171" s="907"/>
      <c r="F171" s="907"/>
      <c r="G171" s="907"/>
      <c r="H171" s="907"/>
      <c r="I171" s="907"/>
      <c r="J171" s="907"/>
      <c r="K171" s="907"/>
      <c r="L171" s="907"/>
      <c r="M171" s="907"/>
      <c r="N171" s="907"/>
      <c r="O171" s="907"/>
      <c r="P171" s="907"/>
      <c r="Q171" s="907"/>
      <c r="R171" s="907"/>
      <c r="S171" s="907"/>
      <c r="T171" s="907"/>
      <c r="U171" s="907"/>
      <c r="V171" s="907"/>
      <c r="W171" s="907"/>
      <c r="X171" s="907"/>
      <c r="Y171" s="907"/>
      <c r="Z171" s="907"/>
      <c r="AA171" s="907"/>
      <c r="AB171" s="907"/>
      <c r="AC171" s="907"/>
      <c r="AD171" s="907"/>
      <c r="AE171" s="907"/>
      <c r="AF171" s="907"/>
      <c r="AG171" s="907"/>
      <c r="AH171" s="907"/>
      <c r="AI171" s="907"/>
      <c r="AJ171" s="907"/>
      <c r="AK171" s="907"/>
      <c r="AL171" s="907"/>
    </row>
    <row r="172" spans="1:38">
      <c r="A172" s="907"/>
      <c r="B172" s="907"/>
      <c r="C172" s="907"/>
      <c r="D172" s="907"/>
      <c r="E172" s="907"/>
      <c r="F172" s="907"/>
      <c r="G172" s="907"/>
      <c r="H172" s="907"/>
      <c r="I172" s="907"/>
      <c r="J172" s="907"/>
      <c r="K172" s="907"/>
      <c r="L172" s="907"/>
      <c r="M172" s="907"/>
      <c r="N172" s="907"/>
      <c r="O172" s="907"/>
      <c r="P172" s="907"/>
      <c r="Q172" s="907"/>
      <c r="R172" s="907"/>
      <c r="S172" s="907"/>
      <c r="T172" s="907"/>
      <c r="U172" s="907"/>
      <c r="V172" s="907"/>
      <c r="W172" s="907"/>
      <c r="X172" s="907"/>
      <c r="Y172" s="907"/>
      <c r="Z172" s="907"/>
      <c r="AA172" s="907"/>
      <c r="AB172" s="907"/>
      <c r="AC172" s="907"/>
      <c r="AD172" s="907"/>
      <c r="AE172" s="907"/>
      <c r="AF172" s="907"/>
      <c r="AG172" s="907"/>
      <c r="AH172" s="907"/>
      <c r="AI172" s="907"/>
      <c r="AJ172" s="907"/>
      <c r="AK172" s="907"/>
      <c r="AL172" s="907"/>
    </row>
    <row r="173" spans="1:38">
      <c r="A173" s="907"/>
      <c r="B173" s="907"/>
      <c r="C173" s="907"/>
      <c r="D173" s="907"/>
      <c r="E173" s="907"/>
      <c r="F173" s="907"/>
      <c r="G173" s="907"/>
      <c r="H173" s="907"/>
      <c r="I173" s="907"/>
      <c r="J173" s="907"/>
      <c r="K173" s="907"/>
      <c r="L173" s="907"/>
      <c r="M173" s="907"/>
      <c r="N173" s="907"/>
      <c r="O173" s="907"/>
      <c r="P173" s="907"/>
      <c r="Q173" s="907"/>
      <c r="R173" s="907"/>
      <c r="S173" s="907"/>
      <c r="T173" s="907"/>
      <c r="U173" s="907"/>
      <c r="V173" s="907"/>
      <c r="W173" s="907"/>
      <c r="X173" s="907"/>
      <c r="Y173" s="907"/>
      <c r="Z173" s="907"/>
      <c r="AA173" s="907"/>
      <c r="AB173" s="907"/>
      <c r="AC173" s="907"/>
      <c r="AD173" s="907"/>
      <c r="AE173" s="907"/>
      <c r="AF173" s="907"/>
      <c r="AG173" s="907"/>
      <c r="AH173" s="907"/>
      <c r="AI173" s="907"/>
      <c r="AJ173" s="907"/>
      <c r="AK173" s="907"/>
      <c r="AL173" s="907"/>
    </row>
    <row r="174" spans="1:38">
      <c r="A174" s="907"/>
      <c r="B174" s="907"/>
      <c r="C174" s="907"/>
      <c r="D174" s="907"/>
      <c r="E174" s="907"/>
      <c r="F174" s="907"/>
      <c r="G174" s="907"/>
      <c r="H174" s="907"/>
      <c r="I174" s="907"/>
      <c r="J174" s="907"/>
      <c r="K174" s="907"/>
      <c r="L174" s="907"/>
      <c r="M174" s="907"/>
      <c r="N174" s="907"/>
      <c r="O174" s="907"/>
      <c r="P174" s="907"/>
      <c r="Q174" s="907"/>
      <c r="R174" s="907"/>
      <c r="S174" s="907"/>
      <c r="T174" s="907"/>
      <c r="U174" s="907"/>
      <c r="V174" s="907"/>
      <c r="W174" s="907"/>
      <c r="X174" s="907"/>
      <c r="Y174" s="907"/>
      <c r="Z174" s="907"/>
      <c r="AA174" s="907"/>
      <c r="AB174" s="907"/>
      <c r="AC174" s="907"/>
      <c r="AD174" s="907"/>
      <c r="AE174" s="907"/>
      <c r="AF174" s="907"/>
      <c r="AG174" s="907"/>
      <c r="AH174" s="907"/>
      <c r="AI174" s="907"/>
      <c r="AJ174" s="907"/>
      <c r="AK174" s="907"/>
      <c r="AL174" s="907"/>
    </row>
    <row r="175" spans="1:38">
      <c r="A175" s="907"/>
      <c r="B175" s="907"/>
      <c r="C175" s="907"/>
      <c r="D175" s="907"/>
      <c r="E175" s="907"/>
      <c r="F175" s="907"/>
      <c r="G175" s="907"/>
      <c r="H175" s="907"/>
      <c r="I175" s="907"/>
      <c r="J175" s="907"/>
      <c r="K175" s="907"/>
      <c r="L175" s="907"/>
      <c r="M175" s="907"/>
      <c r="N175" s="907"/>
      <c r="O175" s="907"/>
      <c r="P175" s="907"/>
      <c r="Q175" s="907"/>
      <c r="R175" s="907"/>
      <c r="S175" s="907"/>
      <c r="T175" s="907"/>
      <c r="U175" s="907"/>
      <c r="V175" s="907"/>
      <c r="W175" s="907"/>
      <c r="X175" s="907"/>
      <c r="Y175" s="907"/>
      <c r="Z175" s="907"/>
      <c r="AA175" s="907"/>
      <c r="AB175" s="907"/>
      <c r="AC175" s="907"/>
      <c r="AD175" s="907"/>
      <c r="AE175" s="907"/>
      <c r="AF175" s="907"/>
      <c r="AG175" s="907"/>
      <c r="AH175" s="907"/>
      <c r="AI175" s="907"/>
      <c r="AJ175" s="907"/>
      <c r="AK175" s="907"/>
      <c r="AL175" s="907"/>
    </row>
    <row r="176" spans="1:38">
      <c r="A176" s="907"/>
      <c r="B176" s="907"/>
      <c r="C176" s="907"/>
      <c r="D176" s="907"/>
      <c r="E176" s="907"/>
      <c r="F176" s="907"/>
      <c r="G176" s="907"/>
      <c r="H176" s="907"/>
      <c r="I176" s="907"/>
      <c r="J176" s="907"/>
      <c r="K176" s="907"/>
      <c r="L176" s="907"/>
      <c r="M176" s="907"/>
      <c r="N176" s="907"/>
      <c r="O176" s="907"/>
      <c r="P176" s="907"/>
      <c r="Q176" s="907"/>
      <c r="R176" s="907"/>
      <c r="S176" s="907"/>
      <c r="T176" s="907"/>
      <c r="U176" s="907"/>
      <c r="V176" s="907"/>
      <c r="W176" s="907"/>
      <c r="X176" s="907"/>
      <c r="Y176" s="907"/>
      <c r="Z176" s="907"/>
      <c r="AA176" s="907"/>
      <c r="AB176" s="907"/>
      <c r="AC176" s="907"/>
      <c r="AD176" s="907"/>
      <c r="AE176" s="907"/>
      <c r="AF176" s="907"/>
      <c r="AG176" s="907"/>
      <c r="AH176" s="907"/>
      <c r="AI176" s="907"/>
      <c r="AJ176" s="907"/>
      <c r="AK176" s="907"/>
      <c r="AL176" s="907"/>
    </row>
    <row r="177" spans="1:38">
      <c r="A177" s="907"/>
      <c r="B177" s="907"/>
      <c r="C177" s="907"/>
      <c r="D177" s="907"/>
      <c r="E177" s="907"/>
      <c r="F177" s="907"/>
      <c r="G177" s="907"/>
      <c r="H177" s="907"/>
      <c r="I177" s="907"/>
      <c r="J177" s="907"/>
      <c r="K177" s="907"/>
      <c r="L177" s="907"/>
      <c r="M177" s="907"/>
      <c r="N177" s="907"/>
      <c r="O177" s="907"/>
      <c r="P177" s="907"/>
      <c r="Q177" s="907"/>
      <c r="R177" s="907"/>
      <c r="S177" s="907"/>
      <c r="T177" s="907"/>
      <c r="U177" s="907"/>
      <c r="V177" s="907"/>
      <c r="W177" s="907"/>
      <c r="X177" s="907"/>
      <c r="Y177" s="907"/>
      <c r="Z177" s="907"/>
      <c r="AA177" s="907"/>
      <c r="AB177" s="907"/>
      <c r="AC177" s="907"/>
      <c r="AD177" s="907"/>
      <c r="AE177" s="907"/>
      <c r="AF177" s="907"/>
      <c r="AG177" s="907"/>
      <c r="AH177" s="907"/>
      <c r="AI177" s="907"/>
      <c r="AJ177" s="907"/>
      <c r="AK177" s="907"/>
      <c r="AL177" s="907"/>
    </row>
    <row r="178" spans="1:38">
      <c r="A178" s="907"/>
      <c r="B178" s="907"/>
      <c r="C178" s="907"/>
      <c r="D178" s="907"/>
      <c r="E178" s="907"/>
      <c r="F178" s="907"/>
      <c r="G178" s="907"/>
      <c r="H178" s="907"/>
      <c r="I178" s="907"/>
      <c r="J178" s="907"/>
      <c r="K178" s="907"/>
      <c r="L178" s="907"/>
      <c r="M178" s="907"/>
      <c r="N178" s="907"/>
      <c r="O178" s="907"/>
      <c r="P178" s="907"/>
      <c r="Q178" s="907"/>
      <c r="R178" s="907"/>
      <c r="S178" s="907"/>
      <c r="T178" s="907"/>
      <c r="U178" s="907"/>
      <c r="V178" s="907"/>
      <c r="W178" s="907"/>
      <c r="X178" s="907"/>
      <c r="Y178" s="907"/>
      <c r="Z178" s="907"/>
      <c r="AA178" s="907"/>
      <c r="AB178" s="907"/>
      <c r="AC178" s="907"/>
      <c r="AD178" s="907"/>
      <c r="AE178" s="907"/>
      <c r="AF178" s="907"/>
      <c r="AG178" s="907"/>
      <c r="AH178" s="907"/>
      <c r="AI178" s="907"/>
      <c r="AJ178" s="907"/>
      <c r="AK178" s="907"/>
      <c r="AL178" s="907"/>
    </row>
    <row r="179" spans="1:38">
      <c r="A179" s="907"/>
      <c r="B179" s="907"/>
      <c r="C179" s="907"/>
      <c r="D179" s="907"/>
      <c r="E179" s="907"/>
      <c r="F179" s="907"/>
      <c r="G179" s="907"/>
      <c r="H179" s="907"/>
      <c r="I179" s="907"/>
      <c r="J179" s="907"/>
      <c r="K179" s="907"/>
      <c r="L179" s="907"/>
      <c r="M179" s="907"/>
      <c r="N179" s="907"/>
      <c r="O179" s="907"/>
      <c r="P179" s="907"/>
      <c r="Q179" s="907"/>
      <c r="R179" s="907"/>
      <c r="S179" s="907"/>
      <c r="T179" s="907"/>
      <c r="U179" s="907"/>
      <c r="V179" s="907"/>
      <c r="W179" s="907"/>
      <c r="X179" s="907"/>
      <c r="Y179" s="907"/>
      <c r="Z179" s="907"/>
      <c r="AA179" s="907"/>
      <c r="AB179" s="907"/>
      <c r="AC179" s="907"/>
      <c r="AD179" s="907"/>
      <c r="AE179" s="907"/>
      <c r="AF179" s="907"/>
      <c r="AG179" s="907"/>
      <c r="AH179" s="907"/>
      <c r="AI179" s="907"/>
      <c r="AJ179" s="907"/>
      <c r="AK179" s="907"/>
      <c r="AL179" s="907"/>
    </row>
    <row r="180" spans="1:38">
      <c r="A180" s="907"/>
      <c r="B180" s="907"/>
      <c r="C180" s="907"/>
      <c r="D180" s="907"/>
      <c r="E180" s="907"/>
      <c r="F180" s="907"/>
      <c r="G180" s="907"/>
      <c r="H180" s="907"/>
      <c r="I180" s="907"/>
      <c r="J180" s="907"/>
      <c r="K180" s="907"/>
      <c r="L180" s="907"/>
      <c r="M180" s="907"/>
      <c r="N180" s="907"/>
      <c r="O180" s="907"/>
      <c r="P180" s="907"/>
      <c r="Q180" s="907"/>
      <c r="R180" s="907"/>
      <c r="S180" s="907"/>
      <c r="T180" s="907"/>
      <c r="U180" s="907"/>
      <c r="V180" s="907"/>
      <c r="W180" s="907"/>
      <c r="X180" s="907"/>
      <c r="Y180" s="907"/>
      <c r="Z180" s="907"/>
      <c r="AA180" s="907"/>
      <c r="AB180" s="907"/>
      <c r="AC180" s="907"/>
      <c r="AD180" s="907"/>
      <c r="AE180" s="907"/>
      <c r="AF180" s="907"/>
      <c r="AG180" s="907"/>
      <c r="AH180" s="907"/>
      <c r="AI180" s="907"/>
      <c r="AJ180" s="907"/>
      <c r="AK180" s="907"/>
      <c r="AL180" s="907"/>
    </row>
    <row r="181" spans="1:38">
      <c r="A181" s="907"/>
      <c r="B181" s="907"/>
      <c r="C181" s="907"/>
      <c r="D181" s="907"/>
      <c r="E181" s="907"/>
      <c r="F181" s="907"/>
      <c r="G181" s="907"/>
      <c r="H181" s="907"/>
      <c r="I181" s="907"/>
      <c r="J181" s="907"/>
      <c r="K181" s="907"/>
      <c r="L181" s="907"/>
      <c r="M181" s="907"/>
      <c r="N181" s="907"/>
      <c r="O181" s="907"/>
      <c r="P181" s="907"/>
      <c r="Q181" s="907"/>
      <c r="R181" s="907"/>
      <c r="S181" s="907"/>
      <c r="T181" s="907"/>
      <c r="U181" s="907"/>
      <c r="V181" s="907"/>
      <c r="W181" s="907"/>
      <c r="X181" s="907"/>
      <c r="Y181" s="907"/>
      <c r="Z181" s="907"/>
      <c r="AA181" s="907"/>
      <c r="AB181" s="907"/>
      <c r="AC181" s="907"/>
      <c r="AD181" s="907"/>
      <c r="AE181" s="907"/>
      <c r="AF181" s="907"/>
      <c r="AG181" s="907"/>
      <c r="AH181" s="907"/>
      <c r="AI181" s="907"/>
      <c r="AJ181" s="907"/>
      <c r="AK181" s="907"/>
      <c r="AL181" s="907"/>
    </row>
    <row r="182" spans="1:38">
      <c r="A182" s="907"/>
      <c r="B182" s="907"/>
      <c r="C182" s="907"/>
      <c r="D182" s="907"/>
      <c r="E182" s="907"/>
      <c r="F182" s="907"/>
      <c r="G182" s="907"/>
      <c r="H182" s="907"/>
      <c r="I182" s="907"/>
      <c r="J182" s="907"/>
      <c r="K182" s="907"/>
      <c r="L182" s="907"/>
      <c r="M182" s="907"/>
      <c r="N182" s="907"/>
      <c r="O182" s="907"/>
      <c r="P182" s="907"/>
      <c r="Q182" s="907"/>
      <c r="R182" s="907"/>
      <c r="S182" s="907"/>
      <c r="T182" s="907"/>
      <c r="U182" s="907"/>
      <c r="V182" s="907"/>
      <c r="W182" s="907"/>
      <c r="X182" s="907"/>
      <c r="Y182" s="907"/>
      <c r="Z182" s="907"/>
      <c r="AA182" s="907"/>
      <c r="AB182" s="907"/>
      <c r="AC182" s="907"/>
      <c r="AD182" s="907"/>
      <c r="AE182" s="907"/>
      <c r="AF182" s="907"/>
      <c r="AG182" s="907"/>
      <c r="AH182" s="907"/>
      <c r="AI182" s="907"/>
      <c r="AJ182" s="907"/>
      <c r="AK182" s="907"/>
      <c r="AL182" s="907"/>
    </row>
    <row r="183" spans="1:38">
      <c r="A183" s="907"/>
      <c r="B183" s="907"/>
      <c r="C183" s="907"/>
      <c r="D183" s="907"/>
      <c r="E183" s="907"/>
      <c r="F183" s="907"/>
      <c r="G183" s="907"/>
      <c r="H183" s="907"/>
      <c r="I183" s="907"/>
      <c r="J183" s="907"/>
      <c r="K183" s="907"/>
      <c r="L183" s="907"/>
      <c r="M183" s="907"/>
      <c r="N183" s="907"/>
      <c r="O183" s="907"/>
      <c r="P183" s="907"/>
      <c r="Q183" s="907"/>
      <c r="R183" s="907"/>
      <c r="S183" s="907"/>
      <c r="T183" s="907"/>
      <c r="U183" s="907"/>
      <c r="V183" s="907"/>
      <c r="W183" s="907"/>
      <c r="X183" s="907"/>
      <c r="Y183" s="907"/>
      <c r="Z183" s="907"/>
      <c r="AA183" s="907"/>
      <c r="AB183" s="907"/>
      <c r="AC183" s="907"/>
      <c r="AD183" s="907"/>
      <c r="AE183" s="907"/>
      <c r="AF183" s="907"/>
      <c r="AG183" s="907"/>
      <c r="AH183" s="907"/>
      <c r="AI183" s="907"/>
      <c r="AJ183" s="907"/>
      <c r="AK183" s="907"/>
      <c r="AL183" s="907"/>
    </row>
    <row r="184" spans="1:38">
      <c r="A184" s="907"/>
      <c r="B184" s="907"/>
      <c r="C184" s="907"/>
      <c r="D184" s="907"/>
      <c r="E184" s="907"/>
      <c r="F184" s="907"/>
      <c r="G184" s="907"/>
      <c r="H184" s="907"/>
      <c r="I184" s="907"/>
      <c r="J184" s="907"/>
      <c r="K184" s="907"/>
      <c r="L184" s="907"/>
      <c r="M184" s="907"/>
      <c r="N184" s="907"/>
      <c r="O184" s="907"/>
      <c r="P184" s="907"/>
      <c r="Q184" s="907"/>
      <c r="R184" s="907"/>
      <c r="S184" s="907"/>
      <c r="T184" s="907"/>
      <c r="U184" s="907"/>
      <c r="V184" s="907"/>
      <c r="W184" s="907"/>
      <c r="X184" s="907"/>
      <c r="Y184" s="907"/>
      <c r="Z184" s="907"/>
      <c r="AA184" s="907"/>
      <c r="AB184" s="907"/>
      <c r="AC184" s="907"/>
      <c r="AD184" s="907"/>
      <c r="AE184" s="907"/>
      <c r="AF184" s="907"/>
      <c r="AG184" s="907"/>
      <c r="AH184" s="907"/>
      <c r="AI184" s="907"/>
      <c r="AJ184" s="907"/>
      <c r="AK184" s="907"/>
      <c r="AL184" s="907"/>
    </row>
    <row r="185" spans="1:38">
      <c r="A185" s="907"/>
      <c r="B185" s="907"/>
      <c r="C185" s="907"/>
      <c r="D185" s="907"/>
      <c r="E185" s="907"/>
      <c r="F185" s="907"/>
      <c r="G185" s="907"/>
      <c r="H185" s="907"/>
      <c r="I185" s="907"/>
      <c r="J185" s="907"/>
      <c r="K185" s="907"/>
      <c r="L185" s="907"/>
      <c r="M185" s="907"/>
      <c r="N185" s="907"/>
      <c r="O185" s="907"/>
      <c r="P185" s="907"/>
      <c r="Q185" s="907"/>
      <c r="R185" s="907"/>
      <c r="S185" s="907"/>
      <c r="T185" s="907"/>
      <c r="U185" s="907"/>
      <c r="V185" s="907"/>
      <c r="W185" s="907"/>
      <c r="X185" s="907"/>
      <c r="Y185" s="907"/>
      <c r="Z185" s="907"/>
      <c r="AA185" s="907"/>
      <c r="AB185" s="907"/>
      <c r="AC185" s="907"/>
      <c r="AD185" s="907"/>
      <c r="AE185" s="907"/>
      <c r="AF185" s="907"/>
      <c r="AG185" s="907"/>
      <c r="AH185" s="907"/>
      <c r="AI185" s="907"/>
      <c r="AJ185" s="907"/>
      <c r="AK185" s="907"/>
      <c r="AL185" s="907"/>
    </row>
    <row r="186" spans="1:38">
      <c r="A186" s="907"/>
      <c r="B186" s="907"/>
      <c r="C186" s="907"/>
      <c r="D186" s="907"/>
      <c r="E186" s="907"/>
      <c r="F186" s="907"/>
      <c r="G186" s="907"/>
      <c r="H186" s="907"/>
      <c r="I186" s="907"/>
      <c r="J186" s="907"/>
      <c r="K186" s="907"/>
      <c r="L186" s="907"/>
      <c r="M186" s="907"/>
      <c r="N186" s="907"/>
      <c r="O186" s="907"/>
      <c r="P186" s="907"/>
      <c r="Q186" s="907"/>
      <c r="R186" s="907"/>
      <c r="S186" s="907"/>
      <c r="T186" s="907"/>
      <c r="U186" s="907"/>
      <c r="V186" s="907"/>
      <c r="W186" s="907"/>
      <c r="X186" s="907"/>
      <c r="Y186" s="907"/>
      <c r="Z186" s="907"/>
      <c r="AA186" s="907"/>
      <c r="AB186" s="907"/>
      <c r="AC186" s="907"/>
      <c r="AD186" s="907"/>
      <c r="AE186" s="907"/>
      <c r="AF186" s="907"/>
      <c r="AG186" s="907"/>
      <c r="AH186" s="907"/>
      <c r="AI186" s="907"/>
      <c r="AJ186" s="907"/>
      <c r="AK186" s="907"/>
      <c r="AL186" s="907"/>
    </row>
    <row r="187" spans="1:38">
      <c r="A187" s="907"/>
      <c r="B187" s="907"/>
      <c r="C187" s="907"/>
      <c r="D187" s="907"/>
      <c r="E187" s="907"/>
      <c r="F187" s="907"/>
      <c r="G187" s="907"/>
      <c r="H187" s="907"/>
      <c r="I187" s="907"/>
      <c r="J187" s="907"/>
      <c r="K187" s="907"/>
      <c r="L187" s="907"/>
      <c r="M187" s="907"/>
      <c r="N187" s="907"/>
      <c r="O187" s="907"/>
      <c r="P187" s="907"/>
      <c r="Q187" s="907"/>
      <c r="R187" s="907"/>
      <c r="S187" s="907"/>
      <c r="T187" s="907"/>
      <c r="U187" s="907"/>
      <c r="V187" s="907"/>
      <c r="W187" s="907"/>
      <c r="X187" s="907"/>
      <c r="Y187" s="907"/>
      <c r="Z187" s="907"/>
      <c r="AA187" s="907"/>
      <c r="AB187" s="907"/>
      <c r="AC187" s="907"/>
      <c r="AD187" s="907"/>
      <c r="AE187" s="907"/>
      <c r="AF187" s="907"/>
      <c r="AG187" s="907"/>
      <c r="AH187" s="907"/>
      <c r="AI187" s="907"/>
      <c r="AJ187" s="907"/>
      <c r="AK187" s="907"/>
      <c r="AL187" s="907"/>
    </row>
    <row r="188" spans="1:38">
      <c r="A188" s="907"/>
      <c r="B188" s="907"/>
      <c r="C188" s="907"/>
      <c r="D188" s="907"/>
      <c r="E188" s="907"/>
      <c r="F188" s="907"/>
      <c r="G188" s="907"/>
      <c r="H188" s="907"/>
      <c r="I188" s="907"/>
      <c r="J188" s="907"/>
      <c r="K188" s="907"/>
      <c r="L188" s="907"/>
      <c r="M188" s="907"/>
      <c r="N188" s="907"/>
      <c r="O188" s="907"/>
      <c r="P188" s="907"/>
      <c r="Q188" s="907"/>
      <c r="R188" s="907"/>
      <c r="S188" s="907"/>
      <c r="T188" s="907"/>
      <c r="U188" s="907"/>
      <c r="V188" s="907"/>
      <c r="W188" s="907"/>
      <c r="X188" s="907"/>
      <c r="Y188" s="907"/>
      <c r="Z188" s="907"/>
      <c r="AA188" s="907"/>
      <c r="AB188" s="907"/>
      <c r="AC188" s="907"/>
      <c r="AD188" s="907"/>
      <c r="AE188" s="907"/>
      <c r="AF188" s="907"/>
      <c r="AG188" s="907"/>
      <c r="AH188" s="907"/>
      <c r="AI188" s="907"/>
      <c r="AJ188" s="907"/>
      <c r="AK188" s="907"/>
      <c r="AL188" s="907"/>
    </row>
    <row r="189" spans="1:38">
      <c r="A189" s="907"/>
      <c r="B189" s="907"/>
      <c r="C189" s="907"/>
      <c r="D189" s="907"/>
      <c r="E189" s="907"/>
      <c r="F189" s="907"/>
      <c r="G189" s="907"/>
      <c r="H189" s="907"/>
      <c r="I189" s="907"/>
      <c r="J189" s="907"/>
      <c r="K189" s="907"/>
      <c r="L189" s="907"/>
      <c r="M189" s="907"/>
      <c r="N189" s="907"/>
      <c r="O189" s="907"/>
      <c r="P189" s="907"/>
      <c r="Q189" s="907"/>
      <c r="R189" s="907"/>
      <c r="S189" s="907"/>
      <c r="T189" s="907"/>
      <c r="U189" s="907"/>
      <c r="V189" s="907"/>
      <c r="W189" s="907"/>
      <c r="X189" s="907"/>
      <c r="Y189" s="907"/>
      <c r="Z189" s="907"/>
      <c r="AA189" s="907"/>
      <c r="AB189" s="907"/>
      <c r="AC189" s="907"/>
      <c r="AD189" s="907"/>
      <c r="AE189" s="907"/>
      <c r="AF189" s="907"/>
      <c r="AG189" s="907"/>
      <c r="AH189" s="907"/>
      <c r="AI189" s="907"/>
      <c r="AJ189" s="907"/>
      <c r="AK189" s="907"/>
      <c r="AL189" s="907"/>
    </row>
    <row r="190" spans="1:38">
      <c r="A190" s="907"/>
      <c r="B190" s="907"/>
      <c r="C190" s="907"/>
      <c r="D190" s="907"/>
      <c r="E190" s="907"/>
      <c r="F190" s="907"/>
      <c r="G190" s="907"/>
      <c r="H190" s="907"/>
      <c r="I190" s="907"/>
      <c r="J190" s="907"/>
      <c r="K190" s="907"/>
      <c r="L190" s="907"/>
      <c r="M190" s="907"/>
      <c r="N190" s="907"/>
      <c r="O190" s="907"/>
      <c r="P190" s="907"/>
      <c r="Q190" s="907"/>
      <c r="R190" s="907"/>
      <c r="S190" s="907"/>
      <c r="T190" s="907"/>
      <c r="U190" s="907"/>
      <c r="V190" s="907"/>
      <c r="W190" s="907"/>
      <c r="X190" s="907"/>
      <c r="Y190" s="907"/>
      <c r="Z190" s="907"/>
      <c r="AA190" s="907"/>
      <c r="AB190" s="907"/>
      <c r="AC190" s="907"/>
      <c r="AD190" s="907"/>
      <c r="AE190" s="907"/>
      <c r="AF190" s="907"/>
      <c r="AG190" s="907"/>
      <c r="AH190" s="907"/>
      <c r="AI190" s="907"/>
      <c r="AJ190" s="907"/>
      <c r="AK190" s="907"/>
      <c r="AL190" s="907"/>
    </row>
    <row r="191" spans="1:38">
      <c r="A191" s="907"/>
      <c r="B191" s="907"/>
      <c r="C191" s="907"/>
      <c r="D191" s="907"/>
      <c r="E191" s="907"/>
      <c r="F191" s="907"/>
      <c r="G191" s="907"/>
      <c r="H191" s="907"/>
      <c r="I191" s="907"/>
      <c r="J191" s="907"/>
      <c r="K191" s="907"/>
      <c r="L191" s="907"/>
      <c r="M191" s="907"/>
      <c r="N191" s="907"/>
      <c r="O191" s="907"/>
      <c r="P191" s="907"/>
      <c r="Q191" s="907"/>
      <c r="R191" s="907"/>
      <c r="S191" s="907"/>
      <c r="T191" s="907"/>
      <c r="U191" s="907"/>
      <c r="V191" s="907"/>
      <c r="W191" s="907"/>
      <c r="X191" s="907"/>
      <c r="Y191" s="907"/>
      <c r="Z191" s="907"/>
      <c r="AA191" s="907"/>
      <c r="AB191" s="907"/>
      <c r="AC191" s="907"/>
      <c r="AD191" s="907"/>
      <c r="AE191" s="907"/>
      <c r="AF191" s="907"/>
      <c r="AG191" s="907"/>
      <c r="AH191" s="907"/>
      <c r="AI191" s="907"/>
      <c r="AJ191" s="907"/>
      <c r="AK191" s="907"/>
      <c r="AL191" s="907"/>
    </row>
    <row r="192" spans="1:38">
      <c r="A192" s="907"/>
      <c r="B192" s="907"/>
      <c r="C192" s="907"/>
      <c r="D192" s="907"/>
      <c r="E192" s="907"/>
      <c r="F192" s="907"/>
      <c r="G192" s="907"/>
      <c r="H192" s="907"/>
      <c r="I192" s="907"/>
      <c r="J192" s="907"/>
      <c r="K192" s="907"/>
      <c r="L192" s="907"/>
      <c r="M192" s="907"/>
      <c r="N192" s="907"/>
      <c r="O192" s="907"/>
      <c r="P192" s="907"/>
      <c r="Q192" s="907"/>
      <c r="R192" s="907"/>
      <c r="S192" s="907"/>
      <c r="T192" s="907"/>
      <c r="U192" s="907"/>
      <c r="V192" s="907"/>
      <c r="W192" s="907"/>
      <c r="X192" s="907"/>
      <c r="Y192" s="907"/>
      <c r="Z192" s="907"/>
      <c r="AA192" s="907"/>
      <c r="AB192" s="907"/>
      <c r="AC192" s="907"/>
      <c r="AD192" s="907"/>
      <c r="AE192" s="907"/>
      <c r="AF192" s="907"/>
      <c r="AG192" s="907"/>
      <c r="AH192" s="907"/>
      <c r="AI192" s="907"/>
      <c r="AJ192" s="907"/>
      <c r="AK192" s="907"/>
      <c r="AL192" s="907"/>
    </row>
    <row r="193" spans="1:38">
      <c r="A193" s="907"/>
      <c r="B193" s="907"/>
      <c r="C193" s="907"/>
      <c r="D193" s="907"/>
      <c r="E193" s="907"/>
      <c r="F193" s="907"/>
      <c r="G193" s="907"/>
      <c r="H193" s="907"/>
      <c r="I193" s="907"/>
      <c r="J193" s="907"/>
      <c r="K193" s="907"/>
      <c r="L193" s="907"/>
      <c r="M193" s="907"/>
      <c r="N193" s="907"/>
      <c r="O193" s="907"/>
      <c r="P193" s="907"/>
      <c r="Q193" s="907"/>
      <c r="R193" s="907"/>
      <c r="S193" s="907"/>
      <c r="T193" s="907"/>
      <c r="U193" s="907"/>
      <c r="V193" s="907"/>
      <c r="W193" s="907"/>
      <c r="X193" s="907"/>
      <c r="Y193" s="907"/>
      <c r="Z193" s="907"/>
      <c r="AA193" s="907"/>
      <c r="AB193" s="907"/>
      <c r="AC193" s="907"/>
      <c r="AD193" s="907"/>
      <c r="AE193" s="907"/>
      <c r="AF193" s="907"/>
      <c r="AG193" s="907"/>
      <c r="AH193" s="907"/>
      <c r="AI193" s="907"/>
      <c r="AJ193" s="907"/>
      <c r="AK193" s="907"/>
      <c r="AL193" s="907"/>
    </row>
    <row r="194" spans="1:38">
      <c r="A194" s="907"/>
      <c r="B194" s="907"/>
      <c r="C194" s="907"/>
      <c r="D194" s="907"/>
      <c r="E194" s="907"/>
      <c r="F194" s="907"/>
      <c r="G194" s="907"/>
      <c r="H194" s="907"/>
      <c r="I194" s="907"/>
      <c r="J194" s="907"/>
      <c r="K194" s="907"/>
      <c r="L194" s="907"/>
      <c r="M194" s="907"/>
      <c r="N194" s="907"/>
      <c r="O194" s="907"/>
      <c r="P194" s="907"/>
      <c r="Q194" s="907"/>
      <c r="R194" s="907"/>
      <c r="S194" s="907"/>
      <c r="T194" s="907"/>
      <c r="U194" s="907"/>
      <c r="V194" s="907"/>
      <c r="W194" s="907"/>
      <c r="X194" s="907"/>
      <c r="Y194" s="907"/>
      <c r="Z194" s="907"/>
      <c r="AA194" s="907"/>
      <c r="AB194" s="907"/>
      <c r="AC194" s="907"/>
      <c r="AD194" s="907"/>
      <c r="AE194" s="907"/>
      <c r="AF194" s="907"/>
      <c r="AG194" s="907"/>
      <c r="AH194" s="907"/>
      <c r="AI194" s="907"/>
      <c r="AJ194" s="907"/>
      <c r="AK194" s="907"/>
      <c r="AL194" s="907"/>
    </row>
    <row r="195" spans="1:38">
      <c r="A195" s="907"/>
      <c r="B195" s="907"/>
      <c r="C195" s="907"/>
      <c r="D195" s="907"/>
      <c r="E195" s="907"/>
      <c r="F195" s="907"/>
      <c r="G195" s="907"/>
      <c r="H195" s="907"/>
      <c r="I195" s="907"/>
      <c r="J195" s="907"/>
      <c r="K195" s="907"/>
      <c r="L195" s="907"/>
      <c r="M195" s="907"/>
      <c r="N195" s="907"/>
      <c r="O195" s="907"/>
      <c r="P195" s="907"/>
      <c r="Q195" s="907"/>
      <c r="R195" s="907"/>
      <c r="S195" s="907"/>
      <c r="T195" s="907"/>
      <c r="U195" s="907"/>
      <c r="V195" s="907"/>
      <c r="W195" s="907"/>
      <c r="X195" s="907"/>
      <c r="Y195" s="907"/>
      <c r="Z195" s="907"/>
      <c r="AA195" s="907"/>
      <c r="AB195" s="907"/>
      <c r="AC195" s="907"/>
      <c r="AD195" s="907"/>
      <c r="AE195" s="907"/>
      <c r="AF195" s="907"/>
      <c r="AG195" s="907"/>
      <c r="AH195" s="907"/>
      <c r="AI195" s="907"/>
      <c r="AJ195" s="907"/>
      <c r="AK195" s="907"/>
      <c r="AL195" s="907"/>
    </row>
    <row r="196" spans="1:38">
      <c r="A196" s="907"/>
      <c r="B196" s="907"/>
      <c r="C196" s="907"/>
      <c r="D196" s="907"/>
      <c r="E196" s="907"/>
      <c r="F196" s="907"/>
      <c r="G196" s="907"/>
      <c r="H196" s="907"/>
      <c r="I196" s="907"/>
      <c r="J196" s="907"/>
      <c r="K196" s="907"/>
      <c r="L196" s="907"/>
      <c r="M196" s="907"/>
      <c r="N196" s="907"/>
      <c r="O196" s="907"/>
      <c r="P196" s="907"/>
      <c r="Q196" s="907"/>
      <c r="R196" s="907"/>
      <c r="S196" s="907"/>
      <c r="T196" s="907"/>
      <c r="U196" s="907"/>
      <c r="V196" s="907"/>
      <c r="W196" s="907"/>
      <c r="X196" s="907"/>
      <c r="Y196" s="907"/>
      <c r="Z196" s="907"/>
      <c r="AA196" s="907"/>
      <c r="AB196" s="907"/>
      <c r="AC196" s="907"/>
      <c r="AD196" s="907"/>
      <c r="AE196" s="907"/>
      <c r="AF196" s="907"/>
      <c r="AG196" s="907"/>
      <c r="AH196" s="907"/>
      <c r="AI196" s="907"/>
      <c r="AJ196" s="907"/>
      <c r="AK196" s="907"/>
      <c r="AL196" s="907"/>
    </row>
    <row r="197" spans="1:38">
      <c r="A197" s="907"/>
      <c r="B197" s="907"/>
      <c r="C197" s="907"/>
      <c r="D197" s="907"/>
      <c r="E197" s="907"/>
      <c r="F197" s="907"/>
      <c r="G197" s="907"/>
      <c r="H197" s="907"/>
      <c r="I197" s="907"/>
      <c r="J197" s="907"/>
      <c r="K197" s="907"/>
      <c r="L197" s="907"/>
      <c r="M197" s="907"/>
      <c r="N197" s="907"/>
      <c r="O197" s="907"/>
      <c r="P197" s="907"/>
      <c r="Q197" s="907"/>
      <c r="R197" s="907"/>
      <c r="S197" s="907"/>
      <c r="T197" s="907"/>
      <c r="U197" s="907"/>
      <c r="V197" s="907"/>
      <c r="W197" s="907"/>
      <c r="X197" s="907"/>
      <c r="Y197" s="907"/>
      <c r="Z197" s="907"/>
      <c r="AA197" s="907"/>
      <c r="AB197" s="907"/>
      <c r="AC197" s="907"/>
      <c r="AD197" s="907"/>
      <c r="AE197" s="907"/>
      <c r="AF197" s="907"/>
      <c r="AG197" s="907"/>
      <c r="AH197" s="907"/>
      <c r="AI197" s="907"/>
      <c r="AJ197" s="907"/>
      <c r="AK197" s="907"/>
      <c r="AL197" s="907"/>
    </row>
    <row r="198" spans="1:38">
      <c r="A198" s="907"/>
      <c r="B198" s="907"/>
      <c r="C198" s="907"/>
      <c r="D198" s="907"/>
      <c r="E198" s="907"/>
      <c r="F198" s="907"/>
      <c r="G198" s="907"/>
      <c r="H198" s="907"/>
      <c r="I198" s="907"/>
      <c r="J198" s="907"/>
      <c r="K198" s="907"/>
      <c r="L198" s="907"/>
      <c r="M198" s="907"/>
      <c r="N198" s="907"/>
      <c r="O198" s="907"/>
      <c r="P198" s="907"/>
      <c r="Q198" s="907"/>
      <c r="R198" s="907"/>
      <c r="S198" s="907"/>
      <c r="T198" s="907"/>
      <c r="U198" s="907"/>
      <c r="V198" s="907"/>
      <c r="W198" s="907"/>
      <c r="X198" s="907"/>
      <c r="Y198" s="907"/>
      <c r="Z198" s="907"/>
      <c r="AA198" s="907"/>
      <c r="AB198" s="907"/>
      <c r="AC198" s="907"/>
      <c r="AD198" s="907"/>
      <c r="AE198" s="907"/>
      <c r="AF198" s="907"/>
      <c r="AG198" s="907"/>
      <c r="AH198" s="907"/>
      <c r="AI198" s="907"/>
      <c r="AJ198" s="907"/>
      <c r="AK198" s="907"/>
      <c r="AL198" s="907"/>
    </row>
    <row r="199" spans="1:38">
      <c r="A199" s="907"/>
      <c r="B199" s="907"/>
      <c r="C199" s="907"/>
      <c r="D199" s="907"/>
      <c r="E199" s="907"/>
      <c r="F199" s="907"/>
      <c r="G199" s="907"/>
      <c r="H199" s="907"/>
      <c r="I199" s="907"/>
      <c r="J199" s="907"/>
      <c r="K199" s="907"/>
      <c r="L199" s="907"/>
      <c r="M199" s="907"/>
      <c r="N199" s="907"/>
      <c r="O199" s="907"/>
      <c r="P199" s="907"/>
      <c r="Q199" s="907"/>
      <c r="R199" s="907"/>
      <c r="S199" s="907"/>
      <c r="T199" s="907"/>
      <c r="U199" s="907"/>
      <c r="V199" s="907"/>
      <c r="W199" s="907"/>
      <c r="X199" s="907"/>
      <c r="Y199" s="907"/>
      <c r="Z199" s="907"/>
      <c r="AA199" s="907"/>
      <c r="AB199" s="907"/>
      <c r="AC199" s="907"/>
      <c r="AD199" s="907"/>
      <c r="AE199" s="907"/>
      <c r="AF199" s="907"/>
      <c r="AG199" s="907"/>
      <c r="AH199" s="907"/>
      <c r="AI199" s="907"/>
      <c r="AJ199" s="907"/>
      <c r="AK199" s="907"/>
      <c r="AL199" s="907"/>
    </row>
    <row r="200" spans="1:38">
      <c r="A200" s="907"/>
      <c r="B200" s="907"/>
      <c r="C200" s="907"/>
      <c r="D200" s="907"/>
      <c r="E200" s="907"/>
      <c r="F200" s="907"/>
      <c r="G200" s="907"/>
      <c r="H200" s="907"/>
      <c r="I200" s="907"/>
      <c r="J200" s="907"/>
      <c r="K200" s="907"/>
      <c r="L200" s="907"/>
      <c r="M200" s="907"/>
      <c r="N200" s="907"/>
      <c r="O200" s="907"/>
      <c r="P200" s="907"/>
      <c r="Q200" s="907"/>
      <c r="R200" s="907"/>
      <c r="S200" s="907"/>
      <c r="T200" s="907"/>
      <c r="U200" s="907"/>
      <c r="V200" s="907"/>
      <c r="W200" s="907"/>
      <c r="X200" s="907"/>
      <c r="Y200" s="907"/>
      <c r="Z200" s="907"/>
      <c r="AA200" s="907"/>
      <c r="AB200" s="907"/>
      <c r="AC200" s="907"/>
      <c r="AD200" s="907"/>
      <c r="AE200" s="907"/>
      <c r="AF200" s="907"/>
      <c r="AG200" s="907"/>
      <c r="AH200" s="907"/>
      <c r="AI200" s="907"/>
      <c r="AJ200" s="907"/>
      <c r="AK200" s="907"/>
      <c r="AL200" s="907"/>
    </row>
    <row r="201" spans="1:38">
      <c r="A201" s="907"/>
      <c r="B201" s="907"/>
      <c r="C201" s="907"/>
      <c r="D201" s="907"/>
      <c r="E201" s="907"/>
      <c r="F201" s="907"/>
      <c r="G201" s="907"/>
      <c r="H201" s="907"/>
      <c r="I201" s="907"/>
      <c r="J201" s="907"/>
      <c r="K201" s="907"/>
      <c r="L201" s="907"/>
      <c r="M201" s="907"/>
      <c r="N201" s="907"/>
      <c r="O201" s="907"/>
      <c r="P201" s="907"/>
      <c r="Q201" s="907"/>
      <c r="R201" s="907"/>
      <c r="S201" s="907"/>
      <c r="T201" s="907"/>
      <c r="U201" s="907"/>
      <c r="V201" s="907"/>
      <c r="W201" s="907"/>
      <c r="X201" s="907"/>
      <c r="Y201" s="907"/>
      <c r="Z201" s="907"/>
      <c r="AA201" s="907"/>
      <c r="AB201" s="907"/>
      <c r="AC201" s="907"/>
      <c r="AD201" s="907"/>
      <c r="AE201" s="907"/>
      <c r="AF201" s="907"/>
      <c r="AG201" s="907"/>
      <c r="AH201" s="907"/>
      <c r="AI201" s="907"/>
      <c r="AJ201" s="907"/>
      <c r="AK201" s="907"/>
      <c r="AL201" s="907"/>
    </row>
    <row r="202" spans="1:38">
      <c r="A202" s="907"/>
      <c r="B202" s="907"/>
      <c r="C202" s="907"/>
      <c r="D202" s="907"/>
      <c r="E202" s="907"/>
      <c r="F202" s="907"/>
      <c r="G202" s="907"/>
      <c r="H202" s="907"/>
      <c r="I202" s="907"/>
      <c r="J202" s="907"/>
      <c r="K202" s="907"/>
      <c r="L202" s="907"/>
      <c r="M202" s="907"/>
      <c r="N202" s="907"/>
      <c r="O202" s="907"/>
      <c r="P202" s="907"/>
      <c r="Q202" s="907"/>
      <c r="R202" s="907"/>
      <c r="S202" s="907"/>
      <c r="T202" s="907"/>
      <c r="U202" s="907"/>
      <c r="V202" s="907"/>
      <c r="W202" s="907"/>
      <c r="X202" s="907"/>
      <c r="Y202" s="907"/>
      <c r="Z202" s="907"/>
      <c r="AA202" s="907"/>
      <c r="AB202" s="907"/>
      <c r="AC202" s="907"/>
      <c r="AD202" s="907"/>
      <c r="AE202" s="907"/>
      <c r="AF202" s="907"/>
      <c r="AG202" s="907"/>
      <c r="AH202" s="907"/>
      <c r="AI202" s="907"/>
      <c r="AJ202" s="907"/>
      <c r="AK202" s="907"/>
      <c r="AL202" s="907"/>
    </row>
    <row r="203" spans="1:38">
      <c r="A203" s="907"/>
      <c r="B203" s="907"/>
      <c r="C203" s="907"/>
      <c r="D203" s="907"/>
      <c r="E203" s="907"/>
      <c r="F203" s="907"/>
      <c r="G203" s="907"/>
      <c r="H203" s="907"/>
      <c r="I203" s="907"/>
      <c r="J203" s="907"/>
      <c r="K203" s="907"/>
      <c r="L203" s="907"/>
      <c r="M203" s="907"/>
      <c r="N203" s="907"/>
      <c r="O203" s="907"/>
      <c r="P203" s="907"/>
      <c r="Q203" s="907"/>
      <c r="R203" s="907"/>
      <c r="S203" s="907"/>
      <c r="T203" s="907"/>
      <c r="U203" s="907"/>
      <c r="V203" s="907"/>
      <c r="W203" s="907"/>
      <c r="X203" s="907"/>
      <c r="Y203" s="907"/>
      <c r="Z203" s="907"/>
      <c r="AA203" s="907"/>
      <c r="AB203" s="907"/>
      <c r="AC203" s="907"/>
      <c r="AD203" s="907"/>
      <c r="AE203" s="907"/>
      <c r="AF203" s="907"/>
      <c r="AG203" s="907"/>
      <c r="AH203" s="907"/>
      <c r="AI203" s="907"/>
      <c r="AJ203" s="907"/>
      <c r="AK203" s="907"/>
      <c r="AL203" s="907"/>
    </row>
    <row r="204" spans="1:38">
      <c r="A204" s="907"/>
      <c r="B204" s="907"/>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c r="AB204" s="907"/>
      <c r="AC204" s="907"/>
      <c r="AD204" s="907"/>
      <c r="AE204" s="907"/>
      <c r="AF204" s="907"/>
      <c r="AG204" s="907"/>
      <c r="AH204" s="907"/>
      <c r="AI204" s="907"/>
      <c r="AJ204" s="907"/>
      <c r="AK204" s="907"/>
      <c r="AL204" s="907"/>
    </row>
    <row r="205" spans="1:38">
      <c r="A205" s="907"/>
      <c r="B205" s="907"/>
      <c r="C205" s="907"/>
      <c r="D205" s="907"/>
      <c r="E205" s="907"/>
      <c r="F205" s="907"/>
      <c r="G205" s="907"/>
      <c r="H205" s="907"/>
      <c r="I205" s="907"/>
      <c r="J205" s="907"/>
      <c r="K205" s="907"/>
      <c r="L205" s="907"/>
      <c r="M205" s="907"/>
      <c r="N205" s="907"/>
      <c r="O205" s="907"/>
      <c r="P205" s="907"/>
      <c r="Q205" s="907"/>
      <c r="R205" s="907"/>
      <c r="S205" s="907"/>
      <c r="T205" s="907"/>
      <c r="U205" s="907"/>
      <c r="V205" s="907"/>
      <c r="W205" s="907"/>
      <c r="X205" s="907"/>
      <c r="Y205" s="907"/>
      <c r="Z205" s="907"/>
      <c r="AA205" s="907"/>
      <c r="AB205" s="907"/>
      <c r="AC205" s="907"/>
      <c r="AD205" s="907"/>
      <c r="AE205" s="907"/>
      <c r="AF205" s="907"/>
      <c r="AG205" s="907"/>
      <c r="AH205" s="907"/>
      <c r="AI205" s="907"/>
      <c r="AJ205" s="907"/>
      <c r="AK205" s="907"/>
      <c r="AL205" s="907"/>
    </row>
    <row r="206" spans="1:38">
      <c r="A206" s="907"/>
      <c r="B206" s="907"/>
      <c r="C206" s="907"/>
      <c r="D206" s="907"/>
      <c r="E206" s="907"/>
      <c r="F206" s="907"/>
      <c r="G206" s="907"/>
      <c r="H206" s="907"/>
      <c r="I206" s="907"/>
      <c r="J206" s="907"/>
      <c r="K206" s="907"/>
      <c r="L206" s="907"/>
      <c r="M206" s="907"/>
      <c r="N206" s="907"/>
      <c r="O206" s="907"/>
      <c r="P206" s="907"/>
      <c r="Q206" s="907"/>
      <c r="R206" s="907"/>
      <c r="S206" s="907"/>
      <c r="T206" s="907"/>
      <c r="U206" s="907"/>
      <c r="V206" s="907"/>
      <c r="W206" s="907"/>
      <c r="X206" s="907"/>
      <c r="Y206" s="907"/>
      <c r="Z206" s="907"/>
      <c r="AA206" s="907"/>
      <c r="AB206" s="907"/>
      <c r="AC206" s="907"/>
      <c r="AD206" s="907"/>
      <c r="AE206" s="907"/>
      <c r="AF206" s="907"/>
      <c r="AG206" s="907"/>
      <c r="AH206" s="907"/>
      <c r="AI206" s="907"/>
      <c r="AJ206" s="907"/>
      <c r="AK206" s="907"/>
      <c r="AL206" s="907"/>
    </row>
    <row r="207" spans="1:38">
      <c r="A207" s="907"/>
      <c r="B207" s="907"/>
      <c r="C207" s="907"/>
      <c r="D207" s="907"/>
      <c r="E207" s="907"/>
      <c r="F207" s="907"/>
      <c r="G207" s="907"/>
      <c r="H207" s="907"/>
      <c r="I207" s="907"/>
      <c r="J207" s="907"/>
      <c r="K207" s="907"/>
      <c r="L207" s="907"/>
      <c r="M207" s="907"/>
      <c r="N207" s="907"/>
      <c r="O207" s="907"/>
      <c r="P207" s="907"/>
      <c r="Q207" s="907"/>
      <c r="R207" s="907"/>
      <c r="S207" s="907"/>
      <c r="T207" s="907"/>
      <c r="U207" s="907"/>
      <c r="V207" s="907"/>
      <c r="W207" s="907"/>
      <c r="X207" s="907"/>
      <c r="Y207" s="907"/>
      <c r="Z207" s="907"/>
      <c r="AA207" s="907"/>
      <c r="AB207" s="907"/>
      <c r="AC207" s="907"/>
      <c r="AD207" s="907"/>
      <c r="AE207" s="907"/>
      <c r="AF207" s="907"/>
      <c r="AG207" s="907"/>
      <c r="AH207" s="907"/>
      <c r="AI207" s="907"/>
      <c r="AJ207" s="907"/>
      <c r="AK207" s="907"/>
      <c r="AL207" s="907"/>
    </row>
    <row r="208" spans="1:38">
      <c r="A208" s="907"/>
      <c r="B208" s="907"/>
      <c r="C208" s="907"/>
      <c r="D208" s="907"/>
      <c r="E208" s="907"/>
      <c r="F208" s="907"/>
      <c r="G208" s="907"/>
      <c r="H208" s="907"/>
      <c r="I208" s="907"/>
      <c r="J208" s="907"/>
      <c r="K208" s="907"/>
      <c r="L208" s="907"/>
      <c r="M208" s="907"/>
      <c r="N208" s="907"/>
      <c r="O208" s="907"/>
      <c r="P208" s="907"/>
      <c r="Q208" s="907"/>
      <c r="R208" s="907"/>
      <c r="S208" s="907"/>
      <c r="T208" s="907"/>
      <c r="U208" s="907"/>
      <c r="V208" s="907"/>
      <c r="W208" s="907"/>
      <c r="X208" s="907"/>
      <c r="Y208" s="907"/>
      <c r="Z208" s="907"/>
      <c r="AA208" s="907"/>
      <c r="AB208" s="907"/>
      <c r="AC208" s="907"/>
      <c r="AD208" s="907"/>
      <c r="AE208" s="907"/>
      <c r="AF208" s="907"/>
      <c r="AG208" s="907"/>
      <c r="AH208" s="907"/>
      <c r="AI208" s="907"/>
      <c r="AJ208" s="907"/>
      <c r="AK208" s="907"/>
      <c r="AL208" s="907"/>
    </row>
    <row r="209" spans="1:38">
      <c r="A209" s="907"/>
      <c r="B209" s="907"/>
      <c r="C209" s="907"/>
      <c r="D209" s="907"/>
      <c r="E209" s="907"/>
      <c r="F209" s="907"/>
      <c r="G209" s="907"/>
      <c r="H209" s="907"/>
      <c r="I209" s="907"/>
      <c r="J209" s="907"/>
      <c r="K209" s="907"/>
      <c r="L209" s="907"/>
      <c r="M209" s="907"/>
      <c r="N209" s="907"/>
      <c r="O209" s="907"/>
      <c r="P209" s="907"/>
      <c r="Q209" s="907"/>
      <c r="R209" s="907"/>
      <c r="S209" s="907"/>
      <c r="T209" s="907"/>
      <c r="U209" s="907"/>
      <c r="V209" s="907"/>
      <c r="W209" s="907"/>
      <c r="X209" s="907"/>
      <c r="Y209" s="907"/>
      <c r="Z209" s="907"/>
      <c r="AA209" s="907"/>
      <c r="AB209" s="907"/>
      <c r="AC209" s="907"/>
      <c r="AD209" s="907"/>
      <c r="AE209" s="907"/>
      <c r="AF209" s="907"/>
      <c r="AG209" s="907"/>
      <c r="AH209" s="907"/>
      <c r="AI209" s="907"/>
      <c r="AJ209" s="907"/>
      <c r="AK209" s="907"/>
      <c r="AL209" s="907"/>
    </row>
    <row r="210" spans="1:38">
      <c r="A210" s="907"/>
      <c r="B210" s="907"/>
      <c r="C210" s="907"/>
      <c r="D210" s="907"/>
      <c r="E210" s="907"/>
      <c r="F210" s="907"/>
      <c r="G210" s="907"/>
      <c r="H210" s="907"/>
      <c r="I210" s="907"/>
      <c r="J210" s="907"/>
      <c r="K210" s="907"/>
      <c r="L210" s="907"/>
      <c r="M210" s="907"/>
      <c r="N210" s="907"/>
      <c r="O210" s="907"/>
      <c r="P210" s="907"/>
      <c r="Q210" s="907"/>
      <c r="R210" s="907"/>
      <c r="S210" s="907"/>
      <c r="T210" s="907"/>
      <c r="U210" s="907"/>
      <c r="V210" s="907"/>
      <c r="W210" s="907"/>
      <c r="X210" s="907"/>
      <c r="Y210" s="907"/>
      <c r="Z210" s="907"/>
      <c r="AA210" s="907"/>
      <c r="AB210" s="907"/>
      <c r="AC210" s="907"/>
      <c r="AD210" s="907"/>
      <c r="AE210" s="907"/>
      <c r="AF210" s="907"/>
      <c r="AG210" s="907"/>
      <c r="AH210" s="907"/>
      <c r="AI210" s="907"/>
      <c r="AJ210" s="907"/>
      <c r="AK210" s="907"/>
      <c r="AL210" s="907"/>
    </row>
    <row r="211" spans="1:38">
      <c r="A211" s="907"/>
      <c r="B211" s="907"/>
      <c r="C211" s="907"/>
      <c r="D211" s="907"/>
      <c r="E211" s="907"/>
      <c r="F211" s="907"/>
      <c r="G211" s="907"/>
      <c r="H211" s="907"/>
      <c r="I211" s="907"/>
      <c r="J211" s="907"/>
      <c r="K211" s="907"/>
      <c r="L211" s="907"/>
      <c r="M211" s="907"/>
      <c r="N211" s="907"/>
      <c r="O211" s="907"/>
      <c r="P211" s="907"/>
      <c r="Q211" s="907"/>
      <c r="R211" s="907"/>
      <c r="S211" s="907"/>
      <c r="T211" s="907"/>
      <c r="U211" s="907"/>
      <c r="V211" s="907"/>
      <c r="W211" s="907"/>
      <c r="X211" s="907"/>
      <c r="Y211" s="907"/>
      <c r="Z211" s="907"/>
      <c r="AA211" s="907"/>
      <c r="AB211" s="907"/>
      <c r="AC211" s="907"/>
      <c r="AD211" s="907"/>
      <c r="AE211" s="907"/>
      <c r="AF211" s="907"/>
      <c r="AG211" s="907"/>
      <c r="AH211" s="907"/>
      <c r="AI211" s="907"/>
      <c r="AJ211" s="907"/>
      <c r="AK211" s="907"/>
      <c r="AL211" s="907"/>
    </row>
    <row r="212" spans="1:38">
      <c r="A212" s="907"/>
      <c r="B212" s="907"/>
      <c r="C212" s="907"/>
      <c r="D212" s="907"/>
      <c r="E212" s="907"/>
      <c r="F212" s="907"/>
      <c r="G212" s="907"/>
      <c r="H212" s="907"/>
      <c r="I212" s="907"/>
      <c r="J212" s="907"/>
      <c r="K212" s="907"/>
      <c r="L212" s="907"/>
      <c r="M212" s="907"/>
      <c r="N212" s="907"/>
      <c r="O212" s="907"/>
      <c r="P212" s="907"/>
      <c r="Q212" s="907"/>
      <c r="R212" s="907"/>
      <c r="S212" s="907"/>
      <c r="T212" s="907"/>
      <c r="U212" s="907"/>
      <c r="V212" s="907"/>
      <c r="W212" s="907"/>
      <c r="X212" s="907"/>
      <c r="Y212" s="907"/>
      <c r="Z212" s="907"/>
      <c r="AA212" s="907"/>
      <c r="AB212" s="907"/>
      <c r="AC212" s="907"/>
      <c r="AD212" s="907"/>
      <c r="AE212" s="907"/>
      <c r="AF212" s="907"/>
      <c r="AG212" s="907"/>
      <c r="AH212" s="907"/>
      <c r="AI212" s="907"/>
      <c r="AJ212" s="907"/>
      <c r="AK212" s="907"/>
      <c r="AL212" s="907"/>
    </row>
    <row r="213" spans="1:38">
      <c r="A213" s="907"/>
      <c r="B213" s="907"/>
      <c r="C213" s="907"/>
      <c r="D213" s="907"/>
      <c r="E213" s="907"/>
      <c r="F213" s="907"/>
      <c r="G213" s="907"/>
      <c r="H213" s="907"/>
      <c r="I213" s="907"/>
      <c r="J213" s="907"/>
      <c r="K213" s="907"/>
      <c r="L213" s="907"/>
      <c r="M213" s="907"/>
      <c r="N213" s="907"/>
      <c r="O213" s="907"/>
      <c r="P213" s="907"/>
      <c r="Q213" s="907"/>
      <c r="R213" s="907"/>
      <c r="S213" s="907"/>
      <c r="T213" s="907"/>
      <c r="U213" s="907"/>
      <c r="V213" s="907"/>
      <c r="W213" s="907"/>
      <c r="X213" s="907"/>
      <c r="Y213" s="907"/>
      <c r="Z213" s="907"/>
      <c r="AA213" s="907"/>
      <c r="AB213" s="907"/>
      <c r="AC213" s="907"/>
      <c r="AD213" s="907"/>
      <c r="AE213" s="907"/>
      <c r="AF213" s="907"/>
      <c r="AG213" s="907"/>
      <c r="AH213" s="907"/>
      <c r="AI213" s="907"/>
      <c r="AJ213" s="907"/>
      <c r="AK213" s="907"/>
      <c r="AL213" s="907"/>
    </row>
    <row r="214" spans="1:38">
      <c r="A214" s="907"/>
      <c r="B214" s="907"/>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c r="AB214" s="907"/>
      <c r="AC214" s="907"/>
      <c r="AD214" s="907"/>
      <c r="AE214" s="907"/>
      <c r="AF214" s="907"/>
      <c r="AG214" s="907"/>
      <c r="AH214" s="907"/>
      <c r="AI214" s="907"/>
      <c r="AJ214" s="907"/>
      <c r="AK214" s="907"/>
      <c r="AL214" s="907"/>
    </row>
    <row r="215" spans="1:38">
      <c r="A215" s="907"/>
      <c r="B215" s="907"/>
      <c r="C215" s="907"/>
      <c r="D215" s="907"/>
      <c r="E215" s="907"/>
      <c r="F215" s="907"/>
      <c r="G215" s="907"/>
      <c r="H215" s="907"/>
      <c r="I215" s="907"/>
      <c r="J215" s="907"/>
      <c r="K215" s="907"/>
      <c r="L215" s="907"/>
      <c r="M215" s="907"/>
      <c r="N215" s="907"/>
      <c r="O215" s="907"/>
      <c r="P215" s="907"/>
      <c r="Q215" s="907"/>
      <c r="R215" s="907"/>
      <c r="S215" s="907"/>
      <c r="T215" s="907"/>
      <c r="U215" s="907"/>
      <c r="V215" s="907"/>
      <c r="W215" s="907"/>
      <c r="X215" s="907"/>
      <c r="Y215" s="907"/>
      <c r="Z215" s="907"/>
      <c r="AA215" s="907"/>
      <c r="AB215" s="907"/>
      <c r="AC215" s="907"/>
      <c r="AD215" s="907"/>
      <c r="AE215" s="907"/>
      <c r="AF215" s="907"/>
      <c r="AG215" s="907"/>
      <c r="AH215" s="907"/>
      <c r="AI215" s="907"/>
      <c r="AJ215" s="907"/>
      <c r="AK215" s="907"/>
      <c r="AL215" s="907"/>
    </row>
    <row r="216" spans="1:38">
      <c r="A216" s="907"/>
      <c r="B216" s="907"/>
      <c r="C216" s="907"/>
      <c r="D216" s="907"/>
      <c r="E216" s="907"/>
      <c r="F216" s="907"/>
      <c r="G216" s="907"/>
      <c r="H216" s="907"/>
      <c r="I216" s="907"/>
      <c r="J216" s="907"/>
      <c r="K216" s="907"/>
      <c r="L216" s="907"/>
      <c r="M216" s="907"/>
      <c r="N216" s="907"/>
      <c r="O216" s="907"/>
      <c r="P216" s="907"/>
      <c r="Q216" s="907"/>
      <c r="R216" s="907"/>
      <c r="S216" s="907"/>
      <c r="T216" s="907"/>
      <c r="U216" s="907"/>
      <c r="V216" s="907"/>
      <c r="W216" s="907"/>
      <c r="X216" s="907"/>
      <c r="Y216" s="907"/>
      <c r="Z216" s="907"/>
      <c r="AA216" s="907"/>
      <c r="AB216" s="907"/>
      <c r="AC216" s="907"/>
      <c r="AD216" s="907"/>
      <c r="AE216" s="907"/>
      <c r="AF216" s="907"/>
      <c r="AG216" s="907"/>
      <c r="AH216" s="907"/>
      <c r="AI216" s="907"/>
      <c r="AJ216" s="907"/>
      <c r="AK216" s="907"/>
      <c r="AL216" s="907"/>
    </row>
    <row r="217" spans="1:38">
      <c r="A217" s="907"/>
      <c r="B217" s="907"/>
      <c r="C217" s="907"/>
      <c r="D217" s="907"/>
      <c r="E217" s="907"/>
      <c r="F217" s="907"/>
      <c r="G217" s="907"/>
      <c r="H217" s="907"/>
      <c r="I217" s="907"/>
      <c r="J217" s="907"/>
      <c r="K217" s="907"/>
      <c r="L217" s="907"/>
      <c r="M217" s="907"/>
      <c r="N217" s="907"/>
      <c r="O217" s="907"/>
      <c r="P217" s="907"/>
      <c r="Q217" s="907"/>
      <c r="R217" s="907"/>
      <c r="S217" s="907"/>
      <c r="T217" s="907"/>
      <c r="U217" s="907"/>
      <c r="V217" s="907"/>
      <c r="W217" s="907"/>
      <c r="X217" s="907"/>
      <c r="Y217" s="907"/>
      <c r="Z217" s="907"/>
      <c r="AA217" s="907"/>
      <c r="AB217" s="907"/>
      <c r="AC217" s="907"/>
      <c r="AD217" s="907"/>
      <c r="AE217" s="907"/>
      <c r="AF217" s="907"/>
      <c r="AG217" s="907"/>
      <c r="AH217" s="907"/>
      <c r="AI217" s="907"/>
      <c r="AJ217" s="907"/>
      <c r="AK217" s="907"/>
      <c r="AL217" s="907"/>
    </row>
    <row r="218" spans="1:38">
      <c r="A218" s="907"/>
      <c r="B218" s="907"/>
      <c r="C218" s="907"/>
      <c r="D218" s="907"/>
      <c r="E218" s="907"/>
      <c r="F218" s="907"/>
      <c r="G218" s="907"/>
      <c r="H218" s="907"/>
      <c r="I218" s="907"/>
      <c r="J218" s="907"/>
      <c r="K218" s="907"/>
      <c r="L218" s="907"/>
      <c r="M218" s="907"/>
      <c r="N218" s="907"/>
      <c r="O218" s="907"/>
      <c r="P218" s="907"/>
      <c r="Q218" s="907"/>
      <c r="R218" s="907"/>
      <c r="S218" s="907"/>
      <c r="T218" s="907"/>
      <c r="U218" s="907"/>
      <c r="V218" s="907"/>
      <c r="W218" s="907"/>
      <c r="X218" s="907"/>
      <c r="Y218" s="907"/>
      <c r="Z218" s="907"/>
      <c r="AA218" s="907"/>
      <c r="AB218" s="907"/>
      <c r="AC218" s="907"/>
      <c r="AD218" s="907"/>
      <c r="AE218" s="907"/>
      <c r="AF218" s="907"/>
      <c r="AG218" s="907"/>
      <c r="AH218" s="907"/>
      <c r="AI218" s="907"/>
      <c r="AJ218" s="907"/>
      <c r="AK218" s="907"/>
      <c r="AL218" s="907"/>
    </row>
    <row r="219" spans="1:38">
      <c r="A219" s="907"/>
      <c r="B219" s="907"/>
      <c r="C219" s="907"/>
      <c r="D219" s="907"/>
      <c r="E219" s="907"/>
      <c r="F219" s="907"/>
      <c r="G219" s="907"/>
      <c r="H219" s="907"/>
      <c r="I219" s="907"/>
      <c r="J219" s="907"/>
      <c r="K219" s="907"/>
      <c r="L219" s="907"/>
      <c r="M219" s="907"/>
      <c r="N219" s="907"/>
      <c r="O219" s="907"/>
      <c r="P219" s="907"/>
      <c r="Q219" s="907"/>
      <c r="R219" s="907"/>
      <c r="S219" s="907"/>
      <c r="T219" s="907"/>
      <c r="U219" s="907"/>
      <c r="V219" s="907"/>
      <c r="W219" s="907"/>
      <c r="X219" s="907"/>
      <c r="Y219" s="907"/>
      <c r="Z219" s="907"/>
      <c r="AA219" s="907"/>
      <c r="AB219" s="907"/>
      <c r="AC219" s="907"/>
      <c r="AD219" s="907"/>
      <c r="AE219" s="907"/>
      <c r="AF219" s="907"/>
      <c r="AG219" s="907"/>
      <c r="AH219" s="907"/>
      <c r="AI219" s="907"/>
      <c r="AJ219" s="907"/>
      <c r="AK219" s="907"/>
      <c r="AL219" s="907"/>
    </row>
    <row r="220" spans="1:38">
      <c r="A220" s="907"/>
      <c r="B220" s="907"/>
      <c r="C220" s="907"/>
      <c r="D220" s="907"/>
      <c r="E220" s="907"/>
      <c r="F220" s="907"/>
      <c r="G220" s="907"/>
      <c r="H220" s="907"/>
      <c r="I220" s="907"/>
      <c r="J220" s="907"/>
      <c r="K220" s="907"/>
      <c r="L220" s="907"/>
      <c r="M220" s="907"/>
      <c r="N220" s="907"/>
      <c r="O220" s="907"/>
      <c r="P220" s="907"/>
      <c r="Q220" s="907"/>
      <c r="R220" s="907"/>
      <c r="S220" s="907"/>
      <c r="T220" s="907"/>
      <c r="U220" s="907"/>
      <c r="V220" s="907"/>
      <c r="W220" s="907"/>
      <c r="X220" s="907"/>
      <c r="Y220" s="907"/>
      <c r="Z220" s="907"/>
      <c r="AA220" s="907"/>
      <c r="AB220" s="907"/>
      <c r="AC220" s="907"/>
      <c r="AD220" s="907"/>
      <c r="AE220" s="907"/>
      <c r="AF220" s="907"/>
      <c r="AG220" s="907"/>
      <c r="AH220" s="907"/>
      <c r="AI220" s="907"/>
      <c r="AJ220" s="907"/>
      <c r="AK220" s="907"/>
      <c r="AL220" s="907"/>
    </row>
    <row r="221" spans="1:38">
      <c r="A221" s="907"/>
      <c r="B221" s="907"/>
      <c r="C221" s="907"/>
      <c r="D221" s="907"/>
      <c r="E221" s="907"/>
      <c r="F221" s="907"/>
      <c r="G221" s="907"/>
      <c r="H221" s="907"/>
      <c r="I221" s="907"/>
      <c r="J221" s="907"/>
      <c r="K221" s="907"/>
      <c r="L221" s="907"/>
      <c r="M221" s="907"/>
      <c r="N221" s="907"/>
      <c r="O221" s="907"/>
      <c r="P221" s="907"/>
      <c r="Q221" s="907"/>
      <c r="R221" s="907"/>
      <c r="S221" s="907"/>
      <c r="T221" s="907"/>
      <c r="U221" s="907"/>
      <c r="V221" s="907"/>
      <c r="W221" s="907"/>
      <c r="X221" s="907"/>
      <c r="Y221" s="907"/>
      <c r="Z221" s="907"/>
      <c r="AA221" s="907"/>
      <c r="AB221" s="907"/>
      <c r="AC221" s="907"/>
      <c r="AD221" s="907"/>
      <c r="AE221" s="907"/>
      <c r="AF221" s="907"/>
      <c r="AG221" s="907"/>
      <c r="AH221" s="907"/>
      <c r="AI221" s="907"/>
      <c r="AJ221" s="907"/>
      <c r="AK221" s="907"/>
      <c r="AL221" s="907"/>
    </row>
    <row r="222" spans="1:38">
      <c r="A222" s="907"/>
      <c r="B222" s="907"/>
      <c r="C222" s="907"/>
      <c r="D222" s="907"/>
      <c r="E222" s="907"/>
      <c r="F222" s="907"/>
      <c r="G222" s="907"/>
      <c r="H222" s="907"/>
      <c r="I222" s="907"/>
      <c r="J222" s="907"/>
      <c r="K222" s="907"/>
      <c r="L222" s="907"/>
      <c r="M222" s="907"/>
      <c r="N222" s="907"/>
      <c r="O222" s="907"/>
      <c r="P222" s="907"/>
      <c r="Q222" s="907"/>
      <c r="R222" s="907"/>
      <c r="S222" s="907"/>
      <c r="T222" s="907"/>
      <c r="U222" s="907"/>
      <c r="V222" s="907"/>
      <c r="W222" s="907"/>
      <c r="X222" s="907"/>
      <c r="Y222" s="907"/>
      <c r="Z222" s="907"/>
      <c r="AA222" s="907"/>
      <c r="AB222" s="907"/>
      <c r="AC222" s="907"/>
      <c r="AD222" s="907"/>
      <c r="AE222" s="907"/>
      <c r="AF222" s="907"/>
      <c r="AG222" s="907"/>
      <c r="AH222" s="907"/>
      <c r="AI222" s="907"/>
      <c r="AJ222" s="907"/>
      <c r="AK222" s="907"/>
      <c r="AL222" s="907"/>
    </row>
    <row r="223" spans="1:38">
      <c r="A223" s="907"/>
      <c r="B223" s="907"/>
      <c r="C223" s="907"/>
      <c r="D223" s="907"/>
      <c r="E223" s="907"/>
      <c r="F223" s="907"/>
      <c r="G223" s="907"/>
      <c r="H223" s="907"/>
      <c r="I223" s="907"/>
      <c r="J223" s="907"/>
      <c r="K223" s="907"/>
      <c r="L223" s="907"/>
      <c r="M223" s="907"/>
      <c r="N223" s="907"/>
      <c r="O223" s="907"/>
      <c r="P223" s="907"/>
      <c r="Q223" s="907"/>
      <c r="R223" s="907"/>
      <c r="S223" s="907"/>
      <c r="T223" s="907"/>
      <c r="U223" s="907"/>
      <c r="V223" s="907"/>
      <c r="W223" s="907"/>
      <c r="X223" s="907"/>
      <c r="Y223" s="907"/>
      <c r="Z223" s="907"/>
      <c r="AA223" s="907"/>
      <c r="AB223" s="907"/>
      <c r="AC223" s="907"/>
      <c r="AD223" s="907"/>
      <c r="AE223" s="907"/>
      <c r="AF223" s="907"/>
      <c r="AG223" s="907"/>
      <c r="AH223" s="907"/>
      <c r="AI223" s="907"/>
      <c r="AJ223" s="907"/>
      <c r="AK223" s="907"/>
      <c r="AL223" s="907"/>
    </row>
    <row r="224" spans="1:38">
      <c r="A224" s="907"/>
      <c r="B224" s="907"/>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c r="AB224" s="907"/>
      <c r="AC224" s="907"/>
      <c r="AD224" s="907"/>
      <c r="AE224" s="907"/>
      <c r="AF224" s="907"/>
      <c r="AG224" s="907"/>
      <c r="AH224" s="907"/>
      <c r="AI224" s="907"/>
      <c r="AJ224" s="907"/>
      <c r="AK224" s="907"/>
      <c r="AL224" s="907"/>
    </row>
    <row r="225" spans="1:38">
      <c r="A225" s="907"/>
      <c r="B225" s="907"/>
      <c r="C225" s="907"/>
      <c r="D225" s="907"/>
      <c r="E225" s="907"/>
      <c r="F225" s="907"/>
      <c r="G225" s="907"/>
      <c r="H225" s="907"/>
      <c r="I225" s="907"/>
      <c r="J225" s="907"/>
      <c r="K225" s="907"/>
      <c r="L225" s="907"/>
      <c r="M225" s="907"/>
      <c r="N225" s="907"/>
      <c r="O225" s="907"/>
      <c r="P225" s="907"/>
      <c r="Q225" s="907"/>
      <c r="R225" s="907"/>
      <c r="S225" s="907"/>
      <c r="T225" s="907"/>
      <c r="U225" s="907"/>
      <c r="V225" s="907"/>
      <c r="W225" s="907"/>
      <c r="X225" s="907"/>
      <c r="Y225" s="907"/>
      <c r="Z225" s="907"/>
      <c r="AA225" s="907"/>
      <c r="AB225" s="907"/>
      <c r="AC225" s="907"/>
      <c r="AD225" s="907"/>
      <c r="AE225" s="907"/>
      <c r="AF225" s="907"/>
      <c r="AG225" s="907"/>
      <c r="AH225" s="907"/>
      <c r="AI225" s="907"/>
      <c r="AJ225" s="907"/>
      <c r="AK225" s="907"/>
      <c r="AL225" s="907"/>
    </row>
    <row r="226" spans="1:38">
      <c r="A226" s="907"/>
      <c r="B226" s="907"/>
      <c r="C226" s="907"/>
      <c r="D226" s="907"/>
      <c r="E226" s="907"/>
      <c r="F226" s="907"/>
      <c r="G226" s="907"/>
      <c r="H226" s="907"/>
      <c r="I226" s="907"/>
      <c r="J226" s="907"/>
      <c r="K226" s="907"/>
      <c r="L226" s="907"/>
      <c r="M226" s="907"/>
      <c r="N226" s="907"/>
      <c r="O226" s="907"/>
      <c r="P226" s="907"/>
      <c r="Q226" s="907"/>
      <c r="R226" s="907"/>
      <c r="S226" s="907"/>
      <c r="T226" s="907"/>
      <c r="U226" s="907"/>
      <c r="V226" s="907"/>
      <c r="W226" s="907"/>
      <c r="X226" s="907"/>
      <c r="Y226" s="907"/>
      <c r="Z226" s="907"/>
      <c r="AA226" s="907"/>
      <c r="AB226" s="907"/>
      <c r="AC226" s="907"/>
      <c r="AD226" s="907"/>
      <c r="AE226" s="907"/>
      <c r="AF226" s="907"/>
      <c r="AG226" s="907"/>
      <c r="AH226" s="907"/>
      <c r="AI226" s="907"/>
      <c r="AJ226" s="907"/>
      <c r="AK226" s="907"/>
      <c r="AL226" s="907"/>
    </row>
    <row r="227" spans="1:38">
      <c r="A227" s="907"/>
      <c r="B227" s="907"/>
      <c r="C227" s="907"/>
      <c r="D227" s="907"/>
      <c r="E227" s="907"/>
      <c r="F227" s="907"/>
      <c r="G227" s="907"/>
      <c r="H227" s="907"/>
      <c r="I227" s="907"/>
      <c r="J227" s="907"/>
      <c r="K227" s="907"/>
      <c r="L227" s="907"/>
      <c r="M227" s="907"/>
      <c r="N227" s="907"/>
      <c r="O227" s="907"/>
      <c r="P227" s="907"/>
      <c r="Q227" s="907"/>
      <c r="R227" s="907"/>
      <c r="S227" s="907"/>
      <c r="T227" s="907"/>
      <c r="U227" s="907"/>
      <c r="V227" s="907"/>
      <c r="W227" s="907"/>
      <c r="X227" s="907"/>
      <c r="Y227" s="907"/>
      <c r="Z227" s="907"/>
      <c r="AA227" s="907"/>
      <c r="AB227" s="907"/>
      <c r="AC227" s="907"/>
      <c r="AD227" s="907"/>
      <c r="AE227" s="907"/>
      <c r="AF227" s="907"/>
      <c r="AG227" s="907"/>
      <c r="AH227" s="907"/>
      <c r="AI227" s="907"/>
      <c r="AJ227" s="907"/>
      <c r="AK227" s="907"/>
      <c r="AL227" s="907"/>
    </row>
    <row r="228" spans="1:38">
      <c r="A228" s="907"/>
      <c r="B228" s="907"/>
      <c r="C228" s="907"/>
      <c r="D228" s="907"/>
      <c r="E228" s="907"/>
      <c r="F228" s="907"/>
      <c r="G228" s="907"/>
      <c r="H228" s="907"/>
      <c r="I228" s="907"/>
      <c r="J228" s="907"/>
      <c r="K228" s="907"/>
      <c r="L228" s="907"/>
      <c r="M228" s="907"/>
      <c r="N228" s="907"/>
      <c r="O228" s="907"/>
      <c r="P228" s="907"/>
      <c r="Q228" s="907"/>
      <c r="R228" s="907"/>
      <c r="S228" s="907"/>
      <c r="T228" s="907"/>
      <c r="U228" s="907"/>
      <c r="V228" s="907"/>
      <c r="W228" s="907"/>
      <c r="X228" s="907"/>
      <c r="Y228" s="907"/>
      <c r="Z228" s="907"/>
      <c r="AA228" s="907"/>
      <c r="AB228" s="907"/>
      <c r="AC228" s="907"/>
      <c r="AD228" s="907"/>
      <c r="AE228" s="907"/>
      <c r="AF228" s="907"/>
      <c r="AG228" s="907"/>
      <c r="AH228" s="907"/>
      <c r="AI228" s="907"/>
      <c r="AJ228" s="907"/>
      <c r="AK228" s="907"/>
      <c r="AL228" s="907"/>
    </row>
    <row r="229" spans="1:38">
      <c r="A229" s="907"/>
      <c r="B229" s="907"/>
      <c r="C229" s="907"/>
      <c r="D229" s="907"/>
      <c r="E229" s="907"/>
      <c r="F229" s="907"/>
      <c r="G229" s="907"/>
      <c r="H229" s="907"/>
      <c r="I229" s="907"/>
      <c r="J229" s="907"/>
      <c r="K229" s="907"/>
      <c r="L229" s="907"/>
      <c r="M229" s="907"/>
      <c r="N229" s="907"/>
      <c r="O229" s="907"/>
      <c r="P229" s="907"/>
      <c r="Q229" s="907"/>
      <c r="R229" s="907"/>
      <c r="S229" s="907"/>
      <c r="T229" s="907"/>
      <c r="U229" s="907"/>
      <c r="V229" s="907"/>
      <c r="W229" s="907"/>
      <c r="X229" s="907"/>
      <c r="Y229" s="907"/>
      <c r="Z229" s="907"/>
      <c r="AA229" s="907"/>
      <c r="AB229" s="907"/>
      <c r="AC229" s="907"/>
      <c r="AD229" s="907"/>
      <c r="AE229" s="907"/>
      <c r="AF229" s="907"/>
      <c r="AG229" s="907"/>
      <c r="AH229" s="907"/>
      <c r="AI229" s="907"/>
      <c r="AJ229" s="907"/>
      <c r="AK229" s="907"/>
      <c r="AL229" s="907"/>
    </row>
    <row r="230" spans="1:38">
      <c r="A230" s="907"/>
      <c r="B230" s="907"/>
      <c r="C230" s="907"/>
      <c r="D230" s="907"/>
      <c r="E230" s="907"/>
      <c r="F230" s="907"/>
      <c r="G230" s="907"/>
      <c r="H230" s="907"/>
      <c r="I230" s="907"/>
      <c r="J230" s="907"/>
      <c r="K230" s="907"/>
      <c r="L230" s="907"/>
      <c r="M230" s="907"/>
      <c r="N230" s="907"/>
      <c r="O230" s="907"/>
      <c r="P230" s="907"/>
      <c r="Q230" s="907"/>
      <c r="R230" s="907"/>
      <c r="S230" s="907"/>
      <c r="T230" s="907"/>
      <c r="U230" s="907"/>
      <c r="V230" s="907"/>
      <c r="W230" s="907"/>
      <c r="X230" s="907"/>
      <c r="Y230" s="907"/>
      <c r="Z230" s="907"/>
      <c r="AA230" s="907"/>
      <c r="AB230" s="907"/>
      <c r="AC230" s="907"/>
      <c r="AD230" s="907"/>
      <c r="AE230" s="907"/>
      <c r="AF230" s="907"/>
      <c r="AG230" s="907"/>
      <c r="AH230" s="907"/>
      <c r="AI230" s="907"/>
      <c r="AJ230" s="907"/>
      <c r="AK230" s="907"/>
      <c r="AL230" s="907"/>
    </row>
    <row r="231" spans="1:38">
      <c r="A231" s="907"/>
      <c r="B231" s="907"/>
      <c r="C231" s="907"/>
      <c r="D231" s="907"/>
      <c r="E231" s="907"/>
      <c r="F231" s="907"/>
      <c r="G231" s="907"/>
      <c r="H231" s="907"/>
      <c r="I231" s="907"/>
      <c r="J231" s="907"/>
      <c r="K231" s="907"/>
      <c r="L231" s="907"/>
      <c r="M231" s="907"/>
      <c r="N231" s="907"/>
      <c r="O231" s="907"/>
      <c r="P231" s="907"/>
      <c r="Q231" s="907"/>
      <c r="R231" s="907"/>
      <c r="S231" s="907"/>
      <c r="T231" s="907"/>
      <c r="U231" s="907"/>
      <c r="V231" s="907"/>
      <c r="W231" s="907"/>
      <c r="X231" s="907"/>
      <c r="Y231" s="907"/>
      <c r="Z231" s="907"/>
      <c r="AA231" s="907"/>
      <c r="AB231" s="907"/>
      <c r="AC231" s="907"/>
      <c r="AD231" s="907"/>
      <c r="AE231" s="907"/>
      <c r="AF231" s="907"/>
      <c r="AG231" s="907"/>
      <c r="AH231" s="907"/>
      <c r="AI231" s="907"/>
      <c r="AJ231" s="907"/>
      <c r="AK231" s="907"/>
      <c r="AL231" s="907"/>
    </row>
    <row r="232" spans="1:38">
      <c r="A232" s="907"/>
      <c r="B232" s="907"/>
      <c r="C232" s="907"/>
      <c r="D232" s="907"/>
      <c r="E232" s="907"/>
      <c r="F232" s="907"/>
      <c r="G232" s="907"/>
      <c r="H232" s="907"/>
      <c r="I232" s="907"/>
      <c r="J232" s="907"/>
      <c r="K232" s="907"/>
      <c r="L232" s="907"/>
      <c r="M232" s="907"/>
      <c r="N232" s="907"/>
      <c r="O232" s="907"/>
      <c r="P232" s="907"/>
      <c r="Q232" s="907"/>
      <c r="R232" s="907"/>
      <c r="S232" s="907"/>
      <c r="T232" s="907"/>
      <c r="U232" s="907"/>
      <c r="V232" s="907"/>
      <c r="W232" s="907"/>
      <c r="X232" s="907"/>
      <c r="Y232" s="907"/>
      <c r="Z232" s="907"/>
      <c r="AA232" s="907"/>
      <c r="AB232" s="907"/>
      <c r="AC232" s="907"/>
      <c r="AD232" s="907"/>
      <c r="AE232" s="907"/>
      <c r="AF232" s="907"/>
      <c r="AG232" s="907"/>
      <c r="AH232" s="907"/>
      <c r="AI232" s="907"/>
      <c r="AJ232" s="907"/>
      <c r="AK232" s="907"/>
      <c r="AL232" s="907"/>
    </row>
    <row r="233" spans="1:38">
      <c r="A233" s="907"/>
      <c r="B233" s="907"/>
      <c r="C233" s="907"/>
      <c r="D233" s="907"/>
      <c r="E233" s="907"/>
      <c r="F233" s="907"/>
      <c r="G233" s="907"/>
      <c r="H233" s="907"/>
      <c r="I233" s="907"/>
      <c r="J233" s="907"/>
      <c r="K233" s="907"/>
      <c r="L233" s="907"/>
      <c r="M233" s="907"/>
      <c r="N233" s="907"/>
      <c r="O233" s="907"/>
      <c r="P233" s="907"/>
      <c r="Q233" s="907"/>
      <c r="R233" s="907"/>
      <c r="S233" s="907"/>
      <c r="T233" s="907"/>
      <c r="U233" s="907"/>
      <c r="V233" s="907"/>
      <c r="W233" s="907"/>
      <c r="X233" s="907"/>
      <c r="Y233" s="907"/>
      <c r="Z233" s="907"/>
      <c r="AA233" s="907"/>
      <c r="AB233" s="907"/>
      <c r="AC233" s="907"/>
      <c r="AD233" s="907"/>
      <c r="AE233" s="907"/>
      <c r="AF233" s="907"/>
      <c r="AG233" s="907"/>
      <c r="AH233" s="907"/>
      <c r="AI233" s="907"/>
      <c r="AJ233" s="907"/>
      <c r="AK233" s="907"/>
      <c r="AL233" s="907"/>
    </row>
    <row r="234" spans="1:38">
      <c r="A234" s="907"/>
      <c r="B234" s="907"/>
      <c r="C234" s="907"/>
      <c r="D234" s="907"/>
      <c r="E234" s="907"/>
      <c r="F234" s="907"/>
      <c r="G234" s="907"/>
      <c r="H234" s="907"/>
      <c r="I234" s="907"/>
      <c r="J234" s="907"/>
      <c r="K234" s="907"/>
      <c r="L234" s="907"/>
      <c r="M234" s="907"/>
      <c r="N234" s="907"/>
      <c r="O234" s="907"/>
      <c r="P234" s="907"/>
      <c r="Q234" s="907"/>
      <c r="R234" s="907"/>
      <c r="S234" s="907"/>
      <c r="T234" s="907"/>
      <c r="U234" s="907"/>
      <c r="V234" s="907"/>
      <c r="W234" s="907"/>
      <c r="X234" s="907"/>
      <c r="Y234" s="907"/>
      <c r="Z234" s="907"/>
      <c r="AA234" s="907"/>
      <c r="AB234" s="907"/>
      <c r="AC234" s="907"/>
      <c r="AD234" s="907"/>
      <c r="AE234" s="907"/>
      <c r="AF234" s="907"/>
      <c r="AG234" s="907"/>
      <c r="AH234" s="907"/>
      <c r="AI234" s="907"/>
      <c r="AJ234" s="907"/>
      <c r="AK234" s="907"/>
      <c r="AL234" s="907"/>
    </row>
    <row r="235" spans="1:38">
      <c r="A235" s="907"/>
      <c r="B235" s="907"/>
      <c r="C235" s="907"/>
      <c r="D235" s="907"/>
      <c r="E235" s="907"/>
      <c r="F235" s="907"/>
      <c r="G235" s="907"/>
      <c r="H235" s="907"/>
      <c r="I235" s="907"/>
      <c r="J235" s="907"/>
      <c r="K235" s="907"/>
      <c r="L235" s="907"/>
      <c r="M235" s="907"/>
      <c r="N235" s="907"/>
      <c r="O235" s="907"/>
      <c r="P235" s="907"/>
      <c r="Q235" s="907"/>
      <c r="R235" s="907"/>
      <c r="S235" s="907"/>
      <c r="T235" s="907"/>
      <c r="U235" s="907"/>
      <c r="V235" s="907"/>
      <c r="W235" s="907"/>
      <c r="X235" s="907"/>
      <c r="Y235" s="907"/>
      <c r="Z235" s="907"/>
      <c r="AA235" s="907"/>
      <c r="AB235" s="907"/>
      <c r="AC235" s="907"/>
      <c r="AD235" s="907"/>
      <c r="AE235" s="907"/>
      <c r="AF235" s="907"/>
      <c r="AG235" s="907"/>
      <c r="AH235" s="907"/>
      <c r="AI235" s="907"/>
      <c r="AJ235" s="907"/>
      <c r="AK235" s="907"/>
      <c r="AL235" s="907"/>
    </row>
    <row r="236" spans="1:38">
      <c r="A236" s="907"/>
      <c r="B236" s="907"/>
      <c r="C236" s="907"/>
      <c r="D236" s="907"/>
      <c r="E236" s="907"/>
      <c r="F236" s="907"/>
      <c r="G236" s="907"/>
      <c r="H236" s="907"/>
      <c r="I236" s="907"/>
      <c r="J236" s="907"/>
      <c r="K236" s="907"/>
      <c r="L236" s="907"/>
      <c r="M236" s="907"/>
      <c r="N236" s="907"/>
      <c r="O236" s="907"/>
      <c r="P236" s="907"/>
      <c r="Q236" s="907"/>
      <c r="R236" s="907"/>
      <c r="S236" s="907"/>
      <c r="T236" s="907"/>
      <c r="U236" s="907"/>
      <c r="V236" s="907"/>
      <c r="W236" s="907"/>
      <c r="X236" s="907"/>
      <c r="Y236" s="907"/>
      <c r="Z236" s="907"/>
      <c r="AA236" s="907"/>
      <c r="AB236" s="907"/>
      <c r="AC236" s="907"/>
      <c r="AD236" s="907"/>
      <c r="AE236" s="907"/>
      <c r="AF236" s="907"/>
      <c r="AG236" s="907"/>
      <c r="AH236" s="907"/>
      <c r="AI236" s="907"/>
      <c r="AJ236" s="907"/>
      <c r="AK236" s="907"/>
      <c r="AL236" s="907"/>
    </row>
    <row r="237" spans="1:38">
      <c r="A237" s="907"/>
      <c r="B237" s="907"/>
      <c r="C237" s="907"/>
      <c r="D237" s="907"/>
      <c r="E237" s="907"/>
      <c r="F237" s="907"/>
      <c r="G237" s="907"/>
      <c r="H237" s="907"/>
      <c r="I237" s="907"/>
      <c r="J237" s="907"/>
      <c r="K237" s="907"/>
      <c r="L237" s="907"/>
      <c r="M237" s="907"/>
      <c r="N237" s="907"/>
      <c r="O237" s="907"/>
      <c r="P237" s="907"/>
      <c r="Q237" s="907"/>
      <c r="R237" s="907"/>
      <c r="S237" s="907"/>
      <c r="T237" s="907"/>
      <c r="U237" s="907"/>
      <c r="V237" s="907"/>
      <c r="W237" s="907"/>
      <c r="X237" s="907"/>
      <c r="Y237" s="907"/>
      <c r="Z237" s="907"/>
      <c r="AA237" s="907"/>
      <c r="AB237" s="907"/>
      <c r="AC237" s="907"/>
      <c r="AD237" s="907"/>
      <c r="AE237" s="907"/>
      <c r="AF237" s="907"/>
      <c r="AG237" s="907"/>
      <c r="AH237" s="907"/>
      <c r="AI237" s="907"/>
      <c r="AJ237" s="907"/>
      <c r="AK237" s="907"/>
      <c r="AL237" s="907"/>
    </row>
    <row r="238" spans="1:38">
      <c r="A238" s="907"/>
      <c r="B238" s="907"/>
      <c r="C238" s="907"/>
      <c r="D238" s="907"/>
      <c r="E238" s="907"/>
      <c r="F238" s="907"/>
      <c r="G238" s="907"/>
      <c r="H238" s="907"/>
      <c r="I238" s="907"/>
      <c r="J238" s="907"/>
      <c r="K238" s="907"/>
      <c r="L238" s="907"/>
      <c r="M238" s="907"/>
      <c r="N238" s="907"/>
      <c r="O238" s="907"/>
      <c r="P238" s="907"/>
      <c r="Q238" s="907"/>
      <c r="R238" s="907"/>
      <c r="S238" s="907"/>
      <c r="T238" s="907"/>
      <c r="U238" s="907"/>
      <c r="V238" s="907"/>
      <c r="W238" s="907"/>
      <c r="X238" s="907"/>
      <c r="Y238" s="907"/>
      <c r="Z238" s="907"/>
      <c r="AA238" s="907"/>
      <c r="AB238" s="907"/>
      <c r="AC238" s="907"/>
      <c r="AD238" s="907"/>
      <c r="AE238" s="907"/>
      <c r="AF238" s="907"/>
      <c r="AG238" s="907"/>
      <c r="AH238" s="907"/>
      <c r="AI238" s="907"/>
      <c r="AJ238" s="907"/>
      <c r="AK238" s="907"/>
      <c r="AL238" s="907"/>
    </row>
    <row r="239" spans="1:38">
      <c r="A239" s="907"/>
      <c r="B239" s="907"/>
      <c r="C239" s="907"/>
      <c r="D239" s="907"/>
      <c r="E239" s="907"/>
      <c r="F239" s="907"/>
      <c r="G239" s="907"/>
      <c r="H239" s="907"/>
      <c r="I239" s="907"/>
      <c r="J239" s="907"/>
      <c r="K239" s="907"/>
      <c r="L239" s="907"/>
      <c r="M239" s="907"/>
      <c r="N239" s="907"/>
      <c r="O239" s="907"/>
      <c r="P239" s="907"/>
      <c r="Q239" s="907"/>
      <c r="R239" s="907"/>
      <c r="S239" s="907"/>
      <c r="T239" s="907"/>
      <c r="U239" s="907"/>
      <c r="V239" s="907"/>
      <c r="W239" s="907"/>
      <c r="X239" s="907"/>
      <c r="Y239" s="907"/>
      <c r="Z239" s="907"/>
      <c r="AA239" s="907"/>
      <c r="AB239" s="907"/>
      <c r="AC239" s="907"/>
      <c r="AD239" s="907"/>
      <c r="AE239" s="907"/>
      <c r="AF239" s="907"/>
      <c r="AG239" s="907"/>
      <c r="AH239" s="907"/>
      <c r="AI239" s="907"/>
      <c r="AJ239" s="907"/>
      <c r="AK239" s="907"/>
      <c r="AL239" s="907"/>
    </row>
    <row r="240" spans="1:38">
      <c r="A240" s="907"/>
      <c r="B240" s="907"/>
      <c r="C240" s="907"/>
      <c r="D240" s="907"/>
      <c r="E240" s="907"/>
      <c r="F240" s="907"/>
      <c r="G240" s="907"/>
      <c r="H240" s="907"/>
      <c r="I240" s="907"/>
      <c r="J240" s="907"/>
      <c r="K240" s="907"/>
      <c r="L240" s="907"/>
      <c r="M240" s="907"/>
      <c r="N240" s="907"/>
      <c r="O240" s="907"/>
      <c r="P240" s="907"/>
      <c r="Q240" s="907"/>
      <c r="R240" s="907"/>
      <c r="S240" s="907"/>
      <c r="T240" s="907"/>
      <c r="U240" s="907"/>
      <c r="V240" s="907"/>
      <c r="W240" s="907"/>
      <c r="X240" s="907"/>
      <c r="Y240" s="907"/>
      <c r="Z240" s="907"/>
      <c r="AA240" s="907"/>
      <c r="AB240" s="907"/>
      <c r="AC240" s="907"/>
      <c r="AD240" s="907"/>
      <c r="AE240" s="907"/>
      <c r="AF240" s="907"/>
      <c r="AG240" s="907"/>
      <c r="AH240" s="907"/>
      <c r="AI240" s="907"/>
      <c r="AJ240" s="907"/>
      <c r="AK240" s="907"/>
      <c r="AL240" s="907"/>
    </row>
    <row r="241" spans="1:38">
      <c r="A241" s="907"/>
      <c r="B241" s="907"/>
      <c r="C241" s="907"/>
      <c r="D241" s="907"/>
      <c r="E241" s="907"/>
      <c r="F241" s="907"/>
      <c r="G241" s="907"/>
      <c r="H241" s="907"/>
      <c r="I241" s="907"/>
      <c r="J241" s="907"/>
      <c r="K241" s="907"/>
      <c r="L241" s="907"/>
      <c r="M241" s="907"/>
      <c r="N241" s="907"/>
      <c r="O241" s="907"/>
      <c r="P241" s="907"/>
      <c r="Q241" s="907"/>
      <c r="R241" s="907"/>
      <c r="S241" s="907"/>
      <c r="T241" s="907"/>
      <c r="U241" s="907"/>
      <c r="V241" s="907"/>
      <c r="W241" s="907"/>
      <c r="X241" s="907"/>
      <c r="Y241" s="907"/>
      <c r="Z241" s="907"/>
      <c r="AA241" s="907"/>
      <c r="AB241" s="907"/>
      <c r="AC241" s="907"/>
      <c r="AD241" s="907"/>
      <c r="AE241" s="907"/>
      <c r="AF241" s="907"/>
      <c r="AG241" s="907"/>
      <c r="AH241" s="907"/>
      <c r="AI241" s="907"/>
      <c r="AJ241" s="907"/>
      <c r="AK241" s="907"/>
      <c r="AL241" s="907"/>
    </row>
    <row r="242" spans="1:38">
      <c r="A242" s="907"/>
      <c r="B242" s="907"/>
      <c r="C242" s="907"/>
      <c r="D242" s="907"/>
      <c r="E242" s="907"/>
      <c r="F242" s="907"/>
      <c r="G242" s="907"/>
      <c r="H242" s="907"/>
      <c r="I242" s="907"/>
      <c r="J242" s="907"/>
      <c r="K242" s="907"/>
      <c r="L242" s="907"/>
      <c r="M242" s="907"/>
      <c r="N242" s="907"/>
      <c r="O242" s="907"/>
      <c r="P242" s="907"/>
      <c r="Q242" s="907"/>
      <c r="R242" s="907"/>
      <c r="S242" s="907"/>
      <c r="T242" s="907"/>
      <c r="U242" s="907"/>
      <c r="V242" s="907"/>
      <c r="W242" s="907"/>
      <c r="X242" s="907"/>
      <c r="Y242" s="907"/>
      <c r="Z242" s="907"/>
      <c r="AA242" s="907"/>
      <c r="AB242" s="907"/>
      <c r="AC242" s="907"/>
      <c r="AD242" s="907"/>
      <c r="AE242" s="907"/>
      <c r="AF242" s="907"/>
      <c r="AG242" s="907"/>
      <c r="AH242" s="907"/>
      <c r="AI242" s="907"/>
      <c r="AJ242" s="907"/>
      <c r="AK242" s="907"/>
      <c r="AL242" s="907"/>
    </row>
    <row r="243" spans="1:38">
      <c r="A243" s="907"/>
      <c r="B243" s="907"/>
      <c r="C243" s="907"/>
      <c r="D243" s="907"/>
      <c r="E243" s="907"/>
      <c r="F243" s="907"/>
      <c r="G243" s="907"/>
      <c r="H243" s="907"/>
      <c r="I243" s="907"/>
      <c r="J243" s="907"/>
      <c r="K243" s="907"/>
      <c r="L243" s="907"/>
      <c r="M243" s="907"/>
      <c r="N243" s="907"/>
      <c r="O243" s="907"/>
      <c r="P243" s="907"/>
      <c r="Q243" s="907"/>
      <c r="R243" s="907"/>
      <c r="S243" s="907"/>
      <c r="T243" s="907"/>
      <c r="U243" s="907"/>
      <c r="V243" s="907"/>
      <c r="W243" s="907"/>
      <c r="X243" s="907"/>
      <c r="Y243" s="907"/>
      <c r="Z243" s="907"/>
      <c r="AA243" s="907"/>
      <c r="AB243" s="907"/>
      <c r="AC243" s="907"/>
      <c r="AD243" s="907"/>
      <c r="AE243" s="907"/>
      <c r="AF243" s="907"/>
      <c r="AG243" s="907"/>
      <c r="AH243" s="907"/>
      <c r="AI243" s="907"/>
      <c r="AJ243" s="907"/>
      <c r="AK243" s="907"/>
      <c r="AL243" s="907"/>
    </row>
    <row r="244" spans="1:38">
      <c r="A244" s="907"/>
      <c r="B244" s="907"/>
      <c r="C244" s="907"/>
      <c r="D244" s="907"/>
      <c r="E244" s="907"/>
      <c r="F244" s="907"/>
      <c r="G244" s="907"/>
      <c r="H244" s="907"/>
      <c r="I244" s="907"/>
      <c r="J244" s="907"/>
      <c r="K244" s="907"/>
      <c r="L244" s="907"/>
      <c r="M244" s="907"/>
      <c r="N244" s="907"/>
      <c r="O244" s="907"/>
      <c r="P244" s="907"/>
      <c r="Q244" s="907"/>
      <c r="R244" s="907"/>
      <c r="S244" s="907"/>
      <c r="T244" s="907"/>
      <c r="U244" s="907"/>
      <c r="V244" s="907"/>
      <c r="W244" s="907"/>
      <c r="X244" s="907"/>
      <c r="Y244" s="907"/>
      <c r="Z244" s="907"/>
      <c r="AA244" s="907"/>
      <c r="AB244" s="907"/>
      <c r="AC244" s="907"/>
      <c r="AD244" s="907"/>
      <c r="AE244" s="907"/>
      <c r="AF244" s="907"/>
      <c r="AG244" s="907"/>
      <c r="AH244" s="907"/>
      <c r="AI244" s="907"/>
      <c r="AJ244" s="907"/>
      <c r="AK244" s="907"/>
      <c r="AL244" s="907"/>
    </row>
    <row r="245" spans="1:38">
      <c r="A245" s="907"/>
      <c r="B245" s="907"/>
      <c r="C245" s="907"/>
      <c r="D245" s="907"/>
      <c r="E245" s="907"/>
      <c r="F245" s="907"/>
      <c r="G245" s="907"/>
      <c r="H245" s="907"/>
      <c r="I245" s="907"/>
      <c r="J245" s="907"/>
      <c r="K245" s="907"/>
      <c r="L245" s="907"/>
      <c r="M245" s="907"/>
      <c r="N245" s="907"/>
      <c r="O245" s="907"/>
      <c r="P245" s="907"/>
      <c r="Q245" s="907"/>
      <c r="R245" s="907"/>
      <c r="S245" s="907"/>
      <c r="T245" s="907"/>
      <c r="U245" s="907"/>
      <c r="V245" s="907"/>
      <c r="W245" s="907"/>
      <c r="X245" s="907"/>
      <c r="Y245" s="907"/>
      <c r="Z245" s="907"/>
      <c r="AA245" s="907"/>
      <c r="AB245" s="907"/>
      <c r="AC245" s="907"/>
      <c r="AD245" s="907"/>
      <c r="AE245" s="907"/>
      <c r="AF245" s="907"/>
      <c r="AG245" s="907"/>
      <c r="AH245" s="907"/>
      <c r="AI245" s="907"/>
      <c r="AJ245" s="907"/>
      <c r="AK245" s="907"/>
      <c r="AL245" s="907"/>
    </row>
    <row r="246" spans="1:38">
      <c r="A246" s="907"/>
      <c r="B246" s="907"/>
      <c r="C246" s="907"/>
      <c r="D246" s="907"/>
      <c r="E246" s="907"/>
      <c r="F246" s="907"/>
      <c r="G246" s="907"/>
      <c r="H246" s="907"/>
      <c r="I246" s="907"/>
      <c r="J246" s="907"/>
      <c r="K246" s="907"/>
      <c r="L246" s="907"/>
      <c r="M246" s="907"/>
      <c r="N246" s="907"/>
      <c r="O246" s="907"/>
      <c r="P246" s="907"/>
      <c r="Q246" s="907"/>
      <c r="R246" s="907"/>
      <c r="S246" s="907"/>
      <c r="T246" s="907"/>
      <c r="U246" s="907"/>
      <c r="V246" s="907"/>
      <c r="W246" s="907"/>
      <c r="X246" s="907"/>
      <c r="Y246" s="907"/>
      <c r="Z246" s="907"/>
      <c r="AA246" s="907"/>
      <c r="AB246" s="907"/>
      <c r="AC246" s="907"/>
      <c r="AD246" s="907"/>
      <c r="AE246" s="907"/>
      <c r="AF246" s="907"/>
      <c r="AG246" s="907"/>
      <c r="AH246" s="907"/>
      <c r="AI246" s="907"/>
      <c r="AJ246" s="907"/>
      <c r="AK246" s="907"/>
      <c r="AL246" s="907"/>
    </row>
    <row r="247" spans="1:38">
      <c r="A247" s="907"/>
      <c r="B247" s="907"/>
      <c r="C247" s="907"/>
      <c r="D247" s="907"/>
      <c r="E247" s="907"/>
      <c r="F247" s="907"/>
      <c r="G247" s="907"/>
      <c r="H247" s="907"/>
      <c r="I247" s="907"/>
      <c r="J247" s="907"/>
      <c r="K247" s="907"/>
      <c r="L247" s="907"/>
      <c r="M247" s="907"/>
      <c r="N247" s="907"/>
      <c r="O247" s="907"/>
      <c r="P247" s="907"/>
      <c r="Q247" s="907"/>
      <c r="R247" s="907"/>
      <c r="S247" s="907"/>
      <c r="T247" s="907"/>
      <c r="U247" s="907"/>
      <c r="V247" s="907"/>
      <c r="W247" s="907"/>
      <c r="X247" s="907"/>
      <c r="Y247" s="907"/>
      <c r="Z247" s="907"/>
      <c r="AA247" s="907"/>
      <c r="AB247" s="907"/>
      <c r="AC247" s="907"/>
      <c r="AD247" s="907"/>
      <c r="AE247" s="907"/>
      <c r="AF247" s="907"/>
      <c r="AG247" s="907"/>
      <c r="AH247" s="907"/>
      <c r="AI247" s="907"/>
      <c r="AJ247" s="907"/>
      <c r="AK247" s="907"/>
      <c r="AL247" s="907"/>
    </row>
    <row r="248" spans="1:38">
      <c r="A248" s="907"/>
      <c r="B248" s="907"/>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c r="AB248" s="907"/>
      <c r="AC248" s="907"/>
      <c r="AD248" s="907"/>
      <c r="AE248" s="907"/>
      <c r="AF248" s="907"/>
      <c r="AG248" s="907"/>
      <c r="AH248" s="907"/>
      <c r="AI248" s="907"/>
      <c r="AJ248" s="907"/>
      <c r="AK248" s="907"/>
      <c r="AL248" s="907"/>
    </row>
    <row r="249" spans="1:38">
      <c r="A249" s="907"/>
      <c r="B249" s="907"/>
      <c r="C249" s="907"/>
      <c r="D249" s="907"/>
      <c r="E249" s="907"/>
      <c r="F249" s="907"/>
      <c r="G249" s="907"/>
      <c r="H249" s="907"/>
      <c r="I249" s="907"/>
      <c r="J249" s="907"/>
      <c r="K249" s="907"/>
      <c r="L249" s="907"/>
      <c r="M249" s="907"/>
      <c r="N249" s="907"/>
      <c r="O249" s="907"/>
      <c r="P249" s="907"/>
      <c r="Q249" s="907"/>
      <c r="R249" s="907"/>
      <c r="S249" s="907"/>
      <c r="T249" s="907"/>
      <c r="U249" s="907"/>
      <c r="V249" s="907"/>
      <c r="W249" s="907"/>
      <c r="X249" s="907"/>
      <c r="Y249" s="907"/>
      <c r="Z249" s="907"/>
      <c r="AA249" s="907"/>
      <c r="AB249" s="907"/>
      <c r="AC249" s="907"/>
      <c r="AD249" s="907"/>
      <c r="AE249" s="907"/>
      <c r="AF249" s="907"/>
      <c r="AG249" s="907"/>
      <c r="AH249" s="907"/>
      <c r="AI249" s="907"/>
      <c r="AJ249" s="907"/>
      <c r="AK249" s="907"/>
      <c r="AL249" s="907"/>
    </row>
    <row r="250" spans="1:38">
      <c r="A250" s="907"/>
      <c r="B250" s="907"/>
      <c r="C250" s="907"/>
      <c r="D250" s="907"/>
      <c r="E250" s="907"/>
      <c r="F250" s="907"/>
      <c r="G250" s="907"/>
      <c r="H250" s="907"/>
      <c r="I250" s="907"/>
      <c r="J250" s="907"/>
      <c r="K250" s="907"/>
      <c r="L250" s="907"/>
      <c r="M250" s="907"/>
      <c r="N250" s="907"/>
      <c r="O250" s="907"/>
      <c r="P250" s="907"/>
      <c r="Q250" s="907"/>
      <c r="R250" s="907"/>
      <c r="S250" s="907"/>
      <c r="T250" s="907"/>
      <c r="U250" s="907"/>
      <c r="V250" s="907"/>
      <c r="W250" s="907"/>
      <c r="X250" s="907"/>
      <c r="Y250" s="907"/>
      <c r="Z250" s="907"/>
      <c r="AA250" s="907"/>
      <c r="AB250" s="907"/>
      <c r="AC250" s="907"/>
      <c r="AD250" s="907"/>
      <c r="AE250" s="907"/>
      <c r="AF250" s="907"/>
      <c r="AG250" s="907"/>
      <c r="AH250" s="907"/>
      <c r="AI250" s="907"/>
      <c r="AJ250" s="907"/>
      <c r="AK250" s="907"/>
      <c r="AL250" s="907"/>
    </row>
    <row r="251" spans="1:38">
      <c r="A251" s="907"/>
      <c r="B251" s="907"/>
      <c r="C251" s="907"/>
      <c r="D251" s="907"/>
      <c r="E251" s="907"/>
      <c r="F251" s="907"/>
      <c r="G251" s="907"/>
      <c r="H251" s="907"/>
      <c r="I251" s="907"/>
      <c r="J251" s="907"/>
      <c r="K251" s="907"/>
      <c r="L251" s="907"/>
      <c r="M251" s="907"/>
      <c r="N251" s="907"/>
      <c r="O251" s="907"/>
      <c r="P251" s="907"/>
      <c r="Q251" s="907"/>
      <c r="R251" s="907"/>
      <c r="S251" s="907"/>
      <c r="T251" s="907"/>
      <c r="U251" s="907"/>
      <c r="V251" s="907"/>
      <c r="W251" s="907"/>
      <c r="X251" s="907"/>
      <c r="Y251" s="907"/>
      <c r="Z251" s="907"/>
      <c r="AA251" s="907"/>
      <c r="AB251" s="907"/>
      <c r="AC251" s="907"/>
      <c r="AD251" s="907"/>
      <c r="AE251" s="907"/>
      <c r="AF251" s="907"/>
      <c r="AG251" s="907"/>
      <c r="AH251" s="907"/>
      <c r="AI251" s="907"/>
      <c r="AJ251" s="907"/>
      <c r="AK251" s="907"/>
      <c r="AL251" s="907"/>
    </row>
    <row r="252" spans="1:38">
      <c r="A252" s="907"/>
      <c r="B252" s="907"/>
      <c r="C252" s="907"/>
      <c r="D252" s="907"/>
      <c r="E252" s="907"/>
      <c r="F252" s="907"/>
      <c r="G252" s="907"/>
      <c r="H252" s="907"/>
      <c r="I252" s="907"/>
      <c r="J252" s="907"/>
      <c r="K252" s="907"/>
      <c r="L252" s="907"/>
      <c r="M252" s="907"/>
      <c r="N252" s="907"/>
      <c r="O252" s="907"/>
      <c r="P252" s="907"/>
      <c r="Q252" s="907"/>
      <c r="R252" s="907"/>
      <c r="S252" s="907"/>
      <c r="T252" s="907"/>
      <c r="U252" s="907"/>
      <c r="V252" s="907"/>
      <c r="W252" s="907"/>
      <c r="X252" s="907"/>
      <c r="Y252" s="907"/>
      <c r="Z252" s="907"/>
      <c r="AA252" s="907"/>
      <c r="AB252" s="907"/>
      <c r="AC252" s="907"/>
      <c r="AD252" s="907"/>
      <c r="AE252" s="907"/>
      <c r="AF252" s="907"/>
      <c r="AG252" s="907"/>
      <c r="AH252" s="907"/>
      <c r="AI252" s="907"/>
      <c r="AJ252" s="907"/>
      <c r="AK252" s="907"/>
      <c r="AL252" s="907"/>
    </row>
    <row r="253" spans="1:38">
      <c r="A253" s="907"/>
      <c r="B253" s="907"/>
      <c r="C253" s="907"/>
      <c r="D253" s="907"/>
      <c r="E253" s="907"/>
      <c r="F253" s="907"/>
      <c r="G253" s="907"/>
      <c r="H253" s="907"/>
      <c r="I253" s="907"/>
      <c r="J253" s="907"/>
      <c r="K253" s="907"/>
      <c r="L253" s="907"/>
      <c r="M253" s="907"/>
      <c r="N253" s="907"/>
      <c r="O253" s="907"/>
      <c r="P253" s="907"/>
      <c r="Q253" s="907"/>
      <c r="R253" s="907"/>
      <c r="S253" s="907"/>
      <c r="T253" s="907"/>
      <c r="U253" s="907"/>
      <c r="V253" s="907"/>
      <c r="W253" s="907"/>
      <c r="X253" s="907"/>
      <c r="Y253" s="907"/>
      <c r="Z253" s="907"/>
      <c r="AA253" s="907"/>
      <c r="AB253" s="907"/>
      <c r="AC253" s="907"/>
      <c r="AD253" s="907"/>
      <c r="AE253" s="907"/>
      <c r="AF253" s="907"/>
      <c r="AG253" s="907"/>
      <c r="AH253" s="907"/>
      <c r="AI253" s="907"/>
      <c r="AJ253" s="907"/>
      <c r="AK253" s="907"/>
      <c r="AL253" s="907"/>
    </row>
    <row r="254" spans="1:38">
      <c r="A254" s="907"/>
      <c r="B254" s="907"/>
      <c r="C254" s="907"/>
      <c r="D254" s="907"/>
      <c r="E254" s="907"/>
      <c r="F254" s="907"/>
      <c r="G254" s="907"/>
      <c r="H254" s="907"/>
      <c r="I254" s="907"/>
      <c r="J254" s="907"/>
      <c r="K254" s="907"/>
      <c r="L254" s="907"/>
      <c r="M254" s="907"/>
      <c r="N254" s="907"/>
      <c r="O254" s="907"/>
      <c r="P254" s="907"/>
      <c r="Q254" s="907"/>
      <c r="R254" s="907"/>
      <c r="S254" s="907"/>
      <c r="T254" s="907"/>
      <c r="U254" s="907"/>
      <c r="V254" s="907"/>
      <c r="W254" s="907"/>
      <c r="X254" s="907"/>
      <c r="Y254" s="907"/>
      <c r="Z254" s="907"/>
      <c r="AA254" s="907"/>
      <c r="AB254" s="907"/>
      <c r="AC254" s="907"/>
      <c r="AD254" s="907"/>
      <c r="AE254" s="907"/>
      <c r="AF254" s="907"/>
      <c r="AG254" s="907"/>
      <c r="AH254" s="907"/>
      <c r="AI254" s="907"/>
      <c r="AJ254" s="907"/>
      <c r="AK254" s="907"/>
      <c r="AL254" s="907"/>
    </row>
    <row r="255" spans="1:38">
      <c r="A255" s="907"/>
      <c r="B255" s="907"/>
      <c r="C255" s="907"/>
      <c r="D255" s="907"/>
      <c r="E255" s="907"/>
      <c r="F255" s="907"/>
      <c r="G255" s="907"/>
      <c r="H255" s="907"/>
      <c r="I255" s="907"/>
      <c r="J255" s="907"/>
      <c r="K255" s="907"/>
      <c r="L255" s="907"/>
      <c r="M255" s="907"/>
      <c r="N255" s="907"/>
      <c r="O255" s="907"/>
      <c r="P255" s="907"/>
      <c r="Q255" s="907"/>
      <c r="R255" s="907"/>
      <c r="S255" s="907"/>
      <c r="T255" s="907"/>
      <c r="U255" s="907"/>
      <c r="V255" s="907"/>
      <c r="W255" s="907"/>
      <c r="X255" s="907"/>
      <c r="Y255" s="907"/>
      <c r="Z255" s="907"/>
      <c r="AA255" s="907"/>
      <c r="AB255" s="907"/>
      <c r="AC255" s="907"/>
      <c r="AD255" s="907"/>
      <c r="AE255" s="907"/>
      <c r="AF255" s="907"/>
      <c r="AG255" s="907"/>
      <c r="AH255" s="907"/>
      <c r="AI255" s="907"/>
      <c r="AJ255" s="907"/>
      <c r="AK255" s="907"/>
      <c r="AL255" s="907"/>
    </row>
    <row r="256" spans="1:38">
      <c r="A256" s="907"/>
      <c r="B256" s="907"/>
      <c r="C256" s="907"/>
      <c r="D256" s="907"/>
      <c r="E256" s="907"/>
      <c r="F256" s="907"/>
      <c r="G256" s="907"/>
      <c r="H256" s="907"/>
      <c r="I256" s="907"/>
      <c r="J256" s="907"/>
      <c r="K256" s="907"/>
      <c r="L256" s="907"/>
      <c r="M256" s="907"/>
      <c r="N256" s="907"/>
      <c r="O256" s="907"/>
      <c r="P256" s="907"/>
      <c r="Q256" s="907"/>
      <c r="R256" s="907"/>
      <c r="S256" s="907"/>
      <c r="T256" s="907"/>
      <c r="U256" s="907"/>
      <c r="V256" s="907"/>
      <c r="W256" s="907"/>
      <c r="X256" s="907"/>
      <c r="Y256" s="907"/>
      <c r="Z256" s="907"/>
      <c r="AA256" s="907"/>
      <c r="AB256" s="907"/>
      <c r="AC256" s="907"/>
      <c r="AD256" s="907"/>
      <c r="AE256" s="907"/>
      <c r="AF256" s="907"/>
      <c r="AG256" s="907"/>
      <c r="AH256" s="907"/>
      <c r="AI256" s="907"/>
      <c r="AJ256" s="907"/>
      <c r="AK256" s="907"/>
      <c r="AL256" s="907"/>
    </row>
    <row r="257" spans="1:38">
      <c r="A257" s="907"/>
      <c r="B257" s="907"/>
      <c r="C257" s="907"/>
      <c r="D257" s="907"/>
      <c r="E257" s="907"/>
      <c r="F257" s="907"/>
      <c r="G257" s="907"/>
      <c r="H257" s="907"/>
      <c r="I257" s="907"/>
      <c r="J257" s="907"/>
      <c r="K257" s="907"/>
      <c r="L257" s="907"/>
      <c r="M257" s="907"/>
      <c r="N257" s="907"/>
      <c r="O257" s="907"/>
      <c r="P257" s="907"/>
      <c r="Q257" s="907"/>
      <c r="R257" s="907"/>
      <c r="S257" s="907"/>
      <c r="T257" s="907"/>
      <c r="U257" s="907"/>
      <c r="V257" s="907"/>
      <c r="W257" s="907"/>
      <c r="X257" s="907"/>
      <c r="Y257" s="907"/>
      <c r="Z257" s="907"/>
      <c r="AA257" s="907"/>
      <c r="AB257" s="907"/>
      <c r="AC257" s="907"/>
      <c r="AD257" s="907"/>
      <c r="AE257" s="907"/>
      <c r="AF257" s="907"/>
      <c r="AG257" s="907"/>
      <c r="AH257" s="907"/>
      <c r="AI257" s="907"/>
      <c r="AJ257" s="907"/>
      <c r="AK257" s="907"/>
      <c r="AL257" s="907"/>
    </row>
    <row r="258" spans="1:38">
      <c r="A258" s="907"/>
      <c r="B258" s="907"/>
      <c r="C258" s="907"/>
      <c r="D258" s="907"/>
      <c r="E258" s="907"/>
      <c r="F258" s="907"/>
      <c r="G258" s="907"/>
      <c r="H258" s="907"/>
      <c r="I258" s="907"/>
      <c r="J258" s="907"/>
      <c r="K258" s="907"/>
      <c r="L258" s="907"/>
      <c r="M258" s="907"/>
      <c r="N258" s="907"/>
      <c r="O258" s="907"/>
      <c r="P258" s="907"/>
      <c r="Q258" s="907"/>
      <c r="R258" s="907"/>
      <c r="S258" s="907"/>
      <c r="T258" s="907"/>
      <c r="U258" s="907"/>
      <c r="V258" s="907"/>
      <c r="W258" s="907"/>
      <c r="X258" s="907"/>
      <c r="Y258" s="907"/>
      <c r="Z258" s="907"/>
      <c r="AA258" s="907"/>
      <c r="AB258" s="907"/>
      <c r="AC258" s="907"/>
      <c r="AD258" s="907"/>
      <c r="AE258" s="907"/>
      <c r="AF258" s="907"/>
      <c r="AG258" s="907"/>
      <c r="AH258" s="907"/>
      <c r="AI258" s="907"/>
      <c r="AJ258" s="907"/>
      <c r="AK258" s="907"/>
      <c r="AL258" s="907"/>
    </row>
    <row r="259" spans="1:38">
      <c r="A259" s="907"/>
      <c r="B259" s="907"/>
      <c r="C259" s="907"/>
      <c r="D259" s="907"/>
      <c r="E259" s="907"/>
      <c r="F259" s="907"/>
      <c r="G259" s="907"/>
      <c r="H259" s="907"/>
      <c r="I259" s="907"/>
      <c r="J259" s="907"/>
      <c r="K259" s="907"/>
      <c r="L259" s="907"/>
      <c r="M259" s="907"/>
      <c r="N259" s="907"/>
      <c r="O259" s="907"/>
      <c r="P259" s="907"/>
      <c r="Q259" s="907"/>
      <c r="R259" s="907"/>
      <c r="S259" s="907"/>
      <c r="T259" s="907"/>
      <c r="U259" s="907"/>
      <c r="V259" s="907"/>
      <c r="W259" s="907"/>
      <c r="X259" s="907"/>
      <c r="Y259" s="907"/>
      <c r="Z259" s="907"/>
      <c r="AA259" s="907"/>
      <c r="AB259" s="907"/>
      <c r="AC259" s="907"/>
      <c r="AD259" s="907"/>
      <c r="AE259" s="907"/>
      <c r="AF259" s="907"/>
      <c r="AG259" s="907"/>
      <c r="AH259" s="907"/>
      <c r="AI259" s="907"/>
      <c r="AJ259" s="907"/>
      <c r="AK259" s="907"/>
      <c r="AL259" s="907"/>
    </row>
    <row r="260" spans="1:38">
      <c r="A260" s="907"/>
      <c r="B260" s="907"/>
      <c r="C260" s="907"/>
      <c r="D260" s="907"/>
      <c r="E260" s="907"/>
      <c r="F260" s="907"/>
      <c r="G260" s="907"/>
      <c r="H260" s="907"/>
      <c r="I260" s="907"/>
      <c r="J260" s="907"/>
      <c r="K260" s="907"/>
      <c r="L260" s="907"/>
      <c r="M260" s="907"/>
      <c r="N260" s="907"/>
      <c r="O260" s="907"/>
      <c r="P260" s="907"/>
      <c r="Q260" s="907"/>
      <c r="R260" s="907"/>
      <c r="S260" s="907"/>
      <c r="T260" s="907"/>
      <c r="U260" s="907"/>
      <c r="V260" s="907"/>
      <c r="W260" s="907"/>
      <c r="X260" s="907"/>
      <c r="Y260" s="907"/>
      <c r="Z260" s="907"/>
      <c r="AA260" s="907"/>
      <c r="AB260" s="907"/>
      <c r="AC260" s="907"/>
      <c r="AD260" s="907"/>
      <c r="AE260" s="907"/>
      <c r="AF260" s="907"/>
      <c r="AG260" s="907"/>
      <c r="AH260" s="907"/>
      <c r="AI260" s="907"/>
      <c r="AJ260" s="907"/>
      <c r="AK260" s="907"/>
      <c r="AL260" s="907"/>
    </row>
    <row r="261" spans="1:38">
      <c r="A261" s="907"/>
      <c r="B261" s="907"/>
      <c r="C261" s="907"/>
      <c r="D261" s="907"/>
      <c r="E261" s="907"/>
      <c r="F261" s="907"/>
      <c r="G261" s="907"/>
      <c r="H261" s="907"/>
      <c r="I261" s="907"/>
      <c r="J261" s="907"/>
      <c r="K261" s="907"/>
      <c r="L261" s="907"/>
      <c r="M261" s="907"/>
      <c r="N261" s="907"/>
      <c r="O261" s="907"/>
      <c r="P261" s="907"/>
      <c r="Q261" s="907"/>
      <c r="R261" s="907"/>
      <c r="S261" s="907"/>
      <c r="T261" s="907"/>
      <c r="U261" s="907"/>
      <c r="V261" s="907"/>
      <c r="W261" s="907"/>
      <c r="X261" s="907"/>
      <c r="Y261" s="907"/>
      <c r="Z261" s="907"/>
      <c r="AA261" s="907"/>
      <c r="AB261" s="907"/>
      <c r="AC261" s="907"/>
      <c r="AD261" s="907"/>
      <c r="AE261" s="907"/>
      <c r="AF261" s="907"/>
      <c r="AG261" s="907"/>
      <c r="AH261" s="907"/>
      <c r="AI261" s="907"/>
      <c r="AJ261" s="907"/>
      <c r="AK261" s="907"/>
      <c r="AL261" s="907"/>
    </row>
    <row r="262" spans="1:38">
      <c r="A262" s="907"/>
      <c r="B262" s="907"/>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c r="AB262" s="907"/>
      <c r="AC262" s="907"/>
      <c r="AD262" s="907"/>
      <c r="AE262" s="907"/>
      <c r="AF262" s="907"/>
      <c r="AG262" s="907"/>
      <c r="AH262" s="907"/>
      <c r="AI262" s="907"/>
      <c r="AJ262" s="907"/>
      <c r="AK262" s="907"/>
      <c r="AL262" s="907"/>
    </row>
    <row r="263" spans="1:38">
      <c r="A263" s="907"/>
      <c r="B263" s="907"/>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c r="AB263" s="907"/>
      <c r="AC263" s="907"/>
      <c r="AD263" s="907"/>
      <c r="AE263" s="907"/>
      <c r="AF263" s="907"/>
      <c r="AG263" s="907"/>
      <c r="AH263" s="907"/>
      <c r="AI263" s="907"/>
      <c r="AJ263" s="907"/>
      <c r="AK263" s="907"/>
      <c r="AL263" s="907"/>
    </row>
    <row r="264" spans="1:38">
      <c r="A264" s="907"/>
      <c r="B264" s="907"/>
      <c r="C264" s="907"/>
      <c r="D264" s="907"/>
      <c r="E264" s="907"/>
      <c r="F264" s="907"/>
      <c r="G264" s="907"/>
      <c r="H264" s="907"/>
      <c r="I264" s="907"/>
      <c r="J264" s="907"/>
      <c r="K264" s="907"/>
      <c r="L264" s="907"/>
      <c r="M264" s="907"/>
      <c r="N264" s="907"/>
      <c r="O264" s="907"/>
      <c r="P264" s="907"/>
      <c r="Q264" s="907"/>
      <c r="R264" s="907"/>
      <c r="S264" s="907"/>
      <c r="T264" s="907"/>
      <c r="U264" s="907"/>
      <c r="V264" s="907"/>
      <c r="W264" s="907"/>
      <c r="X264" s="907"/>
      <c r="Y264" s="907"/>
      <c r="Z264" s="907"/>
      <c r="AA264" s="907"/>
      <c r="AB264" s="907"/>
      <c r="AC264" s="907"/>
      <c r="AD264" s="907"/>
      <c r="AE264" s="907"/>
      <c r="AF264" s="907"/>
      <c r="AG264" s="907"/>
      <c r="AH264" s="907"/>
      <c r="AI264" s="907"/>
      <c r="AJ264" s="907"/>
      <c r="AK264" s="907"/>
      <c r="AL264" s="907"/>
    </row>
    <row r="265" spans="1:38">
      <c r="A265" s="907"/>
      <c r="B265" s="907"/>
      <c r="C265" s="907"/>
      <c r="D265" s="907"/>
      <c r="E265" s="907"/>
      <c r="F265" s="907"/>
      <c r="G265" s="907"/>
      <c r="H265" s="907"/>
      <c r="I265" s="907"/>
      <c r="J265" s="907"/>
      <c r="K265" s="907"/>
      <c r="L265" s="907"/>
      <c r="M265" s="907"/>
      <c r="N265" s="907"/>
      <c r="O265" s="907"/>
      <c r="P265" s="907"/>
      <c r="Q265" s="907"/>
      <c r="R265" s="907"/>
      <c r="S265" s="907"/>
      <c r="T265" s="907"/>
      <c r="U265" s="907"/>
      <c r="V265" s="907"/>
      <c r="W265" s="907"/>
      <c r="X265" s="907"/>
      <c r="Y265" s="907"/>
      <c r="Z265" s="907"/>
      <c r="AA265" s="907"/>
      <c r="AB265" s="907"/>
      <c r="AC265" s="907"/>
      <c r="AD265" s="907"/>
      <c r="AE265" s="907"/>
      <c r="AF265" s="907"/>
      <c r="AG265" s="907"/>
      <c r="AH265" s="907"/>
      <c r="AI265" s="907"/>
      <c r="AJ265" s="907"/>
      <c r="AK265" s="907"/>
      <c r="AL265" s="907"/>
    </row>
    <row r="266" spans="1:38">
      <c r="A266" s="907"/>
      <c r="B266" s="907"/>
      <c r="C266" s="907"/>
      <c r="D266" s="907"/>
      <c r="E266" s="907"/>
      <c r="F266" s="907"/>
      <c r="G266" s="907"/>
      <c r="H266" s="907"/>
      <c r="I266" s="907"/>
      <c r="J266" s="907"/>
      <c r="K266" s="907"/>
      <c r="L266" s="907"/>
      <c r="M266" s="907"/>
      <c r="N266" s="907"/>
      <c r="O266" s="907"/>
      <c r="P266" s="907"/>
      <c r="Q266" s="907"/>
      <c r="R266" s="907"/>
      <c r="S266" s="907"/>
      <c r="T266" s="907"/>
      <c r="U266" s="907"/>
      <c r="V266" s="907"/>
      <c r="W266" s="907"/>
      <c r="X266" s="907"/>
      <c r="Y266" s="907"/>
      <c r="Z266" s="907"/>
      <c r="AA266" s="907"/>
      <c r="AB266" s="907"/>
      <c r="AC266" s="907"/>
      <c r="AD266" s="907"/>
      <c r="AE266" s="907"/>
      <c r="AF266" s="907"/>
      <c r="AG266" s="907"/>
      <c r="AH266" s="907"/>
      <c r="AI266" s="907"/>
      <c r="AJ266" s="907"/>
      <c r="AK266" s="907"/>
      <c r="AL266" s="907"/>
    </row>
    <row r="267" spans="1:38">
      <c r="A267" s="907"/>
      <c r="B267" s="907"/>
      <c r="C267" s="907"/>
      <c r="D267" s="907"/>
      <c r="E267" s="907"/>
      <c r="F267" s="907"/>
      <c r="G267" s="907"/>
      <c r="H267" s="907"/>
      <c r="I267" s="907"/>
      <c r="J267" s="907"/>
      <c r="K267" s="907"/>
      <c r="L267" s="907"/>
      <c r="M267" s="907"/>
      <c r="N267" s="907"/>
      <c r="O267" s="907"/>
      <c r="P267" s="907"/>
      <c r="Q267" s="907"/>
      <c r="R267" s="907"/>
      <c r="S267" s="907"/>
      <c r="T267" s="907"/>
      <c r="U267" s="907"/>
      <c r="V267" s="907"/>
      <c r="W267" s="907"/>
      <c r="X267" s="907"/>
      <c r="Y267" s="907"/>
      <c r="Z267" s="907"/>
      <c r="AA267" s="907"/>
      <c r="AB267" s="907"/>
      <c r="AC267" s="907"/>
      <c r="AD267" s="907"/>
      <c r="AE267" s="907"/>
      <c r="AF267" s="907"/>
      <c r="AG267" s="907"/>
      <c r="AH267" s="907"/>
      <c r="AI267" s="907"/>
      <c r="AJ267" s="907"/>
      <c r="AK267" s="907"/>
      <c r="AL267" s="907"/>
    </row>
    <row r="268" spans="1:38">
      <c r="A268" s="907"/>
      <c r="B268" s="907"/>
      <c r="C268" s="907"/>
      <c r="D268" s="907"/>
      <c r="E268" s="907"/>
      <c r="F268" s="907"/>
      <c r="G268" s="907"/>
      <c r="H268" s="907"/>
      <c r="I268" s="907"/>
      <c r="J268" s="907"/>
      <c r="K268" s="907"/>
      <c r="L268" s="907"/>
      <c r="M268" s="907"/>
      <c r="N268" s="907"/>
      <c r="O268" s="907"/>
      <c r="P268" s="907"/>
      <c r="Q268" s="907"/>
      <c r="R268" s="907"/>
      <c r="S268" s="907"/>
      <c r="T268" s="907"/>
      <c r="U268" s="907"/>
      <c r="V268" s="907"/>
      <c r="W268" s="907"/>
      <c r="X268" s="907"/>
      <c r="Y268" s="907"/>
      <c r="Z268" s="907"/>
      <c r="AA268" s="907"/>
      <c r="AB268" s="907"/>
      <c r="AC268" s="907"/>
      <c r="AD268" s="907"/>
      <c r="AE268" s="907"/>
      <c r="AF268" s="907"/>
      <c r="AG268" s="907"/>
      <c r="AH268" s="907"/>
      <c r="AI268" s="907"/>
      <c r="AJ268" s="907"/>
      <c r="AK268" s="907"/>
      <c r="AL268" s="907"/>
    </row>
    <row r="269" spans="1:38">
      <c r="A269" s="907"/>
      <c r="B269" s="907"/>
      <c r="C269" s="907"/>
      <c r="D269" s="907"/>
      <c r="E269" s="907"/>
      <c r="F269" s="907"/>
      <c r="G269" s="907"/>
      <c r="H269" s="907"/>
      <c r="I269" s="907"/>
      <c r="J269" s="907"/>
      <c r="K269" s="907"/>
      <c r="L269" s="907"/>
      <c r="M269" s="907"/>
      <c r="N269" s="907"/>
      <c r="O269" s="907"/>
      <c r="P269" s="907"/>
      <c r="Q269" s="907"/>
      <c r="R269" s="907"/>
      <c r="S269" s="907"/>
      <c r="T269" s="907"/>
      <c r="U269" s="907"/>
      <c r="V269" s="907"/>
      <c r="W269" s="907"/>
      <c r="X269" s="907"/>
      <c r="Y269" s="907"/>
      <c r="Z269" s="907"/>
      <c r="AA269" s="907"/>
      <c r="AB269" s="907"/>
      <c r="AC269" s="907"/>
      <c r="AD269" s="907"/>
      <c r="AE269" s="907"/>
      <c r="AF269" s="907"/>
      <c r="AG269" s="907"/>
      <c r="AH269" s="907"/>
      <c r="AI269" s="907"/>
      <c r="AJ269" s="907"/>
      <c r="AK269" s="907"/>
      <c r="AL269" s="907"/>
    </row>
    <row r="270" spans="1:38">
      <c r="A270" s="907"/>
      <c r="B270" s="907"/>
      <c r="C270" s="907"/>
      <c r="D270" s="907"/>
      <c r="E270" s="907"/>
      <c r="F270" s="907"/>
      <c r="G270" s="907"/>
      <c r="H270" s="907"/>
      <c r="I270" s="907"/>
      <c r="J270" s="907"/>
      <c r="K270" s="907"/>
      <c r="L270" s="907"/>
      <c r="M270" s="907"/>
      <c r="N270" s="907"/>
      <c r="O270" s="907"/>
      <c r="P270" s="907"/>
      <c r="Q270" s="907"/>
      <c r="R270" s="907"/>
      <c r="S270" s="907"/>
      <c r="T270" s="907"/>
      <c r="U270" s="907"/>
      <c r="V270" s="907"/>
      <c r="W270" s="907"/>
      <c r="X270" s="907"/>
      <c r="Y270" s="907"/>
      <c r="Z270" s="907"/>
      <c r="AA270" s="907"/>
      <c r="AB270" s="907"/>
      <c r="AC270" s="907"/>
      <c r="AD270" s="907"/>
      <c r="AE270" s="907"/>
      <c r="AF270" s="907"/>
      <c r="AG270" s="907"/>
      <c r="AH270" s="907"/>
      <c r="AI270" s="907"/>
      <c r="AJ270" s="907"/>
      <c r="AK270" s="907"/>
      <c r="AL270" s="907"/>
    </row>
    <row r="271" spans="1:38">
      <c r="A271" s="907"/>
      <c r="B271" s="907"/>
      <c r="C271" s="907"/>
      <c r="D271" s="907"/>
      <c r="E271" s="907"/>
      <c r="F271" s="907"/>
      <c r="G271" s="907"/>
      <c r="H271" s="907"/>
      <c r="I271" s="907"/>
      <c r="J271" s="907"/>
      <c r="K271" s="907"/>
      <c r="L271" s="907"/>
      <c r="M271" s="907"/>
      <c r="N271" s="907"/>
      <c r="O271" s="907"/>
      <c r="P271" s="907"/>
      <c r="Q271" s="907"/>
      <c r="R271" s="907"/>
      <c r="S271" s="907"/>
      <c r="T271" s="907"/>
      <c r="U271" s="907"/>
      <c r="V271" s="907"/>
      <c r="W271" s="907"/>
      <c r="X271" s="907"/>
      <c r="Y271" s="907"/>
      <c r="Z271" s="907"/>
      <c r="AA271" s="907"/>
      <c r="AB271" s="907"/>
      <c r="AC271" s="907"/>
      <c r="AD271" s="907"/>
      <c r="AE271" s="907"/>
      <c r="AF271" s="907"/>
      <c r="AG271" s="907"/>
      <c r="AH271" s="907"/>
      <c r="AI271" s="907"/>
      <c r="AJ271" s="907"/>
      <c r="AK271" s="907"/>
      <c r="AL271" s="907"/>
    </row>
    <row r="272" spans="1:38">
      <c r="A272" s="907"/>
      <c r="B272" s="907"/>
      <c r="C272" s="907"/>
      <c r="D272" s="907"/>
      <c r="E272" s="907"/>
      <c r="F272" s="907"/>
      <c r="G272" s="907"/>
      <c r="H272" s="907"/>
      <c r="I272" s="907"/>
      <c r="J272" s="907"/>
      <c r="K272" s="907"/>
      <c r="L272" s="907"/>
      <c r="M272" s="907"/>
      <c r="N272" s="907"/>
      <c r="O272" s="907"/>
      <c r="P272" s="907"/>
      <c r="Q272" s="907"/>
      <c r="R272" s="907"/>
      <c r="S272" s="907"/>
      <c r="T272" s="907"/>
      <c r="U272" s="907"/>
      <c r="V272" s="907"/>
      <c r="W272" s="907"/>
      <c r="X272" s="907"/>
      <c r="Y272" s="907"/>
      <c r="Z272" s="907"/>
      <c r="AA272" s="907"/>
      <c r="AB272" s="907"/>
      <c r="AC272" s="907"/>
      <c r="AD272" s="907"/>
      <c r="AE272" s="907"/>
      <c r="AF272" s="907"/>
      <c r="AG272" s="907"/>
      <c r="AH272" s="907"/>
      <c r="AI272" s="907"/>
      <c r="AJ272" s="907"/>
      <c r="AK272" s="907"/>
      <c r="AL272" s="907"/>
    </row>
    <row r="273" spans="1:38">
      <c r="A273" s="907"/>
      <c r="B273" s="907"/>
      <c r="C273" s="907"/>
      <c r="D273" s="907"/>
      <c r="E273" s="907"/>
      <c r="F273" s="907"/>
      <c r="G273" s="907"/>
      <c r="H273" s="907"/>
      <c r="I273" s="907"/>
      <c r="J273" s="907"/>
      <c r="K273" s="907"/>
      <c r="L273" s="907"/>
      <c r="M273" s="907"/>
      <c r="N273" s="907"/>
      <c r="O273" s="907"/>
      <c r="P273" s="907"/>
      <c r="Q273" s="907"/>
      <c r="R273" s="907"/>
      <c r="S273" s="907"/>
      <c r="T273" s="907"/>
      <c r="U273" s="907"/>
      <c r="V273" s="907"/>
      <c r="W273" s="907"/>
      <c r="X273" s="907"/>
      <c r="Y273" s="907"/>
      <c r="Z273" s="907"/>
      <c r="AA273" s="907"/>
      <c r="AB273" s="907"/>
      <c r="AC273" s="907"/>
      <c r="AD273" s="907"/>
      <c r="AE273" s="907"/>
      <c r="AF273" s="907"/>
      <c r="AG273" s="907"/>
      <c r="AH273" s="907"/>
      <c r="AI273" s="907"/>
      <c r="AJ273" s="907"/>
      <c r="AK273" s="907"/>
      <c r="AL273" s="907"/>
    </row>
    <row r="274" spans="1:38">
      <c r="A274" s="907"/>
      <c r="B274" s="907"/>
      <c r="C274" s="907"/>
      <c r="D274" s="907"/>
      <c r="E274" s="907"/>
      <c r="F274" s="907"/>
      <c r="G274" s="907"/>
      <c r="H274" s="907"/>
      <c r="I274" s="907"/>
      <c r="J274" s="907"/>
      <c r="K274" s="907"/>
      <c r="L274" s="907"/>
      <c r="M274" s="907"/>
      <c r="N274" s="907"/>
      <c r="O274" s="907"/>
      <c r="P274" s="907"/>
      <c r="Q274" s="907"/>
      <c r="R274" s="907"/>
      <c r="S274" s="907"/>
      <c r="T274" s="907"/>
      <c r="U274" s="907"/>
      <c r="V274" s="907"/>
      <c r="W274" s="907"/>
      <c r="X274" s="907"/>
      <c r="Y274" s="907"/>
      <c r="Z274" s="907"/>
      <c r="AA274" s="907"/>
      <c r="AB274" s="907"/>
      <c r="AC274" s="907"/>
      <c r="AD274" s="907"/>
      <c r="AE274" s="907"/>
      <c r="AF274" s="907"/>
      <c r="AG274" s="907"/>
      <c r="AH274" s="907"/>
      <c r="AI274" s="907"/>
      <c r="AJ274" s="907"/>
      <c r="AK274" s="907"/>
      <c r="AL274" s="907"/>
    </row>
    <row r="275" spans="1:38">
      <c r="A275" s="907"/>
      <c r="B275" s="907"/>
      <c r="C275" s="907"/>
      <c r="D275" s="907"/>
      <c r="E275" s="907"/>
      <c r="F275" s="907"/>
      <c r="G275" s="907"/>
      <c r="H275" s="907"/>
      <c r="I275" s="907"/>
      <c r="J275" s="907"/>
      <c r="K275" s="907"/>
      <c r="L275" s="907"/>
      <c r="M275" s="907"/>
      <c r="N275" s="907"/>
      <c r="O275" s="907"/>
      <c r="P275" s="907"/>
      <c r="Q275" s="907"/>
      <c r="R275" s="907"/>
      <c r="S275" s="907"/>
      <c r="T275" s="907"/>
      <c r="U275" s="907"/>
      <c r="V275" s="907"/>
      <c r="W275" s="907"/>
      <c r="X275" s="907"/>
      <c r="Y275" s="907"/>
      <c r="Z275" s="907"/>
      <c r="AA275" s="907"/>
      <c r="AB275" s="907"/>
      <c r="AC275" s="907"/>
      <c r="AD275" s="907"/>
      <c r="AE275" s="907"/>
      <c r="AF275" s="907"/>
      <c r="AG275" s="907"/>
      <c r="AH275" s="907"/>
      <c r="AI275" s="907"/>
      <c r="AJ275" s="907"/>
      <c r="AK275" s="907"/>
      <c r="AL275" s="907"/>
    </row>
    <row r="276" spans="1:38">
      <c r="A276" s="907"/>
      <c r="B276" s="907"/>
      <c r="C276" s="907"/>
      <c r="D276" s="907"/>
      <c r="E276" s="907"/>
      <c r="F276" s="907"/>
      <c r="G276" s="907"/>
      <c r="H276" s="907"/>
      <c r="I276" s="907"/>
      <c r="J276" s="907"/>
      <c r="K276" s="907"/>
      <c r="L276" s="907"/>
      <c r="M276" s="907"/>
      <c r="N276" s="907"/>
      <c r="O276" s="907"/>
      <c r="P276" s="907"/>
      <c r="Q276" s="907"/>
      <c r="R276" s="907"/>
      <c r="S276" s="907"/>
      <c r="T276" s="907"/>
      <c r="U276" s="907"/>
      <c r="V276" s="907"/>
      <c r="W276" s="907"/>
      <c r="X276" s="907"/>
      <c r="Y276" s="907"/>
      <c r="Z276" s="907"/>
      <c r="AA276" s="907"/>
      <c r="AB276" s="907"/>
      <c r="AC276" s="907"/>
      <c r="AD276" s="907"/>
      <c r="AE276" s="907"/>
      <c r="AF276" s="907"/>
      <c r="AG276" s="907"/>
      <c r="AH276" s="907"/>
      <c r="AI276" s="907"/>
      <c r="AJ276" s="907"/>
      <c r="AK276" s="907"/>
      <c r="AL276" s="907"/>
    </row>
    <row r="277" spans="1:38">
      <c r="A277" s="907"/>
      <c r="B277" s="907"/>
      <c r="C277" s="907"/>
      <c r="D277" s="907"/>
      <c r="E277" s="907"/>
      <c r="F277" s="907"/>
      <c r="G277" s="907"/>
      <c r="H277" s="907"/>
      <c r="I277" s="907"/>
      <c r="J277" s="907"/>
      <c r="K277" s="907"/>
      <c r="L277" s="907"/>
      <c r="M277" s="907"/>
      <c r="N277" s="907"/>
      <c r="O277" s="907"/>
      <c r="P277" s="907"/>
      <c r="Q277" s="907"/>
      <c r="R277" s="907"/>
      <c r="S277" s="907"/>
      <c r="T277" s="907"/>
      <c r="U277" s="907"/>
      <c r="V277" s="907"/>
      <c r="W277" s="907"/>
      <c r="X277" s="907"/>
      <c r="Y277" s="907"/>
      <c r="Z277" s="907"/>
      <c r="AA277" s="907"/>
      <c r="AB277" s="907"/>
      <c r="AC277" s="907"/>
      <c r="AD277" s="907"/>
      <c r="AE277" s="907"/>
      <c r="AF277" s="907"/>
      <c r="AG277" s="907"/>
      <c r="AH277" s="907"/>
      <c r="AI277" s="907"/>
      <c r="AJ277" s="907"/>
      <c r="AK277" s="907"/>
      <c r="AL277" s="907"/>
    </row>
    <row r="278" spans="1:38">
      <c r="A278" s="907"/>
      <c r="B278" s="907"/>
      <c r="C278" s="907"/>
      <c r="D278" s="907"/>
      <c r="E278" s="907"/>
      <c r="F278" s="907"/>
      <c r="G278" s="907"/>
      <c r="H278" s="907"/>
      <c r="I278" s="907"/>
      <c r="J278" s="907"/>
      <c r="K278" s="907"/>
      <c r="L278" s="907"/>
      <c r="M278" s="907"/>
      <c r="N278" s="907"/>
      <c r="O278" s="907"/>
      <c r="P278" s="907"/>
      <c r="Q278" s="907"/>
      <c r="R278" s="907"/>
      <c r="S278" s="907"/>
      <c r="T278" s="907"/>
      <c r="U278" s="907"/>
      <c r="V278" s="907"/>
      <c r="W278" s="907"/>
      <c r="X278" s="907"/>
      <c r="Y278" s="907"/>
      <c r="Z278" s="907"/>
      <c r="AA278" s="907"/>
      <c r="AB278" s="907"/>
      <c r="AC278" s="907"/>
      <c r="AD278" s="907"/>
      <c r="AE278" s="907"/>
      <c r="AF278" s="907"/>
      <c r="AG278" s="907"/>
      <c r="AH278" s="907"/>
      <c r="AI278" s="907"/>
      <c r="AJ278" s="907"/>
      <c r="AK278" s="907"/>
      <c r="AL278" s="907"/>
    </row>
    <row r="279" spans="1:38">
      <c r="A279" s="907"/>
      <c r="B279" s="907"/>
      <c r="C279" s="907"/>
      <c r="D279" s="907"/>
      <c r="E279" s="907"/>
      <c r="F279" s="907"/>
      <c r="G279" s="907"/>
      <c r="H279" s="907"/>
      <c r="I279" s="907"/>
      <c r="J279" s="907"/>
      <c r="K279" s="907"/>
      <c r="L279" s="907"/>
      <c r="M279" s="907"/>
      <c r="N279" s="907"/>
      <c r="O279" s="907"/>
      <c r="P279" s="907"/>
      <c r="Q279" s="907"/>
      <c r="R279" s="907"/>
      <c r="S279" s="907"/>
      <c r="T279" s="907"/>
      <c r="U279" s="907"/>
      <c r="V279" s="907"/>
      <c r="W279" s="907"/>
      <c r="X279" s="907"/>
      <c r="Y279" s="907"/>
      <c r="Z279" s="907"/>
      <c r="AA279" s="907"/>
      <c r="AB279" s="907"/>
      <c r="AC279" s="907"/>
      <c r="AD279" s="907"/>
      <c r="AE279" s="907"/>
      <c r="AF279" s="907"/>
      <c r="AG279" s="907"/>
      <c r="AH279" s="907"/>
      <c r="AI279" s="907"/>
      <c r="AJ279" s="907"/>
      <c r="AK279" s="907"/>
      <c r="AL279" s="907"/>
    </row>
    <row r="280" spans="1:38">
      <c r="A280" s="907"/>
      <c r="B280" s="907"/>
      <c r="C280" s="907"/>
      <c r="D280" s="907"/>
      <c r="E280" s="907"/>
      <c r="F280" s="907"/>
      <c r="G280" s="907"/>
      <c r="H280" s="907"/>
      <c r="I280" s="907"/>
      <c r="J280" s="907"/>
      <c r="K280" s="907"/>
      <c r="L280" s="907"/>
      <c r="M280" s="907"/>
      <c r="N280" s="907"/>
      <c r="O280" s="907"/>
      <c r="P280" s="907"/>
      <c r="Q280" s="907"/>
      <c r="R280" s="907"/>
      <c r="S280" s="907"/>
      <c r="T280" s="907"/>
      <c r="U280" s="907"/>
      <c r="V280" s="907"/>
      <c r="W280" s="907"/>
      <c r="X280" s="907"/>
      <c r="Y280" s="907"/>
      <c r="Z280" s="907"/>
      <c r="AA280" s="907"/>
      <c r="AB280" s="907"/>
      <c r="AC280" s="907"/>
      <c r="AD280" s="907"/>
      <c r="AE280" s="907"/>
      <c r="AF280" s="907"/>
      <c r="AG280" s="907"/>
      <c r="AH280" s="907"/>
      <c r="AI280" s="907"/>
      <c r="AJ280" s="907"/>
      <c r="AK280" s="907"/>
      <c r="AL280" s="907"/>
    </row>
    <row r="281" spans="1:38">
      <c r="A281" s="907"/>
      <c r="B281" s="907"/>
      <c r="C281" s="907"/>
      <c r="D281" s="907"/>
      <c r="E281" s="907"/>
      <c r="F281" s="907"/>
      <c r="G281" s="907"/>
      <c r="H281" s="907"/>
      <c r="I281" s="907"/>
      <c r="J281" s="907"/>
      <c r="K281" s="907"/>
      <c r="L281" s="907"/>
      <c r="M281" s="907"/>
      <c r="N281" s="907"/>
      <c r="O281" s="907"/>
      <c r="P281" s="907"/>
      <c r="Q281" s="907"/>
      <c r="R281" s="907"/>
      <c r="S281" s="907"/>
      <c r="T281" s="907"/>
      <c r="U281" s="907"/>
      <c r="V281" s="907"/>
      <c r="W281" s="907"/>
      <c r="X281" s="907"/>
      <c r="Y281" s="907"/>
      <c r="Z281" s="907"/>
      <c r="AA281" s="907"/>
      <c r="AB281" s="907"/>
      <c r="AC281" s="907"/>
      <c r="AD281" s="907"/>
      <c r="AE281" s="907"/>
      <c r="AF281" s="907"/>
      <c r="AG281" s="907"/>
      <c r="AH281" s="907"/>
      <c r="AI281" s="907"/>
      <c r="AJ281" s="907"/>
      <c r="AK281" s="907"/>
      <c r="AL281" s="907"/>
    </row>
    <row r="282" spans="1:38">
      <c r="A282" s="907"/>
      <c r="B282" s="907"/>
      <c r="C282" s="907"/>
      <c r="D282" s="907"/>
      <c r="E282" s="907"/>
      <c r="F282" s="907"/>
      <c r="G282" s="907"/>
      <c r="H282" s="907"/>
      <c r="I282" s="907"/>
      <c r="J282" s="907"/>
      <c r="K282" s="907"/>
      <c r="L282" s="907"/>
      <c r="M282" s="907"/>
      <c r="N282" s="907"/>
      <c r="O282" s="907"/>
      <c r="P282" s="907"/>
      <c r="Q282" s="907"/>
      <c r="R282" s="907"/>
      <c r="S282" s="907"/>
      <c r="T282" s="907"/>
      <c r="U282" s="907"/>
      <c r="V282" s="907"/>
      <c r="W282" s="907"/>
      <c r="X282" s="907"/>
      <c r="Y282" s="907"/>
      <c r="Z282" s="907"/>
      <c r="AA282" s="907"/>
      <c r="AB282" s="907"/>
      <c r="AC282" s="907"/>
      <c r="AD282" s="907"/>
      <c r="AE282" s="907"/>
      <c r="AF282" s="907"/>
      <c r="AG282" s="907"/>
      <c r="AH282" s="907"/>
      <c r="AI282" s="907"/>
      <c r="AJ282" s="907"/>
      <c r="AK282" s="907"/>
      <c r="AL282" s="907"/>
    </row>
    <row r="283" spans="1:38">
      <c r="A283" s="907"/>
      <c r="B283" s="907"/>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c r="AB283" s="907"/>
      <c r="AC283" s="907"/>
      <c r="AD283" s="907"/>
      <c r="AE283" s="907"/>
      <c r="AF283" s="907"/>
      <c r="AG283" s="907"/>
      <c r="AH283" s="907"/>
      <c r="AI283" s="907"/>
      <c r="AJ283" s="907"/>
      <c r="AK283" s="907"/>
      <c r="AL283" s="907"/>
    </row>
    <row r="284" spans="1:38">
      <c r="A284" s="907"/>
      <c r="B284" s="907"/>
      <c r="C284" s="907"/>
      <c r="D284" s="907"/>
      <c r="E284" s="907"/>
      <c r="F284" s="907"/>
      <c r="G284" s="907"/>
      <c r="H284" s="907"/>
      <c r="I284" s="907"/>
      <c r="J284" s="907"/>
      <c r="K284" s="907"/>
      <c r="L284" s="907"/>
      <c r="M284" s="907"/>
      <c r="N284" s="907"/>
      <c r="O284" s="907"/>
      <c r="P284" s="907"/>
      <c r="Q284" s="907"/>
      <c r="R284" s="907"/>
      <c r="S284" s="907"/>
      <c r="T284" s="907"/>
      <c r="U284" s="907"/>
      <c r="V284" s="907"/>
      <c r="W284" s="907"/>
      <c r="X284" s="907"/>
      <c r="Y284" s="907"/>
      <c r="Z284" s="907"/>
      <c r="AA284" s="907"/>
      <c r="AB284" s="907"/>
      <c r="AC284" s="907"/>
      <c r="AD284" s="907"/>
      <c r="AE284" s="907"/>
      <c r="AF284" s="907"/>
      <c r="AG284" s="907"/>
      <c r="AH284" s="907"/>
      <c r="AI284" s="907"/>
      <c r="AJ284" s="907"/>
      <c r="AK284" s="907"/>
      <c r="AL284" s="907"/>
    </row>
    <row r="285" spans="1:38">
      <c r="A285" s="907"/>
      <c r="B285" s="907"/>
      <c r="C285" s="907"/>
      <c r="D285" s="907"/>
      <c r="E285" s="907"/>
      <c r="F285" s="907"/>
      <c r="G285" s="907"/>
      <c r="H285" s="907"/>
      <c r="I285" s="907"/>
      <c r="J285" s="907"/>
      <c r="K285" s="907"/>
      <c r="L285" s="907"/>
      <c r="M285" s="907"/>
      <c r="N285" s="907"/>
      <c r="O285" s="907"/>
      <c r="P285" s="907"/>
      <c r="Q285" s="907"/>
      <c r="R285" s="907"/>
      <c r="S285" s="907"/>
      <c r="T285" s="907"/>
      <c r="U285" s="907"/>
      <c r="V285" s="907"/>
      <c r="W285" s="907"/>
      <c r="X285" s="907"/>
      <c r="Y285" s="907"/>
      <c r="Z285" s="907"/>
      <c r="AA285" s="907"/>
      <c r="AB285" s="907"/>
      <c r="AC285" s="907"/>
      <c r="AD285" s="907"/>
      <c r="AE285" s="907"/>
      <c r="AF285" s="907"/>
      <c r="AG285" s="907"/>
      <c r="AH285" s="907"/>
      <c r="AI285" s="907"/>
      <c r="AJ285" s="907"/>
      <c r="AK285" s="907"/>
      <c r="AL285" s="907"/>
    </row>
    <row r="286" spans="1:38">
      <c r="A286" s="907"/>
      <c r="B286" s="907"/>
      <c r="C286" s="907"/>
      <c r="D286" s="907"/>
      <c r="E286" s="907"/>
      <c r="F286" s="907"/>
      <c r="G286" s="907"/>
      <c r="H286" s="907"/>
      <c r="I286" s="907"/>
      <c r="J286" s="907"/>
      <c r="K286" s="907"/>
      <c r="L286" s="907"/>
      <c r="M286" s="907"/>
      <c r="N286" s="907"/>
      <c r="O286" s="907"/>
      <c r="P286" s="907"/>
      <c r="Q286" s="907"/>
      <c r="R286" s="907"/>
      <c r="S286" s="907"/>
      <c r="T286" s="907"/>
      <c r="U286" s="907"/>
      <c r="V286" s="907"/>
      <c r="W286" s="907"/>
      <c r="X286" s="907"/>
      <c r="Y286" s="907"/>
      <c r="Z286" s="907"/>
      <c r="AA286" s="907"/>
      <c r="AB286" s="907"/>
      <c r="AC286" s="907"/>
      <c r="AD286" s="907"/>
      <c r="AE286" s="907"/>
      <c r="AF286" s="907"/>
      <c r="AG286" s="907"/>
      <c r="AH286" s="907"/>
      <c r="AI286" s="907"/>
      <c r="AJ286" s="907"/>
      <c r="AK286" s="907"/>
      <c r="AL286" s="907"/>
    </row>
    <row r="287" spans="1:38">
      <c r="A287" s="907"/>
      <c r="B287" s="907"/>
      <c r="C287" s="907"/>
      <c r="D287" s="907"/>
      <c r="E287" s="907"/>
      <c r="F287" s="907"/>
      <c r="G287" s="907"/>
      <c r="H287" s="907"/>
      <c r="I287" s="907"/>
      <c r="J287" s="907"/>
      <c r="K287" s="907"/>
      <c r="L287" s="907"/>
      <c r="M287" s="907"/>
      <c r="N287" s="907"/>
      <c r="O287" s="907"/>
      <c r="P287" s="907"/>
      <c r="Q287" s="907"/>
      <c r="R287" s="907"/>
      <c r="S287" s="907"/>
      <c r="T287" s="907"/>
      <c r="U287" s="907"/>
      <c r="V287" s="907"/>
      <c r="W287" s="907"/>
      <c r="X287" s="907"/>
      <c r="Y287" s="907"/>
      <c r="Z287" s="907"/>
      <c r="AA287" s="907"/>
      <c r="AB287" s="907"/>
      <c r="AC287" s="907"/>
      <c r="AD287" s="907"/>
      <c r="AE287" s="907"/>
      <c r="AF287" s="907"/>
      <c r="AG287" s="907"/>
      <c r="AH287" s="907"/>
      <c r="AI287" s="907"/>
      <c r="AJ287" s="907"/>
      <c r="AK287" s="907"/>
      <c r="AL287" s="907"/>
    </row>
    <row r="288" spans="1:38">
      <c r="A288" s="907"/>
      <c r="B288" s="907"/>
      <c r="C288" s="907"/>
      <c r="D288" s="907"/>
      <c r="E288" s="907"/>
      <c r="F288" s="907"/>
      <c r="G288" s="907"/>
      <c r="H288" s="907"/>
      <c r="I288" s="907"/>
      <c r="J288" s="907"/>
      <c r="K288" s="907"/>
      <c r="L288" s="907"/>
      <c r="M288" s="907"/>
      <c r="N288" s="907"/>
      <c r="O288" s="907"/>
      <c r="P288" s="907"/>
      <c r="Q288" s="907"/>
      <c r="R288" s="907"/>
      <c r="S288" s="907"/>
      <c r="T288" s="907"/>
      <c r="U288" s="907"/>
      <c r="V288" s="907"/>
      <c r="W288" s="907"/>
      <c r="X288" s="907"/>
      <c r="Y288" s="907"/>
      <c r="Z288" s="907"/>
      <c r="AA288" s="907"/>
      <c r="AB288" s="907"/>
      <c r="AC288" s="907"/>
      <c r="AD288" s="907"/>
      <c r="AE288" s="907"/>
      <c r="AF288" s="907"/>
      <c r="AG288" s="907"/>
      <c r="AH288" s="907"/>
      <c r="AI288" s="907"/>
      <c r="AJ288" s="907"/>
      <c r="AK288" s="907"/>
      <c r="AL288" s="907"/>
    </row>
    <row r="289" spans="1:38">
      <c r="A289" s="907"/>
      <c r="B289" s="907"/>
      <c r="C289" s="907"/>
      <c r="D289" s="907"/>
      <c r="E289" s="907"/>
      <c r="F289" s="907"/>
      <c r="G289" s="907"/>
      <c r="H289" s="907"/>
      <c r="I289" s="907"/>
      <c r="J289" s="907"/>
      <c r="K289" s="907"/>
      <c r="L289" s="907"/>
      <c r="M289" s="907"/>
      <c r="N289" s="907"/>
      <c r="O289" s="907"/>
      <c r="P289" s="907"/>
      <c r="Q289" s="907"/>
      <c r="R289" s="907"/>
      <c r="S289" s="907"/>
      <c r="T289" s="907"/>
      <c r="U289" s="907"/>
      <c r="V289" s="907"/>
      <c r="W289" s="907"/>
      <c r="X289" s="907"/>
      <c r="Y289" s="907"/>
      <c r="Z289" s="907"/>
      <c r="AA289" s="907"/>
      <c r="AB289" s="907"/>
      <c r="AC289" s="907"/>
      <c r="AD289" s="907"/>
      <c r="AE289" s="907"/>
      <c r="AF289" s="907"/>
      <c r="AG289" s="907"/>
      <c r="AH289" s="907"/>
      <c r="AI289" s="907"/>
      <c r="AJ289" s="907"/>
      <c r="AK289" s="907"/>
      <c r="AL289" s="907"/>
    </row>
    <row r="290" spans="1:38">
      <c r="A290" s="907"/>
      <c r="B290" s="907"/>
      <c r="C290" s="907"/>
      <c r="D290" s="907"/>
      <c r="E290" s="907"/>
      <c r="F290" s="907"/>
      <c r="G290" s="907"/>
      <c r="H290" s="907"/>
      <c r="I290" s="907"/>
      <c r="J290" s="907"/>
      <c r="K290" s="907"/>
      <c r="L290" s="907"/>
      <c r="M290" s="907"/>
      <c r="N290" s="907"/>
      <c r="O290" s="907"/>
      <c r="P290" s="907"/>
      <c r="Q290" s="907"/>
      <c r="R290" s="907"/>
      <c r="S290" s="907"/>
      <c r="T290" s="907"/>
      <c r="U290" s="907"/>
      <c r="V290" s="907"/>
      <c r="W290" s="907"/>
      <c r="X290" s="907"/>
      <c r="Y290" s="907"/>
      <c r="Z290" s="907"/>
      <c r="AA290" s="907"/>
      <c r="AB290" s="907"/>
      <c r="AC290" s="907"/>
      <c r="AD290" s="907"/>
      <c r="AE290" s="907"/>
      <c r="AF290" s="907"/>
      <c r="AG290" s="907"/>
      <c r="AH290" s="907"/>
      <c r="AI290" s="907"/>
      <c r="AJ290" s="907"/>
      <c r="AK290" s="907"/>
      <c r="AL290" s="907"/>
    </row>
    <row r="291" spans="1:38">
      <c r="A291" s="907"/>
      <c r="B291" s="907"/>
      <c r="C291" s="907"/>
      <c r="D291" s="907"/>
      <c r="E291" s="907"/>
      <c r="F291" s="907"/>
      <c r="G291" s="907"/>
      <c r="H291" s="907"/>
      <c r="I291" s="907"/>
      <c r="J291" s="907"/>
      <c r="K291" s="907"/>
      <c r="L291" s="907"/>
      <c r="M291" s="907"/>
      <c r="N291" s="907"/>
      <c r="O291" s="907"/>
      <c r="P291" s="907"/>
      <c r="Q291" s="907"/>
      <c r="R291" s="907"/>
      <c r="S291" s="907"/>
      <c r="T291" s="907"/>
      <c r="U291" s="907"/>
      <c r="V291" s="907"/>
      <c r="W291" s="907"/>
      <c r="X291" s="907"/>
      <c r="Y291" s="907"/>
      <c r="Z291" s="907"/>
      <c r="AA291" s="907"/>
      <c r="AB291" s="907"/>
      <c r="AC291" s="907"/>
      <c r="AD291" s="907"/>
      <c r="AE291" s="907"/>
      <c r="AF291" s="907"/>
      <c r="AG291" s="907"/>
      <c r="AH291" s="907"/>
      <c r="AI291" s="907"/>
      <c r="AJ291" s="907"/>
      <c r="AK291" s="907"/>
      <c r="AL291" s="907"/>
    </row>
    <row r="292" spans="1:38">
      <c r="A292" s="907"/>
      <c r="B292" s="907"/>
      <c r="C292" s="907"/>
      <c r="D292" s="907"/>
      <c r="E292" s="907"/>
      <c r="F292" s="907"/>
      <c r="G292" s="907"/>
      <c r="H292" s="907"/>
      <c r="I292" s="907"/>
      <c r="J292" s="907"/>
      <c r="K292" s="907"/>
      <c r="L292" s="907"/>
      <c r="M292" s="907"/>
      <c r="N292" s="907"/>
      <c r="O292" s="907"/>
      <c r="P292" s="907"/>
      <c r="Q292" s="907"/>
      <c r="R292" s="907"/>
      <c r="S292" s="907"/>
      <c r="T292" s="907"/>
      <c r="U292" s="907"/>
      <c r="V292" s="907"/>
      <c r="W292" s="907"/>
      <c r="X292" s="907"/>
      <c r="Y292" s="907"/>
      <c r="Z292" s="907"/>
      <c r="AA292" s="907"/>
      <c r="AB292" s="907"/>
      <c r="AC292" s="907"/>
      <c r="AD292" s="907"/>
      <c r="AE292" s="907"/>
      <c r="AF292" s="907"/>
      <c r="AG292" s="907"/>
      <c r="AH292" s="907"/>
      <c r="AI292" s="907"/>
      <c r="AJ292" s="907"/>
      <c r="AK292" s="907"/>
      <c r="AL292" s="907"/>
    </row>
    <row r="293" spans="1:38">
      <c r="A293" s="907"/>
      <c r="B293" s="907"/>
      <c r="C293" s="907"/>
      <c r="D293" s="907"/>
      <c r="E293" s="907"/>
      <c r="F293" s="907"/>
      <c r="G293" s="907"/>
      <c r="H293" s="907"/>
      <c r="I293" s="907"/>
      <c r="J293" s="907"/>
      <c r="K293" s="907"/>
      <c r="L293" s="907"/>
      <c r="M293" s="907"/>
      <c r="N293" s="907"/>
      <c r="O293" s="907"/>
      <c r="P293" s="907"/>
      <c r="Q293" s="907"/>
      <c r="R293" s="907"/>
      <c r="S293" s="907"/>
      <c r="T293" s="907"/>
      <c r="U293" s="907"/>
      <c r="V293" s="907"/>
      <c r="W293" s="907"/>
      <c r="X293" s="907"/>
      <c r="Y293" s="907"/>
      <c r="Z293" s="907"/>
      <c r="AA293" s="907"/>
      <c r="AB293" s="907"/>
      <c r="AC293" s="907"/>
      <c r="AD293" s="907"/>
      <c r="AE293" s="907"/>
      <c r="AF293" s="907"/>
      <c r="AG293" s="907"/>
      <c r="AH293" s="907"/>
      <c r="AI293" s="907"/>
      <c r="AJ293" s="907"/>
      <c r="AK293" s="907"/>
      <c r="AL293" s="907"/>
    </row>
    <row r="294" spans="1:38">
      <c r="A294" s="907"/>
      <c r="B294" s="907"/>
      <c r="C294" s="907"/>
      <c r="D294" s="907"/>
      <c r="E294" s="907"/>
      <c r="F294" s="907"/>
      <c r="G294" s="907"/>
      <c r="H294" s="907"/>
      <c r="I294" s="907"/>
      <c r="J294" s="907"/>
      <c r="K294" s="907"/>
      <c r="L294" s="907"/>
      <c r="M294" s="907"/>
      <c r="N294" s="907"/>
      <c r="O294" s="907"/>
      <c r="P294" s="907"/>
      <c r="Q294" s="907"/>
      <c r="R294" s="907"/>
      <c r="S294" s="907"/>
      <c r="T294" s="907"/>
      <c r="U294" s="907"/>
      <c r="V294" s="907"/>
      <c r="W294" s="907"/>
      <c r="X294" s="907"/>
      <c r="Y294" s="907"/>
      <c r="Z294" s="907"/>
      <c r="AA294" s="907"/>
      <c r="AB294" s="907"/>
      <c r="AC294" s="907"/>
      <c r="AD294" s="907"/>
      <c r="AE294" s="907"/>
      <c r="AF294" s="907"/>
      <c r="AG294" s="907"/>
      <c r="AH294" s="907"/>
      <c r="AI294" s="907"/>
      <c r="AJ294" s="907"/>
      <c r="AK294" s="907"/>
      <c r="AL294" s="907"/>
    </row>
    <row r="295" spans="1:38">
      <c r="A295" s="907"/>
      <c r="B295" s="907"/>
      <c r="C295" s="907"/>
      <c r="D295" s="907"/>
      <c r="E295" s="907"/>
      <c r="F295" s="907"/>
      <c r="G295" s="907"/>
      <c r="H295" s="907"/>
      <c r="I295" s="907"/>
      <c r="J295" s="907"/>
      <c r="K295" s="907"/>
      <c r="L295" s="907"/>
      <c r="M295" s="907"/>
      <c r="N295" s="907"/>
      <c r="O295" s="907"/>
      <c r="P295" s="907"/>
      <c r="Q295" s="907"/>
      <c r="R295" s="907"/>
      <c r="S295" s="907"/>
      <c r="T295" s="907"/>
      <c r="U295" s="907"/>
      <c r="V295" s="907"/>
      <c r="W295" s="907"/>
      <c r="X295" s="907"/>
      <c r="Y295" s="907"/>
      <c r="Z295" s="907"/>
      <c r="AA295" s="907"/>
      <c r="AB295" s="907"/>
      <c r="AC295" s="907"/>
      <c r="AD295" s="907"/>
      <c r="AE295" s="907"/>
      <c r="AF295" s="907"/>
      <c r="AG295" s="907"/>
      <c r="AH295" s="907"/>
      <c r="AI295" s="907"/>
      <c r="AJ295" s="907"/>
      <c r="AK295" s="907"/>
      <c r="AL295" s="907"/>
    </row>
    <row r="296" spans="1:38">
      <c r="A296" s="907"/>
      <c r="B296" s="907"/>
      <c r="C296" s="907"/>
      <c r="D296" s="907"/>
      <c r="E296" s="907"/>
      <c r="F296" s="907"/>
      <c r="G296" s="907"/>
      <c r="H296" s="907"/>
      <c r="I296" s="907"/>
      <c r="J296" s="907"/>
      <c r="K296" s="907"/>
      <c r="L296" s="907"/>
      <c r="M296" s="907"/>
      <c r="N296" s="907"/>
      <c r="O296" s="907"/>
      <c r="P296" s="907"/>
      <c r="Q296" s="907"/>
      <c r="R296" s="907"/>
      <c r="S296" s="907"/>
      <c r="T296" s="907"/>
      <c r="U296" s="907"/>
      <c r="V296" s="907"/>
      <c r="W296" s="907"/>
      <c r="X296" s="907"/>
      <c r="Y296" s="907"/>
      <c r="Z296" s="907"/>
      <c r="AA296" s="907"/>
      <c r="AB296" s="907"/>
      <c r="AC296" s="907"/>
      <c r="AD296" s="907"/>
      <c r="AE296" s="907"/>
      <c r="AF296" s="907"/>
      <c r="AG296" s="907"/>
      <c r="AH296" s="907"/>
      <c r="AI296" s="907"/>
      <c r="AJ296" s="907"/>
      <c r="AK296" s="907"/>
      <c r="AL296" s="907"/>
    </row>
    <row r="297" spans="1:38">
      <c r="A297" s="907"/>
      <c r="B297" s="907"/>
      <c r="C297" s="907"/>
      <c r="D297" s="907"/>
      <c r="E297" s="907"/>
      <c r="F297" s="907"/>
      <c r="G297" s="907"/>
      <c r="H297" s="907"/>
      <c r="I297" s="907"/>
      <c r="J297" s="907"/>
      <c r="K297" s="907"/>
      <c r="L297" s="907"/>
      <c r="M297" s="907"/>
      <c r="N297" s="907"/>
      <c r="O297" s="907"/>
      <c r="P297" s="907"/>
      <c r="Q297" s="907"/>
      <c r="R297" s="907"/>
      <c r="S297" s="907"/>
      <c r="T297" s="907"/>
      <c r="U297" s="907"/>
      <c r="V297" s="907"/>
      <c r="W297" s="907"/>
      <c r="X297" s="907"/>
      <c r="Y297" s="907"/>
      <c r="Z297" s="907"/>
      <c r="AA297" s="907"/>
      <c r="AB297" s="907"/>
      <c r="AC297" s="907"/>
      <c r="AD297" s="907"/>
      <c r="AE297" s="907"/>
      <c r="AF297" s="907"/>
      <c r="AG297" s="907"/>
      <c r="AH297" s="907"/>
      <c r="AI297" s="907"/>
      <c r="AJ297" s="907"/>
      <c r="AK297" s="907"/>
      <c r="AL297" s="907"/>
    </row>
    <row r="298" spans="1:38">
      <c r="A298" s="907"/>
      <c r="B298" s="907"/>
      <c r="C298" s="907"/>
      <c r="D298" s="907"/>
      <c r="E298" s="907"/>
      <c r="F298" s="907"/>
      <c r="G298" s="907"/>
      <c r="H298" s="907"/>
      <c r="I298" s="907"/>
      <c r="J298" s="907"/>
      <c r="K298" s="907"/>
      <c r="L298" s="907"/>
      <c r="M298" s="907"/>
      <c r="N298" s="907"/>
      <c r="O298" s="907"/>
      <c r="P298" s="907"/>
      <c r="Q298" s="907"/>
      <c r="R298" s="907"/>
      <c r="S298" s="907"/>
      <c r="T298" s="907"/>
      <c r="U298" s="907"/>
      <c r="V298" s="907"/>
      <c r="W298" s="907"/>
      <c r="X298" s="907"/>
      <c r="Y298" s="907"/>
      <c r="Z298" s="907"/>
      <c r="AA298" s="907"/>
      <c r="AB298" s="907"/>
      <c r="AC298" s="907"/>
      <c r="AD298" s="907"/>
      <c r="AE298" s="907"/>
      <c r="AF298" s="907"/>
      <c r="AG298" s="907"/>
      <c r="AH298" s="907"/>
      <c r="AI298" s="907"/>
      <c r="AJ298" s="907"/>
      <c r="AK298" s="907"/>
      <c r="AL298" s="907"/>
    </row>
    <row r="299" spans="1:38">
      <c r="A299" s="907"/>
      <c r="B299" s="907"/>
      <c r="C299" s="907"/>
      <c r="D299" s="907"/>
      <c r="E299" s="907"/>
      <c r="F299" s="907"/>
      <c r="G299" s="907"/>
      <c r="H299" s="907"/>
      <c r="I299" s="907"/>
      <c r="J299" s="907"/>
      <c r="K299" s="907"/>
      <c r="L299" s="907"/>
      <c r="M299" s="907"/>
      <c r="N299" s="907"/>
      <c r="O299" s="907"/>
      <c r="P299" s="907"/>
      <c r="Q299" s="907"/>
      <c r="R299" s="907"/>
      <c r="S299" s="907"/>
      <c r="T299" s="907"/>
      <c r="U299" s="907"/>
      <c r="V299" s="907"/>
      <c r="W299" s="907"/>
      <c r="X299" s="907"/>
      <c r="Y299" s="907"/>
      <c r="Z299" s="907"/>
      <c r="AA299" s="907"/>
      <c r="AB299" s="907"/>
      <c r="AC299" s="907"/>
      <c r="AD299" s="907"/>
      <c r="AE299" s="907"/>
      <c r="AF299" s="907"/>
      <c r="AG299" s="907"/>
      <c r="AH299" s="907"/>
      <c r="AI299" s="907"/>
      <c r="AJ299" s="907"/>
      <c r="AK299" s="907"/>
      <c r="AL299" s="907"/>
    </row>
    <row r="300" spans="1:38">
      <c r="A300" s="907"/>
      <c r="B300" s="907"/>
      <c r="C300" s="907"/>
      <c r="D300" s="907"/>
      <c r="E300" s="907"/>
      <c r="F300" s="907"/>
      <c r="G300" s="907"/>
      <c r="H300" s="907"/>
      <c r="I300" s="907"/>
      <c r="J300" s="907"/>
      <c r="K300" s="907"/>
      <c r="L300" s="907"/>
      <c r="M300" s="907"/>
      <c r="N300" s="907"/>
      <c r="O300" s="907"/>
      <c r="P300" s="907"/>
      <c r="Q300" s="907"/>
      <c r="R300" s="907"/>
      <c r="S300" s="907"/>
      <c r="T300" s="907"/>
      <c r="U300" s="907"/>
      <c r="V300" s="907"/>
      <c r="W300" s="907"/>
      <c r="X300" s="907"/>
      <c r="Y300" s="907"/>
      <c r="Z300" s="907"/>
      <c r="AA300" s="907"/>
      <c r="AB300" s="907"/>
      <c r="AC300" s="907"/>
      <c r="AD300" s="907"/>
      <c r="AE300" s="907"/>
      <c r="AF300" s="907"/>
      <c r="AG300" s="907"/>
      <c r="AH300" s="907"/>
      <c r="AI300" s="907"/>
      <c r="AJ300" s="907"/>
      <c r="AK300" s="907"/>
      <c r="AL300" s="907"/>
    </row>
    <row r="301" spans="1:38">
      <c r="A301" s="907"/>
      <c r="B301" s="907"/>
      <c r="C301" s="907"/>
      <c r="D301" s="907"/>
      <c r="E301" s="907"/>
      <c r="F301" s="907"/>
      <c r="G301" s="907"/>
      <c r="H301" s="907"/>
      <c r="I301" s="907"/>
      <c r="J301" s="907"/>
      <c r="K301" s="907"/>
      <c r="L301" s="907"/>
      <c r="M301" s="907"/>
      <c r="N301" s="907"/>
      <c r="O301" s="907"/>
      <c r="P301" s="907"/>
      <c r="Q301" s="907"/>
      <c r="R301" s="907"/>
      <c r="S301" s="907"/>
      <c r="T301" s="907"/>
      <c r="U301" s="907"/>
      <c r="V301" s="907"/>
      <c r="W301" s="907"/>
      <c r="X301" s="907"/>
      <c r="Y301" s="907"/>
      <c r="Z301" s="907"/>
      <c r="AA301" s="907"/>
      <c r="AB301" s="907"/>
      <c r="AC301" s="907"/>
      <c r="AD301" s="907"/>
      <c r="AE301" s="907"/>
      <c r="AF301" s="907"/>
      <c r="AG301" s="907"/>
      <c r="AH301" s="907"/>
      <c r="AI301" s="907"/>
      <c r="AJ301" s="907"/>
      <c r="AK301" s="907"/>
      <c r="AL301" s="907"/>
    </row>
    <row r="302" spans="1:38">
      <c r="A302" s="907"/>
      <c r="B302" s="907"/>
      <c r="C302" s="907"/>
      <c r="D302" s="907"/>
      <c r="E302" s="907"/>
      <c r="F302" s="907"/>
      <c r="G302" s="907"/>
      <c r="H302" s="907"/>
      <c r="I302" s="907"/>
      <c r="J302" s="907"/>
      <c r="K302" s="907"/>
      <c r="L302" s="907"/>
      <c r="M302" s="907"/>
      <c r="N302" s="907"/>
      <c r="O302" s="907"/>
      <c r="P302" s="907"/>
      <c r="Q302" s="907"/>
      <c r="R302" s="907"/>
      <c r="S302" s="907"/>
      <c r="T302" s="907"/>
      <c r="U302" s="907"/>
      <c r="V302" s="907"/>
      <c r="W302" s="907"/>
      <c r="X302" s="907"/>
      <c r="Y302" s="907"/>
      <c r="Z302" s="907"/>
      <c r="AA302" s="907"/>
      <c r="AB302" s="907"/>
      <c r="AC302" s="907"/>
      <c r="AD302" s="907"/>
      <c r="AE302" s="907"/>
      <c r="AF302" s="907"/>
      <c r="AG302" s="907"/>
      <c r="AH302" s="907"/>
      <c r="AI302" s="907"/>
      <c r="AJ302" s="907"/>
      <c r="AK302" s="907"/>
      <c r="AL302" s="907"/>
    </row>
    <row r="303" spans="1:38">
      <c r="A303" s="907"/>
      <c r="B303" s="907"/>
      <c r="C303" s="907"/>
      <c r="D303" s="907"/>
      <c r="E303" s="907"/>
      <c r="F303" s="907"/>
      <c r="G303" s="907"/>
      <c r="H303" s="907"/>
      <c r="I303" s="907"/>
      <c r="J303" s="907"/>
      <c r="K303" s="907"/>
      <c r="L303" s="907"/>
      <c r="M303" s="907"/>
      <c r="N303" s="907"/>
      <c r="O303" s="907"/>
      <c r="P303" s="907"/>
      <c r="Q303" s="907"/>
      <c r="R303" s="907"/>
      <c r="S303" s="907"/>
      <c r="T303" s="907"/>
      <c r="U303" s="907"/>
      <c r="V303" s="907"/>
      <c r="W303" s="907"/>
      <c r="X303" s="907"/>
      <c r="Y303" s="907"/>
      <c r="Z303" s="907"/>
      <c r="AA303" s="907"/>
      <c r="AB303" s="907"/>
      <c r="AC303" s="907"/>
      <c r="AD303" s="907"/>
      <c r="AE303" s="907"/>
      <c r="AF303" s="907"/>
      <c r="AG303" s="907"/>
      <c r="AH303" s="907"/>
      <c r="AI303" s="907"/>
      <c r="AJ303" s="907"/>
      <c r="AK303" s="907"/>
      <c r="AL303" s="907"/>
    </row>
    <row r="304" spans="1:38">
      <c r="A304" s="907"/>
      <c r="B304" s="907"/>
      <c r="C304" s="907"/>
      <c r="D304" s="907"/>
      <c r="E304" s="907"/>
      <c r="F304" s="907"/>
      <c r="G304" s="907"/>
      <c r="H304" s="907"/>
      <c r="I304" s="907"/>
      <c r="J304" s="907"/>
      <c r="K304" s="907"/>
      <c r="L304" s="907"/>
      <c r="M304" s="907"/>
      <c r="N304" s="907"/>
      <c r="O304" s="907"/>
      <c r="P304" s="907"/>
      <c r="Q304" s="907"/>
      <c r="R304" s="907"/>
      <c r="S304" s="907"/>
      <c r="T304" s="907"/>
      <c r="U304" s="907"/>
      <c r="V304" s="907"/>
      <c r="W304" s="907"/>
      <c r="X304" s="907"/>
      <c r="Y304" s="907"/>
      <c r="Z304" s="907"/>
      <c r="AA304" s="907"/>
      <c r="AB304" s="907"/>
      <c r="AC304" s="907"/>
      <c r="AD304" s="907"/>
      <c r="AE304" s="907"/>
      <c r="AF304" s="907"/>
      <c r="AG304" s="907"/>
      <c r="AH304" s="907"/>
      <c r="AI304" s="907"/>
      <c r="AJ304" s="907"/>
      <c r="AK304" s="907"/>
      <c r="AL304" s="907"/>
    </row>
    <row r="305" spans="1:38">
      <c r="A305" s="907"/>
      <c r="B305" s="907"/>
      <c r="C305" s="907"/>
      <c r="D305" s="907"/>
      <c r="E305" s="907"/>
      <c r="F305" s="907"/>
      <c r="G305" s="907"/>
      <c r="H305" s="907"/>
      <c r="I305" s="907"/>
      <c r="J305" s="907"/>
      <c r="K305" s="907"/>
      <c r="L305" s="907"/>
      <c r="M305" s="907"/>
      <c r="N305" s="907"/>
      <c r="O305" s="907"/>
      <c r="P305" s="907"/>
      <c r="Q305" s="907"/>
      <c r="R305" s="907"/>
      <c r="S305" s="907"/>
      <c r="T305" s="907"/>
      <c r="U305" s="907"/>
      <c r="V305" s="907"/>
      <c r="W305" s="907"/>
      <c r="X305" s="907"/>
      <c r="Y305" s="907"/>
      <c r="Z305" s="907"/>
      <c r="AA305" s="907"/>
      <c r="AB305" s="907"/>
      <c r="AC305" s="907"/>
      <c r="AD305" s="907"/>
      <c r="AE305" s="907"/>
      <c r="AF305" s="907"/>
      <c r="AG305" s="907"/>
      <c r="AH305" s="907"/>
      <c r="AI305" s="907"/>
      <c r="AJ305" s="907"/>
      <c r="AK305" s="907"/>
      <c r="AL305" s="907"/>
    </row>
    <row r="306" spans="1:38">
      <c r="A306" s="907"/>
      <c r="B306" s="907"/>
      <c r="C306" s="907"/>
      <c r="D306" s="907"/>
      <c r="E306" s="907"/>
      <c r="F306" s="907"/>
      <c r="G306" s="907"/>
      <c r="H306" s="907"/>
      <c r="I306" s="907"/>
      <c r="J306" s="907"/>
      <c r="K306" s="907"/>
      <c r="L306" s="907"/>
      <c r="M306" s="907"/>
      <c r="N306" s="907"/>
      <c r="O306" s="907"/>
      <c r="P306" s="907"/>
      <c r="Q306" s="907"/>
      <c r="R306" s="907"/>
      <c r="S306" s="907"/>
      <c r="T306" s="907"/>
      <c r="U306" s="907"/>
      <c r="V306" s="907"/>
      <c r="W306" s="907"/>
      <c r="X306" s="907"/>
      <c r="Y306" s="907"/>
      <c r="Z306" s="907"/>
      <c r="AA306" s="907"/>
      <c r="AB306" s="907"/>
      <c r="AC306" s="907"/>
      <c r="AD306" s="907"/>
      <c r="AE306" s="907"/>
      <c r="AF306" s="907"/>
      <c r="AG306" s="907"/>
      <c r="AH306" s="907"/>
      <c r="AI306" s="907"/>
      <c r="AJ306" s="907"/>
      <c r="AK306" s="907"/>
      <c r="AL306" s="907"/>
    </row>
    <row r="307" spans="1:38">
      <c r="A307" s="907"/>
      <c r="B307" s="907"/>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c r="AB307" s="907"/>
      <c r="AC307" s="907"/>
      <c r="AD307" s="907"/>
      <c r="AE307" s="907"/>
      <c r="AF307" s="907"/>
      <c r="AG307" s="907"/>
      <c r="AH307" s="907"/>
      <c r="AI307" s="907"/>
      <c r="AJ307" s="907"/>
      <c r="AK307" s="907"/>
      <c r="AL307" s="907"/>
    </row>
    <row r="308" spans="1:38">
      <c r="A308" s="907"/>
      <c r="B308" s="907"/>
      <c r="C308" s="907"/>
      <c r="D308" s="907"/>
      <c r="E308" s="907"/>
      <c r="F308" s="907"/>
      <c r="G308" s="907"/>
      <c r="H308" s="907"/>
      <c r="I308" s="907"/>
      <c r="J308" s="907"/>
      <c r="K308" s="907"/>
      <c r="L308" s="907"/>
      <c r="M308" s="907"/>
      <c r="N308" s="907"/>
      <c r="O308" s="907"/>
      <c r="P308" s="907"/>
      <c r="Q308" s="907"/>
      <c r="R308" s="907"/>
      <c r="S308" s="907"/>
      <c r="T308" s="907"/>
      <c r="U308" s="907"/>
      <c r="V308" s="907"/>
      <c r="W308" s="907"/>
      <c r="X308" s="907"/>
      <c r="Y308" s="907"/>
      <c r="Z308" s="907"/>
      <c r="AA308" s="907"/>
      <c r="AB308" s="907"/>
      <c r="AC308" s="907"/>
      <c r="AD308" s="907"/>
      <c r="AE308" s="907"/>
      <c r="AF308" s="907"/>
      <c r="AG308" s="907"/>
      <c r="AH308" s="907"/>
      <c r="AI308" s="907"/>
      <c r="AJ308" s="907"/>
      <c r="AK308" s="907"/>
      <c r="AL308" s="907"/>
    </row>
    <row r="309" spans="1:38">
      <c r="A309" s="907"/>
      <c r="B309" s="907"/>
      <c r="C309" s="907"/>
      <c r="D309" s="907"/>
      <c r="E309" s="907"/>
      <c r="F309" s="907"/>
      <c r="G309" s="907"/>
      <c r="H309" s="907"/>
      <c r="I309" s="907"/>
      <c r="J309" s="907"/>
      <c r="K309" s="907"/>
      <c r="L309" s="907"/>
      <c r="M309" s="907"/>
      <c r="N309" s="907"/>
      <c r="O309" s="907"/>
      <c r="P309" s="907"/>
      <c r="Q309" s="907"/>
      <c r="R309" s="907"/>
      <c r="S309" s="907"/>
      <c r="T309" s="907"/>
      <c r="U309" s="907"/>
      <c r="V309" s="907"/>
      <c r="W309" s="907"/>
      <c r="X309" s="907"/>
      <c r="Y309" s="907"/>
      <c r="Z309" s="907"/>
      <c r="AA309" s="907"/>
      <c r="AB309" s="907"/>
      <c r="AC309" s="907"/>
      <c r="AD309" s="907"/>
      <c r="AE309" s="907"/>
      <c r="AF309" s="907"/>
      <c r="AG309" s="907"/>
      <c r="AH309" s="907"/>
      <c r="AI309" s="907"/>
      <c r="AJ309" s="907"/>
      <c r="AK309" s="907"/>
      <c r="AL309" s="907"/>
    </row>
    <row r="310" spans="1:38">
      <c r="A310" s="907"/>
      <c r="B310" s="907"/>
      <c r="C310" s="907"/>
      <c r="D310" s="907"/>
      <c r="E310" s="907"/>
      <c r="F310" s="907"/>
      <c r="G310" s="907"/>
      <c r="H310" s="907"/>
      <c r="I310" s="907"/>
      <c r="J310" s="907"/>
      <c r="K310" s="907"/>
      <c r="L310" s="907"/>
      <c r="M310" s="907"/>
      <c r="N310" s="907"/>
      <c r="O310" s="907"/>
      <c r="P310" s="907"/>
      <c r="Q310" s="907"/>
      <c r="R310" s="907"/>
      <c r="S310" s="907"/>
      <c r="T310" s="907"/>
      <c r="U310" s="907"/>
      <c r="V310" s="907"/>
      <c r="W310" s="907"/>
      <c r="X310" s="907"/>
      <c r="Y310" s="907"/>
      <c r="Z310" s="907"/>
      <c r="AA310" s="907"/>
      <c r="AB310" s="907"/>
      <c r="AC310" s="907"/>
      <c r="AD310" s="907"/>
      <c r="AE310" s="907"/>
      <c r="AF310" s="907"/>
      <c r="AG310" s="907"/>
      <c r="AH310" s="907"/>
      <c r="AI310" s="907"/>
      <c r="AJ310" s="907"/>
      <c r="AK310" s="907"/>
      <c r="AL310" s="907"/>
    </row>
    <row r="311" spans="1:38">
      <c r="A311" s="907"/>
      <c r="B311" s="907"/>
      <c r="C311" s="907"/>
      <c r="D311" s="907"/>
      <c r="E311" s="907"/>
      <c r="F311" s="907"/>
      <c r="G311" s="907"/>
      <c r="H311" s="907"/>
      <c r="I311" s="907"/>
      <c r="J311" s="907"/>
      <c r="K311" s="907"/>
      <c r="L311" s="907"/>
      <c r="M311" s="907"/>
      <c r="N311" s="907"/>
      <c r="O311" s="907"/>
      <c r="P311" s="907"/>
      <c r="Q311" s="907"/>
      <c r="R311" s="907"/>
      <c r="S311" s="907"/>
      <c r="T311" s="907"/>
      <c r="U311" s="907"/>
      <c r="V311" s="907"/>
      <c r="W311" s="907"/>
      <c r="X311" s="907"/>
      <c r="Y311" s="907"/>
      <c r="Z311" s="907"/>
      <c r="AA311" s="907"/>
      <c r="AB311" s="907"/>
      <c r="AC311" s="907"/>
      <c r="AD311" s="907"/>
      <c r="AE311" s="907"/>
      <c r="AF311" s="907"/>
      <c r="AG311" s="907"/>
      <c r="AH311" s="907"/>
      <c r="AI311" s="907"/>
      <c r="AJ311" s="907"/>
      <c r="AK311" s="907"/>
      <c r="AL311" s="907"/>
    </row>
    <row r="312" spans="1:38">
      <c r="A312" s="907"/>
      <c r="B312" s="907"/>
      <c r="C312" s="907"/>
      <c r="D312" s="907"/>
      <c r="E312" s="907"/>
      <c r="F312" s="907"/>
      <c r="G312" s="907"/>
      <c r="H312" s="907"/>
      <c r="I312" s="907"/>
      <c r="J312" s="907"/>
      <c r="K312" s="907"/>
      <c r="L312" s="907"/>
      <c r="M312" s="907"/>
      <c r="N312" s="907"/>
      <c r="O312" s="907"/>
      <c r="P312" s="907"/>
      <c r="Q312" s="907"/>
      <c r="R312" s="907"/>
      <c r="S312" s="907"/>
      <c r="T312" s="907"/>
      <c r="U312" s="907"/>
      <c r="V312" s="907"/>
      <c r="W312" s="907"/>
      <c r="X312" s="907"/>
      <c r="Y312" s="907"/>
      <c r="Z312" s="907"/>
      <c r="AA312" s="907"/>
      <c r="AB312" s="907"/>
      <c r="AC312" s="907"/>
      <c r="AD312" s="907"/>
      <c r="AE312" s="907"/>
      <c r="AF312" s="907"/>
      <c r="AG312" s="907"/>
      <c r="AH312" s="907"/>
      <c r="AI312" s="907"/>
      <c r="AJ312" s="907"/>
      <c r="AK312" s="907"/>
      <c r="AL312" s="907"/>
    </row>
    <row r="313" spans="1:38">
      <c r="A313" s="907"/>
      <c r="B313" s="907"/>
      <c r="C313" s="907"/>
      <c r="D313" s="907"/>
      <c r="E313" s="907"/>
      <c r="F313" s="907"/>
      <c r="G313" s="907"/>
      <c r="H313" s="907"/>
      <c r="I313" s="907"/>
      <c r="J313" s="907"/>
      <c r="K313" s="907"/>
      <c r="L313" s="907"/>
      <c r="M313" s="907"/>
      <c r="N313" s="907"/>
      <c r="O313" s="907"/>
      <c r="P313" s="907"/>
      <c r="Q313" s="907"/>
      <c r="R313" s="907"/>
      <c r="S313" s="907"/>
      <c r="T313" s="907"/>
      <c r="U313" s="907"/>
      <c r="V313" s="907"/>
      <c r="W313" s="907"/>
      <c r="X313" s="907"/>
      <c r="Y313" s="907"/>
      <c r="Z313" s="907"/>
      <c r="AA313" s="907"/>
      <c r="AB313" s="907"/>
      <c r="AC313" s="907"/>
      <c r="AD313" s="907"/>
      <c r="AE313" s="907"/>
      <c r="AF313" s="907"/>
      <c r="AG313" s="907"/>
      <c r="AH313" s="907"/>
      <c r="AI313" s="907"/>
      <c r="AJ313" s="907"/>
      <c r="AK313" s="907"/>
      <c r="AL313" s="907"/>
    </row>
    <row r="314" spans="1:38">
      <c r="A314" s="907"/>
      <c r="B314" s="907"/>
      <c r="C314" s="907"/>
      <c r="D314" s="907"/>
      <c r="E314" s="907"/>
      <c r="F314" s="907"/>
      <c r="G314" s="907"/>
      <c r="H314" s="907"/>
      <c r="I314" s="907"/>
      <c r="J314" s="907"/>
      <c r="K314" s="907"/>
      <c r="L314" s="907"/>
      <c r="M314" s="907"/>
      <c r="N314" s="907"/>
      <c r="O314" s="907"/>
      <c r="P314" s="907"/>
      <c r="Q314" s="907"/>
      <c r="R314" s="907"/>
      <c r="S314" s="907"/>
      <c r="T314" s="907"/>
      <c r="U314" s="907"/>
      <c r="V314" s="907"/>
      <c r="W314" s="907"/>
      <c r="X314" s="907"/>
      <c r="Y314" s="907"/>
      <c r="Z314" s="907"/>
      <c r="AA314" s="907"/>
      <c r="AB314" s="907"/>
      <c r="AC314" s="907"/>
      <c r="AD314" s="907"/>
      <c r="AE314" s="907"/>
      <c r="AF314" s="907"/>
      <c r="AG314" s="907"/>
      <c r="AH314" s="907"/>
      <c r="AI314" s="907"/>
      <c r="AJ314" s="907"/>
      <c r="AK314" s="907"/>
      <c r="AL314" s="907"/>
    </row>
    <row r="315" spans="1:38">
      <c r="A315" s="907"/>
      <c r="B315" s="907"/>
      <c r="C315" s="907"/>
      <c r="D315" s="907"/>
      <c r="E315" s="907"/>
      <c r="F315" s="907"/>
      <c r="G315" s="907"/>
      <c r="H315" s="907"/>
      <c r="I315" s="907"/>
      <c r="J315" s="907"/>
      <c r="K315" s="907"/>
      <c r="L315" s="907"/>
      <c r="M315" s="907"/>
      <c r="N315" s="907"/>
      <c r="O315" s="907"/>
      <c r="P315" s="907"/>
      <c r="Q315" s="907"/>
      <c r="R315" s="907"/>
      <c r="S315" s="907"/>
      <c r="T315" s="907"/>
      <c r="U315" s="907"/>
      <c r="V315" s="907"/>
      <c r="W315" s="907"/>
      <c r="X315" s="907"/>
      <c r="Y315" s="907"/>
      <c r="Z315" s="907"/>
      <c r="AA315" s="907"/>
      <c r="AB315" s="907"/>
      <c r="AC315" s="907"/>
      <c r="AD315" s="907"/>
      <c r="AE315" s="907"/>
      <c r="AF315" s="907"/>
      <c r="AG315" s="907"/>
      <c r="AH315" s="907"/>
      <c r="AI315" s="907"/>
      <c r="AJ315" s="907"/>
      <c r="AK315" s="907"/>
      <c r="AL315" s="907"/>
    </row>
    <row r="316" spans="1:38">
      <c r="A316" s="907"/>
      <c r="B316" s="907"/>
      <c r="C316" s="907"/>
      <c r="D316" s="907"/>
      <c r="E316" s="907"/>
      <c r="F316" s="907"/>
      <c r="G316" s="907"/>
      <c r="H316" s="907"/>
      <c r="I316" s="907"/>
      <c r="J316" s="907"/>
      <c r="K316" s="907"/>
      <c r="L316" s="907"/>
      <c r="M316" s="907"/>
      <c r="N316" s="907"/>
      <c r="O316" s="907"/>
      <c r="P316" s="907"/>
      <c r="Q316" s="907"/>
      <c r="R316" s="907"/>
      <c r="S316" s="907"/>
      <c r="T316" s="907"/>
      <c r="U316" s="907"/>
      <c r="V316" s="907"/>
      <c r="W316" s="907"/>
      <c r="X316" s="907"/>
      <c r="Y316" s="907"/>
      <c r="Z316" s="907"/>
      <c r="AA316" s="907"/>
      <c r="AB316" s="907"/>
      <c r="AC316" s="907"/>
      <c r="AD316" s="907"/>
      <c r="AE316" s="907"/>
      <c r="AF316" s="907"/>
      <c r="AG316" s="907"/>
      <c r="AH316" s="907"/>
      <c r="AI316" s="907"/>
      <c r="AJ316" s="907"/>
      <c r="AK316" s="907"/>
      <c r="AL316" s="907"/>
    </row>
    <row r="317" spans="1:38">
      <c r="A317" s="907"/>
      <c r="B317" s="907"/>
      <c r="C317" s="907"/>
      <c r="D317" s="907"/>
      <c r="E317" s="907"/>
      <c r="F317" s="907"/>
      <c r="G317" s="907"/>
      <c r="H317" s="907"/>
      <c r="I317" s="907"/>
      <c r="J317" s="907"/>
      <c r="K317" s="907"/>
      <c r="L317" s="907"/>
      <c r="M317" s="907"/>
      <c r="N317" s="907"/>
      <c r="O317" s="907"/>
      <c r="P317" s="907"/>
      <c r="Q317" s="907"/>
      <c r="R317" s="907"/>
      <c r="S317" s="907"/>
      <c r="T317" s="907"/>
      <c r="U317" s="907"/>
      <c r="V317" s="907"/>
      <c r="W317" s="907"/>
      <c r="X317" s="907"/>
      <c r="Y317" s="907"/>
      <c r="Z317" s="907"/>
      <c r="AA317" s="907"/>
      <c r="AB317" s="907"/>
      <c r="AC317" s="907"/>
      <c r="AD317" s="907"/>
      <c r="AE317" s="907"/>
      <c r="AF317" s="907"/>
      <c r="AG317" s="907"/>
      <c r="AH317" s="907"/>
      <c r="AI317" s="907"/>
      <c r="AJ317" s="907"/>
      <c r="AK317" s="907"/>
      <c r="AL317" s="907"/>
    </row>
    <row r="318" spans="1:38">
      <c r="A318" s="907"/>
      <c r="B318" s="907"/>
      <c r="C318" s="907"/>
      <c r="D318" s="907"/>
      <c r="E318" s="907"/>
      <c r="F318" s="907"/>
      <c r="G318" s="907"/>
      <c r="H318" s="907"/>
      <c r="I318" s="907"/>
      <c r="J318" s="907"/>
      <c r="K318" s="907"/>
      <c r="L318" s="907"/>
      <c r="M318" s="907"/>
      <c r="N318" s="907"/>
      <c r="O318" s="907"/>
      <c r="P318" s="907"/>
      <c r="Q318" s="907"/>
      <c r="R318" s="907"/>
      <c r="S318" s="907"/>
      <c r="T318" s="907"/>
      <c r="U318" s="907"/>
      <c r="V318" s="907"/>
      <c r="W318" s="907"/>
      <c r="X318" s="907"/>
      <c r="Y318" s="907"/>
      <c r="Z318" s="907"/>
      <c r="AA318" s="907"/>
      <c r="AB318" s="907"/>
      <c r="AC318" s="907"/>
      <c r="AD318" s="907"/>
      <c r="AE318" s="907"/>
      <c r="AF318" s="907"/>
      <c r="AG318" s="907"/>
      <c r="AH318" s="907"/>
      <c r="AI318" s="907"/>
      <c r="AJ318" s="907"/>
      <c r="AK318" s="907"/>
      <c r="AL318" s="907"/>
    </row>
    <row r="319" spans="1:38">
      <c r="A319" s="907"/>
      <c r="B319" s="907"/>
      <c r="C319" s="907"/>
      <c r="D319" s="907"/>
      <c r="E319" s="907"/>
      <c r="F319" s="907"/>
      <c r="G319" s="907"/>
      <c r="H319" s="907"/>
      <c r="I319" s="907"/>
      <c r="J319" s="907"/>
      <c r="K319" s="907"/>
      <c r="L319" s="907"/>
      <c r="M319" s="907"/>
      <c r="N319" s="907"/>
      <c r="O319" s="907"/>
      <c r="P319" s="907"/>
      <c r="Q319" s="907"/>
      <c r="R319" s="907"/>
      <c r="S319" s="907"/>
      <c r="T319" s="907"/>
      <c r="U319" s="907"/>
      <c r="V319" s="907"/>
      <c r="W319" s="907"/>
      <c r="X319" s="907"/>
      <c r="Y319" s="907"/>
      <c r="Z319" s="907"/>
      <c r="AA319" s="907"/>
      <c r="AB319" s="907"/>
      <c r="AC319" s="907"/>
      <c r="AD319" s="907"/>
      <c r="AE319" s="907"/>
      <c r="AF319" s="907"/>
      <c r="AG319" s="907"/>
      <c r="AH319" s="907"/>
      <c r="AI319" s="907"/>
      <c r="AJ319" s="907"/>
      <c r="AK319" s="907"/>
      <c r="AL319" s="907"/>
    </row>
    <row r="320" spans="1:38">
      <c r="A320" s="907"/>
      <c r="B320" s="907"/>
      <c r="C320" s="907"/>
      <c r="D320" s="907"/>
      <c r="E320" s="907"/>
      <c r="F320" s="907"/>
      <c r="G320" s="907"/>
      <c r="H320" s="907"/>
      <c r="I320" s="907"/>
      <c r="J320" s="907"/>
      <c r="K320" s="907"/>
      <c r="L320" s="907"/>
      <c r="M320" s="907"/>
      <c r="N320" s="907"/>
      <c r="O320" s="907"/>
      <c r="P320" s="907"/>
      <c r="Q320" s="907"/>
      <c r="R320" s="907"/>
      <c r="S320" s="907"/>
      <c r="T320" s="907"/>
      <c r="U320" s="907"/>
      <c r="V320" s="907"/>
      <c r="W320" s="907"/>
      <c r="X320" s="907"/>
      <c r="Y320" s="907"/>
      <c r="Z320" s="907"/>
      <c r="AA320" s="907"/>
      <c r="AB320" s="907"/>
      <c r="AC320" s="907"/>
      <c r="AD320" s="907"/>
      <c r="AE320" s="907"/>
      <c r="AF320" s="907"/>
      <c r="AG320" s="907"/>
      <c r="AH320" s="907"/>
      <c r="AI320" s="907"/>
      <c r="AJ320" s="907"/>
      <c r="AK320" s="907"/>
      <c r="AL320" s="907"/>
    </row>
    <row r="321" spans="1:38">
      <c r="A321" s="907"/>
      <c r="B321" s="907"/>
      <c r="C321" s="907"/>
      <c r="D321" s="907"/>
      <c r="E321" s="907"/>
      <c r="F321" s="907"/>
      <c r="G321" s="907"/>
      <c r="H321" s="907"/>
      <c r="I321" s="907"/>
      <c r="J321" s="907"/>
      <c r="K321" s="907"/>
      <c r="L321" s="907"/>
      <c r="M321" s="907"/>
      <c r="N321" s="907"/>
      <c r="O321" s="907"/>
      <c r="P321" s="907"/>
      <c r="Q321" s="907"/>
      <c r="R321" s="907"/>
      <c r="S321" s="907"/>
      <c r="T321" s="907"/>
      <c r="U321" s="907"/>
      <c r="V321" s="907"/>
      <c r="W321" s="907"/>
      <c r="X321" s="907"/>
      <c r="Y321" s="907"/>
      <c r="Z321" s="907"/>
      <c r="AA321" s="907"/>
      <c r="AB321" s="907"/>
      <c r="AC321" s="907"/>
      <c r="AD321" s="907"/>
      <c r="AE321" s="907"/>
      <c r="AF321" s="907"/>
      <c r="AG321" s="907"/>
      <c r="AH321" s="907"/>
      <c r="AI321" s="907"/>
      <c r="AJ321" s="907"/>
      <c r="AK321" s="907"/>
      <c r="AL321" s="907"/>
    </row>
    <row r="322" spans="1:38">
      <c r="A322" s="907"/>
      <c r="B322" s="907"/>
      <c r="C322" s="907"/>
      <c r="D322" s="907"/>
      <c r="E322" s="907"/>
      <c r="F322" s="907"/>
      <c r="G322" s="907"/>
      <c r="H322" s="907"/>
      <c r="I322" s="907"/>
      <c r="J322" s="907"/>
      <c r="K322" s="907"/>
      <c r="L322" s="907"/>
      <c r="M322" s="907"/>
      <c r="N322" s="907"/>
      <c r="O322" s="907"/>
      <c r="P322" s="907"/>
      <c r="Q322" s="907"/>
      <c r="R322" s="907"/>
      <c r="S322" s="907"/>
      <c r="T322" s="907"/>
      <c r="U322" s="907"/>
      <c r="V322" s="907"/>
      <c r="W322" s="907"/>
      <c r="X322" s="907"/>
      <c r="Y322" s="907"/>
      <c r="Z322" s="907"/>
      <c r="AA322" s="907"/>
      <c r="AB322" s="907"/>
      <c r="AC322" s="907"/>
      <c r="AD322" s="907"/>
      <c r="AE322" s="907"/>
      <c r="AF322" s="907"/>
      <c r="AG322" s="907"/>
      <c r="AH322" s="907"/>
      <c r="AI322" s="907"/>
      <c r="AJ322" s="907"/>
      <c r="AK322" s="907"/>
      <c r="AL322" s="907"/>
    </row>
    <row r="323" spans="1:38">
      <c r="A323" s="907"/>
      <c r="B323" s="907"/>
      <c r="C323" s="907"/>
      <c r="D323" s="907"/>
      <c r="E323" s="907"/>
      <c r="F323" s="907"/>
      <c r="G323" s="907"/>
      <c r="H323" s="907"/>
      <c r="I323" s="907"/>
      <c r="J323" s="907"/>
      <c r="K323" s="907"/>
      <c r="L323" s="907"/>
      <c r="M323" s="907"/>
      <c r="N323" s="907"/>
      <c r="O323" s="907"/>
      <c r="P323" s="907"/>
      <c r="Q323" s="907"/>
      <c r="R323" s="907"/>
      <c r="S323" s="907"/>
      <c r="T323" s="907"/>
      <c r="U323" s="907"/>
      <c r="V323" s="907"/>
      <c r="W323" s="907"/>
      <c r="X323" s="907"/>
      <c r="Y323" s="907"/>
      <c r="Z323" s="907"/>
      <c r="AA323" s="907"/>
      <c r="AB323" s="907"/>
      <c r="AC323" s="907"/>
      <c r="AD323" s="907"/>
      <c r="AE323" s="907"/>
      <c r="AF323" s="907"/>
      <c r="AG323" s="907"/>
      <c r="AH323" s="907"/>
      <c r="AI323" s="907"/>
      <c r="AJ323" s="907"/>
      <c r="AK323" s="907"/>
      <c r="AL323" s="907"/>
    </row>
    <row r="324" spans="1:38">
      <c r="A324" s="907"/>
      <c r="B324" s="907"/>
      <c r="C324" s="907"/>
      <c r="D324" s="907"/>
      <c r="E324" s="907"/>
      <c r="F324" s="907"/>
      <c r="G324" s="907"/>
      <c r="H324" s="907"/>
      <c r="I324" s="907"/>
      <c r="J324" s="907"/>
      <c r="K324" s="907"/>
      <c r="L324" s="907"/>
      <c r="M324" s="907"/>
      <c r="N324" s="907"/>
      <c r="O324" s="907"/>
      <c r="P324" s="907"/>
      <c r="Q324" s="907"/>
      <c r="R324" s="907"/>
      <c r="S324" s="907"/>
      <c r="T324" s="907"/>
      <c r="U324" s="907"/>
      <c r="V324" s="907"/>
      <c r="W324" s="907"/>
      <c r="X324" s="907"/>
      <c r="Y324" s="907"/>
      <c r="Z324" s="907"/>
      <c r="AA324" s="907"/>
      <c r="AB324" s="907"/>
      <c r="AC324" s="907"/>
      <c r="AD324" s="907"/>
      <c r="AE324" s="907"/>
      <c r="AF324" s="907"/>
      <c r="AG324" s="907"/>
      <c r="AH324" s="907"/>
      <c r="AI324" s="907"/>
      <c r="AJ324" s="907"/>
      <c r="AK324" s="907"/>
      <c r="AL324" s="907"/>
    </row>
    <row r="325" spans="1:38">
      <c r="A325" s="907"/>
      <c r="B325" s="907"/>
      <c r="C325" s="907"/>
      <c r="D325" s="907"/>
      <c r="E325" s="907"/>
      <c r="F325" s="907"/>
      <c r="G325" s="907"/>
      <c r="H325" s="907"/>
      <c r="I325" s="907"/>
      <c r="J325" s="907"/>
      <c r="K325" s="907"/>
      <c r="L325" s="907"/>
      <c r="M325" s="907"/>
      <c r="N325" s="907"/>
      <c r="O325" s="907"/>
      <c r="P325" s="907"/>
      <c r="Q325" s="907"/>
      <c r="R325" s="907"/>
      <c r="S325" s="907"/>
      <c r="T325" s="907"/>
      <c r="U325" s="907"/>
      <c r="V325" s="907"/>
      <c r="W325" s="907"/>
      <c r="X325" s="907"/>
      <c r="Y325" s="907"/>
      <c r="Z325" s="907"/>
      <c r="AA325" s="907"/>
      <c r="AB325" s="907"/>
      <c r="AC325" s="907"/>
      <c r="AD325" s="907"/>
      <c r="AE325" s="907"/>
      <c r="AF325" s="907"/>
      <c r="AG325" s="907"/>
      <c r="AH325" s="907"/>
      <c r="AI325" s="907"/>
      <c r="AJ325" s="907"/>
      <c r="AK325" s="907"/>
      <c r="AL325" s="907"/>
    </row>
    <row r="326" spans="1:38">
      <c r="A326" s="907"/>
      <c r="B326" s="907"/>
      <c r="C326" s="907"/>
      <c r="D326" s="907"/>
      <c r="E326" s="907"/>
      <c r="F326" s="907"/>
      <c r="G326" s="907"/>
      <c r="H326" s="907"/>
      <c r="I326" s="907"/>
      <c r="J326" s="907"/>
      <c r="K326" s="907"/>
      <c r="L326" s="907"/>
      <c r="M326" s="907"/>
      <c r="N326" s="907"/>
      <c r="O326" s="907"/>
      <c r="P326" s="907"/>
      <c r="Q326" s="907"/>
      <c r="R326" s="907"/>
      <c r="S326" s="907"/>
      <c r="T326" s="907"/>
      <c r="U326" s="907"/>
      <c r="V326" s="907"/>
      <c r="W326" s="907"/>
      <c r="X326" s="907"/>
      <c r="Y326" s="907"/>
      <c r="Z326" s="907"/>
      <c r="AA326" s="907"/>
      <c r="AB326" s="907"/>
      <c r="AC326" s="907"/>
      <c r="AD326" s="907"/>
      <c r="AE326" s="907"/>
      <c r="AF326" s="907"/>
      <c r="AG326" s="907"/>
      <c r="AH326" s="907"/>
      <c r="AI326" s="907"/>
      <c r="AJ326" s="907"/>
      <c r="AK326" s="907"/>
      <c r="AL326" s="907"/>
    </row>
    <row r="327" spans="1:38">
      <c r="A327" s="907"/>
      <c r="B327" s="907"/>
      <c r="C327" s="907"/>
      <c r="D327" s="907"/>
      <c r="E327" s="907"/>
      <c r="F327" s="907"/>
      <c r="G327" s="907"/>
      <c r="H327" s="907"/>
      <c r="I327" s="907"/>
      <c r="J327" s="907"/>
      <c r="K327" s="907"/>
      <c r="L327" s="907"/>
      <c r="M327" s="907"/>
      <c r="N327" s="907"/>
      <c r="O327" s="907"/>
      <c r="P327" s="907"/>
      <c r="Q327" s="907"/>
      <c r="R327" s="907"/>
      <c r="S327" s="907"/>
      <c r="T327" s="907"/>
      <c r="U327" s="907"/>
      <c r="V327" s="907"/>
      <c r="W327" s="907"/>
      <c r="X327" s="907"/>
      <c r="Y327" s="907"/>
      <c r="Z327" s="907"/>
      <c r="AA327" s="907"/>
      <c r="AB327" s="907"/>
      <c r="AC327" s="907"/>
      <c r="AD327" s="907"/>
      <c r="AE327" s="907"/>
      <c r="AF327" s="907"/>
      <c r="AG327" s="907"/>
      <c r="AH327" s="907"/>
      <c r="AI327" s="907"/>
      <c r="AJ327" s="907"/>
      <c r="AK327" s="907"/>
      <c r="AL327" s="907"/>
    </row>
    <row r="328" spans="1:38">
      <c r="A328" s="907"/>
      <c r="B328" s="907"/>
      <c r="C328" s="907"/>
      <c r="D328" s="907"/>
      <c r="E328" s="907"/>
      <c r="F328" s="907"/>
      <c r="G328" s="907"/>
      <c r="H328" s="907"/>
      <c r="I328" s="907"/>
      <c r="J328" s="907"/>
      <c r="K328" s="907"/>
      <c r="L328" s="907"/>
      <c r="M328" s="907"/>
      <c r="N328" s="907"/>
      <c r="O328" s="907"/>
      <c r="P328" s="907"/>
      <c r="Q328" s="907"/>
      <c r="R328" s="907"/>
      <c r="S328" s="907"/>
      <c r="T328" s="907"/>
      <c r="U328" s="907"/>
      <c r="V328" s="907"/>
      <c r="W328" s="907"/>
      <c r="X328" s="907"/>
      <c r="Y328" s="907"/>
      <c r="Z328" s="907"/>
      <c r="AA328" s="907"/>
      <c r="AB328" s="907"/>
      <c r="AC328" s="907"/>
      <c r="AD328" s="907"/>
      <c r="AE328" s="907"/>
      <c r="AF328" s="907"/>
      <c r="AG328" s="907"/>
      <c r="AH328" s="907"/>
      <c r="AI328" s="907"/>
      <c r="AJ328" s="907"/>
      <c r="AK328" s="907"/>
      <c r="AL328" s="907"/>
    </row>
    <row r="329" spans="1:38">
      <c r="A329" s="907"/>
      <c r="B329" s="907"/>
      <c r="C329" s="907"/>
      <c r="D329" s="907"/>
      <c r="E329" s="907"/>
      <c r="F329" s="907"/>
      <c r="G329" s="907"/>
      <c r="H329" s="907"/>
      <c r="I329" s="907"/>
      <c r="J329" s="907"/>
      <c r="K329" s="907"/>
      <c r="L329" s="907"/>
      <c r="M329" s="907"/>
      <c r="N329" s="907"/>
      <c r="O329" s="907"/>
      <c r="P329" s="907"/>
      <c r="Q329" s="907"/>
      <c r="R329" s="907"/>
      <c r="S329" s="907"/>
      <c r="T329" s="907"/>
      <c r="U329" s="907"/>
      <c r="V329" s="907"/>
      <c r="W329" s="907"/>
      <c r="X329" s="907"/>
      <c r="Y329" s="907"/>
      <c r="Z329" s="907"/>
      <c r="AA329" s="907"/>
      <c r="AB329" s="907"/>
      <c r="AC329" s="907"/>
      <c r="AD329" s="907"/>
      <c r="AE329" s="907"/>
      <c r="AF329" s="907"/>
      <c r="AG329" s="907"/>
      <c r="AH329" s="907"/>
      <c r="AI329" s="907"/>
      <c r="AJ329" s="907"/>
      <c r="AK329" s="907"/>
      <c r="AL329" s="907"/>
    </row>
    <row r="330" spans="1:38">
      <c r="A330" s="907"/>
      <c r="B330" s="907"/>
      <c r="C330" s="907"/>
      <c r="D330" s="907"/>
      <c r="E330" s="907"/>
      <c r="F330" s="907"/>
      <c r="G330" s="907"/>
      <c r="H330" s="907"/>
      <c r="I330" s="907"/>
      <c r="J330" s="907"/>
      <c r="K330" s="907"/>
      <c r="L330" s="907"/>
      <c r="M330" s="907"/>
      <c r="N330" s="907"/>
      <c r="O330" s="907"/>
      <c r="P330" s="907"/>
      <c r="Q330" s="907"/>
      <c r="R330" s="907"/>
      <c r="S330" s="907"/>
      <c r="T330" s="907"/>
      <c r="U330" s="907"/>
      <c r="V330" s="907"/>
      <c r="W330" s="907"/>
      <c r="X330" s="907"/>
      <c r="Y330" s="907"/>
      <c r="Z330" s="907"/>
      <c r="AA330" s="907"/>
      <c r="AB330" s="907"/>
      <c r="AC330" s="907"/>
      <c r="AD330" s="907"/>
      <c r="AE330" s="907"/>
      <c r="AF330" s="907"/>
      <c r="AG330" s="907"/>
      <c r="AH330" s="907"/>
      <c r="AI330" s="907"/>
      <c r="AJ330" s="907"/>
      <c r="AK330" s="907"/>
      <c r="AL330" s="907"/>
    </row>
    <row r="331" spans="1:38">
      <c r="A331" s="907"/>
      <c r="B331" s="907"/>
      <c r="C331" s="907"/>
      <c r="D331" s="907"/>
      <c r="E331" s="907"/>
      <c r="F331" s="907"/>
      <c r="G331" s="907"/>
      <c r="H331" s="907"/>
      <c r="I331" s="907"/>
      <c r="J331" s="907"/>
      <c r="K331" s="907"/>
      <c r="L331" s="907"/>
      <c r="M331" s="907"/>
      <c r="N331" s="907"/>
      <c r="O331" s="907"/>
      <c r="P331" s="907"/>
      <c r="Q331" s="907"/>
      <c r="R331" s="907"/>
      <c r="S331" s="907"/>
      <c r="T331" s="907"/>
      <c r="U331" s="907"/>
      <c r="V331" s="907"/>
      <c r="W331" s="907"/>
      <c r="X331" s="907"/>
      <c r="Y331" s="907"/>
      <c r="Z331" s="907"/>
      <c r="AA331" s="907"/>
      <c r="AB331" s="907"/>
      <c r="AC331" s="907"/>
      <c r="AD331" s="907"/>
      <c r="AE331" s="907"/>
      <c r="AF331" s="907"/>
      <c r="AG331" s="907"/>
      <c r="AH331" s="907"/>
      <c r="AI331" s="907"/>
      <c r="AJ331" s="907"/>
      <c r="AK331" s="907"/>
      <c r="AL331" s="907"/>
    </row>
    <row r="332" spans="1:38">
      <c r="A332" s="907"/>
      <c r="B332" s="907"/>
      <c r="C332" s="907"/>
      <c r="D332" s="907"/>
      <c r="E332" s="907"/>
      <c r="F332" s="907"/>
      <c r="G332" s="907"/>
      <c r="H332" s="907"/>
      <c r="I332" s="907"/>
      <c r="J332" s="907"/>
      <c r="K332" s="907"/>
      <c r="L332" s="907"/>
      <c r="M332" s="907"/>
      <c r="N332" s="907"/>
      <c r="O332" s="907"/>
      <c r="P332" s="907"/>
      <c r="Q332" s="907"/>
      <c r="R332" s="907"/>
      <c r="S332" s="907"/>
      <c r="T332" s="907"/>
      <c r="U332" s="907"/>
      <c r="V332" s="907"/>
      <c r="W332" s="907"/>
      <c r="X332" s="907"/>
      <c r="Y332" s="907"/>
      <c r="Z332" s="907"/>
      <c r="AA332" s="907"/>
      <c r="AB332" s="907"/>
      <c r="AC332" s="907"/>
      <c r="AD332" s="907"/>
      <c r="AE332" s="907"/>
      <c r="AF332" s="907"/>
      <c r="AG332" s="907"/>
      <c r="AH332" s="907"/>
      <c r="AI332" s="907"/>
      <c r="AJ332" s="907"/>
      <c r="AK332" s="907"/>
      <c r="AL332" s="907"/>
    </row>
    <row r="333" spans="1:38">
      <c r="A333" s="907"/>
      <c r="B333" s="907"/>
      <c r="C333" s="907"/>
      <c r="D333" s="907"/>
      <c r="E333" s="907"/>
      <c r="F333" s="907"/>
      <c r="G333" s="907"/>
      <c r="H333" s="907"/>
      <c r="I333" s="907"/>
      <c r="J333" s="907"/>
      <c r="K333" s="907"/>
      <c r="L333" s="907"/>
      <c r="M333" s="907"/>
      <c r="N333" s="907"/>
      <c r="O333" s="907"/>
      <c r="P333" s="907"/>
      <c r="Q333" s="907"/>
      <c r="R333" s="907"/>
      <c r="S333" s="907"/>
      <c r="T333" s="907"/>
      <c r="U333" s="907"/>
      <c r="V333" s="907"/>
      <c r="W333" s="907"/>
      <c r="X333" s="907"/>
      <c r="Y333" s="907"/>
      <c r="Z333" s="907"/>
      <c r="AA333" s="907"/>
      <c r="AB333" s="907"/>
      <c r="AC333" s="907"/>
      <c r="AD333" s="907"/>
      <c r="AE333" s="907"/>
      <c r="AF333" s="907"/>
      <c r="AG333" s="907"/>
      <c r="AH333" s="907"/>
      <c r="AI333" s="907"/>
      <c r="AJ333" s="907"/>
      <c r="AK333" s="907"/>
      <c r="AL333" s="907"/>
    </row>
    <row r="334" spans="1:38">
      <c r="A334" s="907"/>
      <c r="B334" s="907"/>
      <c r="C334" s="907"/>
      <c r="D334" s="907"/>
      <c r="E334" s="907"/>
      <c r="F334" s="907"/>
      <c r="G334" s="907"/>
      <c r="H334" s="907"/>
      <c r="I334" s="907"/>
      <c r="J334" s="907"/>
      <c r="K334" s="907"/>
      <c r="L334" s="907"/>
      <c r="M334" s="907"/>
      <c r="N334" s="907"/>
      <c r="O334" s="907"/>
      <c r="P334" s="907"/>
      <c r="Q334" s="907"/>
      <c r="R334" s="907"/>
      <c r="S334" s="907"/>
      <c r="T334" s="907"/>
      <c r="U334" s="907"/>
      <c r="V334" s="907"/>
      <c r="W334" s="907"/>
      <c r="X334" s="907"/>
      <c r="Y334" s="907"/>
      <c r="Z334" s="907"/>
      <c r="AA334" s="907"/>
      <c r="AB334" s="907"/>
      <c r="AC334" s="907"/>
      <c r="AD334" s="907"/>
      <c r="AE334" s="907"/>
      <c r="AF334" s="907"/>
      <c r="AG334" s="907"/>
      <c r="AH334" s="907"/>
      <c r="AI334" s="907"/>
      <c r="AJ334" s="907"/>
      <c r="AK334" s="907"/>
      <c r="AL334" s="907"/>
    </row>
    <row r="335" spans="1:38">
      <c r="A335" s="907"/>
      <c r="B335" s="907"/>
      <c r="C335" s="907"/>
      <c r="D335" s="907"/>
      <c r="E335" s="907"/>
      <c r="F335" s="907"/>
      <c r="G335" s="907"/>
      <c r="H335" s="907"/>
      <c r="I335" s="907"/>
      <c r="J335" s="907"/>
      <c r="K335" s="907"/>
      <c r="L335" s="907"/>
      <c r="M335" s="907"/>
      <c r="N335" s="907"/>
      <c r="O335" s="907"/>
      <c r="P335" s="907"/>
      <c r="Q335" s="907"/>
      <c r="R335" s="907"/>
      <c r="S335" s="907"/>
      <c r="T335" s="907"/>
      <c r="U335" s="907"/>
      <c r="V335" s="907"/>
      <c r="W335" s="907"/>
      <c r="X335" s="907"/>
      <c r="Y335" s="907"/>
      <c r="Z335" s="907"/>
      <c r="AA335" s="907"/>
      <c r="AB335" s="907"/>
      <c r="AC335" s="907"/>
      <c r="AD335" s="907"/>
      <c r="AE335" s="907"/>
      <c r="AF335" s="907"/>
      <c r="AG335" s="907"/>
      <c r="AH335" s="907"/>
      <c r="AI335" s="907"/>
      <c r="AJ335" s="907"/>
      <c r="AK335" s="907"/>
      <c r="AL335" s="907"/>
    </row>
    <row r="336" spans="1:38">
      <c r="A336" s="907"/>
      <c r="B336" s="907"/>
      <c r="C336" s="907"/>
      <c r="D336" s="907"/>
      <c r="E336" s="907"/>
      <c r="F336" s="907"/>
      <c r="G336" s="907"/>
      <c r="H336" s="907"/>
      <c r="I336" s="907"/>
      <c r="J336" s="907"/>
      <c r="K336" s="907"/>
      <c r="L336" s="907"/>
      <c r="M336" s="907"/>
      <c r="N336" s="907"/>
      <c r="O336" s="907"/>
      <c r="P336" s="907"/>
      <c r="Q336" s="907"/>
      <c r="R336" s="907"/>
      <c r="S336" s="907"/>
      <c r="T336" s="907"/>
      <c r="U336" s="907"/>
      <c r="V336" s="907"/>
      <c r="W336" s="907"/>
      <c r="X336" s="907"/>
      <c r="Y336" s="907"/>
      <c r="Z336" s="907"/>
      <c r="AA336" s="907"/>
      <c r="AB336" s="907"/>
      <c r="AC336" s="907"/>
      <c r="AD336" s="907"/>
      <c r="AE336" s="907"/>
      <c r="AF336" s="907"/>
      <c r="AG336" s="907"/>
      <c r="AH336" s="907"/>
      <c r="AI336" s="907"/>
      <c r="AJ336" s="907"/>
      <c r="AK336" s="907"/>
      <c r="AL336" s="907"/>
    </row>
    <row r="337" spans="1:38">
      <c r="A337" s="907"/>
      <c r="B337" s="907"/>
      <c r="C337" s="907"/>
      <c r="D337" s="907"/>
      <c r="E337" s="907"/>
      <c r="F337" s="907"/>
      <c r="G337" s="907"/>
      <c r="H337" s="907"/>
      <c r="I337" s="907"/>
      <c r="J337" s="907"/>
      <c r="K337" s="907"/>
      <c r="L337" s="907"/>
      <c r="M337" s="907"/>
      <c r="N337" s="907"/>
      <c r="O337" s="907"/>
      <c r="P337" s="907"/>
      <c r="Q337" s="907"/>
      <c r="R337" s="907"/>
      <c r="S337" s="907"/>
      <c r="T337" s="907"/>
      <c r="U337" s="907"/>
      <c r="V337" s="907"/>
      <c r="W337" s="907"/>
      <c r="X337" s="907"/>
      <c r="Y337" s="907"/>
      <c r="Z337" s="907"/>
      <c r="AA337" s="907"/>
      <c r="AB337" s="907"/>
      <c r="AC337" s="907"/>
      <c r="AD337" s="907"/>
      <c r="AE337" s="907"/>
      <c r="AF337" s="907"/>
      <c r="AG337" s="907"/>
      <c r="AH337" s="907"/>
      <c r="AI337" s="907"/>
      <c r="AJ337" s="907"/>
      <c r="AK337" s="907"/>
      <c r="AL337" s="907"/>
    </row>
    <row r="338" spans="1:38">
      <c r="A338" s="907"/>
      <c r="B338" s="907"/>
      <c r="C338" s="907"/>
      <c r="D338" s="907"/>
      <c r="E338" s="907"/>
      <c r="F338" s="907"/>
      <c r="G338" s="907"/>
      <c r="H338" s="907"/>
      <c r="I338" s="907"/>
      <c r="J338" s="907"/>
      <c r="K338" s="907"/>
      <c r="L338" s="907"/>
      <c r="M338" s="907"/>
      <c r="N338" s="907"/>
      <c r="O338" s="907"/>
      <c r="P338" s="907"/>
      <c r="Q338" s="907"/>
      <c r="R338" s="907"/>
      <c r="S338" s="907"/>
      <c r="T338" s="907"/>
      <c r="U338" s="907"/>
      <c r="V338" s="907"/>
      <c r="W338" s="907"/>
      <c r="X338" s="907"/>
      <c r="Y338" s="907"/>
      <c r="Z338" s="907"/>
      <c r="AA338" s="907"/>
      <c r="AB338" s="907"/>
      <c r="AC338" s="907"/>
      <c r="AD338" s="907"/>
      <c r="AE338" s="907"/>
      <c r="AF338" s="907"/>
      <c r="AG338" s="907"/>
      <c r="AH338" s="907"/>
      <c r="AI338" s="907"/>
      <c r="AJ338" s="907"/>
      <c r="AK338" s="907"/>
      <c r="AL338" s="907"/>
    </row>
    <row r="339" spans="1:38">
      <c r="A339" s="907"/>
      <c r="B339" s="907"/>
      <c r="C339" s="907"/>
      <c r="D339" s="907"/>
      <c r="E339" s="907"/>
      <c r="F339" s="907"/>
      <c r="G339" s="907"/>
      <c r="H339" s="907"/>
      <c r="I339" s="907"/>
      <c r="J339" s="907"/>
      <c r="K339" s="907"/>
      <c r="L339" s="907"/>
      <c r="M339" s="907"/>
      <c r="N339" s="907"/>
      <c r="O339" s="907"/>
      <c r="P339" s="907"/>
      <c r="Q339" s="907"/>
      <c r="R339" s="907"/>
      <c r="S339" s="907"/>
      <c r="T339" s="907"/>
      <c r="U339" s="907"/>
      <c r="V339" s="907"/>
      <c r="W339" s="907"/>
      <c r="X339" s="907"/>
      <c r="Y339" s="907"/>
      <c r="Z339" s="907"/>
      <c r="AA339" s="907"/>
      <c r="AB339" s="907"/>
      <c r="AC339" s="907"/>
      <c r="AD339" s="907"/>
      <c r="AE339" s="907"/>
      <c r="AF339" s="907"/>
      <c r="AG339" s="907"/>
      <c r="AH339" s="907"/>
      <c r="AI339" s="907"/>
      <c r="AJ339" s="907"/>
      <c r="AK339" s="907"/>
      <c r="AL339" s="907"/>
    </row>
    <row r="340" spans="1:38">
      <c r="A340" s="907"/>
      <c r="B340" s="907"/>
      <c r="C340" s="907"/>
      <c r="D340" s="907"/>
      <c r="E340" s="907"/>
      <c r="F340" s="907"/>
      <c r="G340" s="907"/>
      <c r="H340" s="907"/>
      <c r="I340" s="907"/>
      <c r="J340" s="907"/>
      <c r="K340" s="907"/>
      <c r="L340" s="907"/>
      <c r="M340" s="907"/>
      <c r="N340" s="907"/>
      <c r="O340" s="907"/>
      <c r="P340" s="907"/>
      <c r="Q340" s="907"/>
      <c r="R340" s="907"/>
      <c r="S340" s="907"/>
      <c r="T340" s="907"/>
      <c r="U340" s="907"/>
      <c r="V340" s="907"/>
      <c r="W340" s="907"/>
      <c r="X340" s="907"/>
      <c r="Y340" s="907"/>
      <c r="Z340" s="907"/>
      <c r="AA340" s="907"/>
      <c r="AB340" s="907"/>
      <c r="AC340" s="907"/>
      <c r="AD340" s="907"/>
      <c r="AE340" s="907"/>
      <c r="AF340" s="907"/>
      <c r="AG340" s="907"/>
      <c r="AH340" s="907"/>
      <c r="AI340" s="907"/>
      <c r="AJ340" s="907"/>
      <c r="AK340" s="907"/>
      <c r="AL340" s="907"/>
    </row>
    <row r="341" spans="1:38">
      <c r="A341" s="907"/>
      <c r="B341" s="907"/>
      <c r="C341" s="907"/>
      <c r="D341" s="907"/>
      <c r="E341" s="907"/>
      <c r="F341" s="907"/>
      <c r="G341" s="907"/>
      <c r="H341" s="907"/>
      <c r="I341" s="907"/>
      <c r="J341" s="907"/>
      <c r="K341" s="907"/>
      <c r="L341" s="907"/>
      <c r="M341" s="907"/>
      <c r="N341" s="907"/>
      <c r="O341" s="907"/>
      <c r="P341" s="907"/>
      <c r="Q341" s="907"/>
      <c r="R341" s="907"/>
      <c r="S341" s="907"/>
      <c r="T341" s="907"/>
      <c r="U341" s="907"/>
      <c r="V341" s="907"/>
      <c r="W341" s="907"/>
      <c r="X341" s="907"/>
      <c r="Y341" s="907"/>
      <c r="Z341" s="907"/>
      <c r="AA341" s="907"/>
      <c r="AB341" s="907"/>
      <c r="AC341" s="907"/>
      <c r="AD341" s="907"/>
      <c r="AE341" s="907"/>
      <c r="AF341" s="907"/>
      <c r="AG341" s="907"/>
      <c r="AH341" s="907"/>
      <c r="AI341" s="907"/>
      <c r="AJ341" s="907"/>
      <c r="AK341" s="907"/>
      <c r="AL341" s="907"/>
    </row>
    <row r="342" spans="1:38">
      <c r="A342" s="907"/>
      <c r="B342" s="907"/>
      <c r="C342" s="907"/>
      <c r="D342" s="907"/>
      <c r="E342" s="907"/>
      <c r="F342" s="907"/>
      <c r="G342" s="907"/>
      <c r="H342" s="907"/>
      <c r="I342" s="907"/>
      <c r="J342" s="907"/>
      <c r="K342" s="907"/>
      <c r="L342" s="907"/>
      <c r="M342" s="907"/>
      <c r="N342" s="907"/>
      <c r="O342" s="907"/>
      <c r="P342" s="907"/>
      <c r="Q342" s="907"/>
      <c r="R342" s="907"/>
      <c r="S342" s="907"/>
      <c r="T342" s="907"/>
      <c r="U342" s="907"/>
      <c r="V342" s="907"/>
      <c r="W342" s="907"/>
      <c r="X342" s="907"/>
      <c r="Y342" s="907"/>
      <c r="Z342" s="907"/>
      <c r="AA342" s="907"/>
      <c r="AB342" s="907"/>
      <c r="AC342" s="907"/>
      <c r="AD342" s="907"/>
      <c r="AE342" s="907"/>
      <c r="AF342" s="907"/>
      <c r="AG342" s="907"/>
      <c r="AH342" s="907"/>
      <c r="AI342" s="907"/>
      <c r="AJ342" s="907"/>
      <c r="AK342" s="907"/>
      <c r="AL342" s="907"/>
    </row>
    <row r="343" spans="1:38">
      <c r="A343" s="907"/>
      <c r="B343" s="907"/>
      <c r="C343" s="907"/>
      <c r="D343" s="907"/>
      <c r="E343" s="907"/>
      <c r="F343" s="907"/>
      <c r="G343" s="907"/>
      <c r="H343" s="907"/>
      <c r="I343" s="907"/>
      <c r="J343" s="907"/>
      <c r="K343" s="907"/>
      <c r="L343" s="907"/>
      <c r="M343" s="907"/>
      <c r="N343" s="907"/>
      <c r="O343" s="907"/>
      <c r="P343" s="907"/>
      <c r="Q343" s="907"/>
      <c r="R343" s="907"/>
      <c r="S343" s="907"/>
      <c r="T343" s="907"/>
      <c r="U343" s="907"/>
      <c r="V343" s="907"/>
      <c r="W343" s="907"/>
      <c r="X343" s="907"/>
      <c r="Y343" s="907"/>
      <c r="Z343" s="907"/>
      <c r="AA343" s="907"/>
      <c r="AB343" s="907"/>
      <c r="AC343" s="907"/>
      <c r="AD343" s="907"/>
      <c r="AE343" s="907"/>
      <c r="AF343" s="907"/>
      <c r="AG343" s="907"/>
      <c r="AH343" s="907"/>
      <c r="AI343" s="907"/>
      <c r="AJ343" s="907"/>
      <c r="AK343" s="907"/>
      <c r="AL343" s="907"/>
    </row>
    <row r="344" spans="1:38">
      <c r="A344" s="907"/>
      <c r="B344" s="907"/>
      <c r="C344" s="907"/>
      <c r="D344" s="907"/>
      <c r="E344" s="907"/>
      <c r="F344" s="907"/>
      <c r="G344" s="907"/>
      <c r="H344" s="907"/>
      <c r="I344" s="907"/>
      <c r="J344" s="907"/>
      <c r="K344" s="907"/>
      <c r="L344" s="907"/>
      <c r="M344" s="907"/>
      <c r="N344" s="907"/>
      <c r="O344" s="907"/>
      <c r="P344" s="907"/>
      <c r="Q344" s="907"/>
      <c r="R344" s="907"/>
      <c r="S344" s="907"/>
      <c r="T344" s="907"/>
      <c r="U344" s="907"/>
      <c r="V344" s="907"/>
      <c r="W344" s="907"/>
      <c r="X344" s="907"/>
      <c r="Y344" s="907"/>
      <c r="Z344" s="907"/>
      <c r="AA344" s="907"/>
      <c r="AB344" s="907"/>
      <c r="AC344" s="907"/>
      <c r="AD344" s="907"/>
      <c r="AE344" s="907"/>
      <c r="AF344" s="907"/>
      <c r="AG344" s="907"/>
      <c r="AH344" s="907"/>
      <c r="AI344" s="907"/>
      <c r="AJ344" s="907"/>
      <c r="AK344" s="907"/>
      <c r="AL344" s="907"/>
    </row>
    <row r="345" spans="1:38">
      <c r="A345" s="907"/>
      <c r="B345" s="907"/>
      <c r="C345" s="907"/>
      <c r="D345" s="907"/>
      <c r="E345" s="907"/>
      <c r="F345" s="907"/>
      <c r="G345" s="907"/>
      <c r="H345" s="907"/>
      <c r="I345" s="907"/>
      <c r="J345" s="907"/>
      <c r="K345" s="907"/>
      <c r="L345" s="907"/>
      <c r="M345" s="907"/>
      <c r="N345" s="907"/>
      <c r="O345" s="907"/>
      <c r="P345" s="907"/>
      <c r="Q345" s="907"/>
      <c r="R345" s="907"/>
      <c r="S345" s="907"/>
      <c r="T345" s="907"/>
      <c r="U345" s="907"/>
      <c r="V345" s="907"/>
      <c r="W345" s="907"/>
      <c r="X345" s="907"/>
      <c r="Y345" s="907"/>
      <c r="Z345" s="907"/>
      <c r="AA345" s="907"/>
      <c r="AB345" s="907"/>
      <c r="AC345" s="907"/>
      <c r="AD345" s="907"/>
      <c r="AE345" s="907"/>
      <c r="AF345" s="907"/>
      <c r="AG345" s="907"/>
      <c r="AH345" s="907"/>
      <c r="AI345" s="907"/>
      <c r="AJ345" s="907"/>
      <c r="AK345" s="907"/>
      <c r="AL345" s="907"/>
    </row>
    <row r="346" spans="1:38">
      <c r="A346" s="907"/>
      <c r="B346" s="907"/>
      <c r="C346" s="907"/>
      <c r="D346" s="907"/>
      <c r="E346" s="907"/>
      <c r="F346" s="907"/>
      <c r="G346" s="907"/>
      <c r="H346" s="907"/>
      <c r="I346" s="907"/>
      <c r="J346" s="907"/>
      <c r="K346" s="907"/>
      <c r="L346" s="907"/>
      <c r="M346" s="907"/>
      <c r="N346" s="907"/>
      <c r="O346" s="907"/>
      <c r="P346" s="907"/>
      <c r="Q346" s="907"/>
      <c r="R346" s="907"/>
      <c r="S346" s="907"/>
      <c r="T346" s="907"/>
      <c r="U346" s="907"/>
      <c r="V346" s="907"/>
      <c r="W346" s="907"/>
      <c r="X346" s="907"/>
      <c r="Y346" s="907"/>
      <c r="Z346" s="907"/>
      <c r="AA346" s="907"/>
      <c r="AB346" s="907"/>
      <c r="AC346" s="907"/>
      <c r="AD346" s="907"/>
      <c r="AE346" s="907"/>
      <c r="AF346" s="907"/>
      <c r="AG346" s="907"/>
      <c r="AH346" s="907"/>
      <c r="AI346" s="907"/>
      <c r="AJ346" s="907"/>
      <c r="AK346" s="907"/>
      <c r="AL346" s="907"/>
    </row>
    <row r="347" spans="1:38">
      <c r="A347" s="907"/>
      <c r="B347" s="907"/>
      <c r="C347" s="907"/>
      <c r="D347" s="907"/>
      <c r="E347" s="907"/>
      <c r="F347" s="907"/>
      <c r="G347" s="907"/>
      <c r="H347" s="907"/>
      <c r="I347" s="907"/>
      <c r="J347" s="907"/>
      <c r="K347" s="907"/>
      <c r="L347" s="907"/>
      <c r="M347" s="907"/>
      <c r="N347" s="907"/>
      <c r="O347" s="907"/>
      <c r="P347" s="907"/>
      <c r="Q347" s="907"/>
      <c r="R347" s="907"/>
      <c r="S347" s="907"/>
      <c r="T347" s="907"/>
      <c r="U347" s="907"/>
      <c r="V347" s="907"/>
      <c r="W347" s="907"/>
      <c r="X347" s="907"/>
      <c r="Y347" s="907"/>
      <c r="Z347" s="907"/>
      <c r="AA347" s="907"/>
      <c r="AB347" s="907"/>
      <c r="AC347" s="907"/>
      <c r="AD347" s="907"/>
      <c r="AE347" s="907"/>
      <c r="AF347" s="907"/>
      <c r="AG347" s="907"/>
      <c r="AH347" s="907"/>
      <c r="AI347" s="907"/>
      <c r="AJ347" s="907"/>
      <c r="AK347" s="907"/>
      <c r="AL347" s="907"/>
    </row>
    <row r="348" spans="1:38">
      <c r="A348" s="907"/>
      <c r="B348" s="907"/>
      <c r="C348" s="907"/>
      <c r="D348" s="907"/>
      <c r="E348" s="907"/>
      <c r="F348" s="907"/>
      <c r="G348" s="907"/>
      <c r="H348" s="907"/>
      <c r="I348" s="907"/>
      <c r="J348" s="907"/>
      <c r="K348" s="907"/>
      <c r="L348" s="907"/>
      <c r="M348" s="907"/>
      <c r="N348" s="907"/>
      <c r="O348" s="907"/>
      <c r="P348" s="907"/>
      <c r="Q348" s="907"/>
      <c r="R348" s="907"/>
      <c r="S348" s="907"/>
      <c r="T348" s="907"/>
      <c r="U348" s="907"/>
      <c r="V348" s="907"/>
      <c r="W348" s="907"/>
      <c r="X348" s="907"/>
      <c r="Y348" s="907"/>
      <c r="Z348" s="907"/>
      <c r="AA348" s="907"/>
      <c r="AB348" s="907"/>
      <c r="AC348" s="907"/>
      <c r="AD348" s="907"/>
      <c r="AE348" s="907"/>
      <c r="AF348" s="907"/>
      <c r="AG348" s="907"/>
      <c r="AH348" s="907"/>
      <c r="AI348" s="907"/>
      <c r="AJ348" s="907"/>
      <c r="AK348" s="907"/>
      <c r="AL348" s="907"/>
    </row>
    <row r="349" spans="1:38">
      <c r="A349" s="907"/>
      <c r="B349" s="907"/>
      <c r="C349" s="907"/>
      <c r="D349" s="907"/>
      <c r="E349" s="907"/>
      <c r="F349" s="907"/>
      <c r="G349" s="907"/>
      <c r="H349" s="907"/>
      <c r="I349" s="907"/>
      <c r="J349" s="907"/>
      <c r="K349" s="907"/>
      <c r="L349" s="907"/>
      <c r="M349" s="907"/>
      <c r="N349" s="907"/>
      <c r="O349" s="907"/>
      <c r="P349" s="907"/>
      <c r="Q349" s="907"/>
      <c r="R349" s="907"/>
      <c r="S349" s="907"/>
      <c r="T349" s="907"/>
      <c r="U349" s="907"/>
      <c r="V349" s="907"/>
      <c r="W349" s="907"/>
      <c r="X349" s="907"/>
      <c r="Y349" s="907"/>
      <c r="Z349" s="907"/>
      <c r="AA349" s="907"/>
      <c r="AB349" s="907"/>
      <c r="AC349" s="907"/>
      <c r="AD349" s="907"/>
      <c r="AE349" s="907"/>
      <c r="AF349" s="907"/>
      <c r="AG349" s="907"/>
      <c r="AH349" s="907"/>
      <c r="AI349" s="907"/>
      <c r="AJ349" s="907"/>
      <c r="AK349" s="907"/>
      <c r="AL349" s="907"/>
    </row>
    <row r="350" spans="1:38">
      <c r="A350" s="907"/>
      <c r="B350" s="907"/>
      <c r="C350" s="907"/>
      <c r="D350" s="907"/>
      <c r="E350" s="907"/>
      <c r="F350" s="907"/>
      <c r="G350" s="907"/>
      <c r="H350" s="907"/>
      <c r="I350" s="907"/>
      <c r="J350" s="907"/>
      <c r="K350" s="907"/>
      <c r="L350" s="907"/>
      <c r="M350" s="907"/>
      <c r="N350" s="907"/>
      <c r="O350" s="907"/>
      <c r="P350" s="907"/>
      <c r="Q350" s="907"/>
      <c r="R350" s="907"/>
      <c r="S350" s="907"/>
      <c r="T350" s="907"/>
      <c r="U350" s="907"/>
      <c r="V350" s="907"/>
      <c r="W350" s="907"/>
      <c r="X350" s="907"/>
      <c r="Y350" s="907"/>
      <c r="Z350" s="907"/>
      <c r="AA350" s="907"/>
      <c r="AB350" s="907"/>
      <c r="AC350" s="907"/>
      <c r="AD350" s="907"/>
      <c r="AE350" s="907"/>
      <c r="AF350" s="907"/>
      <c r="AG350" s="907"/>
      <c r="AH350" s="907"/>
      <c r="AI350" s="907"/>
      <c r="AJ350" s="907"/>
      <c r="AK350" s="907"/>
      <c r="AL350" s="907"/>
    </row>
    <row r="351" spans="1:38">
      <c r="A351" s="907"/>
      <c r="B351" s="907"/>
      <c r="C351" s="907"/>
      <c r="D351" s="907"/>
      <c r="E351" s="907"/>
      <c r="F351" s="907"/>
      <c r="G351" s="907"/>
      <c r="H351" s="907"/>
      <c r="I351" s="907"/>
      <c r="J351" s="907"/>
      <c r="K351" s="907"/>
      <c r="L351" s="907"/>
      <c r="M351" s="907"/>
      <c r="N351" s="907"/>
      <c r="O351" s="907"/>
      <c r="P351" s="907"/>
      <c r="Q351" s="907"/>
      <c r="R351" s="907"/>
      <c r="S351" s="907"/>
      <c r="T351" s="907"/>
      <c r="U351" s="907"/>
      <c r="V351" s="907"/>
      <c r="W351" s="907"/>
      <c r="X351" s="907"/>
      <c r="Y351" s="907"/>
      <c r="Z351" s="907"/>
      <c r="AA351" s="907"/>
      <c r="AB351" s="907"/>
      <c r="AC351" s="907"/>
      <c r="AD351" s="907"/>
      <c r="AE351" s="907"/>
      <c r="AF351" s="907"/>
      <c r="AG351" s="907"/>
      <c r="AH351" s="907"/>
      <c r="AI351" s="907"/>
      <c r="AJ351" s="907"/>
      <c r="AK351" s="907"/>
      <c r="AL351" s="907"/>
    </row>
    <row r="352" spans="1:38">
      <c r="A352" s="907"/>
      <c r="B352" s="907"/>
      <c r="C352" s="907"/>
      <c r="D352" s="907"/>
      <c r="E352" s="907"/>
      <c r="F352" s="907"/>
      <c r="G352" s="907"/>
      <c r="H352" s="907"/>
      <c r="I352" s="907"/>
      <c r="J352" s="907"/>
      <c r="K352" s="907"/>
      <c r="L352" s="907"/>
      <c r="M352" s="907"/>
      <c r="N352" s="907"/>
      <c r="O352" s="907"/>
      <c r="P352" s="907"/>
      <c r="Q352" s="907"/>
      <c r="R352" s="907"/>
      <c r="S352" s="907"/>
      <c r="T352" s="907"/>
      <c r="U352" s="907"/>
      <c r="V352" s="907"/>
      <c r="W352" s="907"/>
      <c r="X352" s="907"/>
      <c r="Y352" s="907"/>
      <c r="Z352" s="907"/>
      <c r="AA352" s="907"/>
      <c r="AB352" s="907"/>
      <c r="AC352" s="907"/>
      <c r="AD352" s="907"/>
      <c r="AE352" s="907"/>
      <c r="AF352" s="907"/>
      <c r="AG352" s="907"/>
      <c r="AH352" s="907"/>
      <c r="AI352" s="907"/>
      <c r="AJ352" s="907"/>
      <c r="AK352" s="907"/>
      <c r="AL352" s="907"/>
    </row>
    <row r="353" spans="1:38">
      <c r="A353" s="907"/>
      <c r="B353" s="907"/>
      <c r="C353" s="907"/>
      <c r="D353" s="907"/>
      <c r="E353" s="907"/>
      <c r="F353" s="907"/>
      <c r="G353" s="907"/>
      <c r="H353" s="907"/>
      <c r="I353" s="907"/>
      <c r="J353" s="907"/>
      <c r="K353" s="907"/>
      <c r="L353" s="907"/>
      <c r="M353" s="907"/>
      <c r="N353" s="907"/>
      <c r="O353" s="907"/>
      <c r="P353" s="907"/>
      <c r="Q353" s="907"/>
      <c r="R353" s="907"/>
      <c r="S353" s="907"/>
      <c r="T353" s="907"/>
      <c r="U353" s="907"/>
      <c r="V353" s="907"/>
      <c r="W353" s="907"/>
      <c r="X353" s="907"/>
      <c r="Y353" s="907"/>
      <c r="Z353" s="907"/>
      <c r="AA353" s="907"/>
      <c r="AB353" s="907"/>
      <c r="AC353" s="907"/>
      <c r="AD353" s="907"/>
      <c r="AE353" s="907"/>
      <c r="AF353" s="907"/>
      <c r="AG353" s="907"/>
      <c r="AH353" s="907"/>
      <c r="AI353" s="907"/>
      <c r="AJ353" s="907"/>
      <c r="AK353" s="907"/>
      <c r="AL353" s="907"/>
    </row>
    <row r="354" spans="1:38">
      <c r="A354" s="907"/>
      <c r="B354" s="907"/>
      <c r="C354" s="907"/>
      <c r="D354" s="907"/>
      <c r="E354" s="907"/>
      <c r="F354" s="907"/>
      <c r="G354" s="907"/>
      <c r="H354" s="907"/>
      <c r="I354" s="907"/>
      <c r="J354" s="907"/>
      <c r="K354" s="907"/>
      <c r="L354" s="907"/>
      <c r="M354" s="907"/>
      <c r="N354" s="907"/>
      <c r="O354" s="907"/>
      <c r="P354" s="907"/>
      <c r="Q354" s="907"/>
      <c r="R354" s="907"/>
      <c r="S354" s="907"/>
      <c r="T354" s="907"/>
      <c r="U354" s="907"/>
      <c r="V354" s="907"/>
      <c r="W354" s="907"/>
      <c r="X354" s="907"/>
      <c r="Y354" s="907"/>
      <c r="Z354" s="907"/>
      <c r="AA354" s="907"/>
      <c r="AB354" s="907"/>
      <c r="AC354" s="907"/>
      <c r="AD354" s="907"/>
      <c r="AE354" s="907"/>
      <c r="AF354" s="907"/>
      <c r="AG354" s="907"/>
      <c r="AH354" s="907"/>
      <c r="AI354" s="907"/>
      <c r="AJ354" s="907"/>
      <c r="AK354" s="907"/>
      <c r="AL354" s="907"/>
    </row>
    <row r="355" spans="1:38">
      <c r="A355" s="907"/>
      <c r="B355" s="907"/>
      <c r="C355" s="907"/>
      <c r="D355" s="907"/>
      <c r="E355" s="907"/>
      <c r="F355" s="907"/>
      <c r="G355" s="907"/>
      <c r="H355" s="907"/>
      <c r="I355" s="907"/>
      <c r="J355" s="907"/>
      <c r="K355" s="907"/>
      <c r="L355" s="907"/>
      <c r="M355" s="907"/>
      <c r="N355" s="907"/>
      <c r="O355" s="907"/>
      <c r="P355" s="907"/>
      <c r="Q355" s="907"/>
      <c r="R355" s="907"/>
      <c r="S355" s="907"/>
      <c r="T355" s="907"/>
      <c r="U355" s="907"/>
      <c r="V355" s="907"/>
      <c r="W355" s="907"/>
      <c r="X355" s="907"/>
      <c r="Y355" s="907"/>
      <c r="Z355" s="907"/>
      <c r="AA355" s="907"/>
      <c r="AB355" s="907"/>
      <c r="AC355" s="907"/>
      <c r="AD355" s="907"/>
      <c r="AE355" s="907"/>
      <c r="AF355" s="907"/>
      <c r="AG355" s="907"/>
      <c r="AH355" s="907"/>
      <c r="AI355" s="907"/>
      <c r="AJ355" s="907"/>
      <c r="AK355" s="907"/>
      <c r="AL355" s="907"/>
    </row>
    <row r="356" spans="1:38">
      <c r="A356" s="907"/>
      <c r="B356" s="907"/>
      <c r="C356" s="907"/>
      <c r="D356" s="907"/>
      <c r="E356" s="907"/>
      <c r="F356" s="907"/>
      <c r="G356" s="907"/>
      <c r="H356" s="907"/>
      <c r="I356" s="907"/>
      <c r="J356" s="907"/>
      <c r="K356" s="907"/>
      <c r="L356" s="907"/>
      <c r="M356" s="907"/>
      <c r="N356" s="907"/>
      <c r="O356" s="907"/>
      <c r="P356" s="907"/>
      <c r="Q356" s="907"/>
      <c r="R356" s="907"/>
      <c r="S356" s="907"/>
      <c r="T356" s="907"/>
      <c r="U356" s="907"/>
      <c r="V356" s="907"/>
      <c r="W356" s="907"/>
      <c r="X356" s="907"/>
      <c r="Y356" s="907"/>
      <c r="Z356" s="907"/>
      <c r="AA356" s="907"/>
      <c r="AB356" s="907"/>
      <c r="AC356" s="907"/>
      <c r="AD356" s="907"/>
      <c r="AE356" s="907"/>
      <c r="AF356" s="907"/>
      <c r="AG356" s="907"/>
      <c r="AH356" s="907"/>
      <c r="AI356" s="907"/>
      <c r="AJ356" s="907"/>
      <c r="AK356" s="907"/>
      <c r="AL356" s="907"/>
    </row>
    <row r="357" spans="1:38">
      <c r="A357" s="907"/>
      <c r="B357" s="907"/>
      <c r="C357" s="907"/>
      <c r="D357" s="907"/>
      <c r="E357" s="907"/>
      <c r="F357" s="907"/>
      <c r="G357" s="907"/>
      <c r="H357" s="907"/>
      <c r="I357" s="907"/>
      <c r="J357" s="907"/>
      <c r="K357" s="907"/>
      <c r="L357" s="907"/>
      <c r="M357" s="907"/>
      <c r="N357" s="907"/>
      <c r="O357" s="907"/>
      <c r="P357" s="907"/>
      <c r="Q357" s="907"/>
      <c r="R357" s="907"/>
      <c r="S357" s="907"/>
      <c r="T357" s="907"/>
      <c r="U357" s="907"/>
      <c r="V357" s="907"/>
      <c r="W357" s="907"/>
      <c r="X357" s="907"/>
      <c r="Y357" s="907"/>
      <c r="Z357" s="907"/>
      <c r="AA357" s="907"/>
      <c r="AB357" s="907"/>
      <c r="AC357" s="907"/>
      <c r="AD357" s="907"/>
      <c r="AE357" s="907"/>
      <c r="AF357" s="907"/>
      <c r="AG357" s="907"/>
      <c r="AH357" s="907"/>
      <c r="AI357" s="907"/>
      <c r="AJ357" s="907"/>
      <c r="AK357" s="907"/>
      <c r="AL357" s="907"/>
    </row>
    <row r="358" spans="1:38">
      <c r="A358" s="907"/>
      <c r="B358" s="907"/>
      <c r="C358" s="907"/>
      <c r="D358" s="907"/>
      <c r="E358" s="907"/>
      <c r="F358" s="907"/>
      <c r="G358" s="907"/>
      <c r="H358" s="907"/>
      <c r="I358" s="907"/>
      <c r="J358" s="907"/>
      <c r="K358" s="907"/>
      <c r="L358" s="907"/>
      <c r="M358" s="907"/>
      <c r="N358" s="907"/>
      <c r="O358" s="907"/>
      <c r="P358" s="907"/>
      <c r="Q358" s="907"/>
      <c r="R358" s="907"/>
      <c r="S358" s="907"/>
      <c r="T358" s="907"/>
      <c r="U358" s="907"/>
      <c r="V358" s="907"/>
      <c r="W358" s="907"/>
      <c r="X358" s="907"/>
      <c r="Y358" s="907"/>
      <c r="Z358" s="907"/>
      <c r="AA358" s="907"/>
      <c r="AB358" s="907"/>
      <c r="AC358" s="907"/>
      <c r="AD358" s="907"/>
      <c r="AE358" s="907"/>
      <c r="AF358" s="907"/>
      <c r="AG358" s="907"/>
      <c r="AH358" s="907"/>
      <c r="AI358" s="907"/>
      <c r="AJ358" s="907"/>
      <c r="AK358" s="907"/>
      <c r="AL358" s="907"/>
    </row>
    <row r="359" spans="1:38">
      <c r="A359" s="907"/>
      <c r="B359" s="907"/>
      <c r="C359" s="907"/>
      <c r="D359" s="907"/>
      <c r="E359" s="907"/>
      <c r="F359" s="907"/>
      <c r="G359" s="907"/>
      <c r="H359" s="907"/>
      <c r="I359" s="907"/>
      <c r="J359" s="907"/>
      <c r="K359" s="907"/>
      <c r="L359" s="907"/>
      <c r="M359" s="907"/>
      <c r="N359" s="907"/>
      <c r="O359" s="907"/>
      <c r="P359" s="907"/>
      <c r="Q359" s="907"/>
      <c r="R359" s="907"/>
      <c r="S359" s="907"/>
      <c r="T359" s="907"/>
      <c r="U359" s="907"/>
      <c r="V359" s="907"/>
      <c r="W359" s="907"/>
      <c r="X359" s="907"/>
      <c r="Y359" s="907"/>
      <c r="Z359" s="907"/>
      <c r="AA359" s="907"/>
      <c r="AB359" s="907"/>
      <c r="AC359" s="907"/>
      <c r="AD359" s="907"/>
      <c r="AE359" s="907"/>
      <c r="AF359" s="907"/>
      <c r="AG359" s="907"/>
      <c r="AH359" s="907"/>
      <c r="AI359" s="907"/>
      <c r="AJ359" s="907"/>
      <c r="AK359" s="907"/>
      <c r="AL359" s="907"/>
    </row>
    <row r="360" spans="1:38">
      <c r="A360" s="907"/>
      <c r="B360" s="907"/>
      <c r="C360" s="907"/>
      <c r="D360" s="907"/>
      <c r="E360" s="907"/>
      <c r="F360" s="907"/>
      <c r="G360" s="907"/>
      <c r="H360" s="907"/>
      <c r="I360" s="907"/>
      <c r="J360" s="907"/>
      <c r="K360" s="907"/>
      <c r="L360" s="907"/>
      <c r="M360" s="907"/>
      <c r="N360" s="907"/>
      <c r="O360" s="907"/>
      <c r="P360" s="907"/>
      <c r="Q360" s="907"/>
      <c r="R360" s="907"/>
      <c r="S360" s="907"/>
      <c r="T360" s="907"/>
      <c r="U360" s="907"/>
      <c r="V360" s="907"/>
      <c r="W360" s="907"/>
      <c r="X360" s="907"/>
      <c r="Y360" s="907"/>
      <c r="Z360" s="907"/>
      <c r="AA360" s="907"/>
      <c r="AB360" s="907"/>
      <c r="AC360" s="907"/>
      <c r="AD360" s="907"/>
      <c r="AE360" s="907"/>
      <c r="AF360" s="907"/>
      <c r="AG360" s="907"/>
      <c r="AH360" s="907"/>
      <c r="AI360" s="907"/>
      <c r="AJ360" s="907"/>
      <c r="AK360" s="907"/>
      <c r="AL360" s="907"/>
    </row>
    <row r="361" spans="1:38">
      <c r="A361" s="907"/>
      <c r="B361" s="907"/>
      <c r="C361" s="907"/>
      <c r="D361" s="907"/>
      <c r="E361" s="907"/>
      <c r="F361" s="907"/>
      <c r="G361" s="907"/>
      <c r="H361" s="907"/>
      <c r="I361" s="907"/>
      <c r="J361" s="907"/>
      <c r="K361" s="907"/>
      <c r="L361" s="907"/>
      <c r="M361" s="907"/>
      <c r="N361" s="907"/>
      <c r="O361" s="907"/>
      <c r="P361" s="907"/>
      <c r="Q361" s="907"/>
      <c r="R361" s="907"/>
      <c r="S361" s="907"/>
      <c r="T361" s="907"/>
      <c r="U361" s="907"/>
      <c r="V361" s="907"/>
      <c r="W361" s="907"/>
      <c r="X361" s="907"/>
      <c r="Y361" s="907"/>
      <c r="Z361" s="907"/>
      <c r="AA361" s="907"/>
      <c r="AB361" s="907"/>
      <c r="AC361" s="907"/>
      <c r="AD361" s="907"/>
      <c r="AE361" s="907"/>
      <c r="AF361" s="907"/>
      <c r="AG361" s="907"/>
      <c r="AH361" s="907"/>
      <c r="AI361" s="907"/>
      <c r="AJ361" s="907"/>
      <c r="AK361" s="907"/>
      <c r="AL361" s="907"/>
    </row>
    <row r="362" spans="1:38">
      <c r="A362" s="907"/>
      <c r="B362" s="907"/>
      <c r="C362" s="907"/>
      <c r="D362" s="907"/>
      <c r="E362" s="907"/>
      <c r="F362" s="907"/>
      <c r="G362" s="907"/>
      <c r="H362" s="907"/>
      <c r="I362" s="907"/>
      <c r="J362" s="907"/>
      <c r="K362" s="907"/>
      <c r="L362" s="907"/>
      <c r="M362" s="907"/>
      <c r="N362" s="907"/>
      <c r="O362" s="907"/>
      <c r="P362" s="907"/>
      <c r="Q362" s="907"/>
      <c r="R362" s="907"/>
      <c r="S362" s="907"/>
      <c r="T362" s="907"/>
      <c r="U362" s="907"/>
      <c r="V362" s="907"/>
      <c r="W362" s="907"/>
      <c r="X362" s="907"/>
      <c r="Y362" s="907"/>
      <c r="Z362" s="907"/>
      <c r="AA362" s="907"/>
      <c r="AB362" s="907"/>
      <c r="AC362" s="907"/>
      <c r="AD362" s="907"/>
      <c r="AE362" s="907"/>
      <c r="AF362" s="907"/>
      <c r="AG362" s="907"/>
      <c r="AH362" s="907"/>
      <c r="AI362" s="907"/>
      <c r="AJ362" s="907"/>
      <c r="AK362" s="907"/>
      <c r="AL362" s="907"/>
    </row>
    <row r="363" spans="1:38">
      <c r="A363" s="907"/>
      <c r="B363" s="907"/>
      <c r="C363" s="907"/>
      <c r="D363" s="907"/>
      <c r="E363" s="907"/>
      <c r="F363" s="907"/>
      <c r="G363" s="907"/>
      <c r="H363" s="907"/>
      <c r="I363" s="907"/>
      <c r="J363" s="907"/>
      <c r="K363" s="907"/>
      <c r="L363" s="907"/>
      <c r="M363" s="907"/>
      <c r="N363" s="907"/>
      <c r="O363" s="907"/>
      <c r="P363" s="907"/>
      <c r="Q363" s="907"/>
      <c r="R363" s="907"/>
      <c r="S363" s="907"/>
      <c r="T363" s="907"/>
      <c r="U363" s="907"/>
      <c r="V363" s="907"/>
      <c r="W363" s="907"/>
      <c r="X363" s="907"/>
      <c r="Y363" s="907"/>
      <c r="Z363" s="907"/>
      <c r="AA363" s="907"/>
      <c r="AB363" s="907"/>
      <c r="AC363" s="907"/>
      <c r="AD363" s="907"/>
      <c r="AE363" s="907"/>
      <c r="AF363" s="907"/>
      <c r="AG363" s="907"/>
      <c r="AH363" s="907"/>
      <c r="AI363" s="907"/>
      <c r="AJ363" s="907"/>
      <c r="AK363" s="907"/>
      <c r="AL363" s="907"/>
    </row>
    <row r="364" spans="1:38">
      <c r="A364" s="907"/>
      <c r="B364" s="907"/>
      <c r="C364" s="907"/>
      <c r="D364" s="907"/>
      <c r="E364" s="907"/>
      <c r="F364" s="907"/>
      <c r="G364" s="907"/>
      <c r="H364" s="907"/>
      <c r="I364" s="907"/>
      <c r="J364" s="907"/>
      <c r="K364" s="907"/>
      <c r="L364" s="907"/>
      <c r="M364" s="907"/>
      <c r="N364" s="907"/>
      <c r="O364" s="907"/>
      <c r="P364" s="907"/>
      <c r="Q364" s="907"/>
      <c r="R364" s="907"/>
      <c r="S364" s="907"/>
      <c r="T364" s="907"/>
      <c r="U364" s="907"/>
      <c r="V364" s="907"/>
      <c r="W364" s="907"/>
      <c r="X364" s="907"/>
      <c r="Y364" s="907"/>
      <c r="Z364" s="907"/>
      <c r="AA364" s="907"/>
      <c r="AB364" s="907"/>
      <c r="AC364" s="907"/>
      <c r="AD364" s="907"/>
      <c r="AE364" s="907"/>
      <c r="AF364" s="907"/>
      <c r="AG364" s="907"/>
      <c r="AH364" s="907"/>
      <c r="AI364" s="907"/>
      <c r="AJ364" s="907"/>
      <c r="AK364" s="907"/>
      <c r="AL364" s="907"/>
    </row>
    <row r="365" spans="1:38">
      <c r="A365" s="907"/>
      <c r="B365" s="907"/>
      <c r="C365" s="907"/>
      <c r="D365" s="907"/>
      <c r="E365" s="907"/>
      <c r="F365" s="907"/>
      <c r="G365" s="907"/>
      <c r="H365" s="907"/>
      <c r="I365" s="907"/>
      <c r="J365" s="907"/>
      <c r="K365" s="907"/>
      <c r="L365" s="907"/>
      <c r="M365" s="907"/>
      <c r="N365" s="907"/>
      <c r="O365" s="907"/>
      <c r="P365" s="907"/>
      <c r="Q365" s="907"/>
      <c r="R365" s="907"/>
      <c r="S365" s="907"/>
      <c r="T365" s="907"/>
      <c r="U365" s="907"/>
      <c r="V365" s="907"/>
      <c r="W365" s="907"/>
      <c r="X365" s="907"/>
      <c r="Y365" s="907"/>
      <c r="Z365" s="907"/>
      <c r="AA365" s="907"/>
      <c r="AB365" s="907"/>
      <c r="AC365" s="907"/>
      <c r="AD365" s="907"/>
      <c r="AE365" s="907"/>
      <c r="AF365" s="907"/>
      <c r="AG365" s="907"/>
      <c r="AH365" s="907"/>
      <c r="AI365" s="907"/>
      <c r="AJ365" s="907"/>
      <c r="AK365" s="907"/>
      <c r="AL365" s="907"/>
    </row>
    <row r="366" spans="1:38">
      <c r="A366" s="907"/>
      <c r="B366" s="907"/>
      <c r="C366" s="907"/>
      <c r="D366" s="907"/>
      <c r="E366" s="907"/>
      <c r="F366" s="907"/>
      <c r="G366" s="907"/>
      <c r="H366" s="907"/>
      <c r="I366" s="907"/>
      <c r="J366" s="907"/>
      <c r="K366" s="907"/>
      <c r="L366" s="907"/>
      <c r="M366" s="907"/>
      <c r="N366" s="907"/>
      <c r="O366" s="907"/>
      <c r="P366" s="907"/>
      <c r="Q366" s="907"/>
      <c r="R366" s="907"/>
      <c r="S366" s="907"/>
      <c r="T366" s="907"/>
      <c r="U366" s="907"/>
      <c r="V366" s="907"/>
      <c r="W366" s="907"/>
      <c r="X366" s="907"/>
      <c r="Y366" s="907"/>
      <c r="Z366" s="907"/>
      <c r="AA366" s="907"/>
      <c r="AB366" s="907"/>
      <c r="AC366" s="907"/>
      <c r="AD366" s="907"/>
      <c r="AE366" s="907"/>
      <c r="AF366" s="907"/>
      <c r="AG366" s="907"/>
      <c r="AH366" s="907"/>
      <c r="AI366" s="907"/>
      <c r="AJ366" s="907"/>
      <c r="AK366" s="907"/>
      <c r="AL366" s="907"/>
    </row>
    <row r="367" spans="1:38">
      <c r="A367" s="907"/>
      <c r="B367" s="907"/>
      <c r="C367" s="907"/>
      <c r="D367" s="907"/>
      <c r="E367" s="907"/>
      <c r="F367" s="907"/>
      <c r="G367" s="907"/>
      <c r="H367" s="907"/>
      <c r="I367" s="907"/>
      <c r="J367" s="907"/>
      <c r="K367" s="907"/>
      <c r="L367" s="907"/>
      <c r="M367" s="907"/>
      <c r="N367" s="907"/>
      <c r="O367" s="907"/>
      <c r="P367" s="907"/>
      <c r="Q367" s="907"/>
      <c r="R367" s="907"/>
      <c r="S367" s="907"/>
      <c r="T367" s="907"/>
      <c r="U367" s="907"/>
      <c r="V367" s="907"/>
      <c r="W367" s="907"/>
      <c r="X367" s="907"/>
      <c r="Y367" s="907"/>
      <c r="Z367" s="907"/>
      <c r="AA367" s="907"/>
      <c r="AB367" s="907"/>
      <c r="AC367" s="907"/>
      <c r="AD367" s="907"/>
      <c r="AE367" s="907"/>
      <c r="AF367" s="907"/>
      <c r="AG367" s="907"/>
      <c r="AH367" s="907"/>
      <c r="AI367" s="907"/>
      <c r="AJ367" s="907"/>
      <c r="AK367" s="907"/>
      <c r="AL367" s="907"/>
    </row>
    <row r="368" spans="1:38">
      <c r="A368" s="907"/>
      <c r="B368" s="907"/>
      <c r="C368" s="907"/>
      <c r="D368" s="907"/>
      <c r="E368" s="907"/>
      <c r="F368" s="907"/>
      <c r="G368" s="907"/>
      <c r="H368" s="907"/>
      <c r="I368" s="907"/>
      <c r="J368" s="907"/>
      <c r="K368" s="907"/>
      <c r="L368" s="907"/>
      <c r="M368" s="907"/>
      <c r="N368" s="907"/>
      <c r="O368" s="907"/>
      <c r="P368" s="907"/>
      <c r="Q368" s="907"/>
      <c r="R368" s="907"/>
      <c r="S368" s="907"/>
      <c r="T368" s="907"/>
      <c r="U368" s="907"/>
      <c r="V368" s="907"/>
      <c r="W368" s="907"/>
      <c r="X368" s="907"/>
      <c r="Y368" s="907"/>
      <c r="Z368" s="907"/>
      <c r="AA368" s="907"/>
      <c r="AB368" s="907"/>
      <c r="AC368" s="907"/>
      <c r="AD368" s="907"/>
      <c r="AE368" s="907"/>
      <c r="AF368" s="907"/>
      <c r="AG368" s="907"/>
      <c r="AH368" s="907"/>
      <c r="AI368" s="907"/>
      <c r="AJ368" s="907"/>
      <c r="AK368" s="907"/>
      <c r="AL368" s="907"/>
    </row>
    <row r="369" spans="1:38">
      <c r="A369" s="907"/>
      <c r="B369" s="907"/>
      <c r="C369" s="907"/>
      <c r="D369" s="907"/>
      <c r="E369" s="907"/>
      <c r="F369" s="907"/>
      <c r="G369" s="907"/>
      <c r="H369" s="907"/>
      <c r="I369" s="907"/>
      <c r="J369" s="907"/>
      <c r="K369" s="907"/>
      <c r="L369" s="907"/>
      <c r="M369" s="907"/>
      <c r="N369" s="907"/>
      <c r="O369" s="907"/>
      <c r="P369" s="907"/>
      <c r="Q369" s="907"/>
      <c r="R369" s="907"/>
      <c r="S369" s="907"/>
      <c r="T369" s="907"/>
      <c r="U369" s="907"/>
      <c r="V369" s="907"/>
      <c r="W369" s="907"/>
      <c r="X369" s="907"/>
      <c r="Y369" s="907"/>
      <c r="Z369" s="907"/>
      <c r="AA369" s="907"/>
      <c r="AB369" s="907"/>
      <c r="AC369" s="907"/>
      <c r="AD369" s="907"/>
      <c r="AE369" s="907"/>
      <c r="AF369" s="907"/>
      <c r="AG369" s="907"/>
      <c r="AH369" s="907"/>
      <c r="AI369" s="907"/>
      <c r="AJ369" s="907"/>
      <c r="AK369" s="907"/>
      <c r="AL369" s="907"/>
    </row>
    <row r="370" spans="1:38">
      <c r="A370" s="907"/>
      <c r="B370" s="907"/>
      <c r="C370" s="907"/>
      <c r="D370" s="907"/>
      <c r="E370" s="907"/>
      <c r="F370" s="907"/>
      <c r="G370" s="907"/>
      <c r="H370" s="907"/>
      <c r="I370" s="907"/>
      <c r="J370" s="907"/>
      <c r="K370" s="907"/>
      <c r="L370" s="907"/>
      <c r="M370" s="907"/>
      <c r="N370" s="907"/>
      <c r="O370" s="907"/>
      <c r="P370" s="907"/>
      <c r="Q370" s="907"/>
      <c r="R370" s="907"/>
      <c r="S370" s="907"/>
      <c r="T370" s="907"/>
      <c r="U370" s="907"/>
      <c r="V370" s="907"/>
      <c r="W370" s="907"/>
      <c r="X370" s="907"/>
      <c r="Y370" s="907"/>
      <c r="Z370" s="907"/>
      <c r="AA370" s="907"/>
      <c r="AB370" s="907"/>
      <c r="AC370" s="907"/>
      <c r="AD370" s="907"/>
      <c r="AE370" s="907"/>
      <c r="AF370" s="907"/>
      <c r="AG370" s="907"/>
      <c r="AH370" s="907"/>
      <c r="AI370" s="907"/>
      <c r="AJ370" s="907"/>
      <c r="AK370" s="907"/>
      <c r="AL370" s="907"/>
    </row>
    <row r="371" spans="1:38">
      <c r="A371" s="907"/>
      <c r="B371" s="907"/>
      <c r="C371" s="907"/>
      <c r="D371" s="907"/>
      <c r="E371" s="907"/>
      <c r="F371" s="907"/>
      <c r="G371" s="907"/>
      <c r="H371" s="907"/>
      <c r="I371" s="907"/>
      <c r="J371" s="907"/>
      <c r="K371" s="907"/>
      <c r="L371" s="907"/>
      <c r="M371" s="907"/>
      <c r="N371" s="907"/>
      <c r="O371" s="907"/>
      <c r="P371" s="907"/>
      <c r="Q371" s="907"/>
      <c r="R371" s="907"/>
      <c r="S371" s="907"/>
      <c r="T371" s="907"/>
      <c r="U371" s="907"/>
      <c r="V371" s="907"/>
      <c r="W371" s="907"/>
      <c r="X371" s="907"/>
      <c r="Y371" s="907"/>
      <c r="Z371" s="907"/>
      <c r="AA371" s="907"/>
      <c r="AB371" s="907"/>
      <c r="AC371" s="907"/>
      <c r="AD371" s="907"/>
      <c r="AE371" s="907"/>
      <c r="AF371" s="907"/>
      <c r="AG371" s="907"/>
      <c r="AH371" s="907"/>
      <c r="AI371" s="907"/>
      <c r="AJ371" s="907"/>
      <c r="AK371" s="907"/>
      <c r="AL371" s="907"/>
    </row>
    <row r="372" spans="1:38">
      <c r="A372" s="907"/>
      <c r="B372" s="907"/>
      <c r="C372" s="907"/>
      <c r="D372" s="907"/>
      <c r="E372" s="907"/>
      <c r="F372" s="907"/>
      <c r="G372" s="907"/>
      <c r="H372" s="907"/>
      <c r="I372" s="907"/>
      <c r="J372" s="907"/>
      <c r="K372" s="907"/>
      <c r="L372" s="907"/>
      <c r="M372" s="907"/>
      <c r="N372" s="907"/>
      <c r="O372" s="907"/>
      <c r="P372" s="907"/>
      <c r="Q372" s="907"/>
      <c r="R372" s="907"/>
      <c r="S372" s="907"/>
      <c r="T372" s="907"/>
      <c r="U372" s="907"/>
      <c r="V372" s="907"/>
      <c r="W372" s="907"/>
      <c r="X372" s="907"/>
      <c r="Y372" s="907"/>
      <c r="Z372" s="907"/>
      <c r="AA372" s="907"/>
      <c r="AB372" s="907"/>
      <c r="AC372" s="907"/>
      <c r="AD372" s="907"/>
      <c r="AE372" s="907"/>
      <c r="AF372" s="907"/>
      <c r="AG372" s="907"/>
      <c r="AH372" s="907"/>
      <c r="AI372" s="907"/>
      <c r="AJ372" s="907"/>
      <c r="AK372" s="907"/>
      <c r="AL372" s="907"/>
    </row>
    <row r="373" spans="1:38">
      <c r="A373" s="907"/>
      <c r="B373" s="907"/>
      <c r="C373" s="907"/>
      <c r="D373" s="907"/>
      <c r="E373" s="907"/>
      <c r="F373" s="907"/>
      <c r="G373" s="907"/>
      <c r="H373" s="907"/>
      <c r="I373" s="907"/>
      <c r="J373" s="907"/>
      <c r="K373" s="907"/>
      <c r="L373" s="907"/>
      <c r="M373" s="907"/>
      <c r="N373" s="907"/>
      <c r="O373" s="907"/>
      <c r="P373" s="907"/>
      <c r="Q373" s="907"/>
      <c r="R373" s="907"/>
      <c r="S373" s="907"/>
      <c r="T373" s="907"/>
      <c r="U373" s="907"/>
      <c r="V373" s="907"/>
      <c r="W373" s="907"/>
      <c r="X373" s="907"/>
      <c r="Y373" s="907"/>
      <c r="Z373" s="907"/>
      <c r="AA373" s="907"/>
      <c r="AB373" s="907"/>
      <c r="AC373" s="907"/>
      <c r="AD373" s="907"/>
      <c r="AE373" s="907"/>
      <c r="AF373" s="907"/>
      <c r="AG373" s="907"/>
      <c r="AH373" s="907"/>
      <c r="AI373" s="907"/>
      <c r="AJ373" s="907"/>
      <c r="AK373" s="907"/>
      <c r="AL373" s="907"/>
    </row>
    <row r="374" spans="1:38">
      <c r="A374" s="907"/>
      <c r="B374" s="907"/>
      <c r="C374" s="907"/>
      <c r="D374" s="907"/>
      <c r="E374" s="907"/>
      <c r="F374" s="907"/>
      <c r="G374" s="907"/>
      <c r="H374" s="907"/>
      <c r="I374" s="907"/>
      <c r="J374" s="907"/>
      <c r="K374" s="907"/>
      <c r="L374" s="907"/>
      <c r="M374" s="907"/>
      <c r="N374" s="907"/>
      <c r="O374" s="907"/>
      <c r="P374" s="907"/>
      <c r="Q374" s="907"/>
      <c r="R374" s="907"/>
      <c r="S374" s="907"/>
      <c r="T374" s="907"/>
      <c r="U374" s="907"/>
      <c r="V374" s="907"/>
      <c r="W374" s="907"/>
      <c r="X374" s="907"/>
      <c r="Y374" s="907"/>
      <c r="Z374" s="907"/>
      <c r="AA374" s="907"/>
      <c r="AB374" s="907"/>
      <c r="AC374" s="907"/>
      <c r="AD374" s="907"/>
      <c r="AE374" s="907"/>
      <c r="AF374" s="907"/>
      <c r="AG374" s="907"/>
      <c r="AH374" s="907"/>
      <c r="AI374" s="907"/>
      <c r="AJ374" s="907"/>
      <c r="AK374" s="907"/>
      <c r="AL374" s="907"/>
    </row>
    <row r="375" spans="1:38">
      <c r="A375" s="907"/>
      <c r="B375" s="907"/>
      <c r="C375" s="907"/>
      <c r="D375" s="907"/>
      <c r="E375" s="907"/>
      <c r="F375" s="907"/>
      <c r="G375" s="907"/>
      <c r="H375" s="907"/>
      <c r="I375" s="907"/>
      <c r="J375" s="907"/>
      <c r="K375" s="907"/>
      <c r="L375" s="907"/>
      <c r="M375" s="907"/>
      <c r="N375" s="907"/>
      <c r="O375" s="907"/>
      <c r="P375" s="907"/>
      <c r="Q375" s="907"/>
      <c r="R375" s="907"/>
      <c r="S375" s="907"/>
      <c r="T375" s="907"/>
      <c r="U375" s="907"/>
      <c r="V375" s="907"/>
      <c r="W375" s="907"/>
      <c r="X375" s="907"/>
      <c r="Y375" s="907"/>
      <c r="Z375" s="907"/>
      <c r="AA375" s="907"/>
      <c r="AB375" s="907"/>
      <c r="AC375" s="907"/>
      <c r="AD375" s="907"/>
      <c r="AE375" s="907"/>
      <c r="AF375" s="907"/>
      <c r="AG375" s="907"/>
      <c r="AH375" s="907"/>
      <c r="AI375" s="907"/>
      <c r="AJ375" s="907"/>
      <c r="AK375" s="907"/>
      <c r="AL375" s="907"/>
    </row>
    <row r="376" spans="1:38">
      <c r="A376" s="907"/>
      <c r="B376" s="907"/>
      <c r="C376" s="907"/>
      <c r="D376" s="907"/>
      <c r="E376" s="907"/>
      <c r="F376" s="907"/>
      <c r="G376" s="907"/>
      <c r="H376" s="907"/>
      <c r="I376" s="907"/>
      <c r="J376" s="907"/>
      <c r="K376" s="907"/>
      <c r="L376" s="907"/>
      <c r="M376" s="907"/>
      <c r="N376" s="907"/>
      <c r="O376" s="907"/>
      <c r="P376" s="907"/>
      <c r="Q376" s="907"/>
      <c r="R376" s="907"/>
      <c r="S376" s="907"/>
      <c r="T376" s="907"/>
      <c r="U376" s="907"/>
      <c r="V376" s="907"/>
      <c r="W376" s="907"/>
      <c r="X376" s="907"/>
      <c r="Y376" s="907"/>
      <c r="Z376" s="907"/>
      <c r="AA376" s="907"/>
      <c r="AB376" s="907"/>
      <c r="AC376" s="907"/>
      <c r="AD376" s="907"/>
      <c r="AE376" s="907"/>
      <c r="AF376" s="907"/>
      <c r="AG376" s="907"/>
      <c r="AH376" s="907"/>
      <c r="AI376" s="907"/>
      <c r="AJ376" s="907"/>
      <c r="AK376" s="907"/>
      <c r="AL376" s="907"/>
    </row>
    <row r="377" spans="1:38">
      <c r="A377" s="907"/>
      <c r="B377" s="907"/>
      <c r="C377" s="907"/>
      <c r="D377" s="907"/>
      <c r="E377" s="907"/>
      <c r="F377" s="907"/>
      <c r="G377" s="907"/>
      <c r="H377" s="907"/>
      <c r="I377" s="907"/>
      <c r="J377" s="907"/>
      <c r="K377" s="907"/>
      <c r="L377" s="907"/>
      <c r="M377" s="907"/>
      <c r="N377" s="907"/>
      <c r="O377" s="907"/>
      <c r="P377" s="907"/>
      <c r="Q377" s="907"/>
      <c r="R377" s="907"/>
      <c r="S377" s="907"/>
      <c r="T377" s="907"/>
      <c r="U377" s="907"/>
      <c r="V377" s="907"/>
      <c r="W377" s="907"/>
      <c r="X377" s="907"/>
      <c r="Y377" s="907"/>
      <c r="Z377" s="907"/>
      <c r="AA377" s="907"/>
      <c r="AB377" s="907"/>
      <c r="AC377" s="907"/>
      <c r="AD377" s="907"/>
      <c r="AE377" s="907"/>
      <c r="AF377" s="907"/>
      <c r="AG377" s="907"/>
      <c r="AH377" s="907"/>
      <c r="AI377" s="907"/>
      <c r="AJ377" s="907"/>
      <c r="AK377" s="907"/>
      <c r="AL377" s="907"/>
    </row>
    <row r="378" spans="1:38">
      <c r="A378" s="907"/>
      <c r="B378" s="907"/>
      <c r="C378" s="907"/>
      <c r="D378" s="907"/>
      <c r="E378" s="907"/>
      <c r="F378" s="907"/>
      <c r="G378" s="907"/>
      <c r="H378" s="907"/>
      <c r="I378" s="907"/>
      <c r="J378" s="907"/>
      <c r="K378" s="907"/>
      <c r="L378" s="907"/>
      <c r="M378" s="907"/>
      <c r="N378" s="907"/>
      <c r="O378" s="907"/>
      <c r="P378" s="907"/>
      <c r="Q378" s="907"/>
      <c r="R378" s="907"/>
      <c r="S378" s="907"/>
      <c r="T378" s="907"/>
      <c r="U378" s="907"/>
      <c r="V378" s="907"/>
      <c r="W378" s="907"/>
      <c r="X378" s="907"/>
      <c r="Y378" s="907"/>
      <c r="Z378" s="907"/>
      <c r="AA378" s="907"/>
      <c r="AB378" s="907"/>
      <c r="AC378" s="907"/>
      <c r="AD378" s="907"/>
      <c r="AE378" s="907"/>
      <c r="AF378" s="907"/>
      <c r="AG378" s="907"/>
      <c r="AH378" s="907"/>
      <c r="AI378" s="907"/>
      <c r="AJ378" s="907"/>
      <c r="AK378" s="907"/>
      <c r="AL378" s="907"/>
    </row>
    <row r="379" spans="1:38">
      <c r="A379" s="907"/>
      <c r="B379" s="907"/>
      <c r="C379" s="907"/>
      <c r="D379" s="907"/>
      <c r="E379" s="907"/>
      <c r="F379" s="907"/>
      <c r="G379" s="907"/>
      <c r="H379" s="907"/>
      <c r="I379" s="907"/>
      <c r="J379" s="907"/>
      <c r="K379" s="907"/>
      <c r="L379" s="907"/>
      <c r="M379" s="907"/>
      <c r="N379" s="907"/>
      <c r="O379" s="907"/>
      <c r="P379" s="907"/>
      <c r="Q379" s="907"/>
      <c r="R379" s="907"/>
      <c r="S379" s="907"/>
      <c r="T379" s="907"/>
      <c r="U379" s="907"/>
      <c r="V379" s="907"/>
      <c r="W379" s="907"/>
      <c r="X379" s="907"/>
      <c r="Y379" s="907"/>
      <c r="Z379" s="907"/>
      <c r="AA379" s="907"/>
      <c r="AB379" s="907"/>
      <c r="AC379" s="907"/>
      <c r="AD379" s="907"/>
      <c r="AE379" s="907"/>
      <c r="AF379" s="907"/>
      <c r="AG379" s="907"/>
      <c r="AH379" s="907"/>
      <c r="AI379" s="907"/>
      <c r="AJ379" s="907"/>
      <c r="AK379" s="907"/>
      <c r="AL379" s="907"/>
    </row>
    <row r="380" spans="1:38">
      <c r="A380" s="907"/>
      <c r="B380" s="907"/>
      <c r="C380" s="907"/>
      <c r="D380" s="907"/>
      <c r="E380" s="907"/>
      <c r="F380" s="907"/>
      <c r="G380" s="907"/>
      <c r="H380" s="907"/>
      <c r="I380" s="907"/>
      <c r="J380" s="907"/>
      <c r="K380" s="907"/>
      <c r="L380" s="907"/>
      <c r="M380" s="907"/>
      <c r="N380" s="907"/>
      <c r="O380" s="907"/>
      <c r="P380" s="907"/>
      <c r="Q380" s="907"/>
      <c r="R380" s="907"/>
      <c r="S380" s="907"/>
      <c r="T380" s="907"/>
      <c r="U380" s="907"/>
      <c r="V380" s="907"/>
      <c r="W380" s="907"/>
      <c r="X380" s="907"/>
      <c r="Y380" s="907"/>
      <c r="Z380" s="907"/>
      <c r="AA380" s="907"/>
      <c r="AB380" s="907"/>
      <c r="AC380" s="907"/>
      <c r="AD380" s="907"/>
      <c r="AE380" s="907"/>
      <c r="AF380" s="907"/>
      <c r="AG380" s="907"/>
      <c r="AH380" s="907"/>
      <c r="AI380" s="907"/>
      <c r="AJ380" s="907"/>
      <c r="AK380" s="907"/>
      <c r="AL380" s="907"/>
    </row>
    <row r="381" spans="1:38">
      <c r="A381" s="907"/>
      <c r="B381" s="907"/>
      <c r="C381" s="907"/>
      <c r="D381" s="907"/>
      <c r="E381" s="907"/>
      <c r="F381" s="907"/>
      <c r="G381" s="907"/>
      <c r="H381" s="907"/>
      <c r="I381" s="907"/>
      <c r="J381" s="907"/>
      <c r="K381" s="907"/>
      <c r="L381" s="907"/>
      <c r="M381" s="907"/>
      <c r="N381" s="907"/>
      <c r="O381" s="907"/>
      <c r="P381" s="907"/>
      <c r="Q381" s="907"/>
      <c r="R381" s="907"/>
      <c r="S381" s="907"/>
      <c r="T381" s="907"/>
      <c r="U381" s="907"/>
      <c r="V381" s="907"/>
      <c r="W381" s="907"/>
      <c r="X381" s="907"/>
      <c r="Y381" s="907"/>
      <c r="Z381" s="907"/>
      <c r="AA381" s="907"/>
      <c r="AB381" s="907"/>
      <c r="AC381" s="907"/>
      <c r="AD381" s="907"/>
      <c r="AE381" s="907"/>
      <c r="AF381" s="907"/>
      <c r="AG381" s="907"/>
      <c r="AH381" s="907"/>
      <c r="AI381" s="907"/>
      <c r="AJ381" s="907"/>
      <c r="AK381" s="907"/>
      <c r="AL381" s="907"/>
    </row>
    <row r="382" spans="1:38">
      <c r="A382" s="907"/>
      <c r="B382" s="907"/>
      <c r="C382" s="907"/>
      <c r="D382" s="907"/>
      <c r="E382" s="907"/>
      <c r="F382" s="907"/>
      <c r="G382" s="907"/>
      <c r="H382" s="907"/>
      <c r="I382" s="907"/>
      <c r="J382" s="907"/>
      <c r="K382" s="907"/>
      <c r="L382" s="907"/>
      <c r="M382" s="907"/>
      <c r="N382" s="907"/>
      <c r="O382" s="907"/>
      <c r="P382" s="907"/>
      <c r="Q382" s="907"/>
      <c r="R382" s="907"/>
      <c r="S382" s="907"/>
      <c r="T382" s="907"/>
      <c r="U382" s="907"/>
      <c r="V382" s="907"/>
      <c r="W382" s="907"/>
      <c r="X382" s="907"/>
      <c r="Y382" s="907"/>
      <c r="Z382" s="907"/>
      <c r="AA382" s="907"/>
      <c r="AB382" s="907"/>
      <c r="AC382" s="907"/>
      <c r="AD382" s="907"/>
      <c r="AE382" s="907"/>
      <c r="AF382" s="907"/>
      <c r="AG382" s="907"/>
      <c r="AH382" s="907"/>
      <c r="AI382" s="907"/>
      <c r="AJ382" s="907"/>
      <c r="AK382" s="907"/>
      <c r="AL382" s="907"/>
    </row>
    <row r="383" spans="1:38">
      <c r="A383" s="907"/>
      <c r="B383" s="907"/>
      <c r="C383" s="907"/>
      <c r="D383" s="907"/>
      <c r="E383" s="907"/>
      <c r="F383" s="907"/>
      <c r="G383" s="907"/>
      <c r="H383" s="907"/>
      <c r="I383" s="907"/>
      <c r="J383" s="907"/>
      <c r="K383" s="907"/>
      <c r="L383" s="907"/>
      <c r="M383" s="907"/>
      <c r="N383" s="907"/>
      <c r="O383" s="907"/>
      <c r="P383" s="907"/>
      <c r="Q383" s="907"/>
      <c r="R383" s="907"/>
      <c r="S383" s="907"/>
      <c r="T383" s="907"/>
      <c r="U383" s="907"/>
      <c r="V383" s="907"/>
      <c r="W383" s="907"/>
      <c r="X383" s="907"/>
      <c r="Y383" s="907"/>
      <c r="Z383" s="907"/>
      <c r="AA383" s="907"/>
      <c r="AB383" s="907"/>
      <c r="AC383" s="907"/>
      <c r="AD383" s="907"/>
      <c r="AE383" s="907"/>
      <c r="AF383" s="907"/>
      <c r="AG383" s="907"/>
      <c r="AH383" s="907"/>
      <c r="AI383" s="907"/>
      <c r="AJ383" s="907"/>
      <c r="AK383" s="907"/>
      <c r="AL383" s="907"/>
    </row>
    <row r="384" spans="1:38">
      <c r="A384" s="907"/>
      <c r="B384" s="907"/>
      <c r="C384" s="907"/>
      <c r="D384" s="907"/>
      <c r="E384" s="907"/>
      <c r="F384" s="907"/>
      <c r="G384" s="907"/>
      <c r="H384" s="907"/>
      <c r="I384" s="907"/>
      <c r="J384" s="907"/>
      <c r="K384" s="907"/>
      <c r="L384" s="907"/>
      <c r="M384" s="907"/>
      <c r="N384" s="907"/>
      <c r="O384" s="907"/>
      <c r="P384" s="907"/>
      <c r="Q384" s="907"/>
      <c r="R384" s="907"/>
      <c r="S384" s="907"/>
      <c r="T384" s="907"/>
      <c r="U384" s="907"/>
      <c r="V384" s="907"/>
      <c r="W384" s="907"/>
      <c r="X384" s="907"/>
      <c r="Y384" s="907"/>
      <c r="Z384" s="907"/>
      <c r="AA384" s="907"/>
      <c r="AB384" s="907"/>
      <c r="AC384" s="907"/>
      <c r="AD384" s="907"/>
      <c r="AE384" s="907"/>
      <c r="AF384" s="907"/>
      <c r="AG384" s="907"/>
      <c r="AH384" s="907"/>
      <c r="AI384" s="907"/>
      <c r="AJ384" s="907"/>
      <c r="AK384" s="907"/>
      <c r="AL384" s="907"/>
    </row>
    <row r="385" spans="1:38">
      <c r="A385" s="907"/>
      <c r="B385" s="907"/>
      <c r="C385" s="907"/>
      <c r="D385" s="907"/>
      <c r="E385" s="907"/>
      <c r="F385" s="907"/>
      <c r="G385" s="907"/>
      <c r="H385" s="907"/>
      <c r="I385" s="907"/>
      <c r="J385" s="907"/>
      <c r="K385" s="907"/>
      <c r="L385" s="907"/>
      <c r="M385" s="907"/>
      <c r="N385" s="907"/>
      <c r="O385" s="907"/>
      <c r="P385" s="907"/>
      <c r="Q385" s="907"/>
      <c r="R385" s="907"/>
      <c r="S385" s="907"/>
      <c r="T385" s="907"/>
      <c r="U385" s="907"/>
      <c r="V385" s="907"/>
      <c r="W385" s="907"/>
      <c r="X385" s="907"/>
      <c r="Y385" s="907"/>
      <c r="Z385" s="907"/>
      <c r="AA385" s="907"/>
      <c r="AB385" s="907"/>
      <c r="AC385" s="907"/>
      <c r="AD385" s="907"/>
      <c r="AE385" s="907"/>
      <c r="AF385" s="907"/>
      <c r="AG385" s="907"/>
      <c r="AH385" s="907"/>
      <c r="AI385" s="907"/>
      <c r="AJ385" s="907"/>
      <c r="AK385" s="907"/>
      <c r="AL385" s="907"/>
    </row>
    <row r="386" spans="1:38">
      <c r="A386" s="907"/>
      <c r="B386" s="907"/>
      <c r="C386" s="907"/>
      <c r="D386" s="907"/>
      <c r="E386" s="907"/>
      <c r="F386" s="907"/>
      <c r="G386" s="907"/>
      <c r="H386" s="907"/>
      <c r="I386" s="907"/>
      <c r="J386" s="907"/>
      <c r="K386" s="907"/>
      <c r="L386" s="907"/>
      <c r="M386" s="907"/>
      <c r="N386" s="907"/>
      <c r="O386" s="907"/>
      <c r="P386" s="907"/>
      <c r="Q386" s="907"/>
      <c r="R386" s="907"/>
      <c r="S386" s="907"/>
      <c r="T386" s="907"/>
      <c r="U386" s="907"/>
      <c r="V386" s="907"/>
      <c r="W386" s="907"/>
      <c r="X386" s="907"/>
      <c r="Y386" s="907"/>
      <c r="Z386" s="907"/>
      <c r="AA386" s="907"/>
      <c r="AB386" s="907"/>
      <c r="AC386" s="907"/>
      <c r="AD386" s="907"/>
      <c r="AE386" s="907"/>
      <c r="AF386" s="907"/>
      <c r="AG386" s="907"/>
      <c r="AH386" s="907"/>
      <c r="AI386" s="907"/>
      <c r="AJ386" s="907"/>
      <c r="AK386" s="907"/>
      <c r="AL386" s="907"/>
    </row>
    <row r="387" spans="1:38">
      <c r="A387" s="907"/>
      <c r="B387" s="907"/>
      <c r="C387" s="907"/>
      <c r="D387" s="907"/>
      <c r="E387" s="907"/>
      <c r="F387" s="907"/>
      <c r="G387" s="907"/>
      <c r="H387" s="907"/>
      <c r="I387" s="907"/>
      <c r="J387" s="907"/>
      <c r="K387" s="907"/>
      <c r="L387" s="907"/>
      <c r="M387" s="907"/>
      <c r="N387" s="907"/>
      <c r="O387" s="907"/>
      <c r="P387" s="907"/>
      <c r="Q387" s="907"/>
      <c r="R387" s="907"/>
      <c r="S387" s="907"/>
      <c r="T387" s="907"/>
      <c r="U387" s="907"/>
      <c r="V387" s="907"/>
      <c r="W387" s="907"/>
      <c r="X387" s="907"/>
      <c r="Y387" s="907"/>
      <c r="Z387" s="907"/>
      <c r="AA387" s="907"/>
      <c r="AB387" s="907"/>
      <c r="AC387" s="907"/>
      <c r="AD387" s="907"/>
      <c r="AE387" s="907"/>
      <c r="AF387" s="907"/>
      <c r="AG387" s="907"/>
      <c r="AH387" s="907"/>
      <c r="AI387" s="907"/>
      <c r="AJ387" s="907"/>
      <c r="AK387" s="907"/>
      <c r="AL387" s="907"/>
    </row>
    <row r="388" spans="1:38">
      <c r="A388" s="907"/>
      <c r="B388" s="907"/>
      <c r="C388" s="907"/>
      <c r="D388" s="907"/>
      <c r="E388" s="907"/>
      <c r="F388" s="907"/>
      <c r="G388" s="907"/>
      <c r="H388" s="907"/>
      <c r="I388" s="907"/>
      <c r="J388" s="907"/>
      <c r="K388" s="907"/>
      <c r="L388" s="907"/>
      <c r="M388" s="907"/>
      <c r="N388" s="907"/>
      <c r="O388" s="907"/>
      <c r="P388" s="907"/>
      <c r="Q388" s="907"/>
      <c r="R388" s="907"/>
      <c r="S388" s="907"/>
      <c r="T388" s="907"/>
      <c r="U388" s="907"/>
      <c r="V388" s="907"/>
      <c r="W388" s="907"/>
      <c r="X388" s="907"/>
      <c r="Y388" s="907"/>
      <c r="Z388" s="907"/>
      <c r="AA388" s="907"/>
      <c r="AB388" s="907"/>
      <c r="AC388" s="907"/>
      <c r="AD388" s="907"/>
      <c r="AE388" s="907"/>
      <c r="AF388" s="907"/>
      <c r="AG388" s="907"/>
      <c r="AH388" s="907"/>
      <c r="AI388" s="907"/>
      <c r="AJ388" s="907"/>
      <c r="AK388" s="907"/>
      <c r="AL388" s="907"/>
    </row>
    <row r="389" spans="1:38">
      <c r="A389" s="907"/>
      <c r="B389" s="907"/>
      <c r="C389" s="907"/>
      <c r="D389" s="907"/>
      <c r="E389" s="907"/>
      <c r="F389" s="907"/>
      <c r="G389" s="907"/>
      <c r="H389" s="907"/>
      <c r="I389" s="907"/>
      <c r="J389" s="907"/>
      <c r="K389" s="907"/>
      <c r="L389" s="907"/>
      <c r="M389" s="907"/>
      <c r="N389" s="907"/>
      <c r="O389" s="907"/>
      <c r="P389" s="907"/>
      <c r="Q389" s="907"/>
      <c r="R389" s="907"/>
      <c r="S389" s="907"/>
      <c r="T389" s="907"/>
      <c r="U389" s="907"/>
      <c r="V389" s="907"/>
      <c r="W389" s="907"/>
      <c r="X389" s="907"/>
      <c r="Y389" s="907"/>
      <c r="Z389" s="907"/>
      <c r="AA389" s="907"/>
      <c r="AB389" s="907"/>
      <c r="AC389" s="907"/>
      <c r="AD389" s="907"/>
      <c r="AE389" s="907"/>
      <c r="AF389" s="907"/>
      <c r="AG389" s="907"/>
      <c r="AH389" s="907"/>
      <c r="AI389" s="907"/>
      <c r="AJ389" s="907"/>
      <c r="AK389" s="907"/>
      <c r="AL389" s="907"/>
    </row>
    <row r="390" spans="1:38">
      <c r="A390" s="907"/>
      <c r="B390" s="907"/>
      <c r="C390" s="907"/>
      <c r="D390" s="907"/>
      <c r="E390" s="907"/>
      <c r="F390" s="907"/>
      <c r="G390" s="907"/>
      <c r="H390" s="907"/>
      <c r="I390" s="907"/>
      <c r="J390" s="907"/>
      <c r="K390" s="907"/>
      <c r="L390" s="907"/>
      <c r="M390" s="907"/>
      <c r="N390" s="907"/>
      <c r="O390" s="907"/>
      <c r="P390" s="907"/>
      <c r="Q390" s="907"/>
      <c r="R390" s="907"/>
      <c r="S390" s="907"/>
      <c r="T390" s="907"/>
      <c r="U390" s="907"/>
      <c r="V390" s="907"/>
      <c r="W390" s="907"/>
      <c r="X390" s="907"/>
      <c r="Y390" s="907"/>
      <c r="Z390" s="907"/>
      <c r="AA390" s="907"/>
      <c r="AB390" s="907"/>
      <c r="AC390" s="907"/>
      <c r="AD390" s="907"/>
      <c r="AE390" s="907"/>
      <c r="AF390" s="907"/>
      <c r="AG390" s="907"/>
      <c r="AH390" s="907"/>
      <c r="AI390" s="907"/>
      <c r="AJ390" s="907"/>
      <c r="AK390" s="907"/>
      <c r="AL390" s="907"/>
    </row>
    <row r="391" spans="1:38">
      <c r="A391" s="907"/>
      <c r="B391" s="907"/>
      <c r="C391" s="907"/>
      <c r="D391" s="907"/>
      <c r="E391" s="907"/>
      <c r="F391" s="907"/>
      <c r="G391" s="907"/>
      <c r="H391" s="907"/>
      <c r="I391" s="907"/>
      <c r="J391" s="907"/>
      <c r="K391" s="907"/>
      <c r="L391" s="907"/>
      <c r="M391" s="907"/>
      <c r="N391" s="907"/>
      <c r="O391" s="907"/>
      <c r="P391" s="907"/>
      <c r="Q391" s="907"/>
      <c r="R391" s="907"/>
      <c r="S391" s="907"/>
      <c r="T391" s="907"/>
      <c r="U391" s="907"/>
      <c r="V391" s="907"/>
      <c r="W391" s="907"/>
      <c r="X391" s="907"/>
      <c r="Y391" s="907"/>
      <c r="Z391" s="907"/>
      <c r="AA391" s="907"/>
      <c r="AB391" s="907"/>
      <c r="AC391" s="907"/>
      <c r="AD391" s="907"/>
      <c r="AE391" s="907"/>
      <c r="AF391" s="907"/>
      <c r="AG391" s="907"/>
      <c r="AH391" s="907"/>
      <c r="AI391" s="907"/>
      <c r="AJ391" s="907"/>
      <c r="AK391" s="907"/>
      <c r="AL391" s="907"/>
    </row>
    <row r="392" spans="1:38">
      <c r="A392" s="907"/>
      <c r="B392" s="907"/>
      <c r="C392" s="907"/>
      <c r="D392" s="907"/>
      <c r="E392" s="907"/>
      <c r="F392" s="907"/>
      <c r="G392" s="907"/>
      <c r="H392" s="907"/>
      <c r="I392" s="907"/>
      <c r="J392" s="907"/>
      <c r="K392" s="907"/>
      <c r="L392" s="907"/>
      <c r="M392" s="907"/>
      <c r="N392" s="907"/>
      <c r="O392" s="907"/>
      <c r="P392" s="907"/>
      <c r="Q392" s="907"/>
      <c r="R392" s="907"/>
      <c r="S392" s="907"/>
      <c r="T392" s="907"/>
      <c r="U392" s="907"/>
      <c r="V392" s="907"/>
      <c r="W392" s="907"/>
      <c r="X392" s="907"/>
      <c r="Y392" s="907"/>
      <c r="Z392" s="907"/>
      <c r="AA392" s="907"/>
      <c r="AB392" s="907"/>
      <c r="AC392" s="907"/>
      <c r="AD392" s="907"/>
      <c r="AE392" s="907"/>
      <c r="AF392" s="907"/>
      <c r="AG392" s="907"/>
      <c r="AH392" s="907"/>
      <c r="AI392" s="907"/>
      <c r="AJ392" s="907"/>
      <c r="AK392" s="907"/>
      <c r="AL392" s="907"/>
    </row>
    <row r="393" spans="1:38">
      <c r="A393" s="907"/>
      <c r="B393" s="907"/>
      <c r="C393" s="907"/>
      <c r="D393" s="907"/>
      <c r="E393" s="907"/>
      <c r="F393" s="907"/>
      <c r="G393" s="907"/>
      <c r="H393" s="907"/>
      <c r="I393" s="907"/>
      <c r="J393" s="907"/>
      <c r="K393" s="907"/>
      <c r="L393" s="907"/>
      <c r="M393" s="907"/>
      <c r="N393" s="907"/>
      <c r="O393" s="907"/>
      <c r="P393" s="907"/>
      <c r="Q393" s="907"/>
      <c r="R393" s="907"/>
      <c r="S393" s="907"/>
      <c r="T393" s="907"/>
      <c r="U393" s="907"/>
      <c r="V393" s="907"/>
      <c r="W393" s="907"/>
      <c r="X393" s="907"/>
      <c r="Y393" s="907"/>
      <c r="Z393" s="907"/>
      <c r="AA393" s="907"/>
      <c r="AB393" s="907"/>
      <c r="AC393" s="907"/>
      <c r="AD393" s="907"/>
      <c r="AE393" s="907"/>
      <c r="AF393" s="907"/>
      <c r="AG393" s="907"/>
      <c r="AH393" s="907"/>
      <c r="AI393" s="907"/>
      <c r="AJ393" s="907"/>
      <c r="AK393" s="907"/>
      <c r="AL393" s="907"/>
    </row>
    <row r="394" spans="1:38">
      <c r="A394" s="907"/>
      <c r="B394" s="907"/>
      <c r="C394" s="907"/>
      <c r="D394" s="907"/>
      <c r="E394" s="907"/>
      <c r="F394" s="907"/>
      <c r="G394" s="907"/>
      <c r="H394" s="907"/>
      <c r="I394" s="907"/>
      <c r="J394" s="907"/>
      <c r="K394" s="907"/>
      <c r="L394" s="907"/>
      <c r="M394" s="907"/>
      <c r="N394" s="907"/>
      <c r="O394" s="907"/>
      <c r="P394" s="907"/>
      <c r="Q394" s="907"/>
      <c r="R394" s="907"/>
      <c r="S394" s="907"/>
      <c r="T394" s="907"/>
      <c r="U394" s="907"/>
      <c r="V394" s="907"/>
      <c r="W394" s="907"/>
      <c r="X394" s="907"/>
      <c r="Y394" s="907"/>
      <c r="Z394" s="907"/>
      <c r="AA394" s="907"/>
      <c r="AB394" s="907"/>
      <c r="AC394" s="907"/>
      <c r="AD394" s="907"/>
      <c r="AE394" s="907"/>
      <c r="AF394" s="907"/>
      <c r="AG394" s="907"/>
      <c r="AH394" s="907"/>
      <c r="AI394" s="907"/>
      <c r="AJ394" s="907"/>
      <c r="AK394" s="907"/>
      <c r="AL394" s="907"/>
    </row>
    <row r="395" spans="1:38">
      <c r="A395" s="907"/>
      <c r="B395" s="907"/>
      <c r="C395" s="907"/>
      <c r="D395" s="907"/>
      <c r="E395" s="907"/>
      <c r="F395" s="907"/>
      <c r="G395" s="907"/>
      <c r="H395" s="907"/>
      <c r="I395" s="907"/>
      <c r="J395" s="907"/>
      <c r="K395" s="907"/>
      <c r="L395" s="907"/>
      <c r="M395" s="907"/>
      <c r="N395" s="907"/>
      <c r="O395" s="907"/>
      <c r="P395" s="907"/>
      <c r="Q395" s="907"/>
      <c r="R395" s="907"/>
      <c r="S395" s="907"/>
      <c r="T395" s="907"/>
      <c r="U395" s="907"/>
      <c r="V395" s="907"/>
      <c r="W395" s="907"/>
      <c r="X395" s="907"/>
      <c r="Y395" s="907"/>
      <c r="Z395" s="907"/>
      <c r="AA395" s="907"/>
      <c r="AB395" s="907"/>
      <c r="AC395" s="907"/>
      <c r="AD395" s="907"/>
      <c r="AE395" s="907"/>
      <c r="AF395" s="907"/>
      <c r="AG395" s="907"/>
      <c r="AH395" s="907"/>
      <c r="AI395" s="907"/>
      <c r="AJ395" s="907"/>
      <c r="AK395" s="907"/>
      <c r="AL395" s="907"/>
    </row>
    <row r="396" spans="1:38">
      <c r="A396" s="907"/>
      <c r="B396" s="907"/>
      <c r="C396" s="907"/>
      <c r="D396" s="907"/>
      <c r="E396" s="907"/>
      <c r="F396" s="907"/>
      <c r="G396" s="907"/>
      <c r="H396" s="907"/>
      <c r="I396" s="907"/>
      <c r="J396" s="907"/>
      <c r="K396" s="907"/>
      <c r="L396" s="907"/>
      <c r="M396" s="907"/>
      <c r="N396" s="907"/>
      <c r="O396" s="907"/>
      <c r="P396" s="907"/>
      <c r="Q396" s="907"/>
      <c r="R396" s="907"/>
      <c r="S396" s="907"/>
      <c r="T396" s="907"/>
      <c r="U396" s="907"/>
      <c r="V396" s="907"/>
      <c r="W396" s="907"/>
      <c r="X396" s="907"/>
      <c r="Y396" s="907"/>
      <c r="Z396" s="907"/>
      <c r="AA396" s="907"/>
      <c r="AB396" s="907"/>
      <c r="AC396" s="907"/>
      <c r="AD396" s="907"/>
      <c r="AE396" s="907"/>
      <c r="AF396" s="907"/>
      <c r="AG396" s="907"/>
      <c r="AH396" s="907"/>
      <c r="AI396" s="907"/>
      <c r="AJ396" s="907"/>
      <c r="AK396" s="907"/>
      <c r="AL396" s="907"/>
    </row>
    <row r="397" spans="1:38">
      <c r="A397" s="907"/>
      <c r="B397" s="907"/>
      <c r="C397" s="907"/>
      <c r="D397" s="907"/>
      <c r="E397" s="907"/>
      <c r="F397" s="907"/>
      <c r="G397" s="907"/>
      <c r="H397" s="907"/>
      <c r="I397" s="907"/>
      <c r="J397" s="907"/>
      <c r="K397" s="907"/>
      <c r="L397" s="907"/>
      <c r="M397" s="907"/>
      <c r="N397" s="907"/>
      <c r="O397" s="907"/>
      <c r="P397" s="907"/>
      <c r="Q397" s="907"/>
      <c r="R397" s="907"/>
      <c r="S397" s="907"/>
      <c r="T397" s="907"/>
      <c r="U397" s="907"/>
      <c r="V397" s="907"/>
      <c r="W397" s="907"/>
      <c r="X397" s="907"/>
      <c r="Y397" s="907"/>
      <c r="Z397" s="907"/>
      <c r="AA397" s="907"/>
      <c r="AB397" s="907"/>
      <c r="AC397" s="907"/>
      <c r="AD397" s="907"/>
      <c r="AE397" s="907"/>
      <c r="AF397" s="907"/>
      <c r="AG397" s="907"/>
      <c r="AH397" s="907"/>
      <c r="AI397" s="907"/>
      <c r="AJ397" s="907"/>
      <c r="AK397" s="907"/>
      <c r="AL397" s="907"/>
    </row>
    <row r="398" spans="1:38">
      <c r="A398" s="907"/>
      <c r="B398" s="907"/>
      <c r="C398" s="907"/>
      <c r="D398" s="907"/>
      <c r="E398" s="907"/>
      <c r="F398" s="907"/>
      <c r="G398" s="907"/>
      <c r="H398" s="907"/>
      <c r="I398" s="907"/>
      <c r="J398" s="907"/>
      <c r="K398" s="907"/>
      <c r="L398" s="907"/>
      <c r="M398" s="907"/>
      <c r="N398" s="907"/>
      <c r="O398" s="907"/>
      <c r="P398" s="907"/>
      <c r="Q398" s="907"/>
      <c r="R398" s="907"/>
      <c r="S398" s="907"/>
      <c r="T398" s="907"/>
      <c r="U398" s="907"/>
      <c r="V398" s="907"/>
      <c r="W398" s="907"/>
      <c r="X398" s="907"/>
      <c r="Y398" s="907"/>
      <c r="Z398" s="907"/>
      <c r="AA398" s="907"/>
      <c r="AB398" s="907"/>
      <c r="AC398" s="907"/>
      <c r="AD398" s="907"/>
      <c r="AE398" s="907"/>
      <c r="AF398" s="907"/>
      <c r="AG398" s="907"/>
      <c r="AH398" s="907"/>
      <c r="AI398" s="907"/>
      <c r="AJ398" s="907"/>
      <c r="AK398" s="907"/>
      <c r="AL398" s="907"/>
    </row>
    <row r="399" spans="1:38">
      <c r="A399" s="907"/>
      <c r="B399" s="907"/>
      <c r="C399" s="907"/>
      <c r="D399" s="907"/>
      <c r="E399" s="907"/>
      <c r="F399" s="907"/>
      <c r="G399" s="907"/>
      <c r="H399" s="907"/>
      <c r="I399" s="907"/>
      <c r="J399" s="907"/>
      <c r="K399" s="907"/>
      <c r="L399" s="907"/>
      <c r="M399" s="907"/>
      <c r="N399" s="907"/>
      <c r="O399" s="907"/>
      <c r="P399" s="907"/>
      <c r="Q399" s="907"/>
      <c r="R399" s="907"/>
      <c r="S399" s="907"/>
      <c r="T399" s="907"/>
      <c r="U399" s="907"/>
      <c r="V399" s="907"/>
      <c r="W399" s="907"/>
      <c r="X399" s="907"/>
      <c r="Y399" s="907"/>
      <c r="Z399" s="907"/>
      <c r="AA399" s="907"/>
      <c r="AB399" s="907"/>
      <c r="AC399" s="907"/>
      <c r="AD399" s="907"/>
      <c r="AE399" s="907"/>
      <c r="AF399" s="907"/>
      <c r="AG399" s="907"/>
      <c r="AH399" s="907"/>
      <c r="AI399" s="907"/>
      <c r="AJ399" s="907"/>
      <c r="AK399" s="907"/>
      <c r="AL399" s="907"/>
    </row>
    <row r="400" spans="1:38">
      <c r="A400" s="907"/>
      <c r="B400" s="907"/>
      <c r="C400" s="907"/>
      <c r="D400" s="907"/>
      <c r="E400" s="907"/>
      <c r="F400" s="907"/>
      <c r="G400" s="907"/>
      <c r="H400" s="907"/>
      <c r="I400" s="907"/>
      <c r="J400" s="907"/>
      <c r="K400" s="907"/>
      <c r="L400" s="907"/>
      <c r="M400" s="907"/>
      <c r="N400" s="907"/>
      <c r="O400" s="907"/>
      <c r="P400" s="907"/>
      <c r="Q400" s="907"/>
      <c r="R400" s="907"/>
      <c r="S400" s="907"/>
      <c r="T400" s="907"/>
      <c r="U400" s="907"/>
      <c r="V400" s="907"/>
      <c r="W400" s="907"/>
      <c r="X400" s="907"/>
      <c r="Y400" s="907"/>
      <c r="Z400" s="907"/>
      <c r="AA400" s="907"/>
      <c r="AB400" s="907"/>
      <c r="AC400" s="907"/>
      <c r="AD400" s="907"/>
      <c r="AE400" s="907"/>
      <c r="AF400" s="907"/>
      <c r="AG400" s="907"/>
      <c r="AH400" s="907"/>
      <c r="AI400" s="907"/>
      <c r="AJ400" s="907"/>
      <c r="AK400" s="907"/>
      <c r="AL400" s="907"/>
    </row>
    <row r="401" spans="1:38">
      <c r="A401" s="907"/>
      <c r="B401" s="907"/>
      <c r="C401" s="907"/>
      <c r="D401" s="907"/>
      <c r="E401" s="907"/>
      <c r="F401" s="907"/>
      <c r="G401" s="907"/>
      <c r="H401" s="907"/>
      <c r="I401" s="907"/>
      <c r="J401" s="907"/>
      <c r="K401" s="907"/>
      <c r="L401" s="907"/>
      <c r="M401" s="907"/>
      <c r="N401" s="907"/>
      <c r="O401" s="907"/>
      <c r="P401" s="907"/>
      <c r="Q401" s="907"/>
      <c r="R401" s="907"/>
      <c r="S401" s="907"/>
      <c r="T401" s="907"/>
      <c r="U401" s="907"/>
      <c r="V401" s="907"/>
      <c r="W401" s="907"/>
      <c r="X401" s="907"/>
      <c r="Y401" s="907"/>
      <c r="Z401" s="907"/>
      <c r="AA401" s="907"/>
      <c r="AB401" s="907"/>
      <c r="AC401" s="907"/>
      <c r="AD401" s="907"/>
      <c r="AE401" s="907"/>
      <c r="AF401" s="907"/>
      <c r="AG401" s="907"/>
      <c r="AH401" s="907"/>
      <c r="AI401" s="907"/>
      <c r="AJ401" s="907"/>
      <c r="AK401" s="907"/>
      <c r="AL401" s="907"/>
    </row>
    <row r="402" spans="1:38">
      <c r="A402" s="907"/>
      <c r="B402" s="907"/>
      <c r="C402" s="907"/>
      <c r="D402" s="907"/>
      <c r="E402" s="907"/>
      <c r="F402" s="907"/>
      <c r="G402" s="907"/>
      <c r="H402" s="907"/>
      <c r="I402" s="907"/>
      <c r="J402" s="907"/>
      <c r="K402" s="907"/>
      <c r="L402" s="907"/>
      <c r="M402" s="907"/>
      <c r="N402" s="907"/>
      <c r="O402" s="907"/>
      <c r="P402" s="907"/>
      <c r="Q402" s="907"/>
      <c r="R402" s="907"/>
      <c r="S402" s="907"/>
      <c r="T402" s="907"/>
      <c r="U402" s="907"/>
      <c r="V402" s="907"/>
      <c r="W402" s="907"/>
      <c r="X402" s="907"/>
      <c r="Y402" s="907"/>
      <c r="Z402" s="907"/>
      <c r="AA402" s="907"/>
      <c r="AB402" s="907"/>
      <c r="AC402" s="907"/>
      <c r="AD402" s="907"/>
      <c r="AE402" s="907"/>
      <c r="AF402" s="907"/>
      <c r="AG402" s="907"/>
      <c r="AH402" s="907"/>
      <c r="AI402" s="907"/>
      <c r="AJ402" s="907"/>
      <c r="AK402" s="907"/>
      <c r="AL402" s="907"/>
    </row>
    <row r="403" spans="1:38">
      <c r="A403" s="907"/>
      <c r="B403" s="907"/>
      <c r="C403" s="907"/>
      <c r="D403" s="907"/>
      <c r="E403" s="907"/>
      <c r="F403" s="907"/>
      <c r="G403" s="907"/>
      <c r="H403" s="907"/>
      <c r="I403" s="907"/>
      <c r="J403" s="907"/>
      <c r="K403" s="907"/>
      <c r="L403" s="907"/>
      <c r="M403" s="907"/>
      <c r="N403" s="907"/>
      <c r="O403" s="907"/>
      <c r="P403" s="907"/>
      <c r="Q403" s="907"/>
      <c r="R403" s="907"/>
      <c r="S403" s="907"/>
      <c r="T403" s="907"/>
      <c r="U403" s="907"/>
      <c r="V403" s="907"/>
      <c r="W403" s="907"/>
      <c r="X403" s="907"/>
      <c r="Y403" s="907"/>
      <c r="Z403" s="907"/>
      <c r="AA403" s="907"/>
      <c r="AB403" s="907"/>
      <c r="AC403" s="907"/>
      <c r="AD403" s="907"/>
      <c r="AE403" s="907"/>
      <c r="AF403" s="907"/>
      <c r="AG403" s="907"/>
      <c r="AH403" s="907"/>
      <c r="AI403" s="907"/>
      <c r="AJ403" s="907"/>
      <c r="AK403" s="907"/>
      <c r="AL403" s="907"/>
    </row>
    <row r="404" spans="1:38">
      <c r="A404" s="907"/>
      <c r="B404" s="907"/>
      <c r="C404" s="907"/>
      <c r="D404" s="907"/>
      <c r="E404" s="907"/>
      <c r="F404" s="907"/>
      <c r="G404" s="907"/>
      <c r="H404" s="907"/>
      <c r="I404" s="907"/>
      <c r="J404" s="907"/>
      <c r="K404" s="907"/>
      <c r="L404" s="907"/>
      <c r="M404" s="907"/>
      <c r="N404" s="907"/>
      <c r="O404" s="907"/>
      <c r="P404" s="907"/>
      <c r="Q404" s="907"/>
      <c r="R404" s="907"/>
      <c r="S404" s="907"/>
      <c r="T404" s="907"/>
      <c r="U404" s="907"/>
      <c r="V404" s="907"/>
      <c r="W404" s="907"/>
      <c r="X404" s="907"/>
      <c r="Y404" s="907"/>
      <c r="Z404" s="907"/>
      <c r="AA404" s="907"/>
      <c r="AB404" s="907"/>
      <c r="AC404" s="907"/>
      <c r="AD404" s="907"/>
      <c r="AE404" s="907"/>
      <c r="AF404" s="907"/>
      <c r="AG404" s="907"/>
      <c r="AH404" s="907"/>
      <c r="AI404" s="907"/>
      <c r="AJ404" s="907"/>
      <c r="AK404" s="907"/>
      <c r="AL404" s="907"/>
    </row>
    <row r="405" spans="1:38">
      <c r="A405" s="907"/>
      <c r="B405" s="907"/>
      <c r="C405" s="907"/>
      <c r="D405" s="907"/>
      <c r="E405" s="907"/>
      <c r="F405" s="907"/>
      <c r="G405" s="907"/>
      <c r="H405" s="907"/>
      <c r="I405" s="907"/>
      <c r="J405" s="907"/>
      <c r="K405" s="907"/>
      <c r="L405" s="907"/>
      <c r="M405" s="907"/>
      <c r="N405" s="907"/>
      <c r="O405" s="907"/>
      <c r="P405" s="907"/>
      <c r="Q405" s="907"/>
      <c r="R405" s="907"/>
      <c r="S405" s="907"/>
      <c r="T405" s="907"/>
      <c r="U405" s="907"/>
      <c r="V405" s="907"/>
      <c r="W405" s="907"/>
      <c r="X405" s="907"/>
      <c r="Y405" s="907"/>
      <c r="Z405" s="907"/>
      <c r="AA405" s="907"/>
      <c r="AB405" s="907"/>
      <c r="AC405" s="907"/>
      <c r="AD405" s="907"/>
      <c r="AE405" s="907"/>
      <c r="AF405" s="907"/>
      <c r="AG405" s="907"/>
      <c r="AH405" s="907"/>
      <c r="AI405" s="907"/>
      <c r="AJ405" s="907"/>
      <c r="AK405" s="907"/>
      <c r="AL405" s="907"/>
    </row>
    <row r="406" spans="1:38">
      <c r="A406" s="907"/>
      <c r="B406" s="907"/>
      <c r="C406" s="907"/>
      <c r="D406" s="907"/>
      <c r="E406" s="907"/>
      <c r="F406" s="907"/>
      <c r="G406" s="907"/>
      <c r="H406" s="907"/>
      <c r="I406" s="907"/>
      <c r="J406" s="907"/>
      <c r="K406" s="907"/>
      <c r="L406" s="907"/>
      <c r="M406" s="907"/>
      <c r="N406" s="907"/>
      <c r="O406" s="907"/>
      <c r="P406" s="907"/>
      <c r="Q406" s="907"/>
      <c r="R406" s="907"/>
      <c r="S406" s="907"/>
      <c r="T406" s="907"/>
      <c r="U406" s="907"/>
      <c r="V406" s="907"/>
      <c r="W406" s="907"/>
      <c r="X406" s="907"/>
      <c r="Y406" s="907"/>
      <c r="Z406" s="907"/>
      <c r="AA406" s="907"/>
      <c r="AB406" s="907"/>
      <c r="AC406" s="907"/>
      <c r="AD406" s="907"/>
      <c r="AE406" s="907"/>
      <c r="AF406" s="907"/>
      <c r="AG406" s="907"/>
      <c r="AH406" s="907"/>
      <c r="AI406" s="907"/>
      <c r="AJ406" s="907"/>
      <c r="AK406" s="907"/>
      <c r="AL406" s="907"/>
    </row>
    <row r="407" spans="1:38">
      <c r="A407" s="907"/>
      <c r="B407" s="907"/>
      <c r="C407" s="907"/>
      <c r="D407" s="907"/>
      <c r="E407" s="907"/>
      <c r="F407" s="907"/>
      <c r="G407" s="907"/>
      <c r="H407" s="907"/>
      <c r="I407" s="907"/>
      <c r="J407" s="907"/>
      <c r="K407" s="907"/>
      <c r="L407" s="907"/>
      <c r="M407" s="907"/>
      <c r="N407" s="907"/>
      <c r="O407" s="907"/>
      <c r="P407" s="907"/>
      <c r="Q407" s="907"/>
      <c r="R407" s="907"/>
      <c r="S407" s="907"/>
      <c r="T407" s="907"/>
      <c r="U407" s="907"/>
      <c r="V407" s="907"/>
      <c r="W407" s="907"/>
      <c r="X407" s="907"/>
      <c r="Y407" s="907"/>
      <c r="Z407" s="907"/>
      <c r="AA407" s="907"/>
      <c r="AB407" s="907"/>
      <c r="AC407" s="907"/>
      <c r="AD407" s="907"/>
      <c r="AE407" s="907"/>
      <c r="AF407" s="907"/>
      <c r="AG407" s="907"/>
      <c r="AH407" s="907"/>
      <c r="AI407" s="907"/>
      <c r="AJ407" s="907"/>
      <c r="AK407" s="907"/>
      <c r="AL407" s="907"/>
    </row>
    <row r="408" spans="1:38">
      <c r="A408" s="907"/>
      <c r="B408" s="907"/>
      <c r="C408" s="907"/>
      <c r="D408" s="907"/>
      <c r="E408" s="907"/>
      <c r="F408" s="907"/>
      <c r="G408" s="907"/>
      <c r="H408" s="907"/>
      <c r="I408" s="907"/>
      <c r="J408" s="907"/>
      <c r="K408" s="907"/>
      <c r="L408" s="907"/>
      <c r="M408" s="907"/>
      <c r="N408" s="907"/>
      <c r="O408" s="907"/>
      <c r="P408" s="907"/>
      <c r="Q408" s="907"/>
      <c r="R408" s="907"/>
      <c r="S408" s="907"/>
      <c r="T408" s="907"/>
      <c r="U408" s="907"/>
      <c r="V408" s="907"/>
      <c r="W408" s="907"/>
      <c r="X408" s="907"/>
      <c r="Y408" s="907"/>
      <c r="Z408" s="907"/>
      <c r="AA408" s="907"/>
      <c r="AB408" s="907"/>
      <c r="AC408" s="907"/>
      <c r="AD408" s="907"/>
      <c r="AE408" s="907"/>
      <c r="AF408" s="907"/>
      <c r="AG408" s="907"/>
      <c r="AH408" s="907"/>
      <c r="AI408" s="907"/>
      <c r="AJ408" s="907"/>
      <c r="AK408" s="907"/>
      <c r="AL408" s="907"/>
    </row>
    <row r="409" spans="1:38">
      <c r="A409" s="907"/>
      <c r="B409" s="907"/>
      <c r="C409" s="907"/>
      <c r="D409" s="907"/>
      <c r="E409" s="907"/>
      <c r="F409" s="907"/>
      <c r="G409" s="907"/>
      <c r="H409" s="907"/>
      <c r="I409" s="907"/>
      <c r="J409" s="907"/>
      <c r="K409" s="907"/>
      <c r="L409" s="907"/>
      <c r="M409" s="907"/>
      <c r="N409" s="907"/>
      <c r="O409" s="907"/>
      <c r="P409" s="907"/>
      <c r="Q409" s="907"/>
      <c r="R409" s="907"/>
      <c r="S409" s="907"/>
      <c r="T409" s="907"/>
      <c r="U409" s="907"/>
      <c r="V409" s="907"/>
      <c r="W409" s="907"/>
      <c r="X409" s="907"/>
      <c r="Y409" s="907"/>
      <c r="Z409" s="907"/>
      <c r="AA409" s="907"/>
      <c r="AB409" s="907"/>
      <c r="AC409" s="907"/>
      <c r="AD409" s="907"/>
      <c r="AE409" s="907"/>
      <c r="AF409" s="907"/>
      <c r="AG409" s="907"/>
      <c r="AH409" s="907"/>
      <c r="AI409" s="907"/>
      <c r="AJ409" s="907"/>
      <c r="AK409" s="907"/>
      <c r="AL409" s="907"/>
    </row>
    <row r="410" spans="1:38">
      <c r="A410" s="907"/>
      <c r="B410" s="907"/>
      <c r="C410" s="907"/>
      <c r="D410" s="907"/>
      <c r="E410" s="907"/>
      <c r="F410" s="907"/>
      <c r="G410" s="907"/>
      <c r="H410" s="907"/>
      <c r="I410" s="907"/>
      <c r="J410" s="907"/>
      <c r="K410" s="907"/>
      <c r="L410" s="907"/>
      <c r="M410" s="907"/>
      <c r="N410" s="907"/>
      <c r="O410" s="907"/>
      <c r="P410" s="907"/>
      <c r="Q410" s="907"/>
      <c r="R410" s="907"/>
      <c r="S410" s="907"/>
      <c r="T410" s="907"/>
      <c r="U410" s="907"/>
      <c r="V410" s="907"/>
      <c r="W410" s="907"/>
      <c r="X410" s="907"/>
      <c r="Y410" s="907"/>
      <c r="Z410" s="907"/>
      <c r="AA410" s="907"/>
      <c r="AB410" s="907"/>
      <c r="AC410" s="907"/>
      <c r="AD410" s="907"/>
      <c r="AE410" s="907"/>
      <c r="AF410" s="907"/>
      <c r="AG410" s="907"/>
      <c r="AH410" s="907"/>
      <c r="AI410" s="907"/>
      <c r="AJ410" s="907"/>
      <c r="AK410" s="907"/>
      <c r="AL410" s="907"/>
    </row>
    <row r="411" spans="1:38">
      <c r="A411" s="907"/>
      <c r="B411" s="907"/>
      <c r="C411" s="907"/>
      <c r="D411" s="907"/>
      <c r="E411" s="907"/>
      <c r="F411" s="907"/>
      <c r="G411" s="907"/>
      <c r="H411" s="907"/>
      <c r="I411" s="907"/>
      <c r="J411" s="907"/>
      <c r="K411" s="907"/>
      <c r="L411" s="907"/>
      <c r="M411" s="907"/>
      <c r="N411" s="907"/>
      <c r="O411" s="907"/>
      <c r="P411" s="907"/>
      <c r="Q411" s="907"/>
      <c r="R411" s="907"/>
      <c r="S411" s="907"/>
      <c r="T411" s="907"/>
      <c r="U411" s="907"/>
      <c r="V411" s="907"/>
      <c r="W411" s="907"/>
      <c r="X411" s="907"/>
      <c r="Y411" s="907"/>
      <c r="Z411" s="907"/>
      <c r="AA411" s="907"/>
      <c r="AB411" s="907"/>
      <c r="AC411" s="907"/>
      <c r="AD411" s="907"/>
      <c r="AE411" s="907"/>
      <c r="AF411" s="907"/>
      <c r="AG411" s="907"/>
      <c r="AH411" s="907"/>
      <c r="AI411" s="907"/>
      <c r="AJ411" s="907"/>
      <c r="AK411" s="907"/>
      <c r="AL411" s="907"/>
    </row>
    <row r="412" spans="1:38">
      <c r="A412" s="907"/>
      <c r="B412" s="907"/>
      <c r="C412" s="907"/>
      <c r="D412" s="907"/>
      <c r="E412" s="907"/>
      <c r="F412" s="907"/>
      <c r="G412" s="907"/>
      <c r="H412" s="907"/>
      <c r="I412" s="907"/>
      <c r="J412" s="907"/>
      <c r="K412" s="907"/>
      <c r="L412" s="907"/>
      <c r="M412" s="907"/>
      <c r="N412" s="907"/>
      <c r="O412" s="907"/>
      <c r="P412" s="907"/>
      <c r="Q412" s="907"/>
      <c r="R412" s="907"/>
      <c r="S412" s="907"/>
      <c r="T412" s="907"/>
      <c r="U412" s="907"/>
      <c r="V412" s="907"/>
      <c r="W412" s="907"/>
      <c r="X412" s="907"/>
      <c r="Y412" s="907"/>
      <c r="Z412" s="907"/>
      <c r="AA412" s="907"/>
      <c r="AB412" s="907"/>
      <c r="AC412" s="907"/>
      <c r="AD412" s="907"/>
      <c r="AE412" s="907"/>
      <c r="AF412" s="907"/>
      <c r="AG412" s="907"/>
      <c r="AH412" s="907"/>
      <c r="AI412" s="907"/>
      <c r="AJ412" s="907"/>
      <c r="AK412" s="907"/>
      <c r="AL412" s="907"/>
    </row>
    <row r="413" spans="1:38">
      <c r="A413" s="907"/>
      <c r="B413" s="907"/>
      <c r="C413" s="907"/>
      <c r="D413" s="907"/>
      <c r="E413" s="907"/>
      <c r="F413" s="907"/>
      <c r="G413" s="907"/>
      <c r="H413" s="907"/>
      <c r="I413" s="907"/>
      <c r="J413" s="907"/>
      <c r="K413" s="907"/>
      <c r="L413" s="907"/>
      <c r="M413" s="907"/>
      <c r="N413" s="907"/>
      <c r="O413" s="907"/>
      <c r="P413" s="907"/>
      <c r="Q413" s="907"/>
      <c r="R413" s="907"/>
      <c r="S413" s="907"/>
      <c r="T413" s="907"/>
      <c r="U413" s="907"/>
      <c r="V413" s="907"/>
      <c r="W413" s="907"/>
      <c r="X413" s="907"/>
      <c r="Y413" s="907"/>
      <c r="Z413" s="907"/>
      <c r="AA413" s="907"/>
      <c r="AB413" s="907"/>
      <c r="AC413" s="907"/>
      <c r="AD413" s="907"/>
      <c r="AE413" s="907"/>
      <c r="AF413" s="907"/>
      <c r="AG413" s="907"/>
      <c r="AH413" s="907"/>
      <c r="AI413" s="907"/>
      <c r="AJ413" s="907"/>
      <c r="AK413" s="907"/>
      <c r="AL413" s="907"/>
    </row>
    <row r="414" spans="1:38">
      <c r="A414" s="907"/>
      <c r="B414" s="907"/>
      <c r="C414" s="907"/>
      <c r="D414" s="907"/>
      <c r="E414" s="907"/>
      <c r="F414" s="907"/>
      <c r="G414" s="907"/>
      <c r="H414" s="907"/>
      <c r="I414" s="907"/>
      <c r="J414" s="907"/>
      <c r="K414" s="907"/>
      <c r="L414" s="907"/>
      <c r="M414" s="907"/>
      <c r="N414" s="907"/>
      <c r="O414" s="907"/>
      <c r="P414" s="907"/>
      <c r="Q414" s="907"/>
      <c r="R414" s="907"/>
      <c r="S414" s="907"/>
      <c r="T414" s="907"/>
      <c r="U414" s="907"/>
      <c r="V414" s="907"/>
      <c r="W414" s="907"/>
      <c r="X414" s="907"/>
      <c r="Y414" s="907"/>
      <c r="Z414" s="907"/>
      <c r="AA414" s="907"/>
      <c r="AB414" s="907"/>
      <c r="AC414" s="907"/>
      <c r="AD414" s="907"/>
      <c r="AE414" s="907"/>
      <c r="AF414" s="907"/>
      <c r="AG414" s="907"/>
      <c r="AH414" s="907"/>
      <c r="AI414" s="907"/>
      <c r="AJ414" s="907"/>
      <c r="AK414" s="907"/>
      <c r="AL414" s="907"/>
    </row>
    <row r="415" spans="1:38">
      <c r="A415" s="907"/>
      <c r="B415" s="907"/>
      <c r="C415" s="907"/>
      <c r="D415" s="907"/>
      <c r="E415" s="907"/>
      <c r="F415" s="907"/>
      <c r="G415" s="907"/>
      <c r="H415" s="907"/>
      <c r="I415" s="907"/>
      <c r="J415" s="907"/>
      <c r="K415" s="907"/>
      <c r="L415" s="907"/>
      <c r="M415" s="907"/>
      <c r="N415" s="907"/>
      <c r="O415" s="907"/>
      <c r="P415" s="907"/>
      <c r="Q415" s="907"/>
      <c r="R415" s="907"/>
      <c r="S415" s="907"/>
      <c r="T415" s="907"/>
      <c r="U415" s="907"/>
      <c r="V415" s="907"/>
      <c r="W415" s="907"/>
      <c r="X415" s="907"/>
      <c r="Y415" s="907"/>
      <c r="Z415" s="907"/>
      <c r="AA415" s="907"/>
      <c r="AB415" s="907"/>
      <c r="AC415" s="907"/>
      <c r="AD415" s="907"/>
      <c r="AE415" s="907"/>
      <c r="AF415" s="907"/>
      <c r="AG415" s="907"/>
      <c r="AH415" s="907"/>
      <c r="AI415" s="907"/>
      <c r="AJ415" s="907"/>
      <c r="AK415" s="907"/>
      <c r="AL415" s="907"/>
    </row>
    <row r="416" spans="1:38">
      <c r="A416" s="907"/>
      <c r="B416" s="907"/>
      <c r="C416" s="907"/>
      <c r="D416" s="907"/>
      <c r="E416" s="907"/>
      <c r="F416" s="907"/>
      <c r="G416" s="907"/>
      <c r="H416" s="907"/>
      <c r="I416" s="907"/>
      <c r="J416" s="907"/>
      <c r="K416" s="907"/>
      <c r="L416" s="907"/>
      <c r="M416" s="907"/>
      <c r="N416" s="907"/>
      <c r="O416" s="907"/>
      <c r="P416" s="907"/>
      <c r="Q416" s="907"/>
      <c r="R416" s="907"/>
      <c r="S416" s="907"/>
      <c r="T416" s="907"/>
      <c r="U416" s="907"/>
      <c r="V416" s="907"/>
      <c r="W416" s="907"/>
      <c r="X416" s="907"/>
      <c r="Y416" s="907"/>
      <c r="Z416" s="907"/>
      <c r="AA416" s="907"/>
      <c r="AB416" s="907"/>
      <c r="AC416" s="907"/>
      <c r="AD416" s="907"/>
      <c r="AE416" s="907"/>
      <c r="AF416" s="907"/>
      <c r="AG416" s="907"/>
      <c r="AH416" s="907"/>
      <c r="AI416" s="907"/>
      <c r="AJ416" s="907"/>
      <c r="AK416" s="907"/>
      <c r="AL416" s="907"/>
    </row>
    <row r="417" spans="1:38">
      <c r="A417" s="907"/>
      <c r="B417" s="907"/>
      <c r="C417" s="907"/>
      <c r="D417" s="907"/>
      <c r="E417" s="907"/>
      <c r="F417" s="907"/>
      <c r="G417" s="907"/>
      <c r="H417" s="907"/>
      <c r="I417" s="907"/>
      <c r="J417" s="907"/>
      <c r="K417" s="907"/>
      <c r="L417" s="907"/>
      <c r="M417" s="907"/>
      <c r="N417" s="907"/>
      <c r="O417" s="907"/>
      <c r="P417" s="907"/>
      <c r="Q417" s="907"/>
      <c r="R417" s="907"/>
      <c r="S417" s="907"/>
      <c r="T417" s="907"/>
      <c r="U417" s="907"/>
      <c r="V417" s="907"/>
      <c r="W417" s="907"/>
      <c r="X417" s="907"/>
      <c r="Y417" s="907"/>
      <c r="Z417" s="907"/>
      <c r="AA417" s="907"/>
      <c r="AB417" s="907"/>
      <c r="AC417" s="907"/>
      <c r="AD417" s="907"/>
      <c r="AE417" s="907"/>
      <c r="AF417" s="907"/>
      <c r="AG417" s="907"/>
      <c r="AH417" s="907"/>
      <c r="AI417" s="907"/>
      <c r="AJ417" s="907"/>
      <c r="AK417" s="907"/>
      <c r="AL417" s="907"/>
    </row>
    <row r="418" spans="1:38">
      <c r="A418" s="907"/>
      <c r="B418" s="907"/>
      <c r="C418" s="907"/>
      <c r="D418" s="907"/>
      <c r="E418" s="907"/>
      <c r="F418" s="907"/>
      <c r="G418" s="907"/>
      <c r="H418" s="907"/>
      <c r="I418" s="907"/>
      <c r="J418" s="907"/>
      <c r="K418" s="907"/>
      <c r="L418" s="907"/>
      <c r="M418" s="907"/>
      <c r="N418" s="907"/>
      <c r="O418" s="907"/>
      <c r="P418" s="907"/>
      <c r="Q418" s="907"/>
      <c r="R418" s="907"/>
      <c r="S418" s="907"/>
      <c r="T418" s="907"/>
      <c r="U418" s="907"/>
      <c r="V418" s="907"/>
      <c r="W418" s="907"/>
      <c r="X418" s="907"/>
      <c r="Y418" s="907"/>
      <c r="Z418" s="907"/>
      <c r="AA418" s="907"/>
      <c r="AB418" s="907"/>
      <c r="AC418" s="907"/>
      <c r="AD418" s="907"/>
      <c r="AE418" s="907"/>
      <c r="AF418" s="907"/>
      <c r="AG418" s="907"/>
      <c r="AH418" s="907"/>
      <c r="AI418" s="907"/>
      <c r="AJ418" s="907"/>
      <c r="AK418" s="907"/>
      <c r="AL418" s="907"/>
    </row>
    <row r="419" spans="1:38">
      <c r="A419" s="907"/>
      <c r="B419" s="907"/>
      <c r="C419" s="907"/>
      <c r="D419" s="907"/>
      <c r="E419" s="907"/>
      <c r="F419" s="907"/>
      <c r="G419" s="907"/>
      <c r="H419" s="907"/>
      <c r="I419" s="907"/>
      <c r="J419" s="907"/>
      <c r="K419" s="907"/>
      <c r="L419" s="907"/>
      <c r="M419" s="907"/>
      <c r="N419" s="907"/>
      <c r="O419" s="907"/>
      <c r="P419" s="907"/>
      <c r="Q419" s="907"/>
      <c r="R419" s="907"/>
      <c r="S419" s="907"/>
      <c r="T419" s="907"/>
      <c r="U419" s="907"/>
      <c r="V419" s="907"/>
      <c r="W419" s="907"/>
      <c r="X419" s="907"/>
      <c r="Y419" s="907"/>
      <c r="Z419" s="907"/>
      <c r="AA419" s="907"/>
      <c r="AB419" s="907"/>
      <c r="AC419" s="907"/>
      <c r="AD419" s="907"/>
      <c r="AE419" s="907"/>
      <c r="AF419" s="907"/>
      <c r="AG419" s="907"/>
      <c r="AH419" s="907"/>
      <c r="AI419" s="907"/>
      <c r="AJ419" s="907"/>
      <c r="AK419" s="907"/>
      <c r="AL419" s="907"/>
    </row>
    <row r="420" spans="1:38">
      <c r="A420" s="907"/>
      <c r="B420" s="907"/>
      <c r="C420" s="907"/>
      <c r="D420" s="907"/>
      <c r="E420" s="907"/>
      <c r="F420" s="907"/>
      <c r="G420" s="907"/>
      <c r="H420" s="907"/>
      <c r="I420" s="907"/>
      <c r="J420" s="907"/>
      <c r="K420" s="907"/>
      <c r="L420" s="907"/>
      <c r="M420" s="907"/>
      <c r="N420" s="907"/>
      <c r="O420" s="907"/>
      <c r="P420" s="907"/>
      <c r="Q420" s="907"/>
      <c r="R420" s="907"/>
      <c r="S420" s="907"/>
      <c r="T420" s="907"/>
      <c r="U420" s="907"/>
      <c r="V420" s="907"/>
      <c r="W420" s="907"/>
      <c r="X420" s="907"/>
      <c r="Y420" s="907"/>
      <c r="Z420" s="907"/>
      <c r="AA420" s="907"/>
      <c r="AB420" s="907"/>
      <c r="AC420" s="907"/>
      <c r="AD420" s="907"/>
      <c r="AE420" s="907"/>
      <c r="AF420" s="907"/>
      <c r="AG420" s="907"/>
      <c r="AH420" s="907"/>
      <c r="AI420" s="907"/>
      <c r="AJ420" s="907"/>
      <c r="AK420" s="907"/>
      <c r="AL420" s="907"/>
    </row>
    <row r="421" spans="1:38">
      <c r="A421" s="907"/>
      <c r="B421" s="907"/>
      <c r="C421" s="907"/>
      <c r="D421" s="907"/>
      <c r="E421" s="907"/>
      <c r="F421" s="907"/>
      <c r="G421" s="907"/>
      <c r="H421" s="907"/>
      <c r="I421" s="907"/>
      <c r="J421" s="907"/>
      <c r="K421" s="907"/>
      <c r="L421" s="907"/>
      <c r="M421" s="907"/>
      <c r="N421" s="907"/>
      <c r="O421" s="907"/>
      <c r="P421" s="907"/>
      <c r="Q421" s="907"/>
      <c r="R421" s="907"/>
      <c r="S421" s="907"/>
      <c r="T421" s="907"/>
      <c r="U421" s="907"/>
      <c r="V421" s="907"/>
      <c r="W421" s="907"/>
      <c r="X421" s="907"/>
      <c r="Y421" s="907"/>
      <c r="Z421" s="907"/>
      <c r="AA421" s="907"/>
      <c r="AB421" s="907"/>
      <c r="AC421" s="907"/>
      <c r="AD421" s="907"/>
      <c r="AE421" s="907"/>
      <c r="AF421" s="907"/>
      <c r="AG421" s="907"/>
      <c r="AH421" s="907"/>
      <c r="AI421" s="907"/>
      <c r="AJ421" s="907"/>
      <c r="AK421" s="907"/>
      <c r="AL421" s="907"/>
    </row>
    <row r="422" spans="1:38">
      <c r="A422" s="907"/>
      <c r="B422" s="907"/>
      <c r="C422" s="907"/>
      <c r="D422" s="907"/>
      <c r="E422" s="907"/>
      <c r="F422" s="907"/>
      <c r="G422" s="907"/>
      <c r="H422" s="907"/>
      <c r="I422" s="907"/>
      <c r="J422" s="907"/>
      <c r="K422" s="907"/>
      <c r="L422" s="907"/>
      <c r="M422" s="907"/>
      <c r="N422" s="907"/>
      <c r="O422" s="907"/>
      <c r="P422" s="907"/>
      <c r="Q422" s="907"/>
      <c r="R422" s="907"/>
      <c r="S422" s="907"/>
      <c r="T422" s="907"/>
      <c r="U422" s="907"/>
      <c r="V422" s="907"/>
      <c r="W422" s="907"/>
      <c r="X422" s="907"/>
      <c r="Y422" s="907"/>
      <c r="Z422" s="907"/>
      <c r="AA422" s="907"/>
      <c r="AB422" s="907"/>
      <c r="AC422" s="907"/>
      <c r="AD422" s="907"/>
      <c r="AE422" s="907"/>
      <c r="AF422" s="907"/>
      <c r="AG422" s="907"/>
      <c r="AH422" s="907"/>
      <c r="AI422" s="907"/>
      <c r="AJ422" s="907"/>
      <c r="AK422" s="907"/>
      <c r="AL422" s="907"/>
    </row>
    <row r="423" spans="1:38">
      <c r="A423" s="907"/>
      <c r="B423" s="907"/>
      <c r="C423" s="907"/>
      <c r="D423" s="907"/>
      <c r="E423" s="907"/>
      <c r="F423" s="907"/>
      <c r="G423" s="907"/>
      <c r="H423" s="907"/>
      <c r="I423" s="907"/>
      <c r="J423" s="907"/>
      <c r="K423" s="907"/>
      <c r="L423" s="907"/>
      <c r="M423" s="907"/>
      <c r="N423" s="907"/>
      <c r="O423" s="907"/>
      <c r="P423" s="907"/>
      <c r="Q423" s="907"/>
      <c r="R423" s="907"/>
      <c r="S423" s="907"/>
      <c r="T423" s="907"/>
      <c r="U423" s="907"/>
      <c r="V423" s="907"/>
      <c r="W423" s="907"/>
      <c r="X423" s="907"/>
      <c r="Y423" s="907"/>
      <c r="Z423" s="907"/>
      <c r="AA423" s="907"/>
      <c r="AB423" s="907"/>
      <c r="AC423" s="907"/>
      <c r="AD423" s="907"/>
      <c r="AE423" s="907"/>
      <c r="AF423" s="907"/>
      <c r="AG423" s="907"/>
      <c r="AH423" s="907"/>
      <c r="AI423" s="907"/>
      <c r="AJ423" s="907"/>
      <c r="AK423" s="907"/>
      <c r="AL423" s="907"/>
    </row>
    <row r="424" spans="1:38">
      <c r="A424" s="907"/>
      <c r="B424" s="907"/>
      <c r="C424" s="907"/>
      <c r="D424" s="907"/>
      <c r="E424" s="907"/>
      <c r="F424" s="907"/>
      <c r="G424" s="907"/>
      <c r="H424" s="907"/>
      <c r="I424" s="907"/>
      <c r="J424" s="907"/>
      <c r="K424" s="907"/>
      <c r="L424" s="907"/>
      <c r="M424" s="907"/>
      <c r="N424" s="907"/>
      <c r="O424" s="907"/>
      <c r="P424" s="907"/>
      <c r="Q424" s="907"/>
      <c r="R424" s="907"/>
      <c r="S424" s="907"/>
      <c r="T424" s="907"/>
      <c r="U424" s="907"/>
      <c r="V424" s="907"/>
      <c r="W424" s="907"/>
      <c r="X424" s="907"/>
      <c r="Y424" s="907"/>
      <c r="Z424" s="907"/>
      <c r="AA424" s="907"/>
      <c r="AB424" s="907"/>
      <c r="AC424" s="907"/>
      <c r="AD424" s="907"/>
      <c r="AE424" s="907"/>
      <c r="AF424" s="907"/>
      <c r="AG424" s="907"/>
      <c r="AH424" s="907"/>
      <c r="AI424" s="907"/>
      <c r="AJ424" s="907"/>
      <c r="AK424" s="907"/>
      <c r="AL424" s="907"/>
    </row>
    <row r="425" spans="1:38">
      <c r="A425" s="907"/>
      <c r="B425" s="907"/>
      <c r="C425" s="907"/>
      <c r="D425" s="907"/>
      <c r="E425" s="907"/>
      <c r="F425" s="907"/>
      <c r="G425" s="907"/>
      <c r="H425" s="907"/>
      <c r="I425" s="907"/>
      <c r="J425" s="907"/>
      <c r="K425" s="907"/>
      <c r="L425" s="907"/>
      <c r="M425" s="907"/>
      <c r="N425" s="907"/>
      <c r="O425" s="907"/>
      <c r="P425" s="907"/>
      <c r="Q425" s="907"/>
      <c r="R425" s="907"/>
      <c r="S425" s="907"/>
      <c r="T425" s="907"/>
      <c r="U425" s="907"/>
      <c r="V425" s="907"/>
      <c r="W425" s="907"/>
      <c r="X425" s="907"/>
      <c r="Y425" s="907"/>
      <c r="Z425" s="907"/>
      <c r="AA425" s="907"/>
      <c r="AB425" s="907"/>
      <c r="AC425" s="907"/>
      <c r="AD425" s="907"/>
      <c r="AE425" s="907"/>
      <c r="AF425" s="907"/>
      <c r="AG425" s="907"/>
      <c r="AH425" s="907"/>
      <c r="AI425" s="907"/>
      <c r="AJ425" s="907"/>
      <c r="AK425" s="907"/>
      <c r="AL425" s="907"/>
    </row>
    <row r="426" spans="1:38">
      <c r="A426" s="907"/>
      <c r="B426" s="907"/>
      <c r="C426" s="907"/>
      <c r="D426" s="907"/>
      <c r="E426" s="907"/>
      <c r="F426" s="907"/>
      <c r="G426" s="907"/>
      <c r="H426" s="907"/>
      <c r="I426" s="907"/>
      <c r="J426" s="907"/>
      <c r="K426" s="907"/>
      <c r="L426" s="907"/>
      <c r="M426" s="907"/>
      <c r="N426" s="907"/>
      <c r="O426" s="907"/>
      <c r="P426" s="907"/>
      <c r="Q426" s="907"/>
      <c r="R426" s="907"/>
      <c r="S426" s="907"/>
      <c r="T426" s="907"/>
      <c r="U426" s="907"/>
      <c r="V426" s="907"/>
      <c r="W426" s="907"/>
      <c r="X426" s="907"/>
      <c r="Y426" s="907"/>
      <c r="Z426" s="907"/>
      <c r="AA426" s="907"/>
      <c r="AB426" s="907"/>
      <c r="AC426" s="907"/>
      <c r="AD426" s="907"/>
      <c r="AE426" s="907"/>
      <c r="AF426" s="907"/>
      <c r="AG426" s="907"/>
      <c r="AH426" s="907"/>
      <c r="AI426" s="907"/>
      <c r="AJ426" s="907"/>
      <c r="AK426" s="907"/>
      <c r="AL426" s="907"/>
    </row>
    <row r="427" spans="1:38">
      <c r="A427" s="907"/>
      <c r="B427" s="907"/>
      <c r="C427" s="907"/>
      <c r="D427" s="907"/>
      <c r="E427" s="907"/>
      <c r="F427" s="907"/>
      <c r="G427" s="907"/>
      <c r="H427" s="907"/>
      <c r="I427" s="907"/>
      <c r="J427" s="907"/>
      <c r="K427" s="907"/>
      <c r="L427" s="907"/>
      <c r="M427" s="907"/>
      <c r="N427" s="907"/>
      <c r="O427" s="907"/>
      <c r="P427" s="907"/>
      <c r="Q427" s="907"/>
      <c r="R427" s="907"/>
      <c r="S427" s="907"/>
      <c r="T427" s="907"/>
      <c r="U427" s="907"/>
      <c r="V427" s="907"/>
      <c r="W427" s="907"/>
      <c r="X427" s="907"/>
      <c r="Y427" s="907"/>
      <c r="Z427" s="907"/>
      <c r="AA427" s="907"/>
      <c r="AB427" s="907"/>
      <c r="AC427" s="907"/>
      <c r="AD427" s="907"/>
      <c r="AE427" s="907"/>
      <c r="AF427" s="907"/>
      <c r="AG427" s="907"/>
      <c r="AH427" s="907"/>
      <c r="AI427" s="907"/>
      <c r="AJ427" s="907"/>
      <c r="AK427" s="907"/>
      <c r="AL427" s="907"/>
    </row>
    <row r="428" spans="1:38">
      <c r="A428" s="907"/>
      <c r="B428" s="907"/>
      <c r="C428" s="907"/>
      <c r="D428" s="907"/>
      <c r="E428" s="907"/>
      <c r="F428" s="907"/>
      <c r="G428" s="907"/>
      <c r="H428" s="907"/>
      <c r="I428" s="907"/>
      <c r="J428" s="907"/>
      <c r="K428" s="907"/>
      <c r="L428" s="907"/>
      <c r="M428" s="907"/>
      <c r="N428" s="907"/>
      <c r="O428" s="907"/>
      <c r="P428" s="907"/>
      <c r="Q428" s="907"/>
      <c r="R428" s="907"/>
      <c r="S428" s="907"/>
      <c r="T428" s="907"/>
      <c r="U428" s="907"/>
      <c r="V428" s="907"/>
      <c r="W428" s="907"/>
      <c r="X428" s="907"/>
      <c r="Y428" s="907"/>
      <c r="Z428" s="907"/>
      <c r="AA428" s="907"/>
      <c r="AB428" s="907"/>
      <c r="AC428" s="907"/>
      <c r="AD428" s="907"/>
      <c r="AE428" s="907"/>
      <c r="AF428" s="907"/>
      <c r="AG428" s="907"/>
      <c r="AH428" s="907"/>
      <c r="AI428" s="907"/>
      <c r="AJ428" s="907"/>
      <c r="AK428" s="907"/>
      <c r="AL428" s="907"/>
    </row>
    <row r="429" spans="1:38">
      <c r="A429" s="907"/>
      <c r="B429" s="907"/>
      <c r="C429" s="907"/>
      <c r="D429" s="907"/>
      <c r="E429" s="907"/>
      <c r="F429" s="907"/>
      <c r="G429" s="907"/>
      <c r="H429" s="907"/>
      <c r="I429" s="907"/>
      <c r="J429" s="907"/>
      <c r="K429" s="907"/>
      <c r="L429" s="907"/>
      <c r="M429" s="907"/>
      <c r="N429" s="907"/>
      <c r="O429" s="907"/>
      <c r="P429" s="907"/>
      <c r="Q429" s="907"/>
      <c r="R429" s="907"/>
      <c r="S429" s="907"/>
      <c r="T429" s="907"/>
      <c r="U429" s="907"/>
      <c r="V429" s="907"/>
      <c r="W429" s="907"/>
      <c r="X429" s="907"/>
      <c r="Y429" s="907"/>
      <c r="Z429" s="907"/>
      <c r="AA429" s="907"/>
      <c r="AB429" s="907"/>
      <c r="AC429" s="907"/>
      <c r="AD429" s="907"/>
      <c r="AE429" s="907"/>
      <c r="AF429" s="907"/>
      <c r="AG429" s="907"/>
      <c r="AH429" s="907"/>
      <c r="AI429" s="907"/>
      <c r="AJ429" s="907"/>
      <c r="AK429" s="907"/>
      <c r="AL429" s="907"/>
    </row>
    <row r="430" spans="1:38">
      <c r="A430" s="907"/>
      <c r="B430" s="907"/>
      <c r="C430" s="907"/>
      <c r="D430" s="907"/>
      <c r="E430" s="907"/>
      <c r="F430" s="907"/>
      <c r="G430" s="907"/>
      <c r="H430" s="907"/>
      <c r="I430" s="907"/>
      <c r="J430" s="907"/>
      <c r="K430" s="907"/>
      <c r="L430" s="907"/>
      <c r="M430" s="907"/>
      <c r="N430" s="907"/>
      <c r="O430" s="907"/>
      <c r="P430" s="907"/>
      <c r="Q430" s="907"/>
      <c r="R430" s="907"/>
      <c r="S430" s="907"/>
      <c r="T430" s="907"/>
      <c r="U430" s="907"/>
      <c r="V430" s="907"/>
      <c r="W430" s="907"/>
      <c r="X430" s="907"/>
      <c r="Y430" s="907"/>
      <c r="Z430" s="907"/>
      <c r="AA430" s="907"/>
      <c r="AB430" s="907"/>
      <c r="AC430" s="907"/>
      <c r="AD430" s="907"/>
      <c r="AE430" s="907"/>
      <c r="AF430" s="907"/>
      <c r="AG430" s="907"/>
      <c r="AH430" s="907"/>
      <c r="AI430" s="907"/>
      <c r="AJ430" s="907"/>
      <c r="AK430" s="907"/>
      <c r="AL430" s="907"/>
    </row>
    <row r="431" spans="1:38">
      <c r="A431" s="907"/>
      <c r="B431" s="907"/>
      <c r="C431" s="907"/>
      <c r="D431" s="907"/>
      <c r="E431" s="907"/>
      <c r="F431" s="907"/>
      <c r="G431" s="907"/>
      <c r="H431" s="907"/>
      <c r="I431" s="907"/>
      <c r="J431" s="907"/>
      <c r="K431" s="907"/>
      <c r="L431" s="907"/>
      <c r="M431" s="907"/>
      <c r="N431" s="907"/>
      <c r="O431" s="907"/>
      <c r="P431" s="907"/>
      <c r="Q431" s="907"/>
      <c r="R431" s="907"/>
      <c r="S431" s="907"/>
      <c r="T431" s="907"/>
      <c r="U431" s="907"/>
      <c r="V431" s="907"/>
      <c r="W431" s="907"/>
      <c r="X431" s="907"/>
      <c r="Y431" s="907"/>
      <c r="Z431" s="907"/>
      <c r="AA431" s="907"/>
      <c r="AB431" s="907"/>
      <c r="AC431" s="907"/>
      <c r="AD431" s="907"/>
      <c r="AE431" s="907"/>
      <c r="AF431" s="907"/>
      <c r="AG431" s="907"/>
      <c r="AH431" s="907"/>
      <c r="AI431" s="907"/>
      <c r="AJ431" s="907"/>
      <c r="AK431" s="907"/>
      <c r="AL431" s="907"/>
    </row>
    <row r="432" spans="1:38">
      <c r="A432" s="907"/>
      <c r="B432" s="907"/>
      <c r="C432" s="907"/>
      <c r="D432" s="907"/>
      <c r="E432" s="907"/>
      <c r="F432" s="907"/>
      <c r="G432" s="907"/>
      <c r="H432" s="907"/>
      <c r="I432" s="907"/>
      <c r="J432" s="907"/>
      <c r="K432" s="907"/>
      <c r="L432" s="907"/>
      <c r="M432" s="907"/>
      <c r="N432" s="907"/>
      <c r="O432" s="907"/>
      <c r="P432" s="907"/>
      <c r="Q432" s="907"/>
      <c r="R432" s="907"/>
      <c r="S432" s="907"/>
      <c r="T432" s="907"/>
      <c r="U432" s="907"/>
      <c r="V432" s="907"/>
      <c r="W432" s="907"/>
      <c r="X432" s="907"/>
      <c r="Y432" s="907"/>
      <c r="Z432" s="907"/>
      <c r="AA432" s="907"/>
      <c r="AB432" s="907"/>
      <c r="AC432" s="907"/>
      <c r="AD432" s="907"/>
      <c r="AE432" s="907"/>
      <c r="AF432" s="907"/>
      <c r="AG432" s="907"/>
      <c r="AH432" s="907"/>
      <c r="AI432" s="907"/>
      <c r="AJ432" s="907"/>
      <c r="AK432" s="907"/>
      <c r="AL432" s="907"/>
    </row>
    <row r="433" spans="1:38">
      <c r="A433" s="907"/>
      <c r="B433" s="907"/>
      <c r="C433" s="907"/>
      <c r="D433" s="907"/>
      <c r="E433" s="907"/>
      <c r="F433" s="907"/>
      <c r="G433" s="907"/>
      <c r="H433" s="907"/>
      <c r="I433" s="907"/>
      <c r="J433" s="907"/>
      <c r="K433" s="907"/>
      <c r="L433" s="907"/>
      <c r="M433" s="907"/>
      <c r="N433" s="907"/>
      <c r="O433" s="907"/>
      <c r="P433" s="907"/>
      <c r="Q433" s="907"/>
      <c r="R433" s="907"/>
      <c r="S433" s="907"/>
      <c r="T433" s="907"/>
      <c r="U433" s="907"/>
      <c r="V433" s="907"/>
      <c r="W433" s="907"/>
      <c r="X433" s="907"/>
      <c r="Y433" s="907"/>
      <c r="Z433" s="907"/>
      <c r="AA433" s="907"/>
      <c r="AB433" s="907"/>
      <c r="AC433" s="907"/>
      <c r="AD433" s="907"/>
      <c r="AE433" s="907"/>
      <c r="AF433" s="907"/>
      <c r="AG433" s="907"/>
      <c r="AH433" s="907"/>
      <c r="AI433" s="907"/>
      <c r="AJ433" s="907"/>
      <c r="AK433" s="907"/>
      <c r="AL433" s="907"/>
    </row>
    <row r="434" spans="1:38">
      <c r="A434" s="907"/>
      <c r="B434" s="907"/>
      <c r="C434" s="907"/>
      <c r="D434" s="907"/>
      <c r="E434" s="907"/>
      <c r="F434" s="907"/>
      <c r="G434" s="907"/>
      <c r="H434" s="907"/>
      <c r="I434" s="907"/>
      <c r="J434" s="907"/>
      <c r="K434" s="907"/>
      <c r="L434" s="907"/>
      <c r="M434" s="907"/>
      <c r="N434" s="907"/>
      <c r="O434" s="907"/>
      <c r="P434" s="907"/>
      <c r="Q434" s="907"/>
      <c r="R434" s="907"/>
      <c r="S434" s="907"/>
      <c r="T434" s="907"/>
      <c r="U434" s="907"/>
      <c r="V434" s="907"/>
      <c r="W434" s="907"/>
      <c r="X434" s="907"/>
      <c r="Y434" s="907"/>
      <c r="Z434" s="907"/>
      <c r="AA434" s="907"/>
      <c r="AB434" s="907"/>
      <c r="AC434" s="907"/>
      <c r="AD434" s="907"/>
      <c r="AE434" s="907"/>
      <c r="AF434" s="907"/>
      <c r="AG434" s="907"/>
      <c r="AH434" s="907"/>
      <c r="AI434" s="907"/>
      <c r="AJ434" s="907"/>
      <c r="AK434" s="907"/>
      <c r="AL434" s="907"/>
    </row>
    <row r="435" spans="1:38">
      <c r="A435" s="907"/>
      <c r="B435" s="907"/>
      <c r="C435" s="907"/>
      <c r="D435" s="907"/>
      <c r="E435" s="907"/>
      <c r="F435" s="907"/>
      <c r="G435" s="907"/>
      <c r="H435" s="907"/>
      <c r="I435" s="907"/>
      <c r="J435" s="907"/>
      <c r="K435" s="907"/>
      <c r="L435" s="907"/>
      <c r="M435" s="907"/>
      <c r="N435" s="907"/>
      <c r="O435" s="907"/>
      <c r="P435" s="907"/>
      <c r="Q435" s="907"/>
      <c r="R435" s="907"/>
      <c r="S435" s="907"/>
      <c r="T435" s="907"/>
      <c r="U435" s="907"/>
      <c r="V435" s="907"/>
      <c r="W435" s="907"/>
      <c r="X435" s="907"/>
      <c r="Y435" s="907"/>
      <c r="Z435" s="907"/>
      <c r="AA435" s="907"/>
      <c r="AB435" s="907"/>
      <c r="AC435" s="907"/>
      <c r="AD435" s="907"/>
      <c r="AE435" s="907"/>
      <c r="AF435" s="907"/>
      <c r="AG435" s="907"/>
      <c r="AH435" s="907"/>
      <c r="AI435" s="907"/>
      <c r="AJ435" s="907"/>
      <c r="AK435" s="907"/>
      <c r="AL435" s="907"/>
    </row>
    <row r="436" spans="1:38">
      <c r="A436" s="907"/>
      <c r="B436" s="907"/>
      <c r="C436" s="907"/>
      <c r="D436" s="907"/>
      <c r="E436" s="907"/>
      <c r="F436" s="907"/>
      <c r="G436" s="907"/>
      <c r="H436" s="907"/>
      <c r="I436" s="907"/>
      <c r="J436" s="907"/>
      <c r="K436" s="907"/>
      <c r="L436" s="907"/>
      <c r="M436" s="907"/>
      <c r="N436" s="907"/>
      <c r="O436" s="907"/>
      <c r="P436" s="907"/>
      <c r="Q436" s="907"/>
      <c r="R436" s="907"/>
      <c r="S436" s="907"/>
      <c r="T436" s="907"/>
      <c r="U436" s="907"/>
      <c r="V436" s="907"/>
      <c r="W436" s="907"/>
      <c r="X436" s="907"/>
      <c r="Y436" s="907"/>
      <c r="Z436" s="907"/>
      <c r="AA436" s="907"/>
      <c r="AB436" s="907"/>
      <c r="AC436" s="907"/>
      <c r="AD436" s="907"/>
      <c r="AE436" s="907"/>
      <c r="AF436" s="907"/>
      <c r="AG436" s="907"/>
      <c r="AH436" s="907"/>
      <c r="AI436" s="907"/>
      <c r="AJ436" s="907"/>
      <c r="AK436" s="907"/>
      <c r="AL436" s="907"/>
    </row>
    <row r="437" spans="1:38">
      <c r="A437" s="907"/>
      <c r="B437" s="907"/>
      <c r="C437" s="907"/>
      <c r="D437" s="907"/>
      <c r="E437" s="907"/>
      <c r="F437" s="907"/>
      <c r="G437" s="907"/>
      <c r="H437" s="907"/>
      <c r="I437" s="907"/>
      <c r="J437" s="907"/>
      <c r="K437" s="907"/>
      <c r="L437" s="907"/>
      <c r="M437" s="907"/>
      <c r="N437" s="907"/>
      <c r="O437" s="907"/>
      <c r="P437" s="907"/>
      <c r="Q437" s="907"/>
      <c r="R437" s="907"/>
      <c r="S437" s="907"/>
      <c r="T437" s="907"/>
      <c r="U437" s="907"/>
      <c r="V437" s="907"/>
      <c r="W437" s="907"/>
      <c r="X437" s="907"/>
      <c r="Y437" s="907"/>
      <c r="Z437" s="907"/>
      <c r="AA437" s="907"/>
      <c r="AB437" s="907"/>
      <c r="AC437" s="907"/>
      <c r="AD437" s="907"/>
      <c r="AE437" s="907"/>
      <c r="AF437" s="907"/>
      <c r="AG437" s="907"/>
      <c r="AH437" s="907"/>
      <c r="AI437" s="907"/>
      <c r="AJ437" s="907"/>
      <c r="AK437" s="907"/>
      <c r="AL437" s="907"/>
    </row>
    <row r="438" spans="1:38">
      <c r="A438" s="907"/>
      <c r="B438" s="907"/>
      <c r="C438" s="907"/>
      <c r="D438" s="907"/>
      <c r="E438" s="907"/>
      <c r="F438" s="907"/>
      <c r="G438" s="907"/>
      <c r="H438" s="907"/>
      <c r="I438" s="907"/>
      <c r="J438" s="907"/>
      <c r="K438" s="907"/>
      <c r="L438" s="907"/>
      <c r="M438" s="907"/>
      <c r="N438" s="907"/>
      <c r="O438" s="907"/>
      <c r="P438" s="907"/>
      <c r="Q438" s="907"/>
      <c r="R438" s="907"/>
      <c r="S438" s="907"/>
      <c r="T438" s="907"/>
      <c r="U438" s="907"/>
      <c r="V438" s="907"/>
      <c r="W438" s="907"/>
      <c r="X438" s="907"/>
      <c r="Y438" s="907"/>
      <c r="Z438" s="907"/>
      <c r="AA438" s="907"/>
      <c r="AB438" s="907"/>
      <c r="AC438" s="907"/>
      <c r="AD438" s="907"/>
      <c r="AE438" s="907"/>
      <c r="AF438" s="907"/>
      <c r="AG438" s="907"/>
      <c r="AH438" s="907"/>
      <c r="AI438" s="907"/>
      <c r="AJ438" s="907"/>
      <c r="AK438" s="907"/>
      <c r="AL438" s="907"/>
    </row>
    <row r="439" spans="1:38">
      <c r="A439" s="907"/>
      <c r="B439" s="907"/>
      <c r="C439" s="907"/>
      <c r="D439" s="907"/>
      <c r="E439" s="907"/>
      <c r="F439" s="907"/>
      <c r="G439" s="907"/>
      <c r="H439" s="907"/>
      <c r="I439" s="907"/>
      <c r="J439" s="907"/>
      <c r="K439" s="907"/>
      <c r="L439" s="907"/>
      <c r="M439" s="907"/>
      <c r="N439" s="907"/>
      <c r="O439" s="907"/>
      <c r="P439" s="907"/>
      <c r="Q439" s="907"/>
      <c r="R439" s="907"/>
      <c r="S439" s="907"/>
      <c r="T439" s="907"/>
      <c r="U439" s="907"/>
      <c r="V439" s="907"/>
      <c r="W439" s="907"/>
      <c r="X439" s="907"/>
      <c r="Y439" s="907"/>
      <c r="Z439" s="907"/>
      <c r="AA439" s="907"/>
      <c r="AB439" s="907"/>
      <c r="AC439" s="907"/>
      <c r="AD439" s="907"/>
      <c r="AE439" s="907"/>
      <c r="AF439" s="907"/>
      <c r="AG439" s="907"/>
      <c r="AH439" s="907"/>
      <c r="AI439" s="907"/>
      <c r="AJ439" s="907"/>
      <c r="AK439" s="907"/>
      <c r="AL439" s="907"/>
    </row>
    <row r="440" spans="1:38">
      <c r="A440" s="907"/>
      <c r="B440" s="907"/>
      <c r="C440" s="907"/>
      <c r="D440" s="907"/>
      <c r="E440" s="907"/>
      <c r="F440" s="907"/>
      <c r="G440" s="907"/>
      <c r="H440" s="907"/>
      <c r="I440" s="907"/>
      <c r="J440" s="907"/>
      <c r="K440" s="907"/>
      <c r="L440" s="907"/>
      <c r="M440" s="907"/>
      <c r="N440" s="907"/>
      <c r="O440" s="907"/>
      <c r="P440" s="907"/>
      <c r="Q440" s="907"/>
      <c r="R440" s="907"/>
      <c r="S440" s="907"/>
      <c r="T440" s="907"/>
      <c r="U440" s="907"/>
      <c r="V440" s="907"/>
      <c r="W440" s="907"/>
      <c r="X440" s="907"/>
      <c r="Y440" s="907"/>
      <c r="Z440" s="907"/>
      <c r="AA440" s="907"/>
      <c r="AB440" s="907"/>
      <c r="AC440" s="907"/>
      <c r="AD440" s="907"/>
      <c r="AE440" s="907"/>
      <c r="AF440" s="907"/>
      <c r="AG440" s="907"/>
      <c r="AH440" s="907"/>
      <c r="AI440" s="907"/>
      <c r="AJ440" s="907"/>
      <c r="AK440" s="907"/>
      <c r="AL440" s="907"/>
    </row>
    <row r="441" spans="1:38">
      <c r="A441" s="907"/>
      <c r="B441" s="907"/>
      <c r="C441" s="907"/>
      <c r="D441" s="907"/>
      <c r="E441" s="907"/>
      <c r="F441" s="907"/>
      <c r="G441" s="907"/>
      <c r="H441" s="907"/>
      <c r="I441" s="907"/>
      <c r="J441" s="907"/>
      <c r="K441" s="907"/>
      <c r="L441" s="907"/>
      <c r="M441" s="907"/>
      <c r="N441" s="907"/>
      <c r="O441" s="907"/>
      <c r="P441" s="907"/>
      <c r="Q441" s="907"/>
      <c r="R441" s="907"/>
      <c r="S441" s="907"/>
      <c r="T441" s="907"/>
      <c r="U441" s="907"/>
      <c r="V441" s="907"/>
      <c r="W441" s="907"/>
      <c r="X441" s="907"/>
      <c r="Y441" s="907"/>
      <c r="Z441" s="907"/>
      <c r="AA441" s="907"/>
      <c r="AB441" s="907"/>
      <c r="AC441" s="907"/>
      <c r="AD441" s="907"/>
      <c r="AE441" s="907"/>
      <c r="AF441" s="907"/>
      <c r="AG441" s="907"/>
      <c r="AH441" s="907"/>
      <c r="AI441" s="907"/>
      <c r="AJ441" s="907"/>
      <c r="AK441" s="907"/>
      <c r="AL441" s="907"/>
    </row>
    <row r="442" spans="1:38">
      <c r="A442" s="907"/>
      <c r="B442" s="907"/>
      <c r="C442" s="907"/>
      <c r="D442" s="907"/>
      <c r="E442" s="907"/>
      <c r="F442" s="907"/>
      <c r="G442" s="907"/>
      <c r="H442" s="907"/>
      <c r="I442" s="907"/>
      <c r="J442" s="907"/>
      <c r="K442" s="907"/>
      <c r="L442" s="907"/>
      <c r="M442" s="907"/>
      <c r="N442" s="907"/>
      <c r="O442" s="907"/>
      <c r="P442" s="907"/>
      <c r="Q442" s="907"/>
      <c r="R442" s="907"/>
      <c r="S442" s="907"/>
      <c r="T442" s="907"/>
      <c r="U442" s="907"/>
      <c r="V442" s="907"/>
      <c r="W442" s="907"/>
      <c r="X442" s="907"/>
      <c r="Y442" s="907"/>
      <c r="Z442" s="907"/>
      <c r="AA442" s="907"/>
      <c r="AB442" s="907"/>
      <c r="AC442" s="907"/>
      <c r="AD442" s="907"/>
      <c r="AE442" s="907"/>
      <c r="AF442" s="907"/>
      <c r="AG442" s="907"/>
      <c r="AH442" s="907"/>
      <c r="AI442" s="907"/>
      <c r="AJ442" s="907"/>
      <c r="AK442" s="907"/>
      <c r="AL442" s="907"/>
    </row>
    <row r="443" spans="1:38">
      <c r="A443" s="907"/>
      <c r="B443" s="907"/>
      <c r="C443" s="907"/>
      <c r="D443" s="907"/>
      <c r="E443" s="907"/>
      <c r="F443" s="907"/>
      <c r="G443" s="907"/>
      <c r="H443" s="907"/>
      <c r="I443" s="907"/>
      <c r="J443" s="907"/>
      <c r="K443" s="907"/>
      <c r="L443" s="907"/>
      <c r="M443" s="907"/>
      <c r="N443" s="907"/>
      <c r="O443" s="907"/>
      <c r="P443" s="907"/>
      <c r="Q443" s="907"/>
      <c r="R443" s="907"/>
      <c r="S443" s="907"/>
      <c r="T443" s="907"/>
      <c r="U443" s="907"/>
      <c r="V443" s="907"/>
      <c r="W443" s="907"/>
      <c r="X443" s="907"/>
      <c r="Y443" s="907"/>
      <c r="Z443" s="907"/>
      <c r="AA443" s="907"/>
      <c r="AB443" s="907"/>
      <c r="AC443" s="907"/>
      <c r="AD443" s="907"/>
      <c r="AE443" s="907"/>
      <c r="AF443" s="907"/>
      <c r="AG443" s="907"/>
      <c r="AH443" s="907"/>
      <c r="AI443" s="907"/>
      <c r="AJ443" s="907"/>
      <c r="AK443" s="907"/>
      <c r="AL443" s="907"/>
    </row>
    <row r="444" spans="1:38">
      <c r="A444" s="907"/>
      <c r="B444" s="907"/>
      <c r="C444" s="907"/>
      <c r="D444" s="907"/>
      <c r="E444" s="907"/>
      <c r="F444" s="907"/>
      <c r="G444" s="907"/>
      <c r="H444" s="907"/>
      <c r="I444" s="907"/>
      <c r="J444" s="907"/>
      <c r="K444" s="907"/>
      <c r="L444" s="907"/>
      <c r="M444" s="907"/>
      <c r="N444" s="907"/>
      <c r="O444" s="907"/>
      <c r="P444" s="907"/>
      <c r="Q444" s="907"/>
      <c r="R444" s="907"/>
      <c r="S444" s="907"/>
      <c r="T444" s="907"/>
      <c r="U444" s="907"/>
      <c r="V444" s="907"/>
      <c r="W444" s="907"/>
      <c r="X444" s="907"/>
      <c r="Y444" s="907"/>
      <c r="Z444" s="907"/>
      <c r="AA444" s="907"/>
      <c r="AB444" s="907"/>
      <c r="AC444" s="907"/>
      <c r="AD444" s="907"/>
      <c r="AE444" s="907"/>
      <c r="AF444" s="907"/>
      <c r="AG444" s="907"/>
      <c r="AH444" s="907"/>
      <c r="AI444" s="907"/>
      <c r="AJ444" s="907"/>
      <c r="AK444" s="907"/>
      <c r="AL444" s="907"/>
    </row>
    <row r="445" spans="1:38">
      <c r="A445" s="907"/>
      <c r="B445" s="907"/>
      <c r="C445" s="907"/>
      <c r="D445" s="907"/>
      <c r="E445" s="907"/>
      <c r="F445" s="907"/>
      <c r="G445" s="907"/>
      <c r="H445" s="907"/>
      <c r="I445" s="907"/>
      <c r="J445" s="907"/>
      <c r="K445" s="907"/>
      <c r="L445" s="907"/>
      <c r="M445" s="907"/>
      <c r="N445" s="907"/>
      <c r="O445" s="907"/>
      <c r="P445" s="907"/>
      <c r="Q445" s="907"/>
      <c r="R445" s="907"/>
      <c r="S445" s="907"/>
      <c r="T445" s="907"/>
      <c r="U445" s="907"/>
      <c r="V445" s="907"/>
      <c r="W445" s="907"/>
      <c r="X445" s="907"/>
      <c r="Y445" s="907"/>
      <c r="Z445" s="907"/>
      <c r="AA445" s="907"/>
      <c r="AB445" s="907"/>
      <c r="AC445" s="907"/>
      <c r="AD445" s="907"/>
      <c r="AE445" s="907"/>
      <c r="AF445" s="907"/>
      <c r="AG445" s="907"/>
      <c r="AH445" s="907"/>
      <c r="AI445" s="907"/>
      <c r="AJ445" s="907"/>
      <c r="AK445" s="907"/>
      <c r="AL445" s="907"/>
    </row>
    <row r="446" spans="1:38">
      <c r="A446" s="907"/>
      <c r="B446" s="907"/>
      <c r="C446" s="907"/>
      <c r="D446" s="907"/>
      <c r="E446" s="907"/>
      <c r="F446" s="907"/>
      <c r="G446" s="907"/>
      <c r="H446" s="907"/>
      <c r="I446" s="907"/>
      <c r="J446" s="907"/>
      <c r="K446" s="907"/>
      <c r="L446" s="907"/>
      <c r="M446" s="907"/>
      <c r="N446" s="907"/>
      <c r="O446" s="907"/>
      <c r="P446" s="907"/>
      <c r="Q446" s="907"/>
      <c r="R446" s="907"/>
      <c r="S446" s="907"/>
      <c r="T446" s="907"/>
      <c r="U446" s="907"/>
      <c r="V446" s="907"/>
      <c r="W446" s="907"/>
      <c r="X446" s="907"/>
      <c r="Y446" s="907"/>
      <c r="Z446" s="907"/>
      <c r="AA446" s="907"/>
      <c r="AB446" s="907"/>
      <c r="AC446" s="907"/>
      <c r="AD446" s="907"/>
      <c r="AE446" s="907"/>
      <c r="AF446" s="907"/>
      <c r="AG446" s="907"/>
      <c r="AH446" s="907"/>
      <c r="AI446" s="907"/>
      <c r="AJ446" s="907"/>
      <c r="AK446" s="907"/>
      <c r="AL446" s="907"/>
    </row>
    <row r="447" spans="1:38">
      <c r="A447" s="907"/>
      <c r="B447" s="907"/>
      <c r="C447" s="907"/>
      <c r="D447" s="907"/>
      <c r="E447" s="907"/>
      <c r="F447" s="907"/>
      <c r="G447" s="907"/>
      <c r="H447" s="907"/>
      <c r="I447" s="907"/>
      <c r="J447" s="907"/>
      <c r="K447" s="907"/>
      <c r="L447" s="907"/>
      <c r="M447" s="907"/>
      <c r="N447" s="907"/>
      <c r="O447" s="907"/>
      <c r="P447" s="907"/>
      <c r="Q447" s="907"/>
      <c r="R447" s="907"/>
      <c r="S447" s="907"/>
      <c r="T447" s="907"/>
      <c r="U447" s="907"/>
      <c r="V447" s="907"/>
      <c r="W447" s="907"/>
      <c r="X447" s="907"/>
      <c r="Y447" s="907"/>
      <c r="Z447" s="907"/>
      <c r="AA447" s="907"/>
      <c r="AB447" s="907"/>
      <c r="AC447" s="907"/>
      <c r="AD447" s="907"/>
      <c r="AE447" s="907"/>
      <c r="AF447" s="907"/>
      <c r="AG447" s="907"/>
      <c r="AH447" s="907"/>
      <c r="AI447" s="907"/>
      <c r="AJ447" s="907"/>
      <c r="AK447" s="907"/>
      <c r="AL447" s="907"/>
    </row>
    <row r="448" spans="1:38">
      <c r="A448" s="907"/>
      <c r="B448" s="907"/>
      <c r="C448" s="907"/>
      <c r="D448" s="907"/>
      <c r="E448" s="907"/>
      <c r="F448" s="907"/>
      <c r="G448" s="907"/>
      <c r="H448" s="907"/>
      <c r="I448" s="907"/>
      <c r="J448" s="907"/>
      <c r="K448" s="907"/>
      <c r="L448" s="907"/>
      <c r="M448" s="907"/>
      <c r="N448" s="907"/>
      <c r="O448" s="907"/>
      <c r="P448" s="907"/>
      <c r="Q448" s="907"/>
      <c r="R448" s="907"/>
      <c r="S448" s="907"/>
      <c r="T448" s="907"/>
      <c r="U448" s="907"/>
      <c r="V448" s="907"/>
      <c r="W448" s="907"/>
      <c r="X448" s="907"/>
      <c r="Y448" s="907"/>
      <c r="Z448" s="907"/>
      <c r="AA448" s="907"/>
      <c r="AB448" s="907"/>
      <c r="AC448" s="907"/>
      <c r="AD448" s="907"/>
      <c r="AE448" s="907"/>
      <c r="AF448" s="907"/>
      <c r="AG448" s="907"/>
      <c r="AH448" s="907"/>
      <c r="AI448" s="907"/>
      <c r="AJ448" s="907"/>
      <c r="AK448" s="907"/>
      <c r="AL448" s="907"/>
    </row>
    <row r="449" spans="1:38">
      <c r="A449" s="907"/>
      <c r="B449" s="907"/>
      <c r="C449" s="907"/>
      <c r="D449" s="907"/>
      <c r="E449" s="907"/>
      <c r="F449" s="907"/>
      <c r="G449" s="907"/>
      <c r="H449" s="907"/>
      <c r="I449" s="907"/>
      <c r="J449" s="907"/>
      <c r="K449" s="907"/>
      <c r="L449" s="907"/>
      <c r="M449" s="907"/>
      <c r="N449" s="907"/>
      <c r="O449" s="907"/>
      <c r="P449" s="907"/>
      <c r="Q449" s="907"/>
      <c r="R449" s="907"/>
      <c r="S449" s="907"/>
      <c r="T449" s="907"/>
      <c r="U449" s="907"/>
      <c r="V449" s="907"/>
      <c r="W449" s="907"/>
      <c r="X449" s="907"/>
      <c r="Y449" s="907"/>
      <c r="Z449" s="907"/>
      <c r="AA449" s="907"/>
      <c r="AB449" s="907"/>
      <c r="AC449" s="907"/>
      <c r="AD449" s="907"/>
      <c r="AE449" s="907"/>
      <c r="AF449" s="907"/>
      <c r="AG449" s="907"/>
      <c r="AH449" s="907"/>
      <c r="AI449" s="907"/>
      <c r="AJ449" s="907"/>
      <c r="AK449" s="907"/>
      <c r="AL449" s="907"/>
    </row>
    <row r="450" spans="1:38">
      <c r="A450" s="907"/>
      <c r="B450" s="907"/>
      <c r="C450" s="907"/>
      <c r="D450" s="907"/>
      <c r="E450" s="907"/>
      <c r="F450" s="907"/>
      <c r="G450" s="907"/>
      <c r="H450" s="907"/>
      <c r="I450" s="907"/>
      <c r="J450" s="907"/>
      <c r="K450" s="907"/>
      <c r="L450" s="907"/>
      <c r="M450" s="907"/>
      <c r="N450" s="907"/>
      <c r="O450" s="907"/>
      <c r="P450" s="907"/>
      <c r="Q450" s="907"/>
      <c r="R450" s="907"/>
      <c r="S450" s="907"/>
      <c r="T450" s="907"/>
      <c r="U450" s="907"/>
      <c r="V450" s="907"/>
      <c r="W450" s="907"/>
      <c r="X450" s="907"/>
      <c r="Y450" s="907"/>
      <c r="Z450" s="907"/>
      <c r="AA450" s="907"/>
      <c r="AB450" s="907"/>
      <c r="AC450" s="907"/>
      <c r="AD450" s="907"/>
      <c r="AE450" s="907"/>
      <c r="AF450" s="907"/>
      <c r="AG450" s="907"/>
      <c r="AH450" s="907"/>
      <c r="AI450" s="907"/>
      <c r="AJ450" s="907"/>
      <c r="AK450" s="907"/>
      <c r="AL450" s="907"/>
    </row>
    <row r="451" spans="1:38">
      <c r="A451" s="907"/>
      <c r="B451" s="907"/>
      <c r="C451" s="907"/>
      <c r="D451" s="907"/>
      <c r="E451" s="907"/>
      <c r="F451" s="907"/>
      <c r="G451" s="907"/>
      <c r="H451" s="907"/>
      <c r="I451" s="907"/>
      <c r="J451" s="907"/>
      <c r="K451" s="907"/>
      <c r="L451" s="907"/>
      <c r="M451" s="907"/>
      <c r="N451" s="907"/>
      <c r="O451" s="907"/>
      <c r="P451" s="907"/>
      <c r="Q451" s="907"/>
      <c r="R451" s="907"/>
      <c r="S451" s="907"/>
      <c r="T451" s="907"/>
      <c r="U451" s="907"/>
      <c r="V451" s="907"/>
      <c r="W451" s="907"/>
      <c r="X451" s="907"/>
      <c r="Y451" s="907"/>
      <c r="Z451" s="907"/>
      <c r="AA451" s="907"/>
      <c r="AB451" s="907"/>
      <c r="AC451" s="907"/>
      <c r="AD451" s="907"/>
      <c r="AE451" s="907"/>
      <c r="AF451" s="907"/>
      <c r="AG451" s="907"/>
      <c r="AH451" s="907"/>
      <c r="AI451" s="907"/>
      <c r="AJ451" s="907"/>
      <c r="AK451" s="907"/>
      <c r="AL451" s="907"/>
    </row>
    <row r="452" spans="1:38">
      <c r="A452" s="907"/>
      <c r="B452" s="907"/>
      <c r="C452" s="907"/>
      <c r="D452" s="907"/>
      <c r="E452" s="907"/>
      <c r="F452" s="907"/>
      <c r="G452" s="907"/>
      <c r="H452" s="907"/>
      <c r="I452" s="907"/>
      <c r="J452" s="907"/>
      <c r="K452" s="907"/>
      <c r="L452" s="907"/>
      <c r="M452" s="907"/>
      <c r="N452" s="907"/>
      <c r="O452" s="907"/>
      <c r="P452" s="907"/>
      <c r="Q452" s="907"/>
      <c r="R452" s="907"/>
      <c r="S452" s="907"/>
      <c r="T452" s="907"/>
      <c r="U452" s="907"/>
      <c r="V452" s="907"/>
      <c r="W452" s="907"/>
      <c r="X452" s="907"/>
      <c r="Y452" s="907"/>
      <c r="Z452" s="907"/>
      <c r="AA452" s="907"/>
      <c r="AB452" s="907"/>
      <c r="AC452" s="907"/>
      <c r="AD452" s="907"/>
      <c r="AE452" s="907"/>
      <c r="AF452" s="907"/>
      <c r="AG452" s="907"/>
      <c r="AH452" s="907"/>
      <c r="AI452" s="907"/>
      <c r="AJ452" s="907"/>
      <c r="AK452" s="907"/>
      <c r="AL452" s="907"/>
    </row>
    <row r="453" spans="1:38">
      <c r="A453" s="907"/>
      <c r="B453" s="907"/>
      <c r="C453" s="907"/>
      <c r="D453" s="907"/>
      <c r="E453" s="907"/>
      <c r="F453" s="907"/>
      <c r="G453" s="907"/>
      <c r="H453" s="907"/>
      <c r="I453" s="907"/>
      <c r="J453" s="907"/>
      <c r="K453" s="907"/>
      <c r="L453" s="907"/>
      <c r="M453" s="907"/>
      <c r="N453" s="907"/>
      <c r="O453" s="907"/>
      <c r="P453" s="907"/>
      <c r="Q453" s="907"/>
      <c r="R453" s="907"/>
      <c r="S453" s="907"/>
      <c r="T453" s="907"/>
      <c r="U453" s="907"/>
      <c r="V453" s="907"/>
      <c r="W453" s="907"/>
      <c r="X453" s="907"/>
      <c r="Y453" s="907"/>
      <c r="Z453" s="907"/>
      <c r="AA453" s="907"/>
      <c r="AB453" s="907"/>
      <c r="AC453" s="907"/>
      <c r="AD453" s="907"/>
      <c r="AE453" s="907"/>
      <c r="AF453" s="907"/>
      <c r="AG453" s="907"/>
      <c r="AH453" s="907"/>
      <c r="AI453" s="907"/>
      <c r="AJ453" s="907"/>
      <c r="AK453" s="907"/>
      <c r="AL453" s="907"/>
    </row>
    <row r="454" spans="1:38">
      <c r="A454" s="907"/>
      <c r="B454" s="907"/>
      <c r="C454" s="907"/>
      <c r="D454" s="907"/>
      <c r="E454" s="907"/>
      <c r="F454" s="907"/>
      <c r="G454" s="907"/>
      <c r="H454" s="907"/>
      <c r="I454" s="907"/>
      <c r="J454" s="907"/>
      <c r="K454" s="907"/>
      <c r="L454" s="907"/>
      <c r="M454" s="907"/>
      <c r="N454" s="907"/>
      <c r="O454" s="907"/>
      <c r="P454" s="907"/>
      <c r="Q454" s="907"/>
      <c r="R454" s="907"/>
      <c r="S454" s="907"/>
      <c r="T454" s="907"/>
      <c r="U454" s="907"/>
      <c r="V454" s="907"/>
      <c r="W454" s="907"/>
      <c r="X454" s="907"/>
      <c r="Y454" s="907"/>
      <c r="Z454" s="907"/>
      <c r="AA454" s="907"/>
      <c r="AB454" s="907"/>
      <c r="AC454" s="907"/>
      <c r="AD454" s="907"/>
      <c r="AE454" s="907"/>
      <c r="AF454" s="907"/>
      <c r="AG454" s="907"/>
      <c r="AH454" s="907"/>
      <c r="AI454" s="907"/>
      <c r="AJ454" s="907"/>
      <c r="AK454" s="907"/>
      <c r="AL454" s="907"/>
    </row>
    <row r="455" spans="1:38">
      <c r="A455" s="907"/>
      <c r="B455" s="907"/>
      <c r="C455" s="907"/>
      <c r="D455" s="907"/>
      <c r="E455" s="907"/>
      <c r="F455" s="907"/>
      <c r="G455" s="907"/>
      <c r="H455" s="907"/>
      <c r="I455" s="907"/>
      <c r="J455" s="907"/>
      <c r="K455" s="907"/>
      <c r="L455" s="907"/>
      <c r="M455" s="907"/>
      <c r="N455" s="907"/>
      <c r="O455" s="907"/>
      <c r="P455" s="907"/>
      <c r="Q455" s="907"/>
      <c r="R455" s="907"/>
      <c r="S455" s="907"/>
      <c r="T455" s="907"/>
      <c r="U455" s="907"/>
      <c r="V455" s="907"/>
      <c r="W455" s="907"/>
      <c r="X455" s="907"/>
      <c r="Y455" s="907"/>
      <c r="Z455" s="907"/>
      <c r="AA455" s="907"/>
      <c r="AB455" s="907"/>
      <c r="AC455" s="907"/>
      <c r="AD455" s="907"/>
      <c r="AE455" s="907"/>
      <c r="AF455" s="907"/>
      <c r="AG455" s="907"/>
      <c r="AH455" s="907"/>
      <c r="AI455" s="907"/>
      <c r="AJ455" s="907"/>
      <c r="AK455" s="907"/>
      <c r="AL455" s="907"/>
    </row>
    <row r="456" spans="1:38">
      <c r="A456" s="907"/>
      <c r="B456" s="907"/>
      <c r="C456" s="907"/>
      <c r="D456" s="907"/>
      <c r="E456" s="907"/>
      <c r="F456" s="907"/>
      <c r="G456" s="907"/>
      <c r="H456" s="907"/>
      <c r="I456" s="907"/>
      <c r="J456" s="907"/>
      <c r="K456" s="907"/>
      <c r="L456" s="907"/>
      <c r="M456" s="907"/>
      <c r="N456" s="907"/>
      <c r="O456" s="907"/>
      <c r="P456" s="907"/>
      <c r="Q456" s="907"/>
      <c r="R456" s="907"/>
      <c r="S456" s="907"/>
      <c r="T456" s="907"/>
      <c r="U456" s="907"/>
      <c r="V456" s="907"/>
      <c r="W456" s="907"/>
      <c r="X456" s="907"/>
      <c r="Y456" s="907"/>
      <c r="Z456" s="907"/>
      <c r="AA456" s="907"/>
      <c r="AB456" s="907"/>
      <c r="AC456" s="907"/>
      <c r="AD456" s="907"/>
      <c r="AE456" s="907"/>
      <c r="AF456" s="907"/>
      <c r="AG456" s="907"/>
      <c r="AH456" s="907"/>
      <c r="AI456" s="907"/>
      <c r="AJ456" s="907"/>
      <c r="AK456" s="907"/>
      <c r="AL456" s="907"/>
    </row>
    <row r="457" spans="1:38">
      <c r="A457" s="907"/>
      <c r="B457" s="907"/>
      <c r="C457" s="907"/>
      <c r="D457" s="907"/>
      <c r="E457" s="907"/>
      <c r="F457" s="907"/>
      <c r="G457" s="907"/>
      <c r="H457" s="907"/>
      <c r="I457" s="907"/>
      <c r="J457" s="907"/>
      <c r="K457" s="907"/>
      <c r="L457" s="907"/>
      <c r="M457" s="907"/>
      <c r="N457" s="907"/>
      <c r="O457" s="907"/>
      <c r="P457" s="907"/>
      <c r="Q457" s="907"/>
      <c r="R457" s="907"/>
      <c r="S457" s="907"/>
      <c r="T457" s="907"/>
      <c r="U457" s="907"/>
      <c r="V457" s="907"/>
      <c r="W457" s="907"/>
      <c r="X457" s="907"/>
      <c r="Y457" s="907"/>
      <c r="Z457" s="907"/>
      <c r="AA457" s="907"/>
      <c r="AB457" s="907"/>
      <c r="AC457" s="907"/>
      <c r="AD457" s="907"/>
      <c r="AE457" s="907"/>
      <c r="AF457" s="907"/>
      <c r="AG457" s="907"/>
      <c r="AH457" s="907"/>
      <c r="AI457" s="907"/>
      <c r="AJ457" s="907"/>
      <c r="AK457" s="907"/>
      <c r="AL457" s="907"/>
    </row>
    <row r="458" spans="1:38">
      <c r="A458" s="907"/>
      <c r="B458" s="907"/>
      <c r="C458" s="907"/>
      <c r="D458" s="907"/>
      <c r="E458" s="907"/>
      <c r="F458" s="907"/>
      <c r="G458" s="907"/>
      <c r="H458" s="907"/>
      <c r="I458" s="907"/>
      <c r="J458" s="907"/>
      <c r="K458" s="907"/>
      <c r="L458" s="907"/>
      <c r="M458" s="907"/>
      <c r="N458" s="907"/>
      <c r="O458" s="907"/>
      <c r="P458" s="907"/>
      <c r="Q458" s="907"/>
      <c r="R458" s="907"/>
      <c r="S458" s="907"/>
      <c r="T458" s="907"/>
      <c r="U458" s="907"/>
      <c r="V458" s="907"/>
      <c r="W458" s="907"/>
      <c r="X458" s="907"/>
      <c r="Y458" s="907"/>
      <c r="Z458" s="907"/>
      <c r="AA458" s="907"/>
      <c r="AB458" s="907"/>
      <c r="AC458" s="907"/>
      <c r="AD458" s="907"/>
      <c r="AE458" s="907"/>
      <c r="AF458" s="907"/>
      <c r="AG458" s="907"/>
      <c r="AH458" s="907"/>
      <c r="AI458" s="907"/>
      <c r="AJ458" s="907"/>
      <c r="AK458" s="907"/>
      <c r="AL458" s="907"/>
    </row>
    <row r="459" spans="1:38">
      <c r="A459" s="907"/>
      <c r="B459" s="907"/>
      <c r="C459" s="907"/>
      <c r="D459" s="907"/>
      <c r="E459" s="907"/>
      <c r="F459" s="907"/>
      <c r="G459" s="907"/>
      <c r="H459" s="907"/>
      <c r="I459" s="907"/>
      <c r="J459" s="907"/>
      <c r="K459" s="907"/>
      <c r="L459" s="907"/>
      <c r="M459" s="907"/>
      <c r="N459" s="907"/>
      <c r="O459" s="907"/>
      <c r="P459" s="907"/>
      <c r="Q459" s="907"/>
      <c r="R459" s="907"/>
      <c r="S459" s="907"/>
      <c r="T459" s="907"/>
      <c r="U459" s="907"/>
      <c r="V459" s="907"/>
      <c r="W459" s="907"/>
      <c r="X459" s="907"/>
      <c r="Y459" s="907"/>
      <c r="Z459" s="907"/>
      <c r="AA459" s="907"/>
      <c r="AB459" s="907"/>
      <c r="AC459" s="907"/>
      <c r="AD459" s="907"/>
      <c r="AE459" s="907"/>
      <c r="AF459" s="907"/>
      <c r="AG459" s="907"/>
      <c r="AH459" s="907"/>
      <c r="AI459" s="907"/>
      <c r="AJ459" s="907"/>
      <c r="AK459" s="907"/>
      <c r="AL459" s="907"/>
    </row>
    <row r="460" spans="1:38">
      <c r="A460" s="907"/>
      <c r="B460" s="907"/>
      <c r="C460" s="907"/>
      <c r="D460" s="907"/>
      <c r="E460" s="907"/>
      <c r="F460" s="907"/>
      <c r="G460" s="907"/>
      <c r="H460" s="907"/>
      <c r="I460" s="907"/>
      <c r="J460" s="907"/>
      <c r="K460" s="907"/>
      <c r="L460" s="907"/>
      <c r="M460" s="907"/>
      <c r="N460" s="907"/>
      <c r="O460" s="907"/>
      <c r="P460" s="907"/>
      <c r="Q460" s="907"/>
      <c r="R460" s="907"/>
      <c r="S460" s="907"/>
      <c r="T460" s="907"/>
      <c r="U460" s="907"/>
      <c r="V460" s="907"/>
      <c r="W460" s="907"/>
      <c r="X460" s="907"/>
      <c r="Y460" s="907"/>
      <c r="Z460" s="907"/>
      <c r="AA460" s="907"/>
      <c r="AB460" s="907"/>
      <c r="AC460" s="907"/>
      <c r="AD460" s="907"/>
      <c r="AE460" s="907"/>
      <c r="AF460" s="907"/>
      <c r="AG460" s="907"/>
      <c r="AH460" s="907"/>
      <c r="AI460" s="907"/>
      <c r="AJ460" s="907"/>
      <c r="AK460" s="907"/>
      <c r="AL460" s="907"/>
    </row>
    <row r="461" spans="1:38">
      <c r="A461" s="907"/>
      <c r="B461" s="907"/>
      <c r="C461" s="907"/>
      <c r="D461" s="907"/>
      <c r="E461" s="907"/>
      <c r="F461" s="907"/>
      <c r="G461" s="907"/>
      <c r="H461" s="907"/>
      <c r="I461" s="907"/>
      <c r="J461" s="907"/>
      <c r="K461" s="907"/>
      <c r="L461" s="907"/>
      <c r="M461" s="907"/>
      <c r="N461" s="907"/>
      <c r="O461" s="907"/>
      <c r="P461" s="907"/>
      <c r="Q461" s="907"/>
      <c r="R461" s="907"/>
      <c r="S461" s="907"/>
      <c r="T461" s="907"/>
      <c r="U461" s="907"/>
      <c r="V461" s="907"/>
      <c r="W461" s="907"/>
      <c r="X461" s="907"/>
      <c r="Y461" s="907"/>
      <c r="Z461" s="907"/>
      <c r="AA461" s="907"/>
      <c r="AB461" s="907"/>
      <c r="AC461" s="907"/>
      <c r="AD461" s="907"/>
      <c r="AE461" s="907"/>
      <c r="AF461" s="907"/>
      <c r="AG461" s="907"/>
      <c r="AH461" s="907"/>
      <c r="AI461" s="907"/>
      <c r="AJ461" s="907"/>
      <c r="AK461" s="907"/>
      <c r="AL461" s="907"/>
    </row>
    <row r="462" spans="1:38">
      <c r="A462" s="907"/>
      <c r="B462" s="907"/>
      <c r="C462" s="907"/>
      <c r="D462" s="907"/>
      <c r="E462" s="907"/>
      <c r="F462" s="907"/>
      <c r="G462" s="907"/>
      <c r="H462" s="907"/>
      <c r="I462" s="907"/>
      <c r="J462" s="907"/>
      <c r="K462" s="907"/>
      <c r="L462" s="907"/>
      <c r="M462" s="907"/>
      <c r="N462" s="907"/>
      <c r="O462" s="907"/>
      <c r="P462" s="907"/>
      <c r="Q462" s="907"/>
      <c r="R462" s="907"/>
      <c r="S462" s="907"/>
      <c r="T462" s="907"/>
      <c r="U462" s="907"/>
      <c r="V462" s="907"/>
      <c r="W462" s="907"/>
      <c r="X462" s="907"/>
      <c r="Y462" s="907"/>
      <c r="Z462" s="907"/>
      <c r="AA462" s="907"/>
      <c r="AB462" s="907"/>
      <c r="AC462" s="907"/>
      <c r="AD462" s="907"/>
      <c r="AE462" s="907"/>
      <c r="AF462" s="907"/>
      <c r="AG462" s="907"/>
      <c r="AH462" s="907"/>
      <c r="AI462" s="907"/>
      <c r="AJ462" s="907"/>
      <c r="AK462" s="907"/>
      <c r="AL462" s="907"/>
    </row>
    <row r="463" spans="1:38">
      <c r="A463" s="907"/>
      <c r="B463" s="907"/>
      <c r="C463" s="907"/>
      <c r="D463" s="907"/>
      <c r="E463" s="907"/>
      <c r="F463" s="907"/>
      <c r="G463" s="907"/>
      <c r="H463" s="907"/>
      <c r="I463" s="907"/>
      <c r="J463" s="907"/>
      <c r="K463" s="907"/>
      <c r="L463" s="907"/>
      <c r="M463" s="907"/>
      <c r="N463" s="907"/>
      <c r="O463" s="907"/>
      <c r="P463" s="907"/>
      <c r="Q463" s="907"/>
      <c r="R463" s="907"/>
      <c r="S463" s="907"/>
      <c r="T463" s="907"/>
      <c r="U463" s="907"/>
      <c r="V463" s="907"/>
      <c r="W463" s="907"/>
      <c r="X463" s="907"/>
      <c r="Y463" s="907"/>
      <c r="Z463" s="907"/>
      <c r="AA463" s="907"/>
      <c r="AB463" s="907"/>
      <c r="AC463" s="907"/>
      <c r="AD463" s="907"/>
      <c r="AE463" s="907"/>
      <c r="AF463" s="907"/>
      <c r="AG463" s="907"/>
      <c r="AH463" s="907"/>
      <c r="AI463" s="907"/>
      <c r="AJ463" s="907"/>
      <c r="AK463" s="907"/>
      <c r="AL463" s="907"/>
    </row>
    <row r="464" spans="1:38">
      <c r="A464" s="907"/>
      <c r="B464" s="907"/>
      <c r="C464" s="907"/>
      <c r="D464" s="907"/>
      <c r="E464" s="907"/>
      <c r="F464" s="907"/>
      <c r="G464" s="907"/>
      <c r="H464" s="907"/>
      <c r="I464" s="907"/>
      <c r="J464" s="907"/>
      <c r="K464" s="907"/>
      <c r="L464" s="907"/>
      <c r="M464" s="907"/>
      <c r="N464" s="907"/>
      <c r="O464" s="907"/>
      <c r="P464" s="907"/>
      <c r="Q464" s="907"/>
      <c r="R464" s="907"/>
      <c r="S464" s="907"/>
      <c r="T464" s="907"/>
      <c r="U464" s="907"/>
      <c r="V464" s="907"/>
      <c r="W464" s="907"/>
      <c r="X464" s="907"/>
      <c r="Y464" s="907"/>
      <c r="Z464" s="907"/>
      <c r="AA464" s="907"/>
      <c r="AB464" s="907"/>
      <c r="AC464" s="907"/>
      <c r="AD464" s="907"/>
      <c r="AE464" s="907"/>
      <c r="AF464" s="907"/>
      <c r="AG464" s="907"/>
      <c r="AH464" s="907"/>
      <c r="AI464" s="907"/>
      <c r="AJ464" s="907"/>
      <c r="AK464" s="907"/>
      <c r="AL464" s="907"/>
    </row>
    <row r="465" spans="1:38">
      <c r="A465" s="907"/>
      <c r="B465" s="907"/>
      <c r="C465" s="907"/>
      <c r="D465" s="907"/>
      <c r="E465" s="907"/>
      <c r="F465" s="907"/>
      <c r="G465" s="907"/>
      <c r="H465" s="907"/>
      <c r="I465" s="907"/>
      <c r="J465" s="907"/>
      <c r="K465" s="907"/>
      <c r="L465" s="907"/>
      <c r="M465" s="907"/>
      <c r="N465" s="907"/>
      <c r="O465" s="907"/>
      <c r="P465" s="907"/>
      <c r="Q465" s="907"/>
      <c r="R465" s="907"/>
      <c r="S465" s="907"/>
      <c r="T465" s="907"/>
      <c r="U465" s="907"/>
      <c r="V465" s="907"/>
      <c r="W465" s="907"/>
      <c r="X465" s="907"/>
      <c r="Y465" s="907"/>
      <c r="Z465" s="907"/>
      <c r="AA465" s="907"/>
      <c r="AB465" s="907"/>
      <c r="AC465" s="907"/>
      <c r="AD465" s="907"/>
      <c r="AE465" s="907"/>
      <c r="AF465" s="907"/>
      <c r="AG465" s="907"/>
      <c r="AH465" s="907"/>
      <c r="AI465" s="907"/>
      <c r="AJ465" s="907"/>
      <c r="AK465" s="907"/>
      <c r="AL465" s="907"/>
    </row>
    <row r="466" spans="1:38">
      <c r="A466" s="907"/>
      <c r="B466" s="907"/>
      <c r="C466" s="907"/>
      <c r="D466" s="907"/>
      <c r="E466" s="907"/>
      <c r="F466" s="907"/>
      <c r="G466" s="907"/>
      <c r="H466" s="907"/>
      <c r="I466" s="907"/>
      <c r="J466" s="907"/>
      <c r="K466" s="907"/>
      <c r="L466" s="907"/>
      <c r="M466" s="907"/>
      <c r="N466" s="907"/>
      <c r="O466" s="907"/>
      <c r="P466" s="907"/>
      <c r="Q466" s="907"/>
      <c r="R466" s="907"/>
      <c r="S466" s="907"/>
      <c r="T466" s="907"/>
      <c r="U466" s="907"/>
      <c r="V466" s="907"/>
      <c r="W466" s="907"/>
      <c r="X466" s="907"/>
      <c r="Y466" s="907"/>
      <c r="Z466" s="907"/>
      <c r="AA466" s="907"/>
      <c r="AB466" s="907"/>
      <c r="AC466" s="907"/>
      <c r="AD466" s="907"/>
      <c r="AE466" s="907"/>
      <c r="AF466" s="907"/>
      <c r="AG466" s="907"/>
      <c r="AH466" s="907"/>
      <c r="AI466" s="907"/>
      <c r="AJ466" s="907"/>
      <c r="AK466" s="907"/>
      <c r="AL466" s="907"/>
    </row>
    <row r="467" spans="1:38">
      <c r="A467" s="907"/>
      <c r="B467" s="907"/>
      <c r="C467" s="907"/>
      <c r="D467" s="907"/>
      <c r="E467" s="907"/>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c r="AB467" s="907"/>
      <c r="AC467" s="907"/>
      <c r="AD467" s="907"/>
      <c r="AE467" s="907"/>
      <c r="AF467" s="907"/>
      <c r="AG467" s="907"/>
      <c r="AH467" s="907"/>
      <c r="AI467" s="907"/>
      <c r="AJ467" s="907"/>
      <c r="AK467" s="907"/>
      <c r="AL467" s="907"/>
    </row>
    <row r="468" spans="1:38">
      <c r="A468" s="907"/>
      <c r="B468" s="907"/>
      <c r="C468" s="907"/>
      <c r="D468" s="907"/>
      <c r="E468" s="90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c r="AB468" s="907"/>
      <c r="AC468" s="907"/>
      <c r="AD468" s="907"/>
      <c r="AE468" s="907"/>
      <c r="AF468" s="907"/>
      <c r="AG468" s="907"/>
      <c r="AH468" s="907"/>
      <c r="AI468" s="907"/>
      <c r="AJ468" s="907"/>
      <c r="AK468" s="907"/>
      <c r="AL468" s="907"/>
    </row>
    <row r="469" spans="1:38">
      <c r="A469" s="907"/>
      <c r="B469" s="907"/>
      <c r="C469" s="907"/>
      <c r="D469" s="907"/>
      <c r="E469" s="907"/>
      <c r="F469" s="907"/>
      <c r="G469" s="907"/>
      <c r="H469" s="907"/>
      <c r="I469" s="907"/>
      <c r="J469" s="907"/>
      <c r="K469" s="907"/>
      <c r="L469" s="907"/>
      <c r="M469" s="907"/>
      <c r="N469" s="907"/>
      <c r="O469" s="907"/>
      <c r="P469" s="907"/>
      <c r="Q469" s="907"/>
      <c r="R469" s="907"/>
      <c r="S469" s="907"/>
      <c r="T469" s="907"/>
      <c r="U469" s="907"/>
      <c r="V469" s="907"/>
      <c r="W469" s="907"/>
      <c r="X469" s="907"/>
      <c r="Y469" s="907"/>
      <c r="Z469" s="907"/>
      <c r="AA469" s="907"/>
      <c r="AB469" s="907"/>
      <c r="AC469" s="907"/>
      <c r="AD469" s="907"/>
      <c r="AE469" s="907"/>
      <c r="AF469" s="907"/>
      <c r="AG469" s="907"/>
      <c r="AH469" s="907"/>
      <c r="AI469" s="907"/>
      <c r="AJ469" s="907"/>
      <c r="AK469" s="907"/>
      <c r="AL469" s="907"/>
    </row>
    <row r="470" spans="1:38">
      <c r="A470" s="907"/>
      <c r="B470" s="907"/>
      <c r="C470" s="907"/>
      <c r="D470" s="907"/>
      <c r="E470" s="907"/>
      <c r="F470" s="907"/>
      <c r="G470" s="907"/>
      <c r="H470" s="907"/>
      <c r="I470" s="907"/>
      <c r="J470" s="907"/>
      <c r="K470" s="907"/>
      <c r="L470" s="907"/>
      <c r="M470" s="907"/>
      <c r="N470" s="907"/>
      <c r="O470" s="907"/>
      <c r="P470" s="907"/>
      <c r="Q470" s="907"/>
      <c r="R470" s="907"/>
      <c r="S470" s="907"/>
      <c r="T470" s="907"/>
      <c r="U470" s="907"/>
      <c r="V470" s="907"/>
      <c r="W470" s="907"/>
      <c r="X470" s="907"/>
      <c r="Y470" s="907"/>
      <c r="Z470" s="907"/>
      <c r="AA470" s="907"/>
      <c r="AB470" s="907"/>
      <c r="AC470" s="907"/>
      <c r="AD470" s="907"/>
      <c r="AE470" s="907"/>
      <c r="AF470" s="907"/>
      <c r="AG470" s="907"/>
      <c r="AH470" s="907"/>
      <c r="AI470" s="907"/>
      <c r="AJ470" s="907"/>
      <c r="AK470" s="907"/>
      <c r="AL470" s="907"/>
    </row>
    <row r="471" spans="1:38">
      <c r="A471" s="907"/>
      <c r="B471" s="907"/>
      <c r="C471" s="907"/>
      <c r="D471" s="907"/>
      <c r="E471" s="907"/>
      <c r="F471" s="907"/>
      <c r="G471" s="907"/>
      <c r="H471" s="907"/>
      <c r="I471" s="907"/>
      <c r="J471" s="907"/>
      <c r="K471" s="907"/>
      <c r="L471" s="907"/>
      <c r="M471" s="907"/>
      <c r="N471" s="907"/>
      <c r="O471" s="907"/>
      <c r="P471" s="907"/>
      <c r="Q471" s="907"/>
      <c r="R471" s="907"/>
      <c r="S471" s="907"/>
      <c r="T471" s="907"/>
      <c r="U471" s="907"/>
      <c r="V471" s="907"/>
      <c r="W471" s="907"/>
      <c r="X471" s="907"/>
      <c r="Y471" s="907"/>
      <c r="Z471" s="907"/>
      <c r="AA471" s="907"/>
      <c r="AB471" s="907"/>
      <c r="AC471" s="907"/>
      <c r="AD471" s="907"/>
      <c r="AE471" s="907"/>
      <c r="AF471" s="907"/>
      <c r="AG471" s="907"/>
      <c r="AH471" s="907"/>
      <c r="AI471" s="907"/>
      <c r="AJ471" s="907"/>
      <c r="AK471" s="907"/>
      <c r="AL471" s="907"/>
    </row>
    <row r="472" spans="1:38">
      <c r="A472" s="907"/>
      <c r="B472" s="907"/>
      <c r="C472" s="907"/>
      <c r="D472" s="907"/>
      <c r="E472" s="907"/>
      <c r="F472" s="907"/>
      <c r="G472" s="907"/>
      <c r="H472" s="907"/>
      <c r="I472" s="907"/>
      <c r="J472" s="907"/>
      <c r="K472" s="907"/>
      <c r="L472" s="907"/>
      <c r="M472" s="907"/>
      <c r="N472" s="907"/>
      <c r="O472" s="907"/>
      <c r="P472" s="907"/>
      <c r="Q472" s="907"/>
      <c r="R472" s="907"/>
      <c r="S472" s="907"/>
      <c r="T472" s="907"/>
      <c r="U472" s="907"/>
      <c r="V472" s="907"/>
      <c r="W472" s="907"/>
      <c r="X472" s="907"/>
      <c r="Y472" s="907"/>
      <c r="Z472" s="907"/>
      <c r="AA472" s="907"/>
      <c r="AB472" s="907"/>
      <c r="AC472" s="907"/>
      <c r="AD472" s="907"/>
      <c r="AE472" s="907"/>
      <c r="AF472" s="907"/>
      <c r="AG472" s="907"/>
      <c r="AH472" s="907"/>
      <c r="AI472" s="907"/>
      <c r="AJ472" s="907"/>
      <c r="AK472" s="907"/>
      <c r="AL472" s="907"/>
    </row>
    <row r="473" spans="1:38">
      <c r="A473" s="907"/>
      <c r="B473" s="907"/>
      <c r="C473" s="907"/>
      <c r="D473" s="907"/>
      <c r="E473" s="907"/>
      <c r="F473" s="907"/>
      <c r="G473" s="907"/>
      <c r="H473" s="907"/>
      <c r="I473" s="907"/>
      <c r="J473" s="907"/>
      <c r="K473" s="907"/>
      <c r="L473" s="907"/>
      <c r="M473" s="907"/>
      <c r="N473" s="907"/>
      <c r="O473" s="907"/>
      <c r="P473" s="907"/>
      <c r="Q473" s="907"/>
      <c r="R473" s="907"/>
      <c r="S473" s="907"/>
      <c r="T473" s="907"/>
      <c r="U473" s="907"/>
      <c r="V473" s="907"/>
      <c r="W473" s="907"/>
      <c r="X473" s="907"/>
      <c r="Y473" s="907"/>
      <c r="Z473" s="907"/>
      <c r="AA473" s="907"/>
      <c r="AB473" s="907"/>
      <c r="AC473" s="907"/>
      <c r="AD473" s="907"/>
      <c r="AE473" s="907"/>
      <c r="AF473" s="907"/>
      <c r="AG473" s="907"/>
      <c r="AH473" s="907"/>
      <c r="AI473" s="907"/>
      <c r="AJ473" s="907"/>
      <c r="AK473" s="907"/>
      <c r="AL473" s="907"/>
    </row>
    <row r="474" spans="1:38">
      <c r="A474" s="907"/>
      <c r="B474" s="907"/>
      <c r="C474" s="907"/>
      <c r="D474" s="907"/>
      <c r="E474" s="907"/>
      <c r="F474" s="907"/>
      <c r="G474" s="907"/>
      <c r="H474" s="907"/>
      <c r="I474" s="907"/>
      <c r="J474" s="907"/>
      <c r="K474" s="907"/>
      <c r="L474" s="907"/>
      <c r="M474" s="907"/>
      <c r="N474" s="907"/>
      <c r="O474" s="907"/>
      <c r="P474" s="907"/>
      <c r="Q474" s="907"/>
      <c r="R474" s="907"/>
      <c r="S474" s="907"/>
      <c r="T474" s="907"/>
      <c r="U474" s="907"/>
      <c r="V474" s="907"/>
      <c r="W474" s="907"/>
      <c r="X474" s="907"/>
      <c r="Y474" s="907"/>
      <c r="Z474" s="907"/>
      <c r="AA474" s="907"/>
      <c r="AB474" s="907"/>
      <c r="AC474" s="907"/>
      <c r="AD474" s="907"/>
      <c r="AE474" s="907"/>
      <c r="AF474" s="907"/>
      <c r="AG474" s="907"/>
      <c r="AH474" s="907"/>
      <c r="AI474" s="907"/>
      <c r="AJ474" s="907"/>
      <c r="AK474" s="907"/>
      <c r="AL474" s="907"/>
    </row>
    <row r="475" spans="1:38">
      <c r="A475" s="907"/>
      <c r="B475" s="907"/>
      <c r="C475" s="907"/>
      <c r="D475" s="907"/>
      <c r="E475" s="907"/>
      <c r="F475" s="907"/>
      <c r="G475" s="907"/>
      <c r="H475" s="907"/>
      <c r="I475" s="907"/>
      <c r="J475" s="907"/>
      <c r="K475" s="907"/>
      <c r="L475" s="907"/>
      <c r="M475" s="907"/>
      <c r="N475" s="907"/>
      <c r="O475" s="907"/>
      <c r="P475" s="907"/>
      <c r="Q475" s="907"/>
      <c r="R475" s="907"/>
      <c r="S475" s="907"/>
      <c r="T475" s="907"/>
      <c r="U475" s="907"/>
      <c r="V475" s="907"/>
      <c r="W475" s="907"/>
      <c r="X475" s="907"/>
      <c r="Y475" s="907"/>
      <c r="Z475" s="907"/>
      <c r="AA475" s="907"/>
      <c r="AB475" s="907"/>
      <c r="AC475" s="907"/>
      <c r="AD475" s="907"/>
      <c r="AE475" s="907"/>
      <c r="AF475" s="907"/>
      <c r="AG475" s="907"/>
      <c r="AH475" s="907"/>
      <c r="AI475" s="907"/>
      <c r="AJ475" s="907"/>
      <c r="AK475" s="907"/>
      <c r="AL475" s="907"/>
    </row>
    <row r="476" spans="1:38">
      <c r="A476" s="907"/>
      <c r="B476" s="907"/>
      <c r="C476" s="907"/>
      <c r="D476" s="907"/>
      <c r="E476" s="907"/>
      <c r="F476" s="907"/>
      <c r="G476" s="907"/>
      <c r="H476" s="907"/>
      <c r="I476" s="907"/>
      <c r="J476" s="907"/>
      <c r="K476" s="907"/>
      <c r="L476" s="907"/>
      <c r="M476" s="907"/>
      <c r="N476" s="907"/>
      <c r="O476" s="907"/>
      <c r="P476" s="907"/>
      <c r="Q476" s="907"/>
      <c r="R476" s="907"/>
      <c r="S476" s="907"/>
      <c r="T476" s="907"/>
      <c r="U476" s="907"/>
      <c r="V476" s="907"/>
      <c r="W476" s="907"/>
      <c r="X476" s="907"/>
      <c r="Y476" s="907"/>
      <c r="Z476" s="907"/>
      <c r="AA476" s="907"/>
      <c r="AB476" s="907"/>
      <c r="AC476" s="907"/>
      <c r="AD476" s="907"/>
      <c r="AE476" s="907"/>
      <c r="AF476" s="907"/>
      <c r="AG476" s="907"/>
      <c r="AH476" s="907"/>
      <c r="AI476" s="907"/>
      <c r="AJ476" s="907"/>
      <c r="AK476" s="907"/>
      <c r="AL476" s="907"/>
    </row>
    <row r="477" spans="1:38">
      <c r="A477" s="907"/>
      <c r="B477" s="907"/>
      <c r="C477" s="907"/>
      <c r="D477" s="907"/>
      <c r="E477" s="907"/>
      <c r="F477" s="907"/>
      <c r="G477" s="907"/>
      <c r="H477" s="907"/>
      <c r="I477" s="907"/>
      <c r="J477" s="907"/>
      <c r="K477" s="907"/>
      <c r="L477" s="907"/>
      <c r="M477" s="907"/>
      <c r="N477" s="907"/>
      <c r="O477" s="907"/>
      <c r="P477" s="907"/>
      <c r="Q477" s="907"/>
      <c r="R477" s="907"/>
      <c r="S477" s="907"/>
      <c r="T477" s="907"/>
      <c r="U477" s="907"/>
      <c r="V477" s="907"/>
      <c r="W477" s="907"/>
      <c r="X477" s="907"/>
      <c r="Y477" s="907"/>
      <c r="Z477" s="907"/>
      <c r="AA477" s="907"/>
      <c r="AB477" s="907"/>
      <c r="AC477" s="907"/>
      <c r="AD477" s="907"/>
      <c r="AE477" s="907"/>
      <c r="AF477" s="907"/>
      <c r="AG477" s="907"/>
      <c r="AH477" s="907"/>
      <c r="AI477" s="907"/>
      <c r="AJ477" s="907"/>
      <c r="AK477" s="907"/>
      <c r="AL477" s="907"/>
    </row>
    <row r="478" spans="1:38">
      <c r="A478" s="907"/>
      <c r="B478" s="907"/>
      <c r="C478" s="907"/>
      <c r="D478" s="907"/>
      <c r="E478" s="907"/>
      <c r="F478" s="907"/>
      <c r="G478" s="907"/>
      <c r="H478" s="907"/>
      <c r="I478" s="907"/>
      <c r="J478" s="907"/>
      <c r="K478" s="907"/>
      <c r="L478" s="907"/>
      <c r="M478" s="907"/>
      <c r="N478" s="907"/>
      <c r="O478" s="907"/>
      <c r="P478" s="907"/>
      <c r="Q478" s="907"/>
      <c r="R478" s="907"/>
      <c r="S478" s="907"/>
      <c r="T478" s="907"/>
      <c r="U478" s="907"/>
      <c r="V478" s="907"/>
      <c r="W478" s="907"/>
      <c r="X478" s="907"/>
      <c r="Y478" s="907"/>
      <c r="Z478" s="907"/>
      <c r="AA478" s="907"/>
      <c r="AB478" s="907"/>
      <c r="AC478" s="907"/>
      <c r="AD478" s="907"/>
      <c r="AE478" s="907"/>
      <c r="AF478" s="907"/>
      <c r="AG478" s="907"/>
      <c r="AH478" s="907"/>
      <c r="AI478" s="907"/>
      <c r="AJ478" s="907"/>
      <c r="AK478" s="907"/>
      <c r="AL478" s="907"/>
    </row>
    <row r="479" spans="1:38">
      <c r="A479" s="907"/>
      <c r="B479" s="907"/>
      <c r="C479" s="907"/>
      <c r="D479" s="907"/>
      <c r="E479" s="907"/>
      <c r="F479" s="907"/>
      <c r="G479" s="907"/>
      <c r="H479" s="907"/>
      <c r="I479" s="907"/>
      <c r="J479" s="907"/>
      <c r="K479" s="907"/>
      <c r="L479" s="907"/>
      <c r="M479" s="907"/>
      <c r="N479" s="907"/>
      <c r="O479" s="907"/>
      <c r="P479" s="907"/>
      <c r="Q479" s="907"/>
      <c r="R479" s="907"/>
      <c r="S479" s="907"/>
      <c r="T479" s="907"/>
      <c r="U479" s="907"/>
      <c r="V479" s="907"/>
      <c r="W479" s="907"/>
      <c r="X479" s="907"/>
      <c r="Y479" s="907"/>
      <c r="Z479" s="907"/>
      <c r="AA479" s="907"/>
      <c r="AB479" s="907"/>
      <c r="AC479" s="907"/>
      <c r="AD479" s="907"/>
      <c r="AE479" s="907"/>
      <c r="AF479" s="907"/>
      <c r="AG479" s="907"/>
      <c r="AH479" s="907"/>
      <c r="AI479" s="907"/>
      <c r="AJ479" s="907"/>
      <c r="AK479" s="907"/>
      <c r="AL479" s="907"/>
    </row>
    <row r="480" spans="1:38">
      <c r="A480" s="907"/>
      <c r="B480" s="907"/>
      <c r="C480" s="907"/>
      <c r="D480" s="907"/>
      <c r="E480" s="907"/>
      <c r="F480" s="907"/>
      <c r="G480" s="907"/>
      <c r="H480" s="907"/>
      <c r="I480" s="907"/>
      <c r="J480" s="907"/>
      <c r="K480" s="907"/>
      <c r="L480" s="907"/>
      <c r="M480" s="907"/>
      <c r="N480" s="907"/>
      <c r="O480" s="907"/>
      <c r="P480" s="907"/>
      <c r="Q480" s="907"/>
      <c r="R480" s="907"/>
      <c r="S480" s="907"/>
      <c r="T480" s="907"/>
      <c r="U480" s="907"/>
      <c r="V480" s="907"/>
      <c r="W480" s="907"/>
      <c r="X480" s="907"/>
      <c r="Y480" s="907"/>
      <c r="Z480" s="907"/>
      <c r="AA480" s="907"/>
      <c r="AB480" s="907"/>
      <c r="AC480" s="907"/>
      <c r="AD480" s="907"/>
      <c r="AE480" s="907"/>
      <c r="AF480" s="907"/>
      <c r="AG480" s="907"/>
      <c r="AH480" s="907"/>
      <c r="AI480" s="907"/>
      <c r="AJ480" s="907"/>
      <c r="AK480" s="907"/>
      <c r="AL480" s="907"/>
    </row>
    <row r="481" spans="1:38">
      <c r="A481" s="907"/>
      <c r="B481" s="907"/>
      <c r="C481" s="907"/>
      <c r="D481" s="907"/>
      <c r="E481" s="907"/>
      <c r="F481" s="907"/>
      <c r="G481" s="907"/>
      <c r="H481" s="907"/>
      <c r="I481" s="907"/>
      <c r="J481" s="907"/>
      <c r="K481" s="907"/>
      <c r="L481" s="907"/>
      <c r="M481" s="907"/>
      <c r="N481" s="907"/>
      <c r="O481" s="907"/>
      <c r="P481" s="907"/>
      <c r="Q481" s="907"/>
      <c r="R481" s="907"/>
      <c r="S481" s="907"/>
      <c r="T481" s="907"/>
      <c r="U481" s="907"/>
      <c r="V481" s="907"/>
      <c r="W481" s="907"/>
      <c r="X481" s="907"/>
      <c r="Y481" s="907"/>
      <c r="Z481" s="907"/>
      <c r="AA481" s="907"/>
      <c r="AB481" s="907"/>
      <c r="AC481" s="907"/>
      <c r="AD481" s="907"/>
      <c r="AE481" s="907"/>
      <c r="AF481" s="907"/>
      <c r="AG481" s="907"/>
      <c r="AH481" s="907"/>
      <c r="AI481" s="907"/>
      <c r="AJ481" s="907"/>
      <c r="AK481" s="907"/>
      <c r="AL481" s="907"/>
    </row>
    <row r="482" spans="1:38">
      <c r="A482" s="907"/>
      <c r="B482" s="907"/>
      <c r="C482" s="907"/>
      <c r="D482" s="907"/>
      <c r="E482" s="907"/>
      <c r="F482" s="907"/>
      <c r="G482" s="907"/>
      <c r="H482" s="907"/>
      <c r="I482" s="907"/>
      <c r="J482" s="907"/>
      <c r="K482" s="907"/>
      <c r="L482" s="907"/>
      <c r="M482" s="907"/>
      <c r="N482" s="907"/>
      <c r="O482" s="907"/>
      <c r="P482" s="907"/>
      <c r="Q482" s="907"/>
      <c r="R482" s="907"/>
      <c r="S482" s="907"/>
      <c r="T482" s="907"/>
      <c r="U482" s="907"/>
      <c r="V482" s="907"/>
      <c r="W482" s="907"/>
      <c r="X482" s="907"/>
      <c r="Y482" s="907"/>
      <c r="Z482" s="907"/>
      <c r="AA482" s="907"/>
      <c r="AB482" s="907"/>
      <c r="AC482" s="907"/>
      <c r="AD482" s="907"/>
      <c r="AE482" s="907"/>
      <c r="AF482" s="907"/>
      <c r="AG482" s="907"/>
      <c r="AH482" s="907"/>
      <c r="AI482" s="907"/>
      <c r="AJ482" s="907"/>
      <c r="AK482" s="907"/>
      <c r="AL482" s="907"/>
    </row>
    <row r="483" spans="1:38">
      <c r="A483" s="907"/>
      <c r="B483" s="907"/>
      <c r="C483" s="907"/>
      <c r="D483" s="907"/>
      <c r="E483" s="907"/>
      <c r="F483" s="907"/>
      <c r="G483" s="907"/>
      <c r="H483" s="907"/>
      <c r="I483" s="907"/>
      <c r="J483" s="907"/>
      <c r="K483" s="907"/>
      <c r="L483" s="907"/>
      <c r="M483" s="907"/>
      <c r="N483" s="907"/>
      <c r="O483" s="907"/>
      <c r="P483" s="907"/>
      <c r="Q483" s="907"/>
      <c r="R483" s="907"/>
      <c r="S483" s="907"/>
      <c r="T483" s="907"/>
      <c r="U483" s="907"/>
      <c r="V483" s="907"/>
      <c r="W483" s="907"/>
      <c r="X483" s="907"/>
      <c r="Y483" s="907"/>
      <c r="Z483" s="907"/>
      <c r="AA483" s="907"/>
      <c r="AB483" s="907"/>
      <c r="AC483" s="907"/>
      <c r="AD483" s="907"/>
      <c r="AE483" s="907"/>
      <c r="AF483" s="907"/>
      <c r="AG483" s="907"/>
      <c r="AH483" s="907"/>
      <c r="AI483" s="907"/>
      <c r="AJ483" s="907"/>
      <c r="AK483" s="907"/>
      <c r="AL483" s="907"/>
    </row>
    <row r="484" spans="1:38">
      <c r="A484" s="907"/>
      <c r="B484" s="907"/>
      <c r="C484" s="907"/>
      <c r="D484" s="907"/>
      <c r="E484" s="907"/>
      <c r="F484" s="907"/>
      <c r="G484" s="907"/>
      <c r="H484" s="907"/>
      <c r="I484" s="907"/>
      <c r="J484" s="907"/>
      <c r="K484" s="907"/>
      <c r="L484" s="907"/>
      <c r="M484" s="907"/>
      <c r="N484" s="907"/>
      <c r="O484" s="907"/>
      <c r="P484" s="907"/>
      <c r="Q484" s="907"/>
      <c r="R484" s="907"/>
      <c r="S484" s="907"/>
      <c r="T484" s="907"/>
      <c r="U484" s="907"/>
      <c r="V484" s="907"/>
      <c r="W484" s="907"/>
      <c r="X484" s="907"/>
      <c r="Y484" s="907"/>
      <c r="Z484" s="907"/>
      <c r="AA484" s="907"/>
      <c r="AB484" s="907"/>
      <c r="AC484" s="907"/>
      <c r="AD484" s="907"/>
      <c r="AE484" s="907"/>
      <c r="AF484" s="907"/>
      <c r="AG484" s="907"/>
      <c r="AH484" s="907"/>
      <c r="AI484" s="907"/>
      <c r="AJ484" s="907"/>
      <c r="AK484" s="907"/>
      <c r="AL484" s="907"/>
    </row>
    <row r="485" spans="1:38">
      <c r="A485" s="907"/>
      <c r="B485" s="907"/>
      <c r="C485" s="907"/>
      <c r="D485" s="907"/>
      <c r="E485" s="907"/>
      <c r="F485" s="907"/>
      <c r="G485" s="907"/>
      <c r="H485" s="907"/>
      <c r="I485" s="907"/>
      <c r="J485" s="907"/>
      <c r="K485" s="907"/>
      <c r="L485" s="907"/>
      <c r="M485" s="907"/>
      <c r="N485" s="907"/>
      <c r="O485" s="907"/>
      <c r="P485" s="907"/>
      <c r="Q485" s="907"/>
      <c r="R485" s="907"/>
      <c r="S485" s="907"/>
      <c r="T485" s="907"/>
      <c r="U485" s="907"/>
      <c r="V485" s="907"/>
      <c r="W485" s="907"/>
      <c r="X485" s="907"/>
      <c r="Y485" s="907"/>
      <c r="Z485" s="907"/>
      <c r="AA485" s="907"/>
      <c r="AB485" s="907"/>
      <c r="AC485" s="907"/>
      <c r="AD485" s="907"/>
      <c r="AE485" s="907"/>
      <c r="AF485" s="907"/>
      <c r="AG485" s="907"/>
      <c r="AH485" s="907"/>
      <c r="AI485" s="907"/>
      <c r="AJ485" s="907"/>
      <c r="AK485" s="907"/>
      <c r="AL485" s="907"/>
    </row>
    <row r="486" spans="1:38">
      <c r="A486" s="907"/>
      <c r="B486" s="907"/>
      <c r="C486" s="907"/>
      <c r="D486" s="907"/>
      <c r="E486" s="907"/>
      <c r="F486" s="907"/>
      <c r="G486" s="907"/>
      <c r="H486" s="907"/>
      <c r="I486" s="907"/>
      <c r="J486" s="907"/>
      <c r="K486" s="907"/>
      <c r="L486" s="907"/>
      <c r="M486" s="907"/>
      <c r="N486" s="907"/>
      <c r="O486" s="907"/>
      <c r="P486" s="907"/>
      <c r="Q486" s="907"/>
      <c r="R486" s="907"/>
      <c r="S486" s="907"/>
      <c r="T486" s="907"/>
      <c r="U486" s="907"/>
      <c r="V486" s="907"/>
      <c r="W486" s="907"/>
      <c r="X486" s="907"/>
      <c r="Y486" s="907"/>
      <c r="Z486" s="907"/>
      <c r="AA486" s="907"/>
      <c r="AB486" s="907"/>
      <c r="AC486" s="907"/>
      <c r="AD486" s="907"/>
      <c r="AE486" s="907"/>
      <c r="AF486" s="907"/>
      <c r="AG486" s="907"/>
      <c r="AH486" s="907"/>
      <c r="AI486" s="907"/>
      <c r="AJ486" s="907"/>
      <c r="AK486" s="907"/>
      <c r="AL486" s="907"/>
    </row>
    <row r="487" spans="1:38">
      <c r="A487" s="907"/>
      <c r="B487" s="907"/>
      <c r="C487" s="907"/>
      <c r="D487" s="907"/>
      <c r="E487" s="907"/>
      <c r="F487" s="907"/>
      <c r="G487" s="907"/>
      <c r="H487" s="907"/>
      <c r="I487" s="907"/>
      <c r="J487" s="907"/>
      <c r="K487" s="907"/>
      <c r="L487" s="907"/>
      <c r="M487" s="907"/>
      <c r="N487" s="907"/>
      <c r="O487" s="907"/>
      <c r="P487" s="907"/>
      <c r="Q487" s="907"/>
      <c r="R487" s="907"/>
      <c r="S487" s="907"/>
      <c r="T487" s="907"/>
      <c r="U487" s="907"/>
      <c r="V487" s="907"/>
      <c r="W487" s="907"/>
      <c r="X487" s="907"/>
      <c r="Y487" s="907"/>
      <c r="Z487" s="907"/>
      <c r="AA487" s="907"/>
      <c r="AB487" s="907"/>
      <c r="AC487" s="907"/>
      <c r="AD487" s="907"/>
      <c r="AE487" s="907"/>
      <c r="AF487" s="907"/>
      <c r="AG487" s="907"/>
      <c r="AH487" s="907"/>
      <c r="AI487" s="907"/>
      <c r="AJ487" s="907"/>
      <c r="AK487" s="907"/>
      <c r="AL487" s="907"/>
    </row>
    <row r="488" spans="1:38">
      <c r="A488" s="907"/>
      <c r="B488" s="907"/>
      <c r="C488" s="907"/>
      <c r="D488" s="907"/>
      <c r="E488" s="907"/>
      <c r="F488" s="907"/>
      <c r="G488" s="907"/>
      <c r="H488" s="907"/>
      <c r="I488" s="907"/>
      <c r="J488" s="907"/>
      <c r="K488" s="907"/>
      <c r="L488" s="907"/>
      <c r="M488" s="907"/>
      <c r="N488" s="907"/>
      <c r="O488" s="907"/>
      <c r="P488" s="907"/>
      <c r="Q488" s="907"/>
      <c r="R488" s="907"/>
      <c r="S488" s="907"/>
      <c r="T488" s="907"/>
      <c r="U488" s="907"/>
      <c r="V488" s="907"/>
      <c r="W488" s="907"/>
      <c r="X488" s="907"/>
      <c r="Y488" s="907"/>
      <c r="Z488" s="907"/>
      <c r="AA488" s="907"/>
      <c r="AB488" s="907"/>
      <c r="AC488" s="907"/>
      <c r="AD488" s="907"/>
      <c r="AE488" s="907"/>
      <c r="AF488" s="907"/>
      <c r="AG488" s="907"/>
      <c r="AH488" s="907"/>
      <c r="AI488" s="907"/>
      <c r="AJ488" s="907"/>
      <c r="AK488" s="907"/>
      <c r="AL488" s="907"/>
    </row>
    <row r="489" spans="1:38">
      <c r="A489" s="907"/>
      <c r="B489" s="907"/>
      <c r="C489" s="907"/>
      <c r="D489" s="907"/>
      <c r="E489" s="907"/>
      <c r="F489" s="907"/>
      <c r="G489" s="907"/>
      <c r="H489" s="907"/>
      <c r="I489" s="907"/>
      <c r="J489" s="907"/>
      <c r="K489" s="907"/>
      <c r="L489" s="907"/>
      <c r="M489" s="907"/>
      <c r="N489" s="907"/>
      <c r="O489" s="907"/>
      <c r="P489" s="907"/>
      <c r="Q489" s="907"/>
      <c r="R489" s="907"/>
      <c r="S489" s="907"/>
      <c r="T489" s="907"/>
      <c r="U489" s="907"/>
      <c r="V489" s="907"/>
      <c r="W489" s="907"/>
      <c r="X489" s="907"/>
      <c r="Y489" s="907"/>
      <c r="Z489" s="907"/>
      <c r="AA489" s="907"/>
      <c r="AB489" s="907"/>
      <c r="AC489" s="907"/>
      <c r="AD489" s="907"/>
      <c r="AE489" s="907"/>
      <c r="AF489" s="907"/>
      <c r="AG489" s="907"/>
      <c r="AH489" s="907"/>
      <c r="AI489" s="907"/>
      <c r="AJ489" s="907"/>
      <c r="AK489" s="907"/>
      <c r="AL489" s="907"/>
    </row>
    <row r="490" spans="1:38">
      <c r="A490" s="907"/>
      <c r="B490" s="907"/>
      <c r="C490" s="907"/>
      <c r="D490" s="907"/>
      <c r="E490" s="907"/>
      <c r="F490" s="907"/>
      <c r="G490" s="907"/>
      <c r="H490" s="907"/>
      <c r="I490" s="907"/>
      <c r="J490" s="907"/>
      <c r="K490" s="907"/>
      <c r="L490" s="907"/>
      <c r="M490" s="907"/>
      <c r="N490" s="907"/>
      <c r="O490" s="907"/>
      <c r="P490" s="907"/>
      <c r="Q490" s="907"/>
      <c r="R490" s="907"/>
      <c r="S490" s="907"/>
      <c r="T490" s="907"/>
      <c r="U490" s="907"/>
      <c r="V490" s="907"/>
      <c r="W490" s="907"/>
      <c r="X490" s="907"/>
      <c r="Y490" s="907"/>
      <c r="Z490" s="907"/>
      <c r="AA490" s="907"/>
      <c r="AB490" s="907"/>
      <c r="AC490" s="907"/>
      <c r="AD490" s="907"/>
      <c r="AE490" s="907"/>
      <c r="AF490" s="907"/>
      <c r="AG490" s="907"/>
      <c r="AH490" s="907"/>
      <c r="AI490" s="907"/>
      <c r="AJ490" s="907"/>
      <c r="AK490" s="907"/>
      <c r="AL490" s="907"/>
    </row>
    <row r="491" spans="1:38">
      <c r="A491" s="907"/>
      <c r="B491" s="907"/>
      <c r="C491" s="907"/>
      <c r="D491" s="907"/>
      <c r="E491" s="907"/>
      <c r="F491" s="907"/>
      <c r="G491" s="907"/>
      <c r="H491" s="907"/>
      <c r="I491" s="907"/>
      <c r="J491" s="907"/>
      <c r="K491" s="907"/>
      <c r="L491" s="907"/>
      <c r="M491" s="907"/>
      <c r="N491" s="907"/>
      <c r="O491" s="907"/>
      <c r="P491" s="907"/>
      <c r="Q491" s="907"/>
      <c r="R491" s="907"/>
      <c r="S491" s="907"/>
      <c r="T491" s="907"/>
      <c r="U491" s="907"/>
      <c r="V491" s="907"/>
      <c r="W491" s="907"/>
      <c r="X491" s="907"/>
      <c r="Y491" s="907"/>
      <c r="Z491" s="907"/>
      <c r="AA491" s="907"/>
      <c r="AB491" s="907"/>
      <c r="AC491" s="907"/>
      <c r="AD491" s="907"/>
      <c r="AE491" s="907"/>
      <c r="AF491" s="907"/>
      <c r="AG491" s="907"/>
      <c r="AH491" s="907"/>
      <c r="AI491" s="907"/>
      <c r="AJ491" s="907"/>
      <c r="AK491" s="907"/>
      <c r="AL491" s="907"/>
    </row>
    <row r="492" spans="1:38">
      <c r="A492" s="907"/>
      <c r="B492" s="907"/>
      <c r="C492" s="907"/>
      <c r="D492" s="907"/>
      <c r="E492" s="907"/>
      <c r="F492" s="907"/>
      <c r="G492" s="907"/>
      <c r="H492" s="907"/>
      <c r="I492" s="907"/>
      <c r="J492" s="907"/>
      <c r="K492" s="907"/>
      <c r="L492" s="907"/>
      <c r="M492" s="907"/>
      <c r="N492" s="907"/>
      <c r="O492" s="907"/>
      <c r="P492" s="907"/>
      <c r="Q492" s="907"/>
      <c r="R492" s="907"/>
      <c r="S492" s="907"/>
      <c r="T492" s="907"/>
      <c r="U492" s="907"/>
      <c r="V492" s="907"/>
      <c r="W492" s="907"/>
      <c r="X492" s="907"/>
      <c r="Y492" s="907"/>
      <c r="Z492" s="907"/>
      <c r="AA492" s="907"/>
      <c r="AB492" s="907"/>
      <c r="AC492" s="907"/>
      <c r="AD492" s="907"/>
      <c r="AE492" s="907"/>
      <c r="AF492" s="907"/>
      <c r="AG492" s="907"/>
      <c r="AH492" s="907"/>
      <c r="AI492" s="907"/>
      <c r="AJ492" s="907"/>
      <c r="AK492" s="907"/>
      <c r="AL492" s="907"/>
    </row>
    <row r="493" spans="1:38">
      <c r="A493" s="907"/>
      <c r="B493" s="907"/>
      <c r="C493" s="907"/>
      <c r="D493" s="907"/>
      <c r="E493" s="907"/>
      <c r="F493" s="907"/>
      <c r="G493" s="907"/>
      <c r="H493" s="907"/>
      <c r="I493" s="907"/>
      <c r="J493" s="907"/>
      <c r="K493" s="907"/>
      <c r="L493" s="907"/>
      <c r="M493" s="907"/>
      <c r="N493" s="907"/>
      <c r="O493" s="907"/>
      <c r="P493" s="907"/>
      <c r="Q493" s="907"/>
      <c r="R493" s="907"/>
      <c r="S493" s="907"/>
      <c r="T493" s="907"/>
      <c r="U493" s="907"/>
      <c r="V493" s="907"/>
      <c r="W493" s="907"/>
      <c r="X493" s="907"/>
      <c r="Y493" s="907"/>
      <c r="Z493" s="907"/>
      <c r="AA493" s="907"/>
      <c r="AB493" s="907"/>
      <c r="AC493" s="907"/>
      <c r="AD493" s="907"/>
      <c r="AE493" s="907"/>
      <c r="AF493" s="907"/>
      <c r="AG493" s="907"/>
      <c r="AH493" s="907"/>
      <c r="AI493" s="907"/>
      <c r="AJ493" s="907"/>
      <c r="AK493" s="907"/>
      <c r="AL493" s="907"/>
    </row>
    <row r="494" spans="1:38">
      <c r="A494" s="907"/>
      <c r="B494" s="907"/>
      <c r="C494" s="907"/>
      <c r="D494" s="907"/>
      <c r="E494" s="907"/>
      <c r="F494" s="907"/>
      <c r="G494" s="907"/>
      <c r="H494" s="907"/>
      <c r="I494" s="907"/>
      <c r="J494" s="907"/>
      <c r="K494" s="907"/>
      <c r="L494" s="907"/>
      <c r="M494" s="907"/>
      <c r="N494" s="907"/>
      <c r="O494" s="907"/>
      <c r="P494" s="907"/>
      <c r="Q494" s="907"/>
      <c r="R494" s="907"/>
      <c r="S494" s="907"/>
      <c r="T494" s="907"/>
      <c r="U494" s="907"/>
      <c r="V494" s="907"/>
      <c r="W494" s="907"/>
      <c r="X494" s="907"/>
      <c r="Y494" s="907"/>
      <c r="Z494" s="907"/>
      <c r="AA494" s="907"/>
      <c r="AB494" s="907"/>
      <c r="AC494" s="907"/>
      <c r="AD494" s="907"/>
      <c r="AE494" s="907"/>
      <c r="AF494" s="907"/>
      <c r="AG494" s="907"/>
      <c r="AH494" s="907"/>
      <c r="AI494" s="907"/>
      <c r="AJ494" s="907"/>
      <c r="AK494" s="907"/>
      <c r="AL494" s="907"/>
    </row>
    <row r="495" spans="1:38">
      <c r="A495" s="907"/>
      <c r="B495" s="907"/>
      <c r="C495" s="907"/>
      <c r="D495" s="907"/>
      <c r="E495" s="907"/>
      <c r="F495" s="907"/>
      <c r="G495" s="907"/>
      <c r="H495" s="907"/>
      <c r="I495" s="907"/>
      <c r="J495" s="907"/>
      <c r="K495" s="907"/>
      <c r="L495" s="907"/>
      <c r="M495" s="907"/>
      <c r="N495" s="907"/>
      <c r="O495" s="907"/>
      <c r="P495" s="907"/>
      <c r="Q495" s="907"/>
      <c r="R495" s="907"/>
      <c r="S495" s="907"/>
      <c r="T495" s="907"/>
      <c r="U495" s="907"/>
      <c r="V495" s="907"/>
      <c r="W495" s="907"/>
      <c r="X495" s="907"/>
      <c r="Y495" s="907"/>
      <c r="Z495" s="907"/>
      <c r="AA495" s="907"/>
      <c r="AB495" s="907"/>
      <c r="AC495" s="907"/>
      <c r="AD495" s="907"/>
      <c r="AE495" s="907"/>
      <c r="AF495" s="907"/>
      <c r="AG495" s="907"/>
      <c r="AH495" s="907"/>
      <c r="AI495" s="907"/>
      <c r="AJ495" s="907"/>
      <c r="AK495" s="907"/>
      <c r="AL495" s="907"/>
    </row>
    <row r="496" spans="1:38">
      <c r="A496" s="907"/>
      <c r="B496" s="907"/>
      <c r="C496" s="907"/>
      <c r="D496" s="907"/>
      <c r="E496" s="907"/>
      <c r="F496" s="907"/>
      <c r="G496" s="907"/>
      <c r="H496" s="907"/>
      <c r="I496" s="907"/>
      <c r="J496" s="907"/>
      <c r="K496" s="907"/>
      <c r="L496" s="907"/>
      <c r="M496" s="907"/>
      <c r="N496" s="907"/>
      <c r="O496" s="907"/>
      <c r="P496" s="907"/>
      <c r="Q496" s="907"/>
      <c r="R496" s="907"/>
      <c r="S496" s="907"/>
      <c r="T496" s="907"/>
      <c r="U496" s="907"/>
      <c r="V496" s="907"/>
      <c r="W496" s="907"/>
      <c r="X496" s="907"/>
      <c r="Y496" s="907"/>
      <c r="Z496" s="907"/>
      <c r="AA496" s="907"/>
      <c r="AB496" s="907"/>
      <c r="AC496" s="907"/>
      <c r="AD496" s="907"/>
      <c r="AE496" s="907"/>
      <c r="AF496" s="907"/>
      <c r="AG496" s="907"/>
      <c r="AH496" s="907"/>
      <c r="AI496" s="907"/>
      <c r="AJ496" s="907"/>
      <c r="AK496" s="907"/>
      <c r="AL496" s="907"/>
    </row>
    <row r="497" spans="1:38">
      <c r="A497" s="907"/>
      <c r="B497" s="907"/>
      <c r="C497" s="907"/>
      <c r="D497" s="907"/>
      <c r="E497" s="907"/>
      <c r="F497" s="907"/>
      <c r="G497" s="907"/>
      <c r="H497" s="907"/>
      <c r="I497" s="907"/>
      <c r="J497" s="907"/>
      <c r="K497" s="907"/>
      <c r="L497" s="907"/>
      <c r="M497" s="907"/>
      <c r="N497" s="907"/>
      <c r="O497" s="907"/>
      <c r="P497" s="907"/>
      <c r="Q497" s="907"/>
      <c r="R497" s="907"/>
      <c r="S497" s="907"/>
      <c r="T497" s="907"/>
      <c r="U497" s="907"/>
      <c r="V497" s="907"/>
      <c r="W497" s="907"/>
      <c r="X497" s="907"/>
      <c r="Y497" s="907"/>
      <c r="Z497" s="907"/>
      <c r="AA497" s="907"/>
      <c r="AB497" s="907"/>
      <c r="AC497" s="907"/>
      <c r="AD497" s="907"/>
      <c r="AE497" s="907"/>
      <c r="AF497" s="907"/>
      <c r="AG497" s="907"/>
      <c r="AH497" s="907"/>
      <c r="AI497" s="907"/>
      <c r="AJ497" s="907"/>
      <c r="AK497" s="907"/>
      <c r="AL497" s="907"/>
    </row>
    <row r="498" spans="1:38">
      <c r="A498" s="907"/>
      <c r="B498" s="907"/>
      <c r="C498" s="907"/>
      <c r="D498" s="907"/>
      <c r="E498" s="907"/>
      <c r="F498" s="907"/>
      <c r="G498" s="907"/>
      <c r="H498" s="907"/>
      <c r="I498" s="907"/>
      <c r="J498" s="907"/>
      <c r="K498" s="907"/>
      <c r="L498" s="907"/>
      <c r="M498" s="907"/>
      <c r="N498" s="907"/>
      <c r="O498" s="907"/>
      <c r="P498" s="907"/>
      <c r="Q498" s="907"/>
      <c r="R498" s="907"/>
      <c r="S498" s="907"/>
      <c r="T498" s="907"/>
      <c r="U498" s="907"/>
      <c r="V498" s="907"/>
      <c r="W498" s="907"/>
      <c r="X498" s="907"/>
      <c r="Y498" s="907"/>
      <c r="Z498" s="907"/>
      <c r="AA498" s="907"/>
      <c r="AB498" s="907"/>
      <c r="AC498" s="907"/>
      <c r="AD498" s="907"/>
      <c r="AE498" s="907"/>
      <c r="AF498" s="907"/>
      <c r="AG498" s="907"/>
      <c r="AH498" s="907"/>
      <c r="AI498" s="907"/>
      <c r="AJ498" s="907"/>
      <c r="AK498" s="907"/>
      <c r="AL498" s="907"/>
    </row>
    <row r="499" spans="1:38">
      <c r="A499" s="907"/>
      <c r="B499" s="907"/>
      <c r="C499" s="907"/>
      <c r="D499" s="907"/>
      <c r="E499" s="907"/>
      <c r="F499" s="907"/>
      <c r="G499" s="907"/>
      <c r="H499" s="907"/>
      <c r="I499" s="907"/>
      <c r="J499" s="907"/>
      <c r="K499" s="907"/>
      <c r="L499" s="907"/>
      <c r="M499" s="907"/>
      <c r="N499" s="907"/>
      <c r="O499" s="907"/>
      <c r="P499" s="907"/>
      <c r="Q499" s="907"/>
      <c r="R499" s="907"/>
      <c r="S499" s="907"/>
      <c r="T499" s="907"/>
      <c r="U499" s="907"/>
      <c r="V499" s="907"/>
      <c r="W499" s="907"/>
      <c r="X499" s="907"/>
      <c r="Y499" s="907"/>
      <c r="Z499" s="907"/>
      <c r="AA499" s="907"/>
      <c r="AB499" s="907"/>
      <c r="AC499" s="907"/>
      <c r="AD499" s="907"/>
      <c r="AE499" s="907"/>
      <c r="AF499" s="907"/>
      <c r="AG499" s="907"/>
      <c r="AH499" s="907"/>
      <c r="AI499" s="907"/>
      <c r="AJ499" s="907"/>
      <c r="AK499" s="907"/>
      <c r="AL499" s="907"/>
    </row>
    <row r="500" spans="1:38">
      <c r="A500" s="907"/>
      <c r="B500" s="907"/>
      <c r="C500" s="907"/>
      <c r="D500" s="907"/>
      <c r="E500" s="907"/>
      <c r="F500" s="907"/>
      <c r="G500" s="907"/>
      <c r="H500" s="907"/>
      <c r="I500" s="907"/>
      <c r="J500" s="907"/>
      <c r="K500" s="907"/>
      <c r="L500" s="907"/>
      <c r="M500" s="907"/>
      <c r="N500" s="907"/>
      <c r="O500" s="907"/>
      <c r="P500" s="907"/>
      <c r="Q500" s="907"/>
      <c r="R500" s="907"/>
      <c r="S500" s="907"/>
      <c r="T500" s="907"/>
      <c r="U500" s="907"/>
      <c r="V500" s="907"/>
      <c r="W500" s="907"/>
      <c r="X500" s="907"/>
      <c r="Y500" s="907"/>
      <c r="Z500" s="907"/>
      <c r="AA500" s="907"/>
      <c r="AB500" s="907"/>
      <c r="AC500" s="907"/>
      <c r="AD500" s="907"/>
      <c r="AE500" s="907"/>
      <c r="AF500" s="907"/>
      <c r="AG500" s="907"/>
      <c r="AH500" s="907"/>
      <c r="AI500" s="907"/>
      <c r="AJ500" s="907"/>
      <c r="AK500" s="907"/>
      <c r="AL500" s="907"/>
    </row>
    <row r="501" spans="1:38">
      <c r="A501" s="907"/>
      <c r="B501" s="907"/>
      <c r="C501" s="907"/>
      <c r="D501" s="907"/>
      <c r="E501" s="907"/>
      <c r="F501" s="907"/>
      <c r="G501" s="907"/>
      <c r="H501" s="907"/>
      <c r="I501" s="907"/>
      <c r="J501" s="907"/>
      <c r="K501" s="907"/>
      <c r="L501" s="907"/>
      <c r="M501" s="907"/>
      <c r="N501" s="907"/>
      <c r="O501" s="907"/>
      <c r="P501" s="907"/>
      <c r="Q501" s="907"/>
      <c r="R501" s="907"/>
      <c r="S501" s="907"/>
      <c r="T501" s="907"/>
      <c r="U501" s="907"/>
      <c r="V501" s="907"/>
      <c r="W501" s="907"/>
      <c r="X501" s="907"/>
      <c r="Y501" s="907"/>
      <c r="Z501" s="907"/>
      <c r="AA501" s="907"/>
      <c r="AB501" s="907"/>
      <c r="AC501" s="907"/>
      <c r="AD501" s="907"/>
      <c r="AE501" s="907"/>
      <c r="AF501" s="907"/>
      <c r="AG501" s="907"/>
      <c r="AH501" s="907"/>
      <c r="AI501" s="907"/>
      <c r="AJ501" s="907"/>
      <c r="AK501" s="907"/>
      <c r="AL501" s="907"/>
    </row>
    <row r="502" spans="1:38">
      <c r="A502" s="907"/>
      <c r="B502" s="907"/>
      <c r="C502" s="907"/>
      <c r="D502" s="907"/>
      <c r="E502" s="907"/>
      <c r="F502" s="907"/>
      <c r="G502" s="907"/>
      <c r="H502" s="907"/>
      <c r="I502" s="907"/>
      <c r="J502" s="907"/>
      <c r="K502" s="907"/>
      <c r="L502" s="907"/>
      <c r="M502" s="907"/>
      <c r="N502" s="907"/>
      <c r="O502" s="907"/>
      <c r="P502" s="907"/>
      <c r="Q502" s="907"/>
      <c r="R502" s="907"/>
      <c r="S502" s="907"/>
      <c r="T502" s="907"/>
      <c r="U502" s="907"/>
      <c r="V502" s="907"/>
      <c r="W502" s="907"/>
      <c r="X502" s="907"/>
      <c r="Y502" s="907"/>
      <c r="Z502" s="907"/>
      <c r="AA502" s="907"/>
      <c r="AB502" s="907"/>
      <c r="AC502" s="907"/>
      <c r="AD502" s="907"/>
      <c r="AE502" s="907"/>
      <c r="AF502" s="907"/>
      <c r="AG502" s="907"/>
      <c r="AH502" s="907"/>
      <c r="AI502" s="907"/>
      <c r="AJ502" s="907"/>
      <c r="AK502" s="907"/>
      <c r="AL502" s="907"/>
    </row>
    <row r="503" spans="1:38">
      <c r="A503" s="907"/>
      <c r="B503" s="907"/>
      <c r="C503" s="907"/>
      <c r="D503" s="907"/>
      <c r="E503" s="907"/>
      <c r="F503" s="907"/>
      <c r="G503" s="907"/>
      <c r="H503" s="907"/>
      <c r="I503" s="907"/>
      <c r="J503" s="907"/>
      <c r="K503" s="907"/>
      <c r="L503" s="907"/>
      <c r="M503" s="907"/>
      <c r="N503" s="907"/>
      <c r="O503" s="907"/>
      <c r="P503" s="907"/>
      <c r="Q503" s="907"/>
      <c r="R503" s="907"/>
      <c r="S503" s="907"/>
      <c r="T503" s="907"/>
      <c r="U503" s="907"/>
      <c r="V503" s="907"/>
      <c r="W503" s="907"/>
      <c r="X503" s="907"/>
      <c r="Y503" s="907"/>
      <c r="Z503" s="907"/>
      <c r="AA503" s="907"/>
      <c r="AB503" s="907"/>
      <c r="AC503" s="907"/>
      <c r="AD503" s="907"/>
      <c r="AE503" s="907"/>
      <c r="AF503" s="907"/>
      <c r="AG503" s="907"/>
      <c r="AH503" s="907"/>
      <c r="AI503" s="907"/>
      <c r="AJ503" s="907"/>
      <c r="AK503" s="907"/>
      <c r="AL503" s="907"/>
    </row>
    <row r="504" spans="1:38">
      <c r="A504" s="907"/>
      <c r="B504" s="907"/>
      <c r="C504" s="907"/>
      <c r="D504" s="907"/>
      <c r="E504" s="907"/>
      <c r="F504" s="907"/>
      <c r="G504" s="907"/>
      <c r="H504" s="907"/>
      <c r="I504" s="907"/>
      <c r="J504" s="907"/>
      <c r="K504" s="907"/>
      <c r="L504" s="907"/>
      <c r="M504" s="907"/>
      <c r="N504" s="907"/>
      <c r="O504" s="907"/>
      <c r="P504" s="907"/>
      <c r="Q504" s="907"/>
      <c r="R504" s="907"/>
      <c r="S504" s="907"/>
      <c r="T504" s="907"/>
      <c r="U504" s="907"/>
      <c r="V504" s="907"/>
      <c r="W504" s="907"/>
      <c r="X504" s="907"/>
      <c r="Y504" s="907"/>
      <c r="Z504" s="907"/>
      <c r="AA504" s="907"/>
      <c r="AB504" s="907"/>
      <c r="AC504" s="907"/>
      <c r="AD504" s="907"/>
      <c r="AE504" s="907"/>
      <c r="AF504" s="907"/>
      <c r="AG504" s="907"/>
      <c r="AH504" s="907"/>
      <c r="AI504" s="907"/>
      <c r="AJ504" s="907"/>
      <c r="AK504" s="907"/>
      <c r="AL504" s="907"/>
    </row>
    <row r="505" spans="1:38">
      <c r="A505" s="907"/>
      <c r="B505" s="907"/>
      <c r="C505" s="907"/>
      <c r="D505" s="907"/>
      <c r="E505" s="907"/>
      <c r="F505" s="907"/>
      <c r="G505" s="907"/>
      <c r="H505" s="907"/>
      <c r="I505" s="907"/>
      <c r="J505" s="907"/>
      <c r="K505" s="907"/>
      <c r="L505" s="907"/>
      <c r="M505" s="907"/>
      <c r="N505" s="907"/>
      <c r="O505" s="907"/>
      <c r="P505" s="907"/>
      <c r="Q505" s="907"/>
      <c r="R505" s="907"/>
      <c r="S505" s="907"/>
      <c r="T505" s="907"/>
      <c r="U505" s="907"/>
      <c r="V505" s="907"/>
      <c r="W505" s="907"/>
      <c r="X505" s="907"/>
      <c r="Y505" s="907"/>
      <c r="Z505" s="907"/>
      <c r="AA505" s="907"/>
      <c r="AB505" s="907"/>
      <c r="AC505" s="907"/>
      <c r="AD505" s="907"/>
      <c r="AE505" s="907"/>
      <c r="AF505" s="907"/>
      <c r="AG505" s="907"/>
      <c r="AH505" s="907"/>
      <c r="AI505" s="907"/>
      <c r="AJ505" s="907"/>
      <c r="AK505" s="907"/>
      <c r="AL505" s="907"/>
    </row>
    <row r="506" spans="1:38">
      <c r="A506" s="907"/>
      <c r="B506" s="907"/>
      <c r="C506" s="907"/>
      <c r="D506" s="907"/>
      <c r="E506" s="907"/>
      <c r="F506" s="907"/>
      <c r="G506" s="907"/>
      <c r="H506" s="907"/>
      <c r="I506" s="907"/>
      <c r="J506" s="907"/>
      <c r="K506" s="907"/>
      <c r="L506" s="907"/>
      <c r="M506" s="907"/>
      <c r="N506" s="907"/>
      <c r="O506" s="907"/>
      <c r="P506" s="907"/>
      <c r="Q506" s="907"/>
      <c r="R506" s="907"/>
      <c r="S506" s="907"/>
      <c r="T506" s="907"/>
      <c r="U506" s="907"/>
      <c r="V506" s="907"/>
      <c r="W506" s="907"/>
      <c r="X506" s="907"/>
      <c r="Y506" s="907"/>
      <c r="Z506" s="907"/>
      <c r="AA506" s="907"/>
      <c r="AB506" s="907"/>
      <c r="AC506" s="907"/>
      <c r="AD506" s="907"/>
      <c r="AE506" s="907"/>
      <c r="AF506" s="907"/>
      <c r="AG506" s="907"/>
      <c r="AH506" s="907"/>
      <c r="AI506" s="907"/>
      <c r="AJ506" s="907"/>
      <c r="AK506" s="907"/>
      <c r="AL506" s="907"/>
    </row>
    <row r="507" spans="1:38">
      <c r="A507" s="907"/>
      <c r="B507" s="907"/>
      <c r="C507" s="907"/>
      <c r="D507" s="907"/>
      <c r="E507" s="907"/>
      <c r="F507" s="907"/>
      <c r="G507" s="907"/>
      <c r="H507" s="907"/>
      <c r="I507" s="907"/>
      <c r="J507" s="907"/>
      <c r="K507" s="907"/>
      <c r="L507" s="907"/>
      <c r="M507" s="907"/>
      <c r="N507" s="907"/>
      <c r="O507" s="907"/>
      <c r="P507" s="907"/>
      <c r="Q507" s="907"/>
      <c r="R507" s="907"/>
      <c r="S507" s="907"/>
      <c r="T507" s="907"/>
      <c r="U507" s="907"/>
      <c r="V507" s="907"/>
      <c r="W507" s="907"/>
      <c r="X507" s="907"/>
      <c r="Y507" s="907"/>
      <c r="Z507" s="907"/>
      <c r="AA507" s="907"/>
      <c r="AB507" s="907"/>
      <c r="AC507" s="907"/>
      <c r="AD507" s="907"/>
      <c r="AE507" s="907"/>
      <c r="AF507" s="907"/>
      <c r="AG507" s="907"/>
      <c r="AH507" s="907"/>
      <c r="AI507" s="907"/>
      <c r="AJ507" s="907"/>
      <c r="AK507" s="907"/>
      <c r="AL507" s="907"/>
    </row>
    <row r="508" spans="1:38">
      <c r="A508" s="907"/>
      <c r="B508" s="907"/>
      <c r="C508" s="907"/>
      <c r="D508" s="907"/>
      <c r="E508" s="907"/>
      <c r="F508" s="907"/>
      <c r="G508" s="907"/>
      <c r="H508" s="907"/>
      <c r="I508" s="907"/>
      <c r="J508" s="907"/>
      <c r="K508" s="907"/>
      <c r="L508" s="907"/>
      <c r="M508" s="907"/>
      <c r="N508" s="907"/>
      <c r="O508" s="907"/>
      <c r="P508" s="907"/>
      <c r="Q508" s="907"/>
      <c r="R508" s="907"/>
      <c r="S508" s="907"/>
      <c r="T508" s="907"/>
      <c r="U508" s="907"/>
      <c r="V508" s="907"/>
      <c r="W508" s="907"/>
      <c r="X508" s="907"/>
      <c r="Y508" s="907"/>
      <c r="Z508" s="907"/>
      <c r="AA508" s="907"/>
      <c r="AB508" s="907"/>
      <c r="AC508" s="907"/>
      <c r="AD508" s="907"/>
      <c r="AE508" s="907"/>
      <c r="AF508" s="907"/>
      <c r="AG508" s="907"/>
      <c r="AH508" s="907"/>
      <c r="AI508" s="907"/>
      <c r="AJ508" s="907"/>
      <c r="AK508" s="907"/>
      <c r="AL508" s="907"/>
    </row>
    <row r="509" spans="1:38">
      <c r="A509" s="907"/>
      <c r="B509" s="907"/>
      <c r="C509" s="907"/>
      <c r="D509" s="907"/>
      <c r="E509" s="907"/>
      <c r="F509" s="907"/>
      <c r="G509" s="907"/>
      <c r="H509" s="907"/>
      <c r="I509" s="907"/>
      <c r="J509" s="907"/>
      <c r="K509" s="907"/>
      <c r="L509" s="907"/>
      <c r="M509" s="907"/>
      <c r="N509" s="907"/>
      <c r="O509" s="907"/>
      <c r="P509" s="907"/>
      <c r="Q509" s="907"/>
      <c r="R509" s="907"/>
      <c r="S509" s="907"/>
      <c r="T509" s="907"/>
      <c r="U509" s="907"/>
      <c r="V509" s="907"/>
      <c r="W509" s="907"/>
      <c r="X509" s="907"/>
      <c r="Y509" s="907"/>
      <c r="Z509" s="907"/>
      <c r="AA509" s="907"/>
      <c r="AB509" s="907"/>
      <c r="AC509" s="907"/>
      <c r="AD509" s="907"/>
      <c r="AE509" s="907"/>
      <c r="AF509" s="907"/>
      <c r="AG509" s="907"/>
      <c r="AH509" s="907"/>
      <c r="AI509" s="907"/>
      <c r="AJ509" s="907"/>
      <c r="AK509" s="907"/>
      <c r="AL509" s="907"/>
    </row>
    <row r="510" spans="1:38">
      <c r="A510" s="907"/>
      <c r="B510" s="907"/>
      <c r="C510" s="907"/>
      <c r="D510" s="907"/>
      <c r="E510" s="907"/>
      <c r="F510" s="907"/>
      <c r="G510" s="907"/>
      <c r="H510" s="907"/>
      <c r="I510" s="907"/>
      <c r="J510" s="907"/>
      <c r="K510" s="907"/>
      <c r="L510" s="907"/>
      <c r="M510" s="907"/>
      <c r="N510" s="907"/>
      <c r="O510" s="907"/>
      <c r="P510" s="907"/>
      <c r="Q510" s="907"/>
      <c r="R510" s="907"/>
      <c r="S510" s="907"/>
      <c r="T510" s="907"/>
      <c r="U510" s="907"/>
      <c r="V510" s="907"/>
      <c r="W510" s="907"/>
      <c r="X510" s="907"/>
      <c r="Y510" s="907"/>
      <c r="Z510" s="907"/>
      <c r="AA510" s="907"/>
      <c r="AB510" s="907"/>
      <c r="AC510" s="907"/>
      <c r="AD510" s="907"/>
      <c r="AE510" s="907"/>
      <c r="AF510" s="907"/>
      <c r="AG510" s="907"/>
      <c r="AH510" s="907"/>
      <c r="AI510" s="907"/>
      <c r="AJ510" s="907"/>
      <c r="AK510" s="907"/>
      <c r="AL510" s="907"/>
    </row>
    <row r="511" spans="1:38">
      <c r="A511" s="907"/>
      <c r="B511" s="907"/>
      <c r="C511" s="907"/>
      <c r="D511" s="907"/>
      <c r="E511" s="907"/>
      <c r="F511" s="907"/>
      <c r="G511" s="907"/>
      <c r="H511" s="907"/>
      <c r="I511" s="907"/>
      <c r="J511" s="907"/>
      <c r="K511" s="907"/>
      <c r="L511" s="907"/>
      <c r="M511" s="907"/>
      <c r="N511" s="907"/>
      <c r="O511" s="907"/>
      <c r="P511" s="907"/>
      <c r="Q511" s="907"/>
      <c r="R511" s="907"/>
      <c r="S511" s="907"/>
      <c r="T511" s="907"/>
      <c r="U511" s="907"/>
      <c r="V511" s="907"/>
      <c r="W511" s="907"/>
      <c r="X511" s="907"/>
      <c r="Y511" s="907"/>
      <c r="Z511" s="907"/>
      <c r="AA511" s="907"/>
      <c r="AB511" s="907"/>
      <c r="AC511" s="907"/>
      <c r="AD511" s="907"/>
      <c r="AE511" s="907"/>
      <c r="AF511" s="907"/>
      <c r="AG511" s="907"/>
      <c r="AH511" s="907"/>
      <c r="AI511" s="907"/>
      <c r="AJ511" s="907"/>
      <c r="AK511" s="907"/>
      <c r="AL511" s="907"/>
    </row>
    <row r="512" spans="1:38">
      <c r="A512" s="907"/>
      <c r="B512" s="907"/>
      <c r="C512" s="907"/>
      <c r="D512" s="907"/>
      <c r="E512" s="907"/>
      <c r="F512" s="907"/>
      <c r="G512" s="907"/>
      <c r="H512" s="907"/>
      <c r="I512" s="907"/>
      <c r="J512" s="907"/>
      <c r="K512" s="907"/>
      <c r="L512" s="907"/>
      <c r="M512" s="907"/>
      <c r="N512" s="907"/>
      <c r="O512" s="907"/>
      <c r="P512" s="907"/>
      <c r="Q512" s="907"/>
      <c r="R512" s="907"/>
      <c r="S512" s="907"/>
      <c r="T512" s="907"/>
      <c r="U512" s="907"/>
      <c r="V512" s="907"/>
      <c r="W512" s="907"/>
      <c r="X512" s="907"/>
      <c r="Y512" s="907"/>
      <c r="Z512" s="907"/>
      <c r="AA512" s="907"/>
      <c r="AB512" s="907"/>
      <c r="AC512" s="907"/>
      <c r="AD512" s="907"/>
      <c r="AE512" s="907"/>
      <c r="AF512" s="907"/>
      <c r="AG512" s="907"/>
      <c r="AH512" s="907"/>
      <c r="AI512" s="907"/>
      <c r="AJ512" s="907"/>
      <c r="AK512" s="907"/>
      <c r="AL512" s="907"/>
    </row>
    <row r="513" spans="1:38">
      <c r="A513" s="907"/>
      <c r="B513" s="907"/>
      <c r="C513" s="907"/>
      <c r="D513" s="907"/>
      <c r="E513" s="907"/>
      <c r="F513" s="907"/>
      <c r="G513" s="907"/>
      <c r="H513" s="907"/>
      <c r="I513" s="907"/>
      <c r="J513" s="907"/>
      <c r="K513" s="907"/>
      <c r="L513" s="907"/>
      <c r="M513" s="907"/>
      <c r="N513" s="907"/>
      <c r="O513" s="907"/>
      <c r="P513" s="907"/>
      <c r="Q513" s="907"/>
      <c r="R513" s="907"/>
      <c r="S513" s="907"/>
      <c r="T513" s="907"/>
      <c r="U513" s="907"/>
      <c r="V513" s="907"/>
      <c r="W513" s="907"/>
      <c r="X513" s="907"/>
      <c r="Y513" s="907"/>
      <c r="Z513" s="907"/>
      <c r="AA513" s="907"/>
      <c r="AB513" s="907"/>
      <c r="AC513" s="907"/>
      <c r="AD513" s="907"/>
      <c r="AE513" s="907"/>
      <c r="AF513" s="907"/>
      <c r="AG513" s="907"/>
      <c r="AH513" s="907"/>
      <c r="AI513" s="907"/>
      <c r="AJ513" s="907"/>
      <c r="AK513" s="907"/>
      <c r="AL513" s="907"/>
    </row>
    <row r="514" spans="1:38">
      <c r="A514" s="907"/>
      <c r="B514" s="907"/>
      <c r="C514" s="907"/>
      <c r="D514" s="907"/>
      <c r="E514" s="907"/>
      <c r="F514" s="907"/>
      <c r="G514" s="907"/>
      <c r="H514" s="907"/>
      <c r="I514" s="907"/>
      <c r="J514" s="907"/>
      <c r="K514" s="907"/>
      <c r="L514" s="907"/>
      <c r="M514" s="907"/>
      <c r="N514" s="907"/>
      <c r="O514" s="907"/>
      <c r="P514" s="907"/>
      <c r="Q514" s="907"/>
      <c r="R514" s="907"/>
      <c r="S514" s="907"/>
      <c r="T514" s="907"/>
      <c r="U514" s="907"/>
      <c r="V514" s="907"/>
      <c r="W514" s="907"/>
      <c r="X514" s="907"/>
      <c r="Y514" s="907"/>
      <c r="Z514" s="907"/>
      <c r="AA514" s="907"/>
      <c r="AB514" s="907"/>
      <c r="AC514" s="907"/>
      <c r="AD514" s="907"/>
      <c r="AE514" s="907"/>
      <c r="AF514" s="907"/>
      <c r="AG514" s="907"/>
      <c r="AH514" s="907"/>
      <c r="AI514" s="907"/>
      <c r="AJ514" s="907"/>
      <c r="AK514" s="907"/>
      <c r="AL514" s="907"/>
    </row>
    <row r="515" spans="1:38">
      <c r="A515" s="907"/>
      <c r="B515" s="907"/>
      <c r="C515" s="907"/>
      <c r="D515" s="907"/>
      <c r="E515" s="907"/>
      <c r="F515" s="907"/>
      <c r="G515" s="907"/>
      <c r="H515" s="907"/>
      <c r="I515" s="907"/>
      <c r="J515" s="907"/>
      <c r="K515" s="907"/>
      <c r="L515" s="907"/>
      <c r="M515" s="907"/>
      <c r="N515" s="907"/>
      <c r="O515" s="907"/>
      <c r="P515" s="907"/>
      <c r="Q515" s="907"/>
      <c r="R515" s="907"/>
      <c r="S515" s="907"/>
      <c r="T515" s="907"/>
      <c r="U515" s="907"/>
      <c r="V515" s="907"/>
      <c r="W515" s="907"/>
      <c r="X515" s="907"/>
      <c r="Y515" s="907"/>
      <c r="Z515" s="907"/>
      <c r="AA515" s="907"/>
      <c r="AB515" s="907"/>
      <c r="AC515" s="907"/>
      <c r="AD515" s="907"/>
      <c r="AE515" s="907"/>
      <c r="AF515" s="907"/>
      <c r="AG515" s="907"/>
      <c r="AH515" s="907"/>
      <c r="AI515" s="907"/>
      <c r="AJ515" s="907"/>
      <c r="AK515" s="907"/>
      <c r="AL515" s="907"/>
    </row>
    <row r="516" spans="1:38">
      <c r="A516" s="907"/>
      <c r="B516" s="907"/>
      <c r="C516" s="907"/>
      <c r="D516" s="907"/>
      <c r="E516" s="907"/>
      <c r="F516" s="907"/>
      <c r="G516" s="907"/>
      <c r="H516" s="907"/>
      <c r="I516" s="907"/>
      <c r="J516" s="907"/>
      <c r="K516" s="907"/>
      <c r="L516" s="907"/>
      <c r="M516" s="907"/>
      <c r="N516" s="907"/>
      <c r="O516" s="907"/>
      <c r="P516" s="907"/>
      <c r="Q516" s="907"/>
      <c r="R516" s="907"/>
      <c r="S516" s="907"/>
      <c r="T516" s="907"/>
      <c r="U516" s="907"/>
      <c r="V516" s="907"/>
      <c r="W516" s="907"/>
      <c r="X516" s="907"/>
      <c r="Y516" s="907"/>
      <c r="Z516" s="907"/>
      <c r="AA516" s="907"/>
      <c r="AB516" s="907"/>
      <c r="AC516" s="907"/>
      <c r="AD516" s="907"/>
      <c r="AE516" s="907"/>
      <c r="AF516" s="907"/>
      <c r="AG516" s="907"/>
      <c r="AH516" s="907"/>
      <c r="AI516" s="907"/>
      <c r="AJ516" s="907"/>
      <c r="AK516" s="907"/>
      <c r="AL516" s="907"/>
    </row>
    <row r="517" spans="1:38">
      <c r="A517" s="907"/>
      <c r="B517" s="907"/>
      <c r="C517" s="907"/>
      <c r="D517" s="907"/>
      <c r="E517" s="907"/>
      <c r="F517" s="907"/>
      <c r="G517" s="907"/>
      <c r="H517" s="907"/>
      <c r="I517" s="907"/>
      <c r="J517" s="907"/>
      <c r="K517" s="907"/>
      <c r="L517" s="907"/>
      <c r="M517" s="907"/>
      <c r="N517" s="907"/>
      <c r="O517" s="907"/>
      <c r="P517" s="907"/>
      <c r="Q517" s="907"/>
      <c r="R517" s="907"/>
      <c r="S517" s="907"/>
      <c r="T517" s="907"/>
      <c r="U517" s="907"/>
      <c r="V517" s="907"/>
      <c r="W517" s="907"/>
      <c r="X517" s="907"/>
      <c r="Y517" s="907"/>
      <c r="Z517" s="907"/>
      <c r="AA517" s="907"/>
      <c r="AB517" s="907"/>
      <c r="AC517" s="907"/>
      <c r="AD517" s="907"/>
      <c r="AE517" s="907"/>
      <c r="AF517" s="907"/>
      <c r="AG517" s="907"/>
      <c r="AH517" s="907"/>
      <c r="AI517" s="907"/>
      <c r="AJ517" s="907"/>
      <c r="AK517" s="907"/>
      <c r="AL517" s="907"/>
    </row>
    <row r="518" spans="1:38">
      <c r="A518" s="907"/>
      <c r="B518" s="907"/>
      <c r="C518" s="907"/>
      <c r="D518" s="907"/>
      <c r="E518" s="907"/>
      <c r="F518" s="907"/>
      <c r="G518" s="907"/>
      <c r="H518" s="907"/>
      <c r="I518" s="907"/>
      <c r="J518" s="907"/>
      <c r="K518" s="907"/>
      <c r="L518" s="907"/>
      <c r="M518" s="907"/>
      <c r="N518" s="907"/>
      <c r="O518" s="907"/>
      <c r="P518" s="907"/>
      <c r="Q518" s="907"/>
      <c r="R518" s="907"/>
      <c r="S518" s="907"/>
      <c r="T518" s="907"/>
      <c r="U518" s="907"/>
      <c r="V518" s="907"/>
      <c r="W518" s="907"/>
      <c r="X518" s="907"/>
      <c r="Y518" s="907"/>
      <c r="Z518" s="907"/>
      <c r="AA518" s="907"/>
      <c r="AB518" s="907"/>
      <c r="AC518" s="907"/>
      <c r="AD518" s="907"/>
      <c r="AE518" s="907"/>
      <c r="AF518" s="907"/>
      <c r="AG518" s="907"/>
      <c r="AH518" s="907"/>
      <c r="AI518" s="907"/>
      <c r="AJ518" s="907"/>
      <c r="AK518" s="907"/>
      <c r="AL518" s="907"/>
    </row>
    <row r="519" spans="1:38">
      <c r="A519" s="907"/>
      <c r="B519" s="907"/>
      <c r="C519" s="907"/>
      <c r="D519" s="907"/>
      <c r="E519" s="907"/>
      <c r="F519" s="907"/>
      <c r="G519" s="907"/>
      <c r="H519" s="907"/>
      <c r="I519" s="907"/>
      <c r="J519" s="907"/>
      <c r="K519" s="907"/>
      <c r="L519" s="907"/>
      <c r="M519" s="907"/>
      <c r="N519" s="907"/>
      <c r="O519" s="907"/>
      <c r="P519" s="907"/>
      <c r="Q519" s="907"/>
      <c r="R519" s="907"/>
      <c r="S519" s="907"/>
      <c r="T519" s="907"/>
      <c r="U519" s="907"/>
      <c r="V519" s="907"/>
      <c r="W519" s="907"/>
      <c r="X519" s="907"/>
      <c r="Y519" s="907"/>
      <c r="Z519" s="907"/>
      <c r="AA519" s="907"/>
      <c r="AB519" s="907"/>
      <c r="AC519" s="907"/>
      <c r="AD519" s="907"/>
      <c r="AE519" s="907"/>
      <c r="AF519" s="907"/>
      <c r="AG519" s="907"/>
      <c r="AH519" s="907"/>
      <c r="AI519" s="907"/>
      <c r="AJ519" s="907"/>
      <c r="AK519" s="907"/>
      <c r="AL519" s="907"/>
    </row>
    <row r="520" spans="1:38">
      <c r="A520" s="907"/>
      <c r="B520" s="907"/>
      <c r="C520" s="907"/>
      <c r="D520" s="907"/>
      <c r="E520" s="907"/>
      <c r="F520" s="907"/>
      <c r="G520" s="907"/>
      <c r="H520" s="907"/>
      <c r="I520" s="907"/>
      <c r="J520" s="907"/>
      <c r="K520" s="907"/>
      <c r="L520" s="907"/>
      <c r="M520" s="907"/>
      <c r="N520" s="907"/>
      <c r="O520" s="907"/>
      <c r="P520" s="907"/>
      <c r="Q520" s="907"/>
      <c r="R520" s="907"/>
      <c r="S520" s="907"/>
      <c r="T520" s="907"/>
      <c r="U520" s="907"/>
      <c r="V520" s="907"/>
      <c r="W520" s="907"/>
      <c r="X520" s="907"/>
      <c r="Y520" s="907"/>
      <c r="Z520" s="907"/>
      <c r="AA520" s="907"/>
      <c r="AB520" s="907"/>
      <c r="AC520" s="907"/>
      <c r="AD520" s="907"/>
      <c r="AE520" s="907"/>
      <c r="AF520" s="907"/>
      <c r="AG520" s="907"/>
      <c r="AH520" s="907"/>
      <c r="AI520" s="907"/>
      <c r="AJ520" s="907"/>
      <c r="AK520" s="907"/>
      <c r="AL520" s="907"/>
    </row>
    <row r="521" spans="1:38">
      <c r="A521" s="907"/>
      <c r="B521" s="907"/>
      <c r="C521" s="907"/>
      <c r="D521" s="907"/>
      <c r="E521" s="907"/>
      <c r="F521" s="907"/>
      <c r="G521" s="907"/>
      <c r="H521" s="907"/>
      <c r="I521" s="907"/>
      <c r="J521" s="907"/>
      <c r="K521" s="907"/>
      <c r="L521" s="907"/>
      <c r="M521" s="907"/>
      <c r="N521" s="907"/>
      <c r="O521" s="907"/>
      <c r="P521" s="907"/>
      <c r="Q521" s="907"/>
      <c r="R521" s="907"/>
      <c r="S521" s="907"/>
      <c r="T521" s="907"/>
      <c r="U521" s="907"/>
      <c r="V521" s="907"/>
      <c r="W521" s="907"/>
      <c r="X521" s="907"/>
      <c r="Y521" s="907"/>
      <c r="Z521" s="907"/>
      <c r="AA521" s="907"/>
      <c r="AB521" s="907"/>
      <c r="AC521" s="907"/>
      <c r="AD521" s="907"/>
      <c r="AE521" s="907"/>
      <c r="AF521" s="907"/>
      <c r="AG521" s="907"/>
      <c r="AH521" s="907"/>
      <c r="AI521" s="907"/>
      <c r="AJ521" s="907"/>
      <c r="AK521" s="907"/>
      <c r="AL521" s="907"/>
    </row>
    <row r="522" spans="1:38">
      <c r="A522" s="907"/>
      <c r="B522" s="907"/>
      <c r="C522" s="907"/>
      <c r="D522" s="907"/>
      <c r="E522" s="907"/>
      <c r="F522" s="907"/>
      <c r="G522" s="907"/>
      <c r="H522" s="907"/>
      <c r="I522" s="907"/>
      <c r="J522" s="907"/>
      <c r="K522" s="907"/>
      <c r="L522" s="907"/>
      <c r="M522" s="907"/>
      <c r="N522" s="907"/>
      <c r="O522" s="907"/>
      <c r="P522" s="907"/>
      <c r="Q522" s="907"/>
      <c r="R522" s="907"/>
      <c r="S522" s="907"/>
      <c r="T522" s="907"/>
      <c r="U522" s="907"/>
      <c r="V522" s="907"/>
      <c r="W522" s="907"/>
      <c r="X522" s="907"/>
      <c r="Y522" s="907"/>
      <c r="Z522" s="907"/>
      <c r="AA522" s="907"/>
      <c r="AB522" s="907"/>
      <c r="AC522" s="907"/>
      <c r="AD522" s="907"/>
      <c r="AE522" s="907"/>
      <c r="AF522" s="907"/>
      <c r="AG522" s="907"/>
      <c r="AH522" s="907"/>
      <c r="AI522" s="907"/>
      <c r="AJ522" s="907"/>
      <c r="AK522" s="907"/>
      <c r="AL522" s="907"/>
    </row>
    <row r="523" spans="1:38">
      <c r="A523" s="907"/>
      <c r="B523" s="907"/>
      <c r="C523" s="907"/>
      <c r="D523" s="907"/>
      <c r="E523" s="907"/>
      <c r="F523" s="907"/>
      <c r="G523" s="907"/>
      <c r="H523" s="907"/>
      <c r="I523" s="907"/>
      <c r="J523" s="907"/>
      <c r="K523" s="907"/>
      <c r="L523" s="907"/>
      <c r="M523" s="907"/>
      <c r="N523" s="907"/>
      <c r="O523" s="907"/>
      <c r="P523" s="907"/>
      <c r="Q523" s="907"/>
      <c r="R523" s="907"/>
      <c r="S523" s="907"/>
      <c r="T523" s="907"/>
      <c r="U523" s="907"/>
      <c r="V523" s="907"/>
      <c r="W523" s="907"/>
      <c r="X523" s="907"/>
      <c r="Y523" s="907"/>
      <c r="Z523" s="907"/>
      <c r="AA523" s="907"/>
      <c r="AB523" s="907"/>
      <c r="AC523" s="907"/>
      <c r="AD523" s="907"/>
      <c r="AE523" s="907"/>
      <c r="AF523" s="907"/>
      <c r="AG523" s="907"/>
      <c r="AH523" s="907"/>
      <c r="AI523" s="907"/>
      <c r="AJ523" s="907"/>
      <c r="AK523" s="907"/>
      <c r="AL523" s="907"/>
    </row>
    <row r="524" spans="1:38">
      <c r="A524" s="907"/>
      <c r="B524" s="907"/>
      <c r="C524" s="907"/>
      <c r="D524" s="907"/>
      <c r="E524" s="907"/>
      <c r="F524" s="907"/>
      <c r="G524" s="907"/>
      <c r="H524" s="907"/>
      <c r="I524" s="907"/>
      <c r="J524" s="907"/>
      <c r="K524" s="907"/>
      <c r="L524" s="907"/>
      <c r="M524" s="907"/>
      <c r="N524" s="907"/>
      <c r="O524" s="907"/>
      <c r="P524" s="907"/>
      <c r="Q524" s="907"/>
      <c r="R524" s="907"/>
      <c r="S524" s="907"/>
      <c r="T524" s="907"/>
      <c r="U524" s="907"/>
      <c r="V524" s="907"/>
      <c r="W524" s="907"/>
      <c r="X524" s="907"/>
      <c r="Y524" s="907"/>
      <c r="Z524" s="907"/>
      <c r="AA524" s="907"/>
      <c r="AB524" s="907"/>
      <c r="AC524" s="907"/>
      <c r="AD524" s="907"/>
      <c r="AE524" s="907"/>
      <c r="AF524" s="907"/>
      <c r="AG524" s="907"/>
      <c r="AH524" s="907"/>
      <c r="AI524" s="907"/>
      <c r="AJ524" s="907"/>
      <c r="AK524" s="907"/>
      <c r="AL524" s="907"/>
    </row>
    <row r="525" spans="1:38">
      <c r="A525" s="907"/>
      <c r="B525" s="907"/>
      <c r="C525" s="907"/>
      <c r="D525" s="907"/>
      <c r="E525" s="907"/>
      <c r="F525" s="907"/>
      <c r="G525" s="907"/>
      <c r="H525" s="907"/>
      <c r="I525" s="907"/>
      <c r="J525" s="907"/>
      <c r="K525" s="907"/>
      <c r="L525" s="907"/>
      <c r="M525" s="907"/>
      <c r="N525" s="907"/>
      <c r="O525" s="907"/>
      <c r="P525" s="907"/>
      <c r="Q525" s="907"/>
      <c r="R525" s="907"/>
      <c r="S525" s="907"/>
      <c r="T525" s="907"/>
      <c r="U525" s="907"/>
      <c r="V525" s="907"/>
      <c r="W525" s="907"/>
      <c r="X525" s="907"/>
      <c r="Y525" s="907"/>
      <c r="Z525" s="907"/>
      <c r="AA525" s="907"/>
      <c r="AB525" s="907"/>
      <c r="AC525" s="907"/>
      <c r="AD525" s="907"/>
      <c r="AE525" s="907"/>
      <c r="AF525" s="907"/>
      <c r="AG525" s="907"/>
      <c r="AH525" s="907"/>
      <c r="AI525" s="907"/>
      <c r="AJ525" s="907"/>
      <c r="AK525" s="907"/>
      <c r="AL525" s="907"/>
    </row>
    <row r="526" spans="1:38">
      <c r="A526" s="907"/>
      <c r="B526" s="907"/>
      <c r="C526" s="907"/>
      <c r="D526" s="907"/>
      <c r="E526" s="907"/>
      <c r="F526" s="907"/>
      <c r="G526" s="907"/>
      <c r="H526" s="907"/>
      <c r="I526" s="907"/>
      <c r="J526" s="907"/>
      <c r="K526" s="907"/>
      <c r="L526" s="907"/>
      <c r="M526" s="907"/>
      <c r="N526" s="907"/>
      <c r="O526" s="907"/>
      <c r="P526" s="907"/>
      <c r="Q526" s="907"/>
      <c r="R526" s="907"/>
      <c r="S526" s="907"/>
      <c r="T526" s="907"/>
      <c r="U526" s="907"/>
      <c r="V526" s="907"/>
      <c r="W526" s="907"/>
      <c r="X526" s="907"/>
      <c r="Y526" s="907"/>
      <c r="Z526" s="907"/>
      <c r="AA526" s="907"/>
      <c r="AB526" s="907"/>
      <c r="AC526" s="907"/>
      <c r="AD526" s="907"/>
      <c r="AE526" s="907"/>
      <c r="AF526" s="907"/>
      <c r="AG526" s="907"/>
      <c r="AH526" s="907"/>
      <c r="AI526" s="907"/>
      <c r="AJ526" s="907"/>
      <c r="AK526" s="907"/>
      <c r="AL526" s="907"/>
    </row>
    <row r="527" spans="1:38">
      <c r="A527" s="907"/>
      <c r="B527" s="907"/>
      <c r="C527" s="907"/>
      <c r="D527" s="907"/>
      <c r="E527" s="907"/>
      <c r="F527" s="907"/>
      <c r="G527" s="907"/>
      <c r="H527" s="907"/>
      <c r="I527" s="907"/>
      <c r="J527" s="907"/>
      <c r="K527" s="907"/>
      <c r="L527" s="907"/>
      <c r="M527" s="907"/>
      <c r="N527" s="907"/>
      <c r="O527" s="907"/>
      <c r="P527" s="907"/>
      <c r="Q527" s="907"/>
      <c r="R527" s="907"/>
      <c r="S527" s="907"/>
      <c r="T527" s="907"/>
      <c r="U527" s="907"/>
      <c r="V527" s="907"/>
      <c r="W527" s="907"/>
      <c r="X527" s="907"/>
      <c r="Y527" s="907"/>
      <c r="Z527" s="907"/>
      <c r="AA527" s="907"/>
      <c r="AB527" s="907"/>
      <c r="AC527" s="907"/>
      <c r="AD527" s="907"/>
      <c r="AE527" s="907"/>
      <c r="AF527" s="907"/>
      <c r="AG527" s="907"/>
      <c r="AH527" s="907"/>
      <c r="AI527" s="907"/>
      <c r="AJ527" s="907"/>
      <c r="AK527" s="907"/>
      <c r="AL527" s="907"/>
    </row>
    <row r="528" spans="1:38">
      <c r="A528" s="907"/>
      <c r="B528" s="907"/>
      <c r="C528" s="907"/>
      <c r="D528" s="907"/>
      <c r="E528" s="907"/>
      <c r="F528" s="907"/>
      <c r="G528" s="907"/>
      <c r="H528" s="907"/>
      <c r="I528" s="907"/>
      <c r="J528" s="907"/>
      <c r="K528" s="907"/>
      <c r="L528" s="907"/>
      <c r="M528" s="907"/>
      <c r="N528" s="907"/>
      <c r="O528" s="907"/>
      <c r="P528" s="907"/>
      <c r="Q528" s="907"/>
      <c r="R528" s="907"/>
      <c r="S528" s="907"/>
      <c r="T528" s="907"/>
      <c r="U528" s="907"/>
      <c r="V528" s="907"/>
      <c r="W528" s="907"/>
      <c r="X528" s="907"/>
      <c r="Y528" s="907"/>
      <c r="Z528" s="907"/>
      <c r="AA528" s="907"/>
      <c r="AB528" s="907"/>
      <c r="AC528" s="907"/>
      <c r="AD528" s="907"/>
      <c r="AE528" s="907"/>
      <c r="AF528" s="907"/>
      <c r="AG528" s="907"/>
      <c r="AH528" s="907"/>
      <c r="AI528" s="907"/>
      <c r="AJ528" s="907"/>
      <c r="AK528" s="907"/>
      <c r="AL528" s="907"/>
    </row>
    <row r="529" spans="1:38">
      <c r="A529" s="907"/>
      <c r="B529" s="907"/>
      <c r="C529" s="907"/>
      <c r="D529" s="907"/>
      <c r="E529" s="907"/>
      <c r="F529" s="907"/>
      <c r="G529" s="907"/>
      <c r="H529" s="907"/>
      <c r="I529" s="907"/>
      <c r="J529" s="907"/>
      <c r="K529" s="907"/>
      <c r="L529" s="907"/>
      <c r="M529" s="907"/>
      <c r="N529" s="907"/>
      <c r="O529" s="907"/>
      <c r="P529" s="907"/>
      <c r="Q529" s="907"/>
      <c r="R529" s="907"/>
      <c r="S529" s="907"/>
      <c r="T529" s="907"/>
      <c r="U529" s="907"/>
      <c r="V529" s="907"/>
      <c r="W529" s="907"/>
      <c r="X529" s="907"/>
      <c r="Y529" s="907"/>
      <c r="Z529" s="907"/>
      <c r="AA529" s="907"/>
      <c r="AB529" s="907"/>
      <c r="AC529" s="907"/>
      <c r="AD529" s="907"/>
      <c r="AE529" s="907"/>
      <c r="AF529" s="907"/>
      <c r="AG529" s="907"/>
      <c r="AH529" s="907"/>
      <c r="AI529" s="907"/>
      <c r="AJ529" s="907"/>
      <c r="AK529" s="907"/>
      <c r="AL529" s="907"/>
    </row>
    <row r="530" spans="1:38">
      <c r="A530" s="907"/>
      <c r="B530" s="907"/>
      <c r="C530" s="907"/>
      <c r="D530" s="907"/>
      <c r="E530" s="907"/>
      <c r="F530" s="907"/>
      <c r="G530" s="907"/>
      <c r="H530" s="907"/>
      <c r="I530" s="907"/>
      <c r="J530" s="907"/>
      <c r="K530" s="907"/>
      <c r="L530" s="907"/>
      <c r="M530" s="907"/>
      <c r="N530" s="907"/>
      <c r="O530" s="907"/>
      <c r="P530" s="907"/>
      <c r="Q530" s="907"/>
      <c r="R530" s="907"/>
      <c r="S530" s="907"/>
      <c r="T530" s="907"/>
      <c r="U530" s="907"/>
      <c r="V530" s="907"/>
      <c r="W530" s="907"/>
      <c r="X530" s="907"/>
      <c r="Y530" s="907"/>
      <c r="Z530" s="907"/>
      <c r="AA530" s="907"/>
      <c r="AB530" s="907"/>
      <c r="AC530" s="907"/>
      <c r="AD530" s="907"/>
      <c r="AE530" s="907"/>
      <c r="AF530" s="907"/>
      <c r="AG530" s="907"/>
      <c r="AH530" s="907"/>
      <c r="AI530" s="907"/>
      <c r="AJ530" s="907"/>
      <c r="AK530" s="907"/>
      <c r="AL530" s="907"/>
    </row>
    <row r="531" spans="1:38">
      <c r="A531" s="907"/>
      <c r="B531" s="907"/>
      <c r="C531" s="907"/>
      <c r="D531" s="907"/>
      <c r="E531" s="907"/>
      <c r="F531" s="907"/>
      <c r="G531" s="907"/>
      <c r="H531" s="907"/>
      <c r="I531" s="907"/>
      <c r="J531" s="907"/>
      <c r="K531" s="907"/>
      <c r="L531" s="907"/>
      <c r="M531" s="907"/>
      <c r="N531" s="907"/>
      <c r="O531" s="907"/>
      <c r="P531" s="907"/>
      <c r="Q531" s="907"/>
      <c r="R531" s="907"/>
      <c r="S531" s="907"/>
      <c r="T531" s="907"/>
      <c r="U531" s="907"/>
      <c r="V531" s="907"/>
      <c r="W531" s="907"/>
      <c r="X531" s="907"/>
      <c r="Y531" s="907"/>
      <c r="Z531" s="907"/>
      <c r="AA531" s="907"/>
      <c r="AB531" s="907"/>
      <c r="AC531" s="907"/>
      <c r="AD531" s="907"/>
      <c r="AE531" s="907"/>
      <c r="AF531" s="907"/>
      <c r="AG531" s="907"/>
      <c r="AH531" s="907"/>
      <c r="AI531" s="907"/>
      <c r="AJ531" s="907"/>
      <c r="AK531" s="907"/>
      <c r="AL531" s="907"/>
    </row>
    <row r="532" spans="1:38">
      <c r="A532" s="907"/>
      <c r="B532" s="907"/>
      <c r="C532" s="907"/>
      <c r="D532" s="907"/>
      <c r="E532" s="907"/>
      <c r="F532" s="907"/>
      <c r="G532" s="907"/>
      <c r="H532" s="907"/>
      <c r="I532" s="907"/>
      <c r="J532" s="907"/>
      <c r="K532" s="907"/>
      <c r="L532" s="907"/>
      <c r="M532" s="907"/>
      <c r="N532" s="907"/>
      <c r="O532" s="907"/>
      <c r="P532" s="907"/>
      <c r="Q532" s="907"/>
      <c r="R532" s="907"/>
      <c r="S532" s="907"/>
      <c r="T532" s="907"/>
      <c r="U532" s="907"/>
      <c r="V532" s="907"/>
      <c r="W532" s="907"/>
      <c r="X532" s="907"/>
      <c r="Y532" s="907"/>
      <c r="Z532" s="907"/>
      <c r="AA532" s="907"/>
      <c r="AB532" s="907"/>
      <c r="AC532" s="907"/>
      <c r="AD532" s="907"/>
      <c r="AE532" s="907"/>
      <c r="AF532" s="907"/>
      <c r="AG532" s="907"/>
      <c r="AH532" s="907"/>
      <c r="AI532" s="907"/>
      <c r="AJ532" s="907"/>
      <c r="AK532" s="907"/>
      <c r="AL532" s="907"/>
    </row>
    <row r="533" spans="1:38">
      <c r="A533" s="907"/>
      <c r="B533" s="907"/>
      <c r="C533" s="907"/>
      <c r="D533" s="907"/>
      <c r="E533" s="907"/>
      <c r="F533" s="907"/>
      <c r="G533" s="907"/>
      <c r="H533" s="907"/>
      <c r="I533" s="907"/>
      <c r="J533" s="907"/>
      <c r="K533" s="907"/>
      <c r="L533" s="907"/>
      <c r="M533" s="907"/>
      <c r="N533" s="907"/>
      <c r="O533" s="907"/>
      <c r="P533" s="907"/>
      <c r="Q533" s="907"/>
      <c r="R533" s="907"/>
      <c r="S533" s="907"/>
      <c r="T533" s="907"/>
      <c r="U533" s="907"/>
      <c r="V533" s="907"/>
      <c r="W533" s="907"/>
      <c r="X533" s="907"/>
      <c r="Y533" s="907"/>
      <c r="Z533" s="907"/>
      <c r="AA533" s="907"/>
      <c r="AB533" s="907"/>
      <c r="AC533" s="907"/>
      <c r="AD533" s="907"/>
      <c r="AE533" s="907"/>
      <c r="AF533" s="907"/>
      <c r="AG533" s="907"/>
      <c r="AH533" s="907"/>
      <c r="AI533" s="907"/>
      <c r="AJ533" s="907"/>
      <c r="AK533" s="907"/>
      <c r="AL533" s="907"/>
    </row>
    <row r="534" spans="1:38">
      <c r="A534" s="907"/>
      <c r="B534" s="907"/>
      <c r="C534" s="907"/>
      <c r="D534" s="907"/>
      <c r="E534" s="907"/>
      <c r="F534" s="907"/>
      <c r="G534" s="907"/>
      <c r="H534" s="907"/>
      <c r="I534" s="907"/>
      <c r="J534" s="907"/>
      <c r="K534" s="907"/>
      <c r="L534" s="907"/>
      <c r="M534" s="907"/>
      <c r="N534" s="907"/>
      <c r="O534" s="907"/>
      <c r="P534" s="907"/>
      <c r="Q534" s="907"/>
      <c r="R534" s="907"/>
      <c r="S534" s="907"/>
      <c r="T534" s="907"/>
      <c r="U534" s="907"/>
      <c r="V534" s="907"/>
      <c r="W534" s="907"/>
      <c r="X534" s="907"/>
      <c r="Y534" s="907"/>
      <c r="Z534" s="907"/>
      <c r="AA534" s="907"/>
      <c r="AB534" s="907"/>
      <c r="AC534" s="907"/>
      <c r="AD534" s="907"/>
      <c r="AE534" s="907"/>
      <c r="AF534" s="907"/>
      <c r="AG534" s="907"/>
      <c r="AH534" s="907"/>
      <c r="AI534" s="907"/>
      <c r="AJ534" s="907"/>
      <c r="AK534" s="907"/>
      <c r="AL534" s="907"/>
    </row>
    <row r="535" spans="1:38">
      <c r="A535" s="907"/>
      <c r="B535" s="907"/>
      <c r="C535" s="907"/>
      <c r="D535" s="907"/>
      <c r="E535" s="907"/>
      <c r="F535" s="907"/>
      <c r="G535" s="907"/>
      <c r="H535" s="907"/>
      <c r="I535" s="907"/>
      <c r="J535" s="907"/>
      <c r="K535" s="907"/>
      <c r="L535" s="907"/>
      <c r="M535" s="907"/>
      <c r="N535" s="907"/>
      <c r="O535" s="907"/>
      <c r="P535" s="907"/>
      <c r="Q535" s="907"/>
      <c r="R535" s="907"/>
      <c r="S535" s="907"/>
      <c r="T535" s="907"/>
      <c r="U535" s="907"/>
      <c r="V535" s="907"/>
      <c r="W535" s="907"/>
      <c r="X535" s="907"/>
      <c r="Y535" s="907"/>
      <c r="Z535" s="907"/>
      <c r="AA535" s="907"/>
      <c r="AB535" s="907"/>
      <c r="AC535" s="907"/>
      <c r="AD535" s="907"/>
      <c r="AE535" s="907"/>
      <c r="AF535" s="907"/>
      <c r="AG535" s="907"/>
      <c r="AH535" s="907"/>
      <c r="AI535" s="907"/>
      <c r="AJ535" s="907"/>
      <c r="AK535" s="907"/>
      <c r="AL535" s="907"/>
    </row>
    <row r="536" spans="1:38">
      <c r="A536" s="907"/>
      <c r="B536" s="907"/>
      <c r="C536" s="907"/>
      <c r="D536" s="907"/>
      <c r="E536" s="907"/>
      <c r="F536" s="907"/>
      <c r="G536" s="907"/>
      <c r="H536" s="907"/>
      <c r="I536" s="907"/>
      <c r="J536" s="907"/>
      <c r="K536" s="907"/>
      <c r="L536" s="907"/>
      <c r="M536" s="907"/>
      <c r="N536" s="907"/>
      <c r="O536" s="907"/>
      <c r="P536" s="907"/>
      <c r="Q536" s="907"/>
      <c r="R536" s="907"/>
      <c r="S536" s="907"/>
      <c r="T536" s="907"/>
      <c r="U536" s="907"/>
      <c r="V536" s="907"/>
      <c r="W536" s="907"/>
      <c r="X536" s="907"/>
      <c r="Y536" s="907"/>
      <c r="Z536" s="907"/>
      <c r="AA536" s="907"/>
      <c r="AB536" s="907"/>
      <c r="AC536" s="907"/>
      <c r="AD536" s="907"/>
      <c r="AE536" s="907"/>
      <c r="AF536" s="907"/>
      <c r="AG536" s="907"/>
      <c r="AH536" s="907"/>
      <c r="AI536" s="907"/>
      <c r="AJ536" s="907"/>
      <c r="AK536" s="907"/>
      <c r="AL536" s="907"/>
    </row>
    <row r="537" spans="1:38">
      <c r="A537" s="907"/>
      <c r="B537" s="907"/>
      <c r="C537" s="907"/>
      <c r="D537" s="907"/>
      <c r="E537" s="907"/>
      <c r="F537" s="907"/>
      <c r="G537" s="907"/>
      <c r="H537" s="907"/>
      <c r="I537" s="907"/>
      <c r="J537" s="907"/>
      <c r="K537" s="907"/>
      <c r="L537" s="907"/>
      <c r="M537" s="907"/>
      <c r="N537" s="907"/>
      <c r="O537" s="907"/>
      <c r="P537" s="907"/>
      <c r="Q537" s="907"/>
      <c r="R537" s="907"/>
      <c r="S537" s="907"/>
      <c r="T537" s="907"/>
      <c r="U537" s="907"/>
      <c r="V537" s="907"/>
      <c r="W537" s="907"/>
      <c r="X537" s="907"/>
      <c r="Y537" s="907"/>
      <c r="Z537" s="907"/>
      <c r="AA537" s="907"/>
      <c r="AB537" s="907"/>
      <c r="AC537" s="907"/>
      <c r="AD537" s="907"/>
      <c r="AE537" s="907"/>
      <c r="AF537" s="907"/>
      <c r="AG537" s="907"/>
      <c r="AH537" s="907"/>
      <c r="AI537" s="907"/>
      <c r="AJ537" s="907"/>
      <c r="AK537" s="907"/>
      <c r="AL537" s="907"/>
    </row>
    <row r="538" spans="1:38">
      <c r="A538" s="907"/>
      <c r="B538" s="907"/>
      <c r="C538" s="907"/>
      <c r="D538" s="907"/>
      <c r="E538" s="907"/>
      <c r="F538" s="907"/>
      <c r="G538" s="907"/>
      <c r="H538" s="907"/>
      <c r="I538" s="907"/>
      <c r="J538" s="907"/>
      <c r="K538" s="907"/>
      <c r="L538" s="907"/>
      <c r="M538" s="907"/>
      <c r="N538" s="907"/>
      <c r="O538" s="907"/>
      <c r="P538" s="907"/>
      <c r="Q538" s="907"/>
      <c r="R538" s="907"/>
      <c r="S538" s="907"/>
      <c r="T538" s="907"/>
      <c r="U538" s="907"/>
      <c r="V538" s="907"/>
      <c r="W538" s="907"/>
      <c r="X538" s="907"/>
      <c r="Y538" s="907"/>
      <c r="Z538" s="907"/>
      <c r="AA538" s="907"/>
      <c r="AB538" s="907"/>
      <c r="AC538" s="907"/>
      <c r="AD538" s="907"/>
      <c r="AE538" s="907"/>
      <c r="AF538" s="907"/>
      <c r="AG538" s="907"/>
      <c r="AH538" s="907"/>
      <c r="AI538" s="907"/>
      <c r="AJ538" s="907"/>
      <c r="AK538" s="907"/>
      <c r="AL538" s="907"/>
    </row>
    <row r="539" spans="1:38">
      <c r="A539" s="907"/>
      <c r="B539" s="907"/>
      <c r="C539" s="907"/>
      <c r="D539" s="907"/>
      <c r="E539" s="907"/>
      <c r="F539" s="907"/>
      <c r="G539" s="907"/>
      <c r="H539" s="907"/>
      <c r="I539" s="907"/>
      <c r="J539" s="907"/>
      <c r="K539" s="907"/>
      <c r="L539" s="907"/>
      <c r="M539" s="907"/>
      <c r="N539" s="907"/>
      <c r="O539" s="907"/>
      <c r="P539" s="907"/>
      <c r="Q539" s="907"/>
      <c r="R539" s="907"/>
      <c r="S539" s="907"/>
      <c r="T539" s="907"/>
      <c r="U539" s="907"/>
      <c r="V539" s="907"/>
      <c r="W539" s="907"/>
      <c r="X539" s="907"/>
      <c r="Y539" s="907"/>
      <c r="Z539" s="907"/>
      <c r="AA539" s="907"/>
      <c r="AB539" s="907"/>
      <c r="AC539" s="907"/>
      <c r="AD539" s="907"/>
      <c r="AE539" s="907"/>
      <c r="AF539" s="907"/>
      <c r="AG539" s="907"/>
      <c r="AH539" s="907"/>
      <c r="AI539" s="907"/>
      <c r="AJ539" s="907"/>
      <c r="AK539" s="907"/>
      <c r="AL539" s="907"/>
    </row>
    <row r="540" spans="1:38">
      <c r="A540" s="907"/>
      <c r="B540" s="907"/>
      <c r="C540" s="907"/>
      <c r="D540" s="907"/>
      <c r="E540" s="907"/>
      <c r="F540" s="907"/>
      <c r="G540" s="907"/>
      <c r="H540" s="907"/>
      <c r="I540" s="907"/>
      <c r="J540" s="907"/>
      <c r="K540" s="907"/>
      <c r="L540" s="907"/>
      <c r="M540" s="907"/>
      <c r="N540" s="907"/>
      <c r="O540" s="907"/>
      <c r="P540" s="907"/>
      <c r="Q540" s="907"/>
      <c r="R540" s="907"/>
      <c r="S540" s="907"/>
      <c r="T540" s="907"/>
      <c r="U540" s="907"/>
      <c r="V540" s="907"/>
      <c r="W540" s="907"/>
      <c r="X540" s="907"/>
      <c r="Y540" s="907"/>
      <c r="Z540" s="907"/>
      <c r="AA540" s="907"/>
      <c r="AB540" s="907"/>
      <c r="AC540" s="907"/>
      <c r="AD540" s="907"/>
      <c r="AE540" s="907"/>
      <c r="AF540" s="907"/>
      <c r="AG540" s="907"/>
      <c r="AH540" s="907"/>
      <c r="AI540" s="907"/>
      <c r="AJ540" s="907"/>
      <c r="AK540" s="907"/>
      <c r="AL540" s="907"/>
    </row>
    <row r="541" spans="1:38">
      <c r="A541" s="907"/>
      <c r="B541" s="907"/>
      <c r="C541" s="907"/>
      <c r="D541" s="907"/>
      <c r="E541" s="907"/>
      <c r="F541" s="907"/>
      <c r="G541" s="907"/>
      <c r="H541" s="907"/>
      <c r="I541" s="907"/>
      <c r="J541" s="907"/>
      <c r="K541" s="907"/>
      <c r="L541" s="907"/>
      <c r="M541" s="907"/>
      <c r="N541" s="907"/>
      <c r="O541" s="907"/>
      <c r="P541" s="907"/>
      <c r="Q541" s="907"/>
      <c r="R541" s="907"/>
      <c r="S541" s="907"/>
      <c r="T541" s="907"/>
      <c r="U541" s="907"/>
      <c r="V541" s="907"/>
      <c r="W541" s="907"/>
      <c r="X541" s="907"/>
      <c r="Y541" s="907"/>
      <c r="Z541" s="907"/>
      <c r="AA541" s="907"/>
      <c r="AB541" s="907"/>
      <c r="AC541" s="907"/>
      <c r="AD541" s="907"/>
      <c r="AE541" s="907"/>
      <c r="AF541" s="907"/>
      <c r="AG541" s="907"/>
      <c r="AH541" s="907"/>
      <c r="AI541" s="907"/>
      <c r="AJ541" s="907"/>
      <c r="AK541" s="907"/>
      <c r="AL541" s="907"/>
    </row>
    <row r="542" spans="1:38">
      <c r="A542" s="907"/>
      <c r="B542" s="907"/>
      <c r="C542" s="907"/>
      <c r="D542" s="907"/>
      <c r="E542" s="907"/>
      <c r="F542" s="907"/>
      <c r="G542" s="907"/>
      <c r="H542" s="907"/>
      <c r="I542" s="907"/>
      <c r="J542" s="907"/>
      <c r="K542" s="907"/>
      <c r="L542" s="907"/>
      <c r="M542" s="907"/>
      <c r="N542" s="907"/>
      <c r="O542" s="907"/>
      <c r="P542" s="907"/>
      <c r="Q542" s="907"/>
      <c r="R542" s="907"/>
      <c r="S542" s="907"/>
      <c r="T542" s="907"/>
      <c r="U542" s="907"/>
      <c r="V542" s="907"/>
      <c r="W542" s="907"/>
      <c r="X542" s="907"/>
      <c r="Y542" s="907"/>
      <c r="Z542" s="907"/>
      <c r="AA542" s="907"/>
      <c r="AB542" s="907"/>
      <c r="AC542" s="907"/>
      <c r="AD542" s="907"/>
      <c r="AE542" s="907"/>
      <c r="AF542" s="907"/>
      <c r="AG542" s="907"/>
      <c r="AH542" s="907"/>
      <c r="AI542" s="907"/>
      <c r="AJ542" s="907"/>
      <c r="AK542" s="907"/>
      <c r="AL542" s="907"/>
    </row>
    <row r="543" spans="1:38">
      <c r="A543" s="907"/>
      <c r="B543" s="907"/>
      <c r="C543" s="907"/>
      <c r="D543" s="907"/>
      <c r="E543" s="907"/>
      <c r="F543" s="907"/>
      <c r="G543" s="907"/>
      <c r="H543" s="907"/>
      <c r="I543" s="907"/>
      <c r="J543" s="907"/>
      <c r="K543" s="907"/>
      <c r="L543" s="907"/>
      <c r="M543" s="907"/>
      <c r="N543" s="907"/>
      <c r="O543" s="907"/>
      <c r="P543" s="907"/>
      <c r="Q543" s="907"/>
      <c r="R543" s="907"/>
      <c r="S543" s="907"/>
      <c r="T543" s="907"/>
      <c r="U543" s="907"/>
      <c r="V543" s="907"/>
      <c r="W543" s="907"/>
      <c r="X543" s="907"/>
      <c r="Y543" s="907"/>
      <c r="Z543" s="907"/>
      <c r="AA543" s="907"/>
      <c r="AB543" s="907"/>
      <c r="AC543" s="907"/>
      <c r="AD543" s="907"/>
      <c r="AE543" s="907"/>
      <c r="AF543" s="907"/>
      <c r="AG543" s="907"/>
      <c r="AH543" s="907"/>
      <c r="AI543" s="907"/>
      <c r="AJ543" s="907"/>
      <c r="AK543" s="907"/>
      <c r="AL543" s="907"/>
    </row>
    <row r="544" spans="1:38">
      <c r="A544" s="907"/>
      <c r="B544" s="907"/>
      <c r="C544" s="907"/>
      <c r="D544" s="907"/>
      <c r="E544" s="907"/>
      <c r="F544" s="907"/>
      <c r="G544" s="907"/>
      <c r="H544" s="907"/>
      <c r="I544" s="907"/>
      <c r="J544" s="907"/>
      <c r="K544" s="907"/>
      <c r="L544" s="907"/>
      <c r="M544" s="907"/>
      <c r="N544" s="907"/>
      <c r="O544" s="907"/>
      <c r="P544" s="907"/>
      <c r="Q544" s="907"/>
      <c r="R544" s="907"/>
      <c r="S544" s="907"/>
      <c r="T544" s="907"/>
      <c r="U544" s="907"/>
      <c r="V544" s="907"/>
      <c r="W544" s="907"/>
      <c r="X544" s="907"/>
      <c r="Y544" s="907"/>
      <c r="Z544" s="907"/>
      <c r="AA544" s="907"/>
      <c r="AB544" s="907"/>
      <c r="AC544" s="907"/>
      <c r="AD544" s="907"/>
      <c r="AE544" s="907"/>
      <c r="AF544" s="907"/>
      <c r="AG544" s="907"/>
      <c r="AH544" s="907"/>
      <c r="AI544" s="907"/>
      <c r="AJ544" s="907"/>
      <c r="AK544" s="907"/>
      <c r="AL544" s="907"/>
    </row>
    <row r="545" spans="1:38">
      <c r="A545" s="907"/>
      <c r="B545" s="907"/>
      <c r="C545" s="907"/>
      <c r="D545" s="907"/>
      <c r="E545" s="907"/>
      <c r="F545" s="907"/>
      <c r="G545" s="907"/>
      <c r="H545" s="907"/>
      <c r="I545" s="907"/>
      <c r="J545" s="907"/>
      <c r="K545" s="907"/>
      <c r="L545" s="907"/>
      <c r="M545" s="907"/>
      <c r="N545" s="907"/>
      <c r="O545" s="907"/>
      <c r="P545" s="907"/>
      <c r="Q545" s="907"/>
      <c r="R545" s="907"/>
      <c r="S545" s="907"/>
      <c r="T545" s="907"/>
      <c r="U545" s="907"/>
      <c r="V545" s="907"/>
      <c r="W545" s="907"/>
      <c r="X545" s="907"/>
      <c r="Y545" s="907"/>
      <c r="Z545" s="907"/>
      <c r="AA545" s="907"/>
      <c r="AB545" s="907"/>
      <c r="AC545" s="907"/>
      <c r="AD545" s="907"/>
      <c r="AE545" s="907"/>
      <c r="AF545" s="907"/>
      <c r="AG545" s="907"/>
      <c r="AH545" s="907"/>
      <c r="AI545" s="907"/>
      <c r="AJ545" s="907"/>
      <c r="AK545" s="907"/>
      <c r="AL545" s="907"/>
    </row>
    <row r="546" spans="1:38">
      <c r="A546" s="907"/>
      <c r="B546" s="907"/>
      <c r="C546" s="907"/>
      <c r="D546" s="907"/>
      <c r="E546" s="907"/>
      <c r="F546" s="907"/>
      <c r="G546" s="907"/>
      <c r="H546" s="907"/>
      <c r="I546" s="907"/>
      <c r="J546" s="907"/>
      <c r="K546" s="907"/>
      <c r="L546" s="907"/>
      <c r="M546" s="907"/>
      <c r="N546" s="907"/>
      <c r="O546" s="907"/>
      <c r="P546" s="907"/>
      <c r="Q546" s="907"/>
      <c r="R546" s="907"/>
      <c r="S546" s="907"/>
      <c r="T546" s="907"/>
      <c r="U546" s="907"/>
      <c r="V546" s="907"/>
      <c r="W546" s="907"/>
      <c r="X546" s="907"/>
      <c r="Y546" s="907"/>
      <c r="Z546" s="907"/>
      <c r="AA546" s="907"/>
      <c r="AB546" s="907"/>
      <c r="AC546" s="907"/>
      <c r="AD546" s="907"/>
      <c r="AE546" s="907"/>
      <c r="AF546" s="907"/>
      <c r="AG546" s="907"/>
      <c r="AH546" s="907"/>
      <c r="AI546" s="907"/>
      <c r="AJ546" s="907"/>
      <c r="AK546" s="907"/>
      <c r="AL546" s="907"/>
    </row>
    <row r="547" spans="1:38">
      <c r="A547" s="907"/>
      <c r="B547" s="907"/>
      <c r="C547" s="907"/>
      <c r="D547" s="907"/>
      <c r="E547" s="907"/>
      <c r="F547" s="907"/>
      <c r="G547" s="907"/>
      <c r="H547" s="907"/>
      <c r="I547" s="907"/>
      <c r="J547" s="907"/>
      <c r="K547" s="907"/>
      <c r="L547" s="907"/>
      <c r="M547" s="907"/>
      <c r="N547" s="907"/>
      <c r="O547" s="907"/>
      <c r="P547" s="907"/>
      <c r="Q547" s="907"/>
      <c r="R547" s="907"/>
      <c r="S547" s="907"/>
      <c r="T547" s="907"/>
      <c r="U547" s="907"/>
      <c r="V547" s="907"/>
      <c r="W547" s="907"/>
      <c r="X547" s="907"/>
      <c r="Y547" s="907"/>
      <c r="Z547" s="907"/>
      <c r="AA547" s="907"/>
      <c r="AB547" s="907"/>
      <c r="AC547" s="907"/>
      <c r="AD547" s="907"/>
      <c r="AE547" s="907"/>
      <c r="AF547" s="907"/>
      <c r="AG547" s="907"/>
      <c r="AH547" s="907"/>
      <c r="AI547" s="907"/>
      <c r="AJ547" s="907"/>
      <c r="AK547" s="907"/>
      <c r="AL547" s="907"/>
    </row>
    <row r="548" spans="1:38">
      <c r="A548" s="907"/>
      <c r="B548" s="907"/>
      <c r="C548" s="907"/>
      <c r="D548" s="907"/>
      <c r="E548" s="907"/>
      <c r="F548" s="907"/>
      <c r="G548" s="907"/>
      <c r="H548" s="907"/>
      <c r="I548" s="907"/>
      <c r="J548" s="907"/>
      <c r="K548" s="907"/>
      <c r="L548" s="907"/>
      <c r="M548" s="907"/>
      <c r="N548" s="907"/>
      <c r="O548" s="907"/>
      <c r="P548" s="907"/>
      <c r="Q548" s="907"/>
      <c r="R548" s="907"/>
      <c r="S548" s="907"/>
      <c r="T548" s="907"/>
      <c r="U548" s="907"/>
      <c r="V548" s="907"/>
      <c r="W548" s="907"/>
      <c r="X548" s="907"/>
      <c r="Y548" s="907"/>
      <c r="Z548" s="907"/>
      <c r="AA548" s="907"/>
      <c r="AB548" s="907"/>
      <c r="AC548" s="907"/>
      <c r="AD548" s="907"/>
      <c r="AE548" s="907"/>
      <c r="AF548" s="907"/>
      <c r="AG548" s="907"/>
      <c r="AH548" s="907"/>
      <c r="AI548" s="907"/>
      <c r="AJ548" s="907"/>
      <c r="AK548" s="907"/>
      <c r="AL548" s="907"/>
    </row>
    <row r="549" spans="1:38">
      <c r="A549" s="907"/>
      <c r="B549" s="907"/>
      <c r="C549" s="907"/>
      <c r="D549" s="907"/>
      <c r="E549" s="907"/>
      <c r="F549" s="907"/>
      <c r="G549" s="907"/>
      <c r="H549" s="907"/>
      <c r="I549" s="907"/>
      <c r="J549" s="907"/>
      <c r="K549" s="907"/>
      <c r="L549" s="907"/>
      <c r="M549" s="907"/>
      <c r="N549" s="907"/>
      <c r="O549" s="907"/>
      <c r="P549" s="907"/>
      <c r="Q549" s="907"/>
      <c r="R549" s="907"/>
      <c r="S549" s="907"/>
      <c r="T549" s="907"/>
      <c r="U549" s="907"/>
      <c r="V549" s="907"/>
      <c r="W549" s="907"/>
      <c r="X549" s="907"/>
      <c r="Y549" s="907"/>
      <c r="Z549" s="907"/>
      <c r="AA549" s="907"/>
      <c r="AB549" s="907"/>
      <c r="AC549" s="907"/>
      <c r="AD549" s="907"/>
      <c r="AE549" s="907"/>
      <c r="AF549" s="907"/>
      <c r="AG549" s="907"/>
      <c r="AH549" s="907"/>
      <c r="AI549" s="907"/>
      <c r="AJ549" s="907"/>
      <c r="AK549" s="907"/>
      <c r="AL549" s="907"/>
    </row>
    <row r="550" spans="1:38">
      <c r="A550" s="907"/>
      <c r="B550" s="907"/>
      <c r="C550" s="907"/>
      <c r="D550" s="907"/>
      <c r="E550" s="907"/>
      <c r="F550" s="907"/>
      <c r="G550" s="907"/>
      <c r="H550" s="907"/>
      <c r="I550" s="907"/>
      <c r="J550" s="907"/>
      <c r="K550" s="907"/>
      <c r="L550" s="907"/>
      <c r="M550" s="907"/>
      <c r="N550" s="907"/>
      <c r="O550" s="907"/>
      <c r="P550" s="907"/>
      <c r="Q550" s="907"/>
      <c r="R550" s="907"/>
      <c r="S550" s="907"/>
      <c r="T550" s="907"/>
      <c r="U550" s="907"/>
      <c r="V550" s="907"/>
      <c r="W550" s="907"/>
      <c r="X550" s="907"/>
      <c r="Y550" s="907"/>
      <c r="Z550" s="907"/>
      <c r="AA550" s="907"/>
      <c r="AB550" s="907"/>
      <c r="AC550" s="907"/>
      <c r="AD550" s="907"/>
      <c r="AE550" s="907"/>
      <c r="AF550" s="907"/>
      <c r="AG550" s="907"/>
      <c r="AH550" s="907"/>
      <c r="AI550" s="907"/>
      <c r="AJ550" s="907"/>
      <c r="AK550" s="907"/>
      <c r="AL550" s="907"/>
    </row>
    <row r="551" spans="1:38">
      <c r="A551" s="907"/>
      <c r="B551" s="907"/>
      <c r="C551" s="907"/>
      <c r="D551" s="907"/>
      <c r="E551" s="907"/>
      <c r="F551" s="907"/>
      <c r="G551" s="907"/>
      <c r="H551" s="907"/>
      <c r="I551" s="907"/>
      <c r="J551" s="907"/>
      <c r="K551" s="907"/>
      <c r="L551" s="907"/>
      <c r="M551" s="907"/>
      <c r="N551" s="907"/>
      <c r="O551" s="907"/>
      <c r="P551" s="907"/>
      <c r="Q551" s="907"/>
      <c r="R551" s="907"/>
      <c r="S551" s="907"/>
      <c r="T551" s="907"/>
      <c r="U551" s="907"/>
      <c r="V551" s="907"/>
      <c r="W551" s="907"/>
      <c r="X551" s="907"/>
      <c r="Y551" s="907"/>
      <c r="Z551" s="907"/>
      <c r="AA551" s="907"/>
      <c r="AB551" s="907"/>
      <c r="AC551" s="907"/>
      <c r="AD551" s="907"/>
      <c r="AE551" s="907"/>
      <c r="AF551" s="907"/>
      <c r="AG551" s="907"/>
      <c r="AH551" s="907"/>
      <c r="AI551" s="907"/>
      <c r="AJ551" s="907"/>
      <c r="AK551" s="907"/>
      <c r="AL551" s="907"/>
    </row>
    <row r="552" spans="1:38">
      <c r="A552" s="907"/>
      <c r="B552" s="907"/>
      <c r="C552" s="907"/>
      <c r="D552" s="907"/>
      <c r="E552" s="907"/>
      <c r="F552" s="907"/>
      <c r="G552" s="907"/>
      <c r="H552" s="907"/>
      <c r="I552" s="907"/>
      <c r="J552" s="907"/>
      <c r="K552" s="907"/>
      <c r="L552" s="907"/>
      <c r="M552" s="907"/>
      <c r="N552" s="907"/>
      <c r="O552" s="907"/>
      <c r="P552" s="907"/>
      <c r="Q552" s="907"/>
      <c r="R552" s="907"/>
      <c r="S552" s="907"/>
      <c r="T552" s="907"/>
      <c r="U552" s="907"/>
      <c r="V552" s="907"/>
      <c r="W552" s="907"/>
      <c r="X552" s="907"/>
      <c r="Y552" s="907"/>
      <c r="Z552" s="907"/>
      <c r="AA552" s="907"/>
      <c r="AB552" s="907"/>
      <c r="AC552" s="907"/>
      <c r="AD552" s="907"/>
      <c r="AE552" s="907"/>
      <c r="AF552" s="907"/>
      <c r="AG552" s="907"/>
      <c r="AH552" s="907"/>
      <c r="AI552" s="907"/>
      <c r="AJ552" s="907"/>
      <c r="AK552" s="907"/>
      <c r="AL552" s="907"/>
    </row>
    <row r="553" spans="1:38">
      <c r="A553" s="907"/>
      <c r="B553" s="907"/>
      <c r="C553" s="907"/>
      <c r="D553" s="907"/>
      <c r="E553" s="907"/>
      <c r="F553" s="907"/>
      <c r="G553" s="907"/>
      <c r="H553" s="907"/>
      <c r="I553" s="907"/>
      <c r="J553" s="907"/>
      <c r="K553" s="907"/>
      <c r="L553" s="907"/>
      <c r="M553" s="907"/>
      <c r="N553" s="907"/>
      <c r="O553" s="907"/>
      <c r="P553" s="907"/>
      <c r="Q553" s="907"/>
      <c r="R553" s="907"/>
      <c r="S553" s="907"/>
      <c r="T553" s="907"/>
      <c r="U553" s="907"/>
      <c r="V553" s="907"/>
      <c r="W553" s="907"/>
      <c r="X553" s="907"/>
      <c r="Y553" s="907"/>
      <c r="Z553" s="907"/>
      <c r="AA553" s="907"/>
      <c r="AB553" s="907"/>
      <c r="AC553" s="907"/>
      <c r="AD553" s="907"/>
      <c r="AE553" s="907"/>
      <c r="AF553" s="907"/>
      <c r="AG553" s="907"/>
      <c r="AH553" s="907"/>
      <c r="AI553" s="907"/>
      <c r="AJ553" s="907"/>
      <c r="AK553" s="907"/>
      <c r="AL553" s="907"/>
    </row>
    <row r="554" spans="1:38">
      <c r="A554" s="907"/>
      <c r="B554" s="907"/>
      <c r="C554" s="907"/>
      <c r="D554" s="907"/>
      <c r="E554" s="907"/>
      <c r="F554" s="907"/>
      <c r="G554" s="907"/>
      <c r="H554" s="907"/>
      <c r="I554" s="907"/>
      <c r="J554" s="907"/>
      <c r="K554" s="907"/>
      <c r="L554" s="907"/>
      <c r="M554" s="907"/>
      <c r="N554" s="907"/>
      <c r="O554" s="907"/>
      <c r="P554" s="907"/>
      <c r="Q554" s="907"/>
      <c r="R554" s="907"/>
      <c r="S554" s="907"/>
      <c r="T554" s="907"/>
      <c r="U554" s="907"/>
      <c r="V554" s="907"/>
      <c r="W554" s="907"/>
      <c r="X554" s="907"/>
      <c r="Y554" s="907"/>
      <c r="Z554" s="907"/>
      <c r="AA554" s="907"/>
      <c r="AB554" s="907"/>
      <c r="AC554" s="907"/>
      <c r="AD554" s="907"/>
      <c r="AE554" s="907"/>
      <c r="AF554" s="907"/>
      <c r="AG554" s="907"/>
      <c r="AH554" s="907"/>
      <c r="AI554" s="907"/>
      <c r="AJ554" s="907"/>
      <c r="AK554" s="907"/>
      <c r="AL554" s="907"/>
    </row>
    <row r="555" spans="1:38">
      <c r="A555" s="907"/>
      <c r="B555" s="907"/>
      <c r="C555" s="907"/>
      <c r="D555" s="907"/>
      <c r="E555" s="907"/>
      <c r="F555" s="907"/>
      <c r="G555" s="907"/>
      <c r="H555" s="907"/>
      <c r="I555" s="907"/>
      <c r="J555" s="907"/>
      <c r="K555" s="907"/>
      <c r="L555" s="907"/>
      <c r="M555" s="907"/>
      <c r="N555" s="907"/>
      <c r="O555" s="907"/>
      <c r="P555" s="907"/>
      <c r="Q555" s="907"/>
      <c r="R555" s="907"/>
      <c r="S555" s="907"/>
      <c r="T555" s="907"/>
      <c r="U555" s="907"/>
      <c r="V555" s="907"/>
      <c r="W555" s="907"/>
      <c r="X555" s="907"/>
      <c r="Y555" s="907"/>
      <c r="Z555" s="907"/>
      <c r="AA555" s="907"/>
      <c r="AB555" s="907"/>
      <c r="AC555" s="907"/>
      <c r="AD555" s="907"/>
      <c r="AE555" s="907"/>
      <c r="AF555" s="907"/>
      <c r="AG555" s="907"/>
      <c r="AH555" s="907"/>
      <c r="AI555" s="907"/>
      <c r="AJ555" s="907"/>
      <c r="AK555" s="907"/>
      <c r="AL555" s="907"/>
    </row>
    <row r="556" spans="1:38">
      <c r="A556" s="907"/>
      <c r="B556" s="907"/>
      <c r="C556" s="907"/>
      <c r="D556" s="907"/>
      <c r="E556" s="907"/>
      <c r="F556" s="907"/>
      <c r="G556" s="907"/>
      <c r="H556" s="907"/>
      <c r="I556" s="907"/>
      <c r="J556" s="907"/>
      <c r="K556" s="907"/>
      <c r="L556" s="907"/>
      <c r="M556" s="907"/>
      <c r="N556" s="907"/>
      <c r="O556" s="907"/>
      <c r="P556" s="907"/>
      <c r="Q556" s="907"/>
      <c r="R556" s="907"/>
      <c r="S556" s="907"/>
      <c r="T556" s="907"/>
      <c r="U556" s="907"/>
      <c r="V556" s="907"/>
      <c r="W556" s="907"/>
      <c r="X556" s="907"/>
      <c r="Y556" s="907"/>
      <c r="Z556" s="907"/>
      <c r="AA556" s="907"/>
      <c r="AB556" s="907"/>
      <c r="AC556" s="907"/>
      <c r="AD556" s="907"/>
      <c r="AE556" s="907"/>
      <c r="AF556" s="907"/>
      <c r="AG556" s="907"/>
      <c r="AH556" s="907"/>
      <c r="AI556" s="907"/>
      <c r="AJ556" s="907"/>
      <c r="AK556" s="907"/>
      <c r="AL556" s="907"/>
    </row>
    <row r="557" spans="1:38">
      <c r="A557" s="907"/>
      <c r="B557" s="907"/>
      <c r="C557" s="907"/>
      <c r="D557" s="907"/>
      <c r="E557" s="907"/>
      <c r="F557" s="907"/>
      <c r="G557" s="907"/>
      <c r="H557" s="907"/>
      <c r="I557" s="907"/>
      <c r="J557" s="907"/>
      <c r="K557" s="907"/>
      <c r="L557" s="907"/>
      <c r="M557" s="907"/>
      <c r="N557" s="907"/>
      <c r="O557" s="907"/>
      <c r="P557" s="907"/>
      <c r="Q557" s="907"/>
      <c r="R557" s="907"/>
      <c r="S557" s="907"/>
      <c r="T557" s="907"/>
      <c r="U557" s="907"/>
      <c r="V557" s="907"/>
      <c r="W557" s="907"/>
      <c r="X557" s="907"/>
      <c r="Y557" s="907"/>
      <c r="Z557" s="907"/>
      <c r="AA557" s="907"/>
      <c r="AB557" s="907"/>
      <c r="AC557" s="907"/>
      <c r="AD557" s="907"/>
      <c r="AE557" s="907"/>
      <c r="AF557" s="907"/>
      <c r="AG557" s="907"/>
      <c r="AH557" s="907"/>
      <c r="AI557" s="907"/>
      <c r="AJ557" s="907"/>
      <c r="AK557" s="907"/>
      <c r="AL557" s="907"/>
    </row>
    <row r="558" spans="1:38">
      <c r="A558" s="907"/>
      <c r="B558" s="907"/>
      <c r="C558" s="907"/>
      <c r="D558" s="907"/>
      <c r="E558" s="907"/>
      <c r="F558" s="907"/>
      <c r="G558" s="907"/>
      <c r="H558" s="907"/>
      <c r="I558" s="907"/>
      <c r="J558" s="907"/>
      <c r="K558" s="907"/>
      <c r="L558" s="907"/>
      <c r="M558" s="907"/>
      <c r="N558" s="907"/>
      <c r="O558" s="907"/>
      <c r="P558" s="907"/>
      <c r="Q558" s="907"/>
      <c r="R558" s="907"/>
      <c r="S558" s="907"/>
      <c r="T558" s="907"/>
      <c r="U558" s="907"/>
      <c r="V558" s="907"/>
      <c r="W558" s="907"/>
      <c r="X558" s="907"/>
      <c r="Y558" s="907"/>
      <c r="Z558" s="907"/>
      <c r="AA558" s="907"/>
      <c r="AB558" s="907"/>
      <c r="AC558" s="907"/>
      <c r="AD558" s="907"/>
      <c r="AE558" s="907"/>
      <c r="AF558" s="907"/>
      <c r="AG558" s="907"/>
      <c r="AH558" s="907"/>
      <c r="AI558" s="907"/>
      <c r="AJ558" s="907"/>
      <c r="AK558" s="907"/>
      <c r="AL558" s="907"/>
    </row>
    <row r="559" spans="1:38">
      <c r="A559" s="907"/>
      <c r="B559" s="907"/>
      <c r="C559" s="907"/>
      <c r="D559" s="907"/>
      <c r="E559" s="907"/>
      <c r="F559" s="907"/>
      <c r="G559" s="907"/>
      <c r="H559" s="907"/>
      <c r="I559" s="907"/>
      <c r="J559" s="907"/>
      <c r="K559" s="907"/>
      <c r="L559" s="907"/>
      <c r="M559" s="907"/>
      <c r="N559" s="907"/>
      <c r="O559" s="907"/>
      <c r="P559" s="907"/>
      <c r="Q559" s="907"/>
      <c r="R559" s="907"/>
      <c r="S559" s="907"/>
      <c r="T559" s="907"/>
      <c r="U559" s="907"/>
      <c r="V559" s="907"/>
      <c r="W559" s="907"/>
      <c r="X559" s="907"/>
      <c r="Y559" s="907"/>
      <c r="Z559" s="907"/>
      <c r="AA559" s="907"/>
      <c r="AB559" s="907"/>
      <c r="AC559" s="907"/>
      <c r="AD559" s="907"/>
      <c r="AE559" s="907"/>
      <c r="AF559" s="907"/>
      <c r="AG559" s="907"/>
      <c r="AH559" s="907"/>
      <c r="AI559" s="907"/>
      <c r="AJ559" s="907"/>
      <c r="AK559" s="907"/>
      <c r="AL559" s="907"/>
    </row>
    <row r="560" spans="1:38">
      <c r="A560" s="907"/>
      <c r="B560" s="907"/>
      <c r="C560" s="907"/>
      <c r="D560" s="907"/>
      <c r="E560" s="907"/>
      <c r="F560" s="907"/>
      <c r="G560" s="907"/>
      <c r="H560" s="907"/>
      <c r="I560" s="907"/>
      <c r="J560" s="907"/>
      <c r="K560" s="907"/>
      <c r="L560" s="907"/>
      <c r="M560" s="907"/>
      <c r="N560" s="907"/>
      <c r="O560" s="907"/>
      <c r="P560" s="907"/>
      <c r="Q560" s="907"/>
      <c r="R560" s="907"/>
      <c r="S560" s="907"/>
      <c r="T560" s="907"/>
      <c r="U560" s="907"/>
      <c r="V560" s="907"/>
      <c r="W560" s="907"/>
      <c r="X560" s="907"/>
      <c r="Y560" s="907"/>
      <c r="Z560" s="907"/>
      <c r="AA560" s="907"/>
      <c r="AB560" s="907"/>
      <c r="AC560" s="907"/>
      <c r="AD560" s="907"/>
      <c r="AE560" s="907"/>
      <c r="AF560" s="907"/>
      <c r="AG560" s="907"/>
      <c r="AH560" s="907"/>
      <c r="AI560" s="907"/>
      <c r="AJ560" s="907"/>
      <c r="AK560" s="907"/>
      <c r="AL560" s="907"/>
    </row>
    <row r="561" spans="1:38">
      <c r="A561" s="907"/>
      <c r="B561" s="907"/>
      <c r="C561" s="907"/>
      <c r="D561" s="907"/>
      <c r="E561" s="907"/>
      <c r="F561" s="907"/>
      <c r="G561" s="907"/>
      <c r="H561" s="907"/>
      <c r="I561" s="907"/>
      <c r="J561" s="907"/>
      <c r="K561" s="907"/>
      <c r="L561" s="907"/>
      <c r="M561" s="907"/>
      <c r="N561" s="907"/>
      <c r="O561" s="907"/>
      <c r="P561" s="907"/>
      <c r="Q561" s="907"/>
      <c r="R561" s="907"/>
      <c r="S561" s="907"/>
      <c r="T561" s="907"/>
      <c r="U561" s="907"/>
      <c r="V561" s="907"/>
      <c r="W561" s="907"/>
      <c r="X561" s="907"/>
      <c r="Y561" s="907"/>
      <c r="Z561" s="907"/>
      <c r="AA561" s="907"/>
      <c r="AB561" s="907"/>
      <c r="AC561" s="907"/>
      <c r="AD561" s="907"/>
      <c r="AE561" s="907"/>
      <c r="AF561" s="907"/>
      <c r="AG561" s="907"/>
      <c r="AH561" s="907"/>
      <c r="AI561" s="907"/>
      <c r="AJ561" s="907"/>
      <c r="AK561" s="907"/>
      <c r="AL561" s="907"/>
    </row>
    <row r="562" spans="1:38">
      <c r="A562" s="907"/>
      <c r="B562" s="907"/>
      <c r="C562" s="907"/>
      <c r="D562" s="907"/>
      <c r="E562" s="907"/>
      <c r="F562" s="907"/>
      <c r="G562" s="907"/>
      <c r="H562" s="907"/>
      <c r="I562" s="907"/>
      <c r="J562" s="907"/>
      <c r="K562" s="907"/>
      <c r="L562" s="907"/>
      <c r="M562" s="907"/>
      <c r="N562" s="907"/>
      <c r="O562" s="907"/>
      <c r="P562" s="907"/>
      <c r="Q562" s="907"/>
      <c r="R562" s="907"/>
      <c r="S562" s="907"/>
      <c r="T562" s="907"/>
      <c r="U562" s="907"/>
      <c r="V562" s="907"/>
      <c r="W562" s="907"/>
      <c r="X562" s="907"/>
      <c r="Y562" s="907"/>
      <c r="Z562" s="907"/>
      <c r="AA562" s="907"/>
      <c r="AB562" s="907"/>
      <c r="AC562" s="907"/>
      <c r="AD562" s="907"/>
      <c r="AE562" s="907"/>
      <c r="AF562" s="907"/>
      <c r="AG562" s="907"/>
      <c r="AH562" s="907"/>
      <c r="AI562" s="907"/>
      <c r="AJ562" s="907"/>
      <c r="AK562" s="907"/>
      <c r="AL562" s="907"/>
    </row>
    <row r="563" spans="1:38">
      <c r="A563" s="907"/>
      <c r="B563" s="907"/>
      <c r="C563" s="907"/>
      <c r="D563" s="907"/>
      <c r="E563" s="907"/>
      <c r="F563" s="907"/>
      <c r="G563" s="907"/>
      <c r="H563" s="907"/>
      <c r="I563" s="907"/>
      <c r="J563" s="907"/>
      <c r="K563" s="907"/>
      <c r="L563" s="907"/>
      <c r="M563" s="907"/>
      <c r="N563" s="907"/>
      <c r="O563" s="907"/>
      <c r="P563" s="907"/>
      <c r="Q563" s="907"/>
      <c r="R563" s="907"/>
      <c r="S563" s="907"/>
      <c r="T563" s="907"/>
      <c r="U563" s="907"/>
      <c r="V563" s="907"/>
      <c r="W563" s="907"/>
      <c r="X563" s="907"/>
      <c r="Y563" s="907"/>
      <c r="Z563" s="907"/>
      <c r="AA563" s="907"/>
      <c r="AB563" s="907"/>
      <c r="AC563" s="907"/>
      <c r="AD563" s="907"/>
      <c r="AE563" s="907"/>
      <c r="AF563" s="907"/>
      <c r="AG563" s="907"/>
      <c r="AH563" s="907"/>
      <c r="AI563" s="907"/>
      <c r="AJ563" s="907"/>
      <c r="AK563" s="907"/>
      <c r="AL563" s="907"/>
    </row>
    <row r="564" spans="1:38">
      <c r="A564" s="907"/>
      <c r="B564" s="907"/>
      <c r="C564" s="907"/>
      <c r="D564" s="907"/>
      <c r="E564" s="907"/>
      <c r="F564" s="907"/>
      <c r="G564" s="907"/>
      <c r="H564" s="907"/>
      <c r="I564" s="907"/>
      <c r="J564" s="907"/>
      <c r="K564" s="907"/>
      <c r="L564" s="907"/>
      <c r="M564" s="907"/>
      <c r="N564" s="907"/>
      <c r="O564" s="907"/>
      <c r="P564" s="907"/>
      <c r="Q564" s="907"/>
      <c r="R564" s="907"/>
      <c r="S564" s="907"/>
      <c r="T564" s="907"/>
      <c r="U564" s="907"/>
      <c r="V564" s="907"/>
      <c r="W564" s="907"/>
      <c r="X564" s="907"/>
      <c r="Y564" s="907"/>
      <c r="Z564" s="907"/>
      <c r="AA564" s="907"/>
      <c r="AB564" s="907"/>
      <c r="AC564" s="907"/>
      <c r="AD564" s="907"/>
      <c r="AE564" s="907"/>
      <c r="AF564" s="907"/>
      <c r="AG564" s="907"/>
      <c r="AH564" s="907"/>
      <c r="AI564" s="907"/>
      <c r="AJ564" s="907"/>
      <c r="AK564" s="907"/>
      <c r="AL564" s="907"/>
    </row>
    <row r="565" spans="1:38">
      <c r="A565" s="907"/>
      <c r="B565" s="907"/>
      <c r="C565" s="907"/>
      <c r="D565" s="907"/>
      <c r="E565" s="907"/>
      <c r="F565" s="907"/>
      <c r="G565" s="907"/>
      <c r="H565" s="907"/>
      <c r="I565" s="907"/>
      <c r="J565" s="907"/>
      <c r="K565" s="907"/>
      <c r="L565" s="907"/>
      <c r="M565" s="907"/>
      <c r="N565" s="907"/>
      <c r="O565" s="907"/>
      <c r="P565" s="907"/>
      <c r="Q565" s="907"/>
      <c r="R565" s="907"/>
      <c r="S565" s="907"/>
      <c r="T565" s="907"/>
      <c r="U565" s="907"/>
      <c r="V565" s="907"/>
      <c r="W565" s="907"/>
      <c r="X565" s="907"/>
      <c r="Y565" s="907"/>
      <c r="Z565" s="907"/>
      <c r="AA565" s="907"/>
      <c r="AB565" s="907"/>
      <c r="AC565" s="907"/>
      <c r="AD565" s="907"/>
      <c r="AE565" s="907"/>
      <c r="AF565" s="907"/>
      <c r="AG565" s="907"/>
      <c r="AH565" s="907"/>
      <c r="AI565" s="907"/>
      <c r="AJ565" s="907"/>
      <c r="AK565" s="907"/>
      <c r="AL565" s="907"/>
    </row>
    <row r="566" spans="1:38">
      <c r="A566" s="907"/>
      <c r="B566" s="907"/>
      <c r="C566" s="907"/>
      <c r="D566" s="907"/>
      <c r="E566" s="907"/>
      <c r="F566" s="907"/>
      <c r="G566" s="907"/>
      <c r="H566" s="907"/>
      <c r="I566" s="907"/>
      <c r="J566" s="907"/>
      <c r="K566" s="907"/>
      <c r="L566" s="907"/>
      <c r="M566" s="907"/>
      <c r="N566" s="907"/>
      <c r="O566" s="907"/>
      <c r="P566" s="907"/>
      <c r="Q566" s="907"/>
      <c r="R566" s="907"/>
      <c r="S566" s="907"/>
      <c r="T566" s="907"/>
      <c r="U566" s="907"/>
      <c r="V566" s="907"/>
      <c r="W566" s="907"/>
      <c r="X566" s="907"/>
      <c r="Y566" s="907"/>
      <c r="Z566" s="907"/>
      <c r="AA566" s="907"/>
      <c r="AB566" s="907"/>
      <c r="AC566" s="907"/>
      <c r="AD566" s="907"/>
      <c r="AE566" s="907"/>
      <c r="AF566" s="907"/>
      <c r="AG566" s="907"/>
      <c r="AH566" s="907"/>
      <c r="AI566" s="907"/>
      <c r="AJ566" s="907"/>
      <c r="AK566" s="907"/>
      <c r="AL566" s="907"/>
    </row>
    <row r="567" spans="1:38">
      <c r="A567" s="907"/>
      <c r="B567" s="907"/>
      <c r="C567" s="907"/>
      <c r="D567" s="907"/>
      <c r="E567" s="907"/>
      <c r="F567" s="907"/>
      <c r="G567" s="907"/>
      <c r="H567" s="907"/>
      <c r="I567" s="907"/>
      <c r="J567" s="907"/>
      <c r="K567" s="907"/>
      <c r="L567" s="907"/>
      <c r="M567" s="907"/>
      <c r="N567" s="907"/>
      <c r="O567" s="907"/>
      <c r="P567" s="907"/>
      <c r="Q567" s="907"/>
      <c r="R567" s="907"/>
      <c r="S567" s="907"/>
      <c r="T567" s="907"/>
      <c r="U567" s="907"/>
      <c r="V567" s="907"/>
      <c r="W567" s="907"/>
      <c r="X567" s="907"/>
      <c r="Y567" s="907"/>
      <c r="Z567" s="907"/>
      <c r="AA567" s="907"/>
      <c r="AB567" s="907"/>
      <c r="AC567" s="907"/>
      <c r="AD567" s="907"/>
      <c r="AE567" s="907"/>
      <c r="AF567" s="907"/>
      <c r="AG567" s="907"/>
      <c r="AH567" s="907"/>
      <c r="AI567" s="907"/>
      <c r="AJ567" s="907"/>
      <c r="AK567" s="907"/>
      <c r="AL567" s="907"/>
    </row>
    <row r="568" spans="1:38">
      <c r="A568" s="907"/>
      <c r="B568" s="907"/>
      <c r="C568" s="907"/>
      <c r="D568" s="907"/>
      <c r="E568" s="907"/>
      <c r="F568" s="907"/>
      <c r="G568" s="907"/>
      <c r="H568" s="907"/>
      <c r="I568" s="907"/>
      <c r="J568" s="907"/>
      <c r="K568" s="907"/>
      <c r="L568" s="907"/>
      <c r="M568" s="907"/>
      <c r="N568" s="907"/>
      <c r="O568" s="907"/>
      <c r="P568" s="907"/>
      <c r="Q568" s="907"/>
      <c r="R568" s="907"/>
      <c r="S568" s="907"/>
      <c r="T568" s="907"/>
      <c r="U568" s="907"/>
      <c r="V568" s="907"/>
      <c r="W568" s="907"/>
      <c r="X568" s="907"/>
      <c r="Y568" s="907"/>
      <c r="Z568" s="907"/>
      <c r="AA568" s="907"/>
      <c r="AB568" s="907"/>
      <c r="AC568" s="907"/>
      <c r="AD568" s="907"/>
      <c r="AE568" s="907"/>
      <c r="AF568" s="907"/>
      <c r="AG568" s="907"/>
      <c r="AH568" s="907"/>
      <c r="AI568" s="907"/>
      <c r="AJ568" s="907"/>
      <c r="AK568" s="907"/>
      <c r="AL568" s="907"/>
    </row>
    <row r="569" spans="1:38">
      <c r="A569" s="907"/>
      <c r="B569" s="907"/>
      <c r="C569" s="907"/>
      <c r="D569" s="907"/>
      <c r="E569" s="907"/>
      <c r="F569" s="907"/>
      <c r="G569" s="907"/>
      <c r="H569" s="907"/>
      <c r="I569" s="907"/>
      <c r="J569" s="907"/>
      <c r="K569" s="907"/>
      <c r="L569" s="907"/>
      <c r="M569" s="907"/>
      <c r="N569" s="907"/>
      <c r="O569" s="907"/>
      <c r="P569" s="907"/>
      <c r="Q569" s="907"/>
      <c r="R569" s="907"/>
      <c r="S569" s="907"/>
      <c r="T569" s="907"/>
      <c r="U569" s="907"/>
      <c r="V569" s="907"/>
      <c r="W569" s="907"/>
      <c r="X569" s="907"/>
      <c r="Y569" s="907"/>
      <c r="Z569" s="907"/>
      <c r="AA569" s="907"/>
      <c r="AB569" s="907"/>
      <c r="AC569" s="907"/>
      <c r="AD569" s="907"/>
      <c r="AE569" s="907"/>
      <c r="AF569" s="907"/>
      <c r="AG569" s="907"/>
      <c r="AH569" s="907"/>
      <c r="AI569" s="907"/>
      <c r="AJ569" s="907"/>
      <c r="AK569" s="907"/>
      <c r="AL569" s="907"/>
    </row>
    <row r="570" spans="1:38">
      <c r="A570" s="907"/>
      <c r="B570" s="907"/>
      <c r="C570" s="907"/>
      <c r="D570" s="907"/>
      <c r="E570" s="907"/>
      <c r="F570" s="907"/>
      <c r="G570" s="907"/>
      <c r="H570" s="907"/>
      <c r="I570" s="907"/>
      <c r="J570" s="907"/>
      <c r="K570" s="907"/>
      <c r="L570" s="907"/>
      <c r="M570" s="907"/>
      <c r="N570" s="907"/>
      <c r="O570" s="907"/>
      <c r="P570" s="907"/>
      <c r="Q570" s="907"/>
      <c r="R570" s="907"/>
      <c r="S570" s="907"/>
      <c r="T570" s="907"/>
      <c r="U570" s="907"/>
      <c r="V570" s="907"/>
      <c r="W570" s="907"/>
      <c r="X570" s="907"/>
      <c r="Y570" s="907"/>
      <c r="Z570" s="907"/>
      <c r="AA570" s="907"/>
      <c r="AB570" s="907"/>
      <c r="AC570" s="907"/>
      <c r="AD570" s="907"/>
      <c r="AE570" s="907"/>
      <c r="AF570" s="907"/>
      <c r="AG570" s="907"/>
      <c r="AH570" s="907"/>
      <c r="AI570" s="907"/>
      <c r="AJ570" s="907"/>
      <c r="AK570" s="907"/>
      <c r="AL570" s="907"/>
    </row>
    <row r="571" spans="1:38">
      <c r="A571" s="907"/>
      <c r="B571" s="907"/>
      <c r="C571" s="907"/>
      <c r="D571" s="907"/>
      <c r="E571" s="907"/>
      <c r="F571" s="907"/>
      <c r="G571" s="907"/>
      <c r="H571" s="907"/>
      <c r="I571" s="907"/>
      <c r="J571" s="907"/>
      <c r="K571" s="907"/>
      <c r="L571" s="907"/>
      <c r="M571" s="907"/>
      <c r="N571" s="907"/>
      <c r="O571" s="907"/>
      <c r="P571" s="907"/>
      <c r="Q571" s="907"/>
      <c r="R571" s="907"/>
      <c r="S571" s="907"/>
      <c r="T571" s="907"/>
      <c r="U571" s="907"/>
      <c r="V571" s="907"/>
      <c r="W571" s="907"/>
      <c r="X571" s="907"/>
      <c r="Y571" s="907"/>
      <c r="Z571" s="907"/>
      <c r="AA571" s="907"/>
      <c r="AB571" s="907"/>
      <c r="AC571" s="907"/>
      <c r="AD571" s="907"/>
      <c r="AE571" s="907"/>
      <c r="AF571" s="907"/>
      <c r="AG571" s="907"/>
      <c r="AH571" s="907"/>
      <c r="AI571" s="907"/>
      <c r="AJ571" s="907"/>
      <c r="AK571" s="907"/>
      <c r="AL571" s="907"/>
    </row>
    <row r="572" spans="1:38">
      <c r="A572" s="907"/>
      <c r="B572" s="907"/>
      <c r="C572" s="907"/>
      <c r="D572" s="907"/>
      <c r="E572" s="907"/>
      <c r="F572" s="907"/>
      <c r="G572" s="907"/>
      <c r="H572" s="907"/>
      <c r="I572" s="907"/>
      <c r="J572" s="907"/>
      <c r="K572" s="907"/>
      <c r="L572" s="907"/>
      <c r="M572" s="907"/>
      <c r="N572" s="907"/>
      <c r="O572" s="907"/>
      <c r="P572" s="907"/>
      <c r="Q572" s="907"/>
      <c r="R572" s="907"/>
      <c r="S572" s="907"/>
      <c r="T572" s="907"/>
      <c r="U572" s="907"/>
      <c r="V572" s="907"/>
      <c r="W572" s="907"/>
      <c r="X572" s="907"/>
      <c r="Y572" s="907"/>
      <c r="Z572" s="907"/>
      <c r="AA572" s="907"/>
      <c r="AB572" s="907"/>
      <c r="AC572" s="907"/>
      <c r="AD572" s="907"/>
      <c r="AE572" s="907"/>
      <c r="AF572" s="907"/>
      <c r="AG572" s="907"/>
      <c r="AH572" s="907"/>
      <c r="AI572" s="907"/>
      <c r="AJ572" s="907"/>
      <c r="AK572" s="907"/>
      <c r="AL572" s="907"/>
    </row>
    <row r="573" spans="1:38">
      <c r="A573" s="907"/>
      <c r="B573" s="907"/>
      <c r="C573" s="907"/>
      <c r="D573" s="907"/>
      <c r="E573" s="907"/>
      <c r="F573" s="907"/>
      <c r="G573" s="907"/>
      <c r="H573" s="907"/>
      <c r="I573" s="907"/>
      <c r="J573" s="907"/>
      <c r="K573" s="907"/>
      <c r="L573" s="907"/>
      <c r="M573" s="907"/>
      <c r="N573" s="907"/>
      <c r="O573" s="907"/>
      <c r="P573" s="907"/>
      <c r="Q573" s="907"/>
      <c r="R573" s="907"/>
      <c r="S573" s="907"/>
      <c r="T573" s="907"/>
      <c r="U573" s="907"/>
      <c r="V573" s="907"/>
      <c r="W573" s="907"/>
      <c r="X573" s="907"/>
      <c r="Y573" s="907"/>
      <c r="Z573" s="907"/>
      <c r="AA573" s="907"/>
      <c r="AB573" s="907"/>
      <c r="AC573" s="907"/>
      <c r="AD573" s="907"/>
      <c r="AE573" s="907"/>
      <c r="AF573" s="907"/>
      <c r="AG573" s="907"/>
      <c r="AH573" s="907"/>
      <c r="AI573" s="907"/>
      <c r="AJ573" s="907"/>
      <c r="AK573" s="907"/>
      <c r="AL573" s="907"/>
    </row>
    <row r="574" spans="1:38">
      <c r="A574" s="907"/>
      <c r="B574" s="907"/>
      <c r="C574" s="907"/>
      <c r="D574" s="907"/>
      <c r="E574" s="907"/>
      <c r="F574" s="907"/>
      <c r="G574" s="907"/>
      <c r="H574" s="907"/>
      <c r="I574" s="907"/>
      <c r="J574" s="907"/>
      <c r="K574" s="907"/>
      <c r="L574" s="907"/>
      <c r="M574" s="907"/>
      <c r="N574" s="907"/>
      <c r="O574" s="907"/>
      <c r="P574" s="907"/>
      <c r="Q574" s="907"/>
      <c r="R574" s="907"/>
      <c r="S574" s="907"/>
      <c r="T574" s="907"/>
      <c r="U574" s="907"/>
      <c r="V574" s="907"/>
      <c r="W574" s="907"/>
      <c r="X574" s="907"/>
      <c r="Y574" s="907"/>
      <c r="Z574" s="907"/>
      <c r="AA574" s="907"/>
      <c r="AB574" s="907"/>
      <c r="AC574" s="907"/>
      <c r="AD574" s="907"/>
      <c r="AE574" s="907"/>
      <c r="AF574" s="907"/>
      <c r="AG574" s="907"/>
      <c r="AH574" s="907"/>
      <c r="AI574" s="907"/>
      <c r="AJ574" s="907"/>
      <c r="AK574" s="907"/>
      <c r="AL574" s="907"/>
    </row>
    <row r="575" spans="1:38">
      <c r="A575" s="907"/>
      <c r="B575" s="907"/>
      <c r="C575" s="907"/>
      <c r="D575" s="907"/>
      <c r="E575" s="907"/>
      <c r="F575" s="907"/>
      <c r="G575" s="907"/>
      <c r="H575" s="907"/>
      <c r="I575" s="907"/>
      <c r="J575" s="907"/>
      <c r="K575" s="907"/>
      <c r="L575" s="907"/>
      <c r="M575" s="907"/>
      <c r="N575" s="907"/>
      <c r="O575" s="907"/>
      <c r="P575" s="907"/>
      <c r="Q575" s="907"/>
      <c r="R575" s="907"/>
      <c r="S575" s="907"/>
      <c r="T575" s="907"/>
      <c r="U575" s="907"/>
      <c r="V575" s="907"/>
      <c r="W575" s="907"/>
      <c r="X575" s="907"/>
      <c r="Y575" s="907"/>
      <c r="Z575" s="907"/>
      <c r="AA575" s="907"/>
      <c r="AB575" s="907"/>
      <c r="AC575" s="907"/>
      <c r="AD575" s="907"/>
      <c r="AE575" s="907"/>
      <c r="AF575" s="907"/>
      <c r="AG575" s="907"/>
      <c r="AH575" s="907"/>
      <c r="AI575" s="907"/>
      <c r="AJ575" s="907"/>
      <c r="AK575" s="907"/>
      <c r="AL575" s="907"/>
    </row>
    <row r="576" spans="1:38">
      <c r="A576" s="907"/>
      <c r="B576" s="907"/>
      <c r="C576" s="907"/>
      <c r="D576" s="907"/>
      <c r="E576" s="907"/>
      <c r="F576" s="907"/>
      <c r="G576" s="907"/>
      <c r="H576" s="907"/>
      <c r="I576" s="907"/>
      <c r="J576" s="907"/>
      <c r="K576" s="907"/>
      <c r="L576" s="907"/>
      <c r="M576" s="907"/>
      <c r="N576" s="907"/>
      <c r="O576" s="907"/>
      <c r="P576" s="907"/>
      <c r="Q576" s="907"/>
      <c r="R576" s="907"/>
      <c r="S576" s="907"/>
      <c r="T576" s="907"/>
      <c r="U576" s="907"/>
      <c r="V576" s="907"/>
      <c r="W576" s="907"/>
      <c r="X576" s="907"/>
      <c r="Y576" s="907"/>
      <c r="Z576" s="907"/>
      <c r="AA576" s="907"/>
      <c r="AB576" s="907"/>
      <c r="AC576" s="907"/>
      <c r="AD576" s="907"/>
      <c r="AE576" s="907"/>
      <c r="AF576" s="907"/>
      <c r="AG576" s="907"/>
      <c r="AH576" s="907"/>
      <c r="AI576" s="907"/>
      <c r="AJ576" s="907"/>
      <c r="AK576" s="907"/>
      <c r="AL576" s="907"/>
    </row>
    <row r="577" spans="1:38">
      <c r="A577" s="907"/>
      <c r="B577" s="907"/>
      <c r="C577" s="907"/>
      <c r="D577" s="907"/>
      <c r="E577" s="907"/>
      <c r="F577" s="907"/>
      <c r="G577" s="907"/>
      <c r="H577" s="907"/>
      <c r="I577" s="907"/>
      <c r="J577" s="907"/>
      <c r="K577" s="907"/>
      <c r="L577" s="907"/>
      <c r="M577" s="907"/>
      <c r="N577" s="907"/>
      <c r="O577" s="907"/>
      <c r="P577" s="907"/>
      <c r="Q577" s="907"/>
      <c r="R577" s="907"/>
      <c r="S577" s="907"/>
      <c r="T577" s="907"/>
      <c r="U577" s="907"/>
      <c r="V577" s="907"/>
      <c r="W577" s="907"/>
      <c r="X577" s="907"/>
      <c r="Y577" s="907"/>
      <c r="Z577" s="907"/>
      <c r="AA577" s="907"/>
      <c r="AB577" s="907"/>
      <c r="AC577" s="907"/>
      <c r="AD577" s="907"/>
      <c r="AE577" s="907"/>
      <c r="AF577" s="907"/>
      <c r="AG577" s="907"/>
      <c r="AH577" s="907"/>
      <c r="AI577" s="907"/>
      <c r="AJ577" s="907"/>
      <c r="AK577" s="907"/>
      <c r="AL577" s="907"/>
    </row>
    <row r="578" spans="1:38">
      <c r="A578" s="907"/>
      <c r="B578" s="907"/>
      <c r="C578" s="907"/>
      <c r="D578" s="907"/>
      <c r="E578" s="907"/>
      <c r="F578" s="907"/>
      <c r="G578" s="907"/>
      <c r="H578" s="907"/>
      <c r="I578" s="907"/>
      <c r="J578" s="907"/>
      <c r="K578" s="907"/>
      <c r="L578" s="907"/>
      <c r="M578" s="907"/>
      <c r="N578" s="907"/>
      <c r="O578" s="907"/>
      <c r="P578" s="907"/>
      <c r="Q578" s="907"/>
      <c r="R578" s="907"/>
      <c r="S578" s="907"/>
      <c r="T578" s="907"/>
      <c r="U578" s="907"/>
      <c r="V578" s="907"/>
      <c r="W578" s="907"/>
      <c r="X578" s="907"/>
      <c r="Y578" s="907"/>
      <c r="Z578" s="907"/>
      <c r="AA578" s="907"/>
      <c r="AB578" s="907"/>
      <c r="AC578" s="907"/>
      <c r="AD578" s="907"/>
      <c r="AE578" s="907"/>
      <c r="AF578" s="907"/>
      <c r="AG578" s="907"/>
      <c r="AH578" s="907"/>
      <c r="AI578" s="907"/>
      <c r="AJ578" s="907"/>
      <c r="AK578" s="907"/>
      <c r="AL578" s="907"/>
    </row>
    <row r="579" spans="1:38">
      <c r="A579" s="907"/>
      <c r="B579" s="907"/>
      <c r="C579" s="907"/>
      <c r="D579" s="907"/>
      <c r="E579" s="907"/>
      <c r="F579" s="907"/>
      <c r="G579" s="907"/>
      <c r="H579" s="907"/>
      <c r="I579" s="907"/>
      <c r="J579" s="907"/>
      <c r="K579" s="907"/>
      <c r="L579" s="907"/>
      <c r="M579" s="907"/>
      <c r="N579" s="907"/>
      <c r="O579" s="907"/>
      <c r="P579" s="907"/>
      <c r="Q579" s="907"/>
      <c r="R579" s="907"/>
      <c r="S579" s="907"/>
      <c r="T579" s="907"/>
      <c r="U579" s="907"/>
      <c r="V579" s="907"/>
      <c r="W579" s="907"/>
      <c r="X579" s="907"/>
      <c r="Y579" s="907"/>
      <c r="Z579" s="907"/>
      <c r="AA579" s="907"/>
      <c r="AB579" s="907"/>
      <c r="AC579" s="907"/>
      <c r="AD579" s="907"/>
      <c r="AE579" s="907"/>
      <c r="AF579" s="907"/>
      <c r="AG579" s="907"/>
      <c r="AH579" s="907"/>
      <c r="AI579" s="907"/>
      <c r="AJ579" s="907"/>
      <c r="AK579" s="907"/>
      <c r="AL579" s="907"/>
    </row>
    <row r="580" spans="1:38">
      <c r="A580" s="907"/>
      <c r="B580" s="907"/>
      <c r="C580" s="907"/>
      <c r="D580" s="907"/>
      <c r="E580" s="907"/>
      <c r="F580" s="907"/>
      <c r="G580" s="907"/>
      <c r="H580" s="907"/>
      <c r="I580" s="907"/>
      <c r="J580" s="907"/>
      <c r="K580" s="907"/>
      <c r="L580" s="907"/>
      <c r="M580" s="907"/>
      <c r="N580" s="907"/>
      <c r="O580" s="907"/>
      <c r="P580" s="907"/>
      <c r="Q580" s="907"/>
      <c r="R580" s="907"/>
      <c r="S580" s="907"/>
      <c r="T580" s="907"/>
      <c r="U580" s="907"/>
      <c r="V580" s="907"/>
      <c r="W580" s="907"/>
      <c r="X580" s="907"/>
      <c r="Y580" s="907"/>
      <c r="Z580" s="907"/>
      <c r="AA580" s="907"/>
      <c r="AB580" s="907"/>
      <c r="AC580" s="907"/>
      <c r="AD580" s="907"/>
      <c r="AE580" s="907"/>
      <c r="AF580" s="907"/>
      <c r="AG580" s="907"/>
      <c r="AH580" s="907"/>
      <c r="AI580" s="907"/>
      <c r="AJ580" s="907"/>
      <c r="AK580" s="907"/>
      <c r="AL580" s="907"/>
    </row>
    <row r="581" spans="1:38">
      <c r="A581" s="907"/>
      <c r="B581" s="907"/>
      <c r="C581" s="907"/>
      <c r="D581" s="907"/>
      <c r="E581" s="907"/>
      <c r="F581" s="907"/>
      <c r="G581" s="907"/>
      <c r="H581" s="907"/>
      <c r="I581" s="907"/>
      <c r="J581" s="907"/>
      <c r="K581" s="907"/>
      <c r="L581" s="907"/>
      <c r="M581" s="907"/>
      <c r="N581" s="907"/>
      <c r="O581" s="907"/>
      <c r="P581" s="907"/>
      <c r="Q581" s="907"/>
      <c r="R581" s="907"/>
      <c r="S581" s="907"/>
      <c r="T581" s="907"/>
      <c r="U581" s="907"/>
      <c r="V581" s="907"/>
      <c r="W581" s="907"/>
      <c r="X581" s="907"/>
      <c r="Y581" s="907"/>
      <c r="Z581" s="907"/>
      <c r="AA581" s="907"/>
      <c r="AB581" s="907"/>
      <c r="AC581" s="907"/>
      <c r="AD581" s="907"/>
      <c r="AE581" s="907"/>
      <c r="AF581" s="907"/>
      <c r="AG581" s="907"/>
      <c r="AH581" s="907"/>
      <c r="AI581" s="907"/>
      <c r="AJ581" s="907"/>
      <c r="AK581" s="907"/>
      <c r="AL581" s="907"/>
    </row>
    <row r="582" spans="1:38">
      <c r="A582" s="907"/>
      <c r="B582" s="907"/>
      <c r="C582" s="907"/>
      <c r="D582" s="907"/>
      <c r="E582" s="907"/>
      <c r="F582" s="907"/>
      <c r="G582" s="907"/>
      <c r="H582" s="907"/>
      <c r="I582" s="907"/>
      <c r="J582" s="907"/>
      <c r="K582" s="907"/>
      <c r="L582" s="907"/>
      <c r="M582" s="907"/>
      <c r="N582" s="907"/>
      <c r="O582" s="907"/>
      <c r="P582" s="907"/>
      <c r="Q582" s="907"/>
      <c r="R582" s="907"/>
      <c r="S582" s="907"/>
      <c r="T582" s="907"/>
      <c r="U582" s="907"/>
      <c r="V582" s="907"/>
      <c r="W582" s="907"/>
      <c r="X582" s="907"/>
      <c r="Y582" s="907"/>
      <c r="Z582" s="907"/>
      <c r="AA582" s="907"/>
      <c r="AB582" s="907"/>
      <c r="AC582" s="907"/>
      <c r="AD582" s="907"/>
      <c r="AE582" s="907"/>
      <c r="AF582" s="907"/>
      <c r="AG582" s="907"/>
      <c r="AH582" s="907"/>
      <c r="AI582" s="907"/>
      <c r="AJ582" s="907"/>
      <c r="AK582" s="907"/>
      <c r="AL582" s="907"/>
    </row>
    <row r="583" spans="1:38">
      <c r="A583" s="907"/>
      <c r="B583" s="907"/>
      <c r="C583" s="907"/>
      <c r="D583" s="907"/>
      <c r="E583" s="907"/>
      <c r="F583" s="907"/>
      <c r="G583" s="907"/>
      <c r="H583" s="907"/>
      <c r="I583" s="907"/>
      <c r="J583" s="907"/>
      <c r="K583" s="907"/>
      <c r="L583" s="907"/>
      <c r="M583" s="907"/>
      <c r="N583" s="907"/>
      <c r="O583" s="907"/>
      <c r="P583" s="907"/>
      <c r="Q583" s="907"/>
      <c r="R583" s="907"/>
      <c r="S583" s="907"/>
      <c r="T583" s="907"/>
      <c r="U583" s="907"/>
      <c r="V583" s="907"/>
      <c r="W583" s="907"/>
      <c r="X583" s="907"/>
      <c r="Y583" s="907"/>
      <c r="Z583" s="907"/>
      <c r="AA583" s="907"/>
      <c r="AB583" s="907"/>
      <c r="AC583" s="907"/>
      <c r="AD583" s="907"/>
      <c r="AE583" s="907"/>
      <c r="AF583" s="907"/>
      <c r="AG583" s="907"/>
      <c r="AH583" s="907"/>
      <c r="AI583" s="907"/>
      <c r="AJ583" s="907"/>
      <c r="AK583" s="907"/>
      <c r="AL583" s="907"/>
    </row>
    <row r="584" spans="1:38">
      <c r="A584" s="907"/>
      <c r="B584" s="907"/>
      <c r="C584" s="907"/>
      <c r="D584" s="907"/>
      <c r="E584" s="907"/>
      <c r="F584" s="907"/>
      <c r="G584" s="907"/>
      <c r="H584" s="907"/>
      <c r="I584" s="907"/>
      <c r="J584" s="907"/>
      <c r="K584" s="907"/>
      <c r="L584" s="907"/>
      <c r="M584" s="907"/>
      <c r="N584" s="907"/>
      <c r="O584" s="907"/>
      <c r="P584" s="907"/>
      <c r="Q584" s="907"/>
      <c r="R584" s="907"/>
      <c r="S584" s="907"/>
      <c r="T584" s="907"/>
      <c r="U584" s="907"/>
      <c r="V584" s="907"/>
      <c r="W584" s="907"/>
      <c r="X584" s="907"/>
      <c r="Y584" s="907"/>
      <c r="Z584" s="907"/>
      <c r="AA584" s="907"/>
      <c r="AB584" s="907"/>
      <c r="AC584" s="907"/>
      <c r="AD584" s="907"/>
      <c r="AE584" s="907"/>
      <c r="AF584" s="907"/>
      <c r="AG584" s="907"/>
      <c r="AH584" s="907"/>
      <c r="AI584" s="907"/>
      <c r="AJ584" s="907"/>
      <c r="AK584" s="907"/>
      <c r="AL584" s="907"/>
    </row>
    <row r="585" spans="1:38">
      <c r="A585" s="907"/>
      <c r="B585" s="907"/>
      <c r="C585" s="907"/>
      <c r="D585" s="907"/>
      <c r="E585" s="907"/>
      <c r="F585" s="907"/>
      <c r="G585" s="907"/>
      <c r="H585" s="907"/>
      <c r="I585" s="907"/>
      <c r="J585" s="907"/>
      <c r="K585" s="907"/>
      <c r="L585" s="907"/>
      <c r="M585" s="907"/>
      <c r="N585" s="907"/>
      <c r="O585" s="907"/>
      <c r="P585" s="907"/>
      <c r="Q585" s="907"/>
      <c r="R585" s="907"/>
      <c r="S585" s="907"/>
      <c r="T585" s="907"/>
      <c r="U585" s="907"/>
      <c r="V585" s="907"/>
      <c r="W585" s="907"/>
      <c r="X585" s="907"/>
      <c r="Y585" s="907"/>
      <c r="Z585" s="907"/>
      <c r="AA585" s="907"/>
      <c r="AB585" s="907"/>
      <c r="AC585" s="907"/>
      <c r="AD585" s="907"/>
      <c r="AE585" s="907"/>
      <c r="AF585" s="907"/>
      <c r="AG585" s="907"/>
      <c r="AH585" s="907"/>
      <c r="AI585" s="907"/>
      <c r="AJ585" s="907"/>
      <c r="AK585" s="907"/>
      <c r="AL585" s="907"/>
    </row>
    <row r="586" spans="1:38">
      <c r="A586" s="907"/>
      <c r="B586" s="907"/>
      <c r="C586" s="907"/>
      <c r="D586" s="907"/>
      <c r="E586" s="907"/>
      <c r="F586" s="907"/>
      <c r="G586" s="907"/>
      <c r="H586" s="907"/>
      <c r="I586" s="907"/>
      <c r="J586" s="907"/>
      <c r="K586" s="907"/>
      <c r="L586" s="907"/>
      <c r="M586" s="907"/>
      <c r="N586" s="907"/>
      <c r="O586" s="907"/>
      <c r="P586" s="907"/>
      <c r="Q586" s="907"/>
      <c r="R586" s="907"/>
      <c r="S586" s="907"/>
      <c r="T586" s="907"/>
      <c r="U586" s="907"/>
      <c r="V586" s="907"/>
      <c r="W586" s="907"/>
      <c r="X586" s="907"/>
      <c r="Y586" s="907"/>
      <c r="Z586" s="907"/>
      <c r="AA586" s="907"/>
      <c r="AB586" s="907"/>
      <c r="AC586" s="907"/>
      <c r="AD586" s="907"/>
      <c r="AE586" s="907"/>
      <c r="AF586" s="907"/>
      <c r="AG586" s="907"/>
      <c r="AH586" s="907"/>
      <c r="AI586" s="907"/>
      <c r="AJ586" s="907"/>
      <c r="AK586" s="907"/>
      <c r="AL586" s="907"/>
    </row>
    <row r="587" spans="1:38">
      <c r="A587" s="907"/>
      <c r="B587" s="907"/>
      <c r="C587" s="907"/>
      <c r="D587" s="907"/>
      <c r="E587" s="907"/>
      <c r="F587" s="907"/>
      <c r="G587" s="907"/>
      <c r="H587" s="907"/>
      <c r="I587" s="907"/>
      <c r="J587" s="907"/>
      <c r="K587" s="907"/>
      <c r="L587" s="907"/>
      <c r="M587" s="907"/>
      <c r="N587" s="907"/>
      <c r="O587" s="907"/>
      <c r="P587" s="907"/>
      <c r="Q587" s="907"/>
      <c r="R587" s="907"/>
      <c r="S587" s="907"/>
      <c r="T587" s="907"/>
      <c r="U587" s="907"/>
      <c r="V587" s="907"/>
      <c r="W587" s="907"/>
      <c r="X587" s="907"/>
      <c r="Y587" s="907"/>
      <c r="Z587" s="907"/>
      <c r="AA587" s="907"/>
      <c r="AB587" s="907"/>
      <c r="AC587" s="907"/>
      <c r="AD587" s="907"/>
      <c r="AE587" s="907"/>
      <c r="AF587" s="907"/>
      <c r="AG587" s="907"/>
      <c r="AH587" s="907"/>
      <c r="AI587" s="907"/>
      <c r="AJ587" s="907"/>
      <c r="AK587" s="907"/>
      <c r="AL587" s="907"/>
    </row>
    <row r="588" spans="1:38">
      <c r="A588" s="907"/>
      <c r="B588" s="907"/>
      <c r="C588" s="907"/>
      <c r="D588" s="907"/>
      <c r="E588" s="907"/>
      <c r="F588" s="907"/>
      <c r="G588" s="907"/>
      <c r="H588" s="907"/>
      <c r="I588" s="907"/>
      <c r="J588" s="907"/>
      <c r="K588" s="907"/>
      <c r="L588" s="907"/>
      <c r="M588" s="907"/>
      <c r="N588" s="907"/>
      <c r="O588" s="907"/>
      <c r="P588" s="907"/>
      <c r="Q588" s="907"/>
      <c r="R588" s="907"/>
      <c r="S588" s="907"/>
      <c r="T588" s="907"/>
      <c r="U588" s="907"/>
      <c r="V588" s="907"/>
      <c r="W588" s="907"/>
      <c r="X588" s="907"/>
      <c r="Y588" s="907"/>
      <c r="Z588" s="907"/>
      <c r="AA588" s="907"/>
      <c r="AB588" s="907"/>
      <c r="AC588" s="907"/>
      <c r="AD588" s="907"/>
      <c r="AE588" s="907"/>
      <c r="AF588" s="907"/>
      <c r="AG588" s="907"/>
      <c r="AH588" s="907"/>
      <c r="AI588" s="907"/>
      <c r="AJ588" s="907"/>
      <c r="AK588" s="907"/>
      <c r="AL588" s="907"/>
    </row>
    <row r="589" spans="1:38">
      <c r="A589" s="907"/>
      <c r="B589" s="907"/>
      <c r="C589" s="907"/>
      <c r="D589" s="907"/>
      <c r="E589" s="907"/>
      <c r="F589" s="907"/>
      <c r="G589" s="907"/>
      <c r="H589" s="907"/>
      <c r="I589" s="907"/>
      <c r="J589" s="907"/>
      <c r="K589" s="907"/>
      <c r="L589" s="907"/>
      <c r="M589" s="907"/>
      <c r="N589" s="907"/>
      <c r="O589" s="907"/>
      <c r="P589" s="907"/>
      <c r="Q589" s="907"/>
      <c r="R589" s="907"/>
      <c r="S589" s="907"/>
      <c r="T589" s="907"/>
      <c r="U589" s="907"/>
      <c r="V589" s="907"/>
      <c r="W589" s="907"/>
      <c r="X589" s="907"/>
      <c r="Y589" s="907"/>
      <c r="Z589" s="907"/>
      <c r="AA589" s="907"/>
      <c r="AB589" s="907"/>
      <c r="AC589" s="907"/>
      <c r="AD589" s="907"/>
      <c r="AE589" s="907"/>
      <c r="AF589" s="907"/>
      <c r="AG589" s="907"/>
      <c r="AH589" s="907"/>
      <c r="AI589" s="907"/>
      <c r="AJ589" s="907"/>
      <c r="AK589" s="907"/>
      <c r="AL589" s="907"/>
    </row>
    <row r="590" spans="1:38">
      <c r="A590" s="907"/>
      <c r="B590" s="907"/>
      <c r="C590" s="907"/>
      <c r="D590" s="907"/>
      <c r="E590" s="907"/>
      <c r="F590" s="907"/>
      <c r="G590" s="907"/>
      <c r="H590" s="907"/>
      <c r="I590" s="907"/>
      <c r="J590" s="907"/>
      <c r="K590" s="907"/>
      <c r="L590" s="907"/>
      <c r="M590" s="907"/>
      <c r="N590" s="907"/>
      <c r="O590" s="907"/>
      <c r="P590" s="907"/>
      <c r="Q590" s="907"/>
      <c r="R590" s="907"/>
      <c r="S590" s="907"/>
      <c r="T590" s="907"/>
      <c r="U590" s="907"/>
      <c r="V590" s="907"/>
      <c r="W590" s="907"/>
      <c r="X590" s="907"/>
      <c r="Y590" s="907"/>
      <c r="Z590" s="907"/>
      <c r="AA590" s="907"/>
      <c r="AB590" s="907"/>
      <c r="AC590" s="907"/>
      <c r="AD590" s="907"/>
      <c r="AE590" s="907"/>
      <c r="AF590" s="907"/>
      <c r="AG590" s="907"/>
      <c r="AH590" s="907"/>
      <c r="AI590" s="907"/>
      <c r="AJ590" s="907"/>
      <c r="AK590" s="907"/>
      <c r="AL590" s="907"/>
    </row>
    <row r="591" spans="1:38">
      <c r="A591" s="907"/>
      <c r="B591" s="907"/>
      <c r="C591" s="907"/>
      <c r="D591" s="907"/>
      <c r="E591" s="907"/>
      <c r="F591" s="907"/>
      <c r="G591" s="907"/>
      <c r="H591" s="907"/>
      <c r="I591" s="907"/>
      <c r="J591" s="907"/>
      <c r="K591" s="907"/>
      <c r="L591" s="907"/>
      <c r="M591" s="907"/>
      <c r="N591" s="907"/>
      <c r="O591" s="907"/>
      <c r="P591" s="907"/>
      <c r="Q591" s="907"/>
      <c r="R591" s="907"/>
      <c r="S591" s="907"/>
      <c r="T591" s="907"/>
      <c r="U591" s="907"/>
      <c r="V591" s="907"/>
      <c r="W591" s="907"/>
      <c r="X591" s="907"/>
      <c r="Y591" s="907"/>
      <c r="Z591" s="907"/>
      <c r="AA591" s="907"/>
      <c r="AB591" s="907"/>
      <c r="AC591" s="907"/>
      <c r="AD591" s="907"/>
      <c r="AE591" s="907"/>
      <c r="AF591" s="907"/>
      <c r="AG591" s="907"/>
      <c r="AH591" s="907"/>
      <c r="AI591" s="907"/>
      <c r="AJ591" s="907"/>
      <c r="AK591" s="907"/>
      <c r="AL591" s="907"/>
    </row>
    <row r="592" spans="1:38">
      <c r="A592" s="907"/>
      <c r="B592" s="907"/>
      <c r="C592" s="907"/>
      <c r="D592" s="907"/>
      <c r="E592" s="907"/>
      <c r="F592" s="907"/>
      <c r="G592" s="907"/>
      <c r="H592" s="907"/>
      <c r="I592" s="907"/>
      <c r="J592" s="907"/>
      <c r="K592" s="907"/>
      <c r="L592" s="907"/>
      <c r="M592" s="907"/>
      <c r="N592" s="907"/>
      <c r="O592" s="907"/>
      <c r="P592" s="907"/>
      <c r="Q592" s="907"/>
      <c r="R592" s="907"/>
      <c r="S592" s="907"/>
      <c r="T592" s="907"/>
      <c r="U592" s="907"/>
      <c r="V592" s="907"/>
      <c r="W592" s="907"/>
      <c r="X592" s="907"/>
      <c r="Y592" s="907"/>
      <c r="Z592" s="907"/>
      <c r="AA592" s="907"/>
      <c r="AB592" s="907"/>
      <c r="AC592" s="907"/>
      <c r="AD592" s="907"/>
      <c r="AE592" s="907"/>
      <c r="AF592" s="907"/>
      <c r="AG592" s="907"/>
      <c r="AH592" s="907"/>
      <c r="AI592" s="907"/>
      <c r="AJ592" s="907"/>
      <c r="AK592" s="907"/>
      <c r="AL592" s="907"/>
    </row>
    <row r="593" spans="1:38">
      <c r="A593" s="907"/>
      <c r="B593" s="907"/>
      <c r="C593" s="907"/>
      <c r="D593" s="907"/>
      <c r="E593" s="907"/>
      <c r="F593" s="907"/>
      <c r="G593" s="907"/>
      <c r="H593" s="907"/>
      <c r="I593" s="907"/>
      <c r="J593" s="907"/>
      <c r="K593" s="907"/>
      <c r="L593" s="907"/>
      <c r="M593" s="907"/>
      <c r="N593" s="907"/>
      <c r="O593" s="907"/>
      <c r="P593" s="907"/>
      <c r="Q593" s="907"/>
      <c r="R593" s="907"/>
      <c r="S593" s="907"/>
      <c r="T593" s="907"/>
      <c r="U593" s="907"/>
      <c r="V593" s="907"/>
      <c r="W593" s="907"/>
      <c r="X593" s="907"/>
      <c r="Y593" s="907"/>
      <c r="Z593" s="907"/>
      <c r="AA593" s="907"/>
      <c r="AB593" s="907"/>
      <c r="AC593" s="907"/>
      <c r="AD593" s="907"/>
      <c r="AE593" s="907"/>
      <c r="AF593" s="907"/>
      <c r="AG593" s="907"/>
      <c r="AH593" s="907"/>
      <c r="AI593" s="907"/>
      <c r="AJ593" s="907"/>
      <c r="AK593" s="907"/>
      <c r="AL593" s="907"/>
    </row>
    <row r="594" spans="1:38">
      <c r="A594" s="907"/>
      <c r="B594" s="907"/>
      <c r="C594" s="907"/>
      <c r="D594" s="907"/>
      <c r="E594" s="907"/>
      <c r="F594" s="907"/>
      <c r="G594" s="907"/>
      <c r="H594" s="907"/>
      <c r="I594" s="907"/>
      <c r="J594" s="907"/>
      <c r="K594" s="907"/>
      <c r="L594" s="907"/>
      <c r="M594" s="907"/>
      <c r="N594" s="907"/>
      <c r="O594" s="907"/>
      <c r="P594" s="907"/>
      <c r="Q594" s="907"/>
      <c r="R594" s="907"/>
      <c r="S594" s="907"/>
      <c r="T594" s="907"/>
      <c r="U594" s="907"/>
      <c r="V594" s="907"/>
      <c r="W594" s="907"/>
      <c r="X594" s="907"/>
      <c r="Y594" s="907"/>
      <c r="Z594" s="907"/>
      <c r="AA594" s="907"/>
      <c r="AB594" s="907"/>
      <c r="AC594" s="907"/>
      <c r="AD594" s="907"/>
      <c r="AE594" s="907"/>
      <c r="AF594" s="907"/>
      <c r="AG594" s="907"/>
      <c r="AH594" s="907"/>
      <c r="AI594" s="907"/>
      <c r="AJ594" s="907"/>
      <c r="AK594" s="907"/>
      <c r="AL594" s="907"/>
    </row>
    <row r="595" spans="1:38">
      <c r="A595" s="907"/>
      <c r="B595" s="907"/>
      <c r="C595" s="907"/>
      <c r="D595" s="907"/>
      <c r="E595" s="907"/>
      <c r="F595" s="907"/>
      <c r="G595" s="907"/>
      <c r="H595" s="907"/>
      <c r="I595" s="907"/>
      <c r="J595" s="907"/>
      <c r="K595" s="907"/>
      <c r="L595" s="907"/>
      <c r="M595" s="907"/>
      <c r="N595" s="907"/>
      <c r="O595" s="907"/>
      <c r="P595" s="907"/>
      <c r="Q595" s="907"/>
      <c r="R595" s="907"/>
      <c r="S595" s="907"/>
      <c r="T595" s="907"/>
      <c r="U595" s="907"/>
      <c r="V595" s="907"/>
      <c r="W595" s="907"/>
      <c r="X595" s="907"/>
      <c r="Y595" s="907"/>
      <c r="Z595" s="907"/>
      <c r="AA595" s="907"/>
      <c r="AB595" s="907"/>
      <c r="AC595" s="907"/>
      <c r="AD595" s="907"/>
      <c r="AE595" s="907"/>
      <c r="AF595" s="907"/>
      <c r="AG595" s="907"/>
      <c r="AH595" s="907"/>
      <c r="AI595" s="907"/>
      <c r="AJ595" s="907"/>
      <c r="AK595" s="907"/>
      <c r="AL595" s="907"/>
    </row>
    <row r="596" spans="1:38">
      <c r="A596" s="907"/>
      <c r="B596" s="907"/>
      <c r="C596" s="907"/>
      <c r="D596" s="907"/>
      <c r="E596" s="907"/>
      <c r="F596" s="907"/>
      <c r="G596" s="907"/>
      <c r="H596" s="907"/>
      <c r="I596" s="907"/>
      <c r="J596" s="907"/>
      <c r="K596" s="907"/>
      <c r="L596" s="907"/>
      <c r="M596" s="907"/>
      <c r="N596" s="907"/>
      <c r="O596" s="907"/>
      <c r="P596" s="907"/>
      <c r="Q596" s="907"/>
      <c r="R596" s="907"/>
      <c r="S596" s="907"/>
      <c r="T596" s="907"/>
      <c r="U596" s="907"/>
      <c r="V596" s="907"/>
      <c r="W596" s="907"/>
      <c r="X596" s="907"/>
      <c r="Y596" s="907"/>
      <c r="Z596" s="907"/>
      <c r="AA596" s="907"/>
      <c r="AB596" s="907"/>
      <c r="AC596" s="907"/>
      <c r="AD596" s="907"/>
      <c r="AE596" s="907"/>
      <c r="AF596" s="907"/>
      <c r="AG596" s="907"/>
      <c r="AH596" s="907"/>
      <c r="AI596" s="907"/>
      <c r="AJ596" s="907"/>
      <c r="AK596" s="907"/>
      <c r="AL596" s="907"/>
    </row>
    <row r="597" spans="1:38">
      <c r="A597" s="907"/>
      <c r="B597" s="907"/>
      <c r="C597" s="907"/>
      <c r="D597" s="907"/>
      <c r="E597" s="907"/>
      <c r="F597" s="907"/>
      <c r="G597" s="907"/>
      <c r="H597" s="907"/>
      <c r="I597" s="907"/>
      <c r="J597" s="907"/>
      <c r="K597" s="907"/>
      <c r="L597" s="907"/>
      <c r="M597" s="907"/>
      <c r="N597" s="907"/>
      <c r="O597" s="907"/>
      <c r="P597" s="907"/>
      <c r="Q597" s="907"/>
      <c r="R597" s="907"/>
      <c r="S597" s="907"/>
      <c r="T597" s="907"/>
      <c r="U597" s="907"/>
      <c r="V597" s="907"/>
      <c r="W597" s="907"/>
      <c r="X597" s="907"/>
      <c r="Y597" s="907"/>
      <c r="Z597" s="907"/>
      <c r="AA597" s="907"/>
      <c r="AB597" s="907"/>
      <c r="AC597" s="907"/>
      <c r="AD597" s="907"/>
      <c r="AE597" s="907"/>
      <c r="AF597" s="907"/>
      <c r="AG597" s="907"/>
      <c r="AH597" s="907"/>
      <c r="AI597" s="907"/>
      <c r="AJ597" s="907"/>
      <c r="AK597" s="907"/>
      <c r="AL597" s="907"/>
    </row>
    <row r="598" spans="1:38">
      <c r="A598" s="907"/>
      <c r="B598" s="907"/>
      <c r="C598" s="907"/>
      <c r="D598" s="907"/>
      <c r="E598" s="907"/>
      <c r="F598" s="907"/>
      <c r="G598" s="907"/>
      <c r="H598" s="907"/>
      <c r="I598" s="907"/>
      <c r="J598" s="907"/>
      <c r="K598" s="907"/>
      <c r="L598" s="907"/>
      <c r="M598" s="907"/>
      <c r="N598" s="907"/>
      <c r="O598" s="907"/>
      <c r="P598" s="907"/>
      <c r="Q598" s="907"/>
      <c r="R598" s="907"/>
      <c r="S598" s="907"/>
      <c r="T598" s="907"/>
      <c r="U598" s="907"/>
      <c r="V598" s="907"/>
      <c r="W598" s="907"/>
      <c r="X598" s="907"/>
      <c r="Y598" s="907"/>
      <c r="Z598" s="907"/>
      <c r="AA598" s="907"/>
      <c r="AB598" s="907"/>
      <c r="AC598" s="907"/>
      <c r="AD598" s="907"/>
      <c r="AE598" s="907"/>
      <c r="AF598" s="907"/>
      <c r="AG598" s="907"/>
      <c r="AH598" s="907"/>
      <c r="AI598" s="907"/>
      <c r="AJ598" s="907"/>
      <c r="AK598" s="907"/>
      <c r="AL598" s="907"/>
    </row>
    <row r="599" spans="1:38">
      <c r="A599" s="907"/>
      <c r="B599" s="907"/>
      <c r="C599" s="907"/>
      <c r="D599" s="907"/>
      <c r="E599" s="907"/>
      <c r="F599" s="907"/>
      <c r="G599" s="907"/>
      <c r="H599" s="907"/>
      <c r="I599" s="907"/>
      <c r="J599" s="907"/>
      <c r="K599" s="907"/>
      <c r="L599" s="907"/>
      <c r="M599" s="907"/>
      <c r="N599" s="907"/>
      <c r="O599" s="907"/>
      <c r="P599" s="907"/>
      <c r="Q599" s="907"/>
      <c r="R599" s="907"/>
      <c r="S599" s="907"/>
      <c r="T599" s="907"/>
      <c r="U599" s="907"/>
      <c r="V599" s="907"/>
      <c r="W599" s="907"/>
      <c r="X599" s="907"/>
      <c r="Y599" s="907"/>
      <c r="Z599" s="907"/>
      <c r="AA599" s="907"/>
      <c r="AB599" s="907"/>
      <c r="AC599" s="907"/>
      <c r="AD599" s="907"/>
      <c r="AE599" s="907"/>
      <c r="AF599" s="907"/>
      <c r="AG599" s="907"/>
      <c r="AH599" s="907"/>
      <c r="AI599" s="907"/>
      <c r="AJ599" s="907"/>
      <c r="AK599" s="907"/>
      <c r="AL599" s="907"/>
    </row>
    <row r="600" spans="1:38">
      <c r="A600" s="907"/>
      <c r="B600" s="907"/>
      <c r="C600" s="907"/>
      <c r="D600" s="907"/>
      <c r="E600" s="907"/>
      <c r="F600" s="907"/>
      <c r="G600" s="907"/>
      <c r="H600" s="907"/>
      <c r="I600" s="907"/>
      <c r="J600" s="907"/>
      <c r="K600" s="907"/>
      <c r="L600" s="907"/>
      <c r="M600" s="907"/>
      <c r="N600" s="907"/>
      <c r="O600" s="907"/>
      <c r="P600" s="907"/>
      <c r="Q600" s="907"/>
      <c r="R600" s="907"/>
      <c r="S600" s="907"/>
      <c r="T600" s="907"/>
      <c r="U600" s="907"/>
      <c r="V600" s="907"/>
      <c r="W600" s="907"/>
      <c r="X600" s="907"/>
      <c r="Y600" s="907"/>
      <c r="Z600" s="907"/>
      <c r="AA600" s="907"/>
      <c r="AB600" s="907"/>
      <c r="AC600" s="907"/>
      <c r="AD600" s="907"/>
      <c r="AE600" s="907"/>
      <c r="AF600" s="907"/>
      <c r="AG600" s="907"/>
      <c r="AH600" s="907"/>
      <c r="AI600" s="907"/>
      <c r="AJ600" s="907"/>
      <c r="AK600" s="907"/>
      <c r="AL600" s="907"/>
    </row>
    <row r="601" spans="1:38">
      <c r="A601" s="907"/>
      <c r="B601" s="907"/>
      <c r="C601" s="907"/>
      <c r="D601" s="907"/>
      <c r="E601" s="907"/>
      <c r="F601" s="907"/>
      <c r="G601" s="907"/>
      <c r="H601" s="907"/>
      <c r="I601" s="907"/>
      <c r="J601" s="907"/>
      <c r="K601" s="907"/>
      <c r="L601" s="907"/>
      <c r="M601" s="907"/>
      <c r="N601" s="907"/>
      <c r="O601" s="907"/>
      <c r="P601" s="907"/>
      <c r="Q601" s="907"/>
      <c r="R601" s="907"/>
      <c r="S601" s="907"/>
      <c r="T601" s="907"/>
      <c r="U601" s="907"/>
      <c r="V601" s="907"/>
      <c r="W601" s="907"/>
      <c r="X601" s="907"/>
      <c r="Y601" s="907"/>
      <c r="Z601" s="907"/>
      <c r="AA601" s="907"/>
      <c r="AB601" s="907"/>
      <c r="AC601" s="907"/>
      <c r="AD601" s="907"/>
      <c r="AE601" s="907"/>
      <c r="AF601" s="907"/>
      <c r="AG601" s="907"/>
      <c r="AH601" s="907"/>
      <c r="AI601" s="907"/>
      <c r="AJ601" s="907"/>
      <c r="AK601" s="907"/>
      <c r="AL601" s="907"/>
    </row>
    <row r="602" spans="1:38">
      <c r="A602" s="907"/>
      <c r="B602" s="907"/>
      <c r="C602" s="907"/>
      <c r="D602" s="907"/>
      <c r="E602" s="907"/>
      <c r="F602" s="907"/>
      <c r="G602" s="907"/>
      <c r="H602" s="907"/>
      <c r="I602" s="907"/>
      <c r="J602" s="907"/>
      <c r="K602" s="907"/>
      <c r="L602" s="907"/>
      <c r="M602" s="907"/>
      <c r="N602" s="907"/>
      <c r="O602" s="907"/>
      <c r="P602" s="907"/>
      <c r="Q602" s="907"/>
      <c r="R602" s="907"/>
      <c r="S602" s="907"/>
      <c r="T602" s="907"/>
      <c r="U602" s="907"/>
      <c r="V602" s="907"/>
      <c r="W602" s="907"/>
      <c r="X602" s="907"/>
      <c r="Y602" s="907"/>
      <c r="Z602" s="907"/>
      <c r="AA602" s="907"/>
      <c r="AB602" s="907"/>
      <c r="AC602" s="907"/>
      <c r="AD602" s="907"/>
      <c r="AE602" s="907"/>
      <c r="AF602" s="907"/>
      <c r="AG602" s="907"/>
      <c r="AH602" s="907"/>
      <c r="AI602" s="907"/>
      <c r="AJ602" s="907"/>
      <c r="AK602" s="907"/>
      <c r="AL602" s="907"/>
    </row>
    <row r="603" spans="1:38">
      <c r="A603" s="907"/>
      <c r="B603" s="907"/>
      <c r="C603" s="907"/>
      <c r="D603" s="907"/>
      <c r="E603" s="907"/>
      <c r="F603" s="907"/>
      <c r="G603" s="907"/>
      <c r="H603" s="907"/>
      <c r="I603" s="907"/>
      <c r="J603" s="907"/>
      <c r="K603" s="907"/>
      <c r="L603" s="907"/>
      <c r="M603" s="907"/>
      <c r="N603" s="907"/>
      <c r="O603" s="907"/>
      <c r="P603" s="907"/>
      <c r="Q603" s="907"/>
      <c r="R603" s="907"/>
      <c r="S603" s="907"/>
      <c r="T603" s="907"/>
      <c r="U603" s="907"/>
      <c r="V603" s="907"/>
      <c r="W603" s="907"/>
      <c r="X603" s="907"/>
      <c r="Y603" s="907"/>
      <c r="Z603" s="907"/>
      <c r="AA603" s="907"/>
      <c r="AB603" s="907"/>
      <c r="AC603" s="907"/>
      <c r="AD603" s="907"/>
      <c r="AE603" s="907"/>
      <c r="AF603" s="907"/>
      <c r="AG603" s="907"/>
      <c r="AH603" s="907"/>
      <c r="AI603" s="907"/>
      <c r="AJ603" s="907"/>
      <c r="AK603" s="907"/>
      <c r="AL603" s="907"/>
    </row>
    <row r="604" spans="1:38">
      <c r="A604" s="907"/>
      <c r="B604" s="907"/>
      <c r="C604" s="907"/>
      <c r="D604" s="907"/>
      <c r="E604" s="907"/>
      <c r="F604" s="907"/>
      <c r="G604" s="907"/>
      <c r="H604" s="907"/>
      <c r="I604" s="907"/>
      <c r="J604" s="907"/>
      <c r="K604" s="907"/>
      <c r="L604" s="907"/>
      <c r="M604" s="907"/>
      <c r="N604" s="907"/>
      <c r="O604" s="907"/>
      <c r="P604" s="907"/>
      <c r="Q604" s="907"/>
      <c r="R604" s="907"/>
      <c r="S604" s="907"/>
      <c r="T604" s="907"/>
      <c r="U604" s="907"/>
      <c r="V604" s="907"/>
      <c r="W604" s="907"/>
      <c r="X604" s="907"/>
      <c r="Y604" s="907"/>
      <c r="Z604" s="907"/>
      <c r="AA604" s="907"/>
      <c r="AB604" s="907"/>
      <c r="AC604" s="907"/>
      <c r="AD604" s="907"/>
      <c r="AE604" s="907"/>
      <c r="AF604" s="907"/>
      <c r="AG604" s="907"/>
      <c r="AH604" s="907"/>
      <c r="AI604" s="907"/>
      <c r="AJ604" s="907"/>
      <c r="AK604" s="907"/>
      <c r="AL604" s="907"/>
    </row>
    <row r="605" spans="1:38">
      <c r="A605" s="907"/>
      <c r="B605" s="907"/>
      <c r="C605" s="907"/>
      <c r="D605" s="907"/>
      <c r="E605" s="907"/>
      <c r="F605" s="907"/>
      <c r="G605" s="907"/>
      <c r="H605" s="907"/>
      <c r="I605" s="907"/>
      <c r="J605" s="907"/>
      <c r="K605" s="907"/>
      <c r="L605" s="907"/>
      <c r="M605" s="907"/>
      <c r="N605" s="907"/>
      <c r="O605" s="907"/>
      <c r="P605" s="907"/>
      <c r="Q605" s="907"/>
      <c r="R605" s="907"/>
      <c r="S605" s="907"/>
      <c r="T605" s="907"/>
      <c r="U605" s="907"/>
      <c r="V605" s="907"/>
      <c r="W605" s="907"/>
      <c r="X605" s="907"/>
      <c r="Y605" s="907"/>
      <c r="Z605" s="907"/>
      <c r="AA605" s="907"/>
      <c r="AB605" s="907"/>
      <c r="AC605" s="907"/>
      <c r="AD605" s="907"/>
      <c r="AE605" s="907"/>
      <c r="AF605" s="907"/>
      <c r="AG605" s="907"/>
      <c r="AH605" s="907"/>
      <c r="AI605" s="907"/>
      <c r="AJ605" s="907"/>
      <c r="AK605" s="907"/>
      <c r="AL605" s="907"/>
    </row>
    <row r="606" spans="1:38">
      <c r="A606" s="907"/>
      <c r="B606" s="907"/>
      <c r="C606" s="907"/>
      <c r="D606" s="907"/>
      <c r="E606" s="907"/>
      <c r="F606" s="907"/>
      <c r="G606" s="907"/>
      <c r="H606" s="907"/>
      <c r="I606" s="907"/>
      <c r="J606" s="907"/>
      <c r="K606" s="907"/>
      <c r="L606" s="907"/>
      <c r="M606" s="907"/>
      <c r="N606" s="907"/>
      <c r="O606" s="907"/>
      <c r="P606" s="907"/>
      <c r="Q606" s="907"/>
      <c r="R606" s="907"/>
      <c r="S606" s="907"/>
      <c r="T606" s="907"/>
      <c r="U606" s="907"/>
      <c r="V606" s="907"/>
      <c r="W606" s="907"/>
      <c r="X606" s="907"/>
      <c r="Y606" s="907"/>
      <c r="Z606" s="907"/>
      <c r="AA606" s="907"/>
      <c r="AB606" s="907"/>
      <c r="AC606" s="907"/>
      <c r="AD606" s="907"/>
      <c r="AE606" s="907"/>
      <c r="AF606" s="907"/>
      <c r="AG606" s="907"/>
      <c r="AH606" s="907"/>
      <c r="AI606" s="907"/>
      <c r="AJ606" s="907"/>
      <c r="AK606" s="907"/>
      <c r="AL606" s="907"/>
    </row>
    <row r="607" spans="1:38">
      <c r="A607" s="907"/>
      <c r="B607" s="907"/>
      <c r="C607" s="907"/>
      <c r="D607" s="907"/>
      <c r="E607" s="907"/>
      <c r="F607" s="907"/>
      <c r="G607" s="907"/>
      <c r="H607" s="907"/>
      <c r="I607" s="907"/>
      <c r="J607" s="907"/>
      <c r="K607" s="907"/>
      <c r="L607" s="907"/>
      <c r="M607" s="907"/>
      <c r="N607" s="907"/>
      <c r="O607" s="907"/>
      <c r="P607" s="907"/>
      <c r="Q607" s="907"/>
      <c r="R607" s="907"/>
      <c r="S607" s="907"/>
      <c r="T607" s="907"/>
      <c r="U607" s="907"/>
      <c r="V607" s="907"/>
      <c r="W607" s="907"/>
      <c r="X607" s="907"/>
      <c r="Y607" s="907"/>
      <c r="Z607" s="907"/>
      <c r="AA607" s="907"/>
      <c r="AB607" s="907"/>
      <c r="AC607" s="907"/>
      <c r="AD607" s="907"/>
      <c r="AE607" s="907"/>
      <c r="AF607" s="907"/>
      <c r="AG607" s="907"/>
      <c r="AH607" s="907"/>
      <c r="AI607" s="907"/>
      <c r="AJ607" s="907"/>
      <c r="AK607" s="907"/>
      <c r="AL607" s="907"/>
    </row>
    <row r="608" spans="1:38">
      <c r="A608" s="907"/>
      <c r="B608" s="907"/>
      <c r="C608" s="907"/>
      <c r="D608" s="907"/>
      <c r="E608" s="907"/>
      <c r="F608" s="907"/>
      <c r="G608" s="907"/>
      <c r="H608" s="907"/>
      <c r="I608" s="907"/>
      <c r="J608" s="907"/>
      <c r="K608" s="907"/>
      <c r="L608" s="907"/>
      <c r="M608" s="907"/>
      <c r="N608" s="907"/>
      <c r="O608" s="907"/>
      <c r="P608" s="907"/>
      <c r="Q608" s="907"/>
      <c r="R608" s="907"/>
      <c r="S608" s="907"/>
      <c r="T608" s="907"/>
      <c r="U608" s="907"/>
      <c r="V608" s="907"/>
      <c r="W608" s="907"/>
      <c r="X608" s="907"/>
      <c r="Y608" s="907"/>
      <c r="Z608" s="907"/>
      <c r="AA608" s="907"/>
      <c r="AB608" s="907"/>
      <c r="AC608" s="907"/>
      <c r="AD608" s="907"/>
      <c r="AE608" s="907"/>
      <c r="AF608" s="907"/>
      <c r="AG608" s="907"/>
      <c r="AH608" s="907"/>
      <c r="AI608" s="907"/>
      <c r="AJ608" s="907"/>
      <c r="AK608" s="907"/>
      <c r="AL608" s="907"/>
    </row>
    <row r="609" spans="1:38">
      <c r="A609" s="907"/>
      <c r="B609" s="907"/>
      <c r="C609" s="907"/>
      <c r="D609" s="907"/>
      <c r="E609" s="907"/>
      <c r="F609" s="907"/>
      <c r="G609" s="907"/>
      <c r="H609" s="907"/>
      <c r="I609" s="907"/>
      <c r="J609" s="907"/>
      <c r="K609" s="907"/>
      <c r="L609" s="907"/>
      <c r="M609" s="907"/>
      <c r="N609" s="907"/>
      <c r="O609" s="907"/>
      <c r="P609" s="907"/>
      <c r="Q609" s="907"/>
      <c r="R609" s="907"/>
      <c r="S609" s="907"/>
      <c r="T609" s="907"/>
      <c r="U609" s="907"/>
      <c r="V609" s="907"/>
      <c r="W609" s="907"/>
      <c r="X609" s="907"/>
      <c r="Y609" s="907"/>
      <c r="Z609" s="907"/>
      <c r="AA609" s="907"/>
      <c r="AB609" s="907"/>
      <c r="AC609" s="907"/>
      <c r="AD609" s="907"/>
      <c r="AE609" s="907"/>
      <c r="AF609" s="907"/>
      <c r="AG609" s="907"/>
      <c r="AH609" s="907"/>
      <c r="AI609" s="907"/>
      <c r="AJ609" s="907"/>
      <c r="AK609" s="907"/>
      <c r="AL609" s="907"/>
    </row>
    <row r="610" spans="1:38">
      <c r="A610" s="907"/>
      <c r="B610" s="907"/>
      <c r="C610" s="907"/>
      <c r="D610" s="907"/>
      <c r="E610" s="907"/>
      <c r="F610" s="907"/>
      <c r="G610" s="907"/>
      <c r="H610" s="907"/>
      <c r="I610" s="907"/>
      <c r="J610" s="907"/>
      <c r="K610" s="907"/>
      <c r="L610" s="907"/>
      <c r="M610" s="907"/>
      <c r="N610" s="907"/>
      <c r="O610" s="907"/>
      <c r="P610" s="907"/>
      <c r="Q610" s="907"/>
      <c r="R610" s="907"/>
      <c r="S610" s="907"/>
      <c r="T610" s="907"/>
      <c r="U610" s="907"/>
      <c r="V610" s="907"/>
      <c r="W610" s="907"/>
      <c r="X610" s="907"/>
      <c r="Y610" s="907"/>
      <c r="Z610" s="907"/>
      <c r="AA610" s="907"/>
      <c r="AB610" s="907"/>
      <c r="AC610" s="907"/>
      <c r="AD610" s="907"/>
      <c r="AE610" s="907"/>
      <c r="AF610" s="907"/>
      <c r="AG610" s="907"/>
      <c r="AH610" s="907"/>
      <c r="AI610" s="907"/>
      <c r="AJ610" s="907"/>
      <c r="AK610" s="907"/>
      <c r="AL610" s="907"/>
    </row>
    <row r="611" spans="1:38">
      <c r="A611" s="907"/>
      <c r="B611" s="907"/>
      <c r="C611" s="907"/>
      <c r="D611" s="907"/>
      <c r="E611" s="907"/>
      <c r="F611" s="907"/>
      <c r="G611" s="907"/>
      <c r="H611" s="907"/>
      <c r="I611" s="907"/>
      <c r="J611" s="907"/>
      <c r="K611" s="907"/>
      <c r="L611" s="907"/>
      <c r="M611" s="907"/>
      <c r="N611" s="907"/>
      <c r="O611" s="907"/>
      <c r="P611" s="907"/>
      <c r="Q611" s="907"/>
      <c r="R611" s="907"/>
      <c r="S611" s="907"/>
      <c r="T611" s="907"/>
      <c r="U611" s="907"/>
      <c r="V611" s="907"/>
      <c r="W611" s="907"/>
      <c r="X611" s="907"/>
      <c r="Y611" s="907"/>
      <c r="Z611" s="907"/>
      <c r="AA611" s="907"/>
      <c r="AB611" s="907"/>
      <c r="AC611" s="907"/>
      <c r="AD611" s="907"/>
      <c r="AE611" s="907"/>
      <c r="AF611" s="907"/>
      <c r="AG611" s="907"/>
      <c r="AH611" s="907"/>
      <c r="AI611" s="907"/>
      <c r="AJ611" s="907"/>
      <c r="AK611" s="907"/>
      <c r="AL611" s="907"/>
    </row>
    <row r="612" spans="1:38">
      <c r="A612" s="907"/>
      <c r="B612" s="907"/>
      <c r="C612" s="907"/>
      <c r="D612" s="907"/>
      <c r="E612" s="907"/>
      <c r="F612" s="907"/>
      <c r="G612" s="907"/>
      <c r="H612" s="907"/>
      <c r="I612" s="907"/>
      <c r="J612" s="907"/>
      <c r="K612" s="907"/>
      <c r="L612" s="907"/>
      <c r="M612" s="907"/>
      <c r="N612" s="907"/>
      <c r="O612" s="907"/>
      <c r="P612" s="907"/>
      <c r="Q612" s="907"/>
      <c r="R612" s="907"/>
      <c r="S612" s="907"/>
      <c r="T612" s="907"/>
      <c r="U612" s="907"/>
      <c r="V612" s="907"/>
      <c r="W612" s="907"/>
      <c r="X612" s="907"/>
      <c r="Y612" s="907"/>
      <c r="Z612" s="907"/>
      <c r="AA612" s="907"/>
      <c r="AB612" s="907"/>
      <c r="AC612" s="907"/>
      <c r="AD612" s="907"/>
      <c r="AE612" s="907"/>
      <c r="AF612" s="907"/>
      <c r="AG612" s="907"/>
      <c r="AH612" s="907"/>
      <c r="AI612" s="907"/>
      <c r="AJ612" s="907"/>
      <c r="AK612" s="907"/>
      <c r="AL612" s="907"/>
    </row>
    <row r="613" spans="1:38">
      <c r="A613" s="907"/>
      <c r="B613" s="907"/>
      <c r="C613" s="907"/>
      <c r="D613" s="907"/>
      <c r="E613" s="907"/>
      <c r="F613" s="907"/>
      <c r="G613" s="907"/>
      <c r="H613" s="907"/>
      <c r="I613" s="907"/>
      <c r="J613" s="907"/>
      <c r="K613" s="907"/>
      <c r="L613" s="907"/>
      <c r="M613" s="907"/>
      <c r="N613" s="907"/>
      <c r="O613" s="907"/>
      <c r="P613" s="907"/>
      <c r="Q613" s="907"/>
      <c r="R613" s="907"/>
      <c r="S613" s="907"/>
      <c r="T613" s="907"/>
      <c r="U613" s="907"/>
      <c r="V613" s="907"/>
      <c r="W613" s="907"/>
      <c r="X613" s="907"/>
      <c r="Y613" s="907"/>
      <c r="Z613" s="907"/>
      <c r="AA613" s="907"/>
      <c r="AB613" s="907"/>
      <c r="AC613" s="907"/>
      <c r="AD613" s="907"/>
      <c r="AE613" s="907"/>
      <c r="AF613" s="907"/>
      <c r="AG613" s="907"/>
      <c r="AH613" s="907"/>
      <c r="AI613" s="907"/>
      <c r="AJ613" s="907"/>
      <c r="AK613" s="907"/>
      <c r="AL613" s="907"/>
    </row>
    <row r="614" spans="1:38">
      <c r="A614" s="907"/>
      <c r="B614" s="907"/>
      <c r="C614" s="907"/>
      <c r="D614" s="907"/>
      <c r="E614" s="907"/>
      <c r="F614" s="907"/>
      <c r="G614" s="907"/>
      <c r="H614" s="907"/>
      <c r="I614" s="907"/>
      <c r="J614" s="907"/>
      <c r="K614" s="907"/>
      <c r="L614" s="907"/>
      <c r="M614" s="907"/>
      <c r="N614" s="907"/>
      <c r="O614" s="907"/>
      <c r="P614" s="907"/>
      <c r="Q614" s="907"/>
      <c r="R614" s="907"/>
      <c r="S614" s="907"/>
      <c r="T614" s="907"/>
      <c r="U614" s="907"/>
      <c r="V614" s="907"/>
      <c r="W614" s="907"/>
      <c r="X614" s="907"/>
      <c r="Y614" s="907"/>
      <c r="Z614" s="907"/>
      <c r="AA614" s="907"/>
      <c r="AB614" s="907"/>
      <c r="AC614" s="907"/>
      <c r="AD614" s="907"/>
      <c r="AE614" s="907"/>
      <c r="AF614" s="907"/>
      <c r="AG614" s="907"/>
      <c r="AH614" s="907"/>
      <c r="AI614" s="907"/>
      <c r="AJ614" s="907"/>
      <c r="AK614" s="907"/>
      <c r="AL614" s="907"/>
    </row>
    <row r="615" spans="1:38">
      <c r="A615" s="907"/>
      <c r="B615" s="907"/>
      <c r="C615" s="907"/>
      <c r="D615" s="907"/>
      <c r="E615" s="907"/>
      <c r="F615" s="907"/>
      <c r="G615" s="907"/>
      <c r="H615" s="907"/>
      <c r="I615" s="907"/>
      <c r="J615" s="907"/>
      <c r="K615" s="907"/>
      <c r="L615" s="907"/>
      <c r="M615" s="907"/>
      <c r="N615" s="907"/>
      <c r="O615" s="907"/>
      <c r="P615" s="907"/>
      <c r="Q615" s="907"/>
      <c r="R615" s="907"/>
      <c r="S615" s="907"/>
      <c r="T615" s="907"/>
      <c r="U615" s="907"/>
      <c r="V615" s="907"/>
      <c r="W615" s="907"/>
      <c r="X615" s="907"/>
      <c r="Y615" s="907"/>
      <c r="Z615" s="907"/>
      <c r="AA615" s="907"/>
      <c r="AB615" s="907"/>
      <c r="AC615" s="907"/>
      <c r="AD615" s="907"/>
      <c r="AE615" s="907"/>
      <c r="AF615" s="907"/>
      <c r="AG615" s="907"/>
      <c r="AH615" s="907"/>
      <c r="AI615" s="907"/>
      <c r="AJ615" s="907"/>
      <c r="AK615" s="907"/>
      <c r="AL615" s="907"/>
    </row>
    <row r="616" spans="1:38">
      <c r="A616" s="907"/>
      <c r="B616" s="907"/>
      <c r="C616" s="907"/>
      <c r="D616" s="907"/>
      <c r="E616" s="907"/>
      <c r="F616" s="907"/>
      <c r="G616" s="907"/>
      <c r="H616" s="907"/>
      <c r="I616" s="907"/>
      <c r="J616" s="907"/>
      <c r="K616" s="907"/>
      <c r="L616" s="907"/>
      <c r="M616" s="907"/>
      <c r="N616" s="907"/>
      <c r="O616" s="907"/>
      <c r="P616" s="907"/>
      <c r="Q616" s="907"/>
      <c r="R616" s="907"/>
      <c r="S616" s="907"/>
      <c r="T616" s="907"/>
      <c r="U616" s="907"/>
      <c r="V616" s="907"/>
      <c r="W616" s="907"/>
      <c r="X616" s="907"/>
      <c r="Y616" s="907"/>
      <c r="Z616" s="907"/>
      <c r="AA616" s="907"/>
      <c r="AB616" s="907"/>
      <c r="AC616" s="907"/>
      <c r="AD616" s="907"/>
      <c r="AE616" s="907"/>
      <c r="AF616" s="907"/>
      <c r="AG616" s="907"/>
      <c r="AH616" s="907"/>
      <c r="AI616" s="907"/>
      <c r="AJ616" s="907"/>
      <c r="AK616" s="907"/>
      <c r="AL616" s="907"/>
    </row>
    <row r="617" spans="1:38">
      <c r="A617" s="907"/>
      <c r="B617" s="907"/>
      <c r="C617" s="907"/>
      <c r="D617" s="907"/>
      <c r="E617" s="907"/>
      <c r="F617" s="907"/>
      <c r="G617" s="907"/>
      <c r="H617" s="907"/>
      <c r="I617" s="907"/>
      <c r="J617" s="907"/>
      <c r="K617" s="907"/>
      <c r="L617" s="907"/>
      <c r="M617" s="907"/>
      <c r="N617" s="907"/>
      <c r="O617" s="907"/>
      <c r="P617" s="907"/>
      <c r="Q617" s="907"/>
      <c r="R617" s="907"/>
      <c r="S617" s="907"/>
      <c r="T617" s="907"/>
      <c r="U617" s="907"/>
      <c r="V617" s="907"/>
      <c r="W617" s="907"/>
      <c r="X617" s="907"/>
      <c r="Y617" s="907"/>
      <c r="Z617" s="907"/>
      <c r="AA617" s="907"/>
      <c r="AB617" s="907"/>
      <c r="AC617" s="907"/>
      <c r="AD617" s="907"/>
      <c r="AE617" s="907"/>
      <c r="AF617" s="907"/>
      <c r="AG617" s="907"/>
      <c r="AH617" s="907"/>
      <c r="AI617" s="907"/>
      <c r="AJ617" s="907"/>
      <c r="AK617" s="907"/>
      <c r="AL617" s="907"/>
    </row>
    <row r="618" spans="1:38">
      <c r="A618" s="907"/>
      <c r="B618" s="907"/>
      <c r="C618" s="907"/>
      <c r="D618" s="907"/>
      <c r="E618" s="907"/>
      <c r="F618" s="907"/>
      <c r="G618" s="907"/>
      <c r="H618" s="907"/>
      <c r="I618" s="907"/>
      <c r="J618" s="907"/>
      <c r="K618" s="907"/>
      <c r="L618" s="907"/>
      <c r="M618" s="907"/>
      <c r="N618" s="907"/>
      <c r="O618" s="907"/>
      <c r="P618" s="907"/>
      <c r="Q618" s="907"/>
      <c r="R618" s="907"/>
      <c r="S618" s="907"/>
      <c r="T618" s="907"/>
      <c r="U618" s="907"/>
      <c r="V618" s="907"/>
      <c r="W618" s="907"/>
      <c r="X618" s="907"/>
      <c r="Y618" s="907"/>
      <c r="Z618" s="907"/>
      <c r="AA618" s="907"/>
      <c r="AB618" s="907"/>
      <c r="AC618" s="907"/>
      <c r="AD618" s="907"/>
      <c r="AE618" s="907"/>
      <c r="AF618" s="907"/>
      <c r="AG618" s="907"/>
      <c r="AH618" s="907"/>
      <c r="AI618" s="907"/>
      <c r="AJ618" s="907"/>
      <c r="AK618" s="907"/>
      <c r="AL618" s="907"/>
    </row>
    <row r="619" spans="1:38">
      <c r="A619" s="907"/>
      <c r="B619" s="907"/>
      <c r="C619" s="907"/>
      <c r="D619" s="907"/>
      <c r="E619" s="907"/>
      <c r="F619" s="907"/>
      <c r="G619" s="907"/>
      <c r="H619" s="907"/>
      <c r="I619" s="907"/>
      <c r="J619" s="907"/>
      <c r="K619" s="907"/>
      <c r="L619" s="907"/>
      <c r="M619" s="907"/>
      <c r="N619" s="907"/>
      <c r="O619" s="907"/>
      <c r="P619" s="907"/>
      <c r="Q619" s="907"/>
      <c r="R619" s="907"/>
      <c r="S619" s="907"/>
      <c r="T619" s="907"/>
      <c r="U619" s="907"/>
      <c r="V619" s="907"/>
      <c r="W619" s="907"/>
      <c r="X619" s="907"/>
      <c r="Y619" s="907"/>
      <c r="Z619" s="907"/>
      <c r="AA619" s="907"/>
      <c r="AB619" s="907"/>
      <c r="AC619" s="907"/>
      <c r="AD619" s="907"/>
      <c r="AE619" s="907"/>
      <c r="AF619" s="907"/>
      <c r="AG619" s="907"/>
      <c r="AH619" s="907"/>
      <c r="AI619" s="907"/>
      <c r="AJ619" s="907"/>
      <c r="AK619" s="907"/>
      <c r="AL619" s="907"/>
    </row>
    <row r="620" spans="1:38">
      <c r="A620" s="907"/>
      <c r="B620" s="907"/>
      <c r="C620" s="907"/>
      <c r="D620" s="907"/>
      <c r="E620" s="907"/>
      <c r="F620" s="907"/>
      <c r="G620" s="907"/>
      <c r="H620" s="907"/>
      <c r="I620" s="907"/>
      <c r="J620" s="907"/>
      <c r="K620" s="907"/>
      <c r="L620" s="907"/>
      <c r="M620" s="907"/>
      <c r="N620" s="907"/>
      <c r="O620" s="907"/>
      <c r="P620" s="907"/>
      <c r="Q620" s="907"/>
      <c r="R620" s="907"/>
      <c r="S620" s="907"/>
      <c r="T620" s="907"/>
      <c r="U620" s="907"/>
      <c r="V620" s="907"/>
      <c r="W620" s="907"/>
      <c r="X620" s="907"/>
      <c r="Y620" s="907"/>
      <c r="Z620" s="907"/>
      <c r="AA620" s="907"/>
      <c r="AB620" s="907"/>
      <c r="AC620" s="907"/>
      <c r="AD620" s="907"/>
      <c r="AE620" s="907"/>
      <c r="AF620" s="907"/>
      <c r="AG620" s="907"/>
      <c r="AH620" s="907"/>
      <c r="AI620" s="907"/>
      <c r="AJ620" s="907"/>
      <c r="AK620" s="907"/>
      <c r="AL620" s="907"/>
    </row>
    <row r="621" spans="1:38">
      <c r="A621" s="907"/>
      <c r="B621" s="907"/>
      <c r="C621" s="907"/>
      <c r="D621" s="907"/>
      <c r="E621" s="907"/>
      <c r="F621" s="907"/>
      <c r="G621" s="907"/>
      <c r="H621" s="907"/>
      <c r="I621" s="907"/>
      <c r="J621" s="907"/>
      <c r="K621" s="907"/>
      <c r="L621" s="907"/>
      <c r="M621" s="907"/>
      <c r="N621" s="907"/>
      <c r="O621" s="907"/>
      <c r="P621" s="907"/>
      <c r="Q621" s="907"/>
      <c r="R621" s="907"/>
      <c r="S621" s="907"/>
      <c r="T621" s="907"/>
      <c r="U621" s="907"/>
      <c r="V621" s="907"/>
      <c r="W621" s="907"/>
      <c r="X621" s="907"/>
      <c r="Y621" s="907"/>
      <c r="Z621" s="907"/>
      <c r="AA621" s="907"/>
      <c r="AB621" s="907"/>
      <c r="AC621" s="907"/>
      <c r="AD621" s="907"/>
      <c r="AE621" s="907"/>
      <c r="AF621" s="907"/>
      <c r="AG621" s="907"/>
      <c r="AH621" s="907"/>
      <c r="AI621" s="907"/>
      <c r="AJ621" s="907"/>
      <c r="AK621" s="907"/>
      <c r="AL621" s="907"/>
    </row>
    <row r="622" spans="1:38">
      <c r="A622" s="907"/>
      <c r="B622" s="907"/>
      <c r="C622" s="907"/>
      <c r="D622" s="907"/>
      <c r="E622" s="907"/>
      <c r="F622" s="907"/>
      <c r="G622" s="907"/>
      <c r="H622" s="907"/>
      <c r="I622" s="907"/>
      <c r="J622" s="907"/>
      <c r="K622" s="907"/>
      <c r="L622" s="907"/>
      <c r="M622" s="907"/>
      <c r="N622" s="907"/>
      <c r="O622" s="907"/>
      <c r="P622" s="907"/>
      <c r="Q622" s="907"/>
      <c r="R622" s="907"/>
      <c r="S622" s="907"/>
      <c r="T622" s="907"/>
      <c r="U622" s="907"/>
      <c r="V622" s="907"/>
      <c r="W622" s="907"/>
      <c r="X622" s="907"/>
      <c r="Y622" s="907"/>
      <c r="Z622" s="907"/>
      <c r="AA622" s="907"/>
      <c r="AB622" s="907"/>
      <c r="AC622" s="907"/>
      <c r="AD622" s="907"/>
      <c r="AE622" s="907"/>
      <c r="AF622" s="907"/>
      <c r="AG622" s="907"/>
      <c r="AH622" s="907"/>
      <c r="AI622" s="907"/>
      <c r="AJ622" s="907"/>
      <c r="AK622" s="907"/>
      <c r="AL622" s="907"/>
    </row>
    <row r="623" spans="1:38">
      <c r="A623" s="907"/>
      <c r="B623" s="907"/>
      <c r="C623" s="907"/>
      <c r="D623" s="907"/>
      <c r="E623" s="907"/>
      <c r="F623" s="907"/>
      <c r="G623" s="907"/>
      <c r="H623" s="907"/>
      <c r="I623" s="907"/>
      <c r="J623" s="907"/>
      <c r="K623" s="907"/>
      <c r="L623" s="907"/>
      <c r="M623" s="907"/>
      <c r="N623" s="907"/>
      <c r="O623" s="907"/>
      <c r="P623" s="907"/>
      <c r="Q623" s="907"/>
      <c r="R623" s="907"/>
      <c r="S623" s="907"/>
      <c r="T623" s="907"/>
      <c r="U623" s="907"/>
      <c r="V623" s="907"/>
      <c r="W623" s="907"/>
      <c r="X623" s="907"/>
      <c r="Y623" s="907"/>
      <c r="Z623" s="907"/>
      <c r="AA623" s="907"/>
      <c r="AB623" s="907"/>
      <c r="AC623" s="907"/>
      <c r="AD623" s="907"/>
      <c r="AE623" s="907"/>
      <c r="AF623" s="907"/>
      <c r="AG623" s="907"/>
      <c r="AH623" s="907"/>
      <c r="AI623" s="907"/>
      <c r="AJ623" s="907"/>
      <c r="AK623" s="907"/>
      <c r="AL623" s="907"/>
    </row>
    <row r="624" spans="1:38">
      <c r="A624" s="907"/>
      <c r="B624" s="907"/>
      <c r="C624" s="907"/>
      <c r="D624" s="907"/>
      <c r="E624" s="907"/>
      <c r="F624" s="907"/>
      <c r="G624" s="907"/>
      <c r="H624" s="907"/>
      <c r="I624" s="907"/>
      <c r="J624" s="907"/>
      <c r="K624" s="907"/>
      <c r="L624" s="907"/>
      <c r="M624" s="907"/>
      <c r="N624" s="907"/>
      <c r="O624" s="907"/>
      <c r="P624" s="907"/>
      <c r="Q624" s="907"/>
      <c r="R624" s="907"/>
      <c r="S624" s="907"/>
      <c r="T624" s="907"/>
      <c r="U624" s="907"/>
      <c r="V624" s="907"/>
      <c r="W624" s="907"/>
      <c r="X624" s="907"/>
      <c r="Y624" s="907"/>
      <c r="Z624" s="907"/>
      <c r="AA624" s="907"/>
      <c r="AB624" s="907"/>
      <c r="AC624" s="907"/>
      <c r="AD624" s="907"/>
      <c r="AE624" s="907"/>
      <c r="AF624" s="907"/>
      <c r="AG624" s="907"/>
      <c r="AH624" s="907"/>
      <c r="AI624" s="907"/>
      <c r="AJ624" s="907"/>
      <c r="AK624" s="907"/>
      <c r="AL624" s="907"/>
    </row>
    <row r="625" spans="1:38">
      <c r="A625" s="907"/>
      <c r="B625" s="907"/>
      <c r="C625" s="907"/>
      <c r="D625" s="907"/>
      <c r="E625" s="907"/>
      <c r="F625" s="907"/>
      <c r="G625" s="907"/>
      <c r="H625" s="907"/>
      <c r="I625" s="907"/>
      <c r="J625" s="907"/>
      <c r="K625" s="907"/>
      <c r="L625" s="907"/>
      <c r="M625" s="907"/>
      <c r="N625" s="907"/>
      <c r="O625" s="907"/>
      <c r="P625" s="907"/>
      <c r="Q625" s="907"/>
      <c r="R625" s="907"/>
      <c r="S625" s="907"/>
      <c r="T625" s="907"/>
      <c r="U625" s="907"/>
      <c r="V625" s="907"/>
      <c r="W625" s="907"/>
      <c r="X625" s="907"/>
      <c r="Y625" s="907"/>
      <c r="Z625" s="907"/>
      <c r="AA625" s="907"/>
      <c r="AB625" s="907"/>
      <c r="AC625" s="907"/>
      <c r="AD625" s="907"/>
      <c r="AE625" s="907"/>
      <c r="AF625" s="907"/>
      <c r="AG625" s="907"/>
      <c r="AH625" s="907"/>
      <c r="AI625" s="907"/>
      <c r="AJ625" s="907"/>
      <c r="AK625" s="907"/>
      <c r="AL625" s="907"/>
    </row>
    <row r="626" spans="1:38">
      <c r="A626" s="907"/>
      <c r="B626" s="907"/>
      <c r="C626" s="907"/>
      <c r="D626" s="907"/>
      <c r="E626" s="907"/>
      <c r="F626" s="907"/>
      <c r="G626" s="907"/>
      <c r="H626" s="907"/>
      <c r="I626" s="907"/>
      <c r="J626" s="907"/>
      <c r="K626" s="907"/>
      <c r="L626" s="907"/>
      <c r="M626" s="907"/>
      <c r="N626" s="907"/>
      <c r="O626" s="907"/>
      <c r="P626" s="907"/>
      <c r="Q626" s="907"/>
      <c r="R626" s="907"/>
      <c r="S626" s="907"/>
      <c r="T626" s="907"/>
      <c r="U626" s="907"/>
      <c r="V626" s="907"/>
      <c r="W626" s="907"/>
      <c r="X626" s="907"/>
      <c r="Y626" s="907"/>
      <c r="Z626" s="907"/>
      <c r="AA626" s="907"/>
      <c r="AB626" s="907"/>
      <c r="AC626" s="907"/>
      <c r="AD626" s="907"/>
      <c r="AE626" s="907"/>
      <c r="AF626" s="907"/>
      <c r="AG626" s="907"/>
      <c r="AH626" s="907"/>
      <c r="AI626" s="907"/>
      <c r="AJ626" s="907"/>
      <c r="AK626" s="907"/>
      <c r="AL626" s="907"/>
    </row>
    <row r="627" spans="1:38">
      <c r="A627" s="907"/>
      <c r="B627" s="907"/>
      <c r="C627" s="907"/>
      <c r="D627" s="907"/>
      <c r="E627" s="907"/>
      <c r="F627" s="907"/>
      <c r="G627" s="907"/>
      <c r="H627" s="907"/>
      <c r="I627" s="907"/>
      <c r="J627" s="907"/>
      <c r="K627" s="907"/>
      <c r="L627" s="907"/>
      <c r="M627" s="907"/>
      <c r="N627" s="907"/>
      <c r="O627" s="907"/>
      <c r="P627" s="907"/>
      <c r="Q627" s="907"/>
      <c r="R627" s="907"/>
      <c r="S627" s="907"/>
      <c r="T627" s="907"/>
      <c r="U627" s="907"/>
      <c r="V627" s="907"/>
      <c r="W627" s="907"/>
      <c r="X627" s="907"/>
      <c r="Y627" s="907"/>
      <c r="Z627" s="907"/>
      <c r="AA627" s="907"/>
      <c r="AB627" s="907"/>
      <c r="AC627" s="907"/>
      <c r="AD627" s="907"/>
      <c r="AE627" s="907"/>
      <c r="AF627" s="907"/>
      <c r="AG627" s="907"/>
      <c r="AH627" s="907"/>
      <c r="AI627" s="907"/>
      <c r="AJ627" s="907"/>
      <c r="AK627" s="907"/>
      <c r="AL627" s="907"/>
    </row>
    <row r="628" spans="1:38">
      <c r="A628" s="907"/>
      <c r="B628" s="907"/>
      <c r="C628" s="907"/>
      <c r="D628" s="907"/>
      <c r="E628" s="907"/>
      <c r="F628" s="907"/>
      <c r="G628" s="907"/>
      <c r="H628" s="907"/>
      <c r="I628" s="907"/>
      <c r="J628" s="907"/>
      <c r="K628" s="907"/>
      <c r="L628" s="907"/>
      <c r="M628" s="907"/>
      <c r="N628" s="907"/>
      <c r="O628" s="907"/>
      <c r="P628" s="907"/>
      <c r="Q628" s="907"/>
      <c r="R628" s="907"/>
      <c r="S628" s="907"/>
      <c r="T628" s="907"/>
      <c r="U628" s="907"/>
      <c r="V628" s="907"/>
      <c r="W628" s="907"/>
      <c r="X628" s="907"/>
      <c r="Y628" s="907"/>
      <c r="Z628" s="907"/>
      <c r="AA628" s="907"/>
      <c r="AB628" s="907"/>
      <c r="AC628" s="907"/>
      <c r="AD628" s="907"/>
      <c r="AE628" s="907"/>
      <c r="AF628" s="907"/>
      <c r="AG628" s="907"/>
      <c r="AH628" s="907"/>
      <c r="AI628" s="907"/>
      <c r="AJ628" s="907"/>
      <c r="AK628" s="907"/>
      <c r="AL628" s="907"/>
    </row>
    <row r="629" spans="1:38">
      <c r="A629" s="907"/>
      <c r="B629" s="907"/>
      <c r="C629" s="907"/>
      <c r="D629" s="907"/>
      <c r="E629" s="907"/>
      <c r="F629" s="907"/>
      <c r="G629" s="907"/>
      <c r="H629" s="907"/>
      <c r="I629" s="907"/>
      <c r="J629" s="907"/>
      <c r="K629" s="907"/>
      <c r="L629" s="907"/>
      <c r="M629" s="907"/>
      <c r="N629" s="907"/>
      <c r="O629" s="907"/>
      <c r="P629" s="907"/>
      <c r="Q629" s="907"/>
      <c r="R629" s="907"/>
      <c r="S629" s="907"/>
      <c r="T629" s="907"/>
      <c r="U629" s="907"/>
      <c r="V629" s="907"/>
      <c r="W629" s="907"/>
      <c r="X629" s="907"/>
      <c r="Y629" s="907"/>
      <c r="Z629" s="907"/>
      <c r="AA629" s="907"/>
      <c r="AB629" s="907"/>
      <c r="AC629" s="907"/>
      <c r="AD629" s="907"/>
      <c r="AE629" s="907"/>
      <c r="AF629" s="907"/>
      <c r="AG629" s="907"/>
      <c r="AH629" s="907"/>
      <c r="AI629" s="907"/>
      <c r="AJ629" s="907"/>
      <c r="AK629" s="907"/>
      <c r="AL629" s="907"/>
    </row>
    <row r="630" spans="1:38">
      <c r="A630" s="907"/>
      <c r="B630" s="907"/>
      <c r="C630" s="907"/>
      <c r="D630" s="907"/>
      <c r="E630" s="907"/>
      <c r="F630" s="907"/>
      <c r="G630" s="907"/>
      <c r="H630" s="907"/>
      <c r="I630" s="907"/>
      <c r="J630" s="907"/>
      <c r="K630" s="907"/>
      <c r="L630" s="907"/>
      <c r="M630" s="907"/>
      <c r="N630" s="907"/>
      <c r="O630" s="907"/>
      <c r="P630" s="907"/>
      <c r="Q630" s="907"/>
      <c r="R630" s="907"/>
      <c r="S630" s="907"/>
      <c r="T630" s="907"/>
      <c r="U630" s="907"/>
      <c r="V630" s="907"/>
      <c r="W630" s="907"/>
      <c r="X630" s="907"/>
      <c r="Y630" s="907"/>
      <c r="Z630" s="907"/>
      <c r="AA630" s="907"/>
      <c r="AB630" s="907"/>
      <c r="AC630" s="907"/>
      <c r="AD630" s="907"/>
      <c r="AE630" s="907"/>
      <c r="AF630" s="907"/>
      <c r="AG630" s="907"/>
      <c r="AH630" s="907"/>
      <c r="AI630" s="907"/>
      <c r="AJ630" s="907"/>
      <c r="AK630" s="907"/>
      <c r="AL630" s="907"/>
    </row>
    <row r="631" spans="1:38">
      <c r="A631" s="907"/>
      <c r="B631" s="907"/>
      <c r="C631" s="907"/>
      <c r="D631" s="907"/>
      <c r="E631" s="907"/>
      <c r="F631" s="907"/>
      <c r="G631" s="907"/>
      <c r="H631" s="907"/>
      <c r="I631" s="907"/>
      <c r="J631" s="907"/>
      <c r="K631" s="907"/>
      <c r="L631" s="907"/>
      <c r="M631" s="907"/>
      <c r="N631" s="907"/>
      <c r="O631" s="907"/>
      <c r="P631" s="907"/>
      <c r="Q631" s="907"/>
      <c r="R631" s="907"/>
      <c r="S631" s="907"/>
      <c r="T631" s="907"/>
      <c r="U631" s="907"/>
      <c r="V631" s="907"/>
      <c r="W631" s="907"/>
      <c r="X631" s="907"/>
      <c r="Y631" s="907"/>
      <c r="Z631" s="907"/>
      <c r="AA631" s="907"/>
      <c r="AB631" s="907"/>
      <c r="AC631" s="907"/>
      <c r="AD631" s="907"/>
      <c r="AE631" s="907"/>
      <c r="AF631" s="907"/>
      <c r="AG631" s="907"/>
      <c r="AH631" s="907"/>
      <c r="AI631" s="907"/>
      <c r="AJ631" s="907"/>
      <c r="AK631" s="907"/>
      <c r="AL631" s="907"/>
    </row>
    <row r="632" spans="1:38">
      <c r="A632" s="907"/>
      <c r="B632" s="907"/>
      <c r="C632" s="907"/>
      <c r="D632" s="907"/>
      <c r="E632" s="907"/>
      <c r="F632" s="907"/>
      <c r="G632" s="907"/>
      <c r="H632" s="907"/>
      <c r="I632" s="907"/>
      <c r="J632" s="907"/>
      <c r="K632" s="907"/>
      <c r="L632" s="907"/>
      <c r="M632" s="907"/>
      <c r="N632" s="907"/>
      <c r="O632" s="907"/>
      <c r="P632" s="907"/>
      <c r="Q632" s="907"/>
      <c r="R632" s="907"/>
      <c r="S632" s="907"/>
      <c r="T632" s="907"/>
      <c r="U632" s="907"/>
      <c r="V632" s="907"/>
      <c r="W632" s="907"/>
      <c r="X632" s="907"/>
      <c r="Y632" s="907"/>
      <c r="Z632" s="907"/>
      <c r="AA632" s="907"/>
      <c r="AB632" s="907"/>
      <c r="AC632" s="907"/>
      <c r="AD632" s="907"/>
      <c r="AE632" s="907"/>
      <c r="AF632" s="907"/>
      <c r="AG632" s="907"/>
      <c r="AH632" s="907"/>
      <c r="AI632" s="907"/>
      <c r="AJ632" s="907"/>
      <c r="AK632" s="907"/>
      <c r="AL632" s="907"/>
    </row>
    <row r="633" spans="1:38">
      <c r="A633" s="907"/>
      <c r="B633" s="907"/>
      <c r="C633" s="907"/>
      <c r="D633" s="907"/>
      <c r="E633" s="907"/>
      <c r="F633" s="907"/>
      <c r="G633" s="907"/>
      <c r="H633" s="907"/>
      <c r="I633" s="907"/>
      <c r="J633" s="907"/>
      <c r="K633" s="907"/>
      <c r="L633" s="907"/>
      <c r="M633" s="907"/>
      <c r="N633" s="907"/>
      <c r="O633" s="907"/>
      <c r="P633" s="907"/>
      <c r="Q633" s="907"/>
      <c r="R633" s="907"/>
      <c r="S633" s="907"/>
      <c r="T633" s="907"/>
      <c r="U633" s="907"/>
      <c r="V633" s="907"/>
      <c r="W633" s="907"/>
      <c r="X633" s="907"/>
      <c r="Y633" s="907"/>
      <c r="Z633" s="907"/>
      <c r="AA633" s="907"/>
      <c r="AB633" s="907"/>
      <c r="AC633" s="907"/>
      <c r="AD633" s="907"/>
      <c r="AE633" s="907"/>
      <c r="AF633" s="907"/>
      <c r="AG633" s="907"/>
      <c r="AH633" s="907"/>
      <c r="AI633" s="907"/>
      <c r="AJ633" s="907"/>
      <c r="AK633" s="907"/>
      <c r="AL633" s="907"/>
    </row>
    <row r="634" spans="1:38">
      <c r="A634" s="907"/>
      <c r="B634" s="907"/>
      <c r="C634" s="907"/>
      <c r="D634" s="907"/>
      <c r="E634" s="907"/>
      <c r="F634" s="907"/>
      <c r="G634" s="907"/>
      <c r="H634" s="907"/>
      <c r="I634" s="907"/>
      <c r="J634" s="907"/>
      <c r="K634" s="907"/>
      <c r="L634" s="907"/>
      <c r="M634" s="907"/>
      <c r="N634" s="907"/>
      <c r="O634" s="907"/>
      <c r="P634" s="907"/>
      <c r="Q634" s="907"/>
      <c r="R634" s="907"/>
      <c r="S634" s="907"/>
      <c r="T634" s="907"/>
      <c r="U634" s="907"/>
      <c r="V634" s="907"/>
      <c r="W634" s="907"/>
      <c r="X634" s="907"/>
      <c r="Y634" s="907"/>
      <c r="Z634" s="907"/>
      <c r="AA634" s="907"/>
      <c r="AB634" s="907"/>
      <c r="AC634" s="907"/>
      <c r="AD634" s="907"/>
      <c r="AE634" s="907"/>
      <c r="AF634" s="907"/>
      <c r="AG634" s="907"/>
      <c r="AH634" s="907"/>
      <c r="AI634" s="907"/>
      <c r="AJ634" s="907"/>
      <c r="AK634" s="907"/>
      <c r="AL634" s="907"/>
    </row>
    <row r="635" spans="1:38">
      <c r="A635" s="907"/>
      <c r="B635" s="907"/>
      <c r="C635" s="907"/>
      <c r="D635" s="907"/>
      <c r="E635" s="907"/>
      <c r="F635" s="907"/>
      <c r="G635" s="907"/>
      <c r="H635" s="907"/>
      <c r="I635" s="907"/>
      <c r="J635" s="907"/>
      <c r="K635" s="907"/>
      <c r="L635" s="907"/>
      <c r="M635" s="907"/>
      <c r="N635" s="907"/>
      <c r="O635" s="907"/>
      <c r="P635" s="907"/>
      <c r="Q635" s="907"/>
      <c r="R635" s="907"/>
      <c r="S635" s="907"/>
      <c r="T635" s="907"/>
      <c r="U635" s="907"/>
      <c r="V635" s="907"/>
      <c r="W635" s="907"/>
      <c r="X635" s="907"/>
      <c r="Y635" s="907"/>
      <c r="Z635" s="907"/>
      <c r="AA635" s="907"/>
      <c r="AB635" s="907"/>
      <c r="AC635" s="907"/>
      <c r="AD635" s="907"/>
      <c r="AE635" s="907"/>
      <c r="AF635" s="907"/>
      <c r="AG635" s="907"/>
      <c r="AH635" s="907"/>
      <c r="AI635" s="907"/>
      <c r="AJ635" s="907"/>
      <c r="AK635" s="907"/>
      <c r="AL635" s="907"/>
    </row>
    <row r="636" spans="1:38">
      <c r="A636" s="907"/>
      <c r="B636" s="907"/>
      <c r="C636" s="907"/>
      <c r="D636" s="907"/>
      <c r="E636" s="907"/>
      <c r="F636" s="907"/>
      <c r="G636" s="907"/>
      <c r="H636" s="907"/>
      <c r="I636" s="907"/>
      <c r="J636" s="907"/>
      <c r="K636" s="907"/>
      <c r="L636" s="907"/>
      <c r="M636" s="907"/>
      <c r="N636" s="907"/>
      <c r="O636" s="907"/>
      <c r="P636" s="907"/>
      <c r="Q636" s="907"/>
      <c r="R636" s="907"/>
      <c r="S636" s="907"/>
      <c r="T636" s="907"/>
      <c r="U636" s="907"/>
      <c r="V636" s="907"/>
      <c r="W636" s="907"/>
      <c r="X636" s="907"/>
      <c r="Y636" s="907"/>
      <c r="Z636" s="907"/>
      <c r="AA636" s="907"/>
      <c r="AB636" s="907"/>
      <c r="AC636" s="907"/>
      <c r="AD636" s="907"/>
      <c r="AE636" s="907"/>
      <c r="AF636" s="907"/>
      <c r="AG636" s="907"/>
      <c r="AH636" s="907"/>
      <c r="AI636" s="907"/>
      <c r="AJ636" s="907"/>
      <c r="AK636" s="907"/>
      <c r="AL636" s="907"/>
    </row>
    <row r="637" spans="1:38">
      <c r="A637" s="907"/>
      <c r="B637" s="907"/>
      <c r="C637" s="907"/>
      <c r="D637" s="907"/>
      <c r="E637" s="907"/>
      <c r="F637" s="907"/>
      <c r="G637" s="907"/>
      <c r="H637" s="907"/>
      <c r="I637" s="907"/>
      <c r="J637" s="907"/>
      <c r="K637" s="907"/>
      <c r="L637" s="907"/>
      <c r="M637" s="907"/>
      <c r="N637" s="907"/>
      <c r="O637" s="907"/>
      <c r="P637" s="907"/>
      <c r="Q637" s="907"/>
      <c r="R637" s="907"/>
      <c r="S637" s="907"/>
      <c r="T637" s="907"/>
      <c r="U637" s="907"/>
      <c r="V637" s="907"/>
      <c r="W637" s="907"/>
      <c r="X637" s="907"/>
      <c r="Y637" s="907"/>
      <c r="Z637" s="907"/>
      <c r="AA637" s="907"/>
      <c r="AB637" s="907"/>
      <c r="AC637" s="907"/>
      <c r="AD637" s="907"/>
      <c r="AE637" s="907"/>
      <c r="AF637" s="907"/>
      <c r="AG637" s="907"/>
      <c r="AH637" s="907"/>
      <c r="AI637" s="907"/>
      <c r="AJ637" s="907"/>
      <c r="AK637" s="907"/>
      <c r="AL637" s="907"/>
    </row>
    <row r="638" spans="1:38">
      <c r="A638" s="907"/>
      <c r="B638" s="907"/>
      <c r="C638" s="907"/>
      <c r="D638" s="907"/>
      <c r="E638" s="907"/>
      <c r="F638" s="907"/>
      <c r="G638" s="907"/>
      <c r="H638" s="907"/>
      <c r="I638" s="907"/>
      <c r="J638" s="907"/>
      <c r="K638" s="907"/>
      <c r="L638" s="907"/>
      <c r="M638" s="907"/>
      <c r="N638" s="907"/>
      <c r="O638" s="907"/>
      <c r="P638" s="907"/>
      <c r="Q638" s="907"/>
      <c r="R638" s="907"/>
      <c r="S638" s="907"/>
      <c r="T638" s="907"/>
      <c r="U638" s="907"/>
      <c r="V638" s="907"/>
      <c r="W638" s="907"/>
      <c r="X638" s="907"/>
      <c r="Y638" s="907"/>
      <c r="Z638" s="907"/>
      <c r="AA638" s="907"/>
      <c r="AB638" s="907"/>
      <c r="AC638" s="907"/>
      <c r="AD638" s="907"/>
      <c r="AE638" s="907"/>
      <c r="AF638" s="907"/>
      <c r="AG638" s="907"/>
      <c r="AH638" s="907"/>
      <c r="AI638" s="907"/>
      <c r="AJ638" s="907"/>
      <c r="AK638" s="907"/>
      <c r="AL638" s="907"/>
    </row>
    <row r="639" spans="1:38">
      <c r="A639" s="907"/>
      <c r="B639" s="907"/>
      <c r="C639" s="907"/>
      <c r="D639" s="907"/>
      <c r="E639" s="907"/>
      <c r="F639" s="907"/>
      <c r="G639" s="907"/>
      <c r="H639" s="907"/>
      <c r="I639" s="907"/>
      <c r="J639" s="907"/>
      <c r="K639" s="907"/>
      <c r="L639" s="907"/>
      <c r="M639" s="907"/>
      <c r="N639" s="907"/>
      <c r="O639" s="907"/>
      <c r="P639" s="907"/>
      <c r="Q639" s="907"/>
      <c r="R639" s="907"/>
      <c r="S639" s="907"/>
      <c r="T639" s="907"/>
      <c r="U639" s="907"/>
      <c r="V639" s="907"/>
      <c r="W639" s="907"/>
      <c r="X639" s="907"/>
      <c r="Y639" s="907"/>
      <c r="Z639" s="907"/>
      <c r="AA639" s="907"/>
      <c r="AB639" s="907"/>
      <c r="AC639" s="907"/>
      <c r="AD639" s="907"/>
      <c r="AE639" s="907"/>
      <c r="AF639" s="907"/>
      <c r="AG639" s="907"/>
      <c r="AH639" s="907"/>
      <c r="AI639" s="907"/>
      <c r="AJ639" s="907"/>
      <c r="AK639" s="907"/>
      <c r="AL639" s="907"/>
    </row>
    <row r="640" spans="1:38">
      <c r="A640" s="907"/>
      <c r="B640" s="907"/>
      <c r="C640" s="907"/>
      <c r="D640" s="907"/>
      <c r="E640" s="907"/>
      <c r="F640" s="907"/>
      <c r="G640" s="907"/>
      <c r="H640" s="907"/>
      <c r="I640" s="907"/>
      <c r="J640" s="907"/>
      <c r="K640" s="907"/>
      <c r="L640" s="907"/>
      <c r="M640" s="907"/>
      <c r="N640" s="907"/>
      <c r="O640" s="907"/>
      <c r="P640" s="907"/>
      <c r="Q640" s="907"/>
      <c r="R640" s="907"/>
      <c r="S640" s="907"/>
      <c r="T640" s="907"/>
      <c r="U640" s="907"/>
      <c r="V640" s="907"/>
      <c r="W640" s="907"/>
      <c r="X640" s="907"/>
      <c r="Y640" s="907"/>
      <c r="Z640" s="907"/>
      <c r="AA640" s="907"/>
      <c r="AB640" s="907"/>
      <c r="AC640" s="907"/>
      <c r="AD640" s="907"/>
      <c r="AE640" s="907"/>
      <c r="AF640" s="907"/>
      <c r="AG640" s="907"/>
      <c r="AH640" s="907"/>
      <c r="AI640" s="907"/>
      <c r="AJ640" s="907"/>
      <c r="AK640" s="907"/>
      <c r="AL640" s="907"/>
    </row>
    <row r="641" spans="1:38">
      <c r="A641" s="907"/>
      <c r="B641" s="907"/>
      <c r="C641" s="907"/>
      <c r="D641" s="907"/>
      <c r="E641" s="907"/>
      <c r="F641" s="907"/>
      <c r="G641" s="907"/>
      <c r="H641" s="907"/>
      <c r="I641" s="907"/>
      <c r="J641" s="907"/>
      <c r="K641" s="907"/>
      <c r="L641" s="907"/>
      <c r="M641" s="907"/>
      <c r="N641" s="907"/>
      <c r="O641" s="907"/>
      <c r="P641" s="907"/>
      <c r="Q641" s="907"/>
      <c r="R641" s="907"/>
      <c r="S641" s="907"/>
      <c r="T641" s="907"/>
      <c r="U641" s="907"/>
      <c r="V641" s="907"/>
      <c r="W641" s="907"/>
      <c r="X641" s="907"/>
      <c r="Y641" s="907"/>
      <c r="Z641" s="907"/>
      <c r="AA641" s="907"/>
      <c r="AB641" s="907"/>
      <c r="AC641" s="907"/>
      <c r="AD641" s="907"/>
      <c r="AE641" s="907"/>
      <c r="AF641" s="907"/>
      <c r="AG641" s="907"/>
      <c r="AH641" s="907"/>
      <c r="AI641" s="907"/>
      <c r="AJ641" s="907"/>
      <c r="AK641" s="907"/>
      <c r="AL641" s="907"/>
    </row>
    <row r="642" spans="1:38">
      <c r="A642" s="907"/>
      <c r="B642" s="907"/>
      <c r="C642" s="907"/>
      <c r="D642" s="907"/>
      <c r="E642" s="907"/>
      <c r="F642" s="907"/>
      <c r="G642" s="907"/>
      <c r="H642" s="907"/>
      <c r="I642" s="907"/>
      <c r="J642" s="907"/>
      <c r="K642" s="907"/>
      <c r="L642" s="907"/>
      <c r="M642" s="907"/>
      <c r="N642" s="907"/>
      <c r="O642" s="907"/>
      <c r="P642" s="907"/>
      <c r="Q642" s="907"/>
      <c r="R642" s="907"/>
      <c r="S642" s="907"/>
      <c r="T642" s="907"/>
      <c r="U642" s="907"/>
      <c r="V642" s="907"/>
      <c r="W642" s="907"/>
      <c r="X642" s="907"/>
      <c r="Y642" s="907"/>
      <c r="Z642" s="907"/>
      <c r="AA642" s="907"/>
      <c r="AB642" s="907"/>
      <c r="AC642" s="907"/>
      <c r="AD642" s="907"/>
      <c r="AE642" s="907"/>
      <c r="AF642" s="907"/>
      <c r="AG642" s="907"/>
      <c r="AH642" s="907"/>
      <c r="AI642" s="907"/>
      <c r="AJ642" s="907"/>
      <c r="AK642" s="907"/>
      <c r="AL642" s="907"/>
    </row>
    <row r="643" spans="1:38">
      <c r="A643" s="907"/>
      <c r="B643" s="907"/>
      <c r="C643" s="907"/>
      <c r="D643" s="907"/>
      <c r="E643" s="907"/>
      <c r="F643" s="907"/>
      <c r="G643" s="907"/>
      <c r="H643" s="907"/>
      <c r="I643" s="907"/>
      <c r="J643" s="907"/>
      <c r="K643" s="907"/>
      <c r="L643" s="907"/>
      <c r="M643" s="907"/>
      <c r="N643" s="907"/>
      <c r="O643" s="907"/>
      <c r="P643" s="907"/>
      <c r="Q643" s="907"/>
      <c r="R643" s="907"/>
      <c r="S643" s="907"/>
      <c r="T643" s="907"/>
      <c r="U643" s="907"/>
      <c r="V643" s="907"/>
      <c r="W643" s="907"/>
      <c r="X643" s="907"/>
      <c r="Y643" s="907"/>
      <c r="Z643" s="907"/>
      <c r="AA643" s="907"/>
      <c r="AB643" s="907"/>
      <c r="AC643" s="907"/>
      <c r="AD643" s="907"/>
      <c r="AE643" s="907"/>
      <c r="AF643" s="907"/>
      <c r="AG643" s="907"/>
      <c r="AH643" s="907"/>
      <c r="AI643" s="907"/>
      <c r="AJ643" s="907"/>
      <c r="AK643" s="907"/>
      <c r="AL643" s="907"/>
    </row>
    <row r="644" spans="1:38">
      <c r="A644" s="907"/>
      <c r="B644" s="907"/>
      <c r="C644" s="907"/>
      <c r="D644" s="907"/>
      <c r="E644" s="907"/>
      <c r="F644" s="907"/>
      <c r="G644" s="907"/>
      <c r="H644" s="907"/>
      <c r="I644" s="907"/>
      <c r="J644" s="907"/>
      <c r="K644" s="907"/>
      <c r="L644" s="907"/>
      <c r="M644" s="907"/>
      <c r="N644" s="907"/>
      <c r="O644" s="907"/>
      <c r="P644" s="907"/>
      <c r="Q644" s="907"/>
      <c r="R644" s="907"/>
      <c r="S644" s="907"/>
      <c r="T644" s="907"/>
      <c r="U644" s="907"/>
      <c r="V644" s="907"/>
      <c r="W644" s="907"/>
      <c r="X644" s="907"/>
      <c r="Y644" s="907"/>
      <c r="Z644" s="907"/>
      <c r="AA644" s="907"/>
      <c r="AB644" s="907"/>
      <c r="AC644" s="907"/>
      <c r="AD644" s="907"/>
      <c r="AE644" s="907"/>
      <c r="AF644" s="907"/>
      <c r="AG644" s="907"/>
      <c r="AH644" s="907"/>
      <c r="AI644" s="907"/>
      <c r="AJ644" s="907"/>
      <c r="AK644" s="907"/>
      <c r="AL644" s="907"/>
    </row>
    <row r="645" spans="1:38">
      <c r="A645" s="907"/>
      <c r="B645" s="907"/>
      <c r="C645" s="907"/>
      <c r="D645" s="907"/>
      <c r="E645" s="907"/>
      <c r="F645" s="907"/>
      <c r="G645" s="907"/>
      <c r="H645" s="907"/>
      <c r="I645" s="907"/>
      <c r="J645" s="907"/>
      <c r="K645" s="907"/>
      <c r="L645" s="907"/>
      <c r="M645" s="907"/>
      <c r="N645" s="907"/>
      <c r="O645" s="907"/>
      <c r="P645" s="907"/>
      <c r="Q645" s="907"/>
      <c r="R645" s="907"/>
      <c r="S645" s="907"/>
      <c r="T645" s="907"/>
      <c r="U645" s="907"/>
      <c r="V645" s="907"/>
      <c r="W645" s="907"/>
      <c r="X645" s="907"/>
      <c r="Y645" s="907"/>
      <c r="Z645" s="907"/>
      <c r="AA645" s="907"/>
      <c r="AB645" s="907"/>
      <c r="AC645" s="907"/>
      <c r="AD645" s="907"/>
      <c r="AE645" s="907"/>
      <c r="AF645" s="907"/>
      <c r="AG645" s="907"/>
      <c r="AH645" s="907"/>
      <c r="AI645" s="907"/>
      <c r="AJ645" s="907"/>
      <c r="AK645" s="907"/>
      <c r="AL645" s="907"/>
    </row>
    <row r="646" spans="1:38">
      <c r="A646" s="907"/>
      <c r="B646" s="907"/>
      <c r="C646" s="907"/>
      <c r="D646" s="907"/>
      <c r="E646" s="907"/>
      <c r="F646" s="907"/>
      <c r="G646" s="907"/>
      <c r="H646" s="907"/>
      <c r="I646" s="907"/>
      <c r="J646" s="907"/>
      <c r="K646" s="907"/>
      <c r="L646" s="907"/>
      <c r="M646" s="907"/>
      <c r="N646" s="907"/>
      <c r="O646" s="907"/>
      <c r="P646" s="907"/>
      <c r="Q646" s="907"/>
      <c r="R646" s="907"/>
      <c r="S646" s="907"/>
      <c r="T646" s="907"/>
      <c r="U646" s="907"/>
      <c r="V646" s="907"/>
      <c r="W646" s="907"/>
      <c r="X646" s="907"/>
      <c r="Y646" s="907"/>
      <c r="Z646" s="907"/>
      <c r="AA646" s="907"/>
      <c r="AB646" s="907"/>
      <c r="AC646" s="907"/>
      <c r="AD646" s="907"/>
      <c r="AE646" s="907"/>
      <c r="AF646" s="907"/>
      <c r="AG646" s="907"/>
      <c r="AH646" s="907"/>
      <c r="AI646" s="907"/>
      <c r="AJ646" s="907"/>
      <c r="AK646" s="907"/>
      <c r="AL646" s="907"/>
    </row>
    <row r="647" spans="1:38">
      <c r="A647" s="907"/>
      <c r="B647" s="907"/>
      <c r="C647" s="907"/>
      <c r="D647" s="907"/>
      <c r="E647" s="907"/>
      <c r="F647" s="907"/>
      <c r="G647" s="907"/>
      <c r="H647" s="907"/>
      <c r="I647" s="907"/>
      <c r="J647" s="907"/>
      <c r="K647" s="907"/>
      <c r="L647" s="907"/>
      <c r="M647" s="907"/>
      <c r="N647" s="907"/>
      <c r="O647" s="907"/>
      <c r="P647" s="907"/>
      <c r="Q647" s="907"/>
      <c r="R647" s="907"/>
      <c r="S647" s="907"/>
      <c r="T647" s="907"/>
      <c r="U647" s="907"/>
      <c r="V647" s="907"/>
      <c r="W647" s="907"/>
      <c r="X647" s="907"/>
      <c r="Y647" s="907"/>
      <c r="Z647" s="907"/>
      <c r="AA647" s="907"/>
      <c r="AB647" s="907"/>
      <c r="AC647" s="907"/>
      <c r="AD647" s="907"/>
      <c r="AE647" s="907"/>
      <c r="AF647" s="907"/>
      <c r="AG647" s="907"/>
      <c r="AH647" s="907"/>
      <c r="AI647" s="907"/>
      <c r="AJ647" s="907"/>
      <c r="AK647" s="907"/>
      <c r="AL647" s="907"/>
    </row>
    <row r="648" spans="1:38">
      <c r="A648" s="907"/>
      <c r="B648" s="907"/>
      <c r="C648" s="907"/>
      <c r="D648" s="907"/>
      <c r="E648" s="907"/>
      <c r="F648" s="907"/>
      <c r="G648" s="907"/>
      <c r="H648" s="907"/>
      <c r="I648" s="907"/>
      <c r="J648" s="907"/>
      <c r="K648" s="907"/>
      <c r="L648" s="907"/>
      <c r="M648" s="907"/>
      <c r="N648" s="907"/>
      <c r="O648" s="907"/>
      <c r="P648" s="907"/>
      <c r="Q648" s="907"/>
      <c r="R648" s="907"/>
      <c r="S648" s="907"/>
      <c r="T648" s="907"/>
      <c r="U648" s="907"/>
      <c r="V648" s="907"/>
      <c r="W648" s="907"/>
      <c r="X648" s="907"/>
      <c r="Y648" s="907"/>
      <c r="Z648" s="907"/>
      <c r="AA648" s="907"/>
      <c r="AB648" s="907"/>
      <c r="AC648" s="907"/>
      <c r="AD648" s="907"/>
      <c r="AE648" s="907"/>
      <c r="AF648" s="907"/>
      <c r="AG648" s="907"/>
      <c r="AH648" s="907"/>
      <c r="AI648" s="907"/>
      <c r="AJ648" s="907"/>
      <c r="AK648" s="907"/>
      <c r="AL648" s="907"/>
    </row>
    <row r="649" spans="1:38">
      <c r="A649" s="907"/>
      <c r="B649" s="907"/>
      <c r="C649" s="907"/>
      <c r="D649" s="907"/>
      <c r="E649" s="907"/>
      <c r="F649" s="907"/>
      <c r="G649" s="907"/>
      <c r="H649" s="907"/>
      <c r="I649" s="907"/>
      <c r="J649" s="907"/>
      <c r="K649" s="907"/>
      <c r="L649" s="907"/>
      <c r="M649" s="907"/>
      <c r="N649" s="907"/>
      <c r="O649" s="907"/>
      <c r="P649" s="907"/>
      <c r="Q649" s="907"/>
      <c r="R649" s="907"/>
      <c r="S649" s="907"/>
      <c r="T649" s="907"/>
      <c r="U649" s="907"/>
      <c r="V649" s="907"/>
      <c r="W649" s="907"/>
      <c r="X649" s="907"/>
      <c r="Y649" s="907"/>
      <c r="Z649" s="907"/>
      <c r="AA649" s="907"/>
      <c r="AB649" s="907"/>
      <c r="AC649" s="907"/>
      <c r="AD649" s="907"/>
      <c r="AE649" s="907"/>
      <c r="AF649" s="907"/>
      <c r="AG649" s="907"/>
      <c r="AH649" s="907"/>
      <c r="AI649" s="907"/>
      <c r="AJ649" s="907"/>
      <c r="AK649" s="907"/>
      <c r="AL649" s="907"/>
    </row>
    <row r="650" spans="1:38">
      <c r="A650" s="907"/>
      <c r="B650" s="907"/>
      <c r="C650" s="907"/>
      <c r="D650" s="907"/>
      <c r="E650" s="907"/>
      <c r="F650" s="907"/>
      <c r="G650" s="907"/>
      <c r="H650" s="907"/>
      <c r="I650" s="907"/>
      <c r="J650" s="907"/>
      <c r="K650" s="907"/>
      <c r="L650" s="907"/>
      <c r="M650" s="907"/>
      <c r="N650" s="907"/>
      <c r="O650" s="907"/>
      <c r="P650" s="907"/>
      <c r="Q650" s="907"/>
      <c r="R650" s="907"/>
      <c r="S650" s="907"/>
      <c r="T650" s="907"/>
      <c r="U650" s="907"/>
      <c r="V650" s="907"/>
      <c r="W650" s="907"/>
      <c r="X650" s="907"/>
      <c r="Y650" s="907"/>
      <c r="Z650" s="907"/>
      <c r="AA650" s="907"/>
      <c r="AB650" s="907"/>
      <c r="AC650" s="907"/>
      <c r="AD650" s="907"/>
      <c r="AE650" s="907"/>
      <c r="AF650" s="907"/>
      <c r="AG650" s="907"/>
      <c r="AH650" s="907"/>
      <c r="AI650" s="907"/>
      <c r="AJ650" s="907"/>
      <c r="AK650" s="907"/>
      <c r="AL650" s="907"/>
    </row>
    <row r="651" spans="1:38">
      <c r="A651" s="907"/>
      <c r="B651" s="907"/>
      <c r="C651" s="907"/>
      <c r="D651" s="907"/>
      <c r="E651" s="907"/>
      <c r="F651" s="907"/>
      <c r="G651" s="907"/>
      <c r="H651" s="907"/>
      <c r="I651" s="907"/>
      <c r="J651" s="907"/>
      <c r="K651" s="907"/>
      <c r="L651" s="907"/>
      <c r="M651" s="907"/>
      <c r="N651" s="907"/>
      <c r="O651" s="907"/>
      <c r="P651" s="907"/>
      <c r="Q651" s="907"/>
      <c r="R651" s="907"/>
      <c r="S651" s="907"/>
      <c r="T651" s="907"/>
      <c r="U651" s="907"/>
      <c r="V651" s="907"/>
      <c r="W651" s="907"/>
      <c r="X651" s="907"/>
      <c r="Y651" s="907"/>
      <c r="Z651" s="907"/>
      <c r="AA651" s="907"/>
      <c r="AB651" s="907"/>
      <c r="AC651" s="907"/>
      <c r="AD651" s="907"/>
      <c r="AE651" s="907"/>
      <c r="AF651" s="907"/>
      <c r="AG651" s="907"/>
      <c r="AH651" s="907"/>
      <c r="AI651" s="907"/>
      <c r="AJ651" s="907"/>
      <c r="AK651" s="907"/>
      <c r="AL651" s="907"/>
    </row>
    <row r="652" spans="1:38">
      <c r="A652" s="907"/>
      <c r="B652" s="907"/>
      <c r="C652" s="907"/>
      <c r="D652" s="907"/>
      <c r="E652" s="907"/>
      <c r="F652" s="907"/>
      <c r="G652" s="907"/>
      <c r="H652" s="907"/>
      <c r="I652" s="907"/>
      <c r="J652" s="907"/>
      <c r="K652" s="907"/>
      <c r="L652" s="907"/>
      <c r="M652" s="907"/>
      <c r="N652" s="907"/>
      <c r="O652" s="907"/>
      <c r="P652" s="907"/>
      <c r="Q652" s="907"/>
      <c r="R652" s="907"/>
      <c r="S652" s="907"/>
      <c r="T652" s="907"/>
      <c r="U652" s="907"/>
      <c r="V652" s="907"/>
      <c r="W652" s="907"/>
      <c r="X652" s="907"/>
      <c r="Y652" s="907"/>
      <c r="Z652" s="907"/>
      <c r="AA652" s="907"/>
      <c r="AB652" s="907"/>
      <c r="AC652" s="907"/>
      <c r="AD652" s="907"/>
      <c r="AE652" s="907"/>
      <c r="AF652" s="907"/>
      <c r="AG652" s="907"/>
      <c r="AH652" s="907"/>
      <c r="AI652" s="907"/>
      <c r="AJ652" s="907"/>
      <c r="AK652" s="907"/>
      <c r="AL652" s="907"/>
    </row>
    <row r="653" spans="1:38">
      <c r="A653" s="907"/>
      <c r="B653" s="907"/>
      <c r="C653" s="907"/>
      <c r="D653" s="907"/>
      <c r="E653" s="907"/>
      <c r="F653" s="907"/>
      <c r="G653" s="907"/>
      <c r="H653" s="907"/>
      <c r="I653" s="907"/>
      <c r="J653" s="907"/>
      <c r="K653" s="907"/>
      <c r="L653" s="907"/>
      <c r="M653" s="907"/>
      <c r="N653" s="907"/>
      <c r="O653" s="907"/>
      <c r="P653" s="907"/>
      <c r="Q653" s="907"/>
      <c r="R653" s="907"/>
      <c r="S653" s="907"/>
      <c r="T653" s="907"/>
      <c r="U653" s="907"/>
      <c r="V653" s="907"/>
      <c r="W653" s="907"/>
      <c r="X653" s="907"/>
      <c r="Y653" s="907"/>
      <c r="Z653" s="907"/>
      <c r="AA653" s="907"/>
      <c r="AB653" s="907"/>
      <c r="AC653" s="907"/>
      <c r="AD653" s="907"/>
      <c r="AE653" s="907"/>
      <c r="AF653" s="907"/>
      <c r="AG653" s="907"/>
      <c r="AH653" s="907"/>
      <c r="AI653" s="907"/>
      <c r="AJ653" s="907"/>
      <c r="AK653" s="907"/>
      <c r="AL653" s="907"/>
    </row>
    <row r="654" spans="1:38">
      <c r="A654" s="907"/>
      <c r="B654" s="907"/>
      <c r="C654" s="907"/>
      <c r="D654" s="907"/>
      <c r="E654" s="907"/>
      <c r="F654" s="907"/>
      <c r="G654" s="907"/>
      <c r="H654" s="907"/>
      <c r="I654" s="907"/>
      <c r="J654" s="907"/>
      <c r="K654" s="907"/>
      <c r="L654" s="907"/>
      <c r="M654" s="907"/>
      <c r="N654" s="907"/>
      <c r="O654" s="907"/>
      <c r="P654" s="907"/>
      <c r="Q654" s="907"/>
      <c r="R654" s="907"/>
      <c r="S654" s="907"/>
      <c r="T654" s="907"/>
      <c r="U654" s="907"/>
      <c r="V654" s="907"/>
      <c r="W654" s="907"/>
      <c r="X654" s="907"/>
      <c r="Y654" s="907"/>
      <c r="Z654" s="907"/>
      <c r="AA654" s="907"/>
      <c r="AB654" s="907"/>
      <c r="AC654" s="907"/>
      <c r="AD654" s="907"/>
      <c r="AE654" s="907"/>
      <c r="AF654" s="907"/>
      <c r="AG654" s="907"/>
      <c r="AH654" s="907"/>
      <c r="AI654" s="907"/>
      <c r="AJ654" s="907"/>
      <c r="AK654" s="907"/>
      <c r="AL654" s="907"/>
    </row>
    <row r="655" spans="1:38">
      <c r="A655" s="907"/>
      <c r="B655" s="907"/>
      <c r="C655" s="907"/>
      <c r="D655" s="907"/>
      <c r="E655" s="907"/>
      <c r="F655" s="907"/>
      <c r="G655" s="907"/>
      <c r="H655" s="907"/>
      <c r="I655" s="907"/>
      <c r="J655" s="907"/>
      <c r="K655" s="907"/>
      <c r="L655" s="907"/>
      <c r="M655" s="907"/>
      <c r="N655" s="907"/>
      <c r="O655" s="907"/>
      <c r="P655" s="907"/>
      <c r="Q655" s="907"/>
      <c r="R655" s="907"/>
      <c r="S655" s="907"/>
      <c r="T655" s="907"/>
      <c r="U655" s="907"/>
      <c r="V655" s="907"/>
      <c r="W655" s="907"/>
      <c r="X655" s="907"/>
      <c r="Y655" s="907"/>
      <c r="Z655" s="907"/>
      <c r="AA655" s="907"/>
      <c r="AB655" s="907"/>
      <c r="AC655" s="907"/>
      <c r="AD655" s="907"/>
      <c r="AE655" s="907"/>
      <c r="AF655" s="907"/>
      <c r="AG655" s="907"/>
      <c r="AH655" s="907"/>
      <c r="AI655" s="907"/>
      <c r="AJ655" s="907"/>
      <c r="AK655" s="907"/>
      <c r="AL655" s="907"/>
    </row>
    <row r="656" spans="1:38">
      <c r="A656" s="907"/>
      <c r="B656" s="907"/>
      <c r="C656" s="907"/>
      <c r="D656" s="907"/>
      <c r="E656" s="907"/>
      <c r="F656" s="907"/>
      <c r="G656" s="907"/>
      <c r="H656" s="907"/>
      <c r="I656" s="907"/>
      <c r="J656" s="907"/>
      <c r="K656" s="907"/>
      <c r="L656" s="907"/>
      <c r="M656" s="907"/>
      <c r="N656" s="907"/>
      <c r="O656" s="907"/>
      <c r="P656" s="907"/>
      <c r="Q656" s="907"/>
      <c r="R656" s="907"/>
      <c r="S656" s="907"/>
      <c r="T656" s="907"/>
      <c r="U656" s="907"/>
      <c r="V656" s="907"/>
      <c r="W656" s="907"/>
      <c r="X656" s="907"/>
      <c r="Y656" s="907"/>
      <c r="Z656" s="907"/>
      <c r="AA656" s="907"/>
      <c r="AB656" s="907"/>
      <c r="AC656" s="907"/>
      <c r="AD656" s="907"/>
      <c r="AE656" s="907"/>
      <c r="AF656" s="907"/>
      <c r="AG656" s="907"/>
      <c r="AH656" s="907"/>
      <c r="AI656" s="907"/>
      <c r="AJ656" s="907"/>
      <c r="AK656" s="907"/>
      <c r="AL656" s="907"/>
    </row>
    <row r="657" spans="1:38">
      <c r="A657" s="907"/>
      <c r="B657" s="907"/>
      <c r="C657" s="907"/>
      <c r="D657" s="907"/>
      <c r="E657" s="907"/>
      <c r="F657" s="907"/>
      <c r="G657" s="907"/>
      <c r="H657" s="907"/>
      <c r="I657" s="907"/>
      <c r="J657" s="907"/>
      <c r="K657" s="907"/>
      <c r="L657" s="907"/>
      <c r="M657" s="907"/>
      <c r="N657" s="907"/>
      <c r="O657" s="907"/>
      <c r="P657" s="907"/>
      <c r="Q657" s="907"/>
      <c r="R657" s="907"/>
      <c r="S657" s="907"/>
      <c r="T657" s="907"/>
      <c r="U657" s="907"/>
      <c r="V657" s="907"/>
      <c r="W657" s="907"/>
      <c r="X657" s="907"/>
      <c r="Y657" s="907"/>
      <c r="Z657" s="907"/>
      <c r="AA657" s="907"/>
      <c r="AB657" s="907"/>
      <c r="AC657" s="907"/>
      <c r="AD657" s="907"/>
      <c r="AE657" s="907"/>
      <c r="AF657" s="907"/>
      <c r="AG657" s="907"/>
      <c r="AH657" s="907"/>
      <c r="AI657" s="907"/>
      <c r="AJ657" s="907"/>
      <c r="AK657" s="907"/>
      <c r="AL657" s="907"/>
    </row>
    <row r="658" spans="1:38">
      <c r="A658" s="907"/>
      <c r="B658" s="907"/>
      <c r="C658" s="907"/>
      <c r="D658" s="907"/>
      <c r="E658" s="907"/>
      <c r="F658" s="907"/>
      <c r="G658" s="907"/>
      <c r="H658" s="907"/>
      <c r="I658" s="907"/>
      <c r="J658" s="907"/>
      <c r="K658" s="907"/>
      <c r="L658" s="907"/>
      <c r="M658" s="907"/>
      <c r="N658" s="907"/>
      <c r="O658" s="907"/>
      <c r="P658" s="907"/>
      <c r="Q658" s="907"/>
      <c r="R658" s="907"/>
      <c r="S658" s="907"/>
      <c r="T658" s="907"/>
      <c r="U658" s="907"/>
      <c r="V658" s="907"/>
      <c r="W658" s="907"/>
      <c r="X658" s="907"/>
      <c r="Y658" s="907"/>
      <c r="Z658" s="907"/>
      <c r="AA658" s="907"/>
      <c r="AB658" s="907"/>
      <c r="AC658" s="907"/>
      <c r="AD658" s="907"/>
      <c r="AE658" s="907"/>
      <c r="AF658" s="907"/>
      <c r="AG658" s="907"/>
      <c r="AH658" s="907"/>
      <c r="AI658" s="907"/>
      <c r="AJ658" s="907"/>
      <c r="AK658" s="907"/>
      <c r="AL658" s="907"/>
    </row>
    <row r="659" spans="1:38">
      <c r="A659" s="907"/>
      <c r="B659" s="907"/>
      <c r="C659" s="907"/>
      <c r="D659" s="907"/>
      <c r="E659" s="907"/>
      <c r="F659" s="907"/>
      <c r="G659" s="907"/>
      <c r="H659" s="907"/>
      <c r="I659" s="907"/>
      <c r="J659" s="907"/>
      <c r="K659" s="907"/>
      <c r="L659" s="907"/>
      <c r="M659" s="907"/>
      <c r="N659" s="907"/>
      <c r="O659" s="907"/>
      <c r="P659" s="907"/>
      <c r="Q659" s="907"/>
      <c r="R659" s="907"/>
      <c r="S659" s="907"/>
      <c r="T659" s="907"/>
      <c r="U659" s="907"/>
      <c r="V659" s="907"/>
      <c r="W659" s="907"/>
      <c r="X659" s="907"/>
      <c r="Y659" s="907"/>
      <c r="Z659" s="907"/>
      <c r="AA659" s="907"/>
      <c r="AB659" s="907"/>
      <c r="AC659" s="907"/>
      <c r="AD659" s="907"/>
      <c r="AE659" s="907"/>
      <c r="AF659" s="907"/>
      <c r="AG659" s="907"/>
      <c r="AH659" s="907"/>
      <c r="AI659" s="907"/>
      <c r="AJ659" s="907"/>
      <c r="AK659" s="907"/>
      <c r="AL659" s="907"/>
    </row>
    <row r="660" spans="1:38">
      <c r="A660" s="907"/>
      <c r="B660" s="907"/>
      <c r="C660" s="907"/>
      <c r="D660" s="907"/>
      <c r="E660" s="907"/>
      <c r="F660" s="907"/>
      <c r="G660" s="907"/>
      <c r="H660" s="907"/>
      <c r="I660" s="907"/>
      <c r="J660" s="907"/>
      <c r="K660" s="907"/>
      <c r="L660" s="907"/>
      <c r="M660" s="907"/>
      <c r="N660" s="907"/>
      <c r="O660" s="907"/>
      <c r="P660" s="907"/>
      <c r="Q660" s="907"/>
      <c r="R660" s="907"/>
      <c r="S660" s="907"/>
      <c r="T660" s="907"/>
      <c r="U660" s="907"/>
      <c r="V660" s="907"/>
      <c r="W660" s="907"/>
      <c r="X660" s="907"/>
      <c r="Y660" s="907"/>
      <c r="Z660" s="907"/>
      <c r="AA660" s="907"/>
      <c r="AB660" s="907"/>
      <c r="AC660" s="907"/>
      <c r="AD660" s="907"/>
      <c r="AE660" s="907"/>
      <c r="AF660" s="907"/>
      <c r="AG660" s="907"/>
      <c r="AH660" s="907"/>
      <c r="AI660" s="907"/>
      <c r="AJ660" s="907"/>
      <c r="AK660" s="907"/>
      <c r="AL660" s="907"/>
    </row>
    <row r="661" spans="1:38">
      <c r="A661" s="907"/>
      <c r="B661" s="907"/>
      <c r="C661" s="907"/>
      <c r="D661" s="907"/>
      <c r="E661" s="907"/>
      <c r="F661" s="907"/>
      <c r="G661" s="907"/>
      <c r="H661" s="907"/>
      <c r="I661" s="907"/>
      <c r="J661" s="907"/>
      <c r="K661" s="907"/>
      <c r="L661" s="907"/>
      <c r="M661" s="907"/>
      <c r="N661" s="907"/>
      <c r="O661" s="907"/>
      <c r="P661" s="907"/>
      <c r="Q661" s="907"/>
      <c r="R661" s="907"/>
      <c r="S661" s="907"/>
      <c r="T661" s="907"/>
      <c r="U661" s="907"/>
      <c r="V661" s="907"/>
      <c r="W661" s="907"/>
      <c r="X661" s="907"/>
      <c r="Y661" s="907"/>
      <c r="Z661" s="907"/>
      <c r="AA661" s="907"/>
      <c r="AB661" s="907"/>
      <c r="AC661" s="907"/>
      <c r="AD661" s="907"/>
      <c r="AE661" s="907"/>
      <c r="AF661" s="907"/>
      <c r="AG661" s="907"/>
      <c r="AH661" s="907"/>
      <c r="AI661" s="907"/>
      <c r="AJ661" s="907"/>
      <c r="AK661" s="907"/>
      <c r="AL661" s="907"/>
    </row>
    <row r="662" spans="1:38">
      <c r="A662" s="907"/>
      <c r="B662" s="907"/>
      <c r="C662" s="907"/>
      <c r="D662" s="907"/>
      <c r="E662" s="907"/>
      <c r="F662" s="907"/>
      <c r="G662" s="907"/>
      <c r="H662" s="907"/>
      <c r="I662" s="907"/>
      <c r="J662" s="907"/>
      <c r="K662" s="907"/>
      <c r="L662" s="907"/>
      <c r="M662" s="907"/>
      <c r="N662" s="907"/>
      <c r="O662" s="907"/>
      <c r="P662" s="907"/>
      <c r="Q662" s="907"/>
      <c r="R662" s="907"/>
      <c r="S662" s="907"/>
      <c r="T662" s="907"/>
      <c r="U662" s="907"/>
      <c r="V662" s="907"/>
      <c r="W662" s="907"/>
      <c r="X662" s="907"/>
      <c r="Y662" s="907"/>
      <c r="Z662" s="907"/>
      <c r="AA662" s="907"/>
      <c r="AB662" s="907"/>
      <c r="AC662" s="907"/>
      <c r="AD662" s="907"/>
      <c r="AE662" s="907"/>
      <c r="AF662" s="907"/>
      <c r="AG662" s="907"/>
      <c r="AH662" s="907"/>
      <c r="AI662" s="907"/>
      <c r="AJ662" s="907"/>
      <c r="AK662" s="907"/>
      <c r="AL662" s="907"/>
    </row>
    <row r="663" spans="1:38">
      <c r="A663" s="907"/>
      <c r="B663" s="907"/>
      <c r="C663" s="907"/>
      <c r="D663" s="907"/>
      <c r="E663" s="907"/>
      <c r="F663" s="907"/>
      <c r="G663" s="907"/>
      <c r="H663" s="907"/>
      <c r="I663" s="907"/>
      <c r="J663" s="907"/>
      <c r="K663" s="907"/>
      <c r="L663" s="907"/>
      <c r="M663" s="907"/>
      <c r="N663" s="907"/>
      <c r="O663" s="907"/>
      <c r="P663" s="907"/>
      <c r="Q663" s="907"/>
      <c r="R663" s="907"/>
      <c r="S663" s="907"/>
      <c r="T663" s="907"/>
      <c r="U663" s="907"/>
      <c r="V663" s="907"/>
      <c r="W663" s="907"/>
      <c r="X663" s="907"/>
      <c r="Y663" s="907"/>
      <c r="Z663" s="907"/>
      <c r="AA663" s="907"/>
      <c r="AB663" s="907"/>
      <c r="AC663" s="907"/>
      <c r="AD663" s="907"/>
      <c r="AE663" s="907"/>
      <c r="AF663" s="907"/>
      <c r="AG663" s="907"/>
      <c r="AH663" s="907"/>
      <c r="AI663" s="907"/>
      <c r="AJ663" s="907"/>
      <c r="AK663" s="907"/>
      <c r="AL663" s="907"/>
    </row>
    <row r="664" spans="1:38">
      <c r="A664" s="907"/>
      <c r="B664" s="907"/>
      <c r="C664" s="907"/>
      <c r="D664" s="907"/>
      <c r="E664" s="907"/>
      <c r="F664" s="907"/>
      <c r="G664" s="907"/>
      <c r="H664" s="907"/>
      <c r="I664" s="907"/>
      <c r="J664" s="907"/>
      <c r="K664" s="907"/>
      <c r="L664" s="907"/>
      <c r="M664" s="907"/>
      <c r="N664" s="907"/>
      <c r="O664" s="907"/>
      <c r="P664" s="907"/>
      <c r="Q664" s="907"/>
      <c r="R664" s="907"/>
      <c r="S664" s="907"/>
      <c r="T664" s="907"/>
      <c r="U664" s="907"/>
      <c r="V664" s="907"/>
      <c r="W664" s="907"/>
      <c r="X664" s="907"/>
      <c r="Y664" s="907"/>
      <c r="Z664" s="907"/>
      <c r="AA664" s="907"/>
      <c r="AB664" s="907"/>
      <c r="AC664" s="907"/>
      <c r="AD664" s="907"/>
      <c r="AE664" s="907"/>
      <c r="AF664" s="907"/>
      <c r="AG664" s="907"/>
      <c r="AH664" s="907"/>
      <c r="AI664" s="907"/>
      <c r="AJ664" s="907"/>
      <c r="AK664" s="907"/>
      <c r="AL664" s="907"/>
    </row>
    <row r="665" spans="1:38">
      <c r="A665" s="907"/>
      <c r="B665" s="907"/>
      <c r="C665" s="907"/>
      <c r="D665" s="907"/>
      <c r="E665" s="907"/>
      <c r="F665" s="907"/>
      <c r="G665" s="907"/>
      <c r="H665" s="907"/>
      <c r="I665" s="907"/>
      <c r="J665" s="907"/>
      <c r="K665" s="907"/>
      <c r="L665" s="907"/>
      <c r="M665" s="907"/>
      <c r="N665" s="907"/>
      <c r="O665" s="907"/>
      <c r="P665" s="907"/>
      <c r="Q665" s="907"/>
      <c r="R665" s="907"/>
      <c r="S665" s="907"/>
      <c r="T665" s="907"/>
      <c r="U665" s="907"/>
      <c r="V665" s="907"/>
      <c r="W665" s="907"/>
      <c r="X665" s="907"/>
      <c r="Y665" s="907"/>
      <c r="Z665" s="907"/>
      <c r="AA665" s="907"/>
      <c r="AB665" s="907"/>
      <c r="AC665" s="907"/>
      <c r="AD665" s="907"/>
      <c r="AE665" s="907"/>
      <c r="AF665" s="907"/>
      <c r="AG665" s="907"/>
      <c r="AH665" s="907"/>
      <c r="AI665" s="907"/>
      <c r="AJ665" s="907"/>
      <c r="AK665" s="907"/>
      <c r="AL665" s="907"/>
    </row>
    <row r="666" spans="1:38">
      <c r="A666" s="907"/>
      <c r="B666" s="907"/>
      <c r="C666" s="907"/>
      <c r="D666" s="907"/>
      <c r="E666" s="907"/>
      <c r="F666" s="907"/>
      <c r="G666" s="907"/>
      <c r="H666" s="907"/>
      <c r="I666" s="907"/>
      <c r="J666" s="907"/>
      <c r="K666" s="907"/>
      <c r="L666" s="907"/>
      <c r="M666" s="907"/>
      <c r="N666" s="907"/>
      <c r="O666" s="907"/>
      <c r="P666" s="907"/>
      <c r="Q666" s="907"/>
      <c r="R666" s="907"/>
      <c r="S666" s="907"/>
      <c r="T666" s="907"/>
      <c r="U666" s="907"/>
      <c r="V666" s="907"/>
      <c r="W666" s="907"/>
      <c r="X666" s="907"/>
      <c r="Y666" s="907"/>
      <c r="Z666" s="907"/>
      <c r="AA666" s="907"/>
      <c r="AB666" s="907"/>
      <c r="AC666" s="907"/>
      <c r="AD666" s="907"/>
      <c r="AE666" s="907"/>
      <c r="AF666" s="907"/>
      <c r="AG666" s="907"/>
      <c r="AH666" s="907"/>
      <c r="AI666" s="907"/>
      <c r="AJ666" s="907"/>
      <c r="AK666" s="907"/>
      <c r="AL666" s="907"/>
    </row>
    <row r="667" spans="1:38">
      <c r="A667" s="907"/>
      <c r="B667" s="907"/>
      <c r="C667" s="907"/>
      <c r="D667" s="907"/>
      <c r="E667" s="907"/>
      <c r="F667" s="907"/>
      <c r="G667" s="907"/>
      <c r="H667" s="907"/>
      <c r="I667" s="907"/>
      <c r="J667" s="907"/>
      <c r="K667" s="907"/>
      <c r="L667" s="907"/>
      <c r="M667" s="907"/>
      <c r="N667" s="907"/>
      <c r="O667" s="907"/>
      <c r="P667" s="907"/>
      <c r="Q667" s="907"/>
      <c r="R667" s="907"/>
      <c r="S667" s="907"/>
      <c r="T667" s="907"/>
      <c r="U667" s="907"/>
      <c r="V667" s="907"/>
      <c r="W667" s="907"/>
      <c r="X667" s="907"/>
      <c r="Y667" s="907"/>
      <c r="Z667" s="907"/>
      <c r="AA667" s="907"/>
      <c r="AB667" s="907"/>
      <c r="AC667" s="907"/>
      <c r="AD667" s="907"/>
      <c r="AE667" s="907"/>
      <c r="AF667" s="907"/>
      <c r="AG667" s="907"/>
      <c r="AH667" s="907"/>
      <c r="AI667" s="907"/>
      <c r="AJ667" s="907"/>
      <c r="AK667" s="907"/>
      <c r="AL667" s="907"/>
    </row>
    <row r="668" spans="1:38">
      <c r="A668" s="907"/>
      <c r="B668" s="907"/>
      <c r="C668" s="907"/>
      <c r="D668" s="907"/>
      <c r="E668" s="907"/>
      <c r="F668" s="907"/>
      <c r="G668" s="907"/>
      <c r="H668" s="907"/>
      <c r="I668" s="907"/>
      <c r="J668" s="907"/>
      <c r="K668" s="907"/>
      <c r="L668" s="907"/>
      <c r="M668" s="907"/>
      <c r="N668" s="907"/>
      <c r="O668" s="907"/>
      <c r="P668" s="907"/>
      <c r="Q668" s="907"/>
      <c r="R668" s="907"/>
      <c r="S668" s="907"/>
      <c r="T668" s="907"/>
      <c r="U668" s="907"/>
      <c r="V668" s="907"/>
      <c r="W668" s="907"/>
      <c r="X668" s="907"/>
      <c r="Y668" s="907"/>
      <c r="Z668" s="907"/>
      <c r="AA668" s="907"/>
      <c r="AB668" s="907"/>
      <c r="AC668" s="907"/>
      <c r="AD668" s="907"/>
      <c r="AE668" s="907"/>
      <c r="AF668" s="907"/>
      <c r="AG668" s="907"/>
      <c r="AH668" s="907"/>
      <c r="AI668" s="907"/>
      <c r="AJ668" s="907"/>
      <c r="AK668" s="907"/>
      <c r="AL668" s="907"/>
    </row>
    <row r="669" spans="1:38">
      <c r="A669" s="907"/>
      <c r="B669" s="907"/>
      <c r="C669" s="907"/>
      <c r="D669" s="907"/>
      <c r="E669" s="907"/>
      <c r="F669" s="907"/>
      <c r="G669" s="907"/>
      <c r="H669" s="907"/>
      <c r="I669" s="907"/>
      <c r="J669" s="907"/>
      <c r="K669" s="907"/>
      <c r="L669" s="907"/>
      <c r="M669" s="907"/>
      <c r="N669" s="907"/>
      <c r="O669" s="907"/>
      <c r="P669" s="907"/>
      <c r="Q669" s="907"/>
      <c r="R669" s="907"/>
      <c r="S669" s="907"/>
      <c r="T669" s="907"/>
      <c r="U669" s="907"/>
      <c r="V669" s="907"/>
      <c r="W669" s="907"/>
      <c r="X669" s="907"/>
      <c r="Y669" s="907"/>
      <c r="Z669" s="907"/>
      <c r="AA669" s="907"/>
      <c r="AB669" s="907"/>
      <c r="AC669" s="907"/>
      <c r="AD669" s="907"/>
      <c r="AE669" s="907"/>
      <c r="AF669" s="907"/>
      <c r="AG669" s="907"/>
      <c r="AH669" s="907"/>
      <c r="AI669" s="907"/>
      <c r="AJ669" s="907"/>
      <c r="AK669" s="907"/>
      <c r="AL669" s="907"/>
    </row>
    <row r="670" spans="1:38">
      <c r="A670" s="907"/>
      <c r="B670" s="907"/>
      <c r="C670" s="907"/>
      <c r="D670" s="907"/>
      <c r="E670" s="907"/>
      <c r="F670" s="907"/>
      <c r="G670" s="907"/>
      <c r="H670" s="907"/>
      <c r="I670" s="907"/>
      <c r="J670" s="907"/>
      <c r="K670" s="907"/>
      <c r="L670" s="907"/>
      <c r="M670" s="907"/>
      <c r="N670" s="907"/>
      <c r="O670" s="907"/>
      <c r="P670" s="907"/>
      <c r="Q670" s="907"/>
      <c r="R670" s="907"/>
      <c r="S670" s="907"/>
      <c r="T670" s="907"/>
      <c r="U670" s="907"/>
      <c r="V670" s="907"/>
      <c r="W670" s="907"/>
      <c r="X670" s="907"/>
      <c r="Y670" s="907"/>
      <c r="Z670" s="907"/>
      <c r="AA670" s="907"/>
      <c r="AB670" s="907"/>
      <c r="AC670" s="907"/>
      <c r="AD670" s="907"/>
      <c r="AE670" s="907"/>
      <c r="AF670" s="907"/>
      <c r="AG670" s="907"/>
      <c r="AH670" s="907"/>
      <c r="AI670" s="907"/>
      <c r="AJ670" s="907"/>
      <c r="AK670" s="907"/>
      <c r="AL670" s="907"/>
    </row>
    <row r="671" spans="1:38">
      <c r="A671" s="907"/>
      <c r="B671" s="907"/>
      <c r="C671" s="907"/>
      <c r="D671" s="907"/>
      <c r="E671" s="907"/>
      <c r="F671" s="907"/>
      <c r="G671" s="907"/>
      <c r="H671" s="907"/>
      <c r="I671" s="907"/>
      <c r="J671" s="907"/>
      <c r="K671" s="907"/>
      <c r="L671" s="907"/>
      <c r="M671" s="907"/>
      <c r="N671" s="907"/>
      <c r="O671" s="907"/>
      <c r="P671" s="907"/>
      <c r="Q671" s="907"/>
      <c r="R671" s="907"/>
      <c r="S671" s="907"/>
      <c r="T671" s="907"/>
      <c r="U671" s="907"/>
      <c r="V671" s="907"/>
      <c r="W671" s="907"/>
      <c r="X671" s="907"/>
      <c r="Y671" s="907"/>
      <c r="Z671" s="907"/>
      <c r="AA671" s="907"/>
      <c r="AB671" s="907"/>
      <c r="AC671" s="907"/>
      <c r="AD671" s="907"/>
      <c r="AE671" s="907"/>
      <c r="AF671" s="907"/>
      <c r="AG671" s="907"/>
      <c r="AH671" s="907"/>
      <c r="AI671" s="907"/>
      <c r="AJ671" s="907"/>
      <c r="AK671" s="907"/>
      <c r="AL671" s="907"/>
    </row>
    <row r="672" spans="1:38">
      <c r="A672" s="907"/>
      <c r="B672" s="907"/>
      <c r="C672" s="907"/>
      <c r="D672" s="907"/>
      <c r="E672" s="907"/>
      <c r="F672" s="907"/>
      <c r="G672" s="907"/>
      <c r="H672" s="907"/>
      <c r="I672" s="907"/>
      <c r="J672" s="907"/>
      <c r="K672" s="907"/>
      <c r="L672" s="907"/>
      <c r="M672" s="907"/>
      <c r="N672" s="907"/>
      <c r="O672" s="907"/>
      <c r="P672" s="907"/>
      <c r="Q672" s="907"/>
      <c r="R672" s="907"/>
      <c r="S672" s="907"/>
      <c r="T672" s="907"/>
      <c r="U672" s="907"/>
      <c r="V672" s="907"/>
      <c r="W672" s="907"/>
      <c r="X672" s="907"/>
      <c r="Y672" s="907"/>
      <c r="Z672" s="907"/>
      <c r="AA672" s="907"/>
      <c r="AB672" s="907"/>
      <c r="AC672" s="907"/>
      <c r="AD672" s="907"/>
      <c r="AE672" s="907"/>
      <c r="AF672" s="907"/>
      <c r="AG672" s="907"/>
      <c r="AH672" s="907"/>
      <c r="AI672" s="907"/>
      <c r="AJ672" s="907"/>
      <c r="AK672" s="907"/>
      <c r="AL672" s="907"/>
    </row>
    <row r="673" spans="1:38">
      <c r="A673" s="907"/>
      <c r="B673" s="907"/>
      <c r="C673" s="907"/>
      <c r="D673" s="907"/>
      <c r="E673" s="907"/>
      <c r="F673" s="907"/>
      <c r="G673" s="907"/>
      <c r="H673" s="907"/>
      <c r="I673" s="907"/>
      <c r="J673" s="907"/>
      <c r="K673" s="907"/>
      <c r="L673" s="907"/>
      <c r="M673" s="907"/>
      <c r="N673" s="907"/>
      <c r="O673" s="907"/>
      <c r="P673" s="907"/>
      <c r="Q673" s="907"/>
      <c r="R673" s="907"/>
      <c r="S673" s="907"/>
      <c r="T673" s="907"/>
      <c r="U673" s="907"/>
      <c r="V673" s="907"/>
      <c r="W673" s="907"/>
      <c r="X673" s="907"/>
      <c r="Y673" s="907"/>
      <c r="Z673" s="907"/>
      <c r="AA673" s="907"/>
      <c r="AB673" s="907"/>
      <c r="AC673" s="907"/>
      <c r="AD673" s="907"/>
      <c r="AE673" s="907"/>
      <c r="AF673" s="907"/>
      <c r="AG673" s="907"/>
      <c r="AH673" s="907"/>
      <c r="AI673" s="907"/>
      <c r="AJ673" s="907"/>
      <c r="AK673" s="907"/>
      <c r="AL673" s="907"/>
    </row>
    <row r="674" spans="1:38">
      <c r="A674" s="907"/>
      <c r="B674" s="907"/>
      <c r="C674" s="907"/>
      <c r="D674" s="907"/>
      <c r="E674" s="907"/>
      <c r="F674" s="907"/>
      <c r="G674" s="907"/>
      <c r="H674" s="907"/>
      <c r="I674" s="907"/>
      <c r="J674" s="907"/>
      <c r="K674" s="907"/>
      <c r="L674" s="907"/>
      <c r="M674" s="907"/>
      <c r="N674" s="907"/>
      <c r="O674" s="907"/>
      <c r="P674" s="907"/>
      <c r="Q674" s="907"/>
      <c r="R674" s="907"/>
      <c r="S674" s="907"/>
      <c r="T674" s="907"/>
      <c r="U674" s="907"/>
      <c r="V674" s="907"/>
      <c r="W674" s="907"/>
      <c r="X674" s="907"/>
      <c r="Y674" s="907"/>
      <c r="Z674" s="907"/>
      <c r="AA674" s="907"/>
      <c r="AB674" s="907"/>
      <c r="AC674" s="907"/>
      <c r="AD674" s="907"/>
      <c r="AE674" s="907"/>
      <c r="AF674" s="907"/>
      <c r="AG674" s="907"/>
      <c r="AH674" s="907"/>
      <c r="AI674" s="907"/>
      <c r="AJ674" s="907"/>
      <c r="AK674" s="907"/>
      <c r="AL674" s="907"/>
    </row>
    <row r="675" spans="1:38">
      <c r="A675" s="907"/>
      <c r="B675" s="907"/>
      <c r="C675" s="907"/>
      <c r="D675" s="907"/>
      <c r="E675" s="907"/>
      <c r="F675" s="907"/>
      <c r="G675" s="907"/>
      <c r="H675" s="907"/>
      <c r="I675" s="907"/>
      <c r="J675" s="907"/>
      <c r="K675" s="907"/>
      <c r="L675" s="907"/>
      <c r="M675" s="907"/>
      <c r="N675" s="907"/>
      <c r="O675" s="907"/>
      <c r="P675" s="907"/>
      <c r="Q675" s="907"/>
      <c r="R675" s="907"/>
      <c r="S675" s="907"/>
      <c r="T675" s="907"/>
      <c r="U675" s="907"/>
      <c r="V675" s="907"/>
      <c r="W675" s="907"/>
      <c r="X675" s="907"/>
      <c r="Y675" s="907"/>
      <c r="Z675" s="907"/>
      <c r="AA675" s="907"/>
      <c r="AB675" s="907"/>
      <c r="AC675" s="907"/>
      <c r="AD675" s="907"/>
      <c r="AE675" s="907"/>
      <c r="AF675" s="907"/>
      <c r="AG675" s="907"/>
      <c r="AH675" s="907"/>
      <c r="AI675" s="907"/>
      <c r="AJ675" s="907"/>
      <c r="AK675" s="907"/>
      <c r="AL675" s="907"/>
    </row>
    <row r="676" spans="1:38">
      <c r="A676" s="907"/>
      <c r="B676" s="907"/>
      <c r="C676" s="907"/>
      <c r="D676" s="907"/>
      <c r="E676" s="907"/>
      <c r="F676" s="907"/>
      <c r="G676" s="907"/>
      <c r="H676" s="907"/>
      <c r="I676" s="907"/>
      <c r="J676" s="907"/>
      <c r="K676" s="907"/>
      <c r="L676" s="907"/>
      <c r="M676" s="907"/>
      <c r="N676" s="907"/>
      <c r="O676" s="907"/>
      <c r="P676" s="907"/>
      <c r="Q676" s="907"/>
      <c r="R676" s="907"/>
      <c r="S676" s="907"/>
      <c r="T676" s="907"/>
      <c r="U676" s="907"/>
      <c r="V676" s="907"/>
      <c r="W676" s="907"/>
      <c r="X676" s="907"/>
      <c r="Y676" s="907"/>
      <c r="Z676" s="907"/>
      <c r="AA676" s="907"/>
      <c r="AB676" s="907"/>
      <c r="AC676" s="907"/>
      <c r="AD676" s="907"/>
      <c r="AE676" s="907"/>
      <c r="AF676" s="907"/>
      <c r="AG676" s="907"/>
      <c r="AH676" s="907"/>
      <c r="AI676" s="907"/>
      <c r="AJ676" s="907"/>
      <c r="AK676" s="907"/>
      <c r="AL676" s="907"/>
    </row>
    <row r="677" spans="1:38">
      <c r="A677" s="907"/>
      <c r="B677" s="907"/>
      <c r="C677" s="907"/>
      <c r="D677" s="907"/>
      <c r="E677" s="907"/>
      <c r="F677" s="907"/>
      <c r="G677" s="907"/>
      <c r="H677" s="907"/>
      <c r="I677" s="907"/>
      <c r="J677" s="907"/>
      <c r="K677" s="907"/>
      <c r="L677" s="907"/>
      <c r="M677" s="907"/>
      <c r="N677" s="907"/>
      <c r="O677" s="907"/>
      <c r="P677" s="907"/>
      <c r="Q677" s="907"/>
      <c r="R677" s="907"/>
      <c r="S677" s="907"/>
      <c r="T677" s="907"/>
      <c r="U677" s="907"/>
      <c r="V677" s="907"/>
      <c r="W677" s="907"/>
      <c r="X677" s="907"/>
      <c r="Y677" s="907"/>
      <c r="Z677" s="907"/>
      <c r="AA677" s="907"/>
      <c r="AB677" s="907"/>
      <c r="AC677" s="907"/>
      <c r="AD677" s="907"/>
      <c r="AE677" s="907"/>
      <c r="AF677" s="907"/>
      <c r="AG677" s="907"/>
      <c r="AH677" s="907"/>
      <c r="AI677" s="907"/>
      <c r="AJ677" s="907"/>
      <c r="AK677" s="907"/>
      <c r="AL677" s="907"/>
    </row>
    <row r="678" spans="1:38">
      <c r="A678" s="907"/>
      <c r="B678" s="907"/>
      <c r="C678" s="907"/>
      <c r="D678" s="907"/>
      <c r="E678" s="907"/>
      <c r="F678" s="907"/>
      <c r="G678" s="907"/>
      <c r="H678" s="907"/>
      <c r="I678" s="907"/>
      <c r="J678" s="907"/>
      <c r="K678" s="907"/>
      <c r="L678" s="907"/>
      <c r="M678" s="907"/>
      <c r="N678" s="907"/>
      <c r="O678" s="907"/>
      <c r="P678" s="907"/>
      <c r="Q678" s="907"/>
      <c r="R678" s="907"/>
      <c r="S678" s="907"/>
      <c r="T678" s="907"/>
      <c r="U678" s="907"/>
      <c r="V678" s="907"/>
      <c r="W678" s="907"/>
      <c r="X678" s="907"/>
      <c r="Y678" s="907"/>
      <c r="Z678" s="907"/>
      <c r="AA678" s="907"/>
      <c r="AB678" s="907"/>
      <c r="AC678" s="907"/>
      <c r="AD678" s="907"/>
      <c r="AE678" s="907"/>
      <c r="AF678" s="907"/>
      <c r="AG678" s="907"/>
      <c r="AH678" s="907"/>
      <c r="AI678" s="907"/>
      <c r="AJ678" s="907"/>
      <c r="AK678" s="907"/>
      <c r="AL678" s="907"/>
    </row>
    <row r="679" spans="1:38">
      <c r="A679" s="907"/>
      <c r="B679" s="907"/>
      <c r="C679" s="907"/>
      <c r="D679" s="907"/>
      <c r="E679" s="907"/>
      <c r="F679" s="907"/>
      <c r="G679" s="907"/>
      <c r="H679" s="907"/>
      <c r="I679" s="907"/>
      <c r="J679" s="907"/>
      <c r="K679" s="907"/>
      <c r="L679" s="907"/>
      <c r="M679" s="907"/>
      <c r="N679" s="907"/>
      <c r="O679" s="907"/>
      <c r="P679" s="907"/>
      <c r="Q679" s="907"/>
      <c r="R679" s="907"/>
      <c r="S679" s="907"/>
      <c r="T679" s="907"/>
      <c r="U679" s="907"/>
      <c r="V679" s="907"/>
      <c r="W679" s="907"/>
      <c r="X679" s="907"/>
      <c r="Y679" s="907"/>
      <c r="Z679" s="907"/>
      <c r="AA679" s="907"/>
      <c r="AB679" s="907"/>
      <c r="AC679" s="907"/>
      <c r="AD679" s="907"/>
      <c r="AE679" s="907"/>
      <c r="AF679" s="907"/>
      <c r="AG679" s="907"/>
      <c r="AH679" s="907"/>
      <c r="AI679" s="907"/>
      <c r="AJ679" s="907"/>
      <c r="AK679" s="907"/>
      <c r="AL679" s="907"/>
    </row>
    <row r="680" spans="1:38">
      <c r="A680" s="907"/>
      <c r="B680" s="907"/>
      <c r="C680" s="907"/>
      <c r="D680" s="907"/>
      <c r="E680" s="907"/>
      <c r="F680" s="907"/>
      <c r="G680" s="907"/>
      <c r="H680" s="907"/>
      <c r="I680" s="907"/>
      <c r="J680" s="907"/>
      <c r="K680" s="907"/>
      <c r="L680" s="907"/>
      <c r="M680" s="907"/>
      <c r="N680" s="907"/>
      <c r="O680" s="907"/>
      <c r="P680" s="907"/>
      <c r="Q680" s="907"/>
      <c r="R680" s="907"/>
      <c r="S680" s="907"/>
      <c r="T680" s="907"/>
      <c r="U680" s="907"/>
      <c r="V680" s="907"/>
      <c r="W680" s="907"/>
      <c r="X680" s="907"/>
      <c r="Y680" s="907"/>
      <c r="Z680" s="907"/>
      <c r="AA680" s="907"/>
      <c r="AB680" s="907"/>
      <c r="AC680" s="907"/>
      <c r="AD680" s="907"/>
      <c r="AE680" s="907"/>
      <c r="AF680" s="907"/>
      <c r="AG680" s="907"/>
      <c r="AH680" s="907"/>
      <c r="AI680" s="907"/>
      <c r="AJ680" s="907"/>
      <c r="AK680" s="907"/>
      <c r="AL680" s="907"/>
    </row>
    <row r="681" spans="1:38">
      <c r="A681" s="907"/>
      <c r="B681" s="907"/>
      <c r="C681" s="907"/>
      <c r="D681" s="907"/>
      <c r="E681" s="907"/>
      <c r="F681" s="907"/>
      <c r="G681" s="907"/>
      <c r="H681" s="907"/>
      <c r="I681" s="907"/>
      <c r="J681" s="907"/>
      <c r="K681" s="907"/>
      <c r="L681" s="907"/>
      <c r="M681" s="907"/>
      <c r="N681" s="907"/>
      <c r="O681" s="907"/>
      <c r="P681" s="907"/>
      <c r="Q681" s="907"/>
      <c r="R681" s="907"/>
      <c r="S681" s="907"/>
      <c r="T681" s="907"/>
      <c r="U681" s="907"/>
      <c r="V681" s="907"/>
      <c r="W681" s="907"/>
      <c r="X681" s="907"/>
      <c r="Y681" s="907"/>
      <c r="Z681" s="907"/>
      <c r="AA681" s="907"/>
      <c r="AB681" s="907"/>
      <c r="AC681" s="907"/>
      <c r="AD681" s="907"/>
      <c r="AE681" s="907"/>
      <c r="AF681" s="907"/>
      <c r="AG681" s="907"/>
      <c r="AH681" s="907"/>
      <c r="AI681" s="907"/>
      <c r="AJ681" s="907"/>
      <c r="AK681" s="907"/>
      <c r="AL681" s="907"/>
    </row>
    <row r="682" spans="1:38">
      <c r="A682" s="907"/>
      <c r="B682" s="907"/>
      <c r="C682" s="907"/>
      <c r="D682" s="907"/>
      <c r="E682" s="907"/>
      <c r="F682" s="907"/>
      <c r="G682" s="907"/>
      <c r="H682" s="907"/>
      <c r="I682" s="907"/>
      <c r="J682" s="907"/>
      <c r="K682" s="907"/>
      <c r="L682" s="907"/>
      <c r="M682" s="907"/>
      <c r="N682" s="907"/>
      <c r="O682" s="907"/>
      <c r="P682" s="907"/>
      <c r="Q682" s="907"/>
      <c r="R682" s="907"/>
      <c r="S682" s="907"/>
      <c r="T682" s="907"/>
      <c r="U682" s="907"/>
      <c r="V682" s="907"/>
      <c r="W682" s="907"/>
      <c r="X682" s="907"/>
      <c r="Y682" s="907"/>
      <c r="Z682" s="907"/>
      <c r="AA682" s="907"/>
      <c r="AB682" s="907"/>
      <c r="AC682" s="907"/>
      <c r="AD682" s="907"/>
      <c r="AE682" s="907"/>
      <c r="AF682" s="907"/>
      <c r="AG682" s="907"/>
      <c r="AH682" s="907"/>
      <c r="AI682" s="907"/>
      <c r="AJ682" s="907"/>
      <c r="AK682" s="907"/>
      <c r="AL682" s="907"/>
    </row>
    <row r="683" spans="1:38">
      <c r="A683" s="907"/>
      <c r="B683" s="907"/>
      <c r="C683" s="907"/>
      <c r="D683" s="907"/>
      <c r="E683" s="907"/>
      <c r="F683" s="907"/>
      <c r="G683" s="907"/>
      <c r="H683" s="907"/>
      <c r="I683" s="907"/>
      <c r="J683" s="907"/>
      <c r="K683" s="907"/>
      <c r="L683" s="907"/>
      <c r="M683" s="907"/>
      <c r="N683" s="907"/>
      <c r="O683" s="907"/>
      <c r="P683" s="907"/>
      <c r="Q683" s="907"/>
      <c r="R683" s="907"/>
      <c r="S683" s="907"/>
      <c r="T683" s="907"/>
      <c r="U683" s="907"/>
      <c r="V683" s="907"/>
      <c r="W683" s="907"/>
      <c r="X683" s="907"/>
      <c r="Y683" s="907"/>
      <c r="Z683" s="907"/>
      <c r="AA683" s="907"/>
      <c r="AB683" s="907"/>
      <c r="AC683" s="907"/>
      <c r="AD683" s="907"/>
      <c r="AE683" s="907"/>
      <c r="AF683" s="907"/>
      <c r="AG683" s="907"/>
      <c r="AH683" s="907"/>
      <c r="AI683" s="907"/>
      <c r="AJ683" s="907"/>
      <c r="AK683" s="907"/>
      <c r="AL683" s="907"/>
    </row>
    <row r="684" spans="1:38">
      <c r="A684" s="907"/>
      <c r="B684" s="907"/>
      <c r="C684" s="907"/>
      <c r="D684" s="907"/>
      <c r="E684" s="907"/>
      <c r="F684" s="907"/>
      <c r="G684" s="907"/>
      <c r="H684" s="907"/>
      <c r="I684" s="907"/>
      <c r="J684" s="907"/>
      <c r="K684" s="907"/>
      <c r="L684" s="907"/>
      <c r="M684" s="907"/>
      <c r="N684" s="907"/>
      <c r="O684" s="907"/>
      <c r="P684" s="907"/>
      <c r="Q684" s="907"/>
      <c r="R684" s="907"/>
      <c r="S684" s="907"/>
      <c r="T684" s="907"/>
      <c r="U684" s="907"/>
      <c r="V684" s="907"/>
      <c r="W684" s="907"/>
      <c r="X684" s="907"/>
      <c r="Y684" s="907"/>
      <c r="Z684" s="907"/>
      <c r="AA684" s="907"/>
      <c r="AB684" s="907"/>
      <c r="AC684" s="907"/>
      <c r="AD684" s="907"/>
      <c r="AE684" s="907"/>
      <c r="AF684" s="907"/>
      <c r="AG684" s="907"/>
      <c r="AH684" s="907"/>
      <c r="AI684" s="907"/>
      <c r="AJ684" s="907"/>
      <c r="AK684" s="907"/>
      <c r="AL684" s="907"/>
    </row>
    <row r="685" spans="1:38">
      <c r="A685" s="907"/>
      <c r="B685" s="907"/>
      <c r="C685" s="907"/>
      <c r="D685" s="907"/>
      <c r="E685" s="907"/>
      <c r="F685" s="907"/>
      <c r="G685" s="907"/>
      <c r="H685" s="907"/>
      <c r="I685" s="907"/>
      <c r="J685" s="907"/>
      <c r="K685" s="907"/>
      <c r="L685" s="907"/>
      <c r="M685" s="907"/>
      <c r="N685" s="907"/>
      <c r="O685" s="907"/>
      <c r="P685" s="907"/>
      <c r="Q685" s="907"/>
      <c r="R685" s="907"/>
      <c r="S685" s="907"/>
      <c r="T685" s="907"/>
      <c r="U685" s="907"/>
      <c r="V685" s="907"/>
      <c r="W685" s="907"/>
      <c r="X685" s="907"/>
      <c r="Y685" s="907"/>
      <c r="Z685" s="907"/>
      <c r="AA685" s="907"/>
      <c r="AB685" s="907"/>
      <c r="AC685" s="907"/>
      <c r="AD685" s="907"/>
      <c r="AE685" s="907"/>
      <c r="AF685" s="907"/>
      <c r="AG685" s="907"/>
      <c r="AH685" s="907"/>
      <c r="AI685" s="907"/>
      <c r="AJ685" s="907"/>
      <c r="AK685" s="907"/>
      <c r="AL685" s="907"/>
    </row>
    <row r="686" spans="1:38">
      <c r="A686" s="907"/>
      <c r="B686" s="907"/>
      <c r="C686" s="907"/>
      <c r="D686" s="907"/>
      <c r="E686" s="907"/>
      <c r="F686" s="907"/>
      <c r="G686" s="907"/>
      <c r="H686" s="907"/>
      <c r="I686" s="907"/>
      <c r="J686" s="907"/>
      <c r="K686" s="907"/>
      <c r="L686" s="907"/>
      <c r="M686" s="907"/>
      <c r="N686" s="907"/>
      <c r="O686" s="907"/>
      <c r="P686" s="907"/>
      <c r="Q686" s="907"/>
      <c r="R686" s="907"/>
      <c r="S686" s="907"/>
      <c r="T686" s="907"/>
      <c r="U686" s="907"/>
      <c r="V686" s="907"/>
      <c r="W686" s="907"/>
      <c r="X686" s="907"/>
      <c r="Y686" s="907"/>
      <c r="Z686" s="907"/>
      <c r="AA686" s="907"/>
      <c r="AB686" s="907"/>
      <c r="AC686" s="907"/>
      <c r="AD686" s="907"/>
      <c r="AE686" s="907"/>
      <c r="AF686" s="907"/>
      <c r="AG686" s="907"/>
      <c r="AH686" s="907"/>
      <c r="AI686" s="907"/>
      <c r="AJ686" s="907"/>
      <c r="AK686" s="907"/>
      <c r="AL686" s="907"/>
    </row>
    <row r="687" spans="1:38">
      <c r="A687" s="907"/>
      <c r="B687" s="907"/>
      <c r="C687" s="907"/>
      <c r="D687" s="907"/>
      <c r="E687" s="907"/>
      <c r="F687" s="907"/>
      <c r="G687" s="907"/>
      <c r="H687" s="907"/>
      <c r="I687" s="907"/>
      <c r="J687" s="907"/>
      <c r="K687" s="907"/>
      <c r="L687" s="907"/>
      <c r="M687" s="907"/>
      <c r="N687" s="907"/>
      <c r="O687" s="907"/>
      <c r="P687" s="907"/>
      <c r="Q687" s="907"/>
      <c r="R687" s="907"/>
      <c r="S687" s="907"/>
      <c r="T687" s="907"/>
      <c r="U687" s="907"/>
      <c r="V687" s="907"/>
      <c r="W687" s="907"/>
      <c r="X687" s="907"/>
      <c r="Y687" s="907"/>
      <c r="Z687" s="907"/>
      <c r="AA687" s="907"/>
      <c r="AB687" s="907"/>
      <c r="AC687" s="907"/>
      <c r="AD687" s="907"/>
      <c r="AE687" s="907"/>
      <c r="AF687" s="907"/>
      <c r="AG687" s="907"/>
      <c r="AH687" s="907"/>
      <c r="AI687" s="907"/>
      <c r="AJ687" s="907"/>
      <c r="AK687" s="907"/>
      <c r="AL687" s="907"/>
    </row>
    <row r="688" spans="1:38">
      <c r="A688" s="907"/>
      <c r="B688" s="907"/>
      <c r="C688" s="907"/>
      <c r="D688" s="907"/>
      <c r="E688" s="907"/>
      <c r="F688" s="907"/>
      <c r="G688" s="907"/>
      <c r="H688" s="907"/>
      <c r="I688" s="907"/>
      <c r="J688" s="907"/>
      <c r="K688" s="907"/>
      <c r="L688" s="907"/>
      <c r="M688" s="907"/>
      <c r="N688" s="907"/>
      <c r="O688" s="907"/>
      <c r="P688" s="907"/>
      <c r="Q688" s="907"/>
      <c r="R688" s="907"/>
      <c r="S688" s="907"/>
      <c r="T688" s="907"/>
      <c r="U688" s="907"/>
      <c r="V688" s="907"/>
      <c r="W688" s="907"/>
      <c r="X688" s="907"/>
      <c r="Y688" s="907"/>
      <c r="Z688" s="907"/>
      <c r="AA688" s="907"/>
      <c r="AB688" s="907"/>
      <c r="AC688" s="907"/>
      <c r="AD688" s="907"/>
      <c r="AE688" s="907"/>
      <c r="AF688" s="907"/>
      <c r="AG688" s="907"/>
      <c r="AH688" s="907"/>
      <c r="AI688" s="907"/>
      <c r="AJ688" s="907"/>
      <c r="AK688" s="907"/>
      <c r="AL688" s="907"/>
    </row>
    <row r="689" spans="1:38">
      <c r="A689" s="907"/>
      <c r="B689" s="907"/>
      <c r="C689" s="907"/>
      <c r="D689" s="907"/>
      <c r="E689" s="907"/>
      <c r="F689" s="907"/>
      <c r="G689" s="907"/>
      <c r="H689" s="907"/>
      <c r="I689" s="907"/>
      <c r="J689" s="907"/>
      <c r="K689" s="907"/>
      <c r="L689" s="907"/>
      <c r="M689" s="907"/>
      <c r="N689" s="907"/>
      <c r="O689" s="907"/>
      <c r="P689" s="907"/>
      <c r="Q689" s="907"/>
      <c r="R689" s="907"/>
      <c r="S689" s="907"/>
      <c r="T689" s="907"/>
      <c r="U689" s="907"/>
      <c r="V689" s="907"/>
      <c r="W689" s="907"/>
      <c r="X689" s="907"/>
      <c r="Y689" s="907"/>
      <c r="Z689" s="907"/>
      <c r="AA689" s="907"/>
      <c r="AB689" s="907"/>
      <c r="AC689" s="907"/>
      <c r="AD689" s="907"/>
      <c r="AE689" s="907"/>
      <c r="AF689" s="907"/>
      <c r="AG689" s="907"/>
      <c r="AH689" s="907"/>
      <c r="AI689" s="907"/>
      <c r="AJ689" s="907"/>
      <c r="AK689" s="907"/>
      <c r="AL689" s="907"/>
    </row>
    <row r="690" spans="1:38">
      <c r="A690" s="907"/>
      <c r="B690" s="907"/>
      <c r="C690" s="907"/>
      <c r="D690" s="907"/>
      <c r="E690" s="907"/>
      <c r="F690" s="907"/>
      <c r="G690" s="907"/>
      <c r="H690" s="907"/>
      <c r="I690" s="907"/>
      <c r="J690" s="907"/>
      <c r="K690" s="907"/>
      <c r="L690" s="907"/>
      <c r="M690" s="907"/>
      <c r="N690" s="907"/>
      <c r="O690" s="907"/>
      <c r="P690" s="907"/>
      <c r="Q690" s="907"/>
      <c r="R690" s="907"/>
      <c r="S690" s="907"/>
      <c r="T690" s="907"/>
      <c r="U690" s="907"/>
      <c r="V690" s="907"/>
      <c r="W690" s="907"/>
      <c r="X690" s="907"/>
      <c r="Y690" s="907"/>
      <c r="Z690" s="907"/>
      <c r="AA690" s="907"/>
      <c r="AB690" s="907"/>
      <c r="AC690" s="907"/>
      <c r="AD690" s="907"/>
      <c r="AE690" s="907"/>
      <c r="AF690" s="907"/>
      <c r="AG690" s="907"/>
      <c r="AH690" s="907"/>
      <c r="AI690" s="907"/>
      <c r="AJ690" s="907"/>
      <c r="AK690" s="907"/>
      <c r="AL690" s="907"/>
    </row>
    <row r="691" spans="1:38">
      <c r="A691" s="907"/>
      <c r="B691" s="907"/>
      <c r="C691" s="907"/>
      <c r="D691" s="907"/>
      <c r="E691" s="907"/>
      <c r="F691" s="907"/>
      <c r="G691" s="907"/>
      <c r="H691" s="907"/>
      <c r="I691" s="907"/>
      <c r="J691" s="907"/>
      <c r="K691" s="907"/>
      <c r="L691" s="907"/>
      <c r="M691" s="907"/>
      <c r="N691" s="907"/>
      <c r="O691" s="907"/>
      <c r="P691" s="907"/>
      <c r="Q691" s="907"/>
      <c r="R691" s="907"/>
      <c r="S691" s="907"/>
      <c r="T691" s="907"/>
      <c r="U691" s="907"/>
      <c r="V691" s="907"/>
      <c r="W691" s="907"/>
      <c r="X691" s="907"/>
      <c r="Y691" s="907"/>
      <c r="Z691" s="907"/>
      <c r="AA691" s="907"/>
      <c r="AB691" s="907"/>
      <c r="AC691" s="907"/>
      <c r="AD691" s="907"/>
      <c r="AE691" s="907"/>
      <c r="AF691" s="907"/>
      <c r="AG691" s="907"/>
      <c r="AH691" s="907"/>
      <c r="AI691" s="907"/>
      <c r="AJ691" s="907"/>
      <c r="AK691" s="907"/>
      <c r="AL691" s="907"/>
    </row>
    <row r="692" spans="1:38">
      <c r="A692" s="907"/>
      <c r="B692" s="907"/>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c r="AB692" s="907"/>
      <c r="AC692" s="907"/>
      <c r="AD692" s="907"/>
      <c r="AE692" s="907"/>
      <c r="AF692" s="907"/>
      <c r="AG692" s="907"/>
      <c r="AH692" s="907"/>
      <c r="AI692" s="907"/>
      <c r="AJ692" s="907"/>
      <c r="AK692" s="907"/>
      <c r="AL692" s="907"/>
    </row>
    <row r="693" spans="1:38">
      <c r="A693" s="907"/>
      <c r="B693" s="907"/>
      <c r="C693" s="907"/>
      <c r="D693" s="907"/>
      <c r="E693" s="907"/>
      <c r="F693" s="907"/>
      <c r="G693" s="907"/>
      <c r="H693" s="907"/>
      <c r="I693" s="907"/>
      <c r="J693" s="907"/>
      <c r="K693" s="907"/>
      <c r="L693" s="907"/>
      <c r="M693" s="907"/>
      <c r="N693" s="907"/>
      <c r="O693" s="907"/>
      <c r="P693" s="907"/>
      <c r="Q693" s="907"/>
      <c r="R693" s="907"/>
      <c r="S693" s="907"/>
      <c r="T693" s="907"/>
      <c r="U693" s="907"/>
      <c r="V693" s="907"/>
      <c r="W693" s="907"/>
      <c r="X693" s="907"/>
      <c r="Y693" s="907"/>
      <c r="Z693" s="907"/>
      <c r="AA693" s="907"/>
      <c r="AB693" s="907"/>
      <c r="AC693" s="907"/>
      <c r="AD693" s="907"/>
      <c r="AE693" s="907"/>
      <c r="AF693" s="907"/>
      <c r="AG693" s="907"/>
      <c r="AH693" s="907"/>
      <c r="AI693" s="907"/>
      <c r="AJ693" s="907"/>
      <c r="AK693" s="907"/>
      <c r="AL693" s="907"/>
    </row>
    <row r="694" spans="1:38">
      <c r="A694" s="907"/>
      <c r="B694" s="907"/>
      <c r="C694" s="907"/>
      <c r="D694" s="907"/>
      <c r="E694" s="907"/>
      <c r="F694" s="907"/>
      <c r="G694" s="907"/>
      <c r="H694" s="907"/>
      <c r="I694" s="907"/>
      <c r="J694" s="907"/>
      <c r="K694" s="907"/>
      <c r="L694" s="907"/>
      <c r="M694" s="907"/>
      <c r="N694" s="907"/>
      <c r="O694" s="907"/>
      <c r="P694" s="907"/>
      <c r="Q694" s="907"/>
      <c r="R694" s="907"/>
      <c r="S694" s="907"/>
      <c r="T694" s="907"/>
      <c r="U694" s="907"/>
      <c r="V694" s="907"/>
      <c r="W694" s="907"/>
      <c r="X694" s="907"/>
      <c r="Y694" s="907"/>
      <c r="Z694" s="907"/>
      <c r="AA694" s="907"/>
      <c r="AB694" s="907"/>
      <c r="AC694" s="907"/>
      <c r="AD694" s="907"/>
      <c r="AE694" s="907"/>
      <c r="AF694" s="907"/>
      <c r="AG694" s="907"/>
      <c r="AH694" s="907"/>
      <c r="AI694" s="907"/>
      <c r="AJ694" s="907"/>
      <c r="AK694" s="907"/>
      <c r="AL694" s="907"/>
    </row>
    <row r="695" spans="1:38">
      <c r="A695" s="907"/>
      <c r="B695" s="907"/>
      <c r="C695" s="907"/>
      <c r="D695" s="907"/>
      <c r="E695" s="907"/>
      <c r="F695" s="907"/>
      <c r="G695" s="907"/>
      <c r="H695" s="907"/>
      <c r="I695" s="907"/>
      <c r="J695" s="907"/>
      <c r="K695" s="907"/>
      <c r="L695" s="907"/>
      <c r="M695" s="907"/>
      <c r="N695" s="907"/>
      <c r="O695" s="907"/>
      <c r="P695" s="907"/>
      <c r="Q695" s="907"/>
      <c r="R695" s="907"/>
      <c r="S695" s="907"/>
      <c r="T695" s="907"/>
      <c r="U695" s="907"/>
      <c r="V695" s="907"/>
      <c r="W695" s="907"/>
      <c r="X695" s="907"/>
      <c r="Y695" s="907"/>
      <c r="Z695" s="907"/>
      <c r="AA695" s="907"/>
      <c r="AB695" s="907"/>
      <c r="AC695" s="907"/>
      <c r="AD695" s="907"/>
      <c r="AE695" s="907"/>
      <c r="AF695" s="907"/>
      <c r="AG695" s="907"/>
      <c r="AH695" s="907"/>
      <c r="AI695" s="907"/>
      <c r="AJ695" s="907"/>
      <c r="AK695" s="907"/>
      <c r="AL695" s="907"/>
    </row>
    <row r="696" spans="1:38">
      <c r="A696" s="907"/>
      <c r="B696" s="907"/>
      <c r="C696" s="907"/>
      <c r="D696" s="907"/>
      <c r="E696" s="907"/>
      <c r="F696" s="907"/>
      <c r="G696" s="907"/>
      <c r="H696" s="907"/>
      <c r="I696" s="907"/>
      <c r="J696" s="907"/>
      <c r="K696" s="907"/>
      <c r="L696" s="907"/>
      <c r="M696" s="907"/>
      <c r="N696" s="907"/>
      <c r="O696" s="907"/>
      <c r="P696" s="907"/>
      <c r="Q696" s="907"/>
      <c r="R696" s="907"/>
      <c r="S696" s="907"/>
      <c r="T696" s="907"/>
      <c r="U696" s="907"/>
      <c r="V696" s="907"/>
      <c r="W696" s="907"/>
      <c r="X696" s="907"/>
      <c r="Y696" s="907"/>
      <c r="Z696" s="907"/>
      <c r="AA696" s="907"/>
      <c r="AB696" s="907"/>
      <c r="AC696" s="907"/>
      <c r="AD696" s="907"/>
      <c r="AE696" s="907"/>
      <c r="AF696" s="907"/>
      <c r="AG696" s="907"/>
      <c r="AH696" s="907"/>
      <c r="AI696" s="907"/>
      <c r="AJ696" s="907"/>
      <c r="AK696" s="907"/>
      <c r="AL696" s="907"/>
    </row>
    <row r="697" spans="1:38">
      <c r="A697" s="907"/>
      <c r="B697" s="907"/>
      <c r="C697" s="907"/>
      <c r="D697" s="907"/>
      <c r="E697" s="907"/>
      <c r="F697" s="907"/>
      <c r="G697" s="907"/>
      <c r="H697" s="907"/>
      <c r="I697" s="907"/>
      <c r="J697" s="907"/>
      <c r="K697" s="907"/>
      <c r="L697" s="907"/>
      <c r="M697" s="907"/>
      <c r="N697" s="907"/>
      <c r="O697" s="907"/>
      <c r="P697" s="907"/>
      <c r="Q697" s="907"/>
      <c r="R697" s="907"/>
      <c r="S697" s="907"/>
      <c r="T697" s="907"/>
      <c r="U697" s="907"/>
      <c r="V697" s="907"/>
      <c r="W697" s="907"/>
      <c r="X697" s="907"/>
      <c r="Y697" s="907"/>
      <c r="Z697" s="907"/>
      <c r="AA697" s="907"/>
      <c r="AB697" s="907"/>
      <c r="AC697" s="907"/>
      <c r="AD697" s="907"/>
      <c r="AE697" s="907"/>
      <c r="AF697" s="907"/>
      <c r="AG697" s="907"/>
      <c r="AH697" s="907"/>
      <c r="AI697" s="907"/>
      <c r="AJ697" s="907"/>
      <c r="AK697" s="907"/>
      <c r="AL697" s="907"/>
    </row>
    <row r="698" spans="1:38">
      <c r="A698" s="907"/>
      <c r="B698" s="907"/>
      <c r="C698" s="907"/>
      <c r="D698" s="907"/>
      <c r="E698" s="907"/>
      <c r="F698" s="907"/>
      <c r="G698" s="907"/>
      <c r="H698" s="907"/>
      <c r="I698" s="907"/>
      <c r="J698" s="907"/>
      <c r="K698" s="907"/>
      <c r="L698" s="907"/>
      <c r="M698" s="907"/>
      <c r="N698" s="907"/>
      <c r="O698" s="907"/>
      <c r="P698" s="907"/>
      <c r="Q698" s="907"/>
      <c r="R698" s="907"/>
      <c r="S698" s="907"/>
      <c r="T698" s="907"/>
      <c r="U698" s="907"/>
      <c r="V698" s="907"/>
      <c r="W698" s="907"/>
      <c r="X698" s="907"/>
      <c r="Y698" s="907"/>
      <c r="Z698" s="907"/>
      <c r="AA698" s="907"/>
      <c r="AB698" s="907"/>
      <c r="AC698" s="907"/>
      <c r="AD698" s="907"/>
      <c r="AE698" s="907"/>
      <c r="AF698" s="907"/>
      <c r="AG698" s="907"/>
      <c r="AH698" s="907"/>
      <c r="AI698" s="907"/>
      <c r="AJ698" s="907"/>
      <c r="AK698" s="907"/>
      <c r="AL698" s="907"/>
    </row>
    <row r="699" spans="1:38">
      <c r="A699" s="907"/>
      <c r="B699" s="907"/>
      <c r="C699" s="907"/>
      <c r="D699" s="907"/>
      <c r="E699" s="907"/>
      <c r="F699" s="907"/>
      <c r="G699" s="907"/>
      <c r="H699" s="907"/>
      <c r="I699" s="907"/>
      <c r="J699" s="907"/>
      <c r="K699" s="907"/>
      <c r="L699" s="907"/>
      <c r="M699" s="907"/>
      <c r="N699" s="907"/>
      <c r="O699" s="907"/>
      <c r="P699" s="907"/>
      <c r="Q699" s="907"/>
      <c r="R699" s="907"/>
      <c r="S699" s="907"/>
      <c r="T699" s="907"/>
      <c r="U699" s="907"/>
      <c r="V699" s="907"/>
      <c r="W699" s="907"/>
      <c r="X699" s="907"/>
      <c r="Y699" s="907"/>
      <c r="Z699" s="907"/>
      <c r="AA699" s="907"/>
      <c r="AB699" s="907"/>
      <c r="AC699" s="907"/>
      <c r="AD699" s="907"/>
      <c r="AE699" s="907"/>
      <c r="AF699" s="907"/>
      <c r="AG699" s="907"/>
      <c r="AH699" s="907"/>
      <c r="AI699" s="907"/>
      <c r="AJ699" s="907"/>
      <c r="AK699" s="907"/>
      <c r="AL699" s="907"/>
    </row>
    <row r="700" spans="1:38">
      <c r="A700" s="907"/>
      <c r="B700" s="907"/>
      <c r="C700" s="907"/>
      <c r="D700" s="907"/>
      <c r="E700" s="907"/>
      <c r="F700" s="907"/>
      <c r="G700" s="907"/>
      <c r="H700" s="907"/>
      <c r="I700" s="907"/>
      <c r="J700" s="907"/>
      <c r="K700" s="907"/>
      <c r="L700" s="907"/>
      <c r="M700" s="907"/>
      <c r="N700" s="907"/>
      <c r="O700" s="907"/>
      <c r="P700" s="907"/>
      <c r="Q700" s="907"/>
      <c r="R700" s="907"/>
      <c r="S700" s="907"/>
      <c r="T700" s="907"/>
      <c r="U700" s="907"/>
      <c r="V700" s="907"/>
      <c r="W700" s="907"/>
      <c r="X700" s="907"/>
      <c r="Y700" s="907"/>
      <c r="Z700" s="907"/>
      <c r="AA700" s="907"/>
      <c r="AB700" s="907"/>
      <c r="AC700" s="907"/>
      <c r="AD700" s="907"/>
      <c r="AE700" s="907"/>
      <c r="AF700" s="907"/>
      <c r="AG700" s="907"/>
      <c r="AH700" s="907"/>
      <c r="AI700" s="907"/>
      <c r="AJ700" s="907"/>
      <c r="AK700" s="907"/>
      <c r="AL700" s="907"/>
    </row>
    <row r="701" spans="1:38">
      <c r="A701" s="907"/>
      <c r="B701" s="907"/>
      <c r="C701" s="907"/>
      <c r="D701" s="907"/>
      <c r="E701" s="907"/>
      <c r="F701" s="907"/>
      <c r="G701" s="907"/>
      <c r="H701" s="907"/>
      <c r="I701" s="907"/>
      <c r="J701" s="907"/>
      <c r="K701" s="907"/>
      <c r="L701" s="907"/>
      <c r="M701" s="907"/>
      <c r="N701" s="907"/>
      <c r="O701" s="907"/>
      <c r="P701" s="907"/>
      <c r="Q701" s="907"/>
      <c r="R701" s="907"/>
      <c r="S701" s="907"/>
      <c r="T701" s="907"/>
      <c r="U701" s="907"/>
      <c r="V701" s="907"/>
      <c r="W701" s="907"/>
      <c r="X701" s="907"/>
      <c r="Y701" s="907"/>
      <c r="Z701" s="907"/>
      <c r="AA701" s="907"/>
      <c r="AB701" s="907"/>
      <c r="AC701" s="907"/>
      <c r="AD701" s="907"/>
      <c r="AE701" s="907"/>
      <c r="AF701" s="907"/>
      <c r="AG701" s="907"/>
      <c r="AH701" s="907"/>
      <c r="AI701" s="907"/>
      <c r="AJ701" s="907"/>
      <c r="AK701" s="907"/>
      <c r="AL701" s="907"/>
    </row>
    <row r="702" spans="1:38">
      <c r="A702" s="907"/>
      <c r="B702" s="907"/>
      <c r="C702" s="907"/>
      <c r="D702" s="907"/>
      <c r="E702" s="907"/>
      <c r="F702" s="907"/>
      <c r="G702" s="907"/>
      <c r="H702" s="907"/>
      <c r="I702" s="907"/>
      <c r="J702" s="907"/>
      <c r="K702" s="907"/>
      <c r="L702" s="907"/>
      <c r="M702" s="907"/>
      <c r="N702" s="907"/>
      <c r="O702" s="907"/>
      <c r="P702" s="907"/>
      <c r="Q702" s="907"/>
      <c r="R702" s="907"/>
      <c r="S702" s="907"/>
      <c r="T702" s="907"/>
      <c r="U702" s="907"/>
      <c r="V702" s="907"/>
      <c r="W702" s="907"/>
      <c r="X702" s="907"/>
      <c r="Y702" s="907"/>
      <c r="Z702" s="907"/>
      <c r="AA702" s="907"/>
      <c r="AB702" s="907"/>
      <c r="AC702" s="907"/>
      <c r="AD702" s="907"/>
      <c r="AE702" s="907"/>
      <c r="AF702" s="907"/>
      <c r="AG702" s="907"/>
      <c r="AH702" s="907"/>
      <c r="AI702" s="907"/>
      <c r="AJ702" s="907"/>
      <c r="AK702" s="907"/>
      <c r="AL702" s="907"/>
    </row>
    <row r="703" spans="1:38">
      <c r="A703" s="907"/>
      <c r="B703" s="907"/>
      <c r="C703" s="907"/>
      <c r="D703" s="907"/>
      <c r="E703" s="907"/>
      <c r="F703" s="907"/>
      <c r="G703" s="907"/>
      <c r="H703" s="907"/>
      <c r="I703" s="907"/>
      <c r="J703" s="907"/>
      <c r="K703" s="907"/>
      <c r="L703" s="907"/>
      <c r="M703" s="907"/>
      <c r="N703" s="907"/>
      <c r="O703" s="907"/>
      <c r="P703" s="907"/>
      <c r="Q703" s="907"/>
      <c r="R703" s="907"/>
      <c r="S703" s="907"/>
      <c r="T703" s="907"/>
      <c r="U703" s="907"/>
      <c r="V703" s="907"/>
      <c r="W703" s="907"/>
      <c r="X703" s="907"/>
      <c r="Y703" s="907"/>
      <c r="Z703" s="907"/>
      <c r="AA703" s="907"/>
      <c r="AB703" s="907"/>
      <c r="AC703" s="907"/>
      <c r="AD703" s="907"/>
      <c r="AE703" s="907"/>
      <c r="AF703" s="907"/>
      <c r="AG703" s="907"/>
      <c r="AH703" s="907"/>
      <c r="AI703" s="907"/>
      <c r="AJ703" s="907"/>
      <c r="AK703" s="907"/>
      <c r="AL703" s="907"/>
    </row>
    <row r="704" spans="1:38">
      <c r="A704" s="907"/>
      <c r="B704" s="907"/>
      <c r="C704" s="907"/>
      <c r="D704" s="907"/>
      <c r="E704" s="907"/>
      <c r="F704" s="907"/>
      <c r="G704" s="907"/>
      <c r="H704" s="907"/>
      <c r="I704" s="907"/>
      <c r="J704" s="907"/>
      <c r="K704" s="907"/>
      <c r="L704" s="907"/>
      <c r="M704" s="907"/>
      <c r="N704" s="907"/>
      <c r="O704" s="907"/>
      <c r="P704" s="907"/>
      <c r="Q704" s="907"/>
      <c r="R704" s="907"/>
      <c r="S704" s="907"/>
      <c r="T704" s="907"/>
      <c r="U704" s="907"/>
      <c r="V704" s="907"/>
      <c r="W704" s="907"/>
      <c r="X704" s="907"/>
      <c r="Y704" s="907"/>
      <c r="Z704" s="907"/>
      <c r="AA704" s="907"/>
      <c r="AB704" s="907"/>
      <c r="AC704" s="907"/>
      <c r="AD704" s="907"/>
      <c r="AE704" s="907"/>
      <c r="AF704" s="907"/>
      <c r="AG704" s="907"/>
      <c r="AH704" s="907"/>
      <c r="AI704" s="907"/>
      <c r="AJ704" s="907"/>
      <c r="AK704" s="907"/>
      <c r="AL704" s="907"/>
    </row>
    <row r="705" spans="1:38">
      <c r="A705" s="907"/>
      <c r="B705" s="907"/>
      <c r="C705" s="907"/>
      <c r="D705" s="907"/>
      <c r="E705" s="907"/>
      <c r="F705" s="907"/>
      <c r="G705" s="907"/>
      <c r="H705" s="907"/>
      <c r="I705" s="907"/>
      <c r="J705" s="907"/>
      <c r="K705" s="907"/>
      <c r="L705" s="907"/>
      <c r="M705" s="907"/>
      <c r="N705" s="907"/>
      <c r="O705" s="907"/>
      <c r="P705" s="907"/>
      <c r="Q705" s="907"/>
      <c r="R705" s="907"/>
      <c r="S705" s="907"/>
      <c r="T705" s="907"/>
      <c r="U705" s="907"/>
      <c r="V705" s="907"/>
      <c r="W705" s="907"/>
      <c r="X705" s="907"/>
      <c r="Y705" s="907"/>
      <c r="Z705" s="907"/>
      <c r="AA705" s="907"/>
      <c r="AB705" s="907"/>
      <c r="AC705" s="907"/>
      <c r="AD705" s="907"/>
      <c r="AE705" s="907"/>
      <c r="AF705" s="907"/>
      <c r="AG705" s="907"/>
      <c r="AH705" s="907"/>
      <c r="AI705" s="907"/>
      <c r="AJ705" s="907"/>
      <c r="AK705" s="907"/>
      <c r="AL705" s="907"/>
    </row>
    <row r="706" spans="1:38">
      <c r="A706" s="907"/>
      <c r="B706" s="907"/>
      <c r="C706" s="907"/>
      <c r="D706" s="907"/>
      <c r="E706" s="907"/>
      <c r="F706" s="907"/>
      <c r="G706" s="907"/>
      <c r="H706" s="907"/>
      <c r="I706" s="907"/>
      <c r="J706" s="907"/>
      <c r="K706" s="907"/>
      <c r="L706" s="907"/>
      <c r="M706" s="907"/>
      <c r="N706" s="907"/>
      <c r="O706" s="907"/>
      <c r="P706" s="907"/>
      <c r="Q706" s="907"/>
      <c r="R706" s="907"/>
      <c r="S706" s="907"/>
      <c r="T706" s="907"/>
      <c r="U706" s="907"/>
      <c r="V706" s="907"/>
      <c r="W706" s="907"/>
      <c r="X706" s="907"/>
      <c r="Y706" s="907"/>
      <c r="Z706" s="907"/>
      <c r="AA706" s="907"/>
      <c r="AB706" s="907"/>
      <c r="AC706" s="907"/>
      <c r="AD706" s="907"/>
      <c r="AE706" s="907"/>
      <c r="AF706" s="907"/>
      <c r="AG706" s="907"/>
      <c r="AH706" s="907"/>
      <c r="AI706" s="907"/>
      <c r="AJ706" s="907"/>
      <c r="AK706" s="907"/>
      <c r="AL706" s="907"/>
    </row>
    <row r="707" spans="1:38">
      <c r="A707" s="907"/>
      <c r="B707" s="907"/>
      <c r="C707" s="907"/>
      <c r="D707" s="907"/>
      <c r="E707" s="907"/>
      <c r="F707" s="907"/>
      <c r="G707" s="907"/>
      <c r="H707" s="907"/>
      <c r="I707" s="907"/>
      <c r="J707" s="907"/>
      <c r="K707" s="907"/>
      <c r="L707" s="907"/>
      <c r="M707" s="907"/>
      <c r="N707" s="907"/>
      <c r="O707" s="907"/>
      <c r="P707" s="907"/>
      <c r="Q707" s="907"/>
      <c r="R707" s="907"/>
      <c r="S707" s="907"/>
      <c r="T707" s="907"/>
      <c r="U707" s="907"/>
      <c r="V707" s="907"/>
      <c r="W707" s="907"/>
      <c r="X707" s="907"/>
      <c r="Y707" s="907"/>
      <c r="Z707" s="907"/>
      <c r="AA707" s="907"/>
      <c r="AB707" s="907"/>
      <c r="AC707" s="907"/>
      <c r="AD707" s="907"/>
      <c r="AE707" s="907"/>
      <c r="AF707" s="907"/>
      <c r="AG707" s="907"/>
      <c r="AH707" s="907"/>
      <c r="AI707" s="907"/>
      <c r="AJ707" s="907"/>
      <c r="AK707" s="907"/>
      <c r="AL707" s="907"/>
    </row>
    <row r="708" spans="1:38">
      <c r="A708" s="907"/>
      <c r="B708" s="907"/>
      <c r="C708" s="907"/>
      <c r="D708" s="907"/>
      <c r="E708" s="907"/>
      <c r="F708" s="907"/>
      <c r="G708" s="907"/>
      <c r="H708" s="907"/>
      <c r="I708" s="907"/>
      <c r="J708" s="907"/>
      <c r="K708" s="907"/>
      <c r="L708" s="907"/>
      <c r="M708" s="907"/>
      <c r="N708" s="907"/>
      <c r="O708" s="907"/>
      <c r="P708" s="907"/>
      <c r="Q708" s="907"/>
      <c r="R708" s="907"/>
      <c r="S708" s="907"/>
      <c r="T708" s="907"/>
      <c r="U708" s="907"/>
      <c r="V708" s="907"/>
      <c r="W708" s="907"/>
      <c r="X708" s="907"/>
      <c r="Y708" s="907"/>
      <c r="Z708" s="907"/>
      <c r="AA708" s="907"/>
      <c r="AB708" s="907"/>
      <c r="AC708" s="907"/>
      <c r="AD708" s="907"/>
      <c r="AE708" s="907"/>
      <c r="AF708" s="907"/>
      <c r="AG708" s="907"/>
      <c r="AH708" s="907"/>
      <c r="AI708" s="907"/>
      <c r="AJ708" s="907"/>
      <c r="AK708" s="907"/>
      <c r="AL708" s="907"/>
    </row>
    <row r="709" spans="1:38">
      <c r="A709" s="907"/>
      <c r="B709" s="907"/>
      <c r="C709" s="907"/>
      <c r="D709" s="907"/>
      <c r="E709" s="907"/>
      <c r="F709" s="907"/>
      <c r="G709" s="907"/>
      <c r="H709" s="907"/>
      <c r="I709" s="907"/>
      <c r="J709" s="907"/>
      <c r="K709" s="907"/>
      <c r="L709" s="907"/>
      <c r="M709" s="907"/>
      <c r="N709" s="907"/>
      <c r="O709" s="907"/>
      <c r="P709" s="907"/>
      <c r="Q709" s="907"/>
      <c r="R709" s="907"/>
      <c r="S709" s="907"/>
      <c r="T709" s="907"/>
      <c r="U709" s="907"/>
      <c r="V709" s="907"/>
      <c r="W709" s="907"/>
      <c r="X709" s="907"/>
      <c r="Y709" s="907"/>
      <c r="Z709" s="907"/>
      <c r="AA709" s="907"/>
      <c r="AB709" s="907"/>
      <c r="AC709" s="907"/>
      <c r="AD709" s="907"/>
      <c r="AE709" s="907"/>
      <c r="AF709" s="907"/>
      <c r="AG709" s="907"/>
      <c r="AH709" s="907"/>
      <c r="AI709" s="907"/>
      <c r="AJ709" s="907"/>
      <c r="AK709" s="907"/>
      <c r="AL709" s="907"/>
    </row>
    <row r="710" spans="1:38">
      <c r="A710" s="907"/>
      <c r="B710" s="907"/>
      <c r="C710" s="907"/>
      <c r="D710" s="907"/>
      <c r="E710" s="907"/>
      <c r="F710" s="907"/>
      <c r="G710" s="907"/>
      <c r="H710" s="907"/>
      <c r="I710" s="907"/>
      <c r="J710" s="907"/>
      <c r="K710" s="907"/>
      <c r="L710" s="907"/>
      <c r="M710" s="907"/>
      <c r="N710" s="907"/>
      <c r="O710" s="907"/>
      <c r="P710" s="907"/>
      <c r="Q710" s="907"/>
      <c r="R710" s="907"/>
      <c r="S710" s="907"/>
      <c r="T710" s="907"/>
      <c r="U710" s="907"/>
      <c r="V710" s="907"/>
      <c r="W710" s="907"/>
      <c r="X710" s="907"/>
      <c r="Y710" s="907"/>
      <c r="Z710" s="907"/>
      <c r="AA710" s="907"/>
      <c r="AB710" s="907"/>
      <c r="AC710" s="907"/>
      <c r="AD710" s="907"/>
      <c r="AE710" s="907"/>
      <c r="AF710" s="907"/>
      <c r="AG710" s="907"/>
      <c r="AH710" s="907"/>
      <c r="AI710" s="907"/>
      <c r="AJ710" s="907"/>
      <c r="AK710" s="907"/>
      <c r="AL710" s="907"/>
    </row>
    <row r="711" spans="1:38">
      <c r="A711" s="907"/>
      <c r="B711" s="907"/>
      <c r="C711" s="907"/>
      <c r="D711" s="907"/>
      <c r="E711" s="907"/>
      <c r="F711" s="907"/>
      <c r="G711" s="907"/>
      <c r="H711" s="907"/>
      <c r="I711" s="907"/>
      <c r="J711" s="907"/>
      <c r="K711" s="907"/>
      <c r="L711" s="907"/>
      <c r="M711" s="907"/>
      <c r="N711" s="907"/>
      <c r="O711" s="907"/>
      <c r="P711" s="907"/>
      <c r="Q711" s="907"/>
      <c r="R711" s="907"/>
      <c r="S711" s="907"/>
      <c r="T711" s="907"/>
      <c r="U711" s="907"/>
      <c r="V711" s="907"/>
      <c r="W711" s="907"/>
      <c r="X711" s="907"/>
      <c r="Y711" s="907"/>
      <c r="Z711" s="907"/>
      <c r="AA711" s="907"/>
      <c r="AB711" s="907"/>
      <c r="AC711" s="907"/>
      <c r="AD711" s="907"/>
      <c r="AE711" s="907"/>
      <c r="AF711" s="907"/>
      <c r="AG711" s="907"/>
      <c r="AH711" s="907"/>
      <c r="AI711" s="907"/>
      <c r="AJ711" s="907"/>
      <c r="AK711" s="907"/>
      <c r="AL711" s="907"/>
    </row>
    <row r="712" spans="1:38">
      <c r="A712" s="907"/>
      <c r="B712" s="907"/>
      <c r="C712" s="907"/>
      <c r="D712" s="907"/>
      <c r="E712" s="907"/>
      <c r="F712" s="907"/>
      <c r="G712" s="907"/>
      <c r="H712" s="907"/>
      <c r="I712" s="907"/>
      <c r="J712" s="907"/>
      <c r="K712" s="907"/>
      <c r="L712" s="907"/>
      <c r="M712" s="907"/>
      <c r="N712" s="907"/>
      <c r="O712" s="907"/>
      <c r="P712" s="907"/>
      <c r="Q712" s="907"/>
      <c r="R712" s="907"/>
      <c r="S712" s="907"/>
      <c r="T712" s="907"/>
      <c r="U712" s="907"/>
      <c r="V712" s="907"/>
      <c r="W712" s="907"/>
      <c r="X712" s="907"/>
      <c r="Y712" s="907"/>
      <c r="Z712" s="907"/>
      <c r="AA712" s="907"/>
      <c r="AB712" s="907"/>
      <c r="AC712" s="907"/>
      <c r="AD712" s="907"/>
      <c r="AE712" s="907"/>
      <c r="AF712" s="907"/>
      <c r="AG712" s="907"/>
      <c r="AH712" s="907"/>
      <c r="AI712" s="907"/>
      <c r="AJ712" s="907"/>
      <c r="AK712" s="907"/>
      <c r="AL712" s="907"/>
    </row>
    <row r="713" spans="1:38">
      <c r="A713" s="907"/>
      <c r="B713" s="907"/>
      <c r="C713" s="907"/>
      <c r="D713" s="907"/>
      <c r="E713" s="907"/>
      <c r="F713" s="907"/>
      <c r="G713" s="907"/>
      <c r="H713" s="907"/>
      <c r="I713" s="907"/>
      <c r="J713" s="907"/>
      <c r="K713" s="907"/>
      <c r="L713" s="907"/>
      <c r="M713" s="907"/>
      <c r="N713" s="907"/>
      <c r="O713" s="907"/>
      <c r="P713" s="907"/>
      <c r="Q713" s="907"/>
      <c r="R713" s="907"/>
      <c r="S713" s="907"/>
      <c r="T713" s="907"/>
      <c r="U713" s="907"/>
      <c r="V713" s="907"/>
      <c r="W713" s="907"/>
      <c r="X713" s="907"/>
      <c r="Y713" s="907"/>
      <c r="Z713" s="907"/>
      <c r="AA713" s="907"/>
      <c r="AB713" s="907"/>
      <c r="AC713" s="907"/>
      <c r="AD713" s="907"/>
      <c r="AE713" s="907"/>
      <c r="AF713" s="907"/>
      <c r="AG713" s="907"/>
      <c r="AH713" s="907"/>
      <c r="AI713" s="907"/>
      <c r="AJ713" s="907"/>
      <c r="AK713" s="907"/>
      <c r="AL713" s="907"/>
    </row>
    <row r="714" spans="1:38">
      <c r="A714" s="907"/>
      <c r="B714" s="907"/>
      <c r="C714" s="907"/>
      <c r="D714" s="907"/>
      <c r="E714" s="907"/>
      <c r="F714" s="907"/>
      <c r="G714" s="907"/>
      <c r="H714" s="907"/>
      <c r="I714" s="907"/>
      <c r="J714" s="907"/>
      <c r="K714" s="907"/>
      <c r="L714" s="907"/>
      <c r="M714" s="907"/>
      <c r="N714" s="907"/>
      <c r="O714" s="907"/>
      <c r="P714" s="907"/>
      <c r="Q714" s="907"/>
      <c r="R714" s="907"/>
      <c r="S714" s="907"/>
      <c r="T714" s="907"/>
      <c r="U714" s="907"/>
      <c r="V714" s="907"/>
      <c r="W714" s="907"/>
      <c r="X714" s="907"/>
      <c r="Y714" s="907"/>
      <c r="Z714" s="907"/>
      <c r="AA714" s="907"/>
      <c r="AB714" s="907"/>
      <c r="AC714" s="907"/>
      <c r="AD714" s="907"/>
      <c r="AE714" s="907"/>
      <c r="AF714" s="907"/>
      <c r="AG714" s="907"/>
      <c r="AH714" s="907"/>
      <c r="AI714" s="907"/>
      <c r="AJ714" s="907"/>
      <c r="AK714" s="907"/>
      <c r="AL714" s="907"/>
    </row>
    <row r="715" spans="1:38">
      <c r="A715" s="907"/>
      <c r="B715" s="907"/>
      <c r="C715" s="907"/>
      <c r="D715" s="907"/>
      <c r="E715" s="907"/>
      <c r="F715" s="907"/>
      <c r="G715" s="907"/>
      <c r="H715" s="907"/>
      <c r="I715" s="907"/>
      <c r="J715" s="907"/>
      <c r="K715" s="907"/>
      <c r="L715" s="907"/>
      <c r="M715" s="907"/>
      <c r="N715" s="907"/>
      <c r="O715" s="907"/>
      <c r="P715" s="907"/>
      <c r="Q715" s="907"/>
      <c r="R715" s="907"/>
      <c r="S715" s="907"/>
      <c r="T715" s="907"/>
      <c r="U715" s="907"/>
      <c r="V715" s="907"/>
      <c r="W715" s="907"/>
      <c r="X715" s="907"/>
      <c r="Y715" s="907"/>
      <c r="Z715" s="907"/>
      <c r="AA715" s="907"/>
      <c r="AB715" s="907"/>
      <c r="AC715" s="907"/>
      <c r="AD715" s="907"/>
      <c r="AE715" s="907"/>
      <c r="AF715" s="907"/>
      <c r="AG715" s="907"/>
      <c r="AH715" s="907"/>
      <c r="AI715" s="907"/>
      <c r="AJ715" s="907"/>
      <c r="AK715" s="907"/>
      <c r="AL715" s="907"/>
    </row>
    <row r="716" spans="1:38">
      <c r="A716" s="907"/>
      <c r="B716" s="907"/>
      <c r="C716" s="907"/>
      <c r="D716" s="907"/>
      <c r="E716" s="907"/>
      <c r="F716" s="907"/>
      <c r="G716" s="907"/>
      <c r="H716" s="907"/>
      <c r="I716" s="907"/>
      <c r="J716" s="907"/>
      <c r="K716" s="907"/>
      <c r="L716" s="907"/>
      <c r="M716" s="907"/>
      <c r="N716" s="907"/>
      <c r="O716" s="907"/>
      <c r="P716" s="907"/>
      <c r="Q716" s="907"/>
      <c r="R716" s="907"/>
      <c r="S716" s="907"/>
      <c r="T716" s="907"/>
      <c r="U716" s="907"/>
      <c r="V716" s="907"/>
      <c r="W716" s="907"/>
      <c r="X716" s="907"/>
      <c r="Y716" s="907"/>
      <c r="Z716" s="907"/>
      <c r="AA716" s="907"/>
      <c r="AB716" s="907"/>
      <c r="AC716" s="907"/>
      <c r="AD716" s="907"/>
      <c r="AE716" s="907"/>
      <c r="AF716" s="907"/>
      <c r="AG716" s="907"/>
      <c r="AH716" s="907"/>
      <c r="AI716" s="907"/>
      <c r="AJ716" s="907"/>
      <c r="AK716" s="907"/>
      <c r="AL716" s="907"/>
    </row>
    <row r="717" spans="1:38">
      <c r="A717" s="907"/>
      <c r="B717" s="907"/>
      <c r="C717" s="907"/>
      <c r="D717" s="907"/>
      <c r="E717" s="907"/>
      <c r="F717" s="907"/>
      <c r="G717" s="907"/>
      <c r="H717" s="907"/>
      <c r="I717" s="907"/>
      <c r="J717" s="907"/>
      <c r="K717" s="907"/>
      <c r="L717" s="907"/>
      <c r="M717" s="907"/>
      <c r="N717" s="907"/>
      <c r="O717" s="907"/>
      <c r="P717" s="907"/>
      <c r="Q717" s="907"/>
      <c r="R717" s="907"/>
      <c r="S717" s="907"/>
      <c r="T717" s="907"/>
      <c r="U717" s="907"/>
      <c r="V717" s="907"/>
      <c r="W717" s="907"/>
      <c r="X717" s="907"/>
      <c r="Y717" s="907"/>
      <c r="Z717" s="907"/>
      <c r="AA717" s="907"/>
      <c r="AB717" s="907"/>
      <c r="AC717" s="907"/>
      <c r="AD717" s="907"/>
      <c r="AE717" s="907"/>
      <c r="AF717" s="907"/>
      <c r="AG717" s="907"/>
      <c r="AH717" s="907"/>
      <c r="AI717" s="907"/>
      <c r="AJ717" s="907"/>
      <c r="AK717" s="907"/>
      <c r="AL717" s="907"/>
    </row>
    <row r="718" spans="1:38">
      <c r="A718" s="907"/>
      <c r="B718" s="907"/>
      <c r="C718" s="907"/>
      <c r="D718" s="907"/>
      <c r="E718" s="907"/>
      <c r="F718" s="907"/>
      <c r="G718" s="907"/>
      <c r="H718" s="907"/>
      <c r="I718" s="907"/>
      <c r="J718" s="907"/>
      <c r="K718" s="907"/>
      <c r="L718" s="907"/>
      <c r="M718" s="907"/>
      <c r="N718" s="907"/>
      <c r="O718" s="907"/>
      <c r="P718" s="907"/>
      <c r="Q718" s="907"/>
      <c r="R718" s="907"/>
      <c r="S718" s="907"/>
      <c r="T718" s="907"/>
      <c r="U718" s="907"/>
      <c r="V718" s="907"/>
      <c r="W718" s="907"/>
      <c r="X718" s="907"/>
      <c r="Y718" s="907"/>
      <c r="Z718" s="907"/>
      <c r="AA718" s="907"/>
      <c r="AB718" s="907"/>
      <c r="AC718" s="907"/>
      <c r="AD718" s="907"/>
      <c r="AE718" s="907"/>
      <c r="AF718" s="907"/>
      <c r="AG718" s="907"/>
      <c r="AH718" s="907"/>
      <c r="AI718" s="907"/>
      <c r="AJ718" s="907"/>
      <c r="AK718" s="907"/>
      <c r="AL718" s="907"/>
    </row>
    <row r="719" spans="1:38">
      <c r="A719" s="907"/>
      <c r="B719" s="907"/>
      <c r="C719" s="907"/>
      <c r="D719" s="907"/>
      <c r="E719" s="907"/>
      <c r="F719" s="907"/>
      <c r="G719" s="907"/>
      <c r="H719" s="907"/>
      <c r="I719" s="907"/>
      <c r="J719" s="907"/>
      <c r="K719" s="907"/>
      <c r="L719" s="907"/>
      <c r="M719" s="907"/>
      <c r="N719" s="907"/>
      <c r="O719" s="907"/>
      <c r="P719" s="907"/>
      <c r="Q719" s="907"/>
      <c r="R719" s="907"/>
      <c r="S719" s="907"/>
      <c r="T719" s="907"/>
      <c r="U719" s="907"/>
      <c r="V719" s="907"/>
      <c r="W719" s="907"/>
      <c r="X719" s="907"/>
      <c r="Y719" s="907"/>
      <c r="Z719" s="907"/>
      <c r="AA719" s="907"/>
      <c r="AB719" s="907"/>
      <c r="AC719" s="907"/>
      <c r="AD719" s="907"/>
      <c r="AE719" s="907"/>
      <c r="AF719" s="907"/>
      <c r="AG719" s="907"/>
      <c r="AH719" s="907"/>
      <c r="AI719" s="907"/>
      <c r="AJ719" s="907"/>
      <c r="AK719" s="907"/>
      <c r="AL719" s="907"/>
    </row>
    <row r="720" spans="1:38">
      <c r="A720" s="907"/>
      <c r="B720" s="907"/>
      <c r="C720" s="907"/>
      <c r="D720" s="907"/>
      <c r="E720" s="907"/>
      <c r="F720" s="907"/>
      <c r="G720" s="907"/>
      <c r="H720" s="907"/>
      <c r="I720" s="907"/>
      <c r="J720" s="907"/>
      <c r="K720" s="907"/>
      <c r="L720" s="907"/>
      <c r="M720" s="907"/>
      <c r="N720" s="907"/>
      <c r="O720" s="907"/>
      <c r="P720" s="907"/>
      <c r="Q720" s="907"/>
      <c r="R720" s="907"/>
      <c r="S720" s="907"/>
      <c r="T720" s="907"/>
      <c r="U720" s="907"/>
      <c r="V720" s="907"/>
      <c r="W720" s="907"/>
      <c r="X720" s="907"/>
      <c r="Y720" s="907"/>
      <c r="Z720" s="907"/>
      <c r="AA720" s="907"/>
      <c r="AB720" s="907"/>
      <c r="AC720" s="907"/>
      <c r="AD720" s="907"/>
      <c r="AE720" s="907"/>
      <c r="AF720" s="907"/>
      <c r="AG720" s="907"/>
      <c r="AH720" s="907"/>
      <c r="AI720" s="907"/>
      <c r="AJ720" s="907"/>
      <c r="AK720" s="907"/>
      <c r="AL720" s="907"/>
    </row>
    <row r="721" spans="1:38">
      <c r="A721" s="907"/>
      <c r="B721" s="907"/>
      <c r="C721" s="907"/>
      <c r="D721" s="907"/>
      <c r="E721" s="907"/>
      <c r="F721" s="907"/>
      <c r="G721" s="907"/>
      <c r="H721" s="907"/>
      <c r="I721" s="907"/>
      <c r="J721" s="907"/>
      <c r="K721" s="907"/>
      <c r="L721" s="907"/>
      <c r="M721" s="907"/>
      <c r="N721" s="907"/>
      <c r="O721" s="907"/>
      <c r="P721" s="907"/>
      <c r="Q721" s="907"/>
      <c r="R721" s="907"/>
      <c r="S721" s="907"/>
      <c r="T721" s="907"/>
      <c r="U721" s="907"/>
      <c r="V721" s="907"/>
      <c r="W721" s="907"/>
      <c r="X721" s="907"/>
      <c r="Y721" s="907"/>
      <c r="Z721" s="907"/>
      <c r="AA721" s="907"/>
      <c r="AB721" s="907"/>
      <c r="AC721" s="907"/>
      <c r="AD721" s="907"/>
      <c r="AE721" s="907"/>
      <c r="AF721" s="907"/>
      <c r="AG721" s="907"/>
      <c r="AH721" s="907"/>
      <c r="AI721" s="907"/>
      <c r="AJ721" s="907"/>
      <c r="AK721" s="907"/>
      <c r="AL721" s="907"/>
    </row>
    <row r="722" spans="1:38">
      <c r="A722" s="907"/>
      <c r="B722" s="907"/>
      <c r="C722" s="907"/>
      <c r="D722" s="907"/>
      <c r="E722" s="907"/>
      <c r="F722" s="907"/>
      <c r="G722" s="907"/>
      <c r="H722" s="907"/>
      <c r="I722" s="907"/>
      <c r="J722" s="907"/>
      <c r="K722" s="907"/>
      <c r="L722" s="907"/>
      <c r="M722" s="907"/>
      <c r="N722" s="907"/>
      <c r="O722" s="907"/>
      <c r="P722" s="907"/>
      <c r="Q722" s="907"/>
      <c r="R722" s="907"/>
      <c r="S722" s="907"/>
      <c r="T722" s="907"/>
      <c r="U722" s="907"/>
      <c r="V722" s="907"/>
      <c r="W722" s="907"/>
      <c r="X722" s="907"/>
      <c r="Y722" s="907"/>
      <c r="Z722" s="907"/>
      <c r="AA722" s="907"/>
      <c r="AB722" s="907"/>
      <c r="AC722" s="907"/>
      <c r="AD722" s="907"/>
      <c r="AE722" s="907"/>
      <c r="AF722" s="907"/>
      <c r="AG722" s="907"/>
      <c r="AH722" s="907"/>
      <c r="AI722" s="907"/>
      <c r="AJ722" s="907"/>
      <c r="AK722" s="907"/>
      <c r="AL722" s="907"/>
    </row>
    <row r="723" spans="1:38">
      <c r="A723" s="907"/>
      <c r="B723" s="907"/>
      <c r="C723" s="907"/>
      <c r="D723" s="907"/>
      <c r="E723" s="907"/>
      <c r="F723" s="907"/>
      <c r="G723" s="907"/>
      <c r="H723" s="907"/>
      <c r="I723" s="907"/>
      <c r="J723" s="907"/>
      <c r="K723" s="907"/>
      <c r="L723" s="907"/>
      <c r="M723" s="907"/>
      <c r="N723" s="907"/>
      <c r="O723" s="907"/>
      <c r="P723" s="907"/>
      <c r="Q723" s="907"/>
      <c r="R723" s="907"/>
      <c r="S723" s="907"/>
      <c r="T723" s="907"/>
      <c r="U723" s="907"/>
      <c r="V723" s="907"/>
      <c r="W723" s="907"/>
      <c r="X723" s="907"/>
      <c r="Y723" s="907"/>
      <c r="Z723" s="907"/>
      <c r="AA723" s="907"/>
      <c r="AB723" s="907"/>
      <c r="AC723" s="907"/>
      <c r="AD723" s="907"/>
      <c r="AE723" s="907"/>
      <c r="AF723" s="907"/>
      <c r="AG723" s="907"/>
      <c r="AH723" s="907"/>
      <c r="AI723" s="907"/>
      <c r="AJ723" s="907"/>
      <c r="AK723" s="907"/>
      <c r="AL723" s="907"/>
    </row>
    <row r="724" spans="1:38">
      <c r="A724" s="907"/>
      <c r="B724" s="907"/>
      <c r="C724" s="907"/>
      <c r="D724" s="907"/>
      <c r="E724" s="907"/>
      <c r="F724" s="907"/>
      <c r="G724" s="907"/>
      <c r="H724" s="907"/>
      <c r="I724" s="907"/>
      <c r="J724" s="907"/>
      <c r="K724" s="907"/>
      <c r="L724" s="907"/>
      <c r="M724" s="907"/>
      <c r="N724" s="907"/>
      <c r="O724" s="907"/>
      <c r="P724" s="907"/>
      <c r="Q724" s="907"/>
      <c r="R724" s="907"/>
      <c r="S724" s="907"/>
      <c r="T724" s="907"/>
      <c r="U724" s="907"/>
      <c r="V724" s="907"/>
      <c r="W724" s="907"/>
      <c r="X724" s="907"/>
      <c r="Y724" s="907"/>
      <c r="Z724" s="907"/>
      <c r="AA724" s="907"/>
      <c r="AB724" s="907"/>
      <c r="AC724" s="907"/>
      <c r="AD724" s="907"/>
      <c r="AE724" s="907"/>
      <c r="AF724" s="907"/>
      <c r="AG724" s="907"/>
      <c r="AH724" s="907"/>
      <c r="AI724" s="907"/>
      <c r="AJ724" s="907"/>
      <c r="AK724" s="907"/>
      <c r="AL724" s="907"/>
    </row>
    <row r="725" spans="1:38">
      <c r="A725" s="907"/>
      <c r="B725" s="907"/>
      <c r="C725" s="907"/>
      <c r="D725" s="907"/>
      <c r="E725" s="907"/>
      <c r="F725" s="907"/>
      <c r="G725" s="907"/>
      <c r="H725" s="907"/>
      <c r="I725" s="907"/>
      <c r="J725" s="907"/>
      <c r="K725" s="907"/>
      <c r="L725" s="907"/>
      <c r="M725" s="907"/>
      <c r="N725" s="907"/>
      <c r="O725" s="907"/>
      <c r="P725" s="907"/>
      <c r="Q725" s="907"/>
      <c r="R725" s="907"/>
      <c r="S725" s="907"/>
      <c r="T725" s="907"/>
      <c r="U725" s="907"/>
      <c r="V725" s="907"/>
      <c r="W725" s="907"/>
      <c r="X725" s="907"/>
      <c r="Y725" s="907"/>
      <c r="Z725" s="907"/>
      <c r="AA725" s="907"/>
      <c r="AB725" s="907"/>
      <c r="AC725" s="907"/>
      <c r="AD725" s="907"/>
      <c r="AE725" s="907"/>
      <c r="AF725" s="907"/>
      <c r="AG725" s="907"/>
      <c r="AH725" s="907"/>
      <c r="AI725" s="907"/>
      <c r="AJ725" s="907"/>
      <c r="AK725" s="907"/>
      <c r="AL725" s="907"/>
    </row>
    <row r="726" spans="1:38">
      <c r="A726" s="907"/>
      <c r="B726" s="907"/>
      <c r="C726" s="907"/>
      <c r="D726" s="907"/>
      <c r="E726" s="907"/>
      <c r="F726" s="907"/>
      <c r="G726" s="907"/>
      <c r="H726" s="907"/>
      <c r="I726" s="907"/>
      <c r="J726" s="907"/>
      <c r="K726" s="907"/>
      <c r="L726" s="907"/>
      <c r="M726" s="907"/>
      <c r="N726" s="907"/>
      <c r="O726" s="907"/>
      <c r="P726" s="907"/>
      <c r="Q726" s="907"/>
      <c r="R726" s="907"/>
      <c r="S726" s="907"/>
      <c r="T726" s="907"/>
      <c r="U726" s="907"/>
      <c r="V726" s="907"/>
      <c r="W726" s="907"/>
      <c r="X726" s="907"/>
      <c r="Y726" s="907"/>
      <c r="Z726" s="907"/>
      <c r="AA726" s="907"/>
      <c r="AB726" s="907"/>
      <c r="AC726" s="907"/>
      <c r="AD726" s="907"/>
      <c r="AE726" s="907"/>
      <c r="AF726" s="907"/>
      <c r="AG726" s="907"/>
      <c r="AH726" s="907"/>
      <c r="AI726" s="907"/>
      <c r="AJ726" s="907"/>
      <c r="AK726" s="907"/>
      <c r="AL726" s="907"/>
    </row>
    <row r="727" spans="1:38">
      <c r="A727" s="907"/>
      <c r="B727" s="907"/>
      <c r="C727" s="907"/>
      <c r="D727" s="907"/>
      <c r="E727" s="907"/>
      <c r="F727" s="907"/>
      <c r="G727" s="907"/>
      <c r="H727" s="907"/>
      <c r="I727" s="907"/>
      <c r="J727" s="907"/>
      <c r="K727" s="907"/>
      <c r="L727" s="907"/>
      <c r="M727" s="907"/>
      <c r="N727" s="907"/>
      <c r="O727" s="907"/>
      <c r="P727" s="907"/>
      <c r="Q727" s="907"/>
      <c r="R727" s="907"/>
      <c r="S727" s="907"/>
      <c r="T727" s="907"/>
      <c r="U727" s="907"/>
      <c r="V727" s="907"/>
      <c r="W727" s="907"/>
      <c r="X727" s="907"/>
      <c r="Y727" s="907"/>
      <c r="Z727" s="907"/>
      <c r="AA727" s="907"/>
      <c r="AB727" s="907"/>
      <c r="AC727" s="907"/>
      <c r="AD727" s="907"/>
      <c r="AE727" s="907"/>
      <c r="AF727" s="907"/>
      <c r="AG727" s="907"/>
      <c r="AH727" s="907"/>
      <c r="AI727" s="907"/>
      <c r="AJ727" s="907"/>
      <c r="AK727" s="907"/>
      <c r="AL727" s="907"/>
    </row>
    <row r="728" spans="1:38">
      <c r="A728" s="907"/>
      <c r="B728" s="907"/>
      <c r="C728" s="907"/>
      <c r="D728" s="907"/>
      <c r="E728" s="907"/>
      <c r="F728" s="907"/>
      <c r="G728" s="907"/>
      <c r="H728" s="907"/>
      <c r="I728" s="907"/>
      <c r="J728" s="907"/>
      <c r="K728" s="907"/>
      <c r="L728" s="907"/>
      <c r="M728" s="907"/>
      <c r="N728" s="907"/>
      <c r="O728" s="907"/>
      <c r="P728" s="907"/>
      <c r="Q728" s="907"/>
      <c r="R728" s="907"/>
      <c r="S728" s="907"/>
      <c r="T728" s="907"/>
      <c r="U728" s="907"/>
      <c r="V728" s="907"/>
      <c r="W728" s="907"/>
      <c r="X728" s="907"/>
      <c r="Y728" s="907"/>
      <c r="Z728" s="907"/>
      <c r="AA728" s="907"/>
      <c r="AB728" s="907"/>
      <c r="AC728" s="907"/>
      <c r="AD728" s="907"/>
      <c r="AE728" s="907"/>
      <c r="AF728" s="907"/>
      <c r="AG728" s="907"/>
      <c r="AH728" s="907"/>
      <c r="AI728" s="907"/>
      <c r="AJ728" s="907"/>
      <c r="AK728" s="907"/>
      <c r="AL728" s="907"/>
    </row>
    <row r="729" spans="1:38">
      <c r="A729" s="907"/>
      <c r="B729" s="907"/>
      <c r="C729" s="907"/>
      <c r="D729" s="907"/>
      <c r="E729" s="907"/>
      <c r="F729" s="907"/>
      <c r="G729" s="907"/>
      <c r="H729" s="907"/>
      <c r="I729" s="907"/>
      <c r="J729" s="907"/>
      <c r="K729" s="907"/>
      <c r="L729" s="907"/>
      <c r="M729" s="907"/>
      <c r="N729" s="907"/>
      <c r="O729" s="907"/>
      <c r="P729" s="907"/>
      <c r="Q729" s="907"/>
      <c r="R729" s="907"/>
      <c r="S729" s="907"/>
      <c r="T729" s="907"/>
      <c r="U729" s="907"/>
      <c r="V729" s="907"/>
      <c r="W729" s="907"/>
      <c r="X729" s="907"/>
      <c r="Y729" s="907"/>
      <c r="Z729" s="907"/>
      <c r="AA729" s="907"/>
      <c r="AB729" s="907"/>
      <c r="AC729" s="907"/>
      <c r="AD729" s="907"/>
      <c r="AE729" s="907"/>
      <c r="AF729" s="907"/>
      <c r="AG729" s="907"/>
      <c r="AH729" s="907"/>
      <c r="AI729" s="907"/>
      <c r="AJ729" s="907"/>
      <c r="AK729" s="907"/>
      <c r="AL729" s="907"/>
    </row>
    <row r="730" spans="1:38">
      <c r="A730" s="907"/>
      <c r="B730" s="907"/>
      <c r="C730" s="907"/>
      <c r="D730" s="907"/>
      <c r="E730" s="907"/>
      <c r="F730" s="907"/>
      <c r="G730" s="907"/>
      <c r="H730" s="907"/>
      <c r="I730" s="907"/>
      <c r="J730" s="907"/>
      <c r="K730" s="907"/>
      <c r="L730" s="907"/>
      <c r="M730" s="907"/>
      <c r="N730" s="907"/>
      <c r="O730" s="907"/>
      <c r="P730" s="907"/>
      <c r="Q730" s="907"/>
      <c r="R730" s="907"/>
      <c r="S730" s="907"/>
      <c r="T730" s="907"/>
      <c r="U730" s="907"/>
      <c r="V730" s="907"/>
      <c r="W730" s="907"/>
      <c r="X730" s="907"/>
      <c r="Y730" s="907"/>
      <c r="Z730" s="907"/>
      <c r="AA730" s="907"/>
      <c r="AB730" s="907"/>
      <c r="AC730" s="907"/>
      <c r="AD730" s="907"/>
      <c r="AE730" s="907"/>
      <c r="AF730" s="907"/>
      <c r="AG730" s="907"/>
      <c r="AH730" s="907"/>
      <c r="AI730" s="907"/>
      <c r="AJ730" s="907"/>
      <c r="AK730" s="907"/>
      <c r="AL730" s="907"/>
    </row>
    <row r="731" spans="1:38">
      <c r="A731" s="907"/>
      <c r="B731" s="907"/>
      <c r="C731" s="907"/>
      <c r="D731" s="907"/>
      <c r="E731" s="907"/>
      <c r="F731" s="907"/>
      <c r="G731" s="907"/>
      <c r="H731" s="907"/>
      <c r="I731" s="907"/>
      <c r="J731" s="907"/>
      <c r="K731" s="907"/>
      <c r="L731" s="907"/>
      <c r="M731" s="907"/>
      <c r="N731" s="907"/>
      <c r="O731" s="907"/>
      <c r="P731" s="907"/>
      <c r="Q731" s="907"/>
      <c r="R731" s="907"/>
      <c r="S731" s="907"/>
      <c r="T731" s="907"/>
      <c r="U731" s="907"/>
      <c r="V731" s="907"/>
      <c r="W731" s="907"/>
      <c r="X731" s="907"/>
      <c r="Y731" s="907"/>
      <c r="Z731" s="907"/>
      <c r="AA731" s="907"/>
      <c r="AB731" s="907"/>
      <c r="AC731" s="907"/>
      <c r="AD731" s="907"/>
      <c r="AE731" s="907"/>
      <c r="AF731" s="907"/>
      <c r="AG731" s="907"/>
      <c r="AH731" s="907"/>
      <c r="AI731" s="907"/>
      <c r="AJ731" s="907"/>
      <c r="AK731" s="907"/>
      <c r="AL731" s="907"/>
    </row>
    <row r="732" spans="1:38">
      <c r="A732" s="907"/>
      <c r="B732" s="907"/>
      <c r="C732" s="907"/>
      <c r="D732" s="907"/>
      <c r="E732" s="907"/>
      <c r="F732" s="907"/>
      <c r="G732" s="907"/>
      <c r="H732" s="907"/>
      <c r="I732" s="907"/>
      <c r="J732" s="907"/>
      <c r="K732" s="907"/>
      <c r="L732" s="907"/>
      <c r="M732" s="907"/>
      <c r="N732" s="907"/>
      <c r="O732" s="907"/>
      <c r="P732" s="907"/>
      <c r="Q732" s="907"/>
      <c r="R732" s="907"/>
      <c r="S732" s="907"/>
      <c r="T732" s="907"/>
      <c r="U732" s="907"/>
      <c r="V732" s="907"/>
      <c r="W732" s="907"/>
      <c r="X732" s="907"/>
      <c r="Y732" s="907"/>
      <c r="Z732" s="907"/>
      <c r="AA732" s="907"/>
      <c r="AB732" s="907"/>
      <c r="AC732" s="907"/>
      <c r="AD732" s="907"/>
      <c r="AE732" s="907"/>
      <c r="AF732" s="907"/>
      <c r="AG732" s="907"/>
      <c r="AH732" s="907"/>
      <c r="AI732" s="907"/>
      <c r="AJ732" s="907"/>
      <c r="AK732" s="907"/>
      <c r="AL732" s="907"/>
    </row>
    <row r="733" spans="1:38">
      <c r="A733" s="907"/>
      <c r="B733" s="907"/>
      <c r="C733" s="907"/>
      <c r="D733" s="907"/>
      <c r="E733" s="907"/>
      <c r="F733" s="907"/>
      <c r="G733" s="907"/>
      <c r="H733" s="907"/>
      <c r="I733" s="907"/>
      <c r="J733" s="907"/>
      <c r="K733" s="907"/>
      <c r="L733" s="907"/>
      <c r="M733" s="907"/>
      <c r="N733" s="907"/>
      <c r="O733" s="907"/>
      <c r="P733" s="907"/>
      <c r="Q733" s="907"/>
      <c r="R733" s="907"/>
      <c r="S733" s="907"/>
      <c r="T733" s="907"/>
      <c r="U733" s="907"/>
      <c r="V733" s="907"/>
      <c r="W733" s="907"/>
      <c r="X733" s="907"/>
      <c r="Y733" s="907"/>
      <c r="Z733" s="907"/>
      <c r="AA733" s="907"/>
      <c r="AB733" s="907"/>
      <c r="AC733" s="907"/>
      <c r="AD733" s="907"/>
      <c r="AE733" s="907"/>
      <c r="AF733" s="907"/>
      <c r="AG733" s="907"/>
      <c r="AH733" s="907"/>
      <c r="AI733" s="907"/>
      <c r="AJ733" s="907"/>
      <c r="AK733" s="907"/>
      <c r="AL733" s="907"/>
    </row>
    <row r="734" spans="1:38">
      <c r="A734" s="907"/>
      <c r="B734" s="907"/>
      <c r="C734" s="907"/>
      <c r="D734" s="907"/>
      <c r="E734" s="907"/>
      <c r="F734" s="907"/>
      <c r="G734" s="907"/>
      <c r="H734" s="907"/>
      <c r="I734" s="907"/>
      <c r="J734" s="907"/>
      <c r="K734" s="907"/>
      <c r="L734" s="907"/>
      <c r="M734" s="907"/>
      <c r="N734" s="907"/>
      <c r="O734" s="907"/>
      <c r="P734" s="907"/>
      <c r="Q734" s="907"/>
      <c r="R734" s="907"/>
      <c r="S734" s="907"/>
      <c r="T734" s="907"/>
      <c r="U734" s="907"/>
      <c r="V734" s="907"/>
      <c r="W734" s="907"/>
      <c r="X734" s="907"/>
      <c r="Y734" s="907"/>
      <c r="Z734" s="907"/>
      <c r="AA734" s="907"/>
      <c r="AB734" s="907"/>
      <c r="AC734" s="907"/>
      <c r="AD734" s="907"/>
      <c r="AE734" s="907"/>
      <c r="AF734" s="907"/>
      <c r="AG734" s="907"/>
      <c r="AH734" s="907"/>
      <c r="AI734" s="907"/>
      <c r="AJ734" s="907"/>
      <c r="AK734" s="907"/>
      <c r="AL734" s="907"/>
    </row>
    <row r="735" spans="1:38">
      <c r="A735" s="907"/>
      <c r="B735" s="907"/>
      <c r="C735" s="907"/>
      <c r="D735" s="907"/>
      <c r="E735" s="907"/>
      <c r="F735" s="907"/>
      <c r="G735" s="907"/>
      <c r="H735" s="907"/>
      <c r="I735" s="907"/>
      <c r="J735" s="907"/>
      <c r="K735" s="907"/>
      <c r="L735" s="907"/>
      <c r="M735" s="907"/>
      <c r="N735" s="907"/>
      <c r="O735" s="907"/>
      <c r="P735" s="907"/>
      <c r="Q735" s="907"/>
      <c r="R735" s="907"/>
      <c r="S735" s="907"/>
      <c r="T735" s="907"/>
      <c r="U735" s="907"/>
      <c r="V735" s="907"/>
      <c r="W735" s="907"/>
      <c r="X735" s="907"/>
      <c r="Y735" s="907"/>
      <c r="Z735" s="907"/>
      <c r="AA735" s="907"/>
      <c r="AB735" s="907"/>
      <c r="AC735" s="907"/>
      <c r="AD735" s="907"/>
      <c r="AE735" s="907"/>
      <c r="AF735" s="907"/>
      <c r="AG735" s="907"/>
      <c r="AH735" s="907"/>
      <c r="AI735" s="907"/>
      <c r="AJ735" s="907"/>
      <c r="AK735" s="907"/>
      <c r="AL735" s="907"/>
    </row>
    <row r="736" spans="1:38">
      <c r="A736" s="907"/>
      <c r="B736" s="907"/>
      <c r="C736" s="907"/>
      <c r="D736" s="907"/>
      <c r="E736" s="907"/>
      <c r="F736" s="907"/>
      <c r="G736" s="907"/>
      <c r="H736" s="907"/>
      <c r="I736" s="907"/>
      <c r="J736" s="907"/>
      <c r="K736" s="907"/>
      <c r="L736" s="907"/>
      <c r="M736" s="907"/>
      <c r="N736" s="907"/>
      <c r="O736" s="907"/>
      <c r="P736" s="907"/>
      <c r="Q736" s="907"/>
      <c r="R736" s="907"/>
      <c r="S736" s="907"/>
      <c r="T736" s="907"/>
      <c r="U736" s="907"/>
      <c r="V736" s="907"/>
      <c r="W736" s="907"/>
      <c r="X736" s="907"/>
      <c r="Y736" s="907"/>
      <c r="Z736" s="907"/>
      <c r="AA736" s="907"/>
      <c r="AB736" s="907"/>
      <c r="AC736" s="907"/>
      <c r="AD736" s="907"/>
      <c r="AE736" s="907"/>
      <c r="AF736" s="907"/>
      <c r="AG736" s="907"/>
      <c r="AH736" s="907"/>
      <c r="AI736" s="907"/>
      <c r="AJ736" s="907"/>
      <c r="AK736" s="907"/>
      <c r="AL736" s="907"/>
    </row>
    <row r="737" spans="1:38">
      <c r="A737" s="907"/>
      <c r="B737" s="907"/>
      <c r="C737" s="907"/>
      <c r="D737" s="907"/>
      <c r="E737" s="907"/>
      <c r="F737" s="907"/>
      <c r="G737" s="907"/>
      <c r="H737" s="907"/>
      <c r="I737" s="907"/>
      <c r="J737" s="907"/>
      <c r="K737" s="907"/>
      <c r="L737" s="907"/>
      <c r="M737" s="907"/>
      <c r="N737" s="907"/>
      <c r="O737" s="907"/>
      <c r="P737" s="907"/>
      <c r="Q737" s="907"/>
      <c r="R737" s="907"/>
      <c r="S737" s="907"/>
      <c r="T737" s="907"/>
      <c r="U737" s="907"/>
      <c r="V737" s="907"/>
      <c r="W737" s="907"/>
      <c r="X737" s="907"/>
      <c r="Y737" s="907"/>
      <c r="Z737" s="907"/>
      <c r="AA737" s="907"/>
      <c r="AB737" s="907"/>
      <c r="AC737" s="907"/>
      <c r="AD737" s="907"/>
      <c r="AE737" s="907"/>
      <c r="AF737" s="907"/>
      <c r="AG737" s="907"/>
      <c r="AH737" s="907"/>
      <c r="AI737" s="907"/>
      <c r="AJ737" s="907"/>
      <c r="AK737" s="907"/>
      <c r="AL737" s="907"/>
    </row>
    <row r="738" spans="1:38">
      <c r="A738" s="907"/>
      <c r="B738" s="907"/>
      <c r="C738" s="907"/>
      <c r="D738" s="907"/>
      <c r="E738" s="907"/>
      <c r="F738" s="907"/>
      <c r="G738" s="907"/>
      <c r="H738" s="907"/>
      <c r="I738" s="907"/>
      <c r="J738" s="907"/>
      <c r="K738" s="907"/>
      <c r="L738" s="907"/>
      <c r="M738" s="907"/>
      <c r="N738" s="907"/>
      <c r="O738" s="907"/>
      <c r="P738" s="907"/>
      <c r="Q738" s="907"/>
      <c r="R738" s="907"/>
      <c r="S738" s="907"/>
      <c r="T738" s="907"/>
      <c r="U738" s="907"/>
      <c r="V738" s="907"/>
      <c r="W738" s="907"/>
      <c r="X738" s="907"/>
      <c r="Y738" s="907"/>
      <c r="Z738" s="907"/>
      <c r="AA738" s="907"/>
      <c r="AB738" s="907"/>
      <c r="AC738" s="907"/>
      <c r="AD738" s="907"/>
      <c r="AE738" s="907"/>
      <c r="AF738" s="907"/>
      <c r="AG738" s="907"/>
      <c r="AH738" s="907"/>
      <c r="AI738" s="907"/>
      <c r="AJ738" s="907"/>
      <c r="AK738" s="907"/>
      <c r="AL738" s="907"/>
    </row>
    <row r="739" spans="1:38">
      <c r="A739" s="907"/>
      <c r="B739" s="907"/>
      <c r="C739" s="907"/>
      <c r="D739" s="907"/>
      <c r="E739" s="907"/>
      <c r="F739" s="907"/>
      <c r="G739" s="907"/>
      <c r="H739" s="907"/>
      <c r="I739" s="907"/>
      <c r="J739" s="907"/>
      <c r="K739" s="907"/>
      <c r="L739" s="907"/>
      <c r="M739" s="907"/>
      <c r="N739" s="907"/>
      <c r="O739" s="907"/>
      <c r="P739" s="907"/>
      <c r="Q739" s="907"/>
      <c r="R739" s="907"/>
      <c r="S739" s="907"/>
      <c r="T739" s="907"/>
      <c r="U739" s="907"/>
      <c r="V739" s="907"/>
      <c r="W739" s="907"/>
      <c r="X739" s="907"/>
      <c r="Y739" s="907"/>
      <c r="Z739" s="907"/>
      <c r="AA739" s="907"/>
      <c r="AB739" s="907"/>
      <c r="AC739" s="907"/>
      <c r="AD739" s="907"/>
      <c r="AE739" s="907"/>
      <c r="AF739" s="907"/>
      <c r="AG739" s="907"/>
      <c r="AH739" s="907"/>
      <c r="AI739" s="907"/>
      <c r="AJ739" s="907"/>
      <c r="AK739" s="907"/>
      <c r="AL739" s="907"/>
    </row>
    <row r="740" spans="1:38">
      <c r="A740" s="907"/>
      <c r="B740" s="907"/>
      <c r="C740" s="907"/>
      <c r="D740" s="907"/>
      <c r="E740" s="907"/>
      <c r="F740" s="907"/>
      <c r="G740" s="907"/>
      <c r="H740" s="907"/>
      <c r="I740" s="907"/>
      <c r="J740" s="907"/>
      <c r="K740" s="907"/>
      <c r="L740" s="907"/>
      <c r="M740" s="907"/>
      <c r="N740" s="907"/>
      <c r="O740" s="907"/>
      <c r="P740" s="907"/>
      <c r="Q740" s="907"/>
      <c r="R740" s="907"/>
      <c r="S740" s="907"/>
      <c r="T740" s="907"/>
      <c r="U740" s="907"/>
      <c r="V740" s="907"/>
      <c r="W740" s="907"/>
      <c r="X740" s="907"/>
      <c r="Y740" s="907"/>
      <c r="Z740" s="907"/>
      <c r="AA740" s="907"/>
      <c r="AB740" s="907"/>
      <c r="AC740" s="907"/>
      <c r="AD740" s="907"/>
      <c r="AE740" s="907"/>
      <c r="AF740" s="907"/>
      <c r="AG740" s="907"/>
      <c r="AH740" s="907"/>
      <c r="AI740" s="907"/>
      <c r="AJ740" s="907"/>
      <c r="AK740" s="907"/>
      <c r="AL740" s="907"/>
    </row>
    <row r="741" spans="1:38">
      <c r="A741" s="907"/>
      <c r="B741" s="907"/>
      <c r="C741" s="907"/>
      <c r="D741" s="907"/>
      <c r="E741" s="907"/>
      <c r="F741" s="907"/>
      <c r="G741" s="907"/>
      <c r="H741" s="907"/>
      <c r="I741" s="907"/>
      <c r="J741" s="907"/>
      <c r="K741" s="907"/>
      <c r="L741" s="907"/>
      <c r="M741" s="907"/>
      <c r="N741" s="907"/>
      <c r="O741" s="907"/>
      <c r="P741" s="907"/>
      <c r="Q741" s="907"/>
      <c r="R741" s="907"/>
      <c r="S741" s="907"/>
      <c r="T741" s="907"/>
      <c r="U741" s="907"/>
      <c r="V741" s="907"/>
      <c r="W741" s="907"/>
      <c r="X741" s="907"/>
      <c r="Y741" s="907"/>
      <c r="Z741" s="907"/>
      <c r="AA741" s="907"/>
      <c r="AB741" s="907"/>
      <c r="AC741" s="907"/>
      <c r="AD741" s="907"/>
      <c r="AE741" s="907"/>
      <c r="AF741" s="907"/>
      <c r="AG741" s="907"/>
      <c r="AH741" s="907"/>
      <c r="AI741" s="907"/>
      <c r="AJ741" s="907"/>
      <c r="AK741" s="907"/>
      <c r="AL741" s="907"/>
    </row>
    <row r="742" spans="1:38">
      <c r="A742" s="907"/>
      <c r="B742" s="907"/>
      <c r="C742" s="907"/>
      <c r="D742" s="907"/>
      <c r="E742" s="907"/>
      <c r="F742" s="907"/>
      <c r="G742" s="907"/>
      <c r="H742" s="907"/>
      <c r="I742" s="907"/>
      <c r="J742" s="907"/>
      <c r="K742" s="907"/>
      <c r="L742" s="907"/>
      <c r="M742" s="907"/>
      <c r="N742" s="907"/>
      <c r="O742" s="907"/>
      <c r="P742" s="907"/>
      <c r="Q742" s="907"/>
      <c r="R742" s="907"/>
      <c r="S742" s="907"/>
      <c r="T742" s="907"/>
      <c r="U742" s="907"/>
      <c r="V742" s="907"/>
      <c r="W742" s="907"/>
      <c r="X742" s="907"/>
      <c r="Y742" s="907"/>
      <c r="Z742" s="907"/>
      <c r="AA742" s="907"/>
      <c r="AB742" s="907"/>
      <c r="AC742" s="907"/>
      <c r="AD742" s="907"/>
      <c r="AE742" s="907"/>
      <c r="AF742" s="907"/>
      <c r="AG742" s="907"/>
      <c r="AH742" s="907"/>
      <c r="AI742" s="907"/>
      <c r="AJ742" s="907"/>
      <c r="AK742" s="907"/>
      <c r="AL742" s="907"/>
    </row>
    <row r="743" spans="1:38">
      <c r="A743" s="907"/>
      <c r="B743" s="907"/>
      <c r="C743" s="907"/>
      <c r="D743" s="907"/>
      <c r="E743" s="907"/>
      <c r="F743" s="907"/>
      <c r="G743" s="907"/>
      <c r="H743" s="907"/>
      <c r="I743" s="907"/>
      <c r="J743" s="907"/>
      <c r="K743" s="907"/>
      <c r="L743" s="907"/>
      <c r="M743" s="907"/>
      <c r="N743" s="907"/>
      <c r="O743" s="907"/>
      <c r="P743" s="907"/>
      <c r="Q743" s="907"/>
      <c r="R743" s="907"/>
      <c r="S743" s="907"/>
      <c r="T743" s="907"/>
      <c r="U743" s="907"/>
      <c r="V743" s="907"/>
      <c r="W743" s="907"/>
      <c r="X743" s="907"/>
      <c r="Y743" s="907"/>
      <c r="Z743" s="907"/>
      <c r="AA743" s="907"/>
      <c r="AB743" s="907"/>
      <c r="AC743" s="907"/>
      <c r="AD743" s="907"/>
      <c r="AE743" s="907"/>
      <c r="AF743" s="907"/>
      <c r="AG743" s="907"/>
      <c r="AH743" s="907"/>
      <c r="AI743" s="907"/>
      <c r="AJ743" s="907"/>
      <c r="AK743" s="907"/>
      <c r="AL743" s="907"/>
    </row>
    <row r="744" spans="1:38">
      <c r="A744" s="907"/>
      <c r="B744" s="907"/>
      <c r="C744" s="907"/>
      <c r="D744" s="907"/>
      <c r="E744" s="907"/>
      <c r="F744" s="907"/>
      <c r="G744" s="907"/>
      <c r="H744" s="907"/>
      <c r="I744" s="907"/>
      <c r="J744" s="907"/>
      <c r="K744" s="907"/>
      <c r="L744" s="907"/>
      <c r="M744" s="907"/>
      <c r="N744" s="907"/>
      <c r="O744" s="907"/>
      <c r="P744" s="907"/>
      <c r="Q744" s="907"/>
      <c r="R744" s="907"/>
      <c r="S744" s="907"/>
      <c r="T744" s="907"/>
      <c r="U744" s="907"/>
      <c r="V744" s="907"/>
      <c r="W744" s="907"/>
      <c r="X744" s="907"/>
      <c r="Y744" s="907"/>
      <c r="Z744" s="907"/>
      <c r="AA744" s="907"/>
      <c r="AB744" s="907"/>
      <c r="AC744" s="907"/>
      <c r="AD744" s="907"/>
      <c r="AE744" s="907"/>
      <c r="AF744" s="907"/>
      <c r="AG744" s="907"/>
      <c r="AH744" s="907"/>
      <c r="AI744" s="907"/>
      <c r="AJ744" s="907"/>
      <c r="AK744" s="907"/>
      <c r="AL744" s="907"/>
    </row>
    <row r="745" spans="1:38">
      <c r="A745" s="907"/>
      <c r="B745" s="907"/>
      <c r="C745" s="907"/>
      <c r="D745" s="907"/>
      <c r="E745" s="907"/>
      <c r="F745" s="907"/>
      <c r="G745" s="907"/>
      <c r="H745" s="907"/>
      <c r="I745" s="907"/>
      <c r="J745" s="907"/>
      <c r="K745" s="907"/>
      <c r="L745" s="907"/>
      <c r="M745" s="907"/>
      <c r="N745" s="907"/>
      <c r="O745" s="907"/>
      <c r="P745" s="907"/>
      <c r="Q745" s="907"/>
      <c r="R745" s="907"/>
      <c r="S745" s="907"/>
      <c r="T745" s="907"/>
      <c r="U745" s="907"/>
      <c r="V745" s="907"/>
      <c r="W745" s="907"/>
      <c r="X745" s="907"/>
      <c r="Y745" s="907"/>
      <c r="Z745" s="907"/>
      <c r="AA745" s="907"/>
      <c r="AB745" s="907"/>
      <c r="AC745" s="907"/>
      <c r="AD745" s="907"/>
      <c r="AE745" s="907"/>
      <c r="AF745" s="907"/>
      <c r="AG745" s="907"/>
      <c r="AH745" s="907"/>
      <c r="AI745" s="907"/>
      <c r="AJ745" s="907"/>
      <c r="AK745" s="907"/>
      <c r="AL745" s="907"/>
    </row>
    <row r="746" spans="1:38">
      <c r="A746" s="907"/>
      <c r="B746" s="907"/>
      <c r="C746" s="907"/>
      <c r="D746" s="907"/>
      <c r="E746" s="907"/>
      <c r="F746" s="907"/>
      <c r="G746" s="907"/>
      <c r="H746" s="907"/>
      <c r="I746" s="907"/>
      <c r="J746" s="907"/>
      <c r="K746" s="907"/>
      <c r="L746" s="907"/>
      <c r="M746" s="907"/>
      <c r="N746" s="907"/>
      <c r="O746" s="907"/>
      <c r="P746" s="907"/>
      <c r="Q746" s="907"/>
      <c r="R746" s="907"/>
      <c r="S746" s="907"/>
      <c r="T746" s="907"/>
      <c r="U746" s="907"/>
      <c r="V746" s="907"/>
      <c r="W746" s="907"/>
      <c r="X746" s="907"/>
      <c r="Y746" s="907"/>
      <c r="Z746" s="907"/>
      <c r="AA746" s="907"/>
      <c r="AB746" s="907"/>
      <c r="AC746" s="907"/>
      <c r="AD746" s="907"/>
      <c r="AE746" s="907"/>
      <c r="AF746" s="907"/>
      <c r="AG746" s="907"/>
      <c r="AH746" s="907"/>
      <c r="AI746" s="907"/>
      <c r="AJ746" s="907"/>
      <c r="AK746" s="907"/>
      <c r="AL746" s="907"/>
    </row>
    <row r="747" spans="1:38">
      <c r="A747" s="907"/>
      <c r="B747" s="907"/>
      <c r="C747" s="907"/>
      <c r="D747" s="907"/>
      <c r="E747" s="907"/>
      <c r="F747" s="907"/>
      <c r="G747" s="907"/>
      <c r="H747" s="907"/>
      <c r="I747" s="907"/>
      <c r="J747" s="907"/>
      <c r="K747" s="907"/>
      <c r="L747" s="907"/>
      <c r="M747" s="907"/>
      <c r="N747" s="907"/>
      <c r="O747" s="907"/>
      <c r="P747" s="907"/>
      <c r="Q747" s="907"/>
      <c r="R747" s="907"/>
      <c r="S747" s="907"/>
      <c r="T747" s="907"/>
      <c r="U747" s="907"/>
      <c r="V747" s="907"/>
      <c r="W747" s="907"/>
      <c r="X747" s="907"/>
      <c r="Y747" s="907"/>
      <c r="Z747" s="907"/>
      <c r="AA747" s="907"/>
      <c r="AB747" s="907"/>
      <c r="AC747" s="907"/>
      <c r="AD747" s="907"/>
      <c r="AE747" s="907"/>
      <c r="AF747" s="907"/>
      <c r="AG747" s="907"/>
      <c r="AH747" s="907"/>
      <c r="AI747" s="907"/>
      <c r="AJ747" s="907"/>
      <c r="AK747" s="907"/>
      <c r="AL747" s="907"/>
    </row>
    <row r="748" spans="1:38">
      <c r="A748" s="907"/>
      <c r="B748" s="907"/>
      <c r="C748" s="907"/>
      <c r="D748" s="907"/>
      <c r="E748" s="907"/>
      <c r="F748" s="907"/>
      <c r="G748" s="907"/>
      <c r="H748" s="907"/>
      <c r="I748" s="907"/>
      <c r="J748" s="907"/>
      <c r="K748" s="907"/>
      <c r="L748" s="907"/>
      <c r="M748" s="907"/>
      <c r="N748" s="907"/>
      <c r="O748" s="907"/>
      <c r="P748" s="907"/>
      <c r="Q748" s="907"/>
      <c r="R748" s="907"/>
      <c r="S748" s="907"/>
      <c r="T748" s="907"/>
      <c r="U748" s="907"/>
      <c r="V748" s="907"/>
      <c r="W748" s="907"/>
      <c r="X748" s="907"/>
      <c r="Y748" s="907"/>
      <c r="Z748" s="907"/>
      <c r="AA748" s="907"/>
      <c r="AB748" s="907"/>
      <c r="AC748" s="907"/>
      <c r="AD748" s="907"/>
      <c r="AE748" s="907"/>
      <c r="AF748" s="907"/>
      <c r="AG748" s="907"/>
      <c r="AH748" s="907"/>
      <c r="AI748" s="907"/>
      <c r="AJ748" s="907"/>
      <c r="AK748" s="907"/>
      <c r="AL748" s="907"/>
    </row>
    <row r="749" spans="1:38">
      <c r="A749" s="907"/>
      <c r="B749" s="907"/>
      <c r="C749" s="907"/>
      <c r="D749" s="907"/>
      <c r="E749" s="907"/>
      <c r="F749" s="907"/>
      <c r="G749" s="907"/>
      <c r="H749" s="907"/>
      <c r="I749" s="907"/>
      <c r="J749" s="907"/>
      <c r="K749" s="907"/>
      <c r="L749" s="907"/>
      <c r="M749" s="907"/>
      <c r="N749" s="907"/>
      <c r="O749" s="907"/>
      <c r="P749" s="907"/>
      <c r="Q749" s="907"/>
      <c r="R749" s="907"/>
      <c r="S749" s="907"/>
      <c r="T749" s="907"/>
      <c r="U749" s="907"/>
      <c r="V749" s="907"/>
      <c r="W749" s="907"/>
      <c r="X749" s="907"/>
      <c r="Y749" s="907"/>
      <c r="Z749" s="907"/>
      <c r="AA749" s="907"/>
      <c r="AB749" s="907"/>
      <c r="AC749" s="907"/>
      <c r="AD749" s="907"/>
      <c r="AE749" s="907"/>
      <c r="AF749" s="907"/>
      <c r="AG749" s="907"/>
      <c r="AH749" s="907"/>
      <c r="AI749" s="907"/>
      <c r="AJ749" s="907"/>
      <c r="AK749" s="907"/>
      <c r="AL749" s="907"/>
    </row>
    <row r="750" spans="1:38">
      <c r="A750" s="907"/>
      <c r="B750" s="907"/>
      <c r="C750" s="907"/>
      <c r="D750" s="907"/>
      <c r="E750" s="907"/>
      <c r="F750" s="907"/>
      <c r="G750" s="907"/>
      <c r="H750" s="907"/>
      <c r="I750" s="907"/>
      <c r="J750" s="907"/>
      <c r="K750" s="907"/>
      <c r="L750" s="907"/>
      <c r="M750" s="907"/>
      <c r="N750" s="907"/>
      <c r="O750" s="907"/>
      <c r="P750" s="907"/>
      <c r="Q750" s="907"/>
      <c r="R750" s="907"/>
      <c r="S750" s="907"/>
      <c r="T750" s="907"/>
      <c r="U750" s="907"/>
      <c r="V750" s="907"/>
      <c r="W750" s="907"/>
      <c r="X750" s="907"/>
      <c r="Y750" s="907"/>
      <c r="Z750" s="907"/>
      <c r="AA750" s="907"/>
      <c r="AB750" s="907"/>
      <c r="AC750" s="907"/>
      <c r="AD750" s="907"/>
      <c r="AE750" s="907"/>
      <c r="AF750" s="907"/>
      <c r="AG750" s="907"/>
      <c r="AH750" s="907"/>
      <c r="AI750" s="907"/>
      <c r="AJ750" s="907"/>
      <c r="AK750" s="907"/>
      <c r="AL750" s="907"/>
    </row>
    <row r="751" spans="1:38">
      <c r="A751" s="907"/>
      <c r="B751" s="907"/>
      <c r="C751" s="907"/>
      <c r="D751" s="907"/>
      <c r="E751" s="907"/>
      <c r="F751" s="907"/>
      <c r="G751" s="907"/>
      <c r="H751" s="907"/>
      <c r="I751" s="907"/>
      <c r="J751" s="907"/>
      <c r="K751" s="907"/>
      <c r="L751" s="907"/>
      <c r="M751" s="907"/>
      <c r="N751" s="907"/>
      <c r="O751" s="907"/>
      <c r="P751" s="907"/>
      <c r="Q751" s="907"/>
      <c r="R751" s="907"/>
      <c r="S751" s="907"/>
      <c r="T751" s="907"/>
      <c r="U751" s="907"/>
      <c r="V751" s="907"/>
      <c r="W751" s="907"/>
      <c r="X751" s="907"/>
      <c r="Y751" s="907"/>
      <c r="Z751" s="907"/>
      <c r="AA751" s="907"/>
      <c r="AB751" s="907"/>
      <c r="AC751" s="907"/>
      <c r="AD751" s="907"/>
      <c r="AE751" s="907"/>
      <c r="AF751" s="907"/>
      <c r="AG751" s="907"/>
      <c r="AH751" s="907"/>
      <c r="AI751" s="907"/>
      <c r="AJ751" s="907"/>
      <c r="AK751" s="907"/>
      <c r="AL751" s="907"/>
    </row>
    <row r="752" spans="1:38">
      <c r="A752" s="907"/>
      <c r="B752" s="907"/>
      <c r="C752" s="907"/>
      <c r="D752" s="907"/>
      <c r="E752" s="907"/>
      <c r="F752" s="907"/>
      <c r="G752" s="907"/>
      <c r="H752" s="907"/>
      <c r="I752" s="907"/>
      <c r="J752" s="907"/>
      <c r="K752" s="907"/>
      <c r="L752" s="907"/>
      <c r="M752" s="907"/>
      <c r="N752" s="907"/>
      <c r="O752" s="907"/>
      <c r="P752" s="907"/>
      <c r="Q752" s="907"/>
      <c r="R752" s="907"/>
      <c r="S752" s="907"/>
      <c r="T752" s="907"/>
      <c r="U752" s="907"/>
      <c r="V752" s="907"/>
      <c r="W752" s="907"/>
      <c r="X752" s="907"/>
      <c r="Y752" s="907"/>
      <c r="Z752" s="907"/>
      <c r="AA752" s="907"/>
      <c r="AB752" s="907"/>
      <c r="AC752" s="907"/>
      <c r="AD752" s="907"/>
      <c r="AE752" s="907"/>
      <c r="AF752" s="907"/>
      <c r="AG752" s="907"/>
      <c r="AH752" s="907"/>
      <c r="AI752" s="907"/>
      <c r="AJ752" s="907"/>
      <c r="AK752" s="907"/>
      <c r="AL752" s="907"/>
    </row>
    <row r="753" spans="1:38">
      <c r="A753" s="907"/>
      <c r="B753" s="907"/>
      <c r="C753" s="907"/>
      <c r="D753" s="907"/>
      <c r="E753" s="907"/>
      <c r="F753" s="907"/>
      <c r="G753" s="907"/>
      <c r="H753" s="907"/>
      <c r="I753" s="907"/>
      <c r="J753" s="907"/>
      <c r="K753" s="907"/>
      <c r="L753" s="907"/>
      <c r="M753" s="907"/>
      <c r="N753" s="907"/>
      <c r="O753" s="907"/>
      <c r="P753" s="907"/>
      <c r="Q753" s="907"/>
      <c r="R753" s="907"/>
      <c r="S753" s="907"/>
      <c r="T753" s="907"/>
      <c r="U753" s="907"/>
      <c r="V753" s="907"/>
      <c r="W753" s="907"/>
      <c r="X753" s="907"/>
      <c r="Y753" s="907"/>
      <c r="Z753" s="907"/>
      <c r="AA753" s="907"/>
      <c r="AB753" s="907"/>
      <c r="AC753" s="907"/>
      <c r="AD753" s="907"/>
      <c r="AE753" s="907"/>
      <c r="AF753" s="907"/>
      <c r="AG753" s="907"/>
      <c r="AH753" s="907"/>
      <c r="AI753" s="907"/>
      <c r="AJ753" s="907"/>
      <c r="AK753" s="907"/>
      <c r="AL753" s="907"/>
    </row>
    <row r="754" spans="1:38">
      <c r="A754" s="907"/>
      <c r="B754" s="907"/>
      <c r="C754" s="907"/>
      <c r="D754" s="907"/>
      <c r="E754" s="907"/>
      <c r="F754" s="907"/>
      <c r="G754" s="907"/>
      <c r="H754" s="907"/>
      <c r="I754" s="907"/>
      <c r="J754" s="907"/>
      <c r="K754" s="907"/>
      <c r="L754" s="907"/>
      <c r="M754" s="907"/>
      <c r="N754" s="907"/>
      <c r="O754" s="907"/>
      <c r="P754" s="907"/>
      <c r="Q754" s="907"/>
      <c r="R754" s="907"/>
      <c r="S754" s="907"/>
      <c r="T754" s="907"/>
      <c r="U754" s="907"/>
      <c r="V754" s="907"/>
      <c r="W754" s="907"/>
      <c r="X754" s="907"/>
      <c r="Y754" s="907"/>
      <c r="Z754" s="907"/>
      <c r="AA754" s="907"/>
      <c r="AB754" s="907"/>
      <c r="AC754" s="907"/>
      <c r="AD754" s="907"/>
      <c r="AE754" s="907"/>
      <c r="AF754" s="907"/>
      <c r="AG754" s="907"/>
      <c r="AH754" s="907"/>
      <c r="AI754" s="907"/>
      <c r="AJ754" s="907"/>
      <c r="AK754" s="907"/>
      <c r="AL754" s="907"/>
    </row>
    <row r="755" spans="1:38">
      <c r="A755" s="907"/>
      <c r="B755" s="907"/>
      <c r="C755" s="907"/>
      <c r="D755" s="907"/>
      <c r="E755" s="907"/>
      <c r="F755" s="907"/>
      <c r="G755" s="907"/>
      <c r="H755" s="907"/>
      <c r="I755" s="907"/>
      <c r="J755" s="907"/>
      <c r="K755" s="907"/>
      <c r="L755" s="907"/>
      <c r="M755" s="907"/>
      <c r="N755" s="907"/>
      <c r="O755" s="907"/>
      <c r="P755" s="907"/>
      <c r="Q755" s="907"/>
      <c r="R755" s="907"/>
      <c r="S755" s="907"/>
      <c r="T755" s="907"/>
      <c r="U755" s="907"/>
      <c r="V755" s="907"/>
      <c r="W755" s="907"/>
      <c r="X755" s="907"/>
      <c r="Y755" s="907"/>
      <c r="Z755" s="907"/>
      <c r="AA755" s="907"/>
      <c r="AB755" s="907"/>
      <c r="AC755" s="907"/>
      <c r="AD755" s="907"/>
      <c r="AE755" s="907"/>
      <c r="AF755" s="907"/>
      <c r="AG755" s="907"/>
      <c r="AH755" s="907"/>
      <c r="AI755" s="907"/>
      <c r="AJ755" s="907"/>
      <c r="AK755" s="907"/>
      <c r="AL755" s="907"/>
    </row>
    <row r="756" spans="1:38">
      <c r="A756" s="907"/>
      <c r="B756" s="907"/>
      <c r="C756" s="907"/>
      <c r="D756" s="907"/>
      <c r="E756" s="907"/>
      <c r="F756" s="907"/>
      <c r="G756" s="907"/>
      <c r="H756" s="907"/>
      <c r="I756" s="907"/>
      <c r="J756" s="907"/>
      <c r="K756" s="907"/>
      <c r="L756" s="907"/>
      <c r="M756" s="907"/>
      <c r="N756" s="907"/>
      <c r="O756" s="907"/>
      <c r="P756" s="907"/>
      <c r="Q756" s="907"/>
      <c r="R756" s="907"/>
      <c r="S756" s="907"/>
      <c r="T756" s="907"/>
      <c r="U756" s="907"/>
      <c r="V756" s="907"/>
      <c r="W756" s="907"/>
      <c r="X756" s="907"/>
      <c r="Y756" s="907"/>
      <c r="Z756" s="907"/>
      <c r="AA756" s="907"/>
      <c r="AB756" s="907"/>
      <c r="AC756" s="907"/>
      <c r="AD756" s="907"/>
      <c r="AE756" s="907"/>
      <c r="AF756" s="907"/>
      <c r="AG756" s="907"/>
      <c r="AH756" s="907"/>
      <c r="AI756" s="907"/>
      <c r="AJ756" s="907"/>
      <c r="AK756" s="907"/>
      <c r="AL756" s="907"/>
    </row>
    <row r="757" spans="1:38">
      <c r="A757" s="907"/>
      <c r="B757" s="907"/>
      <c r="C757" s="907"/>
      <c r="D757" s="907"/>
      <c r="E757" s="907"/>
      <c r="F757" s="907"/>
      <c r="G757" s="907"/>
      <c r="H757" s="907"/>
      <c r="I757" s="907"/>
      <c r="J757" s="907"/>
      <c r="K757" s="907"/>
      <c r="L757" s="907"/>
      <c r="M757" s="907"/>
      <c r="N757" s="907"/>
      <c r="O757" s="907"/>
      <c r="P757" s="907"/>
      <c r="Q757" s="907"/>
      <c r="R757" s="907"/>
      <c r="S757" s="907"/>
      <c r="T757" s="907"/>
      <c r="U757" s="907"/>
      <c r="V757" s="907"/>
      <c r="W757" s="907"/>
      <c r="X757" s="907"/>
      <c r="Y757" s="907"/>
      <c r="Z757" s="907"/>
      <c r="AA757" s="907"/>
      <c r="AB757" s="907"/>
      <c r="AC757" s="907"/>
      <c r="AD757" s="907"/>
      <c r="AE757" s="907"/>
      <c r="AF757" s="907"/>
      <c r="AG757" s="907"/>
      <c r="AH757" s="907"/>
      <c r="AI757" s="907"/>
      <c r="AJ757" s="907"/>
      <c r="AK757" s="907"/>
      <c r="AL757" s="907"/>
    </row>
    <row r="758" spans="1:38">
      <c r="A758" s="907"/>
      <c r="B758" s="907"/>
      <c r="C758" s="907"/>
      <c r="D758" s="907"/>
      <c r="E758" s="907"/>
      <c r="F758" s="907"/>
      <c r="G758" s="907"/>
      <c r="H758" s="907"/>
      <c r="I758" s="907"/>
      <c r="J758" s="907"/>
      <c r="K758" s="907"/>
      <c r="L758" s="907"/>
      <c r="M758" s="907"/>
      <c r="N758" s="907"/>
      <c r="O758" s="907"/>
      <c r="P758" s="907"/>
      <c r="Q758" s="907"/>
      <c r="R758" s="907"/>
      <c r="S758" s="907"/>
      <c r="T758" s="907"/>
      <c r="U758" s="907"/>
      <c r="V758" s="907"/>
      <c r="W758" s="907"/>
      <c r="X758" s="907"/>
      <c r="Y758" s="907"/>
      <c r="Z758" s="907"/>
      <c r="AA758" s="907"/>
      <c r="AB758" s="907"/>
      <c r="AC758" s="907"/>
      <c r="AD758" s="907"/>
      <c r="AE758" s="907"/>
      <c r="AF758" s="907"/>
      <c r="AG758" s="907"/>
      <c r="AH758" s="907"/>
      <c r="AI758" s="907"/>
      <c r="AJ758" s="907"/>
      <c r="AK758" s="907"/>
      <c r="AL758" s="907"/>
    </row>
    <row r="759" spans="1:38">
      <c r="A759" s="907"/>
      <c r="B759" s="907"/>
      <c r="C759" s="907"/>
      <c r="D759" s="907"/>
      <c r="E759" s="907"/>
      <c r="F759" s="907"/>
      <c r="G759" s="907"/>
      <c r="H759" s="907"/>
      <c r="I759" s="907"/>
      <c r="J759" s="907"/>
      <c r="K759" s="907"/>
      <c r="L759" s="907"/>
      <c r="M759" s="907"/>
      <c r="N759" s="907"/>
      <c r="O759" s="907"/>
      <c r="P759" s="907"/>
      <c r="Q759" s="907"/>
      <c r="R759" s="907"/>
      <c r="S759" s="907"/>
      <c r="T759" s="907"/>
      <c r="U759" s="907"/>
      <c r="V759" s="907"/>
      <c r="W759" s="907"/>
      <c r="X759" s="907"/>
      <c r="Y759" s="907"/>
      <c r="Z759" s="907"/>
      <c r="AA759" s="907"/>
      <c r="AB759" s="907"/>
      <c r="AC759" s="907"/>
      <c r="AD759" s="907"/>
      <c r="AE759" s="907"/>
      <c r="AF759" s="907"/>
      <c r="AG759" s="907"/>
      <c r="AH759" s="907"/>
      <c r="AI759" s="907"/>
      <c r="AJ759" s="907"/>
      <c r="AK759" s="907"/>
      <c r="AL759" s="907"/>
    </row>
    <row r="760" spans="1:38">
      <c r="A760" s="907"/>
      <c r="B760" s="907"/>
      <c r="C760" s="907"/>
      <c r="D760" s="907"/>
      <c r="E760" s="907"/>
      <c r="F760" s="907"/>
      <c r="G760" s="907"/>
      <c r="H760" s="907"/>
      <c r="I760" s="907"/>
      <c r="J760" s="907"/>
      <c r="K760" s="907"/>
      <c r="L760" s="907"/>
      <c r="M760" s="907"/>
      <c r="N760" s="907"/>
      <c r="O760" s="907"/>
      <c r="P760" s="907"/>
      <c r="Q760" s="907"/>
      <c r="R760" s="907"/>
      <c r="S760" s="907"/>
      <c r="T760" s="907"/>
      <c r="U760" s="907"/>
      <c r="V760" s="907"/>
      <c r="W760" s="907"/>
      <c r="X760" s="907"/>
      <c r="Y760" s="907"/>
      <c r="Z760" s="907"/>
      <c r="AA760" s="907"/>
      <c r="AB760" s="907"/>
      <c r="AC760" s="907"/>
      <c r="AD760" s="907"/>
      <c r="AE760" s="907"/>
      <c r="AF760" s="907"/>
      <c r="AG760" s="907"/>
      <c r="AH760" s="907"/>
      <c r="AI760" s="907"/>
      <c r="AJ760" s="907"/>
      <c r="AK760" s="907"/>
      <c r="AL760" s="907"/>
    </row>
    <row r="761" spans="1:38">
      <c r="A761" s="907"/>
      <c r="B761" s="907"/>
      <c r="C761" s="907"/>
      <c r="D761" s="907"/>
      <c r="E761" s="907"/>
      <c r="F761" s="907"/>
      <c r="G761" s="907"/>
      <c r="H761" s="907"/>
      <c r="I761" s="907"/>
      <c r="J761" s="907"/>
      <c r="K761" s="907"/>
      <c r="L761" s="907"/>
      <c r="M761" s="907"/>
      <c r="N761" s="907"/>
      <c r="O761" s="907"/>
      <c r="P761" s="907"/>
      <c r="Q761" s="907"/>
      <c r="R761" s="907"/>
      <c r="S761" s="907"/>
      <c r="T761" s="907"/>
      <c r="U761" s="907"/>
      <c r="V761" s="907"/>
      <c r="W761" s="907"/>
      <c r="X761" s="907"/>
      <c r="Y761" s="907"/>
      <c r="Z761" s="907"/>
      <c r="AA761" s="907"/>
      <c r="AB761" s="907"/>
      <c r="AC761" s="907"/>
      <c r="AD761" s="907"/>
      <c r="AE761" s="907"/>
      <c r="AF761" s="907"/>
      <c r="AG761" s="907"/>
      <c r="AH761" s="907"/>
      <c r="AI761" s="907"/>
      <c r="AJ761" s="907"/>
      <c r="AK761" s="907"/>
      <c r="AL761" s="907"/>
    </row>
    <row r="762" spans="1:38">
      <c r="A762" s="907"/>
      <c r="B762" s="907"/>
      <c r="C762" s="907"/>
      <c r="D762" s="907"/>
      <c r="E762" s="907"/>
      <c r="F762" s="907"/>
      <c r="G762" s="907"/>
      <c r="H762" s="907"/>
      <c r="I762" s="907"/>
      <c r="J762" s="907"/>
      <c r="K762" s="907"/>
      <c r="L762" s="907"/>
      <c r="M762" s="907"/>
      <c r="N762" s="907"/>
      <c r="O762" s="907"/>
      <c r="P762" s="907"/>
      <c r="Q762" s="907"/>
      <c r="R762" s="907"/>
      <c r="S762" s="907"/>
      <c r="T762" s="907"/>
      <c r="U762" s="907"/>
      <c r="V762" s="907"/>
      <c r="W762" s="907"/>
      <c r="X762" s="907"/>
      <c r="Y762" s="907"/>
      <c r="Z762" s="907"/>
      <c r="AA762" s="907"/>
      <c r="AB762" s="907"/>
      <c r="AC762" s="907"/>
      <c r="AD762" s="907"/>
      <c r="AE762" s="907"/>
      <c r="AF762" s="907"/>
      <c r="AG762" s="907"/>
      <c r="AH762" s="907"/>
      <c r="AI762" s="907"/>
      <c r="AJ762" s="907"/>
      <c r="AK762" s="907"/>
      <c r="AL762" s="907"/>
    </row>
    <row r="763" spans="1:38">
      <c r="A763" s="907"/>
      <c r="B763" s="907"/>
      <c r="C763" s="907"/>
      <c r="D763" s="907"/>
      <c r="E763" s="907"/>
      <c r="F763" s="907"/>
      <c r="G763" s="907"/>
      <c r="H763" s="907"/>
      <c r="I763" s="907"/>
      <c r="J763" s="907"/>
      <c r="K763" s="907"/>
      <c r="L763" s="907"/>
      <c r="M763" s="907"/>
      <c r="N763" s="907"/>
      <c r="O763" s="907"/>
      <c r="P763" s="907"/>
      <c r="Q763" s="907"/>
      <c r="R763" s="907"/>
      <c r="S763" s="907"/>
      <c r="T763" s="907"/>
      <c r="U763" s="907"/>
      <c r="V763" s="907"/>
      <c r="W763" s="907"/>
      <c r="X763" s="907"/>
      <c r="Y763" s="907"/>
      <c r="Z763" s="907"/>
      <c r="AA763" s="907"/>
      <c r="AB763" s="907"/>
      <c r="AC763" s="907"/>
      <c r="AD763" s="907"/>
      <c r="AE763" s="907"/>
      <c r="AF763" s="907"/>
      <c r="AG763" s="907"/>
      <c r="AH763" s="907"/>
      <c r="AI763" s="907"/>
      <c r="AJ763" s="907"/>
      <c r="AK763" s="907"/>
      <c r="AL763" s="907"/>
    </row>
    <row r="764" spans="1:38">
      <c r="A764" s="907"/>
      <c r="B764" s="907"/>
      <c r="C764" s="907"/>
      <c r="D764" s="907"/>
      <c r="E764" s="907"/>
      <c r="F764" s="907"/>
      <c r="G764" s="907"/>
      <c r="H764" s="907"/>
      <c r="I764" s="907"/>
      <c r="J764" s="907"/>
      <c r="K764" s="907"/>
      <c r="L764" s="907"/>
      <c r="M764" s="907"/>
      <c r="N764" s="907"/>
      <c r="O764" s="907"/>
      <c r="P764" s="907"/>
      <c r="Q764" s="907"/>
      <c r="R764" s="907"/>
      <c r="S764" s="907"/>
      <c r="T764" s="907"/>
      <c r="U764" s="907"/>
      <c r="V764" s="907"/>
      <c r="W764" s="907"/>
      <c r="X764" s="907"/>
      <c r="Y764" s="907"/>
      <c r="Z764" s="907"/>
      <c r="AA764" s="907"/>
      <c r="AB764" s="907"/>
      <c r="AC764" s="907"/>
      <c r="AD764" s="907"/>
      <c r="AE764" s="907"/>
      <c r="AF764" s="907"/>
      <c r="AG764" s="907"/>
      <c r="AH764" s="907"/>
      <c r="AI764" s="907"/>
      <c r="AJ764" s="907"/>
      <c r="AK764" s="907"/>
      <c r="AL764" s="907"/>
    </row>
    <row r="765" spans="1:38">
      <c r="A765" s="907"/>
      <c r="B765" s="907"/>
      <c r="C765" s="907"/>
      <c r="D765" s="907"/>
      <c r="E765" s="907"/>
      <c r="F765" s="907"/>
      <c r="G765" s="907"/>
      <c r="H765" s="907"/>
      <c r="I765" s="907"/>
      <c r="J765" s="907"/>
      <c r="K765" s="907"/>
      <c r="L765" s="907"/>
      <c r="M765" s="907"/>
      <c r="N765" s="907"/>
      <c r="O765" s="907"/>
      <c r="P765" s="907"/>
      <c r="Q765" s="907"/>
      <c r="R765" s="907"/>
      <c r="S765" s="907"/>
      <c r="T765" s="907"/>
      <c r="U765" s="907"/>
      <c r="V765" s="907"/>
      <c r="W765" s="907"/>
      <c r="X765" s="907"/>
      <c r="Y765" s="907"/>
      <c r="Z765" s="907"/>
      <c r="AA765" s="907"/>
      <c r="AB765" s="907"/>
      <c r="AC765" s="907"/>
      <c r="AD765" s="907"/>
      <c r="AE765" s="907"/>
      <c r="AF765" s="907"/>
      <c r="AG765" s="907"/>
      <c r="AH765" s="907"/>
      <c r="AI765" s="907"/>
      <c r="AJ765" s="907"/>
      <c r="AK765" s="907"/>
      <c r="AL765" s="907"/>
    </row>
    <row r="766" spans="1:38">
      <c r="A766" s="907"/>
      <c r="B766" s="907"/>
      <c r="C766" s="907"/>
      <c r="D766" s="907"/>
      <c r="E766" s="907"/>
      <c r="F766" s="907"/>
      <c r="G766" s="907"/>
      <c r="H766" s="907"/>
      <c r="I766" s="907"/>
      <c r="J766" s="907"/>
      <c r="K766" s="907"/>
      <c r="L766" s="907"/>
      <c r="M766" s="907"/>
      <c r="N766" s="907"/>
      <c r="O766" s="907"/>
      <c r="P766" s="907"/>
      <c r="Q766" s="907"/>
      <c r="R766" s="907"/>
      <c r="S766" s="907"/>
      <c r="T766" s="907"/>
      <c r="U766" s="907"/>
      <c r="V766" s="907"/>
      <c r="W766" s="907"/>
      <c r="X766" s="907"/>
      <c r="Y766" s="907"/>
      <c r="Z766" s="907"/>
      <c r="AA766" s="907"/>
      <c r="AB766" s="907"/>
      <c r="AC766" s="907"/>
      <c r="AD766" s="907"/>
      <c r="AE766" s="907"/>
      <c r="AF766" s="907"/>
      <c r="AG766" s="907"/>
      <c r="AH766" s="907"/>
      <c r="AI766" s="907"/>
      <c r="AJ766" s="907"/>
      <c r="AK766" s="907"/>
      <c r="AL766" s="907"/>
    </row>
    <row r="767" spans="1:38">
      <c r="A767" s="907"/>
      <c r="B767" s="907"/>
      <c r="C767" s="907"/>
      <c r="D767" s="907"/>
      <c r="E767" s="907"/>
      <c r="F767" s="907"/>
      <c r="G767" s="907"/>
      <c r="H767" s="907"/>
      <c r="I767" s="907"/>
      <c r="J767" s="907"/>
      <c r="K767" s="907"/>
      <c r="L767" s="907"/>
      <c r="M767" s="907"/>
      <c r="N767" s="907"/>
      <c r="O767" s="907"/>
      <c r="P767" s="907"/>
      <c r="Q767" s="907"/>
      <c r="R767" s="907"/>
      <c r="S767" s="907"/>
      <c r="T767" s="907"/>
      <c r="U767" s="907"/>
      <c r="V767" s="907"/>
      <c r="W767" s="907"/>
      <c r="X767" s="907"/>
      <c r="Y767" s="907"/>
      <c r="Z767" s="907"/>
      <c r="AA767" s="907"/>
      <c r="AB767" s="907"/>
      <c r="AC767" s="907"/>
      <c r="AD767" s="907"/>
      <c r="AE767" s="907"/>
      <c r="AF767" s="907"/>
      <c r="AG767" s="907"/>
      <c r="AH767" s="907"/>
      <c r="AI767" s="907"/>
      <c r="AJ767" s="907"/>
      <c r="AK767" s="907"/>
      <c r="AL767" s="907"/>
    </row>
    <row r="768" spans="1:38">
      <c r="A768" s="907"/>
      <c r="B768" s="907"/>
      <c r="C768" s="907"/>
      <c r="D768" s="907"/>
      <c r="E768" s="907"/>
      <c r="F768" s="907"/>
      <c r="G768" s="907"/>
      <c r="H768" s="907"/>
      <c r="I768" s="907"/>
      <c r="J768" s="907"/>
      <c r="K768" s="907"/>
      <c r="L768" s="907"/>
      <c r="M768" s="907"/>
      <c r="N768" s="907"/>
      <c r="O768" s="907"/>
      <c r="P768" s="907"/>
      <c r="Q768" s="907"/>
      <c r="R768" s="907"/>
      <c r="S768" s="907"/>
      <c r="T768" s="907"/>
      <c r="U768" s="907"/>
      <c r="V768" s="907"/>
      <c r="W768" s="907"/>
      <c r="X768" s="907"/>
      <c r="Y768" s="907"/>
      <c r="Z768" s="907"/>
      <c r="AA768" s="907"/>
      <c r="AB768" s="907"/>
      <c r="AC768" s="907"/>
      <c r="AD768" s="907"/>
      <c r="AE768" s="907"/>
      <c r="AF768" s="907"/>
      <c r="AG768" s="907"/>
      <c r="AH768" s="907"/>
      <c r="AI768" s="907"/>
      <c r="AJ768" s="907"/>
      <c r="AK768" s="907"/>
      <c r="AL768" s="907"/>
    </row>
    <row r="769" spans="1:38">
      <c r="A769" s="907"/>
      <c r="B769" s="907"/>
      <c r="C769" s="907"/>
      <c r="D769" s="907"/>
      <c r="E769" s="907"/>
      <c r="F769" s="907"/>
      <c r="G769" s="907"/>
      <c r="H769" s="907"/>
      <c r="I769" s="907"/>
      <c r="J769" s="907"/>
      <c r="K769" s="907"/>
      <c r="L769" s="907"/>
      <c r="M769" s="907"/>
      <c r="N769" s="907"/>
      <c r="O769" s="907"/>
      <c r="P769" s="907"/>
      <c r="Q769" s="907"/>
      <c r="R769" s="907"/>
      <c r="S769" s="907"/>
      <c r="T769" s="907"/>
      <c r="U769" s="907"/>
      <c r="V769" s="907"/>
      <c r="W769" s="907"/>
      <c r="X769" s="907"/>
      <c r="Y769" s="907"/>
      <c r="Z769" s="907"/>
      <c r="AA769" s="907"/>
      <c r="AB769" s="907"/>
      <c r="AC769" s="907"/>
      <c r="AD769" s="907"/>
      <c r="AE769" s="907"/>
      <c r="AF769" s="907"/>
      <c r="AG769" s="907"/>
      <c r="AH769" s="907"/>
      <c r="AI769" s="907"/>
      <c r="AJ769" s="907"/>
      <c r="AK769" s="907"/>
      <c r="AL769" s="907"/>
    </row>
    <row r="770" spans="1:38">
      <c r="A770" s="907"/>
      <c r="B770" s="907"/>
      <c r="C770" s="907"/>
      <c r="D770" s="907"/>
      <c r="E770" s="907"/>
      <c r="F770" s="907"/>
      <c r="G770" s="907"/>
      <c r="H770" s="907"/>
      <c r="I770" s="907"/>
      <c r="J770" s="907"/>
      <c r="K770" s="907"/>
      <c r="L770" s="907"/>
      <c r="M770" s="907"/>
      <c r="N770" s="907"/>
      <c r="O770" s="907"/>
      <c r="P770" s="907"/>
      <c r="Q770" s="907"/>
      <c r="R770" s="907"/>
      <c r="S770" s="907"/>
      <c r="T770" s="907"/>
      <c r="U770" s="907"/>
      <c r="V770" s="907"/>
      <c r="W770" s="907"/>
      <c r="X770" s="907"/>
      <c r="Y770" s="907"/>
      <c r="Z770" s="907"/>
      <c r="AA770" s="907"/>
      <c r="AB770" s="907"/>
      <c r="AC770" s="907"/>
      <c r="AD770" s="907"/>
      <c r="AE770" s="907"/>
      <c r="AF770" s="907"/>
      <c r="AG770" s="907"/>
      <c r="AH770" s="907"/>
      <c r="AI770" s="907"/>
      <c r="AJ770" s="907"/>
      <c r="AK770" s="907"/>
      <c r="AL770" s="907"/>
    </row>
    <row r="771" spans="1:38">
      <c r="A771" s="907"/>
      <c r="B771" s="907"/>
      <c r="C771" s="907"/>
      <c r="D771" s="907"/>
      <c r="E771" s="907"/>
      <c r="F771" s="907"/>
      <c r="G771" s="907"/>
      <c r="H771" s="907"/>
      <c r="I771" s="907"/>
      <c r="J771" s="907"/>
      <c r="K771" s="907"/>
      <c r="L771" s="907"/>
      <c r="M771" s="907"/>
      <c r="N771" s="907"/>
      <c r="O771" s="907"/>
      <c r="P771" s="907"/>
      <c r="Q771" s="907"/>
      <c r="R771" s="907"/>
      <c r="S771" s="907"/>
      <c r="T771" s="907"/>
      <c r="U771" s="907"/>
      <c r="V771" s="907"/>
      <c r="W771" s="907"/>
      <c r="X771" s="907"/>
      <c r="Y771" s="907"/>
      <c r="Z771" s="907"/>
      <c r="AA771" s="907"/>
      <c r="AB771" s="907"/>
      <c r="AC771" s="907"/>
      <c r="AD771" s="907"/>
      <c r="AE771" s="907"/>
      <c r="AF771" s="907"/>
      <c r="AG771" s="907"/>
      <c r="AH771" s="907"/>
      <c r="AI771" s="907"/>
      <c r="AJ771" s="907"/>
      <c r="AK771" s="907"/>
      <c r="AL771" s="907"/>
    </row>
    <row r="772" spans="1:38">
      <c r="A772" s="907"/>
      <c r="B772" s="907"/>
      <c r="C772" s="907"/>
      <c r="D772" s="907"/>
      <c r="E772" s="907"/>
      <c r="F772" s="907"/>
      <c r="G772" s="907"/>
      <c r="H772" s="907"/>
      <c r="I772" s="907"/>
      <c r="J772" s="907"/>
      <c r="K772" s="907"/>
      <c r="L772" s="907"/>
      <c r="M772" s="907"/>
      <c r="N772" s="907"/>
      <c r="O772" s="907"/>
      <c r="P772" s="907"/>
      <c r="Q772" s="907"/>
      <c r="R772" s="907"/>
      <c r="S772" s="907"/>
      <c r="T772" s="907"/>
      <c r="U772" s="907"/>
      <c r="V772" s="907"/>
      <c r="W772" s="907"/>
      <c r="X772" s="907"/>
      <c r="Y772" s="907"/>
      <c r="Z772" s="907"/>
      <c r="AA772" s="907"/>
      <c r="AB772" s="907"/>
      <c r="AC772" s="907"/>
      <c r="AD772" s="907"/>
      <c r="AE772" s="907"/>
      <c r="AF772" s="907"/>
      <c r="AG772" s="907"/>
      <c r="AH772" s="907"/>
      <c r="AI772" s="907"/>
      <c r="AJ772" s="907"/>
      <c r="AK772" s="907"/>
      <c r="AL772" s="907"/>
    </row>
    <row r="773" spans="1:38">
      <c r="A773" s="907"/>
      <c r="B773" s="907"/>
      <c r="C773" s="907"/>
      <c r="D773" s="907"/>
      <c r="E773" s="907"/>
      <c r="F773" s="907"/>
      <c r="G773" s="907"/>
      <c r="H773" s="907"/>
      <c r="I773" s="907"/>
      <c r="J773" s="907"/>
      <c r="K773" s="907"/>
      <c r="L773" s="907"/>
      <c r="M773" s="907"/>
      <c r="N773" s="907"/>
      <c r="O773" s="907"/>
      <c r="P773" s="907"/>
      <c r="Q773" s="907"/>
      <c r="R773" s="907"/>
      <c r="S773" s="907"/>
      <c r="T773" s="907"/>
      <c r="U773" s="907"/>
      <c r="V773" s="907"/>
      <c r="W773" s="907"/>
      <c r="X773" s="907"/>
      <c r="Y773" s="907"/>
      <c r="Z773" s="907"/>
      <c r="AA773" s="907"/>
      <c r="AB773" s="907"/>
      <c r="AC773" s="907"/>
      <c r="AD773" s="907"/>
      <c r="AE773" s="907"/>
      <c r="AF773" s="907"/>
      <c r="AG773" s="907"/>
      <c r="AH773" s="907"/>
      <c r="AI773" s="907"/>
      <c r="AJ773" s="907"/>
      <c r="AK773" s="907"/>
      <c r="AL773" s="907"/>
    </row>
    <row r="774" spans="1:38">
      <c r="A774" s="907"/>
      <c r="B774" s="907"/>
      <c r="C774" s="907"/>
      <c r="D774" s="907"/>
      <c r="E774" s="907"/>
      <c r="F774" s="907"/>
      <c r="G774" s="907"/>
      <c r="H774" s="907"/>
      <c r="I774" s="907"/>
      <c r="J774" s="907"/>
      <c r="K774" s="907"/>
      <c r="L774" s="907"/>
      <c r="M774" s="907"/>
      <c r="N774" s="907"/>
      <c r="O774" s="907"/>
      <c r="P774" s="907"/>
      <c r="Q774" s="907"/>
      <c r="R774" s="907"/>
      <c r="S774" s="907"/>
      <c r="T774" s="907"/>
      <c r="U774" s="907"/>
      <c r="V774" s="907"/>
      <c r="W774" s="907"/>
      <c r="X774" s="907"/>
      <c r="Y774" s="907"/>
      <c r="Z774" s="907"/>
      <c r="AA774" s="907"/>
      <c r="AB774" s="907"/>
      <c r="AC774" s="907"/>
      <c r="AD774" s="907"/>
      <c r="AE774" s="907"/>
      <c r="AF774" s="907"/>
      <c r="AG774" s="907"/>
      <c r="AH774" s="907"/>
      <c r="AI774" s="907"/>
      <c r="AJ774" s="907"/>
      <c r="AK774" s="907"/>
      <c r="AL774" s="907"/>
    </row>
    <row r="775" spans="1:38">
      <c r="A775" s="907"/>
      <c r="B775" s="907"/>
      <c r="C775" s="907"/>
      <c r="D775" s="907"/>
      <c r="E775" s="907"/>
      <c r="F775" s="907"/>
      <c r="G775" s="907"/>
      <c r="H775" s="907"/>
      <c r="I775" s="907"/>
      <c r="J775" s="907"/>
      <c r="K775" s="907"/>
      <c r="L775" s="907"/>
      <c r="M775" s="907"/>
      <c r="N775" s="907"/>
      <c r="O775" s="907"/>
      <c r="P775" s="907"/>
      <c r="Q775" s="907"/>
      <c r="R775" s="907"/>
      <c r="S775" s="907"/>
      <c r="T775" s="907"/>
      <c r="U775" s="907"/>
      <c r="V775" s="907"/>
      <c r="W775" s="907"/>
      <c r="X775" s="907"/>
      <c r="Y775" s="907"/>
      <c r="Z775" s="907"/>
      <c r="AA775" s="907"/>
      <c r="AB775" s="907"/>
      <c r="AC775" s="907"/>
      <c r="AD775" s="907"/>
      <c r="AE775" s="907"/>
      <c r="AF775" s="907"/>
      <c r="AG775" s="907"/>
      <c r="AH775" s="907"/>
      <c r="AI775" s="907"/>
      <c r="AJ775" s="907"/>
      <c r="AK775" s="907"/>
      <c r="AL775" s="907"/>
    </row>
    <row r="776" spans="1:38">
      <c r="A776" s="907"/>
      <c r="B776" s="907"/>
      <c r="C776" s="907"/>
      <c r="D776" s="907"/>
      <c r="E776" s="907"/>
      <c r="F776" s="907"/>
      <c r="G776" s="907"/>
      <c r="H776" s="907"/>
      <c r="I776" s="907"/>
      <c r="J776" s="907"/>
      <c r="K776" s="907"/>
      <c r="L776" s="907"/>
      <c r="M776" s="907"/>
      <c r="N776" s="907"/>
      <c r="O776" s="907"/>
      <c r="P776" s="907"/>
      <c r="Q776" s="907"/>
      <c r="R776" s="907"/>
      <c r="S776" s="907"/>
      <c r="T776" s="907"/>
      <c r="U776" s="907"/>
      <c r="V776" s="907"/>
      <c r="W776" s="907"/>
      <c r="X776" s="907"/>
      <c r="Y776" s="907"/>
      <c r="Z776" s="907"/>
      <c r="AA776" s="907"/>
      <c r="AB776" s="907"/>
      <c r="AC776" s="907"/>
      <c r="AD776" s="907"/>
      <c r="AE776" s="907"/>
      <c r="AF776" s="907"/>
      <c r="AG776" s="907"/>
      <c r="AH776" s="907"/>
      <c r="AI776" s="907"/>
      <c r="AJ776" s="907"/>
      <c r="AK776" s="907"/>
      <c r="AL776" s="907"/>
    </row>
    <row r="777" spans="1:38">
      <c r="A777" s="907"/>
      <c r="B777" s="907"/>
      <c r="C777" s="907"/>
      <c r="D777" s="907"/>
      <c r="E777" s="907"/>
      <c r="F777" s="907"/>
      <c r="G777" s="907"/>
      <c r="H777" s="907"/>
      <c r="I777" s="907"/>
      <c r="J777" s="907"/>
      <c r="K777" s="907"/>
      <c r="L777" s="907"/>
      <c r="M777" s="907"/>
      <c r="N777" s="907"/>
      <c r="O777" s="907"/>
      <c r="P777" s="907"/>
      <c r="Q777" s="907"/>
      <c r="R777" s="907"/>
      <c r="S777" s="907"/>
      <c r="T777" s="907"/>
      <c r="U777" s="907"/>
      <c r="V777" s="907"/>
      <c r="W777" s="907"/>
      <c r="X777" s="907"/>
      <c r="Y777" s="907"/>
      <c r="Z777" s="907"/>
      <c r="AA777" s="907"/>
      <c r="AB777" s="907"/>
      <c r="AC777" s="907"/>
      <c r="AD777" s="907"/>
      <c r="AE777" s="907"/>
      <c r="AF777" s="907"/>
      <c r="AG777" s="907"/>
      <c r="AH777" s="907"/>
      <c r="AI777" s="907"/>
      <c r="AJ777" s="907"/>
      <c r="AK777" s="907"/>
      <c r="AL777" s="907"/>
    </row>
    <row r="778" spans="1:38">
      <c r="A778" s="907"/>
      <c r="B778" s="907"/>
      <c r="C778" s="907"/>
      <c r="D778" s="907"/>
      <c r="E778" s="907"/>
      <c r="F778" s="907"/>
      <c r="G778" s="907"/>
      <c r="H778" s="907"/>
      <c r="I778" s="907"/>
      <c r="J778" s="907"/>
      <c r="K778" s="907"/>
      <c r="L778" s="907"/>
      <c r="M778" s="907"/>
      <c r="N778" s="907"/>
      <c r="O778" s="907"/>
      <c r="P778" s="907"/>
      <c r="Q778" s="907"/>
      <c r="R778" s="907"/>
      <c r="S778" s="907"/>
      <c r="T778" s="907"/>
      <c r="U778" s="907"/>
      <c r="V778" s="907"/>
      <c r="W778" s="907"/>
      <c r="X778" s="907"/>
      <c r="Y778" s="907"/>
      <c r="Z778" s="907"/>
      <c r="AA778" s="907"/>
      <c r="AB778" s="907"/>
      <c r="AC778" s="907"/>
      <c r="AD778" s="907"/>
      <c r="AE778" s="907"/>
      <c r="AF778" s="907"/>
      <c r="AG778" s="907"/>
      <c r="AH778" s="907"/>
      <c r="AI778" s="907"/>
      <c r="AJ778" s="907"/>
      <c r="AK778" s="907"/>
      <c r="AL778" s="907"/>
    </row>
    <row r="779" spans="1:38">
      <c r="A779" s="907"/>
      <c r="B779" s="907"/>
      <c r="C779" s="907"/>
      <c r="D779" s="907"/>
      <c r="E779" s="907"/>
      <c r="F779" s="907"/>
      <c r="G779" s="907"/>
      <c r="H779" s="907"/>
      <c r="I779" s="907"/>
      <c r="J779" s="907"/>
      <c r="K779" s="907"/>
      <c r="L779" s="907"/>
      <c r="M779" s="907"/>
      <c r="N779" s="907"/>
      <c r="O779" s="907"/>
      <c r="P779" s="907"/>
      <c r="Q779" s="907"/>
      <c r="R779" s="907"/>
      <c r="S779" s="907"/>
      <c r="T779" s="907"/>
      <c r="U779" s="907"/>
      <c r="V779" s="907"/>
      <c r="W779" s="907"/>
      <c r="X779" s="907"/>
      <c r="Y779" s="907"/>
      <c r="Z779" s="907"/>
      <c r="AA779" s="907"/>
      <c r="AB779" s="907"/>
      <c r="AC779" s="907"/>
      <c r="AD779" s="907"/>
      <c r="AE779" s="907"/>
      <c r="AF779" s="907"/>
      <c r="AG779" s="907"/>
      <c r="AH779" s="907"/>
      <c r="AI779" s="907"/>
      <c r="AJ779" s="907"/>
      <c r="AK779" s="907"/>
      <c r="AL779" s="907"/>
    </row>
    <row r="780" spans="1:38">
      <c r="A780" s="907"/>
      <c r="B780" s="907"/>
      <c r="C780" s="907"/>
      <c r="D780" s="907"/>
      <c r="E780" s="907"/>
      <c r="F780" s="907"/>
      <c r="G780" s="907"/>
      <c r="H780" s="907"/>
      <c r="I780" s="907"/>
      <c r="J780" s="907"/>
      <c r="K780" s="907"/>
      <c r="L780" s="907"/>
      <c r="M780" s="907"/>
      <c r="N780" s="907"/>
      <c r="O780" s="907"/>
      <c r="P780" s="907"/>
      <c r="Q780" s="907"/>
      <c r="R780" s="907"/>
      <c r="S780" s="907"/>
      <c r="T780" s="907"/>
      <c r="U780" s="907"/>
      <c r="V780" s="907"/>
      <c r="W780" s="907"/>
      <c r="X780" s="907"/>
      <c r="Y780" s="907"/>
      <c r="Z780" s="907"/>
      <c r="AA780" s="907"/>
      <c r="AB780" s="907"/>
      <c r="AC780" s="907"/>
      <c r="AD780" s="907"/>
      <c r="AE780" s="907"/>
      <c r="AF780" s="907"/>
      <c r="AG780" s="907"/>
      <c r="AH780" s="907"/>
      <c r="AI780" s="907"/>
      <c r="AJ780" s="907"/>
      <c r="AK780" s="907"/>
      <c r="AL780" s="907"/>
    </row>
    <row r="781" spans="1:38">
      <c r="A781" s="907"/>
      <c r="B781" s="907"/>
      <c r="C781" s="907"/>
      <c r="D781" s="907"/>
      <c r="E781" s="907"/>
      <c r="F781" s="907"/>
      <c r="G781" s="907"/>
      <c r="H781" s="907"/>
      <c r="I781" s="907"/>
      <c r="J781" s="907"/>
      <c r="K781" s="907"/>
      <c r="L781" s="907"/>
      <c r="M781" s="907"/>
      <c r="N781" s="907"/>
      <c r="O781" s="907"/>
      <c r="P781" s="907"/>
      <c r="Q781" s="907"/>
      <c r="R781" s="907"/>
      <c r="S781" s="907"/>
      <c r="T781" s="907"/>
      <c r="U781" s="907"/>
      <c r="V781" s="907"/>
      <c r="W781" s="907"/>
      <c r="X781" s="907"/>
      <c r="Y781" s="907"/>
      <c r="Z781" s="907"/>
      <c r="AA781" s="907"/>
      <c r="AB781" s="907"/>
      <c r="AC781" s="907"/>
      <c r="AD781" s="907"/>
      <c r="AE781" s="907"/>
      <c r="AF781" s="907"/>
      <c r="AG781" s="907"/>
      <c r="AH781" s="907"/>
      <c r="AI781" s="907"/>
      <c r="AJ781" s="907"/>
      <c r="AK781" s="907"/>
      <c r="AL781" s="907"/>
    </row>
    <row r="782" spans="1:38">
      <c r="A782" s="907"/>
      <c r="B782" s="907"/>
      <c r="C782" s="907"/>
      <c r="D782" s="907"/>
      <c r="E782" s="907"/>
      <c r="F782" s="907"/>
      <c r="G782" s="907"/>
      <c r="H782" s="907"/>
      <c r="I782" s="907"/>
      <c r="J782" s="907"/>
      <c r="K782" s="907"/>
      <c r="L782" s="907"/>
      <c r="M782" s="907"/>
      <c r="N782" s="907"/>
      <c r="O782" s="907"/>
      <c r="P782" s="907"/>
      <c r="Q782" s="907"/>
      <c r="R782" s="907"/>
      <c r="S782" s="907"/>
      <c r="T782" s="907"/>
      <c r="U782" s="907"/>
      <c r="V782" s="907"/>
      <c r="W782" s="907"/>
      <c r="X782" s="907"/>
      <c r="Y782" s="907"/>
      <c r="Z782" s="907"/>
      <c r="AA782" s="907"/>
      <c r="AB782" s="907"/>
      <c r="AC782" s="907"/>
      <c r="AD782" s="907"/>
      <c r="AE782" s="907"/>
      <c r="AF782" s="907"/>
      <c r="AG782" s="907"/>
      <c r="AH782" s="907"/>
      <c r="AI782" s="907"/>
      <c r="AJ782" s="907"/>
      <c r="AK782" s="907"/>
      <c r="AL782" s="907"/>
    </row>
    <row r="783" spans="1:38">
      <c r="A783" s="907"/>
      <c r="B783" s="907"/>
      <c r="C783" s="907"/>
      <c r="D783" s="907"/>
      <c r="E783" s="907"/>
      <c r="F783" s="907"/>
      <c r="G783" s="907"/>
      <c r="H783" s="907"/>
      <c r="I783" s="907"/>
      <c r="J783" s="907"/>
      <c r="K783" s="907"/>
      <c r="L783" s="907"/>
      <c r="M783" s="907"/>
      <c r="N783" s="907"/>
      <c r="O783" s="907"/>
      <c r="P783" s="907"/>
      <c r="Q783" s="907"/>
      <c r="R783" s="907"/>
      <c r="S783" s="907"/>
      <c r="T783" s="907"/>
      <c r="U783" s="907"/>
      <c r="V783" s="907"/>
      <c r="W783" s="907"/>
      <c r="X783" s="907"/>
      <c r="Y783" s="907"/>
      <c r="Z783" s="907"/>
      <c r="AA783" s="907"/>
      <c r="AB783" s="907"/>
      <c r="AC783" s="907"/>
      <c r="AD783" s="907"/>
      <c r="AE783" s="907"/>
      <c r="AF783" s="907"/>
      <c r="AG783" s="907"/>
      <c r="AH783" s="907"/>
      <c r="AI783" s="907"/>
      <c r="AJ783" s="907"/>
      <c r="AK783" s="907"/>
      <c r="AL783" s="907"/>
    </row>
    <row r="784" spans="1:38">
      <c r="A784" s="907"/>
      <c r="B784" s="907"/>
      <c r="C784" s="907"/>
      <c r="D784" s="907"/>
      <c r="E784" s="907"/>
      <c r="F784" s="907"/>
      <c r="G784" s="907"/>
      <c r="H784" s="907"/>
      <c r="I784" s="907"/>
      <c r="J784" s="907"/>
      <c r="K784" s="907"/>
      <c r="L784" s="907"/>
      <c r="M784" s="907"/>
      <c r="N784" s="907"/>
      <c r="O784" s="907"/>
      <c r="P784" s="907"/>
      <c r="Q784" s="907"/>
      <c r="R784" s="907"/>
      <c r="S784" s="907"/>
      <c r="T784" s="907"/>
      <c r="U784" s="907"/>
      <c r="V784" s="907"/>
      <c r="W784" s="907"/>
      <c r="X784" s="907"/>
      <c r="Y784" s="907"/>
      <c r="Z784" s="907"/>
      <c r="AA784" s="907"/>
      <c r="AB784" s="907"/>
      <c r="AC784" s="907"/>
      <c r="AD784" s="907"/>
      <c r="AE784" s="907"/>
      <c r="AF784" s="907"/>
      <c r="AG784" s="907"/>
      <c r="AH784" s="907"/>
      <c r="AI784" s="907"/>
      <c r="AJ784" s="907"/>
      <c r="AK784" s="907"/>
      <c r="AL784" s="907"/>
    </row>
    <row r="785" spans="1:38">
      <c r="A785" s="907"/>
      <c r="B785" s="907"/>
      <c r="C785" s="907"/>
      <c r="D785" s="907"/>
      <c r="E785" s="907"/>
      <c r="F785" s="907"/>
      <c r="G785" s="907"/>
      <c r="H785" s="907"/>
      <c r="I785" s="907"/>
      <c r="J785" s="907"/>
      <c r="K785" s="907"/>
      <c r="L785" s="907"/>
      <c r="M785" s="907"/>
      <c r="N785" s="907"/>
      <c r="O785" s="907"/>
      <c r="P785" s="907"/>
      <c r="Q785" s="907"/>
      <c r="R785" s="907"/>
      <c r="S785" s="907"/>
      <c r="T785" s="907"/>
      <c r="U785" s="907"/>
      <c r="V785" s="907"/>
      <c r="W785" s="907"/>
      <c r="X785" s="907"/>
      <c r="Y785" s="907"/>
      <c r="Z785" s="907"/>
      <c r="AA785" s="907"/>
      <c r="AB785" s="907"/>
      <c r="AC785" s="907"/>
      <c r="AD785" s="907"/>
      <c r="AE785" s="907"/>
      <c r="AF785" s="907"/>
      <c r="AG785" s="907"/>
      <c r="AH785" s="907"/>
      <c r="AI785" s="907"/>
      <c r="AJ785" s="907"/>
      <c r="AK785" s="907"/>
      <c r="AL785" s="907"/>
    </row>
    <row r="786" spans="1:38">
      <c r="A786" s="907"/>
      <c r="B786" s="907"/>
      <c r="C786" s="907"/>
      <c r="D786" s="907"/>
      <c r="E786" s="907"/>
      <c r="F786" s="907"/>
      <c r="G786" s="907"/>
      <c r="H786" s="907"/>
      <c r="I786" s="907"/>
      <c r="J786" s="907"/>
      <c r="K786" s="907"/>
      <c r="L786" s="907"/>
      <c r="M786" s="907"/>
      <c r="N786" s="907"/>
      <c r="O786" s="907"/>
      <c r="P786" s="907"/>
      <c r="Q786" s="907"/>
      <c r="R786" s="907"/>
      <c r="S786" s="907"/>
      <c r="T786" s="907"/>
      <c r="U786" s="907"/>
      <c r="V786" s="907"/>
      <c r="W786" s="907"/>
      <c r="X786" s="907"/>
      <c r="Y786" s="907"/>
      <c r="Z786" s="907"/>
      <c r="AA786" s="907"/>
      <c r="AB786" s="907"/>
      <c r="AC786" s="907"/>
      <c r="AD786" s="907"/>
      <c r="AE786" s="907"/>
      <c r="AF786" s="907"/>
      <c r="AG786" s="907"/>
      <c r="AH786" s="907"/>
      <c r="AI786" s="907"/>
      <c r="AJ786" s="907"/>
      <c r="AK786" s="907"/>
      <c r="AL786" s="907"/>
    </row>
    <row r="787" spans="1:38">
      <c r="A787" s="907"/>
      <c r="B787" s="907"/>
      <c r="C787" s="907"/>
      <c r="D787" s="907"/>
      <c r="E787" s="907"/>
      <c r="F787" s="907"/>
      <c r="G787" s="907"/>
      <c r="H787" s="907"/>
      <c r="I787" s="907"/>
      <c r="J787" s="907"/>
      <c r="K787" s="907"/>
      <c r="L787" s="907"/>
      <c r="M787" s="907"/>
      <c r="N787" s="907"/>
      <c r="O787" s="907"/>
      <c r="P787" s="907"/>
      <c r="Q787" s="907"/>
      <c r="R787" s="907"/>
      <c r="S787" s="907"/>
      <c r="T787" s="907"/>
      <c r="U787" s="907"/>
      <c r="V787" s="907"/>
      <c r="W787" s="907"/>
      <c r="X787" s="907"/>
      <c r="Y787" s="907"/>
      <c r="Z787" s="907"/>
      <c r="AA787" s="907"/>
      <c r="AB787" s="907"/>
      <c r="AC787" s="907"/>
      <c r="AD787" s="907"/>
      <c r="AE787" s="907"/>
      <c r="AF787" s="907"/>
      <c r="AG787" s="907"/>
      <c r="AH787" s="907"/>
      <c r="AI787" s="907"/>
      <c r="AJ787" s="907"/>
      <c r="AK787" s="907"/>
      <c r="AL787" s="907"/>
    </row>
    <row r="788" spans="1:38">
      <c r="A788" s="907"/>
      <c r="B788" s="907"/>
      <c r="C788" s="907"/>
      <c r="D788" s="907"/>
      <c r="E788" s="907"/>
      <c r="F788" s="907"/>
      <c r="G788" s="907"/>
      <c r="H788" s="907"/>
      <c r="I788" s="907"/>
      <c r="J788" s="907"/>
      <c r="K788" s="907"/>
      <c r="L788" s="907"/>
      <c r="M788" s="907"/>
      <c r="N788" s="907"/>
      <c r="O788" s="907"/>
      <c r="P788" s="907"/>
      <c r="Q788" s="907"/>
      <c r="R788" s="907"/>
      <c r="S788" s="907"/>
      <c r="T788" s="907"/>
      <c r="U788" s="907"/>
      <c r="V788" s="907"/>
      <c r="W788" s="907"/>
      <c r="X788" s="907"/>
      <c r="Y788" s="907"/>
      <c r="Z788" s="907"/>
      <c r="AA788" s="907"/>
      <c r="AB788" s="907"/>
      <c r="AC788" s="907"/>
      <c r="AD788" s="907"/>
      <c r="AE788" s="907"/>
      <c r="AF788" s="907"/>
      <c r="AG788" s="907"/>
      <c r="AH788" s="907"/>
      <c r="AI788" s="907"/>
      <c r="AJ788" s="907"/>
      <c r="AK788" s="907"/>
      <c r="AL788" s="907"/>
    </row>
    <row r="789" spans="1:38">
      <c r="A789" s="907"/>
      <c r="B789" s="907"/>
      <c r="C789" s="907"/>
      <c r="D789" s="907"/>
      <c r="E789" s="907"/>
      <c r="F789" s="907"/>
      <c r="G789" s="907"/>
      <c r="H789" s="907"/>
      <c r="I789" s="907"/>
      <c r="J789" s="907"/>
      <c r="K789" s="907"/>
      <c r="L789" s="907"/>
      <c r="M789" s="907"/>
      <c r="N789" s="907"/>
      <c r="O789" s="907"/>
      <c r="P789" s="907"/>
      <c r="Q789" s="907"/>
      <c r="R789" s="907"/>
      <c r="S789" s="907"/>
      <c r="T789" s="907"/>
      <c r="U789" s="907"/>
      <c r="V789" s="907"/>
      <c r="W789" s="907"/>
      <c r="X789" s="907"/>
      <c r="Y789" s="907"/>
      <c r="Z789" s="907"/>
      <c r="AA789" s="907"/>
      <c r="AB789" s="907"/>
      <c r="AC789" s="907"/>
      <c r="AD789" s="907"/>
      <c r="AE789" s="907"/>
      <c r="AF789" s="907"/>
      <c r="AG789" s="907"/>
      <c r="AH789" s="907"/>
      <c r="AI789" s="907"/>
      <c r="AJ789" s="907"/>
      <c r="AK789" s="907"/>
      <c r="AL789" s="907"/>
    </row>
    <row r="790" spans="1:38">
      <c r="A790" s="907"/>
      <c r="B790" s="907"/>
      <c r="C790" s="907"/>
      <c r="D790" s="907"/>
      <c r="E790" s="907"/>
      <c r="F790" s="907"/>
      <c r="G790" s="907"/>
      <c r="H790" s="907"/>
      <c r="I790" s="907"/>
      <c r="J790" s="907"/>
      <c r="K790" s="907"/>
      <c r="L790" s="907"/>
      <c r="M790" s="907"/>
      <c r="N790" s="907"/>
      <c r="O790" s="907"/>
      <c r="P790" s="907"/>
      <c r="Q790" s="907"/>
      <c r="R790" s="907"/>
      <c r="S790" s="907"/>
      <c r="T790" s="907"/>
      <c r="U790" s="907"/>
      <c r="V790" s="907"/>
      <c r="W790" s="907"/>
      <c r="X790" s="907"/>
      <c r="Y790" s="907"/>
      <c r="Z790" s="907"/>
      <c r="AA790" s="907"/>
      <c r="AB790" s="907"/>
      <c r="AC790" s="907"/>
      <c r="AD790" s="907"/>
      <c r="AE790" s="907"/>
      <c r="AF790" s="907"/>
      <c r="AG790" s="907"/>
      <c r="AH790" s="907"/>
      <c r="AI790" s="907"/>
      <c r="AJ790" s="907"/>
      <c r="AK790" s="907"/>
      <c r="AL790" s="907"/>
    </row>
    <row r="791" spans="1:38">
      <c r="A791" s="907"/>
      <c r="B791" s="907"/>
      <c r="C791" s="907"/>
      <c r="D791" s="907"/>
      <c r="E791" s="907"/>
      <c r="F791" s="907"/>
      <c r="G791" s="907"/>
      <c r="H791" s="907"/>
      <c r="I791" s="907"/>
      <c r="J791" s="907"/>
      <c r="K791" s="907"/>
      <c r="L791" s="907"/>
      <c r="M791" s="907"/>
      <c r="N791" s="907"/>
      <c r="O791" s="907"/>
      <c r="P791" s="907"/>
      <c r="Q791" s="907"/>
      <c r="R791" s="907"/>
      <c r="S791" s="907"/>
      <c r="T791" s="907"/>
      <c r="U791" s="907"/>
      <c r="V791" s="907"/>
      <c r="W791" s="907"/>
      <c r="X791" s="907"/>
      <c r="Y791" s="907"/>
      <c r="Z791" s="907"/>
      <c r="AA791" s="907"/>
      <c r="AB791" s="907"/>
      <c r="AC791" s="907"/>
      <c r="AD791" s="907"/>
      <c r="AE791" s="907"/>
      <c r="AF791" s="907"/>
      <c r="AG791" s="907"/>
      <c r="AH791" s="907"/>
      <c r="AI791" s="907"/>
      <c r="AJ791" s="907"/>
      <c r="AK791" s="907"/>
      <c r="AL791" s="907"/>
    </row>
    <row r="792" spans="1:38">
      <c r="A792" s="907"/>
      <c r="B792" s="907"/>
      <c r="C792" s="907"/>
      <c r="D792" s="907"/>
      <c r="E792" s="907"/>
      <c r="F792" s="907"/>
      <c r="G792" s="907"/>
      <c r="H792" s="907"/>
      <c r="I792" s="907"/>
      <c r="J792" s="907"/>
      <c r="K792" s="907"/>
      <c r="L792" s="907"/>
      <c r="M792" s="907"/>
      <c r="N792" s="907"/>
      <c r="O792" s="907"/>
      <c r="P792" s="907"/>
      <c r="Q792" s="907"/>
      <c r="R792" s="907"/>
      <c r="S792" s="907"/>
      <c r="T792" s="907"/>
      <c r="U792" s="907"/>
      <c r="V792" s="907"/>
      <c r="W792" s="907"/>
      <c r="X792" s="907"/>
      <c r="Y792" s="907"/>
      <c r="Z792" s="907"/>
      <c r="AA792" s="907"/>
      <c r="AB792" s="907"/>
      <c r="AC792" s="907"/>
      <c r="AD792" s="907"/>
      <c r="AE792" s="907"/>
      <c r="AF792" s="907"/>
      <c r="AG792" s="907"/>
      <c r="AH792" s="907"/>
      <c r="AI792" s="907"/>
      <c r="AJ792" s="907"/>
      <c r="AK792" s="907"/>
      <c r="AL792" s="907"/>
    </row>
    <row r="793" spans="1:38">
      <c r="A793" s="907"/>
      <c r="B793" s="907"/>
      <c r="C793" s="907"/>
      <c r="D793" s="907"/>
      <c r="E793" s="907"/>
      <c r="F793" s="907"/>
      <c r="G793" s="907"/>
      <c r="H793" s="907"/>
      <c r="I793" s="907"/>
      <c r="J793" s="907"/>
      <c r="K793" s="907"/>
      <c r="L793" s="907"/>
      <c r="M793" s="907"/>
      <c r="N793" s="907"/>
      <c r="O793" s="907"/>
      <c r="P793" s="907"/>
      <c r="Q793" s="907"/>
      <c r="R793" s="907"/>
      <c r="S793" s="907"/>
      <c r="T793" s="907"/>
      <c r="U793" s="907"/>
      <c r="V793" s="907"/>
      <c r="W793" s="907"/>
      <c r="X793" s="907"/>
      <c r="Y793" s="907"/>
      <c r="Z793" s="907"/>
      <c r="AA793" s="907"/>
      <c r="AB793" s="907"/>
      <c r="AC793" s="907"/>
      <c r="AD793" s="907"/>
      <c r="AE793" s="907"/>
      <c r="AF793" s="907"/>
      <c r="AG793" s="907"/>
      <c r="AH793" s="907"/>
      <c r="AI793" s="907"/>
      <c r="AJ793" s="907"/>
      <c r="AK793" s="907"/>
      <c r="AL793" s="907"/>
    </row>
    <row r="794" spans="1:38">
      <c r="A794" s="907"/>
      <c r="B794" s="907"/>
      <c r="C794" s="907"/>
      <c r="D794" s="907"/>
      <c r="E794" s="907"/>
      <c r="F794" s="907"/>
      <c r="G794" s="907"/>
      <c r="H794" s="907"/>
      <c r="I794" s="907"/>
      <c r="J794" s="907"/>
      <c r="K794" s="907"/>
      <c r="L794" s="907"/>
      <c r="M794" s="907"/>
      <c r="N794" s="907"/>
      <c r="O794" s="907"/>
      <c r="P794" s="907"/>
      <c r="Q794" s="907"/>
      <c r="R794" s="907"/>
      <c r="S794" s="907"/>
      <c r="T794" s="907"/>
      <c r="U794" s="907"/>
      <c r="V794" s="907"/>
      <c r="W794" s="907"/>
      <c r="X794" s="907"/>
      <c r="Y794" s="907"/>
      <c r="Z794" s="907"/>
      <c r="AA794" s="907"/>
      <c r="AB794" s="907"/>
      <c r="AC794" s="907"/>
      <c r="AD794" s="907"/>
      <c r="AE794" s="907"/>
      <c r="AF794" s="907"/>
      <c r="AG794" s="907"/>
      <c r="AH794" s="907"/>
      <c r="AI794" s="907"/>
      <c r="AJ794" s="907"/>
      <c r="AK794" s="907"/>
      <c r="AL794" s="907"/>
    </row>
    <row r="795" spans="1:38">
      <c r="A795" s="907"/>
      <c r="B795" s="907"/>
      <c r="C795" s="907"/>
      <c r="D795" s="907"/>
      <c r="E795" s="907"/>
      <c r="F795" s="907"/>
      <c r="G795" s="907"/>
      <c r="H795" s="907"/>
      <c r="I795" s="907"/>
      <c r="J795" s="907"/>
      <c r="K795" s="907"/>
      <c r="L795" s="907"/>
      <c r="M795" s="907"/>
      <c r="N795" s="907"/>
      <c r="O795" s="907"/>
      <c r="P795" s="907"/>
      <c r="Q795" s="907"/>
      <c r="R795" s="907"/>
      <c r="S795" s="907"/>
      <c r="T795" s="907"/>
      <c r="U795" s="907"/>
      <c r="V795" s="907"/>
      <c r="W795" s="907"/>
      <c r="X795" s="907"/>
      <c r="Y795" s="907"/>
      <c r="Z795" s="907"/>
      <c r="AA795" s="907"/>
      <c r="AB795" s="907"/>
      <c r="AC795" s="907"/>
      <c r="AD795" s="907"/>
      <c r="AE795" s="907"/>
      <c r="AF795" s="907"/>
      <c r="AG795" s="907"/>
      <c r="AH795" s="907"/>
      <c r="AI795" s="907"/>
      <c r="AJ795" s="907"/>
      <c r="AK795" s="907"/>
      <c r="AL795" s="907"/>
    </row>
    <row r="796" spans="1:38">
      <c r="A796" s="907"/>
      <c r="B796" s="907"/>
      <c r="C796" s="907"/>
      <c r="D796" s="907"/>
      <c r="E796" s="907"/>
      <c r="F796" s="907"/>
      <c r="G796" s="907"/>
      <c r="H796" s="907"/>
      <c r="I796" s="907"/>
      <c r="J796" s="907"/>
      <c r="K796" s="907"/>
      <c r="L796" s="907"/>
      <c r="M796" s="907"/>
      <c r="N796" s="907"/>
      <c r="O796" s="907"/>
      <c r="P796" s="907"/>
      <c r="Q796" s="907"/>
      <c r="R796" s="907"/>
      <c r="S796" s="907"/>
      <c r="T796" s="907"/>
      <c r="U796" s="907"/>
      <c r="V796" s="907"/>
      <c r="W796" s="907"/>
      <c r="X796" s="907"/>
      <c r="Y796" s="907"/>
      <c r="Z796" s="907"/>
      <c r="AA796" s="907"/>
      <c r="AB796" s="907"/>
      <c r="AC796" s="907"/>
      <c r="AD796" s="907"/>
      <c r="AE796" s="907"/>
      <c r="AF796" s="907"/>
      <c r="AG796" s="907"/>
      <c r="AH796" s="907"/>
      <c r="AI796" s="907"/>
      <c r="AJ796" s="907"/>
      <c r="AK796" s="907"/>
      <c r="AL796" s="907"/>
    </row>
    <row r="797" spans="1:38">
      <c r="A797" s="907"/>
      <c r="B797" s="907"/>
      <c r="C797" s="907"/>
      <c r="D797" s="907"/>
      <c r="E797" s="907"/>
      <c r="F797" s="907"/>
      <c r="G797" s="907"/>
      <c r="H797" s="907"/>
      <c r="I797" s="907"/>
      <c r="J797" s="907"/>
      <c r="K797" s="907"/>
      <c r="L797" s="907"/>
      <c r="M797" s="907"/>
      <c r="N797" s="907"/>
      <c r="O797" s="907"/>
      <c r="P797" s="907"/>
      <c r="Q797" s="907"/>
      <c r="R797" s="907"/>
      <c r="S797" s="907"/>
      <c r="T797" s="907"/>
      <c r="U797" s="907"/>
      <c r="V797" s="907"/>
      <c r="W797" s="907"/>
      <c r="X797" s="907"/>
      <c r="Y797" s="907"/>
      <c r="Z797" s="907"/>
      <c r="AA797" s="907"/>
      <c r="AB797" s="907"/>
      <c r="AC797" s="907"/>
      <c r="AD797" s="907"/>
      <c r="AE797" s="907"/>
      <c r="AF797" s="907"/>
      <c r="AG797" s="907"/>
      <c r="AH797" s="907"/>
      <c r="AI797" s="907"/>
      <c r="AJ797" s="907"/>
      <c r="AK797" s="907"/>
      <c r="AL797" s="907"/>
    </row>
    <row r="798" spans="1:38">
      <c r="A798" s="907"/>
      <c r="B798" s="907"/>
      <c r="C798" s="907"/>
      <c r="D798" s="907"/>
      <c r="E798" s="907"/>
      <c r="F798" s="907"/>
      <c r="G798" s="907"/>
      <c r="H798" s="907"/>
      <c r="I798" s="907"/>
      <c r="J798" s="907"/>
      <c r="K798" s="907"/>
      <c r="L798" s="907"/>
      <c r="M798" s="907"/>
      <c r="N798" s="907"/>
      <c r="O798" s="907"/>
      <c r="P798" s="907"/>
      <c r="Q798" s="907"/>
      <c r="R798" s="907"/>
      <c r="S798" s="907"/>
      <c r="T798" s="907"/>
      <c r="U798" s="907"/>
      <c r="V798" s="907"/>
      <c r="W798" s="907"/>
      <c r="X798" s="907"/>
      <c r="Y798" s="907"/>
      <c r="Z798" s="907"/>
      <c r="AA798" s="907"/>
      <c r="AB798" s="907"/>
      <c r="AC798" s="907"/>
      <c r="AD798" s="907"/>
      <c r="AE798" s="907"/>
      <c r="AF798" s="907"/>
      <c r="AG798" s="907"/>
      <c r="AH798" s="907"/>
      <c r="AI798" s="907"/>
      <c r="AJ798" s="907"/>
      <c r="AK798" s="907"/>
      <c r="AL798" s="907"/>
    </row>
    <row r="799" spans="1:38">
      <c r="A799" s="907"/>
      <c r="B799" s="907"/>
      <c r="C799" s="907"/>
      <c r="D799" s="907"/>
      <c r="E799" s="907"/>
      <c r="F799" s="907"/>
      <c r="G799" s="907"/>
      <c r="H799" s="907"/>
      <c r="I799" s="907"/>
      <c r="J799" s="907"/>
      <c r="K799" s="907"/>
      <c r="L799" s="907"/>
      <c r="M799" s="907"/>
      <c r="N799" s="907"/>
      <c r="O799" s="907"/>
      <c r="P799" s="907"/>
      <c r="Q799" s="907"/>
      <c r="R799" s="907"/>
      <c r="S799" s="907"/>
      <c r="T799" s="907"/>
      <c r="U799" s="907"/>
      <c r="V799" s="907"/>
      <c r="W799" s="907"/>
      <c r="X799" s="907"/>
      <c r="Y799" s="907"/>
      <c r="Z799" s="907"/>
      <c r="AA799" s="907"/>
      <c r="AB799" s="907"/>
      <c r="AC799" s="907"/>
      <c r="AD799" s="907"/>
      <c r="AE799" s="907"/>
      <c r="AF799" s="907"/>
      <c r="AG799" s="907"/>
      <c r="AH799" s="907"/>
      <c r="AI799" s="907"/>
      <c r="AJ799" s="907"/>
      <c r="AK799" s="907"/>
      <c r="AL799" s="907"/>
    </row>
    <row r="800" spans="1:38">
      <c r="A800" s="907"/>
      <c r="B800" s="907"/>
      <c r="C800" s="907"/>
      <c r="D800" s="907"/>
      <c r="E800" s="907"/>
      <c r="F800" s="907"/>
      <c r="G800" s="907"/>
      <c r="H800" s="907"/>
      <c r="I800" s="907"/>
      <c r="J800" s="907"/>
      <c r="K800" s="907"/>
      <c r="L800" s="907"/>
      <c r="M800" s="907"/>
      <c r="N800" s="907"/>
      <c r="O800" s="907"/>
      <c r="P800" s="907"/>
      <c r="Q800" s="907"/>
      <c r="R800" s="907"/>
      <c r="S800" s="907"/>
      <c r="T800" s="907"/>
      <c r="U800" s="907"/>
      <c r="V800" s="907"/>
      <c r="W800" s="907"/>
      <c r="X800" s="907"/>
      <c r="Y800" s="907"/>
      <c r="Z800" s="907"/>
      <c r="AA800" s="907"/>
      <c r="AB800" s="907"/>
      <c r="AC800" s="907"/>
      <c r="AD800" s="907"/>
      <c r="AE800" s="907"/>
      <c r="AF800" s="907"/>
      <c r="AG800" s="907"/>
      <c r="AH800" s="907"/>
      <c r="AI800" s="907"/>
      <c r="AJ800" s="907"/>
      <c r="AK800" s="907"/>
      <c r="AL800" s="907"/>
    </row>
    <row r="801" spans="1:38">
      <c r="A801" s="907"/>
      <c r="B801" s="907"/>
      <c r="C801" s="907"/>
      <c r="D801" s="907"/>
      <c r="E801" s="907"/>
      <c r="F801" s="907"/>
      <c r="G801" s="907"/>
      <c r="H801" s="907"/>
      <c r="I801" s="907"/>
      <c r="J801" s="907"/>
      <c r="K801" s="907"/>
      <c r="L801" s="907"/>
      <c r="M801" s="907"/>
      <c r="N801" s="907"/>
      <c r="O801" s="907"/>
      <c r="P801" s="907"/>
      <c r="Q801" s="907"/>
      <c r="R801" s="907"/>
      <c r="S801" s="907"/>
      <c r="T801" s="907"/>
      <c r="U801" s="907"/>
      <c r="V801" s="907"/>
      <c r="W801" s="907"/>
      <c r="X801" s="907"/>
      <c r="Y801" s="907"/>
      <c r="Z801" s="907"/>
      <c r="AA801" s="907"/>
      <c r="AB801" s="907"/>
      <c r="AC801" s="907"/>
      <c r="AD801" s="907"/>
      <c r="AE801" s="907"/>
      <c r="AF801" s="907"/>
      <c r="AG801" s="907"/>
      <c r="AH801" s="907"/>
      <c r="AI801" s="907"/>
      <c r="AJ801" s="907"/>
      <c r="AK801" s="907"/>
      <c r="AL801" s="907"/>
    </row>
    <row r="802" spans="1:38">
      <c r="A802" s="907"/>
      <c r="B802" s="907"/>
      <c r="C802" s="907"/>
      <c r="D802" s="907"/>
      <c r="E802" s="907"/>
      <c r="F802" s="907"/>
      <c r="G802" s="907"/>
      <c r="H802" s="907"/>
      <c r="I802" s="907"/>
      <c r="J802" s="907"/>
      <c r="K802" s="907"/>
      <c r="L802" s="907"/>
      <c r="M802" s="907"/>
      <c r="N802" s="907"/>
      <c r="O802" s="907"/>
      <c r="P802" s="907"/>
      <c r="Q802" s="907"/>
      <c r="R802" s="907"/>
      <c r="S802" s="907"/>
      <c r="T802" s="907"/>
      <c r="U802" s="907"/>
      <c r="V802" s="907"/>
      <c r="W802" s="907"/>
      <c r="X802" s="907"/>
      <c r="Y802" s="907"/>
      <c r="Z802" s="907"/>
      <c r="AA802" s="907"/>
      <c r="AB802" s="907"/>
      <c r="AC802" s="907"/>
      <c r="AD802" s="907"/>
      <c r="AE802" s="907"/>
      <c r="AF802" s="907"/>
      <c r="AG802" s="907"/>
      <c r="AH802" s="907"/>
      <c r="AI802" s="907"/>
      <c r="AJ802" s="907"/>
      <c r="AK802" s="907"/>
      <c r="AL802" s="907"/>
    </row>
    <row r="803" spans="1:38">
      <c r="A803" s="907"/>
      <c r="B803" s="907"/>
      <c r="C803" s="907"/>
      <c r="D803" s="907"/>
      <c r="E803" s="907"/>
      <c r="F803" s="907"/>
      <c r="G803" s="907"/>
      <c r="H803" s="907"/>
      <c r="I803" s="907"/>
      <c r="J803" s="907"/>
      <c r="K803" s="907"/>
      <c r="L803" s="907"/>
      <c r="M803" s="907"/>
      <c r="N803" s="907"/>
      <c r="O803" s="907"/>
      <c r="P803" s="907"/>
      <c r="Q803" s="907"/>
      <c r="R803" s="907"/>
      <c r="S803" s="907"/>
      <c r="T803" s="907"/>
      <c r="U803" s="907"/>
      <c r="V803" s="907"/>
      <c r="W803" s="907"/>
      <c r="X803" s="907"/>
      <c r="Y803" s="907"/>
      <c r="Z803" s="907"/>
      <c r="AA803" s="907"/>
      <c r="AB803" s="907"/>
      <c r="AC803" s="907"/>
      <c r="AD803" s="907"/>
      <c r="AE803" s="907"/>
      <c r="AF803" s="907"/>
      <c r="AG803" s="907"/>
      <c r="AH803" s="907"/>
      <c r="AI803" s="907"/>
      <c r="AJ803" s="907"/>
      <c r="AK803" s="907"/>
      <c r="AL803" s="907"/>
    </row>
    <row r="804" spans="1:38">
      <c r="A804" s="907"/>
      <c r="B804" s="907"/>
      <c r="C804" s="907"/>
      <c r="D804" s="907"/>
      <c r="E804" s="907"/>
      <c r="F804" s="907"/>
      <c r="G804" s="907"/>
      <c r="H804" s="907"/>
      <c r="I804" s="907"/>
      <c r="J804" s="907"/>
      <c r="K804" s="907"/>
      <c r="L804" s="907"/>
      <c r="M804" s="907"/>
      <c r="N804" s="907"/>
      <c r="O804" s="907"/>
      <c r="P804" s="907"/>
      <c r="Q804" s="907"/>
      <c r="R804" s="907"/>
      <c r="S804" s="907"/>
      <c r="T804" s="907"/>
      <c r="U804" s="907"/>
      <c r="V804" s="907"/>
      <c r="W804" s="907"/>
      <c r="X804" s="907"/>
      <c r="Y804" s="907"/>
      <c r="Z804" s="907"/>
      <c r="AA804" s="907"/>
      <c r="AB804" s="907"/>
      <c r="AC804" s="907"/>
      <c r="AD804" s="907"/>
      <c r="AE804" s="907"/>
      <c r="AF804" s="907"/>
      <c r="AG804" s="907"/>
      <c r="AH804" s="907"/>
      <c r="AI804" s="907"/>
      <c r="AJ804" s="907"/>
      <c r="AK804" s="907"/>
      <c r="AL804" s="907"/>
    </row>
    <row r="805" spans="1:38">
      <c r="A805" s="907"/>
      <c r="B805" s="907"/>
      <c r="C805" s="907"/>
      <c r="D805" s="907"/>
      <c r="E805" s="907"/>
      <c r="F805" s="907"/>
      <c r="G805" s="907"/>
      <c r="H805" s="907"/>
      <c r="I805" s="907"/>
      <c r="J805" s="907"/>
      <c r="K805" s="907"/>
      <c r="L805" s="907"/>
      <c r="M805" s="907"/>
      <c r="N805" s="907"/>
      <c r="O805" s="907"/>
      <c r="P805" s="907"/>
      <c r="Q805" s="907"/>
      <c r="R805" s="907"/>
      <c r="S805" s="907"/>
      <c r="T805" s="907"/>
      <c r="U805" s="907"/>
      <c r="V805" s="907"/>
      <c r="W805" s="907"/>
      <c r="X805" s="907"/>
      <c r="Y805" s="907"/>
      <c r="Z805" s="907"/>
      <c r="AA805" s="907"/>
      <c r="AB805" s="907"/>
      <c r="AC805" s="907"/>
      <c r="AD805" s="907"/>
      <c r="AE805" s="907"/>
      <c r="AF805" s="907"/>
      <c r="AG805" s="907"/>
      <c r="AH805" s="907"/>
      <c r="AI805" s="907"/>
      <c r="AJ805" s="907"/>
      <c r="AK805" s="907"/>
      <c r="AL805" s="907"/>
    </row>
    <row r="806" spans="1:38">
      <c r="A806" s="907"/>
      <c r="B806" s="907"/>
      <c r="C806" s="907"/>
      <c r="D806" s="907"/>
      <c r="E806" s="907"/>
      <c r="F806" s="907"/>
      <c r="G806" s="907"/>
      <c r="H806" s="907"/>
      <c r="I806" s="907"/>
      <c r="J806" s="907"/>
      <c r="K806" s="907"/>
      <c r="L806" s="907"/>
      <c r="M806" s="907"/>
      <c r="N806" s="907"/>
      <c r="O806" s="907"/>
      <c r="P806" s="907"/>
      <c r="Q806" s="907"/>
      <c r="R806" s="907"/>
      <c r="S806" s="907"/>
      <c r="T806" s="907"/>
      <c r="U806" s="907"/>
      <c r="V806" s="907"/>
      <c r="W806" s="907"/>
      <c r="X806" s="907"/>
      <c r="Y806" s="907"/>
      <c r="Z806" s="907"/>
      <c r="AA806" s="907"/>
      <c r="AB806" s="907"/>
      <c r="AC806" s="907"/>
      <c r="AD806" s="907"/>
      <c r="AE806" s="907"/>
      <c r="AF806" s="907"/>
      <c r="AG806" s="907"/>
      <c r="AH806" s="907"/>
      <c r="AI806" s="907"/>
      <c r="AJ806" s="907"/>
      <c r="AK806" s="907"/>
      <c r="AL806" s="907"/>
    </row>
    <row r="807" spans="1:38">
      <c r="A807" s="907"/>
      <c r="B807" s="907"/>
      <c r="C807" s="907"/>
      <c r="D807" s="907"/>
      <c r="E807" s="907"/>
      <c r="F807" s="907"/>
      <c r="G807" s="907"/>
      <c r="H807" s="907"/>
      <c r="I807" s="907"/>
      <c r="J807" s="907"/>
      <c r="K807" s="907"/>
      <c r="L807" s="907"/>
      <c r="M807" s="907"/>
      <c r="N807" s="907"/>
      <c r="O807" s="907"/>
      <c r="P807" s="907"/>
      <c r="Q807" s="907"/>
      <c r="R807" s="907"/>
      <c r="S807" s="907"/>
      <c r="T807" s="907"/>
      <c r="U807" s="907"/>
      <c r="V807" s="907"/>
      <c r="W807" s="907"/>
      <c r="X807" s="907"/>
      <c r="Y807" s="907"/>
      <c r="Z807" s="907"/>
      <c r="AA807" s="907"/>
      <c r="AB807" s="907"/>
      <c r="AC807" s="907"/>
      <c r="AD807" s="907"/>
      <c r="AE807" s="907"/>
      <c r="AF807" s="907"/>
      <c r="AG807" s="907"/>
      <c r="AH807" s="907"/>
      <c r="AI807" s="907"/>
      <c r="AJ807" s="907"/>
      <c r="AK807" s="907"/>
      <c r="AL807" s="907"/>
    </row>
    <row r="808" spans="1:38">
      <c r="A808" s="907"/>
      <c r="B808" s="907"/>
      <c r="C808" s="907"/>
      <c r="D808" s="907"/>
      <c r="E808" s="907"/>
      <c r="F808" s="907"/>
      <c r="G808" s="907"/>
      <c r="H808" s="907"/>
      <c r="I808" s="907"/>
      <c r="J808" s="907"/>
      <c r="K808" s="907"/>
      <c r="L808" s="907"/>
      <c r="M808" s="907"/>
      <c r="N808" s="907"/>
      <c r="O808" s="907"/>
      <c r="P808" s="907"/>
      <c r="Q808" s="907"/>
      <c r="R808" s="907"/>
      <c r="S808" s="907"/>
      <c r="T808" s="907"/>
      <c r="U808" s="907"/>
      <c r="V808" s="907"/>
      <c r="W808" s="907"/>
      <c r="X808" s="907"/>
      <c r="Y808" s="907"/>
      <c r="Z808" s="907"/>
      <c r="AA808" s="907"/>
      <c r="AB808" s="907"/>
      <c r="AC808" s="907"/>
      <c r="AD808" s="907"/>
      <c r="AE808" s="907"/>
      <c r="AF808" s="907"/>
      <c r="AG808" s="907"/>
      <c r="AH808" s="907"/>
      <c r="AI808" s="907"/>
      <c r="AJ808" s="907"/>
      <c r="AK808" s="907"/>
      <c r="AL808" s="907"/>
    </row>
    <row r="809" spans="1:38">
      <c r="A809" s="907"/>
      <c r="B809" s="907"/>
      <c r="C809" s="907"/>
      <c r="D809" s="907"/>
      <c r="E809" s="907"/>
      <c r="F809" s="907"/>
      <c r="G809" s="907"/>
      <c r="H809" s="907"/>
      <c r="I809" s="907"/>
      <c r="J809" s="907"/>
      <c r="K809" s="907"/>
      <c r="L809" s="907"/>
      <c r="M809" s="907"/>
      <c r="N809" s="907"/>
      <c r="O809" s="907"/>
      <c r="P809" s="907"/>
      <c r="Q809" s="907"/>
      <c r="R809" s="907"/>
      <c r="S809" s="907"/>
      <c r="T809" s="907"/>
      <c r="U809" s="907"/>
      <c r="V809" s="907"/>
      <c r="W809" s="907"/>
      <c r="X809" s="907"/>
      <c r="Y809" s="907"/>
      <c r="Z809" s="907"/>
      <c r="AA809" s="907"/>
      <c r="AB809" s="907"/>
      <c r="AC809" s="907"/>
      <c r="AD809" s="907"/>
      <c r="AE809" s="907"/>
      <c r="AF809" s="907"/>
      <c r="AG809" s="907"/>
      <c r="AH809" s="907"/>
      <c r="AI809" s="907"/>
      <c r="AJ809" s="907"/>
      <c r="AK809" s="907"/>
      <c r="AL809" s="907"/>
    </row>
    <row r="810" spans="1:38">
      <c r="A810" s="907"/>
      <c r="B810" s="907"/>
      <c r="C810" s="907"/>
      <c r="D810" s="907"/>
      <c r="E810" s="907"/>
      <c r="F810" s="907"/>
      <c r="G810" s="907"/>
      <c r="H810" s="907"/>
      <c r="I810" s="907"/>
      <c r="J810" s="907"/>
      <c r="K810" s="907"/>
      <c r="L810" s="907"/>
      <c r="M810" s="907"/>
      <c r="N810" s="907"/>
      <c r="O810" s="907"/>
      <c r="P810" s="907"/>
      <c r="Q810" s="907"/>
      <c r="R810" s="907"/>
      <c r="S810" s="907"/>
      <c r="T810" s="907"/>
      <c r="U810" s="907"/>
      <c r="V810" s="907"/>
      <c r="W810" s="907"/>
      <c r="X810" s="907"/>
      <c r="Y810" s="907"/>
      <c r="Z810" s="907"/>
      <c r="AA810" s="907"/>
      <c r="AB810" s="907"/>
      <c r="AC810" s="907"/>
      <c r="AD810" s="907"/>
      <c r="AE810" s="907"/>
      <c r="AF810" s="907"/>
      <c r="AG810" s="907"/>
      <c r="AH810" s="907"/>
      <c r="AI810" s="907"/>
      <c r="AJ810" s="907"/>
      <c r="AK810" s="907"/>
      <c r="AL810" s="907"/>
    </row>
    <row r="811" spans="1:38">
      <c r="A811" s="907"/>
      <c r="B811" s="907"/>
      <c r="C811" s="907"/>
      <c r="D811" s="907"/>
      <c r="E811" s="907"/>
      <c r="F811" s="907"/>
      <c r="G811" s="907"/>
      <c r="H811" s="907"/>
      <c r="I811" s="907"/>
      <c r="J811" s="907"/>
      <c r="K811" s="907"/>
      <c r="L811" s="907"/>
      <c r="M811" s="907"/>
      <c r="N811" s="907"/>
      <c r="O811" s="907"/>
      <c r="P811" s="907"/>
      <c r="Q811" s="907"/>
      <c r="R811" s="907"/>
      <c r="S811" s="907"/>
      <c r="T811" s="907"/>
      <c r="U811" s="907"/>
      <c r="V811" s="907"/>
      <c r="W811" s="907"/>
      <c r="X811" s="907"/>
      <c r="Y811" s="907"/>
      <c r="Z811" s="907"/>
      <c r="AA811" s="907"/>
      <c r="AB811" s="907"/>
      <c r="AC811" s="907"/>
      <c r="AD811" s="907"/>
      <c r="AE811" s="907"/>
      <c r="AF811" s="907"/>
      <c r="AG811" s="907"/>
      <c r="AH811" s="907"/>
      <c r="AI811" s="907"/>
      <c r="AJ811" s="907"/>
      <c r="AK811" s="907"/>
      <c r="AL811" s="907"/>
    </row>
    <row r="812" spans="1:38">
      <c r="A812" s="907"/>
      <c r="B812" s="907"/>
      <c r="C812" s="907"/>
      <c r="D812" s="907"/>
      <c r="E812" s="907"/>
      <c r="F812" s="907"/>
      <c r="G812" s="907"/>
      <c r="H812" s="907"/>
      <c r="I812" s="907"/>
      <c r="J812" s="907"/>
      <c r="K812" s="907"/>
      <c r="L812" s="907"/>
      <c r="M812" s="907"/>
      <c r="N812" s="907"/>
      <c r="O812" s="907"/>
      <c r="P812" s="907"/>
      <c r="Q812" s="907"/>
      <c r="R812" s="907"/>
      <c r="S812" s="907"/>
      <c r="T812" s="907"/>
      <c r="U812" s="907"/>
      <c r="V812" s="907"/>
      <c r="W812" s="907"/>
      <c r="X812" s="907"/>
      <c r="Y812" s="907"/>
      <c r="Z812" s="907"/>
      <c r="AA812" s="907"/>
      <c r="AB812" s="907"/>
      <c r="AC812" s="907"/>
      <c r="AD812" s="907"/>
      <c r="AE812" s="907"/>
      <c r="AF812" s="907"/>
      <c r="AG812" s="907"/>
      <c r="AH812" s="907"/>
      <c r="AI812" s="907"/>
      <c r="AJ812" s="907"/>
      <c r="AK812" s="907"/>
      <c r="AL812" s="907"/>
    </row>
    <row r="813" spans="1:38">
      <c r="A813" s="907"/>
      <c r="B813" s="907"/>
      <c r="C813" s="907"/>
      <c r="D813" s="907"/>
      <c r="E813" s="907"/>
      <c r="F813" s="907"/>
      <c r="G813" s="907"/>
      <c r="H813" s="907"/>
      <c r="I813" s="907"/>
      <c r="J813" s="907"/>
      <c r="K813" s="907"/>
      <c r="L813" s="907"/>
      <c r="M813" s="907"/>
      <c r="N813" s="907"/>
      <c r="O813" s="907"/>
      <c r="P813" s="907"/>
      <c r="Q813" s="907"/>
      <c r="R813" s="907"/>
      <c r="S813" s="907"/>
      <c r="T813" s="907"/>
      <c r="U813" s="907"/>
      <c r="V813" s="907"/>
      <c r="W813" s="907"/>
      <c r="X813" s="907"/>
      <c r="Y813" s="907"/>
      <c r="Z813" s="907"/>
      <c r="AA813" s="907"/>
      <c r="AB813" s="907"/>
      <c r="AC813" s="907"/>
      <c r="AD813" s="907"/>
      <c r="AE813" s="907"/>
      <c r="AF813" s="907"/>
      <c r="AG813" s="907"/>
      <c r="AH813" s="907"/>
      <c r="AI813" s="907"/>
      <c r="AJ813" s="907"/>
      <c r="AK813" s="907"/>
      <c r="AL813" s="907"/>
    </row>
    <row r="814" spans="1:38">
      <c r="A814" s="907"/>
      <c r="B814" s="907"/>
      <c r="C814" s="907"/>
      <c r="D814" s="907"/>
      <c r="E814" s="907"/>
      <c r="F814" s="907"/>
      <c r="G814" s="907"/>
      <c r="H814" s="907"/>
      <c r="I814" s="907"/>
      <c r="J814" s="907"/>
      <c r="K814" s="907"/>
      <c r="L814" s="907"/>
      <c r="M814" s="907"/>
      <c r="N814" s="907"/>
      <c r="O814" s="907"/>
      <c r="P814" s="907"/>
      <c r="Q814" s="907"/>
      <c r="R814" s="907"/>
      <c r="S814" s="907"/>
      <c r="T814" s="907"/>
      <c r="U814" s="907"/>
      <c r="V814" s="907"/>
      <c r="W814" s="907"/>
      <c r="X814" s="907"/>
      <c r="Y814" s="907"/>
      <c r="Z814" s="907"/>
      <c r="AA814" s="907"/>
      <c r="AB814" s="907"/>
      <c r="AC814" s="907"/>
      <c r="AD814" s="907"/>
      <c r="AE814" s="907"/>
      <c r="AF814" s="907"/>
      <c r="AG814" s="907"/>
      <c r="AH814" s="907"/>
      <c r="AI814" s="907"/>
      <c r="AJ814" s="907"/>
      <c r="AK814" s="907"/>
      <c r="AL814" s="907"/>
    </row>
    <row r="815" spans="1:38">
      <c r="A815" s="907"/>
      <c r="B815" s="907"/>
      <c r="C815" s="907"/>
      <c r="D815" s="907"/>
      <c r="E815" s="907"/>
      <c r="F815" s="907"/>
      <c r="G815" s="907"/>
      <c r="H815" s="907"/>
      <c r="I815" s="907"/>
      <c r="J815" s="907"/>
      <c r="K815" s="907"/>
      <c r="L815" s="907"/>
      <c r="M815" s="907"/>
      <c r="N815" s="907"/>
      <c r="O815" s="907"/>
      <c r="P815" s="907"/>
      <c r="Q815" s="907"/>
      <c r="R815" s="907"/>
      <c r="S815" s="907"/>
      <c r="T815" s="907"/>
      <c r="U815" s="907"/>
      <c r="V815" s="907"/>
      <c r="W815" s="907"/>
      <c r="X815" s="907"/>
      <c r="Y815" s="907"/>
      <c r="Z815" s="907"/>
      <c r="AA815" s="907"/>
      <c r="AB815" s="907"/>
      <c r="AC815" s="907"/>
      <c r="AD815" s="907"/>
      <c r="AE815" s="907"/>
      <c r="AF815" s="907"/>
      <c r="AG815" s="907"/>
      <c r="AH815" s="907"/>
      <c r="AI815" s="907"/>
      <c r="AJ815" s="907"/>
      <c r="AK815" s="907"/>
      <c r="AL815" s="907"/>
    </row>
    <row r="816" spans="1:38">
      <c r="A816" s="907"/>
      <c r="B816" s="907"/>
      <c r="C816" s="907"/>
      <c r="D816" s="907"/>
      <c r="E816" s="907"/>
      <c r="F816" s="907"/>
      <c r="G816" s="907"/>
      <c r="H816" s="907"/>
      <c r="I816" s="907"/>
      <c r="J816" s="907"/>
      <c r="K816" s="907"/>
      <c r="L816" s="907"/>
      <c r="M816" s="907"/>
      <c r="N816" s="907"/>
      <c r="O816" s="907"/>
      <c r="P816" s="907"/>
      <c r="Q816" s="907"/>
      <c r="R816" s="907"/>
      <c r="S816" s="907"/>
      <c r="T816" s="907"/>
      <c r="U816" s="907"/>
      <c r="V816" s="907"/>
      <c r="W816" s="907"/>
      <c r="X816" s="907"/>
      <c r="Y816" s="907"/>
      <c r="Z816" s="907"/>
      <c r="AA816" s="907"/>
      <c r="AB816" s="907"/>
      <c r="AC816" s="907"/>
      <c r="AD816" s="907"/>
      <c r="AE816" s="907"/>
      <c r="AF816" s="907"/>
      <c r="AG816" s="907"/>
      <c r="AH816" s="907"/>
      <c r="AI816" s="907"/>
      <c r="AJ816" s="907"/>
      <c r="AK816" s="907"/>
      <c r="AL816" s="907"/>
    </row>
    <row r="817" spans="1:38">
      <c r="A817" s="907"/>
      <c r="B817" s="907"/>
      <c r="C817" s="907"/>
      <c r="D817" s="907"/>
      <c r="E817" s="907"/>
      <c r="F817" s="907"/>
      <c r="G817" s="907"/>
      <c r="H817" s="907"/>
      <c r="I817" s="907"/>
      <c r="J817" s="907"/>
      <c r="K817" s="907"/>
      <c r="L817" s="907"/>
      <c r="M817" s="907"/>
      <c r="N817" s="907"/>
      <c r="O817" s="907"/>
      <c r="P817" s="907"/>
      <c r="Q817" s="907"/>
      <c r="R817" s="907"/>
      <c r="S817" s="907"/>
      <c r="T817" s="907"/>
      <c r="U817" s="907"/>
      <c r="V817" s="907"/>
      <c r="W817" s="907"/>
      <c r="X817" s="907"/>
      <c r="Y817" s="907"/>
      <c r="Z817" s="907"/>
      <c r="AA817" s="907"/>
      <c r="AB817" s="907"/>
      <c r="AC817" s="907"/>
      <c r="AD817" s="907"/>
      <c r="AE817" s="907"/>
      <c r="AF817" s="907"/>
      <c r="AG817" s="907"/>
      <c r="AH817" s="907"/>
      <c r="AI817" s="907"/>
      <c r="AJ817" s="907"/>
      <c r="AK817" s="907"/>
      <c r="AL817" s="907"/>
    </row>
    <row r="818" spans="1:38">
      <c r="A818" s="907"/>
      <c r="B818" s="907"/>
      <c r="C818" s="907"/>
      <c r="D818" s="907"/>
      <c r="E818" s="907"/>
      <c r="F818" s="907"/>
      <c r="G818" s="907"/>
      <c r="H818" s="907"/>
      <c r="I818" s="907"/>
      <c r="J818" s="907"/>
      <c r="K818" s="907"/>
      <c r="L818" s="907"/>
      <c r="M818" s="907"/>
      <c r="N818" s="907"/>
      <c r="O818" s="907"/>
      <c r="P818" s="907"/>
      <c r="Q818" s="907"/>
      <c r="R818" s="907"/>
      <c r="S818" s="907"/>
      <c r="T818" s="907"/>
      <c r="U818" s="907"/>
      <c r="V818" s="907"/>
      <c r="W818" s="907"/>
      <c r="X818" s="907"/>
      <c r="Y818" s="907"/>
      <c r="Z818" s="907"/>
      <c r="AA818" s="907"/>
      <c r="AB818" s="907"/>
      <c r="AC818" s="907"/>
      <c r="AD818" s="907"/>
      <c r="AE818" s="907"/>
      <c r="AF818" s="907"/>
      <c r="AG818" s="907"/>
      <c r="AH818" s="907"/>
      <c r="AI818" s="907"/>
      <c r="AJ818" s="907"/>
      <c r="AK818" s="907"/>
      <c r="AL818" s="907"/>
    </row>
    <row r="819" spans="1:38">
      <c r="A819" s="907"/>
      <c r="B819" s="907"/>
      <c r="C819" s="907"/>
      <c r="D819" s="907"/>
      <c r="E819" s="907"/>
      <c r="F819" s="907"/>
      <c r="G819" s="907"/>
      <c r="H819" s="907"/>
      <c r="I819" s="907"/>
      <c r="J819" s="907"/>
      <c r="K819" s="907"/>
      <c r="L819" s="907"/>
      <c r="M819" s="907"/>
      <c r="N819" s="907"/>
      <c r="O819" s="907"/>
      <c r="P819" s="907"/>
      <c r="Q819" s="907"/>
      <c r="R819" s="907"/>
      <c r="S819" s="907"/>
      <c r="T819" s="907"/>
      <c r="U819" s="907"/>
      <c r="V819" s="907"/>
      <c r="W819" s="907"/>
      <c r="X819" s="907"/>
      <c r="Y819" s="907"/>
      <c r="Z819" s="907"/>
      <c r="AA819" s="907"/>
      <c r="AB819" s="907"/>
      <c r="AC819" s="907"/>
      <c r="AD819" s="907"/>
      <c r="AE819" s="907"/>
      <c r="AF819" s="907"/>
      <c r="AG819" s="907"/>
      <c r="AH819" s="907"/>
      <c r="AI819" s="907"/>
      <c r="AJ819" s="907"/>
      <c r="AK819" s="907"/>
      <c r="AL819" s="907"/>
    </row>
    <row r="820" spans="1:38">
      <c r="A820" s="907"/>
      <c r="B820" s="907"/>
      <c r="C820" s="907"/>
      <c r="D820" s="907"/>
      <c r="E820" s="907"/>
      <c r="F820" s="907"/>
      <c r="G820" s="907"/>
      <c r="H820" s="907"/>
      <c r="I820" s="907"/>
      <c r="J820" s="907"/>
      <c r="K820" s="907"/>
      <c r="L820" s="907"/>
      <c r="M820" s="907"/>
      <c r="N820" s="907"/>
      <c r="O820" s="907"/>
      <c r="P820" s="907"/>
      <c r="Q820" s="907"/>
      <c r="R820" s="907"/>
      <c r="S820" s="907"/>
      <c r="T820" s="907"/>
      <c r="U820" s="907"/>
      <c r="V820" s="907"/>
      <c r="W820" s="907"/>
      <c r="X820" s="907"/>
      <c r="Y820" s="907"/>
      <c r="Z820" s="907"/>
      <c r="AA820" s="907"/>
      <c r="AB820" s="907"/>
      <c r="AC820" s="907"/>
      <c r="AD820" s="907"/>
      <c r="AE820" s="907"/>
      <c r="AF820" s="907"/>
      <c r="AG820" s="907"/>
      <c r="AH820" s="907"/>
      <c r="AI820" s="907"/>
      <c r="AJ820" s="907"/>
      <c r="AK820" s="907"/>
      <c r="AL820" s="907"/>
    </row>
    <row r="821" spans="1:38">
      <c r="A821" s="907"/>
      <c r="B821" s="907"/>
      <c r="C821" s="907"/>
      <c r="D821" s="907"/>
      <c r="E821" s="907"/>
      <c r="F821" s="907"/>
      <c r="G821" s="907"/>
      <c r="H821" s="907"/>
      <c r="I821" s="907"/>
      <c r="J821" s="907"/>
      <c r="K821" s="907"/>
      <c r="L821" s="907"/>
      <c r="M821" s="907"/>
      <c r="N821" s="907"/>
      <c r="O821" s="907"/>
      <c r="P821" s="907"/>
      <c r="Q821" s="907"/>
      <c r="R821" s="907"/>
      <c r="S821" s="907"/>
      <c r="T821" s="907"/>
      <c r="U821" s="907"/>
      <c r="V821" s="907"/>
      <c r="W821" s="907"/>
      <c r="X821" s="907"/>
      <c r="Y821" s="907"/>
      <c r="Z821" s="907"/>
      <c r="AA821" s="907"/>
      <c r="AB821" s="907"/>
      <c r="AC821" s="907"/>
      <c r="AD821" s="907"/>
      <c r="AE821" s="907"/>
      <c r="AF821" s="907"/>
      <c r="AG821" s="907"/>
      <c r="AH821" s="907"/>
      <c r="AI821" s="907"/>
      <c r="AJ821" s="907"/>
      <c r="AK821" s="907"/>
      <c r="AL821" s="907"/>
    </row>
    <row r="822" spans="1:38">
      <c r="A822" s="907"/>
      <c r="B822" s="907"/>
      <c r="C822" s="907"/>
      <c r="D822" s="907"/>
      <c r="E822" s="907"/>
      <c r="F822" s="907"/>
      <c r="G822" s="907"/>
      <c r="H822" s="907"/>
      <c r="I822" s="907"/>
      <c r="J822" s="907"/>
      <c r="K822" s="907"/>
      <c r="L822" s="907"/>
      <c r="M822" s="907"/>
      <c r="N822" s="907"/>
      <c r="O822" s="907"/>
      <c r="P822" s="907"/>
      <c r="Q822" s="907"/>
      <c r="R822" s="907"/>
      <c r="S822" s="907"/>
      <c r="T822" s="907"/>
      <c r="U822" s="907"/>
      <c r="V822" s="907"/>
      <c r="W822" s="907"/>
      <c r="X822" s="907"/>
      <c r="Y822" s="907"/>
      <c r="Z822" s="907"/>
      <c r="AA822" s="907"/>
      <c r="AB822" s="907"/>
      <c r="AC822" s="907"/>
      <c r="AD822" s="907"/>
      <c r="AE822" s="907"/>
      <c r="AF822" s="907"/>
      <c r="AG822" s="907"/>
      <c r="AH822" s="907"/>
      <c r="AI822" s="907"/>
      <c r="AJ822" s="907"/>
      <c r="AK822" s="907"/>
      <c r="AL822" s="907"/>
    </row>
    <row r="823" spans="1:38">
      <c r="A823" s="907"/>
      <c r="B823" s="907"/>
      <c r="C823" s="907"/>
      <c r="D823" s="907"/>
      <c r="E823" s="907"/>
      <c r="F823" s="907"/>
      <c r="G823" s="907"/>
      <c r="H823" s="907"/>
      <c r="I823" s="907"/>
      <c r="J823" s="907"/>
      <c r="K823" s="907"/>
      <c r="L823" s="907"/>
      <c r="M823" s="907"/>
      <c r="N823" s="907"/>
      <c r="O823" s="907"/>
      <c r="P823" s="907"/>
      <c r="Q823" s="907"/>
      <c r="R823" s="907"/>
      <c r="S823" s="907"/>
      <c r="T823" s="907"/>
      <c r="U823" s="907"/>
      <c r="V823" s="907"/>
      <c r="W823" s="907"/>
      <c r="X823" s="907"/>
      <c r="Y823" s="907"/>
      <c r="Z823" s="907"/>
      <c r="AA823" s="907"/>
      <c r="AB823" s="907"/>
      <c r="AC823" s="907"/>
      <c r="AD823" s="907"/>
      <c r="AE823" s="907"/>
      <c r="AF823" s="907"/>
      <c r="AG823" s="907"/>
      <c r="AH823" s="907"/>
      <c r="AI823" s="907"/>
      <c r="AJ823" s="907"/>
      <c r="AK823" s="907"/>
      <c r="AL823" s="907"/>
    </row>
    <row r="824" spans="1:38">
      <c r="A824" s="907"/>
      <c r="B824" s="907"/>
      <c r="C824" s="907"/>
      <c r="D824" s="907"/>
      <c r="E824" s="907"/>
      <c r="F824" s="907"/>
      <c r="G824" s="907"/>
      <c r="H824" s="907"/>
      <c r="I824" s="907"/>
      <c r="J824" s="907"/>
      <c r="K824" s="907"/>
      <c r="L824" s="907"/>
      <c r="M824" s="907"/>
      <c r="N824" s="907"/>
      <c r="O824" s="907"/>
      <c r="P824" s="907"/>
      <c r="Q824" s="907"/>
      <c r="R824" s="907"/>
      <c r="S824" s="907"/>
      <c r="T824" s="907"/>
      <c r="U824" s="907"/>
      <c r="V824" s="907"/>
      <c r="W824" s="907"/>
      <c r="X824" s="907"/>
      <c r="Y824" s="907"/>
      <c r="Z824" s="907"/>
      <c r="AA824" s="907"/>
      <c r="AB824" s="907"/>
      <c r="AC824" s="907"/>
      <c r="AD824" s="907"/>
      <c r="AE824" s="907"/>
      <c r="AF824" s="907"/>
      <c r="AG824" s="907"/>
      <c r="AH824" s="907"/>
      <c r="AI824" s="907"/>
      <c r="AJ824" s="907"/>
      <c r="AK824" s="907"/>
      <c r="AL824" s="907"/>
    </row>
    <row r="825" spans="1:38">
      <c r="A825" s="907"/>
      <c r="B825" s="907"/>
      <c r="C825" s="907"/>
      <c r="D825" s="907"/>
      <c r="E825" s="907"/>
      <c r="F825" s="907"/>
      <c r="G825" s="907"/>
      <c r="H825" s="907"/>
      <c r="I825" s="907"/>
      <c r="J825" s="907"/>
      <c r="K825" s="907"/>
      <c r="L825" s="907"/>
      <c r="M825" s="907"/>
      <c r="N825" s="907"/>
      <c r="O825" s="907"/>
      <c r="P825" s="907"/>
      <c r="Q825" s="907"/>
      <c r="R825" s="907"/>
      <c r="S825" s="907"/>
      <c r="T825" s="907"/>
      <c r="U825" s="907"/>
      <c r="V825" s="907"/>
      <c r="W825" s="907"/>
      <c r="X825" s="907"/>
      <c r="Y825" s="907"/>
      <c r="Z825" s="907"/>
      <c r="AA825" s="907"/>
      <c r="AB825" s="907"/>
      <c r="AC825" s="907"/>
      <c r="AD825" s="907"/>
      <c r="AE825" s="907"/>
      <c r="AF825" s="907"/>
      <c r="AG825" s="907"/>
      <c r="AH825" s="907"/>
      <c r="AI825" s="907"/>
      <c r="AJ825" s="907"/>
      <c r="AK825" s="907"/>
      <c r="AL825" s="907"/>
    </row>
    <row r="826" spans="1:38">
      <c r="A826" s="907"/>
      <c r="B826" s="907"/>
      <c r="C826" s="907"/>
      <c r="D826" s="907"/>
      <c r="E826" s="907"/>
      <c r="F826" s="907"/>
      <c r="G826" s="907"/>
      <c r="H826" s="907"/>
      <c r="I826" s="907"/>
      <c r="J826" s="907"/>
      <c r="K826" s="907"/>
      <c r="L826" s="907"/>
      <c r="M826" s="907"/>
      <c r="N826" s="907"/>
      <c r="O826" s="907"/>
      <c r="P826" s="907"/>
      <c r="Q826" s="907"/>
      <c r="R826" s="907"/>
      <c r="S826" s="907"/>
      <c r="T826" s="907"/>
      <c r="U826" s="907"/>
      <c r="V826" s="907"/>
      <c r="W826" s="907"/>
      <c r="X826" s="907"/>
      <c r="Y826" s="907"/>
      <c r="Z826" s="907"/>
      <c r="AA826" s="907"/>
      <c r="AB826" s="907"/>
      <c r="AC826" s="907"/>
      <c r="AD826" s="907"/>
      <c r="AE826" s="907"/>
      <c r="AF826" s="907"/>
      <c r="AG826" s="907"/>
      <c r="AH826" s="907"/>
      <c r="AI826" s="907"/>
      <c r="AJ826" s="907"/>
      <c r="AK826" s="907"/>
      <c r="AL826" s="907"/>
    </row>
    <row r="827" spans="1:38">
      <c r="A827" s="907"/>
      <c r="B827" s="907"/>
      <c r="C827" s="907"/>
      <c r="D827" s="907"/>
      <c r="E827" s="907"/>
      <c r="F827" s="907"/>
      <c r="G827" s="907"/>
      <c r="H827" s="907"/>
      <c r="I827" s="907"/>
      <c r="J827" s="907"/>
      <c r="K827" s="907"/>
      <c r="L827" s="907"/>
      <c r="M827" s="907"/>
      <c r="N827" s="907"/>
      <c r="O827" s="907"/>
      <c r="P827" s="907"/>
      <c r="Q827" s="907"/>
      <c r="R827" s="907"/>
      <c r="S827" s="907"/>
      <c r="T827" s="907"/>
      <c r="U827" s="907"/>
      <c r="V827" s="907"/>
      <c r="W827" s="907"/>
      <c r="X827" s="907"/>
      <c r="Y827" s="907"/>
      <c r="Z827" s="907"/>
      <c r="AA827" s="907"/>
      <c r="AB827" s="907"/>
      <c r="AC827" s="907"/>
      <c r="AD827" s="907"/>
      <c r="AE827" s="907"/>
      <c r="AF827" s="907"/>
      <c r="AG827" s="907"/>
      <c r="AH827" s="907"/>
      <c r="AI827" s="907"/>
      <c r="AJ827" s="907"/>
      <c r="AK827" s="907"/>
      <c r="AL827" s="907"/>
    </row>
    <row r="828" spans="1:38">
      <c r="A828" s="907"/>
      <c r="B828" s="907"/>
      <c r="C828" s="907"/>
      <c r="D828" s="907"/>
      <c r="E828" s="907"/>
      <c r="F828" s="907"/>
      <c r="G828" s="907"/>
      <c r="H828" s="907"/>
      <c r="I828" s="907"/>
      <c r="J828" s="907"/>
      <c r="K828" s="907"/>
      <c r="L828" s="907"/>
      <c r="M828" s="907"/>
      <c r="N828" s="907"/>
      <c r="O828" s="907"/>
      <c r="P828" s="907"/>
      <c r="Q828" s="907"/>
      <c r="R828" s="907"/>
      <c r="S828" s="907"/>
      <c r="T828" s="907"/>
      <c r="U828" s="907"/>
      <c r="V828" s="907"/>
      <c r="W828" s="907"/>
      <c r="X828" s="907"/>
      <c r="Y828" s="907"/>
      <c r="Z828" s="907"/>
      <c r="AA828" s="907"/>
      <c r="AB828" s="907"/>
      <c r="AC828" s="907"/>
      <c r="AD828" s="907"/>
      <c r="AE828" s="907"/>
      <c r="AF828" s="907"/>
      <c r="AG828" s="907"/>
      <c r="AH828" s="907"/>
      <c r="AI828" s="907"/>
      <c r="AJ828" s="907"/>
      <c r="AK828" s="907"/>
      <c r="AL828" s="907"/>
    </row>
    <row r="829" spans="1:38">
      <c r="A829" s="907"/>
      <c r="B829" s="907"/>
      <c r="C829" s="907"/>
      <c r="D829" s="907"/>
      <c r="E829" s="907"/>
      <c r="F829" s="907"/>
      <c r="G829" s="907"/>
      <c r="H829" s="907"/>
      <c r="I829" s="907"/>
      <c r="J829" s="907"/>
      <c r="K829" s="907"/>
      <c r="L829" s="907"/>
      <c r="M829" s="907"/>
      <c r="N829" s="907"/>
      <c r="O829" s="907"/>
      <c r="P829" s="907"/>
      <c r="Q829" s="907"/>
      <c r="R829" s="907"/>
      <c r="S829" s="907"/>
      <c r="T829" s="907"/>
      <c r="U829" s="907"/>
      <c r="V829" s="907"/>
      <c r="W829" s="907"/>
      <c r="X829" s="907"/>
      <c r="Y829" s="907"/>
      <c r="Z829" s="907"/>
      <c r="AA829" s="907"/>
      <c r="AB829" s="907"/>
      <c r="AC829" s="907"/>
      <c r="AD829" s="907"/>
      <c r="AE829" s="907"/>
      <c r="AF829" s="907"/>
      <c r="AG829" s="907"/>
      <c r="AH829" s="907"/>
      <c r="AI829" s="907"/>
      <c r="AJ829" s="907"/>
      <c r="AK829" s="907"/>
      <c r="AL829" s="907"/>
    </row>
    <row r="830" spans="1:38">
      <c r="A830" s="907"/>
      <c r="B830" s="907"/>
      <c r="C830" s="907"/>
      <c r="D830" s="907"/>
      <c r="E830" s="907"/>
      <c r="F830" s="907"/>
      <c r="G830" s="907"/>
      <c r="H830" s="907"/>
      <c r="I830" s="907"/>
      <c r="J830" s="907"/>
      <c r="K830" s="907"/>
      <c r="L830" s="907"/>
      <c r="M830" s="907"/>
      <c r="N830" s="907"/>
      <c r="O830" s="907"/>
      <c r="P830" s="907"/>
      <c r="Q830" s="907"/>
      <c r="R830" s="907"/>
      <c r="S830" s="907"/>
      <c r="T830" s="907"/>
      <c r="U830" s="907"/>
      <c r="V830" s="907"/>
      <c r="W830" s="907"/>
      <c r="X830" s="907"/>
      <c r="Y830" s="907"/>
      <c r="Z830" s="907"/>
      <c r="AA830" s="907"/>
      <c r="AB830" s="907"/>
      <c r="AC830" s="907"/>
      <c r="AD830" s="907"/>
      <c r="AE830" s="907"/>
      <c r="AF830" s="907"/>
      <c r="AG830" s="907"/>
      <c r="AH830" s="907"/>
      <c r="AI830" s="907"/>
      <c r="AJ830" s="907"/>
      <c r="AK830" s="907"/>
      <c r="AL830" s="907"/>
    </row>
    <row r="831" spans="1:38">
      <c r="A831" s="907"/>
      <c r="B831" s="907"/>
      <c r="C831" s="907"/>
      <c r="D831" s="907"/>
      <c r="E831" s="907"/>
      <c r="F831" s="907"/>
      <c r="G831" s="907"/>
      <c r="H831" s="907"/>
      <c r="I831" s="907"/>
      <c r="J831" s="907"/>
      <c r="K831" s="907"/>
      <c r="L831" s="907"/>
      <c r="M831" s="907"/>
      <c r="N831" s="907"/>
      <c r="O831" s="907"/>
      <c r="P831" s="907"/>
      <c r="Q831" s="907"/>
      <c r="R831" s="907"/>
      <c r="S831" s="907"/>
      <c r="T831" s="907"/>
      <c r="U831" s="907"/>
      <c r="V831" s="907"/>
      <c r="W831" s="907"/>
      <c r="X831" s="907"/>
      <c r="Y831" s="907"/>
      <c r="Z831" s="907"/>
      <c r="AA831" s="907"/>
      <c r="AB831" s="907"/>
      <c r="AC831" s="907"/>
      <c r="AD831" s="907"/>
      <c r="AE831" s="907"/>
      <c r="AF831" s="907"/>
      <c r="AG831" s="907"/>
      <c r="AH831" s="907"/>
      <c r="AI831" s="907"/>
      <c r="AJ831" s="907"/>
      <c r="AK831" s="907"/>
      <c r="AL831" s="907"/>
    </row>
    <row r="832" spans="1:38">
      <c r="A832" s="907"/>
      <c r="B832" s="907"/>
      <c r="C832" s="907"/>
      <c r="D832" s="907"/>
      <c r="E832" s="907"/>
      <c r="F832" s="907"/>
      <c r="G832" s="907"/>
      <c r="H832" s="907"/>
      <c r="I832" s="907"/>
      <c r="J832" s="907"/>
      <c r="K832" s="907"/>
      <c r="L832" s="907"/>
      <c r="M832" s="907"/>
      <c r="N832" s="907"/>
      <c r="O832" s="907"/>
      <c r="P832" s="907"/>
      <c r="Q832" s="907"/>
      <c r="R832" s="907"/>
      <c r="S832" s="907"/>
      <c r="T832" s="907"/>
      <c r="U832" s="907"/>
      <c r="V832" s="907"/>
      <c r="W832" s="907"/>
      <c r="X832" s="907"/>
      <c r="Y832" s="907"/>
      <c r="Z832" s="907"/>
      <c r="AA832" s="907"/>
      <c r="AB832" s="907"/>
      <c r="AC832" s="907"/>
      <c r="AD832" s="907"/>
      <c r="AE832" s="907"/>
      <c r="AF832" s="907"/>
      <c r="AG832" s="907"/>
      <c r="AH832" s="907"/>
      <c r="AI832" s="907"/>
      <c r="AJ832" s="907"/>
      <c r="AK832" s="907"/>
      <c r="AL832" s="907"/>
    </row>
    <row r="833" spans="1:38">
      <c r="A833" s="907"/>
      <c r="B833" s="907"/>
      <c r="C833" s="907"/>
      <c r="D833" s="907"/>
      <c r="E833" s="907"/>
      <c r="F833" s="907"/>
      <c r="G833" s="907"/>
      <c r="H833" s="907"/>
      <c r="I833" s="907"/>
      <c r="J833" s="907"/>
      <c r="K833" s="907"/>
      <c r="L833" s="907"/>
      <c r="M833" s="907"/>
      <c r="N833" s="907"/>
      <c r="O833" s="907"/>
      <c r="P833" s="907"/>
      <c r="Q833" s="907"/>
      <c r="R833" s="907"/>
      <c r="S833" s="907"/>
      <c r="T833" s="907"/>
      <c r="U833" s="907"/>
      <c r="V833" s="907"/>
      <c r="W833" s="907"/>
      <c r="X833" s="907"/>
      <c r="Y833" s="907"/>
      <c r="Z833" s="907"/>
      <c r="AA833" s="907"/>
      <c r="AB833" s="907"/>
      <c r="AC833" s="907"/>
      <c r="AD833" s="907"/>
      <c r="AE833" s="907"/>
      <c r="AF833" s="907"/>
      <c r="AG833" s="907"/>
      <c r="AH833" s="907"/>
      <c r="AI833" s="907"/>
      <c r="AJ833" s="907"/>
      <c r="AK833" s="907"/>
      <c r="AL833" s="907"/>
    </row>
    <row r="834" spans="1:38">
      <c r="A834" s="907"/>
      <c r="B834" s="907"/>
      <c r="C834" s="907"/>
      <c r="D834" s="907"/>
      <c r="E834" s="907"/>
      <c r="F834" s="907"/>
      <c r="G834" s="907"/>
      <c r="H834" s="907"/>
      <c r="I834" s="907"/>
      <c r="J834" s="907"/>
      <c r="K834" s="907"/>
      <c r="L834" s="907"/>
      <c r="M834" s="907"/>
      <c r="N834" s="907"/>
      <c r="O834" s="907"/>
      <c r="P834" s="907"/>
      <c r="Q834" s="907"/>
      <c r="R834" s="907"/>
      <c r="S834" s="907"/>
      <c r="T834" s="907"/>
      <c r="U834" s="907"/>
      <c r="V834" s="907"/>
      <c r="W834" s="907"/>
      <c r="X834" s="907"/>
      <c r="Y834" s="907"/>
      <c r="Z834" s="907"/>
      <c r="AA834" s="907"/>
      <c r="AB834" s="907"/>
      <c r="AC834" s="907"/>
      <c r="AD834" s="907"/>
      <c r="AE834" s="907"/>
      <c r="AF834" s="907"/>
      <c r="AG834" s="907"/>
      <c r="AH834" s="907"/>
      <c r="AI834" s="907"/>
      <c r="AJ834" s="907"/>
      <c r="AK834" s="907"/>
      <c r="AL834" s="907"/>
    </row>
    <row r="835" spans="1:38">
      <c r="A835" s="907"/>
      <c r="B835" s="907"/>
      <c r="C835" s="907"/>
      <c r="D835" s="907"/>
      <c r="E835" s="907"/>
      <c r="F835" s="907"/>
      <c r="G835" s="907"/>
      <c r="H835" s="907"/>
      <c r="I835" s="907"/>
      <c r="J835" s="907"/>
      <c r="K835" s="907"/>
      <c r="L835" s="907"/>
      <c r="M835" s="907"/>
      <c r="N835" s="907"/>
      <c r="O835" s="907"/>
      <c r="P835" s="907"/>
      <c r="Q835" s="907"/>
      <c r="R835" s="907"/>
      <c r="S835" s="907"/>
      <c r="T835" s="907"/>
      <c r="U835" s="907"/>
      <c r="V835" s="907"/>
      <c r="W835" s="907"/>
      <c r="X835" s="907"/>
      <c r="Y835" s="907"/>
      <c r="Z835" s="907"/>
      <c r="AA835" s="907"/>
      <c r="AB835" s="907"/>
      <c r="AC835" s="907"/>
      <c r="AD835" s="907"/>
      <c r="AE835" s="907"/>
      <c r="AF835" s="907"/>
      <c r="AG835" s="907"/>
      <c r="AH835" s="907"/>
      <c r="AI835" s="907"/>
      <c r="AJ835" s="907"/>
      <c r="AK835" s="907"/>
      <c r="AL835" s="907"/>
    </row>
    <row r="836" spans="1:38">
      <c r="A836" s="907"/>
      <c r="B836" s="907"/>
      <c r="C836" s="907"/>
      <c r="D836" s="907"/>
      <c r="E836" s="907"/>
      <c r="F836" s="907"/>
      <c r="G836" s="907"/>
      <c r="H836" s="907"/>
      <c r="I836" s="907"/>
      <c r="J836" s="907"/>
      <c r="K836" s="907"/>
      <c r="L836" s="907"/>
      <c r="M836" s="907"/>
      <c r="N836" s="907"/>
      <c r="O836" s="907"/>
      <c r="P836" s="907"/>
      <c r="Q836" s="907"/>
      <c r="R836" s="907"/>
      <c r="S836" s="907"/>
      <c r="T836" s="907"/>
      <c r="U836" s="907"/>
      <c r="V836" s="907"/>
      <c r="W836" s="907"/>
      <c r="X836" s="907"/>
      <c r="Y836" s="907"/>
      <c r="Z836" s="907"/>
      <c r="AA836" s="907"/>
      <c r="AB836" s="907"/>
      <c r="AC836" s="907"/>
      <c r="AD836" s="907"/>
      <c r="AE836" s="907"/>
      <c r="AF836" s="907"/>
      <c r="AG836" s="907"/>
      <c r="AH836" s="907"/>
      <c r="AI836" s="907"/>
      <c r="AJ836" s="907"/>
      <c r="AK836" s="907"/>
      <c r="AL836" s="907"/>
    </row>
    <row r="837" spans="1:38">
      <c r="A837" s="907"/>
      <c r="B837" s="907"/>
      <c r="C837" s="907"/>
      <c r="D837" s="907"/>
      <c r="E837" s="907"/>
      <c r="F837" s="907"/>
      <c r="G837" s="907"/>
      <c r="H837" s="907"/>
      <c r="I837" s="907"/>
      <c r="J837" s="907"/>
      <c r="K837" s="907"/>
      <c r="L837" s="907"/>
      <c r="M837" s="907"/>
      <c r="N837" s="907"/>
      <c r="O837" s="907"/>
      <c r="P837" s="907"/>
      <c r="Q837" s="907"/>
      <c r="R837" s="907"/>
      <c r="S837" s="907"/>
      <c r="T837" s="907"/>
      <c r="U837" s="907"/>
      <c r="V837" s="907"/>
      <c r="W837" s="907"/>
      <c r="X837" s="907"/>
      <c r="Y837" s="907"/>
      <c r="Z837" s="907"/>
      <c r="AA837" s="907"/>
      <c r="AB837" s="907"/>
      <c r="AC837" s="907"/>
      <c r="AD837" s="907"/>
      <c r="AE837" s="907"/>
      <c r="AF837" s="907"/>
      <c r="AG837" s="907"/>
      <c r="AH837" s="907"/>
      <c r="AI837" s="907"/>
      <c r="AJ837" s="907"/>
      <c r="AK837" s="907"/>
      <c r="AL837" s="907"/>
    </row>
    <row r="838" spans="1:38">
      <c r="A838" s="907"/>
      <c r="B838" s="907"/>
      <c r="C838" s="907"/>
      <c r="D838" s="907"/>
      <c r="E838" s="907"/>
      <c r="F838" s="907"/>
      <c r="G838" s="907"/>
      <c r="H838" s="907"/>
      <c r="I838" s="907"/>
      <c r="J838" s="907"/>
      <c r="K838" s="907"/>
      <c r="L838" s="907"/>
      <c r="M838" s="907"/>
      <c r="N838" s="907"/>
      <c r="O838" s="907"/>
      <c r="P838" s="907"/>
      <c r="Q838" s="907"/>
      <c r="R838" s="907"/>
      <c r="S838" s="907"/>
      <c r="T838" s="907"/>
      <c r="U838" s="907"/>
      <c r="V838" s="907"/>
      <c r="W838" s="907"/>
      <c r="X838" s="907"/>
      <c r="Y838" s="907"/>
      <c r="Z838" s="907"/>
      <c r="AA838" s="907"/>
      <c r="AB838" s="907"/>
      <c r="AC838" s="907"/>
      <c r="AD838" s="907"/>
      <c r="AE838" s="907"/>
      <c r="AF838" s="907"/>
      <c r="AG838" s="907"/>
      <c r="AH838" s="907"/>
      <c r="AI838" s="907"/>
      <c r="AJ838" s="907"/>
      <c r="AK838" s="907"/>
      <c r="AL838" s="907"/>
    </row>
    <row r="839" spans="1:38">
      <c r="A839" s="907"/>
      <c r="B839" s="907"/>
      <c r="C839" s="907"/>
      <c r="D839" s="907"/>
      <c r="E839" s="907"/>
      <c r="F839" s="907"/>
      <c r="G839" s="907"/>
      <c r="H839" s="907"/>
      <c r="I839" s="907"/>
      <c r="J839" s="907"/>
      <c r="K839" s="907"/>
      <c r="L839" s="907"/>
      <c r="M839" s="907"/>
      <c r="N839" s="907"/>
      <c r="O839" s="907"/>
      <c r="P839" s="907"/>
      <c r="Q839" s="907"/>
      <c r="R839" s="907"/>
      <c r="S839" s="907"/>
      <c r="T839" s="907"/>
      <c r="U839" s="907"/>
      <c r="V839" s="907"/>
      <c r="W839" s="907"/>
      <c r="X839" s="907"/>
      <c r="Y839" s="907"/>
      <c r="Z839" s="907"/>
      <c r="AA839" s="907"/>
      <c r="AB839" s="907"/>
      <c r="AC839" s="907"/>
      <c r="AD839" s="907"/>
      <c r="AE839" s="907"/>
      <c r="AF839" s="907"/>
      <c r="AG839" s="907"/>
      <c r="AH839" s="907"/>
      <c r="AI839" s="907"/>
      <c r="AJ839" s="907"/>
      <c r="AK839" s="907"/>
      <c r="AL839" s="907"/>
    </row>
    <row r="840" spans="1:38">
      <c r="A840" s="907"/>
      <c r="B840" s="907"/>
      <c r="C840" s="907"/>
      <c r="D840" s="907"/>
      <c r="E840" s="907"/>
      <c r="F840" s="907"/>
      <c r="G840" s="907"/>
      <c r="H840" s="907"/>
      <c r="I840" s="907"/>
      <c r="J840" s="907"/>
      <c r="K840" s="907"/>
      <c r="L840" s="907"/>
      <c r="M840" s="907"/>
      <c r="N840" s="907"/>
      <c r="O840" s="907"/>
      <c r="P840" s="907"/>
      <c r="Q840" s="907"/>
      <c r="R840" s="907"/>
      <c r="S840" s="907"/>
      <c r="T840" s="907"/>
      <c r="U840" s="907"/>
      <c r="V840" s="907"/>
      <c r="W840" s="907"/>
      <c r="X840" s="907"/>
      <c r="Y840" s="907"/>
      <c r="Z840" s="907"/>
      <c r="AA840" s="907"/>
      <c r="AB840" s="907"/>
      <c r="AC840" s="907"/>
      <c r="AD840" s="907"/>
      <c r="AE840" s="907"/>
      <c r="AF840" s="907"/>
      <c r="AG840" s="907"/>
      <c r="AH840" s="907"/>
      <c r="AI840" s="907"/>
      <c r="AJ840" s="907"/>
      <c r="AK840" s="907"/>
      <c r="AL840" s="907"/>
    </row>
    <row r="841" spans="1:38">
      <c r="A841" s="907"/>
      <c r="B841" s="907"/>
      <c r="C841" s="907"/>
      <c r="D841" s="907"/>
      <c r="E841" s="907"/>
      <c r="F841" s="907"/>
      <c r="G841" s="907"/>
      <c r="H841" s="907"/>
      <c r="I841" s="907"/>
      <c r="J841" s="907"/>
      <c r="K841" s="907"/>
      <c r="L841" s="907"/>
      <c r="M841" s="907"/>
      <c r="N841" s="907"/>
      <c r="O841" s="907"/>
      <c r="P841" s="907"/>
      <c r="Q841" s="907"/>
      <c r="R841" s="907"/>
      <c r="S841" s="907"/>
      <c r="T841" s="907"/>
      <c r="U841" s="907"/>
      <c r="V841" s="907"/>
      <c r="W841" s="907"/>
      <c r="X841" s="907"/>
      <c r="Y841" s="907"/>
      <c r="Z841" s="907"/>
      <c r="AA841" s="907"/>
      <c r="AB841" s="907"/>
      <c r="AC841" s="907"/>
      <c r="AD841" s="907"/>
      <c r="AE841" s="907"/>
      <c r="AF841" s="907"/>
      <c r="AG841" s="907"/>
      <c r="AH841" s="907"/>
      <c r="AI841" s="907"/>
      <c r="AJ841" s="907"/>
      <c r="AK841" s="907"/>
      <c r="AL841" s="907"/>
    </row>
    <row r="842" spans="1:38">
      <c r="A842" s="907"/>
      <c r="B842" s="907"/>
      <c r="C842" s="907"/>
      <c r="D842" s="907"/>
      <c r="E842" s="907"/>
      <c r="F842" s="907"/>
      <c r="G842" s="907"/>
      <c r="H842" s="907"/>
      <c r="I842" s="907"/>
      <c r="J842" s="907"/>
      <c r="K842" s="907"/>
      <c r="L842" s="907"/>
      <c r="M842" s="907"/>
      <c r="N842" s="907"/>
      <c r="O842" s="907"/>
      <c r="P842" s="907"/>
      <c r="Q842" s="907"/>
      <c r="R842" s="907"/>
      <c r="S842" s="907"/>
      <c r="T842" s="907"/>
      <c r="U842" s="907"/>
      <c r="V842" s="907"/>
      <c r="W842" s="907"/>
      <c r="X842" s="907"/>
      <c r="Y842" s="907"/>
      <c r="Z842" s="907"/>
      <c r="AA842" s="907"/>
      <c r="AB842" s="907"/>
      <c r="AC842" s="907"/>
      <c r="AD842" s="907"/>
      <c r="AE842" s="907"/>
      <c r="AF842" s="907"/>
      <c r="AG842" s="907"/>
      <c r="AH842" s="907"/>
      <c r="AI842" s="907"/>
      <c r="AJ842" s="907"/>
      <c r="AK842" s="907"/>
      <c r="AL842" s="907"/>
    </row>
    <row r="843" spans="1:38">
      <c r="A843" s="907"/>
      <c r="B843" s="907"/>
      <c r="C843" s="907"/>
      <c r="D843" s="907"/>
      <c r="E843" s="907"/>
      <c r="F843" s="907"/>
      <c r="G843" s="907"/>
      <c r="H843" s="907"/>
      <c r="I843" s="907"/>
      <c r="J843" s="907"/>
      <c r="K843" s="907"/>
      <c r="L843" s="907"/>
      <c r="M843" s="907"/>
      <c r="N843" s="907"/>
      <c r="O843" s="907"/>
      <c r="P843" s="907"/>
      <c r="Q843" s="907"/>
      <c r="R843" s="907"/>
      <c r="S843" s="907"/>
      <c r="T843" s="907"/>
      <c r="U843" s="907"/>
      <c r="V843" s="907"/>
      <c r="W843" s="907"/>
      <c r="X843" s="907"/>
      <c r="Y843" s="907"/>
      <c r="Z843" s="907"/>
      <c r="AA843" s="907"/>
      <c r="AB843" s="907"/>
      <c r="AC843" s="907"/>
      <c r="AD843" s="907"/>
      <c r="AE843" s="907"/>
      <c r="AF843" s="907"/>
      <c r="AG843" s="907"/>
      <c r="AH843" s="907"/>
      <c r="AI843" s="907"/>
      <c r="AJ843" s="907"/>
      <c r="AK843" s="907"/>
      <c r="AL843" s="907"/>
    </row>
    <row r="844" spans="1:38">
      <c r="A844" s="907"/>
      <c r="B844" s="907"/>
      <c r="C844" s="907"/>
      <c r="D844" s="907"/>
      <c r="E844" s="907"/>
      <c r="F844" s="907"/>
      <c r="G844" s="907"/>
      <c r="H844" s="907"/>
      <c r="I844" s="907"/>
      <c r="J844" s="907"/>
      <c r="K844" s="907"/>
      <c r="L844" s="907"/>
      <c r="M844" s="907"/>
      <c r="N844" s="907"/>
      <c r="O844" s="907"/>
      <c r="P844" s="907"/>
      <c r="Q844" s="907"/>
      <c r="R844" s="907"/>
      <c r="S844" s="907"/>
      <c r="T844" s="907"/>
      <c r="U844" s="907"/>
      <c r="V844" s="907"/>
      <c r="W844" s="907"/>
      <c r="X844" s="907"/>
      <c r="Y844" s="907"/>
      <c r="Z844" s="907"/>
      <c r="AA844" s="907"/>
      <c r="AB844" s="907"/>
      <c r="AC844" s="907"/>
      <c r="AD844" s="907"/>
      <c r="AE844" s="907"/>
      <c r="AF844" s="907"/>
      <c r="AG844" s="907"/>
      <c r="AH844" s="907"/>
      <c r="AI844" s="907"/>
      <c r="AJ844" s="907"/>
      <c r="AK844" s="907"/>
      <c r="AL844" s="907"/>
    </row>
    <row r="845" spans="1:38">
      <c r="A845" s="907"/>
      <c r="B845" s="907"/>
      <c r="C845" s="907"/>
      <c r="D845" s="907"/>
      <c r="E845" s="907"/>
      <c r="F845" s="907"/>
      <c r="G845" s="907"/>
      <c r="H845" s="907"/>
      <c r="I845" s="907"/>
      <c r="J845" s="907"/>
      <c r="K845" s="907"/>
      <c r="L845" s="907"/>
      <c r="M845" s="907"/>
      <c r="N845" s="907"/>
      <c r="O845" s="907"/>
      <c r="P845" s="907"/>
      <c r="Q845" s="907"/>
      <c r="R845" s="907"/>
      <c r="S845" s="907"/>
      <c r="T845" s="907"/>
      <c r="U845" s="907"/>
      <c r="V845" s="907"/>
      <c r="W845" s="907"/>
      <c r="X845" s="907"/>
      <c r="Y845" s="907"/>
      <c r="Z845" s="907"/>
      <c r="AA845" s="907"/>
      <c r="AB845" s="907"/>
      <c r="AC845" s="907"/>
      <c r="AD845" s="907"/>
      <c r="AE845" s="907"/>
      <c r="AF845" s="907"/>
      <c r="AG845" s="907"/>
      <c r="AH845" s="907"/>
      <c r="AI845" s="907"/>
      <c r="AJ845" s="907"/>
      <c r="AK845" s="907"/>
      <c r="AL845" s="907"/>
    </row>
    <row r="846" spans="1:38">
      <c r="A846" s="907"/>
      <c r="B846" s="907"/>
      <c r="C846" s="907"/>
      <c r="D846" s="907"/>
      <c r="E846" s="907"/>
      <c r="F846" s="907"/>
      <c r="G846" s="907"/>
      <c r="H846" s="907"/>
      <c r="I846" s="907"/>
      <c r="J846" s="907"/>
      <c r="K846" s="907"/>
      <c r="L846" s="907"/>
      <c r="M846" s="907"/>
      <c r="N846" s="907"/>
      <c r="O846" s="907"/>
      <c r="P846" s="907"/>
      <c r="Q846" s="907"/>
      <c r="R846" s="907"/>
      <c r="S846" s="907"/>
      <c r="T846" s="907"/>
      <c r="U846" s="907"/>
      <c r="V846" s="907"/>
      <c r="W846" s="907"/>
      <c r="X846" s="907"/>
      <c r="Y846" s="907"/>
      <c r="Z846" s="907"/>
      <c r="AA846" s="907"/>
      <c r="AB846" s="907"/>
      <c r="AC846" s="907"/>
      <c r="AD846" s="907"/>
      <c r="AE846" s="907"/>
      <c r="AF846" s="907"/>
      <c r="AG846" s="907"/>
      <c r="AH846" s="907"/>
      <c r="AI846" s="907"/>
      <c r="AJ846" s="907"/>
      <c r="AK846" s="907"/>
      <c r="AL846" s="907"/>
    </row>
    <row r="847" spans="1:38">
      <c r="A847" s="907"/>
      <c r="B847" s="907"/>
      <c r="C847" s="907"/>
      <c r="D847" s="907"/>
      <c r="E847" s="907"/>
      <c r="F847" s="907"/>
      <c r="G847" s="907"/>
      <c r="H847" s="907"/>
      <c r="I847" s="907"/>
      <c r="J847" s="907"/>
      <c r="K847" s="907"/>
      <c r="L847" s="907"/>
      <c r="M847" s="907"/>
      <c r="N847" s="907"/>
      <c r="O847" s="907"/>
      <c r="P847" s="907"/>
      <c r="Q847" s="907"/>
      <c r="R847" s="907"/>
      <c r="S847" s="907"/>
      <c r="T847" s="907"/>
      <c r="U847" s="907"/>
      <c r="V847" s="907"/>
      <c r="W847" s="907"/>
      <c r="X847" s="907"/>
      <c r="Y847" s="907"/>
      <c r="Z847" s="907"/>
      <c r="AA847" s="907"/>
      <c r="AB847" s="907"/>
      <c r="AC847" s="907"/>
      <c r="AD847" s="907"/>
      <c r="AE847" s="907"/>
      <c r="AF847" s="907"/>
      <c r="AG847" s="907"/>
      <c r="AH847" s="907"/>
      <c r="AI847" s="907"/>
      <c r="AJ847" s="907"/>
      <c r="AK847" s="907"/>
      <c r="AL847" s="907"/>
    </row>
    <row r="848" spans="1:38">
      <c r="A848" s="907"/>
      <c r="B848" s="907"/>
      <c r="C848" s="907"/>
      <c r="D848" s="907"/>
      <c r="E848" s="907"/>
      <c r="F848" s="907"/>
      <c r="G848" s="907"/>
      <c r="H848" s="907"/>
      <c r="I848" s="907"/>
      <c r="J848" s="907"/>
      <c r="K848" s="907"/>
      <c r="L848" s="907"/>
      <c r="M848" s="907"/>
      <c r="N848" s="907"/>
      <c r="O848" s="907"/>
      <c r="P848" s="907"/>
      <c r="Q848" s="907"/>
      <c r="R848" s="907"/>
      <c r="S848" s="907"/>
      <c r="T848" s="907"/>
      <c r="U848" s="907"/>
      <c r="V848" s="907"/>
      <c r="W848" s="907"/>
      <c r="X848" s="907"/>
      <c r="Y848" s="907"/>
      <c r="Z848" s="907"/>
      <c r="AA848" s="907"/>
      <c r="AB848" s="907"/>
      <c r="AC848" s="907"/>
      <c r="AD848" s="907"/>
      <c r="AE848" s="907"/>
      <c r="AF848" s="907"/>
      <c r="AG848" s="907"/>
      <c r="AH848" s="907"/>
      <c r="AI848" s="907"/>
      <c r="AJ848" s="907"/>
      <c r="AK848" s="907"/>
      <c r="AL848" s="907"/>
    </row>
    <row r="849" spans="1:38">
      <c r="A849" s="907"/>
      <c r="B849" s="907"/>
      <c r="C849" s="907"/>
      <c r="D849" s="907"/>
      <c r="E849" s="907"/>
      <c r="F849" s="907"/>
      <c r="G849" s="907"/>
      <c r="H849" s="907"/>
      <c r="I849" s="907"/>
      <c r="J849" s="907"/>
      <c r="K849" s="907"/>
      <c r="L849" s="907"/>
      <c r="M849" s="907"/>
      <c r="N849" s="907"/>
      <c r="O849" s="907"/>
      <c r="P849" s="907"/>
      <c r="Q849" s="907"/>
      <c r="R849" s="907"/>
      <c r="S849" s="907"/>
      <c r="T849" s="907"/>
      <c r="U849" s="907"/>
      <c r="V849" s="907"/>
      <c r="W849" s="907"/>
      <c r="X849" s="907"/>
      <c r="Y849" s="907"/>
      <c r="Z849" s="907"/>
      <c r="AA849" s="907"/>
      <c r="AB849" s="907"/>
      <c r="AC849" s="907"/>
      <c r="AD849" s="907"/>
      <c r="AE849" s="907"/>
      <c r="AF849" s="907"/>
      <c r="AG849" s="907"/>
      <c r="AH849" s="907"/>
      <c r="AI849" s="907"/>
      <c r="AJ849" s="907"/>
      <c r="AK849" s="907"/>
      <c r="AL849" s="907"/>
    </row>
    <row r="850" spans="1:38">
      <c r="A850" s="907"/>
      <c r="B850" s="907"/>
      <c r="C850" s="907"/>
      <c r="D850" s="907"/>
      <c r="E850" s="907"/>
      <c r="F850" s="907"/>
      <c r="G850" s="907"/>
      <c r="H850" s="907"/>
      <c r="I850" s="907"/>
      <c r="J850" s="907"/>
      <c r="K850" s="907"/>
      <c r="L850" s="907"/>
      <c r="M850" s="907"/>
      <c r="N850" s="907"/>
      <c r="O850" s="907"/>
      <c r="P850" s="907"/>
      <c r="Q850" s="907"/>
      <c r="R850" s="907"/>
      <c r="S850" s="907"/>
      <c r="T850" s="907"/>
      <c r="U850" s="907"/>
      <c r="V850" s="907"/>
      <c r="W850" s="907"/>
      <c r="X850" s="907"/>
      <c r="Y850" s="907"/>
      <c r="Z850" s="907"/>
      <c r="AA850" s="907"/>
      <c r="AB850" s="907"/>
      <c r="AC850" s="907"/>
      <c r="AD850" s="907"/>
      <c r="AE850" s="907"/>
      <c r="AF850" s="907"/>
      <c r="AG850" s="907"/>
      <c r="AH850" s="907"/>
      <c r="AI850" s="907"/>
      <c r="AJ850" s="907"/>
      <c r="AK850" s="907"/>
      <c r="AL850" s="907"/>
    </row>
    <row r="851" spans="1:38">
      <c r="A851" s="907"/>
      <c r="B851" s="907"/>
      <c r="C851" s="907"/>
      <c r="D851" s="907"/>
      <c r="E851" s="907"/>
      <c r="F851" s="907"/>
      <c r="G851" s="907"/>
      <c r="H851" s="907"/>
      <c r="I851" s="907"/>
      <c r="J851" s="907"/>
      <c r="K851" s="907"/>
      <c r="L851" s="907"/>
      <c r="M851" s="907"/>
      <c r="N851" s="907"/>
      <c r="O851" s="907"/>
      <c r="P851" s="907"/>
      <c r="Q851" s="907"/>
      <c r="R851" s="907"/>
      <c r="S851" s="907"/>
      <c r="T851" s="907"/>
      <c r="U851" s="907"/>
      <c r="V851" s="907"/>
      <c r="W851" s="907"/>
      <c r="X851" s="907"/>
      <c r="Y851" s="907"/>
      <c r="Z851" s="907"/>
      <c r="AA851" s="907"/>
      <c r="AB851" s="907"/>
      <c r="AC851" s="907"/>
      <c r="AD851" s="907"/>
      <c r="AE851" s="907"/>
      <c r="AF851" s="907"/>
      <c r="AG851" s="907"/>
      <c r="AH851" s="907"/>
      <c r="AI851" s="907"/>
      <c r="AJ851" s="907"/>
      <c r="AK851" s="907"/>
      <c r="AL851" s="907"/>
    </row>
    <row r="852" spans="1:38">
      <c r="A852" s="907"/>
      <c r="B852" s="907"/>
      <c r="C852" s="907"/>
      <c r="D852" s="907"/>
      <c r="E852" s="907"/>
      <c r="F852" s="907"/>
      <c r="G852" s="907"/>
      <c r="H852" s="907"/>
      <c r="I852" s="907"/>
      <c r="J852" s="907"/>
      <c r="K852" s="907"/>
      <c r="L852" s="907"/>
      <c r="M852" s="907"/>
      <c r="N852" s="907"/>
      <c r="O852" s="907"/>
      <c r="P852" s="907"/>
      <c r="Q852" s="907"/>
      <c r="R852" s="907"/>
      <c r="S852" s="907"/>
      <c r="T852" s="907"/>
      <c r="U852" s="907"/>
      <c r="V852" s="907"/>
      <c r="W852" s="907"/>
      <c r="X852" s="907"/>
      <c r="Y852" s="907"/>
      <c r="Z852" s="907"/>
      <c r="AA852" s="907"/>
      <c r="AB852" s="907"/>
      <c r="AC852" s="907"/>
      <c r="AD852" s="907"/>
      <c r="AE852" s="907"/>
      <c r="AF852" s="907"/>
      <c r="AG852" s="907"/>
      <c r="AH852" s="907"/>
      <c r="AI852" s="907"/>
      <c r="AJ852" s="907"/>
      <c r="AK852" s="907"/>
      <c r="AL852" s="907"/>
    </row>
    <row r="853" spans="1:38">
      <c r="A853" s="907"/>
      <c r="B853" s="907"/>
      <c r="C853" s="907"/>
      <c r="D853" s="907"/>
      <c r="E853" s="907"/>
      <c r="F853" s="907"/>
      <c r="G853" s="907"/>
      <c r="H853" s="907"/>
      <c r="I853" s="907"/>
      <c r="J853" s="907"/>
      <c r="K853" s="907"/>
      <c r="L853" s="907"/>
      <c r="M853" s="907"/>
      <c r="N853" s="907"/>
      <c r="O853" s="907"/>
      <c r="P853" s="907"/>
      <c r="Q853" s="907"/>
      <c r="R853" s="907"/>
      <c r="S853" s="907"/>
      <c r="T853" s="907"/>
      <c r="U853" s="907"/>
      <c r="V853" s="907"/>
      <c r="W853" s="907"/>
      <c r="X853" s="907"/>
      <c r="Y853" s="907"/>
      <c r="Z853" s="907"/>
      <c r="AA853" s="907"/>
      <c r="AB853" s="907"/>
      <c r="AC853" s="907"/>
      <c r="AD853" s="907"/>
      <c r="AE853" s="907"/>
      <c r="AF853" s="907"/>
      <c r="AG853" s="907"/>
      <c r="AH853" s="907"/>
      <c r="AI853" s="907"/>
      <c r="AJ853" s="907"/>
      <c r="AK853" s="907"/>
      <c r="AL853" s="907"/>
    </row>
    <row r="854" spans="1:38">
      <c r="A854" s="907"/>
      <c r="B854" s="907"/>
      <c r="C854" s="907"/>
      <c r="D854" s="907"/>
      <c r="E854" s="907"/>
      <c r="F854" s="907"/>
      <c r="G854" s="907"/>
      <c r="H854" s="907"/>
      <c r="I854" s="907"/>
      <c r="J854" s="907"/>
      <c r="K854" s="907"/>
      <c r="L854" s="907"/>
      <c r="M854" s="907"/>
      <c r="N854" s="907"/>
      <c r="O854" s="907"/>
      <c r="P854" s="907"/>
      <c r="Q854" s="907"/>
      <c r="R854" s="907"/>
      <c r="S854" s="907"/>
      <c r="T854" s="907"/>
      <c r="U854" s="907"/>
      <c r="V854" s="907"/>
      <c r="W854" s="907"/>
      <c r="X854" s="907"/>
      <c r="Y854" s="907"/>
      <c r="Z854" s="907"/>
      <c r="AA854" s="907"/>
      <c r="AB854" s="907"/>
      <c r="AC854" s="907"/>
      <c r="AD854" s="907"/>
      <c r="AE854" s="907"/>
      <c r="AF854" s="907"/>
      <c r="AG854" s="907"/>
      <c r="AH854" s="907"/>
      <c r="AI854" s="907"/>
      <c r="AJ854" s="907"/>
      <c r="AK854" s="907"/>
      <c r="AL854" s="907"/>
    </row>
    <row r="855" spans="1:38">
      <c r="A855" s="907"/>
      <c r="B855" s="907"/>
      <c r="C855" s="907"/>
      <c r="D855" s="907"/>
      <c r="E855" s="907"/>
      <c r="F855" s="907"/>
      <c r="G855" s="907"/>
      <c r="H855" s="907"/>
      <c r="I855" s="907"/>
      <c r="J855" s="907"/>
      <c r="K855" s="907"/>
      <c r="L855" s="907"/>
      <c r="M855" s="907"/>
      <c r="N855" s="907"/>
      <c r="O855" s="907"/>
      <c r="P855" s="907"/>
      <c r="Q855" s="907"/>
      <c r="R855" s="907"/>
      <c r="S855" s="907"/>
      <c r="T855" s="907"/>
      <c r="U855" s="907"/>
      <c r="V855" s="907"/>
      <c r="W855" s="907"/>
      <c r="X855" s="907"/>
      <c r="Y855" s="907"/>
      <c r="Z855" s="907"/>
      <c r="AA855" s="907"/>
      <c r="AB855" s="907"/>
      <c r="AC855" s="907"/>
      <c r="AD855" s="907"/>
      <c r="AE855" s="907"/>
      <c r="AF855" s="907"/>
      <c r="AG855" s="907"/>
      <c r="AH855" s="907"/>
      <c r="AI855" s="907"/>
      <c r="AJ855" s="907"/>
      <c r="AK855" s="907"/>
      <c r="AL855" s="907"/>
    </row>
    <row r="856" spans="1:38">
      <c r="A856" s="907"/>
      <c r="B856" s="907"/>
      <c r="C856" s="907"/>
      <c r="D856" s="907"/>
      <c r="E856" s="907"/>
      <c r="F856" s="907"/>
      <c r="G856" s="907"/>
      <c r="H856" s="907"/>
      <c r="I856" s="907"/>
      <c r="J856" s="907"/>
      <c r="K856" s="907"/>
      <c r="L856" s="907"/>
      <c r="M856" s="907"/>
      <c r="N856" s="907"/>
      <c r="O856" s="907"/>
      <c r="P856" s="907"/>
      <c r="Q856" s="907"/>
      <c r="R856" s="907"/>
      <c r="S856" s="907"/>
      <c r="T856" s="907"/>
      <c r="U856" s="907"/>
      <c r="V856" s="907"/>
      <c r="W856" s="907"/>
      <c r="X856" s="907"/>
      <c r="Y856" s="907"/>
      <c r="Z856" s="907"/>
      <c r="AA856" s="907"/>
      <c r="AB856" s="907"/>
      <c r="AC856" s="907"/>
      <c r="AD856" s="907"/>
      <c r="AE856" s="907"/>
      <c r="AF856" s="907"/>
      <c r="AG856" s="907"/>
      <c r="AH856" s="907"/>
      <c r="AI856" s="907"/>
      <c r="AJ856" s="907"/>
      <c r="AK856" s="907"/>
      <c r="AL856" s="907"/>
    </row>
    <row r="857" spans="1:38">
      <c r="A857" s="907"/>
      <c r="B857" s="907"/>
      <c r="C857" s="907"/>
      <c r="D857" s="907"/>
      <c r="E857" s="907"/>
      <c r="F857" s="907"/>
      <c r="G857" s="907"/>
      <c r="H857" s="907"/>
      <c r="I857" s="907"/>
      <c r="J857" s="907"/>
      <c r="K857" s="907"/>
      <c r="L857" s="907"/>
      <c r="M857" s="907"/>
      <c r="N857" s="907"/>
      <c r="O857" s="907"/>
      <c r="P857" s="907"/>
      <c r="Q857" s="907"/>
      <c r="R857" s="907"/>
      <c r="S857" s="907"/>
      <c r="T857" s="907"/>
      <c r="U857" s="907"/>
      <c r="V857" s="907"/>
      <c r="W857" s="907"/>
      <c r="X857" s="907"/>
      <c r="Y857" s="907"/>
      <c r="Z857" s="907"/>
      <c r="AA857" s="907"/>
      <c r="AB857" s="907"/>
      <c r="AC857" s="907"/>
      <c r="AD857" s="907"/>
      <c r="AE857" s="907"/>
      <c r="AF857" s="907"/>
      <c r="AG857" s="907"/>
      <c r="AH857" s="907"/>
      <c r="AI857" s="907"/>
      <c r="AJ857" s="907"/>
      <c r="AK857" s="907"/>
      <c r="AL857" s="907"/>
    </row>
    <row r="858" spans="1:38">
      <c r="A858" s="907"/>
      <c r="B858" s="907"/>
      <c r="C858" s="907"/>
      <c r="D858" s="907"/>
      <c r="E858" s="907"/>
      <c r="F858" s="907"/>
      <c r="G858" s="907"/>
      <c r="H858" s="907"/>
      <c r="I858" s="907"/>
      <c r="J858" s="907"/>
      <c r="K858" s="907"/>
      <c r="L858" s="907"/>
      <c r="M858" s="907"/>
      <c r="N858" s="907"/>
      <c r="O858" s="907"/>
      <c r="P858" s="907"/>
      <c r="Q858" s="907"/>
      <c r="R858" s="907"/>
      <c r="S858" s="907"/>
      <c r="T858" s="907"/>
      <c r="U858" s="907"/>
      <c r="V858" s="907"/>
      <c r="W858" s="907"/>
      <c r="X858" s="907"/>
      <c r="Y858" s="907"/>
      <c r="Z858" s="907"/>
      <c r="AA858" s="907"/>
      <c r="AB858" s="907"/>
      <c r="AC858" s="907"/>
      <c r="AD858" s="907"/>
      <c r="AE858" s="907"/>
      <c r="AF858" s="907"/>
      <c r="AG858" s="907"/>
      <c r="AH858" s="907"/>
      <c r="AI858" s="907"/>
      <c r="AJ858" s="907"/>
      <c r="AK858" s="907"/>
      <c r="AL858" s="907"/>
    </row>
    <row r="859" spans="1:38">
      <c r="A859" s="907"/>
      <c r="B859" s="907"/>
      <c r="C859" s="907"/>
      <c r="D859" s="907"/>
      <c r="E859" s="907"/>
      <c r="F859" s="907"/>
      <c r="G859" s="907"/>
      <c r="H859" s="907"/>
      <c r="I859" s="907"/>
      <c r="J859" s="907"/>
      <c r="K859" s="907"/>
      <c r="L859" s="907"/>
      <c r="M859" s="907"/>
      <c r="N859" s="907"/>
      <c r="O859" s="907"/>
      <c r="P859" s="907"/>
      <c r="Q859" s="907"/>
      <c r="R859" s="907"/>
      <c r="S859" s="907"/>
      <c r="T859" s="907"/>
      <c r="U859" s="907"/>
      <c r="V859" s="907"/>
      <c r="W859" s="907"/>
      <c r="X859" s="907"/>
      <c r="Y859" s="907"/>
      <c r="Z859" s="907"/>
      <c r="AA859" s="907"/>
      <c r="AB859" s="907"/>
      <c r="AC859" s="907"/>
      <c r="AD859" s="907"/>
      <c r="AE859" s="907"/>
      <c r="AF859" s="907"/>
      <c r="AG859" s="907"/>
      <c r="AH859" s="907"/>
      <c r="AI859" s="907"/>
      <c r="AJ859" s="907"/>
      <c r="AK859" s="907"/>
      <c r="AL859" s="907"/>
    </row>
    <row r="860" spans="1:38">
      <c r="A860" s="907"/>
      <c r="B860" s="907"/>
      <c r="C860" s="907"/>
      <c r="D860" s="907"/>
      <c r="E860" s="907"/>
      <c r="F860" s="907"/>
      <c r="G860" s="907"/>
      <c r="H860" s="907"/>
      <c r="I860" s="907"/>
      <c r="J860" s="907"/>
      <c r="K860" s="907"/>
      <c r="L860" s="907"/>
      <c r="M860" s="907"/>
      <c r="N860" s="907"/>
      <c r="O860" s="907"/>
      <c r="P860" s="907"/>
      <c r="Q860" s="907"/>
      <c r="R860" s="907"/>
      <c r="S860" s="907"/>
      <c r="T860" s="907"/>
      <c r="U860" s="907"/>
      <c r="V860" s="907"/>
      <c r="W860" s="907"/>
      <c r="X860" s="907"/>
      <c r="Y860" s="907"/>
      <c r="Z860" s="907"/>
      <c r="AA860" s="907"/>
      <c r="AB860" s="907"/>
      <c r="AC860" s="907"/>
      <c r="AD860" s="907"/>
      <c r="AE860" s="907"/>
      <c r="AF860" s="907"/>
      <c r="AG860" s="907"/>
      <c r="AH860" s="907"/>
      <c r="AI860" s="907"/>
      <c r="AJ860" s="907"/>
      <c r="AK860" s="907"/>
      <c r="AL860" s="907"/>
    </row>
    <row r="861" spans="1:38">
      <c r="A861" s="907"/>
      <c r="B861" s="907"/>
      <c r="C861" s="907"/>
      <c r="D861" s="907"/>
      <c r="E861" s="907"/>
      <c r="F861" s="907"/>
      <c r="G861" s="907"/>
      <c r="H861" s="907"/>
      <c r="I861" s="907"/>
      <c r="J861" s="907"/>
      <c r="K861" s="907"/>
      <c r="L861" s="907"/>
      <c r="M861" s="907"/>
      <c r="N861" s="907"/>
      <c r="O861" s="907"/>
      <c r="P861" s="907"/>
      <c r="Q861" s="907"/>
      <c r="R861" s="907"/>
      <c r="S861" s="907"/>
      <c r="T861" s="907"/>
      <c r="U861" s="907"/>
      <c r="V861" s="907"/>
      <c r="W861" s="907"/>
      <c r="X861" s="907"/>
      <c r="Y861" s="907"/>
      <c r="Z861" s="907"/>
      <c r="AA861" s="907"/>
      <c r="AB861" s="907"/>
      <c r="AC861" s="907"/>
      <c r="AD861" s="907"/>
      <c r="AE861" s="907"/>
      <c r="AF861" s="907"/>
      <c r="AG861" s="907"/>
      <c r="AH861" s="907"/>
      <c r="AI861" s="907"/>
      <c r="AJ861" s="907"/>
      <c r="AK861" s="907"/>
      <c r="AL861" s="907"/>
    </row>
    <row r="862" spans="1:38">
      <c r="A862" s="907"/>
      <c r="B862" s="907"/>
      <c r="C862" s="907"/>
      <c r="D862" s="907"/>
      <c r="E862" s="907"/>
      <c r="F862" s="907"/>
      <c r="G862" s="907"/>
      <c r="H862" s="907"/>
      <c r="I862" s="907"/>
      <c r="J862" s="907"/>
      <c r="K862" s="907"/>
      <c r="L862" s="907"/>
      <c r="M862" s="907"/>
      <c r="N862" s="907"/>
      <c r="O862" s="907"/>
      <c r="P862" s="907"/>
      <c r="Q862" s="907"/>
      <c r="R862" s="907"/>
      <c r="S862" s="907"/>
      <c r="T862" s="907"/>
      <c r="U862" s="907"/>
      <c r="V862" s="907"/>
      <c r="W862" s="907"/>
      <c r="X862" s="907"/>
      <c r="Y862" s="907"/>
      <c r="Z862" s="907"/>
      <c r="AA862" s="907"/>
      <c r="AB862" s="907"/>
      <c r="AC862" s="907"/>
      <c r="AD862" s="907"/>
      <c r="AE862" s="907"/>
      <c r="AF862" s="907"/>
      <c r="AG862" s="907"/>
      <c r="AH862" s="907"/>
      <c r="AI862" s="907"/>
      <c r="AJ862" s="907"/>
      <c r="AK862" s="907"/>
      <c r="AL862" s="907"/>
    </row>
    <row r="863" spans="1:38">
      <c r="A863" s="907"/>
      <c r="B863" s="907"/>
      <c r="C863" s="907"/>
      <c r="D863" s="907"/>
      <c r="E863" s="907"/>
      <c r="F863" s="907"/>
      <c r="G863" s="907"/>
      <c r="H863" s="907"/>
      <c r="I863" s="907"/>
      <c r="J863" s="907"/>
      <c r="K863" s="907"/>
      <c r="L863" s="907"/>
      <c r="M863" s="907"/>
      <c r="N863" s="907"/>
      <c r="O863" s="907"/>
      <c r="P863" s="907"/>
      <c r="Q863" s="907"/>
      <c r="R863" s="907"/>
      <c r="S863" s="907"/>
      <c r="T863" s="907"/>
      <c r="U863" s="907"/>
      <c r="V863" s="907"/>
      <c r="W863" s="907"/>
      <c r="X863" s="907"/>
      <c r="Y863" s="907"/>
      <c r="Z863" s="907"/>
      <c r="AA863" s="907"/>
      <c r="AB863" s="907"/>
      <c r="AC863" s="907"/>
      <c r="AD863" s="907"/>
      <c r="AE863" s="907"/>
      <c r="AF863" s="907"/>
      <c r="AG863" s="907"/>
      <c r="AH863" s="907"/>
      <c r="AI863" s="907"/>
      <c r="AJ863" s="907"/>
      <c r="AK863" s="907"/>
      <c r="AL863" s="907"/>
    </row>
    <row r="864" spans="1:38">
      <c r="A864" s="907"/>
      <c r="B864" s="907"/>
      <c r="C864" s="907"/>
      <c r="D864" s="907"/>
      <c r="E864" s="907"/>
      <c r="F864" s="907"/>
      <c r="G864" s="907"/>
      <c r="H864" s="907"/>
      <c r="I864" s="907"/>
      <c r="J864" s="907"/>
      <c r="K864" s="907"/>
      <c r="L864" s="907"/>
      <c r="M864" s="907"/>
      <c r="N864" s="907"/>
      <c r="O864" s="907"/>
      <c r="P864" s="907"/>
      <c r="Q864" s="907"/>
      <c r="R864" s="907"/>
      <c r="S864" s="907"/>
      <c r="T864" s="907"/>
      <c r="U864" s="907"/>
      <c r="V864" s="907"/>
      <c r="W864" s="907"/>
      <c r="X864" s="907"/>
      <c r="Y864" s="907"/>
      <c r="Z864" s="907"/>
      <c r="AA864" s="907"/>
      <c r="AB864" s="907"/>
      <c r="AC864" s="907"/>
      <c r="AD864" s="907"/>
      <c r="AE864" s="907"/>
      <c r="AF864" s="907"/>
      <c r="AG864" s="907"/>
      <c r="AH864" s="907"/>
      <c r="AI864" s="907"/>
      <c r="AJ864" s="907"/>
      <c r="AK864" s="907"/>
      <c r="AL864" s="907"/>
    </row>
    <row r="865" spans="1:38">
      <c r="A865" s="907"/>
      <c r="B865" s="907"/>
      <c r="C865" s="907"/>
      <c r="D865" s="907"/>
      <c r="E865" s="907"/>
      <c r="F865" s="907"/>
      <c r="G865" s="907"/>
      <c r="H865" s="907"/>
      <c r="I865" s="907"/>
      <c r="J865" s="907"/>
      <c r="K865" s="907"/>
      <c r="L865" s="907"/>
      <c r="M865" s="907"/>
      <c r="N865" s="907"/>
      <c r="O865" s="907"/>
      <c r="P865" s="907"/>
      <c r="Q865" s="907"/>
      <c r="R865" s="907"/>
      <c r="S865" s="907"/>
      <c r="T865" s="907"/>
      <c r="U865" s="907"/>
      <c r="V865" s="907"/>
      <c r="W865" s="907"/>
      <c r="X865" s="907"/>
      <c r="Y865" s="907"/>
      <c r="Z865" s="907"/>
      <c r="AA865" s="907"/>
      <c r="AB865" s="907"/>
      <c r="AC865" s="907"/>
      <c r="AD865" s="907"/>
      <c r="AE865" s="907"/>
      <c r="AF865" s="907"/>
      <c r="AG865" s="907"/>
      <c r="AH865" s="907"/>
      <c r="AI865" s="907"/>
      <c r="AJ865" s="907"/>
      <c r="AK865" s="907"/>
      <c r="AL865" s="907"/>
    </row>
    <row r="866" spans="1:38">
      <c r="A866" s="907"/>
      <c r="B866" s="907"/>
      <c r="C866" s="907"/>
      <c r="D866" s="907"/>
      <c r="E866" s="907"/>
      <c r="F866" s="907"/>
      <c r="G866" s="907"/>
      <c r="H866" s="907"/>
      <c r="I866" s="907"/>
      <c r="J866" s="907"/>
      <c r="K866" s="907"/>
      <c r="L866" s="907"/>
      <c r="M866" s="907"/>
      <c r="N866" s="907"/>
      <c r="O866" s="907"/>
      <c r="P866" s="907"/>
      <c r="Q866" s="907"/>
      <c r="R866" s="907"/>
      <c r="S866" s="907"/>
      <c r="T866" s="907"/>
      <c r="U866" s="907"/>
      <c r="V866" s="907"/>
      <c r="W866" s="907"/>
      <c r="X866" s="907"/>
      <c r="Y866" s="907"/>
      <c r="Z866" s="907"/>
      <c r="AA866" s="907"/>
      <c r="AB866" s="907"/>
      <c r="AC866" s="907"/>
      <c r="AD866" s="907"/>
      <c r="AE866" s="907"/>
      <c r="AF866" s="907"/>
      <c r="AG866" s="907"/>
      <c r="AH866" s="907"/>
      <c r="AI866" s="907"/>
      <c r="AJ866" s="907"/>
      <c r="AK866" s="907"/>
      <c r="AL866" s="907"/>
    </row>
    <row r="867" spans="1:38">
      <c r="A867" s="907"/>
      <c r="B867" s="907"/>
      <c r="C867" s="907"/>
      <c r="D867" s="907"/>
      <c r="E867" s="907"/>
      <c r="F867" s="907"/>
      <c r="G867" s="907"/>
      <c r="H867" s="907"/>
      <c r="I867" s="907"/>
      <c r="J867" s="907"/>
      <c r="K867" s="907"/>
      <c r="L867" s="907"/>
      <c r="M867" s="907"/>
      <c r="N867" s="907"/>
      <c r="O867" s="907"/>
      <c r="P867" s="907"/>
      <c r="Q867" s="907"/>
      <c r="R867" s="907"/>
      <c r="S867" s="907"/>
      <c r="T867" s="907"/>
      <c r="U867" s="907"/>
      <c r="V867" s="907"/>
      <c r="W867" s="907"/>
      <c r="X867" s="907"/>
      <c r="Y867" s="907"/>
      <c r="Z867" s="907"/>
      <c r="AA867" s="907"/>
      <c r="AB867" s="907"/>
      <c r="AC867" s="907"/>
      <c r="AD867" s="907"/>
      <c r="AE867" s="907"/>
      <c r="AF867" s="907"/>
      <c r="AG867" s="907"/>
      <c r="AH867" s="907"/>
      <c r="AI867" s="907"/>
      <c r="AJ867" s="907"/>
      <c r="AK867" s="907"/>
      <c r="AL867" s="907"/>
    </row>
    <row r="868" spans="1:38">
      <c r="A868" s="907"/>
      <c r="B868" s="907"/>
      <c r="C868" s="907"/>
      <c r="D868" s="907"/>
      <c r="E868" s="907"/>
      <c r="F868" s="907"/>
      <c r="G868" s="907"/>
      <c r="H868" s="907"/>
      <c r="I868" s="907"/>
      <c r="J868" s="907"/>
      <c r="K868" s="907"/>
      <c r="L868" s="907"/>
      <c r="M868" s="907"/>
      <c r="N868" s="907"/>
      <c r="O868" s="907"/>
      <c r="P868" s="907"/>
      <c r="Q868" s="907"/>
      <c r="R868" s="907"/>
      <c r="S868" s="907"/>
      <c r="T868" s="907"/>
      <c r="U868" s="907"/>
      <c r="V868" s="907"/>
      <c r="W868" s="907"/>
      <c r="X868" s="907"/>
      <c r="Y868" s="907"/>
      <c r="Z868" s="907"/>
      <c r="AA868" s="907"/>
      <c r="AB868" s="907"/>
      <c r="AC868" s="907"/>
      <c r="AD868" s="907"/>
      <c r="AE868" s="907"/>
      <c r="AF868" s="907"/>
      <c r="AG868" s="907"/>
      <c r="AH868" s="907"/>
      <c r="AI868" s="907"/>
      <c r="AJ868" s="907"/>
      <c r="AK868" s="907"/>
      <c r="AL868" s="907"/>
    </row>
    <row r="869" spans="1:38">
      <c r="A869" s="907"/>
      <c r="B869" s="907"/>
      <c r="C869" s="907"/>
      <c r="D869" s="907"/>
      <c r="E869" s="907"/>
      <c r="F869" s="907"/>
      <c r="G869" s="907"/>
      <c r="H869" s="907"/>
      <c r="I869" s="907"/>
      <c r="J869" s="907"/>
      <c r="K869" s="907"/>
      <c r="L869" s="907"/>
      <c r="M869" s="907"/>
      <c r="N869" s="907"/>
      <c r="O869" s="907"/>
      <c r="P869" s="907"/>
      <c r="Q869" s="907"/>
      <c r="R869" s="907"/>
      <c r="S869" s="907"/>
      <c r="T869" s="907"/>
      <c r="U869" s="907"/>
      <c r="V869" s="907"/>
      <c r="W869" s="907"/>
      <c r="X869" s="907"/>
      <c r="Y869" s="907"/>
      <c r="Z869" s="907"/>
      <c r="AA869" s="907"/>
      <c r="AB869" s="907"/>
      <c r="AC869" s="907"/>
      <c r="AD869" s="907"/>
      <c r="AE869" s="907"/>
      <c r="AF869" s="907"/>
      <c r="AG869" s="907"/>
      <c r="AH869" s="907"/>
      <c r="AI869" s="907"/>
      <c r="AJ869" s="907"/>
      <c r="AK869" s="907"/>
      <c r="AL869" s="907"/>
    </row>
    <row r="870" spans="1:38">
      <c r="A870" s="907"/>
      <c r="B870" s="907"/>
      <c r="C870" s="907"/>
      <c r="D870" s="907"/>
      <c r="E870" s="907"/>
      <c r="F870" s="907"/>
      <c r="G870" s="907"/>
      <c r="H870" s="907"/>
      <c r="I870" s="907"/>
      <c r="J870" s="907"/>
      <c r="K870" s="907"/>
      <c r="L870" s="907"/>
      <c r="M870" s="907"/>
      <c r="N870" s="907"/>
      <c r="O870" s="907"/>
      <c r="P870" s="907"/>
      <c r="Q870" s="907"/>
      <c r="R870" s="907"/>
      <c r="S870" s="907"/>
      <c r="T870" s="907"/>
      <c r="U870" s="907"/>
      <c r="V870" s="907"/>
      <c r="W870" s="907"/>
      <c r="X870" s="907"/>
      <c r="Y870" s="907"/>
      <c r="Z870" s="907"/>
      <c r="AA870" s="907"/>
      <c r="AB870" s="907"/>
      <c r="AC870" s="907"/>
      <c r="AD870" s="907"/>
      <c r="AE870" s="907"/>
      <c r="AF870" s="907"/>
      <c r="AG870" s="907"/>
      <c r="AH870" s="907"/>
      <c r="AI870" s="907"/>
      <c r="AJ870" s="907"/>
      <c r="AK870" s="907"/>
      <c r="AL870" s="907"/>
    </row>
    <row r="871" spans="1:38">
      <c r="A871" s="907"/>
      <c r="B871" s="907"/>
      <c r="C871" s="907"/>
      <c r="D871" s="907"/>
      <c r="E871" s="907"/>
      <c r="F871" s="907"/>
      <c r="G871" s="907"/>
      <c r="H871" s="907"/>
      <c r="I871" s="907"/>
      <c r="J871" s="907"/>
      <c r="K871" s="907"/>
      <c r="L871" s="907"/>
      <c r="M871" s="907"/>
      <c r="N871" s="907"/>
      <c r="O871" s="907"/>
      <c r="P871" s="907"/>
      <c r="Q871" s="907"/>
      <c r="R871" s="907"/>
      <c r="S871" s="907"/>
      <c r="T871" s="907"/>
      <c r="U871" s="907"/>
      <c r="V871" s="907"/>
      <c r="W871" s="907"/>
      <c r="X871" s="907"/>
      <c r="Y871" s="907"/>
      <c r="Z871" s="907"/>
      <c r="AA871" s="907"/>
      <c r="AB871" s="907"/>
      <c r="AC871" s="907"/>
      <c r="AD871" s="907"/>
      <c r="AE871" s="907"/>
      <c r="AF871" s="907"/>
      <c r="AG871" s="907"/>
      <c r="AH871" s="907"/>
      <c r="AI871" s="907"/>
      <c r="AJ871" s="907"/>
      <c r="AK871" s="907"/>
      <c r="AL871" s="907"/>
    </row>
    <row r="872" spans="1:38">
      <c r="A872" s="907"/>
      <c r="B872" s="907"/>
      <c r="C872" s="907"/>
      <c r="D872" s="907"/>
      <c r="E872" s="907"/>
      <c r="F872" s="907"/>
      <c r="G872" s="907"/>
      <c r="H872" s="907"/>
      <c r="I872" s="907"/>
      <c r="J872" s="907"/>
      <c r="K872" s="907"/>
      <c r="L872" s="907"/>
      <c r="M872" s="907"/>
      <c r="N872" s="907"/>
      <c r="O872" s="907"/>
      <c r="P872" s="907"/>
      <c r="Q872" s="907"/>
      <c r="R872" s="907"/>
      <c r="S872" s="907"/>
      <c r="T872" s="907"/>
      <c r="U872" s="907"/>
      <c r="V872" s="907"/>
      <c r="W872" s="907"/>
      <c r="X872" s="907"/>
      <c r="Y872" s="907"/>
      <c r="Z872" s="907"/>
      <c r="AA872" s="907"/>
      <c r="AB872" s="907"/>
      <c r="AC872" s="907"/>
      <c r="AD872" s="907"/>
      <c r="AE872" s="907"/>
      <c r="AF872" s="907"/>
      <c r="AG872" s="907"/>
      <c r="AH872" s="907"/>
      <c r="AI872" s="907"/>
      <c r="AJ872" s="907"/>
      <c r="AK872" s="907"/>
      <c r="AL872" s="907"/>
    </row>
    <row r="873" spans="1:38">
      <c r="A873" s="907"/>
      <c r="B873" s="907"/>
      <c r="C873" s="907"/>
      <c r="D873" s="907"/>
      <c r="E873" s="907"/>
      <c r="F873" s="907"/>
      <c r="G873" s="907"/>
      <c r="H873" s="907"/>
      <c r="I873" s="907"/>
      <c r="J873" s="907"/>
      <c r="K873" s="907"/>
      <c r="L873" s="907"/>
      <c r="M873" s="907"/>
      <c r="N873" s="907"/>
      <c r="O873" s="907"/>
      <c r="P873" s="907"/>
      <c r="Q873" s="907"/>
      <c r="R873" s="907"/>
      <c r="S873" s="907"/>
      <c r="T873" s="907"/>
      <c r="U873" s="907"/>
      <c r="V873" s="907"/>
      <c r="W873" s="907"/>
      <c r="X873" s="907"/>
      <c r="Y873" s="907"/>
      <c r="Z873" s="907"/>
      <c r="AA873" s="907"/>
      <c r="AB873" s="907"/>
      <c r="AC873" s="907"/>
      <c r="AD873" s="907"/>
      <c r="AE873" s="907"/>
      <c r="AF873" s="907"/>
      <c r="AG873" s="907"/>
      <c r="AH873" s="907"/>
      <c r="AI873" s="907"/>
      <c r="AJ873" s="907"/>
      <c r="AK873" s="907"/>
      <c r="AL873" s="907"/>
    </row>
    <row r="874" spans="1:38">
      <c r="A874" s="907"/>
      <c r="B874" s="907"/>
      <c r="C874" s="907"/>
      <c r="D874" s="907"/>
      <c r="E874" s="907"/>
      <c r="F874" s="907"/>
      <c r="G874" s="907"/>
      <c r="H874" s="907"/>
      <c r="I874" s="907"/>
      <c r="J874" s="907"/>
      <c r="K874" s="907"/>
      <c r="L874" s="907"/>
      <c r="M874" s="907"/>
      <c r="N874" s="907"/>
      <c r="O874" s="907"/>
      <c r="P874" s="907"/>
      <c r="Q874" s="907"/>
      <c r="R874" s="907"/>
      <c r="S874" s="907"/>
      <c r="T874" s="907"/>
      <c r="U874" s="907"/>
      <c r="V874" s="907"/>
      <c r="W874" s="907"/>
      <c r="X874" s="907"/>
      <c r="Y874" s="907"/>
      <c r="Z874" s="907"/>
      <c r="AA874" s="907"/>
      <c r="AB874" s="907"/>
      <c r="AC874" s="907"/>
      <c r="AD874" s="907"/>
      <c r="AE874" s="907"/>
      <c r="AF874" s="907"/>
      <c r="AG874" s="907"/>
      <c r="AH874" s="907"/>
      <c r="AI874" s="907"/>
      <c r="AJ874" s="907"/>
      <c r="AK874" s="907"/>
      <c r="AL874" s="907"/>
    </row>
    <row r="875" spans="1:38">
      <c r="A875" s="907"/>
      <c r="B875" s="907"/>
      <c r="C875" s="907"/>
      <c r="D875" s="907"/>
      <c r="E875" s="907"/>
      <c r="F875" s="907"/>
      <c r="G875" s="907"/>
      <c r="H875" s="907"/>
      <c r="I875" s="907"/>
      <c r="J875" s="907"/>
      <c r="K875" s="907"/>
      <c r="L875" s="907"/>
      <c r="M875" s="907"/>
      <c r="N875" s="907"/>
      <c r="O875" s="907"/>
      <c r="P875" s="907"/>
      <c r="Q875" s="907"/>
      <c r="R875" s="907"/>
      <c r="S875" s="907"/>
      <c r="T875" s="907"/>
      <c r="U875" s="907"/>
      <c r="V875" s="907"/>
      <c r="W875" s="907"/>
      <c r="X875" s="907"/>
      <c r="Y875" s="907"/>
      <c r="Z875" s="907"/>
      <c r="AA875" s="907"/>
      <c r="AB875" s="907"/>
      <c r="AC875" s="907"/>
      <c r="AD875" s="907"/>
      <c r="AE875" s="907"/>
      <c r="AF875" s="907"/>
      <c r="AG875" s="907"/>
      <c r="AH875" s="907"/>
      <c r="AI875" s="907"/>
      <c r="AJ875" s="907"/>
      <c r="AK875" s="907"/>
      <c r="AL875" s="907"/>
    </row>
    <row r="876" spans="1:38">
      <c r="A876" s="907"/>
      <c r="B876" s="907"/>
      <c r="C876" s="907"/>
      <c r="D876" s="907"/>
      <c r="E876" s="907"/>
      <c r="F876" s="907"/>
      <c r="G876" s="907"/>
      <c r="H876" s="907"/>
      <c r="I876" s="907"/>
      <c r="J876" s="907"/>
      <c r="K876" s="907"/>
      <c r="L876" s="907"/>
      <c r="M876" s="907"/>
      <c r="N876" s="907"/>
      <c r="O876" s="907"/>
      <c r="P876" s="907"/>
      <c r="Q876" s="907"/>
      <c r="R876" s="907"/>
      <c r="S876" s="907"/>
      <c r="T876" s="907"/>
      <c r="U876" s="907"/>
      <c r="V876" s="907"/>
      <c r="W876" s="907"/>
      <c r="X876" s="907"/>
      <c r="Y876" s="907"/>
      <c r="Z876" s="907"/>
      <c r="AA876" s="907"/>
      <c r="AB876" s="907"/>
      <c r="AC876" s="907"/>
      <c r="AD876" s="907"/>
      <c r="AE876" s="907"/>
      <c r="AF876" s="907"/>
      <c r="AG876" s="907"/>
      <c r="AH876" s="907"/>
      <c r="AI876" s="907"/>
      <c r="AJ876" s="907"/>
      <c r="AK876" s="907"/>
      <c r="AL876" s="907"/>
    </row>
    <row r="877" spans="1:38">
      <c r="A877" s="907"/>
      <c r="B877" s="907"/>
      <c r="C877" s="907"/>
      <c r="D877" s="907"/>
      <c r="E877" s="907"/>
      <c r="F877" s="907"/>
      <c r="G877" s="907"/>
      <c r="H877" s="907"/>
      <c r="I877" s="907"/>
      <c r="J877" s="907"/>
      <c r="K877" s="907"/>
      <c r="L877" s="907"/>
      <c r="M877" s="907"/>
      <c r="N877" s="907"/>
      <c r="O877" s="907"/>
      <c r="P877" s="907"/>
      <c r="Q877" s="907"/>
      <c r="R877" s="907"/>
      <c r="S877" s="907"/>
      <c r="T877" s="907"/>
      <c r="U877" s="907"/>
      <c r="V877" s="907"/>
      <c r="W877" s="907"/>
      <c r="X877" s="907"/>
      <c r="Y877" s="907"/>
      <c r="Z877" s="907"/>
      <c r="AA877" s="907"/>
      <c r="AB877" s="907"/>
      <c r="AC877" s="907"/>
      <c r="AD877" s="907"/>
      <c r="AE877" s="907"/>
      <c r="AF877" s="907"/>
      <c r="AG877" s="907"/>
      <c r="AH877" s="907"/>
      <c r="AI877" s="907"/>
      <c r="AJ877" s="907"/>
      <c r="AK877" s="907"/>
      <c r="AL877" s="907"/>
    </row>
    <row r="878" spans="1:38">
      <c r="A878" s="907"/>
      <c r="B878" s="907"/>
      <c r="C878" s="907"/>
      <c r="D878" s="907"/>
      <c r="E878" s="907"/>
      <c r="F878" s="907"/>
      <c r="G878" s="907"/>
      <c r="H878" s="907"/>
      <c r="I878" s="907"/>
      <c r="J878" s="907"/>
      <c r="K878" s="907"/>
      <c r="L878" s="907"/>
      <c r="M878" s="907"/>
      <c r="N878" s="907"/>
      <c r="O878" s="907"/>
      <c r="P878" s="907"/>
      <c r="Q878" s="907"/>
      <c r="R878" s="907"/>
      <c r="S878" s="907"/>
      <c r="T878" s="907"/>
      <c r="U878" s="907"/>
      <c r="V878" s="907"/>
      <c r="W878" s="907"/>
      <c r="X878" s="907"/>
      <c r="Y878" s="907"/>
      <c r="Z878" s="907"/>
      <c r="AA878" s="907"/>
      <c r="AB878" s="907"/>
      <c r="AC878" s="907"/>
      <c r="AD878" s="907"/>
      <c r="AE878" s="907"/>
      <c r="AF878" s="907"/>
      <c r="AG878" s="907"/>
      <c r="AH878" s="907"/>
      <c r="AI878" s="907"/>
      <c r="AJ878" s="907"/>
      <c r="AK878" s="907"/>
      <c r="AL878" s="907"/>
    </row>
    <row r="879" spans="1:38">
      <c r="A879" s="907"/>
      <c r="B879" s="907"/>
      <c r="C879" s="907"/>
      <c r="D879" s="907"/>
      <c r="E879" s="907"/>
      <c r="F879" s="907"/>
      <c r="G879" s="907"/>
      <c r="H879" s="907"/>
      <c r="I879" s="907"/>
      <c r="J879" s="907"/>
      <c r="K879" s="907"/>
      <c r="L879" s="907"/>
      <c r="M879" s="907"/>
      <c r="N879" s="907"/>
      <c r="O879" s="907"/>
      <c r="P879" s="907"/>
      <c r="Q879" s="907"/>
      <c r="R879" s="907"/>
      <c r="S879" s="907"/>
      <c r="T879" s="907"/>
      <c r="U879" s="907"/>
      <c r="V879" s="907"/>
      <c r="W879" s="907"/>
      <c r="X879" s="907"/>
      <c r="Y879" s="907"/>
      <c r="Z879" s="907"/>
      <c r="AA879" s="907"/>
      <c r="AB879" s="907"/>
      <c r="AC879" s="907"/>
      <c r="AD879" s="907"/>
      <c r="AE879" s="907"/>
      <c r="AF879" s="907"/>
      <c r="AG879" s="907"/>
      <c r="AH879" s="907"/>
      <c r="AI879" s="907"/>
      <c r="AJ879" s="907"/>
      <c r="AK879" s="907"/>
      <c r="AL879" s="907"/>
    </row>
    <row r="880" spans="1:38">
      <c r="A880" s="907"/>
      <c r="B880" s="907"/>
      <c r="C880" s="907"/>
      <c r="D880" s="907"/>
      <c r="E880" s="907"/>
      <c r="F880" s="907"/>
      <c r="G880" s="907"/>
      <c r="H880" s="907"/>
      <c r="I880" s="907"/>
      <c r="J880" s="907"/>
      <c r="K880" s="907"/>
      <c r="L880" s="907"/>
      <c r="M880" s="907"/>
      <c r="N880" s="907"/>
      <c r="O880" s="907"/>
      <c r="P880" s="907"/>
      <c r="Q880" s="907"/>
      <c r="R880" s="907"/>
      <c r="S880" s="907"/>
      <c r="T880" s="907"/>
      <c r="U880" s="907"/>
      <c r="V880" s="907"/>
      <c r="W880" s="907"/>
      <c r="X880" s="907"/>
      <c r="Y880" s="907"/>
      <c r="Z880" s="907"/>
      <c r="AA880" s="907"/>
      <c r="AB880" s="907"/>
      <c r="AC880" s="907"/>
      <c r="AD880" s="907"/>
      <c r="AE880" s="907"/>
      <c r="AF880" s="907"/>
      <c r="AG880" s="907"/>
      <c r="AH880" s="907"/>
      <c r="AI880" s="907"/>
      <c r="AJ880" s="907"/>
      <c r="AK880" s="907"/>
      <c r="AL880" s="907"/>
    </row>
    <row r="881" spans="1:38">
      <c r="A881" s="907"/>
      <c r="B881" s="907"/>
      <c r="C881" s="907"/>
      <c r="D881" s="907"/>
      <c r="E881" s="907"/>
      <c r="F881" s="907"/>
      <c r="G881" s="907"/>
      <c r="H881" s="907"/>
      <c r="I881" s="907"/>
      <c r="J881" s="907"/>
      <c r="K881" s="907"/>
      <c r="L881" s="907"/>
      <c r="M881" s="907"/>
      <c r="N881" s="907"/>
      <c r="O881" s="907"/>
      <c r="P881" s="907"/>
      <c r="Q881" s="907"/>
      <c r="R881" s="907"/>
      <c r="S881" s="907"/>
      <c r="T881" s="907"/>
      <c r="U881" s="907"/>
      <c r="V881" s="907"/>
      <c r="W881" s="907"/>
      <c r="X881" s="907"/>
      <c r="Y881" s="907"/>
      <c r="Z881" s="907"/>
      <c r="AA881" s="907"/>
      <c r="AB881" s="907"/>
      <c r="AC881" s="907"/>
      <c r="AD881" s="907"/>
      <c r="AE881" s="907"/>
      <c r="AF881" s="907"/>
      <c r="AG881" s="907"/>
      <c r="AH881" s="907"/>
      <c r="AI881" s="907"/>
      <c r="AJ881" s="907"/>
      <c r="AK881" s="907"/>
      <c r="AL881" s="907"/>
    </row>
    <row r="882" spans="1:38">
      <c r="A882" s="907"/>
      <c r="B882" s="907"/>
      <c r="C882" s="907"/>
      <c r="D882" s="907"/>
      <c r="E882" s="907"/>
      <c r="F882" s="907"/>
      <c r="G882" s="907"/>
      <c r="H882" s="907"/>
      <c r="I882" s="907"/>
      <c r="J882" s="907"/>
      <c r="K882" s="907"/>
      <c r="L882" s="907"/>
      <c r="M882" s="907"/>
      <c r="N882" s="907"/>
      <c r="O882" s="907"/>
      <c r="P882" s="907"/>
      <c r="Q882" s="907"/>
      <c r="R882" s="907"/>
      <c r="S882" s="907"/>
      <c r="T882" s="907"/>
      <c r="U882" s="907"/>
      <c r="V882" s="907"/>
      <c r="W882" s="907"/>
      <c r="X882" s="907"/>
      <c r="Y882" s="907"/>
      <c r="Z882" s="907"/>
      <c r="AA882" s="907"/>
      <c r="AB882" s="907"/>
      <c r="AC882" s="907"/>
      <c r="AD882" s="907"/>
      <c r="AE882" s="907"/>
      <c r="AF882" s="907"/>
      <c r="AG882" s="907"/>
      <c r="AH882" s="907"/>
      <c r="AI882" s="907"/>
      <c r="AJ882" s="907"/>
      <c r="AK882" s="907"/>
      <c r="AL882" s="907"/>
    </row>
    <row r="883" spans="1:38">
      <c r="A883" s="907"/>
      <c r="B883" s="907"/>
      <c r="C883" s="907"/>
      <c r="D883" s="907"/>
      <c r="E883" s="907"/>
      <c r="F883" s="907"/>
      <c r="G883" s="907"/>
      <c r="H883" s="907"/>
      <c r="I883" s="907"/>
      <c r="J883" s="907"/>
      <c r="K883" s="907"/>
      <c r="L883" s="907"/>
      <c r="M883" s="907"/>
      <c r="N883" s="907"/>
      <c r="O883" s="907"/>
      <c r="P883" s="907"/>
      <c r="Q883" s="907"/>
      <c r="R883" s="907"/>
      <c r="S883" s="907"/>
      <c r="T883" s="907"/>
      <c r="U883" s="907"/>
      <c r="V883" s="907"/>
      <c r="W883" s="907"/>
      <c r="X883" s="907"/>
      <c r="Y883" s="907"/>
      <c r="Z883" s="907"/>
      <c r="AA883" s="907"/>
      <c r="AB883" s="907"/>
      <c r="AC883" s="907"/>
      <c r="AD883" s="907"/>
      <c r="AE883" s="907"/>
      <c r="AF883" s="907"/>
      <c r="AG883" s="907"/>
      <c r="AH883" s="907"/>
      <c r="AI883" s="907"/>
      <c r="AJ883" s="907"/>
      <c r="AK883" s="907"/>
      <c r="AL883" s="907"/>
    </row>
    <row r="884" spans="1:38">
      <c r="A884" s="907"/>
      <c r="B884" s="907"/>
      <c r="C884" s="907"/>
      <c r="D884" s="907"/>
      <c r="E884" s="907"/>
      <c r="F884" s="907"/>
      <c r="G884" s="907"/>
      <c r="H884" s="907"/>
      <c r="I884" s="907"/>
      <c r="J884" s="907"/>
      <c r="K884" s="907"/>
      <c r="L884" s="907"/>
      <c r="M884" s="907"/>
      <c r="N884" s="907"/>
      <c r="O884" s="907"/>
      <c r="P884" s="907"/>
      <c r="Q884" s="907"/>
      <c r="R884" s="907"/>
      <c r="S884" s="907"/>
      <c r="T884" s="907"/>
      <c r="U884" s="907"/>
      <c r="V884" s="907"/>
      <c r="W884" s="907"/>
      <c r="X884" s="907"/>
      <c r="Y884" s="907"/>
      <c r="Z884" s="907"/>
      <c r="AA884" s="907"/>
      <c r="AB884" s="907"/>
      <c r="AC884" s="907"/>
      <c r="AD884" s="907"/>
      <c r="AE884" s="907"/>
      <c r="AF884" s="907"/>
      <c r="AG884" s="907"/>
      <c r="AH884" s="907"/>
      <c r="AI884" s="907"/>
      <c r="AJ884" s="907"/>
      <c r="AK884" s="907"/>
      <c r="AL884" s="907"/>
    </row>
    <row r="885" spans="1:38">
      <c r="A885" s="907"/>
      <c r="B885" s="907"/>
      <c r="C885" s="907"/>
      <c r="D885" s="907"/>
      <c r="E885" s="907"/>
      <c r="F885" s="907"/>
      <c r="G885" s="907"/>
      <c r="H885" s="907"/>
      <c r="I885" s="907"/>
      <c r="J885" s="907"/>
      <c r="K885" s="907"/>
      <c r="L885" s="907"/>
      <c r="M885" s="907"/>
      <c r="N885" s="907"/>
      <c r="O885" s="907"/>
      <c r="P885" s="907"/>
      <c r="Q885" s="907"/>
      <c r="R885" s="907"/>
      <c r="S885" s="907"/>
      <c r="T885" s="907"/>
      <c r="U885" s="907"/>
      <c r="V885" s="907"/>
      <c r="W885" s="907"/>
      <c r="X885" s="907"/>
      <c r="Y885" s="907"/>
      <c r="Z885" s="907"/>
      <c r="AA885" s="907"/>
      <c r="AB885" s="907"/>
      <c r="AC885" s="907"/>
      <c r="AD885" s="907"/>
      <c r="AE885" s="907"/>
      <c r="AF885" s="907"/>
      <c r="AG885" s="907"/>
      <c r="AH885" s="907"/>
      <c r="AI885" s="907"/>
      <c r="AJ885" s="907"/>
      <c r="AK885" s="907"/>
      <c r="AL885" s="907"/>
    </row>
    <row r="886" spans="1:38">
      <c r="A886" s="907"/>
      <c r="B886" s="907"/>
      <c r="C886" s="907"/>
      <c r="D886" s="907"/>
      <c r="E886" s="907"/>
      <c r="F886" s="907"/>
      <c r="G886" s="907"/>
      <c r="H886" s="907"/>
      <c r="I886" s="907"/>
      <c r="J886" s="907"/>
      <c r="K886" s="907"/>
      <c r="L886" s="907"/>
      <c r="M886" s="907"/>
      <c r="N886" s="907"/>
      <c r="O886" s="907"/>
      <c r="P886" s="907"/>
      <c r="Q886" s="907"/>
      <c r="R886" s="907"/>
      <c r="S886" s="907"/>
      <c r="T886" s="907"/>
      <c r="U886" s="907"/>
      <c r="V886" s="907"/>
      <c r="W886" s="907"/>
      <c r="X886" s="907"/>
      <c r="Y886" s="907"/>
      <c r="Z886" s="907"/>
      <c r="AA886" s="907"/>
      <c r="AB886" s="907"/>
      <c r="AC886" s="907"/>
      <c r="AD886" s="907"/>
      <c r="AE886" s="907"/>
      <c r="AF886" s="907"/>
      <c r="AG886" s="907"/>
      <c r="AH886" s="907"/>
      <c r="AI886" s="907"/>
      <c r="AJ886" s="907"/>
      <c r="AK886" s="907"/>
      <c r="AL886" s="907"/>
    </row>
    <row r="887" spans="1:38">
      <c r="A887" s="907"/>
      <c r="B887" s="907"/>
      <c r="C887" s="907"/>
      <c r="D887" s="907"/>
      <c r="E887" s="907"/>
      <c r="F887" s="907"/>
      <c r="G887" s="907"/>
      <c r="H887" s="907"/>
      <c r="I887" s="907"/>
      <c r="J887" s="907"/>
      <c r="K887" s="907"/>
      <c r="L887" s="907"/>
      <c r="M887" s="907"/>
      <c r="N887" s="907"/>
      <c r="O887" s="907"/>
      <c r="P887" s="907"/>
      <c r="Q887" s="907"/>
      <c r="R887" s="907"/>
      <c r="S887" s="907"/>
      <c r="T887" s="907"/>
      <c r="U887" s="907"/>
      <c r="V887" s="907"/>
      <c r="W887" s="907"/>
      <c r="X887" s="907"/>
      <c r="Y887" s="907"/>
      <c r="Z887" s="907"/>
      <c r="AA887" s="907"/>
      <c r="AB887" s="907"/>
      <c r="AC887" s="907"/>
      <c r="AD887" s="907"/>
      <c r="AE887" s="907"/>
      <c r="AF887" s="907"/>
      <c r="AG887" s="907"/>
      <c r="AH887" s="907"/>
      <c r="AI887" s="907"/>
      <c r="AJ887" s="907"/>
      <c r="AK887" s="907"/>
      <c r="AL887" s="907"/>
    </row>
    <row r="888" spans="1:38">
      <c r="A888" s="907"/>
      <c r="B888" s="907"/>
      <c r="C888" s="907"/>
      <c r="D888" s="907"/>
      <c r="E888" s="907"/>
      <c r="F888" s="907"/>
      <c r="G888" s="907"/>
      <c r="H888" s="907"/>
      <c r="I888" s="907"/>
      <c r="J888" s="907"/>
      <c r="K888" s="907"/>
      <c r="L888" s="907"/>
      <c r="M888" s="907"/>
      <c r="N888" s="907"/>
      <c r="O888" s="907"/>
      <c r="P888" s="907"/>
      <c r="Q888" s="907"/>
      <c r="R888" s="907"/>
      <c r="S888" s="907"/>
      <c r="T888" s="907"/>
      <c r="U888" s="907"/>
      <c r="V888" s="907"/>
      <c r="W888" s="907"/>
      <c r="X888" s="907"/>
      <c r="Y888" s="907"/>
      <c r="Z888" s="907"/>
      <c r="AA888" s="907"/>
      <c r="AB888" s="907"/>
      <c r="AC888" s="907"/>
      <c r="AD888" s="907"/>
      <c r="AE888" s="907"/>
      <c r="AF888" s="907"/>
      <c r="AG888" s="907"/>
      <c r="AH888" s="907"/>
      <c r="AI888" s="907"/>
      <c r="AJ888" s="907"/>
      <c r="AK888" s="907"/>
      <c r="AL888" s="907"/>
    </row>
    <row r="889" spans="1:38">
      <c r="A889" s="907"/>
      <c r="B889" s="907"/>
      <c r="C889" s="907"/>
      <c r="D889" s="907"/>
      <c r="E889" s="907"/>
      <c r="F889" s="907"/>
      <c r="G889" s="907"/>
      <c r="H889" s="907"/>
      <c r="I889" s="907"/>
      <c r="J889" s="907"/>
      <c r="K889" s="907"/>
      <c r="L889" s="907"/>
      <c r="M889" s="907"/>
      <c r="N889" s="907"/>
      <c r="O889" s="907"/>
      <c r="P889" s="907"/>
      <c r="Q889" s="907"/>
      <c r="R889" s="907"/>
      <c r="S889" s="907"/>
      <c r="T889" s="907"/>
      <c r="U889" s="907"/>
      <c r="V889" s="907"/>
      <c r="W889" s="907"/>
      <c r="X889" s="907"/>
      <c r="Y889" s="907"/>
      <c r="Z889" s="907"/>
      <c r="AA889" s="907"/>
      <c r="AB889" s="907"/>
      <c r="AC889" s="907"/>
      <c r="AD889" s="907"/>
      <c r="AE889" s="907"/>
      <c r="AF889" s="907"/>
      <c r="AG889" s="907"/>
      <c r="AH889" s="907"/>
      <c r="AI889" s="907"/>
      <c r="AJ889" s="907"/>
      <c r="AK889" s="907"/>
      <c r="AL889" s="907"/>
    </row>
    <row r="890" spans="1:38">
      <c r="A890" s="907"/>
      <c r="B890" s="907"/>
      <c r="C890" s="907"/>
      <c r="D890" s="907"/>
      <c r="E890" s="907"/>
      <c r="F890" s="907"/>
      <c r="G890" s="907"/>
      <c r="H890" s="907"/>
      <c r="I890" s="907"/>
      <c r="J890" s="907"/>
      <c r="K890" s="907"/>
      <c r="L890" s="907"/>
      <c r="M890" s="907"/>
      <c r="N890" s="907"/>
      <c r="O890" s="907"/>
      <c r="P890" s="907"/>
      <c r="Q890" s="907"/>
      <c r="R890" s="907"/>
      <c r="S890" s="907"/>
      <c r="T890" s="907"/>
      <c r="U890" s="907"/>
      <c r="V890" s="907"/>
      <c r="W890" s="907"/>
      <c r="X890" s="907"/>
      <c r="Y890" s="907"/>
      <c r="Z890" s="907"/>
      <c r="AA890" s="907"/>
      <c r="AB890" s="907"/>
      <c r="AC890" s="907"/>
      <c r="AD890" s="907"/>
      <c r="AE890" s="907"/>
      <c r="AF890" s="907"/>
      <c r="AG890" s="907"/>
      <c r="AH890" s="907"/>
      <c r="AI890" s="907"/>
      <c r="AJ890" s="907"/>
      <c r="AK890" s="907"/>
      <c r="AL890" s="907"/>
    </row>
    <row r="891" spans="1:38">
      <c r="A891" s="907"/>
      <c r="B891" s="907"/>
      <c r="C891" s="907"/>
      <c r="D891" s="907"/>
      <c r="E891" s="907"/>
      <c r="F891" s="907"/>
      <c r="G891" s="907"/>
      <c r="H891" s="907"/>
      <c r="I891" s="907"/>
      <c r="J891" s="907"/>
      <c r="K891" s="907"/>
      <c r="L891" s="907"/>
      <c r="M891" s="907"/>
      <c r="N891" s="907"/>
      <c r="O891" s="907"/>
      <c r="P891" s="907"/>
      <c r="Q891" s="907"/>
      <c r="R891" s="907"/>
      <c r="S891" s="907"/>
      <c r="T891" s="907"/>
      <c r="U891" s="907"/>
      <c r="V891" s="907"/>
      <c r="W891" s="907"/>
      <c r="X891" s="907"/>
      <c r="Y891" s="907"/>
      <c r="Z891" s="907"/>
      <c r="AA891" s="907"/>
      <c r="AB891" s="907"/>
      <c r="AC891" s="907"/>
      <c r="AD891" s="907"/>
      <c r="AE891" s="907"/>
      <c r="AF891" s="907"/>
      <c r="AG891" s="907"/>
      <c r="AH891" s="907"/>
      <c r="AI891" s="907"/>
      <c r="AJ891" s="907"/>
      <c r="AK891" s="907"/>
      <c r="AL891" s="907"/>
    </row>
    <row r="892" spans="1:38">
      <c r="A892" s="907"/>
      <c r="B892" s="907"/>
      <c r="C892" s="907"/>
      <c r="D892" s="907"/>
      <c r="E892" s="907"/>
      <c r="F892" s="907"/>
      <c r="G892" s="907"/>
      <c r="H892" s="907"/>
      <c r="I892" s="907"/>
      <c r="J892" s="907"/>
      <c r="K892" s="907"/>
      <c r="L892" s="907"/>
      <c r="M892" s="907"/>
      <c r="N892" s="907"/>
      <c r="O892" s="907"/>
      <c r="P892" s="907"/>
      <c r="Q892" s="907"/>
      <c r="R892" s="907"/>
      <c r="S892" s="907"/>
      <c r="T892" s="907"/>
      <c r="U892" s="907"/>
      <c r="V892" s="907"/>
      <c r="W892" s="907"/>
      <c r="X892" s="907"/>
      <c r="Y892" s="907"/>
      <c r="Z892" s="907"/>
      <c r="AA892" s="907"/>
      <c r="AB892" s="907"/>
      <c r="AC892" s="907"/>
      <c r="AD892" s="907"/>
      <c r="AE892" s="907"/>
      <c r="AF892" s="907"/>
      <c r="AG892" s="907"/>
      <c r="AH892" s="907"/>
      <c r="AI892" s="907"/>
      <c r="AJ892" s="907"/>
      <c r="AK892" s="907"/>
      <c r="AL892" s="907"/>
    </row>
    <row r="893" spans="1:38">
      <c r="A893" s="907"/>
      <c r="B893" s="907"/>
      <c r="C893" s="907"/>
      <c r="D893" s="907"/>
      <c r="E893" s="907"/>
      <c r="F893" s="907"/>
      <c r="G893" s="907"/>
      <c r="H893" s="907"/>
      <c r="I893" s="907"/>
      <c r="J893" s="907"/>
      <c r="K893" s="907"/>
      <c r="L893" s="907"/>
      <c r="M893" s="907"/>
      <c r="N893" s="907"/>
      <c r="O893" s="907"/>
      <c r="P893" s="907"/>
      <c r="Q893" s="907"/>
      <c r="R893" s="907"/>
      <c r="S893" s="907"/>
      <c r="T893" s="907"/>
      <c r="U893" s="907"/>
      <c r="V893" s="907"/>
      <c r="W893" s="907"/>
      <c r="X893" s="907"/>
      <c r="Y893" s="907"/>
      <c r="Z893" s="907"/>
      <c r="AA893" s="907"/>
      <c r="AB893" s="907"/>
      <c r="AC893" s="907"/>
      <c r="AD893" s="907"/>
      <c r="AE893" s="907"/>
      <c r="AF893" s="907"/>
      <c r="AG893" s="907"/>
      <c r="AH893" s="907"/>
      <c r="AI893" s="907"/>
      <c r="AJ893" s="907"/>
      <c r="AK893" s="907"/>
      <c r="AL893" s="907"/>
    </row>
    <row r="894" spans="1:38">
      <c r="A894" s="907"/>
      <c r="B894" s="907"/>
      <c r="C894" s="907"/>
      <c r="D894" s="907"/>
      <c r="E894" s="907"/>
      <c r="F894" s="907"/>
      <c r="G894" s="907"/>
      <c r="H894" s="907"/>
      <c r="I894" s="907"/>
      <c r="J894" s="907"/>
      <c r="K894" s="907"/>
      <c r="L894" s="907"/>
      <c r="M894" s="907"/>
      <c r="N894" s="907"/>
      <c r="O894" s="907"/>
      <c r="P894" s="907"/>
      <c r="Q894" s="907"/>
      <c r="R894" s="907"/>
      <c r="S894" s="907"/>
      <c r="T894" s="907"/>
      <c r="U894" s="907"/>
      <c r="V894" s="907"/>
      <c r="W894" s="907"/>
      <c r="X894" s="907"/>
      <c r="Y894" s="907"/>
      <c r="Z894" s="907"/>
      <c r="AA894" s="907"/>
      <c r="AB894" s="907"/>
      <c r="AC894" s="907"/>
      <c r="AD894" s="907"/>
      <c r="AE894" s="907"/>
      <c r="AF894" s="907"/>
      <c r="AG894" s="907"/>
      <c r="AH894" s="907"/>
      <c r="AI894" s="907"/>
      <c r="AJ894" s="907"/>
      <c r="AK894" s="907"/>
      <c r="AL894" s="907"/>
    </row>
    <row r="895" spans="1:38">
      <c r="A895" s="907"/>
      <c r="B895" s="907"/>
      <c r="C895" s="907"/>
      <c r="D895" s="907"/>
      <c r="E895" s="907"/>
      <c r="F895" s="907"/>
      <c r="G895" s="907"/>
      <c r="H895" s="907"/>
      <c r="I895" s="907"/>
      <c r="J895" s="907"/>
      <c r="K895" s="907"/>
      <c r="L895" s="907"/>
      <c r="M895" s="907"/>
      <c r="N895" s="907"/>
      <c r="O895" s="907"/>
      <c r="P895" s="907"/>
      <c r="Q895" s="907"/>
      <c r="R895" s="907"/>
      <c r="S895" s="907"/>
      <c r="T895" s="907"/>
      <c r="U895" s="907"/>
      <c r="V895" s="907"/>
      <c r="W895" s="907"/>
      <c r="X895" s="907"/>
      <c r="Y895" s="907"/>
      <c r="Z895" s="907"/>
      <c r="AA895" s="907"/>
      <c r="AB895" s="907"/>
      <c r="AC895" s="907"/>
      <c r="AD895" s="907"/>
      <c r="AE895" s="907"/>
      <c r="AF895" s="907"/>
      <c r="AG895" s="907"/>
      <c r="AH895" s="907"/>
      <c r="AI895" s="907"/>
      <c r="AJ895" s="907"/>
      <c r="AK895" s="907"/>
      <c r="AL895" s="907"/>
    </row>
    <row r="896" spans="1:38">
      <c r="A896" s="907"/>
      <c r="B896" s="907"/>
      <c r="C896" s="907"/>
      <c r="D896" s="907"/>
      <c r="E896" s="907"/>
      <c r="F896" s="907"/>
      <c r="G896" s="907"/>
      <c r="H896" s="907"/>
      <c r="I896" s="907"/>
      <c r="J896" s="907"/>
      <c r="K896" s="907"/>
      <c r="L896" s="907"/>
      <c r="M896" s="907"/>
      <c r="N896" s="907"/>
      <c r="O896" s="907"/>
      <c r="P896" s="907"/>
      <c r="Q896" s="907"/>
      <c r="R896" s="907"/>
      <c r="S896" s="907"/>
      <c r="T896" s="907"/>
      <c r="U896" s="907"/>
      <c r="V896" s="907"/>
      <c r="W896" s="907"/>
      <c r="X896" s="907"/>
      <c r="Y896" s="907"/>
      <c r="Z896" s="907"/>
      <c r="AA896" s="907"/>
      <c r="AB896" s="907"/>
      <c r="AC896" s="907"/>
      <c r="AD896" s="907"/>
      <c r="AE896" s="907"/>
      <c r="AF896" s="907"/>
      <c r="AG896" s="907"/>
      <c r="AH896" s="907"/>
      <c r="AI896" s="907"/>
      <c r="AJ896" s="907"/>
      <c r="AK896" s="907"/>
      <c r="AL896" s="907"/>
    </row>
    <row r="897" spans="1:38">
      <c r="A897" s="907"/>
      <c r="B897" s="907"/>
      <c r="C897" s="907"/>
      <c r="D897" s="907"/>
      <c r="E897" s="907"/>
      <c r="F897" s="907"/>
      <c r="G897" s="907"/>
      <c r="H897" s="907"/>
      <c r="I897" s="907"/>
      <c r="J897" s="907"/>
      <c r="K897" s="907"/>
      <c r="L897" s="907"/>
      <c r="M897" s="907"/>
      <c r="N897" s="907"/>
      <c r="O897" s="907"/>
      <c r="P897" s="907"/>
      <c r="Q897" s="907"/>
      <c r="R897" s="907"/>
      <c r="S897" s="907"/>
      <c r="T897" s="907"/>
      <c r="U897" s="907"/>
      <c r="V897" s="907"/>
      <c r="W897" s="907"/>
      <c r="X897" s="907"/>
      <c r="Y897" s="907"/>
      <c r="Z897" s="907"/>
      <c r="AA897" s="907"/>
      <c r="AB897" s="907"/>
      <c r="AC897" s="907"/>
      <c r="AD897" s="907"/>
      <c r="AE897" s="907"/>
      <c r="AF897" s="907"/>
      <c r="AG897" s="907"/>
      <c r="AH897" s="907"/>
      <c r="AI897" s="907"/>
      <c r="AJ897" s="907"/>
      <c r="AK897" s="907"/>
      <c r="AL897" s="907"/>
    </row>
    <row r="898" spans="1:38">
      <c r="A898" s="907"/>
      <c r="B898" s="907"/>
      <c r="C898" s="907"/>
      <c r="D898" s="907"/>
      <c r="E898" s="907"/>
      <c r="F898" s="907"/>
      <c r="G898" s="907"/>
      <c r="H898" s="907"/>
      <c r="I898" s="907"/>
      <c r="J898" s="907"/>
      <c r="K898" s="907"/>
      <c r="L898" s="907"/>
      <c r="M898" s="907"/>
      <c r="N898" s="907"/>
      <c r="O898" s="907"/>
      <c r="P898" s="907"/>
      <c r="Q898" s="907"/>
      <c r="R898" s="907"/>
      <c r="S898" s="907"/>
      <c r="T898" s="907"/>
      <c r="U898" s="907"/>
      <c r="V898" s="907"/>
      <c r="W898" s="907"/>
      <c r="X898" s="907"/>
      <c r="Y898" s="907"/>
      <c r="Z898" s="907"/>
      <c r="AA898" s="907"/>
      <c r="AB898" s="907"/>
      <c r="AC898" s="907"/>
      <c r="AD898" s="907"/>
      <c r="AE898" s="907"/>
      <c r="AF898" s="907"/>
      <c r="AG898" s="907"/>
      <c r="AH898" s="907"/>
      <c r="AI898" s="907"/>
      <c r="AJ898" s="907"/>
      <c r="AK898" s="907"/>
      <c r="AL898" s="907"/>
    </row>
    <row r="899" spans="1:38">
      <c r="A899" s="907"/>
      <c r="B899" s="907"/>
      <c r="C899" s="907"/>
      <c r="D899" s="907"/>
      <c r="E899" s="907"/>
      <c r="F899" s="907"/>
      <c r="G899" s="907"/>
      <c r="H899" s="907"/>
      <c r="I899" s="907"/>
      <c r="J899" s="907"/>
      <c r="K899" s="907"/>
      <c r="L899" s="907"/>
      <c r="M899" s="907"/>
      <c r="N899" s="907"/>
      <c r="O899" s="907"/>
      <c r="P899" s="907"/>
      <c r="Q899" s="907"/>
      <c r="R899" s="907"/>
      <c r="S899" s="907"/>
      <c r="T899" s="907"/>
      <c r="U899" s="907"/>
      <c r="V899" s="907"/>
      <c r="W899" s="907"/>
      <c r="X899" s="907"/>
      <c r="Y899" s="907"/>
      <c r="Z899" s="907"/>
      <c r="AA899" s="907"/>
      <c r="AB899" s="907"/>
      <c r="AC899" s="907"/>
      <c r="AD899" s="907"/>
      <c r="AE899" s="907"/>
      <c r="AF899" s="907"/>
      <c r="AG899" s="907"/>
      <c r="AH899" s="907"/>
      <c r="AI899" s="907"/>
      <c r="AJ899" s="907"/>
      <c r="AK899" s="907"/>
      <c r="AL899" s="907"/>
    </row>
    <row r="900" spans="1:38">
      <c r="A900" s="907"/>
      <c r="B900" s="907"/>
      <c r="C900" s="907"/>
      <c r="D900" s="907"/>
      <c r="E900" s="907"/>
      <c r="F900" s="907"/>
      <c r="G900" s="907"/>
      <c r="H900" s="907"/>
      <c r="I900" s="907"/>
      <c r="J900" s="907"/>
      <c r="K900" s="907"/>
      <c r="L900" s="907"/>
      <c r="M900" s="907"/>
      <c r="N900" s="907"/>
      <c r="O900" s="907"/>
      <c r="P900" s="907"/>
      <c r="Q900" s="907"/>
      <c r="R900" s="907"/>
      <c r="S900" s="907"/>
      <c r="T900" s="907"/>
      <c r="U900" s="907"/>
      <c r="V900" s="907"/>
      <c r="W900" s="907"/>
      <c r="X900" s="907"/>
      <c r="Y900" s="907"/>
      <c r="Z900" s="907"/>
      <c r="AA900" s="907"/>
      <c r="AB900" s="907"/>
      <c r="AC900" s="907"/>
      <c r="AD900" s="907"/>
      <c r="AE900" s="907"/>
      <c r="AF900" s="907"/>
      <c r="AG900" s="907"/>
      <c r="AH900" s="907"/>
      <c r="AI900" s="907"/>
      <c r="AJ900" s="907"/>
      <c r="AK900" s="907"/>
      <c r="AL900" s="907"/>
    </row>
    <row r="901" spans="1:38">
      <c r="A901" s="907"/>
      <c r="B901" s="907"/>
      <c r="C901" s="907"/>
      <c r="D901" s="907"/>
      <c r="E901" s="907"/>
      <c r="F901" s="907"/>
      <c r="G901" s="907"/>
      <c r="H901" s="907"/>
      <c r="I901" s="907"/>
      <c r="J901" s="907"/>
      <c r="K901" s="907"/>
      <c r="L901" s="907"/>
      <c r="M901" s="907"/>
      <c r="N901" s="907"/>
      <c r="O901" s="907"/>
      <c r="P901" s="907"/>
      <c r="Q901" s="907"/>
      <c r="R901" s="907"/>
      <c r="S901" s="907"/>
      <c r="T901" s="907"/>
      <c r="U901" s="907"/>
      <c r="V901" s="907"/>
      <c r="W901" s="907"/>
      <c r="X901" s="907"/>
      <c r="Y901" s="907"/>
      <c r="Z901" s="907"/>
      <c r="AA901" s="907"/>
      <c r="AB901" s="907"/>
      <c r="AC901" s="907"/>
      <c r="AD901" s="907"/>
      <c r="AE901" s="907"/>
      <c r="AF901" s="907"/>
      <c r="AG901" s="907"/>
      <c r="AH901" s="907"/>
      <c r="AI901" s="907"/>
      <c r="AJ901" s="907"/>
      <c r="AK901" s="907"/>
      <c r="AL901" s="907"/>
    </row>
    <row r="902" spans="1:38">
      <c r="A902" s="907"/>
      <c r="B902" s="907"/>
      <c r="C902" s="907"/>
      <c r="D902" s="907"/>
      <c r="E902" s="907"/>
      <c r="F902" s="907"/>
      <c r="G902" s="907"/>
      <c r="H902" s="907"/>
      <c r="I902" s="907"/>
      <c r="J902" s="907"/>
      <c r="K902" s="907"/>
      <c r="L902" s="907"/>
      <c r="M902" s="907"/>
      <c r="N902" s="907"/>
      <c r="O902" s="907"/>
      <c r="P902" s="907"/>
      <c r="Q902" s="907"/>
      <c r="R902" s="907"/>
      <c r="S902" s="907"/>
      <c r="T902" s="907"/>
      <c r="U902" s="907"/>
      <c r="V902" s="907"/>
      <c r="W902" s="907"/>
      <c r="X902" s="907"/>
      <c r="Y902" s="907"/>
      <c r="Z902" s="907"/>
      <c r="AA902" s="907"/>
      <c r="AB902" s="907"/>
      <c r="AC902" s="907"/>
      <c r="AD902" s="907"/>
      <c r="AE902" s="907"/>
      <c r="AF902" s="907"/>
      <c r="AG902" s="907"/>
      <c r="AH902" s="907"/>
      <c r="AI902" s="907"/>
      <c r="AJ902" s="907"/>
      <c r="AK902" s="907"/>
      <c r="AL902" s="907"/>
    </row>
    <row r="903" spans="1:38">
      <c r="A903" s="907"/>
      <c r="B903" s="907"/>
      <c r="C903" s="907"/>
      <c r="D903" s="907"/>
      <c r="E903" s="907"/>
      <c r="F903" s="907"/>
      <c r="G903" s="907"/>
      <c r="H903" s="907"/>
      <c r="I903" s="907"/>
      <c r="J903" s="907"/>
      <c r="K903" s="907"/>
      <c r="L903" s="907"/>
      <c r="M903" s="907"/>
      <c r="N903" s="907"/>
      <c r="O903" s="907"/>
      <c r="P903" s="907"/>
      <c r="Q903" s="907"/>
      <c r="R903" s="907"/>
      <c r="S903" s="907"/>
      <c r="T903" s="907"/>
      <c r="U903" s="907"/>
      <c r="V903" s="907"/>
      <c r="W903" s="907"/>
      <c r="X903" s="907"/>
      <c r="Y903" s="907"/>
      <c r="Z903" s="907"/>
      <c r="AA903" s="907"/>
      <c r="AB903" s="907"/>
      <c r="AC903" s="907"/>
      <c r="AD903" s="907"/>
      <c r="AE903" s="907"/>
      <c r="AF903" s="907"/>
      <c r="AG903" s="907"/>
      <c r="AH903" s="907"/>
      <c r="AI903" s="907"/>
      <c r="AJ903" s="907"/>
      <c r="AK903" s="907"/>
      <c r="AL903" s="907"/>
    </row>
    <row r="904" spans="1:38">
      <c r="A904" s="907"/>
      <c r="B904" s="907"/>
      <c r="C904" s="907"/>
      <c r="D904" s="907"/>
      <c r="E904" s="907"/>
      <c r="F904" s="907"/>
      <c r="G904" s="907"/>
      <c r="H904" s="907"/>
      <c r="I904" s="907"/>
      <c r="J904" s="907"/>
      <c r="K904" s="907"/>
      <c r="L904" s="907"/>
      <c r="M904" s="907"/>
      <c r="N904" s="907"/>
      <c r="O904" s="907"/>
      <c r="P904" s="907"/>
      <c r="Q904" s="907"/>
      <c r="R904" s="907"/>
      <c r="S904" s="907"/>
      <c r="T904" s="907"/>
      <c r="U904" s="907"/>
      <c r="V904" s="907"/>
      <c r="W904" s="907"/>
      <c r="X904" s="907"/>
      <c r="Y904" s="907"/>
      <c r="Z904" s="907"/>
      <c r="AA904" s="907"/>
      <c r="AB904" s="907"/>
      <c r="AC904" s="907"/>
      <c r="AD904" s="907"/>
      <c r="AE904" s="907"/>
      <c r="AF904" s="907"/>
      <c r="AG904" s="907"/>
      <c r="AH904" s="907"/>
      <c r="AI904" s="907"/>
      <c r="AJ904" s="907"/>
      <c r="AK904" s="907"/>
      <c r="AL904" s="907"/>
    </row>
    <row r="905" spans="1:38">
      <c r="A905" s="907"/>
      <c r="B905" s="907"/>
      <c r="C905" s="907"/>
      <c r="D905" s="907"/>
      <c r="E905" s="907"/>
      <c r="F905" s="907"/>
      <c r="G905" s="907"/>
      <c r="H905" s="907"/>
      <c r="I905" s="907"/>
      <c r="J905" s="907"/>
      <c r="K905" s="907"/>
      <c r="L905" s="907"/>
      <c r="M905" s="907"/>
      <c r="N905" s="907"/>
      <c r="O905" s="907"/>
      <c r="P905" s="907"/>
      <c r="Q905" s="907"/>
      <c r="R905" s="907"/>
      <c r="S905" s="907"/>
      <c r="T905" s="907"/>
      <c r="U905" s="907"/>
      <c r="V905" s="907"/>
      <c r="W905" s="907"/>
      <c r="X905" s="907"/>
      <c r="Y905" s="907"/>
      <c r="Z905" s="907"/>
      <c r="AA905" s="907"/>
      <c r="AB905" s="907"/>
      <c r="AC905" s="907"/>
      <c r="AD905" s="907"/>
      <c r="AE905" s="907"/>
      <c r="AF905" s="907"/>
      <c r="AG905" s="907"/>
      <c r="AH905" s="907"/>
      <c r="AI905" s="907"/>
      <c r="AJ905" s="907"/>
      <c r="AK905" s="907"/>
      <c r="AL905" s="907"/>
    </row>
    <row r="906" spans="1:38">
      <c r="A906" s="907"/>
      <c r="B906" s="907"/>
      <c r="C906" s="907"/>
      <c r="D906" s="907"/>
      <c r="E906" s="907"/>
      <c r="F906" s="907"/>
      <c r="G906" s="907"/>
      <c r="H906" s="907"/>
      <c r="I906" s="907"/>
      <c r="J906" s="907"/>
      <c r="K906" s="907"/>
      <c r="L906" s="907"/>
      <c r="M906" s="907"/>
      <c r="N906" s="907"/>
      <c r="O906" s="907"/>
      <c r="P906" s="907"/>
      <c r="Q906" s="907"/>
      <c r="R906" s="907"/>
      <c r="S906" s="907"/>
      <c r="T906" s="907"/>
      <c r="U906" s="907"/>
      <c r="V906" s="907"/>
      <c r="W906" s="907"/>
      <c r="X906" s="907"/>
      <c r="Y906" s="907"/>
      <c r="Z906" s="907"/>
      <c r="AA906" s="907"/>
      <c r="AB906" s="907"/>
      <c r="AC906" s="907"/>
      <c r="AD906" s="907"/>
      <c r="AE906" s="907"/>
      <c r="AF906" s="907"/>
      <c r="AG906" s="907"/>
      <c r="AH906" s="907"/>
      <c r="AI906" s="907"/>
      <c r="AJ906" s="907"/>
      <c r="AK906" s="907"/>
      <c r="AL906" s="907"/>
    </row>
    <row r="907" spans="1:38">
      <c r="A907" s="907"/>
      <c r="B907" s="907"/>
      <c r="C907" s="907"/>
      <c r="D907" s="907"/>
      <c r="E907" s="907"/>
      <c r="F907" s="907"/>
      <c r="G907" s="907"/>
      <c r="H907" s="907"/>
      <c r="I907" s="907"/>
      <c r="J907" s="907"/>
      <c r="K907" s="907"/>
      <c r="L907" s="907"/>
      <c r="M907" s="907"/>
      <c r="N907" s="907"/>
      <c r="O907" s="907"/>
      <c r="P907" s="907"/>
      <c r="Q907" s="907"/>
      <c r="R907" s="907"/>
      <c r="S907" s="907"/>
      <c r="T907" s="907"/>
      <c r="U907" s="907"/>
      <c r="V907" s="907"/>
      <c r="W907" s="907"/>
      <c r="X907" s="907"/>
      <c r="Y907" s="907"/>
      <c r="Z907" s="907"/>
      <c r="AA907" s="907"/>
      <c r="AB907" s="907"/>
      <c r="AC907" s="907"/>
      <c r="AD907" s="907"/>
      <c r="AE907" s="907"/>
      <c r="AF907" s="907"/>
      <c r="AG907" s="907"/>
      <c r="AH907" s="907"/>
      <c r="AI907" s="907"/>
      <c r="AJ907" s="907"/>
      <c r="AK907" s="907"/>
      <c r="AL907" s="907"/>
    </row>
    <row r="908" spans="1:38">
      <c r="A908" s="907"/>
      <c r="B908" s="907"/>
      <c r="C908" s="907"/>
      <c r="D908" s="907"/>
      <c r="E908" s="907"/>
      <c r="F908" s="907"/>
      <c r="G908" s="907"/>
      <c r="H908" s="907"/>
      <c r="I908" s="907"/>
      <c r="J908" s="907"/>
      <c r="K908" s="907"/>
      <c r="L908" s="907"/>
      <c r="M908" s="907"/>
      <c r="N908" s="907"/>
      <c r="O908" s="907"/>
      <c r="P908" s="907"/>
      <c r="Q908" s="907"/>
      <c r="R908" s="907"/>
      <c r="S908" s="907"/>
      <c r="T908" s="907"/>
      <c r="U908" s="907"/>
      <c r="V908" s="907"/>
      <c r="W908" s="907"/>
      <c r="X908" s="907"/>
      <c r="Y908" s="907"/>
      <c r="Z908" s="907"/>
      <c r="AA908" s="907"/>
      <c r="AB908" s="907"/>
      <c r="AC908" s="907"/>
      <c r="AD908" s="907"/>
      <c r="AE908" s="907"/>
      <c r="AF908" s="907"/>
      <c r="AG908" s="907"/>
      <c r="AH908" s="907"/>
      <c r="AI908" s="907"/>
      <c r="AJ908" s="907"/>
      <c r="AK908" s="907"/>
      <c r="AL908" s="907"/>
    </row>
    <row r="909" spans="1:38">
      <c r="A909" s="907"/>
      <c r="B909" s="907"/>
      <c r="C909" s="907"/>
      <c r="D909" s="907"/>
      <c r="E909" s="907"/>
      <c r="F909" s="907"/>
      <c r="G909" s="907"/>
      <c r="H909" s="907"/>
      <c r="I909" s="907"/>
      <c r="J909" s="907"/>
      <c r="K909" s="907"/>
      <c r="L909" s="907"/>
      <c r="M909" s="907"/>
      <c r="N909" s="907"/>
      <c r="O909" s="907"/>
      <c r="P909" s="907"/>
      <c r="Q909" s="907"/>
      <c r="R909" s="907"/>
      <c r="S909" s="907"/>
      <c r="T909" s="907"/>
      <c r="U909" s="907"/>
      <c r="V909" s="907"/>
      <c r="W909" s="907"/>
      <c r="X909" s="907"/>
      <c r="Y909" s="907"/>
      <c r="Z909" s="907"/>
      <c r="AA909" s="907"/>
      <c r="AB909" s="907"/>
      <c r="AC909" s="907"/>
      <c r="AD909" s="907"/>
      <c r="AE909" s="907"/>
      <c r="AF909" s="907"/>
      <c r="AG909" s="907"/>
      <c r="AH909" s="907"/>
      <c r="AI909" s="907"/>
      <c r="AJ909" s="907"/>
      <c r="AK909" s="907"/>
      <c r="AL909" s="907"/>
    </row>
    <row r="910" spans="1:38">
      <c r="A910" s="907"/>
      <c r="B910" s="907"/>
      <c r="C910" s="907"/>
      <c r="D910" s="907"/>
      <c r="E910" s="907"/>
      <c r="F910" s="907"/>
      <c r="G910" s="907"/>
      <c r="H910" s="907"/>
      <c r="I910" s="907"/>
      <c r="J910" s="907"/>
      <c r="K910" s="907"/>
      <c r="L910" s="907"/>
      <c r="M910" s="907"/>
      <c r="N910" s="907"/>
      <c r="O910" s="907"/>
      <c r="P910" s="907"/>
      <c r="Q910" s="907"/>
      <c r="R910" s="907"/>
      <c r="S910" s="907"/>
      <c r="T910" s="907"/>
      <c r="U910" s="907"/>
      <c r="V910" s="907"/>
      <c r="W910" s="907"/>
      <c r="X910" s="907"/>
      <c r="Y910" s="907"/>
      <c r="Z910" s="907"/>
      <c r="AA910" s="907"/>
      <c r="AB910" s="907"/>
      <c r="AC910" s="907"/>
      <c r="AD910" s="907"/>
      <c r="AE910" s="907"/>
      <c r="AF910" s="907"/>
      <c r="AG910" s="907"/>
      <c r="AH910" s="907"/>
      <c r="AI910" s="907"/>
      <c r="AJ910" s="907"/>
      <c r="AK910" s="907"/>
      <c r="AL910" s="907"/>
    </row>
  </sheetData>
  <mergeCells count="18">
    <mergeCell ref="A15:A18"/>
    <mergeCell ref="A19:A21"/>
    <mergeCell ref="A4:A5"/>
    <mergeCell ref="A6:A8"/>
    <mergeCell ref="A9:A10"/>
    <mergeCell ref="A11:A14"/>
    <mergeCell ref="R12:S13"/>
    <mergeCell ref="Y8:Z9"/>
    <mergeCell ref="Y14:Z15"/>
    <mergeCell ref="N6:N8"/>
    <mergeCell ref="N15:N18"/>
    <mergeCell ref="N4:N5"/>
    <mergeCell ref="N9:N10"/>
    <mergeCell ref="N11:N14"/>
    <mergeCell ref="R25:R26"/>
    <mergeCell ref="R39:R40"/>
    <mergeCell ref="T39:U40"/>
    <mergeCell ref="N19:N21"/>
  </mergeCells>
  <phoneticPr fontId="135"/>
  <printOptions horizontalCentered="1" gridLines="1"/>
  <pageMargins left="0.7" right="0.7" top="0.75" bottom="0.75" header="0" footer="0"/>
  <pageSetup paperSize="9" pageOrder="overThenDown" orientation="landscape" cellComments="atEnd"/>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B2:N35"/>
  <sheetViews>
    <sheetView workbookViewId="0"/>
  </sheetViews>
  <sheetFormatPr defaultColWidth="12.6328125" defaultRowHeight="15" customHeight="1"/>
  <cols>
    <col min="2" max="2" width="16" customWidth="1"/>
    <col min="3" max="6" width="16.08984375" customWidth="1"/>
    <col min="7" max="8" width="16" customWidth="1"/>
    <col min="9" max="12" width="16.08984375" customWidth="1"/>
    <col min="13" max="13" width="16" customWidth="1"/>
    <col min="14" max="14" width="16.08984375" customWidth="1"/>
  </cols>
  <sheetData>
    <row r="2" spans="2:13">
      <c r="B2" s="594" t="s">
        <v>4494</v>
      </c>
      <c r="C2" s="594" t="s">
        <v>4495</v>
      </c>
      <c r="D2" s="594" t="s">
        <v>4496</v>
      </c>
      <c r="E2" s="594" t="s">
        <v>4497</v>
      </c>
      <c r="F2" s="594" t="s">
        <v>4498</v>
      </c>
      <c r="I2" s="594" t="s">
        <v>4499</v>
      </c>
    </row>
    <row r="3" spans="2:13" ht="15" customHeight="1">
      <c r="B3" s="1374">
        <v>201</v>
      </c>
      <c r="C3" s="1374">
        <v>202</v>
      </c>
      <c r="D3" s="1374">
        <v>203</v>
      </c>
      <c r="E3" s="1374">
        <v>205</v>
      </c>
      <c r="F3" s="1374">
        <v>206</v>
      </c>
      <c r="G3" s="1375" t="s">
        <v>4500</v>
      </c>
      <c r="H3" s="1375"/>
      <c r="I3" s="1375"/>
      <c r="J3" s="1375"/>
      <c r="K3" s="1375"/>
      <c r="L3" s="1375"/>
      <c r="M3" s="1375"/>
    </row>
    <row r="4" spans="2:13" ht="15" customHeight="1">
      <c r="B4" s="1374">
        <v>101</v>
      </c>
      <c r="C4" s="1374">
        <v>102</v>
      </c>
      <c r="D4" s="1374">
        <v>103</v>
      </c>
      <c r="E4" s="1374">
        <v>105</v>
      </c>
      <c r="F4" s="1374">
        <v>106</v>
      </c>
      <c r="G4" s="594" t="s">
        <v>4501</v>
      </c>
      <c r="H4" s="1375"/>
      <c r="I4" s="1375"/>
      <c r="J4" s="1375"/>
      <c r="K4" s="1375"/>
      <c r="L4" s="1375"/>
      <c r="M4" s="1375"/>
    </row>
    <row r="5" spans="2:13" ht="15" customHeight="1">
      <c r="B5" s="594" t="s">
        <v>4502</v>
      </c>
      <c r="C5" s="594" t="s">
        <v>4503</v>
      </c>
      <c r="D5" s="594" t="s">
        <v>4504</v>
      </c>
      <c r="E5" s="594" t="s">
        <v>4505</v>
      </c>
      <c r="F5" s="594" t="s">
        <v>4506</v>
      </c>
      <c r="G5" s="1375"/>
      <c r="H5" s="1375"/>
      <c r="I5" s="1375"/>
      <c r="J5" s="1375"/>
      <c r="K5" s="1375"/>
      <c r="L5" s="1375"/>
      <c r="M5" s="1375"/>
    </row>
    <row r="6" spans="2:13" ht="15" customHeight="1">
      <c r="B6" s="1375"/>
      <c r="C6" s="1375"/>
      <c r="D6" s="1375"/>
      <c r="E6" s="1375"/>
      <c r="F6" s="1375"/>
      <c r="G6" s="1375"/>
      <c r="H6" s="1375"/>
      <c r="I6" s="1375"/>
      <c r="J6" s="1375"/>
      <c r="K6" s="1375"/>
      <c r="L6" s="1375"/>
      <c r="M6" s="1375"/>
    </row>
    <row r="7" spans="2:13" ht="15" customHeight="1">
      <c r="B7" s="1375"/>
      <c r="C7" s="1375"/>
      <c r="D7" s="1375"/>
      <c r="E7" s="1375"/>
      <c r="F7" s="1375"/>
      <c r="G7" s="1375"/>
      <c r="H7" s="1375"/>
      <c r="I7" s="1375"/>
      <c r="J7" s="1375"/>
      <c r="K7" s="1375"/>
      <c r="L7" s="1375"/>
      <c r="M7" s="1375"/>
    </row>
    <row r="8" spans="2:13" ht="15" customHeight="1">
      <c r="B8" s="1375"/>
      <c r="C8" s="1375"/>
      <c r="D8" s="1375"/>
      <c r="E8" s="1375"/>
      <c r="F8" s="1375"/>
      <c r="G8" s="1375"/>
      <c r="H8" s="1375"/>
      <c r="I8" s="1375"/>
      <c r="J8" s="1375"/>
      <c r="K8" s="1375"/>
      <c r="L8" s="1375"/>
      <c r="M8" s="1375"/>
    </row>
    <row r="9" spans="2:13" ht="15" customHeight="1">
      <c r="B9" s="594" t="s">
        <v>4507</v>
      </c>
      <c r="C9" s="594" t="s">
        <v>4508</v>
      </c>
      <c r="D9" s="594" t="s">
        <v>4509</v>
      </c>
      <c r="E9" s="594" t="s">
        <v>4510</v>
      </c>
      <c r="F9" s="594" t="s">
        <v>4511</v>
      </c>
      <c r="G9" s="1375"/>
      <c r="H9" s="1375"/>
      <c r="I9" s="1375"/>
      <c r="J9" s="1375"/>
      <c r="K9" s="1375"/>
      <c r="L9" s="1375"/>
      <c r="M9" s="1375"/>
    </row>
    <row r="10" spans="2:13" ht="15" customHeight="1">
      <c r="B10" s="1374">
        <v>201</v>
      </c>
      <c r="C10" s="1374">
        <v>202</v>
      </c>
      <c r="D10" s="1374">
        <v>203</v>
      </c>
      <c r="E10" s="1374">
        <v>205</v>
      </c>
      <c r="F10" s="1374">
        <v>206</v>
      </c>
      <c r="G10" s="1375" t="s">
        <v>4512</v>
      </c>
      <c r="H10" s="1375"/>
      <c r="I10" s="1375"/>
      <c r="J10" s="1375"/>
      <c r="K10" s="1375"/>
      <c r="L10" s="1375"/>
      <c r="M10" s="1375"/>
    </row>
    <row r="11" spans="2:13" ht="15" customHeight="1">
      <c r="B11" s="1374">
        <v>101</v>
      </c>
      <c r="C11" s="1374">
        <v>102</v>
      </c>
      <c r="D11" s="1374">
        <v>103</v>
      </c>
      <c r="E11" s="1374">
        <v>105</v>
      </c>
      <c r="F11" s="1374">
        <v>106</v>
      </c>
      <c r="G11" s="594" t="s">
        <v>4513</v>
      </c>
      <c r="H11" s="1375"/>
      <c r="I11" s="1375"/>
      <c r="J11" s="1375"/>
      <c r="K11" s="1375"/>
      <c r="L11" s="1375"/>
      <c r="M11" s="1375"/>
    </row>
    <row r="12" spans="2:13" ht="15" customHeight="1">
      <c r="B12" s="594" t="s">
        <v>4514</v>
      </c>
      <c r="C12" s="594" t="s">
        <v>4515</v>
      </c>
      <c r="D12" s="594" t="s">
        <v>4516</v>
      </c>
      <c r="E12" s="594" t="s">
        <v>4517</v>
      </c>
      <c r="F12" s="594" t="s">
        <v>4518</v>
      </c>
      <c r="G12" s="1375"/>
      <c r="H12" s="1375"/>
      <c r="I12" s="1375"/>
      <c r="J12" s="1375"/>
      <c r="K12" s="1375"/>
      <c r="L12" s="1375"/>
      <c r="M12" s="1375"/>
    </row>
    <row r="13" spans="2:13" ht="15" customHeight="1">
      <c r="B13" s="1375"/>
      <c r="C13" s="1375"/>
      <c r="D13" s="1375"/>
      <c r="E13" s="1375"/>
      <c r="F13" s="1375"/>
      <c r="G13" s="1375"/>
      <c r="H13" s="1375"/>
      <c r="I13" s="1375"/>
      <c r="J13" s="1375"/>
      <c r="K13" s="1375"/>
      <c r="L13" s="1375"/>
      <c r="M13" s="1375"/>
    </row>
    <row r="14" spans="2:13" ht="15" customHeight="1">
      <c r="B14" s="1375"/>
      <c r="C14" s="1375"/>
      <c r="D14" s="1375"/>
      <c r="E14" s="1375"/>
      <c r="F14" s="1375"/>
      <c r="G14" s="1375"/>
      <c r="H14" s="1375"/>
    </row>
    <row r="15" spans="2:13" ht="15" customHeight="1">
      <c r="B15" s="1375"/>
      <c r="C15" s="1375"/>
      <c r="D15" s="1375"/>
      <c r="E15" s="1375"/>
      <c r="F15" s="1375"/>
      <c r="G15" s="1375"/>
      <c r="H15" s="1375"/>
      <c r="I15" s="1375"/>
      <c r="J15" s="1375"/>
      <c r="K15" s="1375"/>
      <c r="L15" s="1375"/>
      <c r="M15" s="1375"/>
    </row>
    <row r="16" spans="2:13" ht="15" customHeight="1">
      <c r="B16" s="594" t="s">
        <v>4519</v>
      </c>
      <c r="C16" s="594" t="s">
        <v>4520</v>
      </c>
      <c r="D16" s="594" t="s">
        <v>4521</v>
      </c>
      <c r="E16" s="594" t="s">
        <v>4522</v>
      </c>
      <c r="F16" s="594" t="s">
        <v>4523</v>
      </c>
      <c r="G16" s="1375"/>
      <c r="H16" s="1375"/>
      <c r="I16" s="594" t="s">
        <v>4524</v>
      </c>
      <c r="J16" s="594" t="s">
        <v>4525</v>
      </c>
      <c r="K16" s="594" t="s">
        <v>4526</v>
      </c>
      <c r="L16" s="594" t="s">
        <v>4527</v>
      </c>
      <c r="M16" s="594" t="s">
        <v>4528</v>
      </c>
    </row>
    <row r="17" spans="2:14" ht="15" customHeight="1">
      <c r="B17" s="1374">
        <v>201</v>
      </c>
      <c r="C17" s="1374">
        <v>202</v>
      </c>
      <c r="D17" s="1374">
        <v>203</v>
      </c>
      <c r="E17" s="1374">
        <v>205</v>
      </c>
      <c r="F17" s="1374">
        <v>206</v>
      </c>
      <c r="G17" s="1375" t="s">
        <v>4529</v>
      </c>
      <c r="H17" s="1375"/>
      <c r="I17" s="1374">
        <v>206</v>
      </c>
      <c r="J17" s="1374">
        <v>205</v>
      </c>
      <c r="K17" s="1374">
        <v>203</v>
      </c>
      <c r="L17" s="1374">
        <v>202</v>
      </c>
      <c r="M17" s="1374">
        <v>201</v>
      </c>
      <c r="N17" s="594" t="s">
        <v>4530</v>
      </c>
    </row>
    <row r="18" spans="2:14" ht="15" customHeight="1">
      <c r="B18" s="1374">
        <v>101</v>
      </c>
      <c r="C18" s="1374">
        <v>102</v>
      </c>
      <c r="D18" s="1374">
        <v>103</v>
      </c>
      <c r="E18" s="1374">
        <v>105</v>
      </c>
      <c r="F18" s="1374">
        <v>106</v>
      </c>
      <c r="G18" s="594" t="s">
        <v>4531</v>
      </c>
      <c r="H18" s="1375"/>
      <c r="I18" s="1374">
        <v>106</v>
      </c>
      <c r="J18" s="1374">
        <v>105</v>
      </c>
      <c r="K18" s="1374">
        <v>103</v>
      </c>
      <c r="L18" s="1374">
        <v>102</v>
      </c>
      <c r="M18" s="1374">
        <v>101</v>
      </c>
      <c r="N18" s="594" t="s">
        <v>4532</v>
      </c>
    </row>
    <row r="19" spans="2:14" ht="15" customHeight="1">
      <c r="B19" s="594" t="s">
        <v>4533</v>
      </c>
      <c r="C19" s="594" t="s">
        <v>4534</v>
      </c>
      <c r="D19" s="594" t="s">
        <v>4535</v>
      </c>
      <c r="E19" s="594" t="s">
        <v>4536</v>
      </c>
      <c r="F19" s="594" t="s">
        <v>4537</v>
      </c>
      <c r="G19" s="1375"/>
      <c r="H19" s="1375"/>
      <c r="I19" s="594" t="s">
        <v>4538</v>
      </c>
      <c r="J19" s="594" t="s">
        <v>4539</v>
      </c>
      <c r="K19" s="594" t="s">
        <v>4540</v>
      </c>
      <c r="L19" s="594" t="s">
        <v>4541</v>
      </c>
      <c r="M19" s="594" t="s">
        <v>4542</v>
      </c>
    </row>
    <row r="20" spans="2:14" ht="15" customHeight="1">
      <c r="B20" s="1375"/>
      <c r="C20" s="1375"/>
      <c r="D20" s="1375"/>
      <c r="E20" s="1375"/>
      <c r="F20" s="1375"/>
      <c r="G20" s="1375"/>
      <c r="H20" s="1375"/>
    </row>
    <row r="21" spans="2:14" ht="15" customHeight="1">
      <c r="B21" s="1375"/>
      <c r="C21" s="1375"/>
      <c r="D21" s="1375"/>
      <c r="E21" s="1375"/>
      <c r="F21" s="1375"/>
      <c r="G21" s="1375"/>
      <c r="H21" s="1375"/>
    </row>
    <row r="22" spans="2:14" ht="15" customHeight="1">
      <c r="B22" s="1375"/>
      <c r="C22" s="1375"/>
      <c r="D22" s="1375"/>
      <c r="E22" s="1375"/>
      <c r="F22" s="1375"/>
      <c r="G22" s="1375"/>
      <c r="H22" s="1375"/>
      <c r="I22" s="1375"/>
      <c r="J22" s="1375"/>
      <c r="K22" s="1375"/>
      <c r="L22" s="1375"/>
      <c r="M22" s="1375"/>
    </row>
    <row r="23" spans="2:14" ht="15" customHeight="1">
      <c r="B23" s="594" t="s">
        <v>4543</v>
      </c>
      <c r="C23" s="594" t="s">
        <v>4544</v>
      </c>
      <c r="D23" s="594" t="s">
        <v>4545</v>
      </c>
      <c r="E23" s="594" t="s">
        <v>4546</v>
      </c>
      <c r="F23" s="594" t="s">
        <v>4547</v>
      </c>
      <c r="G23" s="1375"/>
      <c r="H23" s="1375"/>
      <c r="I23" s="594" t="s">
        <v>4548</v>
      </c>
      <c r="J23" s="594" t="s">
        <v>4549</v>
      </c>
      <c r="K23" s="594" t="s">
        <v>4550</v>
      </c>
      <c r="L23" s="594" t="s">
        <v>4551</v>
      </c>
      <c r="M23" s="594" t="s">
        <v>4552</v>
      </c>
    </row>
    <row r="24" spans="2:14" ht="15" customHeight="1">
      <c r="B24" s="1374">
        <v>201</v>
      </c>
      <c r="C24" s="1374">
        <v>202</v>
      </c>
      <c r="D24" s="1374">
        <v>203</v>
      </c>
      <c r="E24" s="1374">
        <v>205</v>
      </c>
      <c r="F24" s="1374">
        <v>206</v>
      </c>
      <c r="G24" s="1375" t="s">
        <v>4553</v>
      </c>
      <c r="H24" s="1375"/>
      <c r="I24" s="1374">
        <v>201</v>
      </c>
      <c r="J24" s="1374">
        <v>202</v>
      </c>
      <c r="K24" s="1374">
        <v>203</v>
      </c>
      <c r="L24" s="1374">
        <v>205</v>
      </c>
      <c r="M24" s="1374">
        <v>206</v>
      </c>
      <c r="N24" s="594" t="s">
        <v>4554</v>
      </c>
    </row>
    <row r="25" spans="2:14" ht="15" customHeight="1">
      <c r="B25" s="1374">
        <v>101</v>
      </c>
      <c r="C25" s="1374">
        <v>102</v>
      </c>
      <c r="D25" s="1374">
        <v>103</v>
      </c>
      <c r="E25" s="1374">
        <v>105</v>
      </c>
      <c r="F25" s="1374">
        <v>106</v>
      </c>
      <c r="G25" s="594" t="s">
        <v>4555</v>
      </c>
      <c r="H25" s="1375"/>
      <c r="I25" s="1374">
        <v>101</v>
      </c>
      <c r="J25" s="1374">
        <v>102</v>
      </c>
      <c r="K25" s="1374">
        <v>103</v>
      </c>
      <c r="L25" s="1374">
        <v>105</v>
      </c>
      <c r="M25" s="1374">
        <v>106</v>
      </c>
      <c r="N25" s="594" t="s">
        <v>4556</v>
      </c>
    </row>
    <row r="26" spans="2:14">
      <c r="B26" s="594" t="s">
        <v>4557</v>
      </c>
      <c r="C26" s="594" t="s">
        <v>4558</v>
      </c>
      <c r="D26" s="594" t="s">
        <v>4559</v>
      </c>
      <c r="E26" s="594" t="s">
        <v>4560</v>
      </c>
      <c r="F26" s="594" t="s">
        <v>4561</v>
      </c>
      <c r="I26" s="594" t="s">
        <v>4562</v>
      </c>
      <c r="J26" s="594" t="s">
        <v>4563</v>
      </c>
      <c r="K26" s="594" t="s">
        <v>4564</v>
      </c>
      <c r="L26" s="594" t="s">
        <v>4565</v>
      </c>
      <c r="M26" s="594" t="s">
        <v>4566</v>
      </c>
    </row>
    <row r="27" spans="2:14">
      <c r="F27" s="594" t="s">
        <v>4567</v>
      </c>
    </row>
    <row r="31" spans="2:14">
      <c r="F31" s="594" t="s">
        <v>4568</v>
      </c>
    </row>
    <row r="32" spans="2:14" ht="14.5">
      <c r="F32" s="594" t="s">
        <v>4569</v>
      </c>
    </row>
    <row r="33" spans="6:6" ht="14.5">
      <c r="F33" s="594" t="s">
        <v>4570</v>
      </c>
    </row>
    <row r="34" spans="6:6" ht="14.5">
      <c r="F34" s="594" t="s">
        <v>4571</v>
      </c>
    </row>
    <row r="35" spans="6:6" ht="14.5">
      <c r="F35" s="594"/>
    </row>
  </sheetData>
  <phoneticPr fontId="135"/>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H113"/>
  <sheetViews>
    <sheetView workbookViewId="0"/>
  </sheetViews>
  <sheetFormatPr defaultColWidth="12.6328125" defaultRowHeight="15" customHeight="1"/>
  <cols>
    <col min="1" max="1" width="21.453125" customWidth="1"/>
    <col min="2" max="2" width="29" customWidth="1"/>
    <col min="3" max="3" width="30.453125" customWidth="1"/>
    <col min="4" max="4" width="33.36328125" customWidth="1"/>
    <col min="5" max="5" width="12.7265625" customWidth="1"/>
    <col min="6" max="6" width="26.6328125" customWidth="1"/>
  </cols>
  <sheetData>
    <row r="1" spans="1:8">
      <c r="A1" s="594"/>
      <c r="C1" s="595"/>
    </row>
    <row r="2" spans="1:8">
      <c r="A2" s="594"/>
      <c r="C2" s="595"/>
    </row>
    <row r="3" spans="1:8">
      <c r="A3" s="594"/>
      <c r="B3" s="1376" t="s">
        <v>4572</v>
      </c>
      <c r="C3" s="1376" t="s">
        <v>4573</v>
      </c>
      <c r="D3" s="1376" t="s">
        <v>4574</v>
      </c>
      <c r="E3" s="1376" t="s">
        <v>4575</v>
      </c>
    </row>
    <row r="4" spans="1:8">
      <c r="A4" s="594"/>
      <c r="B4" s="1376" t="s">
        <v>4572</v>
      </c>
      <c r="C4" s="1376" t="s">
        <v>4576</v>
      </c>
      <c r="D4" s="1376" t="s">
        <v>4577</v>
      </c>
      <c r="E4" s="1376" t="s">
        <v>4575</v>
      </c>
    </row>
    <row r="5" spans="1:8">
      <c r="A5" s="594"/>
      <c r="B5" s="1376" t="s">
        <v>4578</v>
      </c>
      <c r="C5" s="1377" t="s">
        <v>4579</v>
      </c>
      <c r="D5" s="1376" t="s">
        <v>4580</v>
      </c>
      <c r="E5" s="1376" t="s">
        <v>4575</v>
      </c>
    </row>
    <row r="6" spans="1:8">
      <c r="A6" s="594"/>
      <c r="B6" s="1376" t="s">
        <v>4578</v>
      </c>
      <c r="C6" s="1376" t="s">
        <v>4581</v>
      </c>
      <c r="D6" s="1376" t="s">
        <v>4582</v>
      </c>
      <c r="E6" s="1376" t="s">
        <v>4575</v>
      </c>
    </row>
    <row r="7" spans="1:8">
      <c r="B7" s="1376" t="s">
        <v>4583</v>
      </c>
      <c r="C7" s="1376" t="s">
        <v>4584</v>
      </c>
      <c r="D7" s="1376" t="s">
        <v>4585</v>
      </c>
      <c r="E7" s="1376" t="s">
        <v>4586</v>
      </c>
    </row>
    <row r="8" spans="1:8">
      <c r="B8" s="1376" t="s">
        <v>4583</v>
      </c>
      <c r="C8" s="1376" t="s">
        <v>4587</v>
      </c>
      <c r="D8" s="1376" t="s">
        <v>4588</v>
      </c>
      <c r="E8" s="1376" t="s">
        <v>4586</v>
      </c>
    </row>
    <row r="9" spans="1:8">
      <c r="B9" s="1376" t="s">
        <v>4583</v>
      </c>
      <c r="C9" s="1376" t="s">
        <v>4589</v>
      </c>
      <c r="D9" s="1376" t="s">
        <v>4590</v>
      </c>
      <c r="E9" s="1376" t="s">
        <v>4575</v>
      </c>
    </row>
    <row r="10" spans="1:8">
      <c r="B10" s="1376" t="s">
        <v>4583</v>
      </c>
      <c r="C10" s="1376" t="s">
        <v>4591</v>
      </c>
      <c r="D10" s="1376" t="s">
        <v>4592</v>
      </c>
      <c r="E10" s="1376" t="s">
        <v>4575</v>
      </c>
    </row>
    <row r="13" spans="1:8">
      <c r="B13" s="1376" t="s">
        <v>4593</v>
      </c>
      <c r="C13" s="1376" t="s">
        <v>4594</v>
      </c>
      <c r="D13" s="1376" t="s">
        <v>4595</v>
      </c>
      <c r="E13" s="1376" t="s">
        <v>4575</v>
      </c>
    </row>
    <row r="14" spans="1:8">
      <c r="B14" s="1376" t="s">
        <v>4593</v>
      </c>
      <c r="C14" s="1376" t="s">
        <v>4596</v>
      </c>
      <c r="D14" s="1376" t="s">
        <v>4597</v>
      </c>
      <c r="E14" s="1376" t="s">
        <v>4575</v>
      </c>
    </row>
    <row r="15" spans="1:8">
      <c r="H15" s="594" t="s">
        <v>4598</v>
      </c>
    </row>
    <row r="16" spans="1:8">
      <c r="H16" s="594">
        <v>1008</v>
      </c>
    </row>
    <row r="17" spans="1:8">
      <c r="A17" s="1378" t="s">
        <v>4599</v>
      </c>
      <c r="B17" s="388" t="s">
        <v>178</v>
      </c>
      <c r="C17" s="194" t="s">
        <v>4600</v>
      </c>
      <c r="D17" s="107" t="s">
        <v>4601</v>
      </c>
      <c r="E17" s="1379" t="s">
        <v>4602</v>
      </c>
      <c r="H17" s="594">
        <v>1028</v>
      </c>
    </row>
    <row r="18" spans="1:8">
      <c r="C18" s="604">
        <v>1971</v>
      </c>
      <c r="D18" s="36" t="s">
        <v>4601</v>
      </c>
      <c r="E18" s="595" t="s">
        <v>4603</v>
      </c>
      <c r="H18" s="594">
        <v>1055</v>
      </c>
    </row>
    <row r="19" spans="1:8">
      <c r="A19" s="1379" t="s">
        <v>4604</v>
      </c>
      <c r="B19" s="1379" t="s">
        <v>4604</v>
      </c>
      <c r="C19" s="1380" t="s">
        <v>4605</v>
      </c>
      <c r="D19" s="107" t="s">
        <v>4601</v>
      </c>
      <c r="E19" s="1379" t="s">
        <v>4606</v>
      </c>
      <c r="F19" s="1379" t="s">
        <v>4607</v>
      </c>
      <c r="H19" s="594">
        <v>1084</v>
      </c>
    </row>
    <row r="20" spans="1:8">
      <c r="A20" s="1381" t="s">
        <v>4608</v>
      </c>
      <c r="B20" s="1382" t="s">
        <v>604</v>
      </c>
      <c r="H20" s="594">
        <v>1103</v>
      </c>
    </row>
    <row r="21" spans="1:8">
      <c r="A21" s="1383" t="s">
        <v>4609</v>
      </c>
      <c r="B21" s="1382" t="s">
        <v>162</v>
      </c>
      <c r="C21" s="194" t="s">
        <v>4610</v>
      </c>
      <c r="D21" s="1384" t="s">
        <v>4601</v>
      </c>
      <c r="E21" s="1380" t="s">
        <v>4611</v>
      </c>
      <c r="F21" s="594" t="s">
        <v>4612</v>
      </c>
      <c r="H21" s="594">
        <v>1116</v>
      </c>
    </row>
    <row r="22" spans="1:8">
      <c r="A22" s="1305"/>
      <c r="B22" s="1305"/>
      <c r="C22" s="1380" t="s">
        <v>4613</v>
      </c>
      <c r="D22" s="107" t="s">
        <v>4601</v>
      </c>
      <c r="E22" s="1379" t="s">
        <v>4614</v>
      </c>
      <c r="H22" s="594">
        <v>1123</v>
      </c>
    </row>
    <row r="23" spans="1:8">
      <c r="H23" s="594">
        <v>1138</v>
      </c>
    </row>
    <row r="24" spans="1:8">
      <c r="A24" s="1385" t="s">
        <v>3590</v>
      </c>
      <c r="B24" s="1386" t="s">
        <v>587</v>
      </c>
      <c r="C24" s="1387" t="s">
        <v>4615</v>
      </c>
      <c r="D24" s="594" t="s">
        <v>4616</v>
      </c>
      <c r="H24" s="594">
        <v>1156</v>
      </c>
    </row>
    <row r="25" spans="1:8">
      <c r="A25" s="1385" t="s">
        <v>3571</v>
      </c>
      <c r="B25" s="1386" t="s">
        <v>1046</v>
      </c>
      <c r="C25" s="1388" t="s">
        <v>4617</v>
      </c>
      <c r="D25" s="594" t="s">
        <v>4616</v>
      </c>
      <c r="H25" s="594">
        <v>1158</v>
      </c>
    </row>
    <row r="26" spans="1:8">
      <c r="A26" s="118" t="s">
        <v>3607</v>
      </c>
      <c r="B26" s="28" t="s">
        <v>4618</v>
      </c>
      <c r="C26" s="96" t="s">
        <v>4619</v>
      </c>
      <c r="D26" s="594" t="s">
        <v>4620</v>
      </c>
      <c r="H26" s="594">
        <v>1158</v>
      </c>
    </row>
    <row r="27" spans="1:8">
      <c r="H27" s="594">
        <v>1234</v>
      </c>
    </row>
    <row r="28" spans="1:8">
      <c r="A28" s="594" t="s">
        <v>1251</v>
      </c>
      <c r="C28" s="594" t="s">
        <v>4621</v>
      </c>
      <c r="D28" s="594" t="s">
        <v>4622</v>
      </c>
      <c r="H28" s="594">
        <v>1512</v>
      </c>
    </row>
    <row r="29" spans="1:8">
      <c r="H29" s="594">
        <v>1540</v>
      </c>
    </row>
    <row r="30" spans="1:8">
      <c r="H30" s="594">
        <v>1542</v>
      </c>
    </row>
    <row r="31" spans="1:8">
      <c r="A31" s="88" t="s">
        <v>1301</v>
      </c>
      <c r="B31" s="28" t="s">
        <v>1302</v>
      </c>
      <c r="C31" s="594" t="s">
        <v>4623</v>
      </c>
      <c r="D31" s="594" t="s">
        <v>4624</v>
      </c>
      <c r="E31" s="594" t="s">
        <v>4625</v>
      </c>
      <c r="H31" s="594">
        <v>1545</v>
      </c>
    </row>
    <row r="32" spans="1:8">
      <c r="A32" s="88" t="s">
        <v>1308</v>
      </c>
      <c r="B32" s="28" t="s">
        <v>1309</v>
      </c>
      <c r="C32" s="594" t="s">
        <v>4626</v>
      </c>
      <c r="D32" s="594" t="s">
        <v>4627</v>
      </c>
      <c r="E32" s="1380" t="s">
        <v>4611</v>
      </c>
      <c r="H32" s="594">
        <v>1596</v>
      </c>
    </row>
    <row r="33" spans="1:8">
      <c r="H33" s="594">
        <v>1608</v>
      </c>
    </row>
    <row r="34" spans="1:8">
      <c r="A34" s="33" t="s">
        <v>4039</v>
      </c>
      <c r="B34" s="471" t="s">
        <v>4628</v>
      </c>
      <c r="C34" s="33" t="s">
        <v>1842</v>
      </c>
      <c r="D34" s="594" t="s">
        <v>4629</v>
      </c>
      <c r="H34" s="594">
        <v>1610</v>
      </c>
    </row>
    <row r="35" spans="1:8">
      <c r="H35" s="594">
        <v>1656</v>
      </c>
    </row>
    <row r="36" spans="1:8">
      <c r="C36" s="594" t="s">
        <v>4630</v>
      </c>
      <c r="D36" s="594"/>
      <c r="H36" s="594">
        <v>1702</v>
      </c>
    </row>
    <row r="37" spans="1:8">
      <c r="C37" s="595"/>
      <c r="H37" s="594">
        <v>1763</v>
      </c>
    </row>
    <row r="38" spans="1:8">
      <c r="H38" s="594" t="s">
        <v>4631</v>
      </c>
    </row>
    <row r="39" spans="1:8">
      <c r="C39" s="594" t="s">
        <v>4632</v>
      </c>
      <c r="D39" s="594" t="s">
        <v>4633</v>
      </c>
      <c r="E39" s="1380" t="s">
        <v>4611</v>
      </c>
      <c r="H39" s="594" t="s">
        <v>4634</v>
      </c>
    </row>
    <row r="40" spans="1:8">
      <c r="H40" s="594" t="s">
        <v>4635</v>
      </c>
    </row>
    <row r="41" spans="1:8">
      <c r="H41" s="594" t="s">
        <v>4636</v>
      </c>
    </row>
    <row r="42" spans="1:8">
      <c r="H42" s="594" t="s">
        <v>4637</v>
      </c>
    </row>
    <row r="43" spans="1:8">
      <c r="C43" s="59" t="s">
        <v>1003</v>
      </c>
      <c r="D43" s="1379" t="s">
        <v>4638</v>
      </c>
      <c r="E43" s="1379" t="s">
        <v>4602</v>
      </c>
      <c r="F43" s="1379" t="s">
        <v>4612</v>
      </c>
      <c r="H43" s="594" t="s">
        <v>4639</v>
      </c>
    </row>
    <row r="44" spans="1:8">
      <c r="H44" s="594" t="s">
        <v>4640</v>
      </c>
    </row>
    <row r="45" spans="1:8">
      <c r="H45" s="594" t="s">
        <v>4641</v>
      </c>
    </row>
    <row r="46" spans="1:8">
      <c r="H46" s="594" t="s">
        <v>4642</v>
      </c>
    </row>
    <row r="47" spans="1:8">
      <c r="H47" s="594" t="s">
        <v>4643</v>
      </c>
    </row>
    <row r="48" spans="1:8">
      <c r="C48" s="595" t="s">
        <v>4644</v>
      </c>
      <c r="F48" s="594" t="s">
        <v>4645</v>
      </c>
      <c r="H48" s="594" t="s">
        <v>4646</v>
      </c>
    </row>
    <row r="49" spans="1:8">
      <c r="H49" s="594" t="s">
        <v>4647</v>
      </c>
    </row>
    <row r="50" spans="1:8">
      <c r="A50" s="1389"/>
      <c r="B50" s="1390"/>
      <c r="C50" s="1391" t="s">
        <v>4648</v>
      </c>
      <c r="D50" s="1390"/>
      <c r="E50" s="1392" t="s">
        <v>4649</v>
      </c>
      <c r="H50" s="594" t="s">
        <v>4650</v>
      </c>
    </row>
    <row r="51" spans="1:8">
      <c r="A51" s="1393"/>
      <c r="B51" s="1394" t="s">
        <v>3293</v>
      </c>
      <c r="C51" s="530" t="s">
        <v>4651</v>
      </c>
      <c r="D51" s="530" t="s">
        <v>2506</v>
      </c>
      <c r="E51" s="1395" t="s">
        <v>89</v>
      </c>
    </row>
    <row r="52" spans="1:8">
      <c r="A52" s="1396" t="s">
        <v>2031</v>
      </c>
      <c r="B52" s="1397" t="s">
        <v>3296</v>
      </c>
      <c r="C52" s="1398" t="s">
        <v>2036</v>
      </c>
      <c r="D52" s="1399" t="s">
        <v>630</v>
      </c>
      <c r="E52" s="1400" t="s">
        <v>89</v>
      </c>
    </row>
    <row r="53" spans="1:8">
      <c r="A53" s="1396" t="s">
        <v>2046</v>
      </c>
      <c r="B53" s="1397" t="s">
        <v>3298</v>
      </c>
      <c r="C53" s="1398" t="s">
        <v>2048</v>
      </c>
      <c r="D53" s="1399" t="s">
        <v>630</v>
      </c>
      <c r="E53" s="1400" t="s">
        <v>89</v>
      </c>
    </row>
    <row r="54" spans="1:8">
      <c r="A54" s="1393"/>
      <c r="B54" s="1394" t="s">
        <v>3300</v>
      </c>
      <c r="C54" s="530" t="s">
        <v>4652</v>
      </c>
      <c r="D54" s="530" t="s">
        <v>2443</v>
      </c>
      <c r="E54" s="1395" t="s">
        <v>89</v>
      </c>
    </row>
    <row r="55" spans="1:8">
      <c r="A55" s="1393"/>
      <c r="B55" s="1394" t="s">
        <v>3302</v>
      </c>
      <c r="C55" s="530" t="s">
        <v>4653</v>
      </c>
      <c r="D55" s="530" t="s">
        <v>4654</v>
      </c>
      <c r="E55" s="1395" t="s">
        <v>89</v>
      </c>
    </row>
    <row r="56" spans="1:8">
      <c r="A56" s="1393"/>
      <c r="B56" s="1394" t="s">
        <v>3304</v>
      </c>
      <c r="C56" s="530" t="s">
        <v>4655</v>
      </c>
      <c r="D56" s="530" t="s">
        <v>4656</v>
      </c>
      <c r="E56" s="1395" t="s">
        <v>89</v>
      </c>
    </row>
    <row r="57" spans="1:8">
      <c r="A57" s="1401" t="s">
        <v>1963</v>
      </c>
      <c r="B57" s="1394" t="s">
        <v>3306</v>
      </c>
      <c r="C57" s="530" t="s">
        <v>1965</v>
      </c>
      <c r="D57" s="537" t="s">
        <v>630</v>
      </c>
      <c r="E57" s="1395" t="s">
        <v>89</v>
      </c>
      <c r="F57" s="594" t="s">
        <v>4657</v>
      </c>
    </row>
    <row r="58" spans="1:8">
      <c r="A58" s="1393"/>
      <c r="B58" s="1394" t="s">
        <v>3308</v>
      </c>
      <c r="C58" s="530" t="s">
        <v>4658</v>
      </c>
      <c r="D58" s="530" t="s">
        <v>2506</v>
      </c>
      <c r="E58" s="1395" t="s">
        <v>89</v>
      </c>
    </row>
    <row r="59" spans="1:8">
      <c r="A59" s="1393"/>
      <c r="B59" s="1394" t="s">
        <v>3310</v>
      </c>
      <c r="C59" s="530" t="s">
        <v>4659</v>
      </c>
      <c r="D59" s="530" t="s">
        <v>4654</v>
      </c>
      <c r="E59" s="1395" t="s">
        <v>89</v>
      </c>
    </row>
    <row r="60" spans="1:8">
      <c r="A60" s="1396" t="s">
        <v>2058</v>
      </c>
      <c r="B60" s="1397" t="s">
        <v>3312</v>
      </c>
      <c r="C60" s="1398" t="s">
        <v>2060</v>
      </c>
      <c r="D60" s="1399" t="s">
        <v>630</v>
      </c>
      <c r="E60" s="1400" t="s">
        <v>89</v>
      </c>
    </row>
    <row r="61" spans="1:8">
      <c r="A61" s="1401" t="s">
        <v>1978</v>
      </c>
      <c r="B61" s="1394" t="s">
        <v>4660</v>
      </c>
      <c r="C61" s="530" t="s">
        <v>1981</v>
      </c>
      <c r="D61" s="537" t="s">
        <v>630</v>
      </c>
      <c r="E61" s="1395" t="s">
        <v>89</v>
      </c>
    </row>
    <row r="62" spans="1:8">
      <c r="A62" s="1393"/>
      <c r="B62" s="1394" t="s">
        <v>4661</v>
      </c>
      <c r="C62" s="530" t="s">
        <v>4662</v>
      </c>
      <c r="D62" s="530" t="s">
        <v>2506</v>
      </c>
      <c r="E62" s="1395" t="s">
        <v>89</v>
      </c>
    </row>
    <row r="63" spans="1:8">
      <c r="A63" s="1396" t="s">
        <v>4663</v>
      </c>
      <c r="B63" s="1397" t="s">
        <v>4664</v>
      </c>
      <c r="C63" s="1398" t="s">
        <v>2071</v>
      </c>
      <c r="D63" s="1399" t="s">
        <v>630</v>
      </c>
      <c r="E63" s="1400" t="s">
        <v>89</v>
      </c>
    </row>
    <row r="64" spans="1:8">
      <c r="A64" s="1393"/>
      <c r="B64" s="1394" t="s">
        <v>4426</v>
      </c>
      <c r="C64" s="530" t="s">
        <v>4665</v>
      </c>
      <c r="D64" s="530" t="s">
        <v>2506</v>
      </c>
      <c r="E64" s="1395" t="s">
        <v>89</v>
      </c>
    </row>
    <row r="65" spans="1:6">
      <c r="A65" s="1393"/>
      <c r="B65" s="1394" t="s">
        <v>4666</v>
      </c>
      <c r="C65" s="530" t="s">
        <v>4667</v>
      </c>
      <c r="D65" s="530" t="s">
        <v>2506</v>
      </c>
      <c r="E65" s="1395" t="s">
        <v>89</v>
      </c>
    </row>
    <row r="66" spans="1:6">
      <c r="A66" s="1396" t="s">
        <v>4668</v>
      </c>
      <c r="B66" s="1397" t="s">
        <v>4669</v>
      </c>
      <c r="C66" s="1398" t="s">
        <v>2000</v>
      </c>
      <c r="D66" s="1399" t="s">
        <v>630</v>
      </c>
      <c r="E66" s="1400" t="s">
        <v>89</v>
      </c>
    </row>
    <row r="67" spans="1:6">
      <c r="A67" s="1401" t="s">
        <v>1998</v>
      </c>
      <c r="B67" s="1394" t="s">
        <v>4670</v>
      </c>
      <c r="C67" s="530" t="s">
        <v>4671</v>
      </c>
      <c r="D67" s="530" t="s">
        <v>4672</v>
      </c>
      <c r="E67" s="1395" t="s">
        <v>89</v>
      </c>
    </row>
    <row r="68" spans="1:6">
      <c r="A68" s="1393"/>
      <c r="B68" s="1394" t="s">
        <v>4673</v>
      </c>
      <c r="C68" s="530" t="s">
        <v>4674</v>
      </c>
      <c r="D68" s="530" t="s">
        <v>4654</v>
      </c>
      <c r="E68" s="1395" t="s">
        <v>89</v>
      </c>
    </row>
    <row r="69" spans="1:6">
      <c r="A69" s="1401" t="s">
        <v>2015</v>
      </c>
      <c r="B69" s="1394" t="s">
        <v>4675</v>
      </c>
      <c r="C69" s="530" t="s">
        <v>2017</v>
      </c>
      <c r="D69" s="530" t="s">
        <v>4672</v>
      </c>
      <c r="E69" s="1395" t="s">
        <v>89</v>
      </c>
    </row>
    <row r="70" spans="1:6">
      <c r="A70" s="1401" t="s">
        <v>1922</v>
      </c>
      <c r="B70" s="1394" t="s">
        <v>4676</v>
      </c>
      <c r="C70" s="530" t="s">
        <v>4677</v>
      </c>
      <c r="D70" s="537" t="s">
        <v>630</v>
      </c>
      <c r="E70" s="1395" t="s">
        <v>89</v>
      </c>
      <c r="F70" s="594" t="s">
        <v>4657</v>
      </c>
    </row>
    <row r="71" spans="1:6">
      <c r="A71" s="1401" t="s">
        <v>1955</v>
      </c>
      <c r="B71" s="1394" t="s">
        <v>4678</v>
      </c>
      <c r="C71" s="530" t="s">
        <v>4679</v>
      </c>
      <c r="D71" s="537" t="s">
        <v>630</v>
      </c>
      <c r="E71" s="1395" t="s">
        <v>89</v>
      </c>
      <c r="F71" s="594" t="s">
        <v>4657</v>
      </c>
    </row>
    <row r="72" spans="1:6">
      <c r="A72" s="1401" t="s">
        <v>1971</v>
      </c>
      <c r="B72" s="1394" t="s">
        <v>4680</v>
      </c>
      <c r="C72" s="530" t="s">
        <v>4681</v>
      </c>
      <c r="D72" s="537" t="s">
        <v>630</v>
      </c>
      <c r="E72" s="1395" t="s">
        <v>89</v>
      </c>
    </row>
    <row r="73" spans="1:6">
      <c r="A73" s="1401" t="s">
        <v>1932</v>
      </c>
      <c r="B73" s="1394" t="s">
        <v>4682</v>
      </c>
      <c r="C73" s="530" t="s">
        <v>4683</v>
      </c>
      <c r="D73" s="537" t="s">
        <v>630</v>
      </c>
      <c r="E73" s="1395" t="s">
        <v>89</v>
      </c>
    </row>
    <row r="74" spans="1:6">
      <c r="A74" s="1396" t="s">
        <v>4684</v>
      </c>
      <c r="B74" s="1397" t="s">
        <v>4685</v>
      </c>
      <c r="C74" s="1398" t="s">
        <v>4686</v>
      </c>
      <c r="D74" s="1399" t="s">
        <v>630</v>
      </c>
      <c r="E74" s="1400" t="s">
        <v>89</v>
      </c>
    </row>
    <row r="75" spans="1:6">
      <c r="A75" s="1393"/>
      <c r="B75" s="1394" t="s">
        <v>4687</v>
      </c>
      <c r="C75" s="530" t="s">
        <v>4688</v>
      </c>
      <c r="D75" s="530" t="s">
        <v>2506</v>
      </c>
      <c r="E75" s="1395" t="s">
        <v>89</v>
      </c>
    </row>
    <row r="76" spans="1:6">
      <c r="A76" s="1401" t="s">
        <v>2022</v>
      </c>
      <c r="B76" s="1394" t="s">
        <v>4689</v>
      </c>
      <c r="C76" s="530" t="s">
        <v>4690</v>
      </c>
      <c r="D76" s="530" t="s">
        <v>4672</v>
      </c>
      <c r="E76" s="1395" t="s">
        <v>89</v>
      </c>
      <c r="F76" s="594" t="s">
        <v>4657</v>
      </c>
    </row>
    <row r="77" spans="1:6">
      <c r="A77" s="1396" t="s">
        <v>4691</v>
      </c>
      <c r="B77" s="1397" t="s">
        <v>4457</v>
      </c>
      <c r="C77" s="1398" t="s">
        <v>2103</v>
      </c>
      <c r="D77" s="1399" t="s">
        <v>630</v>
      </c>
      <c r="E77" s="1400" t="s">
        <v>89</v>
      </c>
    </row>
    <row r="78" spans="1:6">
      <c r="A78" s="1393"/>
      <c r="B78" s="1394" t="s">
        <v>4692</v>
      </c>
      <c r="C78" s="530" t="s">
        <v>4693</v>
      </c>
      <c r="D78" s="530" t="s">
        <v>4654</v>
      </c>
      <c r="E78" s="1395" t="s">
        <v>89</v>
      </c>
    </row>
    <row r="79" spans="1:6">
      <c r="A79" s="1393"/>
      <c r="B79" s="1394" t="s">
        <v>4694</v>
      </c>
      <c r="C79" s="530" t="s">
        <v>4695</v>
      </c>
      <c r="D79" s="530" t="s">
        <v>4654</v>
      </c>
      <c r="E79" s="1395" t="s">
        <v>89</v>
      </c>
    </row>
    <row r="80" spans="1:6">
      <c r="A80" s="1396" t="s">
        <v>2113</v>
      </c>
      <c r="B80" s="1397" t="s">
        <v>4696</v>
      </c>
      <c r="C80" s="1398" t="s">
        <v>2115</v>
      </c>
      <c r="D80" s="1399" t="s">
        <v>630</v>
      </c>
      <c r="E80" s="1400" t="s">
        <v>89</v>
      </c>
    </row>
    <row r="81" spans="1:6">
      <c r="A81" s="1401" t="s">
        <v>1946</v>
      </c>
      <c r="B81" s="1394" t="s">
        <v>4697</v>
      </c>
      <c r="C81" s="530" t="s">
        <v>1949</v>
      </c>
      <c r="D81" s="537" t="s">
        <v>630</v>
      </c>
      <c r="E81" s="1395" t="s">
        <v>89</v>
      </c>
      <c r="F81" s="594" t="s">
        <v>4698</v>
      </c>
    </row>
    <row r="82" spans="1:6">
      <c r="A82" s="1393"/>
      <c r="B82" s="1394" t="s">
        <v>4699</v>
      </c>
      <c r="C82" s="530" t="s">
        <v>4700</v>
      </c>
      <c r="D82" s="530" t="s">
        <v>4654</v>
      </c>
      <c r="E82" s="1395" t="s">
        <v>89</v>
      </c>
    </row>
    <row r="83" spans="1:6">
      <c r="A83" s="1401" t="s">
        <v>2007</v>
      </c>
      <c r="B83" s="1394" t="s">
        <v>4701</v>
      </c>
      <c r="C83" s="530" t="s">
        <v>2009</v>
      </c>
      <c r="D83" s="530" t="s">
        <v>4672</v>
      </c>
      <c r="E83" s="1395" t="s">
        <v>89</v>
      </c>
    </row>
    <row r="84" spans="1:6">
      <c r="A84" s="1401" t="s">
        <v>1940</v>
      </c>
      <c r="B84" s="1394" t="s">
        <v>4702</v>
      </c>
      <c r="C84" s="530" t="s">
        <v>1942</v>
      </c>
      <c r="D84" s="537" t="s">
        <v>630</v>
      </c>
      <c r="E84" s="1395" t="s">
        <v>89</v>
      </c>
      <c r="F84" s="594" t="s">
        <v>4657</v>
      </c>
    </row>
    <row r="85" spans="1:6">
      <c r="A85" s="1401" t="s">
        <v>1989</v>
      </c>
      <c r="B85" s="1394" t="s">
        <v>4703</v>
      </c>
      <c r="C85" s="530" t="s">
        <v>1991</v>
      </c>
      <c r="D85" s="537" t="s">
        <v>630</v>
      </c>
      <c r="E85" s="1395" t="s">
        <v>89</v>
      </c>
      <c r="F85" s="594" t="s">
        <v>4657</v>
      </c>
    </row>
    <row r="86" spans="1:6">
      <c r="A86" s="1393"/>
      <c r="B86" s="1394" t="s">
        <v>4704</v>
      </c>
      <c r="C86" s="530" t="s">
        <v>4705</v>
      </c>
      <c r="D86" s="530" t="s">
        <v>2506</v>
      </c>
      <c r="E86" s="1395" t="s">
        <v>89</v>
      </c>
    </row>
    <row r="87" spans="1:6">
      <c r="A87" s="1396" t="s">
        <v>4706</v>
      </c>
      <c r="B87" s="1397" t="s">
        <v>4707</v>
      </c>
      <c r="C87" s="1398" t="s">
        <v>2126</v>
      </c>
      <c r="D87" s="1399" t="s">
        <v>630</v>
      </c>
      <c r="E87" s="1400" t="s">
        <v>89</v>
      </c>
    </row>
    <row r="88" spans="1:6">
      <c r="A88" s="1396" t="s">
        <v>2135</v>
      </c>
      <c r="B88" s="1397" t="s">
        <v>4708</v>
      </c>
      <c r="C88" s="1398" t="s">
        <v>2137</v>
      </c>
      <c r="D88" s="1399" t="s">
        <v>630</v>
      </c>
      <c r="E88" s="1400" t="s">
        <v>89</v>
      </c>
    </row>
    <row r="89" spans="1:6">
      <c r="A89" s="1396" t="s">
        <v>4709</v>
      </c>
      <c r="B89" s="1397" t="s">
        <v>4710</v>
      </c>
      <c r="C89" s="1398" t="s">
        <v>2148</v>
      </c>
      <c r="D89" s="1399" t="s">
        <v>630</v>
      </c>
      <c r="E89" s="1400" t="s">
        <v>89</v>
      </c>
    </row>
    <row r="90" spans="1:6">
      <c r="A90" s="1402" t="s">
        <v>2157</v>
      </c>
      <c r="B90" s="1403" t="s">
        <v>4711</v>
      </c>
      <c r="C90" s="1404" t="s">
        <v>2159</v>
      </c>
      <c r="D90" s="1405" t="s">
        <v>630</v>
      </c>
      <c r="E90" s="1406" t="s">
        <v>89</v>
      </c>
    </row>
    <row r="92" spans="1:6">
      <c r="A92" s="1394" t="s">
        <v>2168</v>
      </c>
      <c r="B92" s="537"/>
      <c r="C92" s="530" t="s">
        <v>2171</v>
      </c>
      <c r="D92" s="530" t="s">
        <v>4712</v>
      </c>
      <c r="E92" s="1407" t="s">
        <v>1604</v>
      </c>
    </row>
    <row r="93" spans="1:6">
      <c r="A93" s="1394" t="s">
        <v>2180</v>
      </c>
      <c r="B93" s="537"/>
      <c r="C93" s="530" t="s">
        <v>2182</v>
      </c>
      <c r="D93" s="530" t="s">
        <v>4712</v>
      </c>
      <c r="E93" s="1407" t="s">
        <v>1604</v>
      </c>
    </row>
    <row r="94" spans="1:6">
      <c r="A94" s="1394" t="s">
        <v>4713</v>
      </c>
      <c r="B94" s="537"/>
      <c r="C94" s="530" t="s">
        <v>2194</v>
      </c>
      <c r="D94" s="530" t="s">
        <v>4712</v>
      </c>
      <c r="E94" s="1407" t="s">
        <v>1604</v>
      </c>
    </row>
    <row r="95" spans="1:6">
      <c r="C95" s="594"/>
    </row>
    <row r="101" spans="1:6">
      <c r="A101" s="1408" t="s">
        <v>4714</v>
      </c>
      <c r="B101" s="1409" t="s">
        <v>103</v>
      </c>
      <c r="C101" s="1410" t="s">
        <v>4715</v>
      </c>
      <c r="D101" s="1411" t="s">
        <v>110</v>
      </c>
      <c r="E101" s="1412" t="s">
        <v>4716</v>
      </c>
      <c r="F101" s="1412" t="s">
        <v>4717</v>
      </c>
    </row>
    <row r="102" spans="1:6">
      <c r="A102" s="1409"/>
      <c r="B102" s="1409"/>
      <c r="C102" s="1412" t="s">
        <v>4718</v>
      </c>
      <c r="D102" s="1412"/>
      <c r="E102" s="1412" t="s">
        <v>4611</v>
      </c>
      <c r="F102" s="1412" t="s">
        <v>4719</v>
      </c>
    </row>
    <row r="103" spans="1:6">
      <c r="A103" s="1409" t="s">
        <v>1091</v>
      </c>
      <c r="B103" s="1409" t="s">
        <v>1092</v>
      </c>
      <c r="C103" s="1413" t="s">
        <v>1095</v>
      </c>
      <c r="D103" s="1414"/>
      <c r="E103" s="1412" t="s">
        <v>4602</v>
      </c>
      <c r="F103" s="1412" t="s">
        <v>4720</v>
      </c>
    </row>
    <row r="104" spans="1:6">
      <c r="A104" s="1414" t="s">
        <v>4721</v>
      </c>
      <c r="B104" s="1409" t="s">
        <v>162</v>
      </c>
      <c r="C104" s="1413" t="s">
        <v>4610</v>
      </c>
      <c r="D104" s="1411" t="s">
        <v>4601</v>
      </c>
      <c r="E104" s="1412" t="s">
        <v>4611</v>
      </c>
      <c r="F104" s="1412" t="s">
        <v>4720</v>
      </c>
    </row>
    <row r="105" spans="1:6">
      <c r="A105" s="1415" t="s">
        <v>731</v>
      </c>
      <c r="B105" s="1409" t="s">
        <v>732</v>
      </c>
      <c r="C105" s="1412" t="s">
        <v>4722</v>
      </c>
      <c r="D105" s="1412" t="s">
        <v>4723</v>
      </c>
      <c r="E105" s="1412" t="s">
        <v>4602</v>
      </c>
      <c r="F105" s="1412" t="s">
        <v>4724</v>
      </c>
    </row>
    <row r="106" spans="1:6">
      <c r="A106" s="1415" t="s">
        <v>1711</v>
      </c>
      <c r="B106" s="1409" t="s">
        <v>1712</v>
      </c>
      <c r="C106" s="1416" t="s">
        <v>1715</v>
      </c>
      <c r="D106" s="1412" t="s">
        <v>4725</v>
      </c>
      <c r="E106" s="1412" t="s">
        <v>4602</v>
      </c>
      <c r="F106" s="1412" t="s">
        <v>4726</v>
      </c>
    </row>
    <row r="107" spans="1:6">
      <c r="A107" s="1409" t="s">
        <v>655</v>
      </c>
      <c r="B107" s="1409" t="s">
        <v>656</v>
      </c>
      <c r="C107" s="1413" t="s">
        <v>661</v>
      </c>
      <c r="D107" s="1412" t="s">
        <v>4727</v>
      </c>
      <c r="E107" s="1412" t="s">
        <v>4602</v>
      </c>
      <c r="F107" s="1412" t="s">
        <v>4728</v>
      </c>
    </row>
    <row r="108" spans="1:6">
      <c r="A108" s="1415" t="s">
        <v>1615</v>
      </c>
      <c r="B108" s="1409" t="s">
        <v>1616</v>
      </c>
      <c r="C108" s="1415" t="s">
        <v>1619</v>
      </c>
      <c r="D108" s="1412" t="s">
        <v>4727</v>
      </c>
      <c r="E108" s="1412" t="s">
        <v>4602</v>
      </c>
      <c r="F108" s="1412" t="s">
        <v>4728</v>
      </c>
    </row>
    <row r="109" spans="1:6">
      <c r="A109" s="364" t="s">
        <v>1666</v>
      </c>
      <c r="B109" s="365" t="s">
        <v>1667</v>
      </c>
      <c r="C109" s="364" t="s">
        <v>1669</v>
      </c>
      <c r="D109" s="1412" t="s">
        <v>4727</v>
      </c>
      <c r="E109" s="1412" t="s">
        <v>4602</v>
      </c>
      <c r="F109" s="1412" t="s">
        <v>4729</v>
      </c>
    </row>
    <row r="110" spans="1:6">
      <c r="A110" s="365" t="s">
        <v>646</v>
      </c>
      <c r="B110" s="365" t="s">
        <v>647</v>
      </c>
      <c r="C110" s="370" t="s">
        <v>4730</v>
      </c>
      <c r="D110" s="1412" t="s">
        <v>4727</v>
      </c>
      <c r="E110" s="1412" t="s">
        <v>4602</v>
      </c>
      <c r="F110" s="1412" t="s">
        <v>4731</v>
      </c>
    </row>
    <row r="111" spans="1:6">
      <c r="A111" s="1417" t="s">
        <v>4604</v>
      </c>
      <c r="B111" s="1417" t="s">
        <v>4604</v>
      </c>
      <c r="C111" s="1417" t="s">
        <v>4605</v>
      </c>
      <c r="D111" s="1412" t="s">
        <v>4727</v>
      </c>
      <c r="E111" s="1417" t="s">
        <v>4606</v>
      </c>
      <c r="F111" s="1417" t="s">
        <v>4732</v>
      </c>
    </row>
    <row r="112" spans="1:6">
      <c r="A112" s="484" t="s">
        <v>333</v>
      </c>
      <c r="B112" s="680" t="s">
        <v>334</v>
      </c>
      <c r="C112" s="1418" t="s">
        <v>4733</v>
      </c>
      <c r="D112" s="1417" t="s">
        <v>4727</v>
      </c>
      <c r="E112" s="1417" t="s">
        <v>4602</v>
      </c>
      <c r="F112" s="1417" t="s">
        <v>4732</v>
      </c>
    </row>
    <row r="113" spans="3:3">
      <c r="C113" s="1419"/>
    </row>
  </sheetData>
  <autoFilter ref="H15:H50" xr:uid="{00000000-0009-0000-0000-000012000000}">
    <sortState xmlns:xlrd2="http://schemas.microsoft.com/office/spreadsheetml/2017/richdata2" ref="H15:H50">
      <sortCondition ref="H15:H50"/>
    </sortState>
  </autoFilter>
  <phoneticPr fontId="135"/>
  <conditionalFormatting sqref="A20 B20:B21 C21">
    <cfRule type="expression" dxfId="7" priority="7">
      <formula>$AF20="退職"</formula>
    </cfRule>
  </conditionalFormatting>
  <conditionalFormatting sqref="A105:B105">
    <cfRule type="expression" dxfId="6" priority="1">
      <formula>$AH45="退職"</formula>
    </cfRule>
  </conditionalFormatting>
  <conditionalFormatting sqref="A17:C17 D17:D19 D21:D22">
    <cfRule type="expression" dxfId="5" priority="8">
      <formula>$AE17="退職"</formula>
    </cfRule>
  </conditionalFormatting>
  <conditionalFormatting sqref="A26:C26 A34:C34 C43 A106:C106 A108:C109">
    <cfRule type="expression" dxfId="4" priority="6">
      <formula>$AG26="退職"</formula>
    </cfRule>
  </conditionalFormatting>
  <conditionalFormatting sqref="A101:D101">
    <cfRule type="expression" dxfId="3" priority="4">
      <formula>$AE16="退職"</formula>
    </cfRule>
  </conditionalFormatting>
  <conditionalFormatting sqref="B104:C104">
    <cfRule type="expression" dxfId="2" priority="2">
      <formula>$AF100="退職"</formula>
    </cfRule>
  </conditionalFormatting>
  <conditionalFormatting sqref="C5 A31:B32 A34:C34 C43 A102:B103 C103 A106:C110 A112:B112">
    <cfRule type="expression" dxfId="1" priority="5">
      <formula>$AH5="退職"</formula>
    </cfRule>
  </conditionalFormatting>
  <conditionalFormatting sqref="D104">
    <cfRule type="expression" dxfId="0" priority="3">
      <formula>$AE100="退職"</formula>
    </cfRule>
  </conditionalFormatting>
  <printOptions horizontalCentered="1" gridLines="1"/>
  <pageMargins left="0.7" right="0.7" top="0.75" bottom="0.75" header="0" footer="0"/>
  <pageSetup paperSize="9" fitToHeight="0" pageOrder="overThenDown" orientation="portrait" cellComments="atEnd"/>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workbookViewId="0"/>
  </sheetViews>
  <sheetFormatPr defaultColWidth="12.6328125" defaultRowHeight="15" customHeight="1"/>
  <cols>
    <col min="1" max="1" width="25.6328125" customWidth="1"/>
    <col min="2" max="2" width="15" customWidth="1"/>
    <col min="3" max="4" width="12.6328125" customWidth="1"/>
    <col min="5" max="5" width="9.90625" customWidth="1"/>
    <col min="6" max="6" width="17.36328125" customWidth="1"/>
  </cols>
  <sheetData>
    <row r="1" spans="1:26" ht="15" customHeight="1">
      <c r="A1" s="1420" t="s">
        <v>4262</v>
      </c>
      <c r="B1" s="1421" t="s">
        <v>4734</v>
      </c>
      <c r="C1" s="1421" t="s">
        <v>4735</v>
      </c>
      <c r="D1" s="1421" t="s">
        <v>4736</v>
      </c>
      <c r="E1" s="1422" t="s">
        <v>4737</v>
      </c>
      <c r="F1" s="1422" t="s">
        <v>4738</v>
      </c>
      <c r="G1" s="1423"/>
      <c r="H1" s="1423"/>
      <c r="I1" s="1423"/>
      <c r="J1" s="1423"/>
      <c r="K1" s="1423"/>
      <c r="L1" s="1423"/>
      <c r="M1" s="1423"/>
      <c r="N1" s="1423"/>
      <c r="O1" s="1423"/>
      <c r="P1" s="1423"/>
      <c r="Q1" s="1423"/>
      <c r="R1" s="1423"/>
      <c r="S1" s="1423"/>
      <c r="T1" s="1423"/>
      <c r="U1" s="1423"/>
      <c r="V1" s="1423"/>
      <c r="W1" s="1423"/>
      <c r="X1" s="1423"/>
      <c r="Y1" s="1423"/>
      <c r="Z1" s="1423"/>
    </row>
    <row r="2" spans="1:26" ht="15" customHeight="1">
      <c r="A2" s="1424" t="s">
        <v>4739</v>
      </c>
      <c r="B2" s="1425">
        <v>44910</v>
      </c>
      <c r="C2" s="1425">
        <v>45641</v>
      </c>
      <c r="D2" s="1425">
        <v>46370</v>
      </c>
      <c r="E2" s="1426" t="s">
        <v>4740</v>
      </c>
      <c r="F2" s="1427" t="s">
        <v>4741</v>
      </c>
      <c r="G2" s="1428" t="s">
        <v>4742</v>
      </c>
      <c r="H2" s="1428" t="s">
        <v>4743</v>
      </c>
      <c r="I2" s="1423"/>
      <c r="J2" s="1423"/>
      <c r="K2" s="1423"/>
      <c r="L2" s="1423"/>
      <c r="M2" s="1423"/>
      <c r="N2" s="1423"/>
      <c r="O2" s="1423"/>
      <c r="P2" s="1423"/>
      <c r="Q2" s="1423"/>
      <c r="R2" s="1423"/>
      <c r="S2" s="1423"/>
      <c r="T2" s="1423"/>
      <c r="U2" s="1423"/>
      <c r="V2" s="1423"/>
      <c r="W2" s="1423"/>
      <c r="X2" s="1423"/>
      <c r="Y2" s="1423"/>
      <c r="Z2" s="1423"/>
    </row>
    <row r="3" spans="1:26" ht="15" customHeight="1">
      <c r="A3" s="1424" t="s">
        <v>4744</v>
      </c>
      <c r="B3" s="1429">
        <v>45017</v>
      </c>
      <c r="C3" s="1429">
        <v>45017</v>
      </c>
      <c r="D3" s="1429">
        <v>45747</v>
      </c>
      <c r="E3" s="1426" t="s">
        <v>4745</v>
      </c>
      <c r="F3" s="1427" t="s">
        <v>4741</v>
      </c>
      <c r="G3" s="1428" t="s">
        <v>4742</v>
      </c>
      <c r="H3" s="1428" t="s">
        <v>4743</v>
      </c>
      <c r="I3" s="1423"/>
      <c r="J3" s="1423"/>
      <c r="K3" s="1423"/>
      <c r="L3" s="1423"/>
      <c r="M3" s="1423"/>
      <c r="N3" s="1423"/>
      <c r="O3" s="1423"/>
      <c r="P3" s="1423"/>
      <c r="Q3" s="1423"/>
      <c r="R3" s="1423"/>
      <c r="S3" s="1423"/>
      <c r="T3" s="1423"/>
      <c r="U3" s="1423"/>
      <c r="V3" s="1423"/>
      <c r="W3" s="1423"/>
      <c r="X3" s="1423"/>
      <c r="Y3" s="1423"/>
      <c r="Z3" s="1423"/>
    </row>
    <row r="4" spans="1:26" ht="15" customHeight="1">
      <c r="A4" s="1424" t="s">
        <v>4746</v>
      </c>
      <c r="B4" s="1429">
        <v>45000</v>
      </c>
      <c r="C4" s="1429">
        <v>45000</v>
      </c>
      <c r="D4" s="1429">
        <v>45730</v>
      </c>
      <c r="E4" s="1426" t="s">
        <v>4747</v>
      </c>
      <c r="F4" s="1427" t="s">
        <v>4741</v>
      </c>
      <c r="G4" s="1428" t="s">
        <v>4742</v>
      </c>
      <c r="H4" s="1428" t="s">
        <v>4743</v>
      </c>
      <c r="I4" s="1423"/>
      <c r="J4" s="1423"/>
      <c r="K4" s="1423"/>
      <c r="L4" s="1423"/>
      <c r="M4" s="1423"/>
      <c r="N4" s="1423"/>
      <c r="O4" s="1423"/>
      <c r="P4" s="1423"/>
      <c r="Q4" s="1423"/>
      <c r="R4" s="1423"/>
      <c r="S4" s="1423"/>
      <c r="T4" s="1423"/>
      <c r="U4" s="1423"/>
      <c r="V4" s="1423"/>
      <c r="W4" s="1423"/>
      <c r="X4" s="1423"/>
      <c r="Y4" s="1423"/>
      <c r="Z4" s="1423"/>
    </row>
    <row r="5" spans="1:26" ht="15" customHeight="1">
      <c r="A5" s="1424" t="s">
        <v>4748</v>
      </c>
      <c r="B5" s="1429">
        <v>44640</v>
      </c>
      <c r="C5" s="1429">
        <v>45371</v>
      </c>
      <c r="D5" s="1429">
        <v>46100</v>
      </c>
      <c r="E5" s="1426" t="s">
        <v>4749</v>
      </c>
      <c r="F5" s="1427" t="s">
        <v>4741</v>
      </c>
      <c r="G5" s="1428" t="s">
        <v>4742</v>
      </c>
      <c r="H5" s="1428" t="s">
        <v>4743</v>
      </c>
      <c r="I5" s="1423"/>
      <c r="J5" s="1423"/>
      <c r="K5" s="1423"/>
      <c r="L5" s="1423"/>
      <c r="M5" s="1423"/>
      <c r="N5" s="1423"/>
      <c r="O5" s="1423"/>
      <c r="P5" s="1423"/>
      <c r="Q5" s="1423"/>
      <c r="R5" s="1423"/>
      <c r="S5" s="1423"/>
      <c r="T5" s="1423"/>
      <c r="U5" s="1423"/>
      <c r="V5" s="1423"/>
      <c r="W5" s="1423"/>
      <c r="X5" s="1423"/>
      <c r="Y5" s="1423"/>
      <c r="Z5" s="1423"/>
    </row>
    <row r="6" spans="1:26" ht="15" customHeight="1">
      <c r="A6" s="1424" t="s">
        <v>4750</v>
      </c>
      <c r="B6" s="1429">
        <v>45047</v>
      </c>
      <c r="C6" s="1429">
        <v>45047</v>
      </c>
      <c r="D6" s="1429">
        <v>45777</v>
      </c>
      <c r="E6" s="1426" t="s">
        <v>4751</v>
      </c>
      <c r="F6" s="1427" t="s">
        <v>4741</v>
      </c>
      <c r="G6" s="1428" t="s">
        <v>4742</v>
      </c>
      <c r="H6" s="1428" t="s">
        <v>4743</v>
      </c>
      <c r="I6" s="1423"/>
      <c r="J6" s="1423"/>
      <c r="K6" s="1423"/>
      <c r="L6" s="1423"/>
      <c r="M6" s="1423"/>
      <c r="N6" s="1423"/>
      <c r="O6" s="1423"/>
      <c r="P6" s="1423"/>
      <c r="Q6" s="1423"/>
      <c r="R6" s="1423"/>
      <c r="S6" s="1423"/>
      <c r="T6" s="1423"/>
      <c r="U6" s="1423"/>
      <c r="V6" s="1423"/>
      <c r="W6" s="1423"/>
      <c r="X6" s="1423"/>
      <c r="Y6" s="1423"/>
      <c r="Z6" s="1423"/>
    </row>
    <row r="7" spans="1:26" ht="15" customHeight="1">
      <c r="A7" s="1424" t="s">
        <v>4752</v>
      </c>
      <c r="B7" s="1429">
        <v>45000</v>
      </c>
      <c r="C7" s="1429">
        <v>45000</v>
      </c>
      <c r="D7" s="1429">
        <v>45730</v>
      </c>
      <c r="E7" s="1426" t="s">
        <v>4753</v>
      </c>
      <c r="F7" s="1427" t="s">
        <v>4741</v>
      </c>
      <c r="G7" s="1428" t="s">
        <v>4742</v>
      </c>
      <c r="H7" s="1428" t="s">
        <v>4743</v>
      </c>
      <c r="I7" s="1423"/>
      <c r="J7" s="1423"/>
      <c r="K7" s="1423"/>
      <c r="L7" s="1423"/>
      <c r="M7" s="1423"/>
      <c r="N7" s="1423"/>
      <c r="O7" s="1423"/>
      <c r="P7" s="1423"/>
      <c r="Q7" s="1423"/>
      <c r="R7" s="1423"/>
      <c r="S7" s="1423"/>
      <c r="T7" s="1423"/>
      <c r="U7" s="1423"/>
      <c r="V7" s="1423"/>
      <c r="W7" s="1423"/>
      <c r="X7" s="1423"/>
      <c r="Y7" s="1423"/>
      <c r="Z7" s="1423"/>
    </row>
    <row r="8" spans="1:26" ht="15" customHeight="1">
      <c r="A8" s="1424" t="s">
        <v>4754</v>
      </c>
      <c r="B8" s="1429">
        <v>45328</v>
      </c>
      <c r="C8" s="1429">
        <v>45328</v>
      </c>
      <c r="D8" s="1429">
        <v>46058</v>
      </c>
      <c r="E8" s="1426" t="s">
        <v>4747</v>
      </c>
      <c r="F8" s="1430" t="s">
        <v>4755</v>
      </c>
      <c r="G8" s="1423"/>
      <c r="H8" s="1423"/>
      <c r="I8" s="1423"/>
      <c r="J8" s="1423"/>
      <c r="K8" s="1423"/>
      <c r="L8" s="1423"/>
      <c r="M8" s="1423"/>
      <c r="N8" s="1423"/>
      <c r="O8" s="1423"/>
      <c r="P8" s="1423"/>
      <c r="Q8" s="1423"/>
      <c r="R8" s="1423"/>
      <c r="S8" s="1423"/>
      <c r="T8" s="1423"/>
      <c r="U8" s="1423"/>
      <c r="V8" s="1423"/>
      <c r="W8" s="1423"/>
      <c r="X8" s="1423"/>
      <c r="Y8" s="1423"/>
      <c r="Z8" s="1423"/>
    </row>
    <row r="9" spans="1:26" ht="15" customHeight="1">
      <c r="A9" s="1424" t="s">
        <v>4756</v>
      </c>
      <c r="B9" s="1429">
        <v>44871</v>
      </c>
      <c r="C9" s="1429">
        <v>45602</v>
      </c>
      <c r="D9" s="1429">
        <v>46331</v>
      </c>
      <c r="E9" s="1426" t="s">
        <v>4740</v>
      </c>
      <c r="F9" s="1427" t="s">
        <v>4741</v>
      </c>
      <c r="G9" s="1428" t="s">
        <v>4742</v>
      </c>
      <c r="H9" s="1428" t="s">
        <v>4743</v>
      </c>
      <c r="I9" s="1423"/>
      <c r="J9" s="1423"/>
      <c r="K9" s="1423"/>
      <c r="L9" s="1423"/>
      <c r="M9" s="1423"/>
      <c r="N9" s="1423"/>
      <c r="O9" s="1423"/>
      <c r="P9" s="1423"/>
      <c r="Q9" s="1423"/>
      <c r="R9" s="1423"/>
      <c r="S9" s="1423"/>
      <c r="T9" s="1423"/>
      <c r="U9" s="1423"/>
      <c r="V9" s="1423"/>
      <c r="W9" s="1423"/>
      <c r="X9" s="1423"/>
      <c r="Y9" s="1423"/>
      <c r="Z9" s="1423"/>
    </row>
    <row r="10" spans="1:26" ht="15" customHeight="1">
      <c r="A10" s="1424" t="s">
        <v>4757</v>
      </c>
      <c r="B10" s="1429">
        <v>45179</v>
      </c>
      <c r="C10" s="1429">
        <v>45179</v>
      </c>
      <c r="D10" s="1429">
        <v>45909</v>
      </c>
      <c r="E10" s="1426" t="s">
        <v>4745</v>
      </c>
      <c r="F10" s="1430" t="s">
        <v>4755</v>
      </c>
      <c r="G10" s="1423"/>
      <c r="H10" s="1423"/>
      <c r="I10" s="1423"/>
      <c r="J10" s="1423"/>
      <c r="K10" s="1423"/>
      <c r="L10" s="1423"/>
      <c r="M10" s="1423"/>
      <c r="N10" s="1423"/>
      <c r="O10" s="1423"/>
      <c r="P10" s="1423"/>
      <c r="Q10" s="1423"/>
      <c r="R10" s="1423"/>
      <c r="S10" s="1423"/>
      <c r="T10" s="1423"/>
      <c r="U10" s="1423"/>
      <c r="V10" s="1423"/>
      <c r="W10" s="1423"/>
      <c r="X10" s="1423"/>
      <c r="Y10" s="1423"/>
      <c r="Z10" s="1423"/>
    </row>
    <row r="11" spans="1:26" ht="15" customHeight="1">
      <c r="A11" s="1424" t="s">
        <v>4758</v>
      </c>
      <c r="B11" s="1429">
        <v>45306</v>
      </c>
      <c r="C11" s="1429">
        <v>45306</v>
      </c>
      <c r="D11" s="1429">
        <v>46036</v>
      </c>
      <c r="E11" s="1426" t="s">
        <v>4751</v>
      </c>
      <c r="F11" s="1430" t="s">
        <v>4755</v>
      </c>
      <c r="G11" s="1423"/>
      <c r="H11" s="1423"/>
      <c r="I11" s="1423"/>
      <c r="J11" s="1423"/>
      <c r="K11" s="1423"/>
      <c r="L11" s="1423"/>
      <c r="M11" s="1423"/>
      <c r="N11" s="1423"/>
      <c r="O11" s="1423"/>
      <c r="P11" s="1423"/>
      <c r="Q11" s="1423"/>
      <c r="R11" s="1423"/>
      <c r="S11" s="1423"/>
      <c r="T11" s="1423"/>
      <c r="U11" s="1423"/>
      <c r="V11" s="1423"/>
      <c r="W11" s="1423"/>
      <c r="X11" s="1423"/>
      <c r="Y11" s="1423"/>
      <c r="Z11" s="1423"/>
    </row>
    <row r="12" spans="1:26" ht="15" customHeight="1">
      <c r="A12" s="1424"/>
      <c r="B12" s="1429"/>
      <c r="C12" s="1429"/>
      <c r="D12" s="1423"/>
      <c r="E12" s="1426"/>
      <c r="F12" s="1423"/>
      <c r="G12" s="1423"/>
      <c r="H12" s="1423"/>
      <c r="I12" s="1423"/>
      <c r="J12" s="1423"/>
      <c r="K12" s="1423"/>
      <c r="L12" s="1423"/>
      <c r="M12" s="1423"/>
      <c r="N12" s="1423"/>
      <c r="O12" s="1423"/>
      <c r="P12" s="1423"/>
      <c r="Q12" s="1423"/>
      <c r="R12" s="1423"/>
      <c r="S12" s="1423"/>
      <c r="T12" s="1423"/>
      <c r="U12" s="1423"/>
      <c r="V12" s="1423"/>
      <c r="W12" s="1423"/>
      <c r="X12" s="1423"/>
      <c r="Y12" s="1423"/>
      <c r="Z12" s="1423"/>
    </row>
    <row r="13" spans="1:26" ht="15" customHeight="1">
      <c r="A13" s="1423"/>
      <c r="B13" s="1423"/>
      <c r="C13" s="1423"/>
      <c r="D13" s="1423"/>
      <c r="E13" s="1423"/>
      <c r="F13" s="1423"/>
      <c r="G13" s="1423"/>
      <c r="H13" s="1423"/>
      <c r="I13" s="1423"/>
      <c r="J13" s="1423"/>
      <c r="K13" s="1423"/>
      <c r="L13" s="1423"/>
      <c r="M13" s="1423"/>
      <c r="N13" s="1423"/>
      <c r="O13" s="1423"/>
      <c r="P13" s="1423"/>
      <c r="Q13" s="1423"/>
      <c r="R13" s="1423"/>
      <c r="S13" s="1423"/>
      <c r="T13" s="1423"/>
      <c r="U13" s="1423"/>
      <c r="V13" s="1423"/>
      <c r="W13" s="1423"/>
      <c r="X13" s="1423"/>
      <c r="Y13" s="1423"/>
      <c r="Z13" s="1423"/>
    </row>
    <row r="14" spans="1:26" ht="15" customHeight="1">
      <c r="A14" s="1423"/>
      <c r="B14" s="1423"/>
      <c r="C14" s="1423"/>
      <c r="D14" s="1423"/>
      <c r="E14" s="1423"/>
      <c r="F14" s="1423"/>
      <c r="G14" s="1423"/>
      <c r="H14" s="1423"/>
      <c r="I14" s="1423"/>
      <c r="J14" s="1423"/>
      <c r="K14" s="1423"/>
      <c r="L14" s="1423"/>
      <c r="M14" s="1423"/>
      <c r="N14" s="1423"/>
      <c r="O14" s="1423"/>
      <c r="P14" s="1423"/>
      <c r="Q14" s="1423"/>
      <c r="R14" s="1423"/>
      <c r="S14" s="1423"/>
      <c r="T14" s="1423"/>
      <c r="U14" s="1423"/>
      <c r="V14" s="1423"/>
      <c r="W14" s="1423"/>
      <c r="X14" s="1423"/>
      <c r="Y14" s="1423"/>
      <c r="Z14" s="1423"/>
    </row>
    <row r="15" spans="1:26" ht="15" customHeight="1">
      <c r="A15" s="1423"/>
      <c r="B15" s="1423"/>
      <c r="C15" s="1423"/>
      <c r="D15" s="1423"/>
      <c r="E15" s="1423"/>
      <c r="F15" s="1423"/>
      <c r="G15" s="1423"/>
      <c r="H15" s="1423"/>
      <c r="I15" s="1423"/>
      <c r="J15" s="1423"/>
      <c r="K15" s="1423"/>
      <c r="L15" s="1423"/>
      <c r="M15" s="1423"/>
      <c r="N15" s="1423"/>
      <c r="O15" s="1423"/>
      <c r="P15" s="1423"/>
      <c r="Q15" s="1423"/>
      <c r="R15" s="1423"/>
      <c r="S15" s="1423"/>
      <c r="T15" s="1423"/>
      <c r="U15" s="1423"/>
      <c r="V15" s="1423"/>
      <c r="W15" s="1423"/>
      <c r="X15" s="1423"/>
      <c r="Y15" s="1423"/>
      <c r="Z15" s="1423"/>
    </row>
    <row r="16" spans="1:26" ht="15" customHeight="1">
      <c r="A16" s="1423"/>
      <c r="B16" s="1423"/>
      <c r="C16" s="1423"/>
      <c r="D16" s="1423"/>
      <c r="E16" s="1423"/>
      <c r="F16" s="1423"/>
      <c r="G16" s="1423"/>
      <c r="H16" s="1423"/>
      <c r="I16" s="1423"/>
      <c r="J16" s="1423"/>
      <c r="K16" s="1423"/>
      <c r="L16" s="1423"/>
      <c r="M16" s="1423"/>
      <c r="N16" s="1423"/>
      <c r="O16" s="1423"/>
      <c r="P16" s="1423"/>
      <c r="Q16" s="1423"/>
      <c r="R16" s="1423"/>
      <c r="S16" s="1423"/>
      <c r="T16" s="1423"/>
      <c r="U16" s="1423"/>
      <c r="V16" s="1423"/>
      <c r="W16" s="1423"/>
      <c r="X16" s="1423"/>
      <c r="Y16" s="1423"/>
      <c r="Z16" s="1423"/>
    </row>
    <row r="17" spans="1:26" ht="15" customHeight="1">
      <c r="A17" s="1423"/>
      <c r="B17" s="1423"/>
      <c r="C17" s="1423"/>
      <c r="D17" s="1423"/>
      <c r="E17" s="1423"/>
      <c r="F17" s="1423"/>
      <c r="G17" s="1423"/>
      <c r="H17" s="1423"/>
      <c r="I17" s="1423"/>
      <c r="J17" s="1423"/>
      <c r="K17" s="1423"/>
      <c r="L17" s="1423"/>
      <c r="M17" s="1423"/>
      <c r="N17" s="1423"/>
      <c r="O17" s="1423"/>
      <c r="P17" s="1423"/>
      <c r="Q17" s="1423"/>
      <c r="R17" s="1423"/>
      <c r="S17" s="1423"/>
      <c r="T17" s="1423"/>
      <c r="U17" s="1423"/>
      <c r="V17" s="1423"/>
      <c r="W17" s="1423"/>
      <c r="X17" s="1423"/>
      <c r="Y17" s="1423"/>
      <c r="Z17" s="1423"/>
    </row>
    <row r="18" spans="1:26" ht="15" customHeight="1">
      <c r="A18" s="1423"/>
      <c r="B18" s="1423"/>
      <c r="C18" s="1423"/>
      <c r="D18" s="1423"/>
      <c r="E18" s="1423"/>
      <c r="F18" s="1423"/>
      <c r="G18" s="1423"/>
      <c r="H18" s="1423"/>
      <c r="I18" s="1423"/>
      <c r="J18" s="1423"/>
      <c r="K18" s="1423"/>
      <c r="L18" s="1423"/>
      <c r="M18" s="1423"/>
      <c r="N18" s="1423"/>
      <c r="O18" s="1423"/>
      <c r="P18" s="1423"/>
      <c r="Q18" s="1423"/>
      <c r="R18" s="1423"/>
      <c r="S18" s="1423"/>
      <c r="T18" s="1423"/>
      <c r="U18" s="1423"/>
      <c r="V18" s="1423"/>
      <c r="W18" s="1423"/>
      <c r="X18" s="1423"/>
      <c r="Y18" s="1423"/>
      <c r="Z18" s="1423"/>
    </row>
    <row r="19" spans="1:26" ht="15" customHeight="1">
      <c r="A19" s="1423"/>
      <c r="B19" s="1423"/>
      <c r="C19" s="1423"/>
      <c r="D19" s="1423"/>
      <c r="E19" s="1423"/>
      <c r="F19" s="1423"/>
      <c r="G19" s="1423"/>
      <c r="H19" s="1423"/>
      <c r="I19" s="1423"/>
      <c r="J19" s="1423"/>
      <c r="K19" s="1423"/>
      <c r="L19" s="1423"/>
      <c r="M19" s="1423"/>
      <c r="N19" s="1423"/>
      <c r="O19" s="1423"/>
      <c r="P19" s="1423"/>
      <c r="Q19" s="1423"/>
      <c r="R19" s="1423"/>
      <c r="S19" s="1423"/>
      <c r="T19" s="1423"/>
      <c r="U19" s="1423"/>
      <c r="V19" s="1423"/>
      <c r="W19" s="1423"/>
      <c r="X19" s="1423"/>
      <c r="Y19" s="1423"/>
      <c r="Z19" s="1423"/>
    </row>
    <row r="20" spans="1:26" ht="15" customHeight="1">
      <c r="A20" s="1423"/>
      <c r="B20" s="1423"/>
      <c r="C20" s="1423"/>
      <c r="D20" s="1423"/>
      <c r="E20" s="1423"/>
      <c r="F20" s="1423"/>
      <c r="G20" s="1423"/>
      <c r="H20" s="1423"/>
      <c r="I20" s="1423"/>
      <c r="J20" s="1423"/>
      <c r="K20" s="1423"/>
      <c r="L20" s="1423"/>
      <c r="M20" s="1423"/>
      <c r="N20" s="1423"/>
      <c r="O20" s="1423"/>
      <c r="P20" s="1423"/>
      <c r="Q20" s="1423"/>
      <c r="R20" s="1423"/>
      <c r="S20" s="1423"/>
      <c r="T20" s="1423"/>
      <c r="U20" s="1423"/>
      <c r="V20" s="1423"/>
      <c r="W20" s="1423"/>
      <c r="X20" s="1423"/>
      <c r="Y20" s="1423"/>
      <c r="Z20" s="1423"/>
    </row>
    <row r="21" spans="1:26" ht="15" customHeight="1">
      <c r="A21" s="1423"/>
      <c r="B21" s="1423"/>
      <c r="C21" s="1423"/>
      <c r="D21" s="1423"/>
      <c r="E21" s="1423"/>
      <c r="F21" s="1423"/>
      <c r="G21" s="1423"/>
      <c r="H21" s="1423"/>
      <c r="I21" s="1423"/>
      <c r="J21" s="1423"/>
      <c r="K21" s="1423"/>
      <c r="L21" s="1423"/>
      <c r="M21" s="1423"/>
      <c r="N21" s="1423"/>
      <c r="O21" s="1423"/>
      <c r="P21" s="1423"/>
      <c r="Q21" s="1423"/>
      <c r="R21" s="1423"/>
      <c r="S21" s="1423"/>
      <c r="T21" s="1423"/>
      <c r="U21" s="1423"/>
      <c r="V21" s="1423"/>
      <c r="W21" s="1423"/>
      <c r="X21" s="1423"/>
      <c r="Y21" s="1423"/>
      <c r="Z21" s="1423"/>
    </row>
    <row r="22" spans="1:26" ht="15" customHeight="1">
      <c r="A22" s="1423"/>
      <c r="B22" s="1423"/>
      <c r="C22" s="1423"/>
      <c r="D22" s="1423"/>
      <c r="E22" s="1423"/>
      <c r="F22" s="1423"/>
      <c r="G22" s="1423"/>
      <c r="H22" s="1423"/>
      <c r="I22" s="1423"/>
      <c r="J22" s="1423"/>
      <c r="K22" s="1423"/>
      <c r="L22" s="1423"/>
      <c r="M22" s="1423"/>
      <c r="N22" s="1423"/>
      <c r="O22" s="1423"/>
      <c r="P22" s="1423"/>
      <c r="Q22" s="1423"/>
      <c r="R22" s="1423"/>
      <c r="S22" s="1423"/>
      <c r="T22" s="1423"/>
      <c r="U22" s="1423"/>
      <c r="V22" s="1423"/>
      <c r="W22" s="1423"/>
      <c r="X22" s="1423"/>
      <c r="Y22" s="1423"/>
      <c r="Z22" s="1423"/>
    </row>
    <row r="23" spans="1:26" ht="15" customHeight="1">
      <c r="A23" s="1423"/>
      <c r="B23" s="1423"/>
      <c r="C23" s="1423"/>
      <c r="D23" s="1423"/>
      <c r="E23" s="1423"/>
      <c r="F23" s="1423"/>
      <c r="G23" s="1423"/>
      <c r="H23" s="1423"/>
      <c r="I23" s="1423"/>
      <c r="J23" s="1423"/>
      <c r="K23" s="1423"/>
      <c r="L23" s="1423"/>
      <c r="M23" s="1423"/>
      <c r="N23" s="1423"/>
      <c r="O23" s="1423"/>
      <c r="P23" s="1423"/>
      <c r="Q23" s="1423"/>
      <c r="R23" s="1423"/>
      <c r="S23" s="1423"/>
      <c r="T23" s="1423"/>
      <c r="U23" s="1423"/>
      <c r="V23" s="1423"/>
      <c r="W23" s="1423"/>
      <c r="X23" s="1423"/>
      <c r="Y23" s="1423"/>
      <c r="Z23" s="1423"/>
    </row>
    <row r="24" spans="1:26" ht="15" customHeight="1">
      <c r="A24" s="1423"/>
      <c r="B24" s="1423"/>
      <c r="C24" s="1423"/>
      <c r="D24" s="1423"/>
      <c r="E24" s="1423"/>
      <c r="F24" s="1423"/>
      <c r="G24" s="1423"/>
      <c r="H24" s="1423"/>
      <c r="I24" s="1423"/>
      <c r="J24" s="1423"/>
      <c r="K24" s="1423"/>
      <c r="L24" s="1423"/>
      <c r="M24" s="1423"/>
      <c r="N24" s="1423"/>
      <c r="O24" s="1423"/>
      <c r="P24" s="1423"/>
      <c r="Q24" s="1423"/>
      <c r="R24" s="1423"/>
      <c r="S24" s="1423"/>
      <c r="T24" s="1423"/>
      <c r="U24" s="1423"/>
      <c r="V24" s="1423"/>
      <c r="W24" s="1423"/>
      <c r="X24" s="1423"/>
      <c r="Y24" s="1423"/>
      <c r="Z24" s="1423"/>
    </row>
    <row r="25" spans="1:26" ht="15" customHeight="1">
      <c r="A25" s="1423"/>
      <c r="B25" s="1423"/>
      <c r="C25" s="1423"/>
      <c r="D25" s="1423"/>
      <c r="E25" s="1423"/>
      <c r="F25" s="1423"/>
      <c r="G25" s="1423"/>
      <c r="H25" s="1423"/>
      <c r="I25" s="1423"/>
      <c r="J25" s="1423"/>
      <c r="K25" s="1423"/>
      <c r="L25" s="1423"/>
      <c r="M25" s="1423"/>
      <c r="N25" s="1423"/>
      <c r="O25" s="1423"/>
      <c r="P25" s="1423"/>
      <c r="Q25" s="1423"/>
      <c r="R25" s="1423"/>
      <c r="S25" s="1423"/>
      <c r="T25" s="1423"/>
      <c r="U25" s="1423"/>
      <c r="V25" s="1423"/>
      <c r="W25" s="1423"/>
      <c r="X25" s="1423"/>
      <c r="Y25" s="1423"/>
      <c r="Z25" s="1423"/>
    </row>
    <row r="26" spans="1:26" ht="15" customHeight="1">
      <c r="A26" s="1423"/>
      <c r="B26" s="1423"/>
      <c r="C26" s="1423"/>
      <c r="D26" s="1423"/>
      <c r="E26" s="1423"/>
      <c r="F26" s="1423"/>
      <c r="G26" s="1423"/>
      <c r="H26" s="1423"/>
      <c r="I26" s="1423"/>
      <c r="J26" s="1423"/>
      <c r="K26" s="1423"/>
      <c r="L26" s="1423"/>
      <c r="M26" s="1423"/>
      <c r="N26" s="1423"/>
      <c r="O26" s="1423"/>
      <c r="P26" s="1423"/>
      <c r="Q26" s="1423"/>
      <c r="R26" s="1423"/>
      <c r="S26" s="1423"/>
      <c r="T26" s="1423"/>
      <c r="U26" s="1423"/>
      <c r="V26" s="1423"/>
      <c r="W26" s="1423"/>
      <c r="X26" s="1423"/>
      <c r="Y26" s="1423"/>
      <c r="Z26" s="1423"/>
    </row>
    <row r="27" spans="1:26" ht="15" customHeight="1">
      <c r="A27" s="1423"/>
      <c r="B27" s="1423"/>
      <c r="C27" s="1423"/>
      <c r="D27" s="1423"/>
      <c r="E27" s="1423"/>
      <c r="F27" s="1423"/>
      <c r="G27" s="1423"/>
      <c r="H27" s="1423"/>
      <c r="I27" s="1423"/>
      <c r="J27" s="1423"/>
      <c r="K27" s="1423"/>
      <c r="L27" s="1423"/>
      <c r="M27" s="1423"/>
      <c r="N27" s="1423"/>
      <c r="O27" s="1423"/>
      <c r="P27" s="1423"/>
      <c r="Q27" s="1423"/>
      <c r="R27" s="1423"/>
      <c r="S27" s="1423"/>
      <c r="T27" s="1423"/>
      <c r="U27" s="1423"/>
      <c r="V27" s="1423"/>
      <c r="W27" s="1423"/>
      <c r="X27" s="1423"/>
      <c r="Y27" s="1423"/>
      <c r="Z27" s="1423"/>
    </row>
    <row r="28" spans="1:26" ht="15" customHeight="1">
      <c r="A28" s="1423"/>
      <c r="B28" s="1423"/>
      <c r="C28" s="1423"/>
      <c r="D28" s="1423"/>
      <c r="E28" s="1423"/>
      <c r="F28" s="1423"/>
      <c r="G28" s="1423"/>
      <c r="H28" s="1423"/>
      <c r="I28" s="1423"/>
      <c r="J28" s="1423"/>
      <c r="K28" s="1423"/>
      <c r="L28" s="1423"/>
      <c r="M28" s="1423"/>
      <c r="N28" s="1423"/>
      <c r="O28" s="1423"/>
      <c r="P28" s="1423"/>
      <c r="Q28" s="1423"/>
      <c r="R28" s="1423"/>
      <c r="S28" s="1423"/>
      <c r="T28" s="1423"/>
      <c r="U28" s="1423"/>
      <c r="V28" s="1423"/>
      <c r="W28" s="1423"/>
      <c r="X28" s="1423"/>
      <c r="Y28" s="1423"/>
      <c r="Z28" s="1423"/>
    </row>
    <row r="29" spans="1:26" ht="15" customHeight="1">
      <c r="A29" s="1423"/>
      <c r="B29" s="1423"/>
      <c r="C29" s="1423"/>
      <c r="D29" s="1423"/>
      <c r="E29" s="1423"/>
      <c r="F29" s="1423"/>
      <c r="G29" s="1423"/>
      <c r="H29" s="1423"/>
      <c r="I29" s="1423"/>
      <c r="J29" s="1423"/>
      <c r="K29" s="1423"/>
      <c r="L29" s="1423"/>
      <c r="M29" s="1423"/>
      <c r="N29" s="1423"/>
      <c r="O29" s="1423"/>
      <c r="P29" s="1423"/>
      <c r="Q29" s="1423"/>
      <c r="R29" s="1423"/>
      <c r="S29" s="1423"/>
      <c r="T29" s="1423"/>
      <c r="U29" s="1423"/>
      <c r="V29" s="1423"/>
      <c r="W29" s="1423"/>
      <c r="X29" s="1423"/>
      <c r="Y29" s="1423"/>
      <c r="Z29" s="1423"/>
    </row>
    <row r="30" spans="1:26" ht="15" customHeight="1">
      <c r="A30" s="1423"/>
      <c r="B30" s="1423"/>
      <c r="C30" s="1423"/>
      <c r="D30" s="1423"/>
      <c r="E30" s="1423"/>
      <c r="F30" s="1423"/>
      <c r="G30" s="1423"/>
      <c r="H30" s="1423"/>
      <c r="I30" s="1423"/>
      <c r="J30" s="1423"/>
      <c r="K30" s="1423"/>
      <c r="L30" s="1423"/>
      <c r="M30" s="1423"/>
      <c r="N30" s="1423"/>
      <c r="O30" s="1423"/>
      <c r="P30" s="1423"/>
      <c r="Q30" s="1423"/>
      <c r="R30" s="1423"/>
      <c r="S30" s="1423"/>
      <c r="T30" s="1423"/>
      <c r="U30" s="1423"/>
      <c r="V30" s="1423"/>
      <c r="W30" s="1423"/>
      <c r="X30" s="1423"/>
      <c r="Y30" s="1423"/>
      <c r="Z30" s="1423"/>
    </row>
    <row r="31" spans="1:26" ht="15" customHeight="1">
      <c r="A31" s="1423"/>
      <c r="B31" s="1423"/>
      <c r="C31" s="1423"/>
      <c r="D31" s="1423"/>
      <c r="E31" s="1423"/>
      <c r="F31" s="1423"/>
      <c r="G31" s="1423"/>
      <c r="H31" s="1423"/>
      <c r="I31" s="1423"/>
      <c r="J31" s="1423"/>
      <c r="K31" s="1423"/>
      <c r="L31" s="1423"/>
      <c r="M31" s="1423"/>
      <c r="N31" s="1423"/>
      <c r="O31" s="1423"/>
      <c r="P31" s="1423"/>
      <c r="Q31" s="1423"/>
      <c r="R31" s="1423"/>
      <c r="S31" s="1423"/>
      <c r="T31" s="1423"/>
      <c r="U31" s="1423"/>
      <c r="V31" s="1423"/>
      <c r="W31" s="1423"/>
      <c r="X31" s="1423"/>
      <c r="Y31" s="1423"/>
      <c r="Z31" s="1423"/>
    </row>
    <row r="32" spans="1:26" ht="18.5">
      <c r="A32" s="1423"/>
      <c r="B32" s="1423"/>
      <c r="C32" s="1423"/>
      <c r="D32" s="1423"/>
      <c r="E32" s="1423"/>
      <c r="F32" s="1423"/>
      <c r="G32" s="1423"/>
      <c r="H32" s="1423"/>
      <c r="I32" s="1423"/>
      <c r="J32" s="1423"/>
      <c r="K32" s="1423"/>
      <c r="L32" s="1423"/>
      <c r="M32" s="1423"/>
      <c r="N32" s="1423"/>
      <c r="O32" s="1423"/>
      <c r="P32" s="1423"/>
      <c r="Q32" s="1423"/>
      <c r="R32" s="1423"/>
      <c r="S32" s="1423"/>
      <c r="T32" s="1423"/>
      <c r="U32" s="1423"/>
      <c r="V32" s="1423"/>
      <c r="W32" s="1423"/>
      <c r="X32" s="1423"/>
      <c r="Y32" s="1423"/>
      <c r="Z32" s="1423"/>
    </row>
    <row r="33" spans="1:26" ht="18.5">
      <c r="A33" s="1423"/>
      <c r="B33" s="1423"/>
      <c r="C33" s="1423"/>
      <c r="D33" s="1423"/>
      <c r="E33" s="1423"/>
      <c r="F33" s="1423"/>
      <c r="G33" s="1423"/>
      <c r="H33" s="1423"/>
      <c r="I33" s="1423"/>
      <c r="J33" s="1423"/>
      <c r="K33" s="1423"/>
      <c r="L33" s="1423"/>
      <c r="M33" s="1423"/>
      <c r="N33" s="1423"/>
      <c r="O33" s="1423"/>
      <c r="P33" s="1423"/>
      <c r="Q33" s="1423"/>
      <c r="R33" s="1423"/>
      <c r="S33" s="1423"/>
      <c r="T33" s="1423"/>
      <c r="U33" s="1423"/>
      <c r="V33" s="1423"/>
      <c r="W33" s="1423"/>
      <c r="X33" s="1423"/>
      <c r="Y33" s="1423"/>
      <c r="Z33" s="1423"/>
    </row>
    <row r="34" spans="1:26" ht="18.5">
      <c r="A34" s="1423"/>
      <c r="B34" s="1423"/>
      <c r="C34" s="1423"/>
      <c r="D34" s="1423"/>
      <c r="E34" s="1423"/>
      <c r="F34" s="1423"/>
      <c r="G34" s="1423"/>
      <c r="H34" s="1423"/>
      <c r="I34" s="1423"/>
      <c r="J34" s="1423"/>
      <c r="K34" s="1423"/>
      <c r="L34" s="1423"/>
      <c r="M34" s="1423"/>
      <c r="N34" s="1423"/>
      <c r="O34" s="1423"/>
      <c r="P34" s="1423"/>
      <c r="Q34" s="1423"/>
      <c r="R34" s="1423"/>
      <c r="S34" s="1423"/>
      <c r="T34" s="1423"/>
      <c r="U34" s="1423"/>
      <c r="V34" s="1423"/>
      <c r="W34" s="1423"/>
      <c r="X34" s="1423"/>
      <c r="Y34" s="1423"/>
      <c r="Z34" s="1423"/>
    </row>
    <row r="35" spans="1:26" ht="18.5">
      <c r="A35" s="1423"/>
      <c r="B35" s="1423"/>
      <c r="C35" s="1423"/>
      <c r="D35" s="1423"/>
      <c r="E35" s="1423"/>
      <c r="F35" s="1423"/>
      <c r="G35" s="1423"/>
      <c r="H35" s="1423"/>
      <c r="I35" s="1423"/>
      <c r="J35" s="1423"/>
      <c r="K35" s="1423"/>
      <c r="L35" s="1423"/>
      <c r="M35" s="1423"/>
      <c r="N35" s="1423"/>
      <c r="O35" s="1423"/>
      <c r="P35" s="1423"/>
      <c r="Q35" s="1423"/>
      <c r="R35" s="1423"/>
      <c r="S35" s="1423"/>
      <c r="T35" s="1423"/>
      <c r="U35" s="1423"/>
      <c r="V35" s="1423"/>
      <c r="W35" s="1423"/>
      <c r="X35" s="1423"/>
      <c r="Y35" s="1423"/>
      <c r="Z35" s="1423"/>
    </row>
    <row r="36" spans="1:26" ht="18.5">
      <c r="A36" s="1423"/>
      <c r="B36" s="1423"/>
      <c r="C36" s="1423"/>
      <c r="D36" s="1423"/>
      <c r="E36" s="1423"/>
      <c r="F36" s="1423"/>
      <c r="G36" s="1423"/>
      <c r="H36" s="1423"/>
      <c r="I36" s="1423"/>
      <c r="J36" s="1423"/>
      <c r="K36" s="1423"/>
      <c r="L36" s="1423"/>
      <c r="M36" s="1423"/>
      <c r="N36" s="1423"/>
      <c r="O36" s="1423"/>
      <c r="P36" s="1423"/>
      <c r="Q36" s="1423"/>
      <c r="R36" s="1423"/>
      <c r="S36" s="1423"/>
      <c r="T36" s="1423"/>
      <c r="U36" s="1423"/>
      <c r="V36" s="1423"/>
      <c r="W36" s="1423"/>
      <c r="X36" s="1423"/>
      <c r="Y36" s="1423"/>
      <c r="Z36" s="1423"/>
    </row>
    <row r="37" spans="1:26" ht="18.5">
      <c r="A37" s="1423"/>
      <c r="B37" s="1423"/>
      <c r="C37" s="1423"/>
      <c r="D37" s="1423"/>
      <c r="E37" s="1423"/>
      <c r="F37" s="1423"/>
      <c r="G37" s="1423"/>
      <c r="H37" s="1423"/>
      <c r="I37" s="1423"/>
      <c r="J37" s="1423"/>
      <c r="K37" s="1423"/>
      <c r="L37" s="1423"/>
      <c r="M37" s="1423"/>
      <c r="N37" s="1423"/>
      <c r="O37" s="1423"/>
      <c r="P37" s="1423"/>
      <c r="Q37" s="1423"/>
      <c r="R37" s="1423"/>
      <c r="S37" s="1423"/>
      <c r="T37" s="1423"/>
      <c r="U37" s="1423"/>
      <c r="V37" s="1423"/>
      <c r="W37" s="1423"/>
      <c r="X37" s="1423"/>
      <c r="Y37" s="1423"/>
      <c r="Z37" s="1423"/>
    </row>
    <row r="38" spans="1:26" ht="18.5">
      <c r="A38" s="1423"/>
      <c r="B38" s="1423"/>
      <c r="C38" s="1423"/>
      <c r="D38" s="1423"/>
      <c r="E38" s="1423"/>
      <c r="F38" s="1423"/>
      <c r="G38" s="1423"/>
      <c r="H38" s="1423"/>
      <c r="I38" s="1423"/>
      <c r="J38" s="1423"/>
      <c r="K38" s="1423"/>
      <c r="L38" s="1423"/>
      <c r="M38" s="1423"/>
      <c r="N38" s="1423"/>
      <c r="O38" s="1423"/>
      <c r="P38" s="1423"/>
      <c r="Q38" s="1423"/>
      <c r="R38" s="1423"/>
      <c r="S38" s="1423"/>
      <c r="T38" s="1423"/>
      <c r="U38" s="1423"/>
      <c r="V38" s="1423"/>
      <c r="W38" s="1423"/>
      <c r="X38" s="1423"/>
      <c r="Y38" s="1423"/>
      <c r="Z38" s="1423"/>
    </row>
    <row r="39" spans="1:26" ht="18.5">
      <c r="A39" s="1423"/>
      <c r="B39" s="1423"/>
      <c r="C39" s="1423"/>
      <c r="D39" s="1423"/>
      <c r="E39" s="1423"/>
      <c r="F39" s="1423"/>
      <c r="G39" s="1423"/>
      <c r="H39" s="1423"/>
      <c r="I39" s="1423"/>
      <c r="J39" s="1423"/>
      <c r="K39" s="1423"/>
      <c r="L39" s="1423"/>
      <c r="M39" s="1423"/>
      <c r="N39" s="1423"/>
      <c r="O39" s="1423"/>
      <c r="P39" s="1423"/>
      <c r="Q39" s="1423"/>
      <c r="R39" s="1423"/>
      <c r="S39" s="1423"/>
      <c r="T39" s="1423"/>
      <c r="U39" s="1423"/>
      <c r="V39" s="1423"/>
      <c r="W39" s="1423"/>
      <c r="X39" s="1423"/>
      <c r="Y39" s="1423"/>
      <c r="Z39" s="1423"/>
    </row>
    <row r="40" spans="1:26" ht="18.5">
      <c r="A40" s="1423"/>
      <c r="B40" s="1423"/>
      <c r="C40" s="1423"/>
      <c r="D40" s="1423"/>
      <c r="E40" s="1423"/>
      <c r="F40" s="1423"/>
      <c r="G40" s="1423"/>
      <c r="H40" s="1423"/>
      <c r="I40" s="1423"/>
      <c r="J40" s="1423"/>
      <c r="K40" s="1423"/>
      <c r="L40" s="1423"/>
      <c r="M40" s="1423"/>
      <c r="N40" s="1423"/>
      <c r="O40" s="1423"/>
      <c r="P40" s="1423"/>
      <c r="Q40" s="1423"/>
      <c r="R40" s="1423"/>
      <c r="S40" s="1423"/>
      <c r="T40" s="1423"/>
      <c r="U40" s="1423"/>
      <c r="V40" s="1423"/>
      <c r="W40" s="1423"/>
      <c r="X40" s="1423"/>
      <c r="Y40" s="1423"/>
      <c r="Z40" s="1423"/>
    </row>
    <row r="41" spans="1:26" ht="18.5">
      <c r="A41" s="1423"/>
      <c r="B41" s="1423"/>
      <c r="C41" s="1423"/>
      <c r="D41" s="1423"/>
      <c r="E41" s="1423"/>
      <c r="F41" s="1423"/>
      <c r="G41" s="1423"/>
      <c r="H41" s="1423"/>
      <c r="I41" s="1423"/>
      <c r="J41" s="1423"/>
      <c r="K41" s="1423"/>
      <c r="L41" s="1423"/>
      <c r="M41" s="1423"/>
      <c r="N41" s="1423"/>
      <c r="O41" s="1423"/>
      <c r="P41" s="1423"/>
      <c r="Q41" s="1423"/>
      <c r="R41" s="1423"/>
      <c r="S41" s="1423"/>
      <c r="T41" s="1423"/>
      <c r="U41" s="1423"/>
      <c r="V41" s="1423"/>
      <c r="W41" s="1423"/>
      <c r="X41" s="1423"/>
      <c r="Y41" s="1423"/>
      <c r="Z41" s="1423"/>
    </row>
    <row r="42" spans="1:26" ht="18.5">
      <c r="A42" s="1423"/>
      <c r="B42" s="1423"/>
      <c r="C42" s="1423"/>
      <c r="D42" s="1423"/>
      <c r="E42" s="1423"/>
      <c r="F42" s="1423"/>
      <c r="G42" s="1423"/>
      <c r="H42" s="1423"/>
      <c r="I42" s="1423"/>
      <c r="J42" s="1423"/>
      <c r="K42" s="1423"/>
      <c r="L42" s="1423"/>
      <c r="M42" s="1423"/>
      <c r="N42" s="1423"/>
      <c r="O42" s="1423"/>
      <c r="P42" s="1423"/>
      <c r="Q42" s="1423"/>
      <c r="R42" s="1423"/>
      <c r="S42" s="1423"/>
      <c r="T42" s="1423"/>
      <c r="U42" s="1423"/>
      <c r="V42" s="1423"/>
      <c r="W42" s="1423"/>
      <c r="X42" s="1423"/>
      <c r="Y42" s="1423"/>
      <c r="Z42" s="1423"/>
    </row>
    <row r="43" spans="1:26" ht="18.5">
      <c r="A43" s="1423"/>
      <c r="B43" s="1423"/>
      <c r="C43" s="1423"/>
      <c r="D43" s="1423"/>
      <c r="E43" s="1423"/>
      <c r="F43" s="1423"/>
      <c r="G43" s="1423"/>
      <c r="H43" s="1423"/>
      <c r="I43" s="1423"/>
      <c r="J43" s="1423"/>
      <c r="K43" s="1423"/>
      <c r="L43" s="1423"/>
      <c r="M43" s="1423"/>
      <c r="N43" s="1423"/>
      <c r="O43" s="1423"/>
      <c r="P43" s="1423"/>
      <c r="Q43" s="1423"/>
      <c r="R43" s="1423"/>
      <c r="S43" s="1423"/>
      <c r="T43" s="1423"/>
      <c r="U43" s="1423"/>
      <c r="V43" s="1423"/>
      <c r="W43" s="1423"/>
      <c r="X43" s="1423"/>
      <c r="Y43" s="1423"/>
      <c r="Z43" s="1423"/>
    </row>
    <row r="44" spans="1:26" ht="18.5">
      <c r="A44" s="1423"/>
      <c r="B44" s="1423"/>
      <c r="C44" s="1423"/>
      <c r="D44" s="1423"/>
      <c r="E44" s="1423"/>
      <c r="F44" s="1423"/>
      <c r="G44" s="1423"/>
      <c r="H44" s="1423"/>
      <c r="I44" s="1423"/>
      <c r="J44" s="1423"/>
      <c r="K44" s="1423"/>
      <c r="L44" s="1423"/>
      <c r="M44" s="1423"/>
      <c r="N44" s="1423"/>
      <c r="O44" s="1423"/>
      <c r="P44" s="1423"/>
      <c r="Q44" s="1423"/>
      <c r="R44" s="1423"/>
      <c r="S44" s="1423"/>
      <c r="T44" s="1423"/>
      <c r="U44" s="1423"/>
      <c r="V44" s="1423"/>
      <c r="W44" s="1423"/>
      <c r="X44" s="1423"/>
      <c r="Y44" s="1423"/>
      <c r="Z44" s="1423"/>
    </row>
    <row r="45" spans="1:26" ht="18.5">
      <c r="A45" s="1423"/>
      <c r="B45" s="1423"/>
      <c r="C45" s="1423"/>
      <c r="D45" s="1423"/>
      <c r="E45" s="1423"/>
      <c r="F45" s="1423"/>
      <c r="G45" s="1423"/>
      <c r="H45" s="1423"/>
      <c r="I45" s="1423"/>
      <c r="J45" s="1423"/>
      <c r="K45" s="1423"/>
      <c r="L45" s="1423"/>
      <c r="M45" s="1423"/>
      <c r="N45" s="1423"/>
      <c r="O45" s="1423"/>
      <c r="P45" s="1423"/>
      <c r="Q45" s="1423"/>
      <c r="R45" s="1423"/>
      <c r="S45" s="1423"/>
      <c r="T45" s="1423"/>
      <c r="U45" s="1423"/>
      <c r="V45" s="1423"/>
      <c r="W45" s="1423"/>
      <c r="X45" s="1423"/>
      <c r="Y45" s="1423"/>
      <c r="Z45" s="1423"/>
    </row>
    <row r="46" spans="1:26" ht="18.5">
      <c r="A46" s="1423"/>
      <c r="B46" s="1423"/>
      <c r="C46" s="1423"/>
      <c r="D46" s="1423"/>
      <c r="E46" s="1423"/>
      <c r="F46" s="1423"/>
      <c r="G46" s="1423"/>
      <c r="H46" s="1423"/>
      <c r="I46" s="1423"/>
      <c r="J46" s="1423"/>
      <c r="K46" s="1423"/>
      <c r="L46" s="1423"/>
      <c r="M46" s="1423"/>
      <c r="N46" s="1423"/>
      <c r="O46" s="1423"/>
      <c r="P46" s="1423"/>
      <c r="Q46" s="1423"/>
      <c r="R46" s="1423"/>
      <c r="S46" s="1423"/>
      <c r="T46" s="1423"/>
      <c r="U46" s="1423"/>
      <c r="V46" s="1423"/>
      <c r="W46" s="1423"/>
      <c r="X46" s="1423"/>
      <c r="Y46" s="1423"/>
      <c r="Z46" s="1423"/>
    </row>
    <row r="47" spans="1:26" ht="18.5">
      <c r="A47" s="1423"/>
      <c r="B47" s="1423"/>
      <c r="C47" s="1423"/>
      <c r="D47" s="1423"/>
      <c r="E47" s="1423"/>
      <c r="F47" s="1423"/>
      <c r="G47" s="1423"/>
      <c r="H47" s="1423"/>
      <c r="I47" s="1423"/>
      <c r="J47" s="1423"/>
      <c r="K47" s="1423"/>
      <c r="L47" s="1423"/>
      <c r="M47" s="1423"/>
      <c r="N47" s="1423"/>
      <c r="O47" s="1423"/>
      <c r="P47" s="1423"/>
      <c r="Q47" s="1423"/>
      <c r="R47" s="1423"/>
      <c r="S47" s="1423"/>
      <c r="T47" s="1423"/>
      <c r="U47" s="1423"/>
      <c r="V47" s="1423"/>
      <c r="W47" s="1423"/>
      <c r="X47" s="1423"/>
      <c r="Y47" s="1423"/>
      <c r="Z47" s="1423"/>
    </row>
    <row r="48" spans="1:26" ht="18.5">
      <c r="A48" s="1423"/>
      <c r="B48" s="1423"/>
      <c r="C48" s="1423"/>
      <c r="D48" s="1423"/>
      <c r="E48" s="1423"/>
      <c r="F48" s="1423"/>
      <c r="G48" s="1423"/>
      <c r="H48" s="1423"/>
      <c r="I48" s="1423"/>
      <c r="J48" s="1423"/>
      <c r="K48" s="1423"/>
      <c r="L48" s="1423"/>
      <c r="M48" s="1423"/>
      <c r="N48" s="1423"/>
      <c r="O48" s="1423"/>
      <c r="P48" s="1423"/>
      <c r="Q48" s="1423"/>
      <c r="R48" s="1423"/>
      <c r="S48" s="1423"/>
      <c r="T48" s="1423"/>
      <c r="U48" s="1423"/>
      <c r="V48" s="1423"/>
      <c r="W48" s="1423"/>
      <c r="X48" s="1423"/>
      <c r="Y48" s="1423"/>
      <c r="Z48" s="1423"/>
    </row>
    <row r="49" spans="1:26" ht="18.5">
      <c r="A49" s="1423"/>
      <c r="B49" s="1423"/>
      <c r="C49" s="1423"/>
      <c r="D49" s="1423"/>
      <c r="E49" s="1423"/>
      <c r="F49" s="1423"/>
      <c r="G49" s="1423"/>
      <c r="H49" s="1423"/>
      <c r="I49" s="1423"/>
      <c r="J49" s="1423"/>
      <c r="K49" s="1423"/>
      <c r="L49" s="1423"/>
      <c r="M49" s="1423"/>
      <c r="N49" s="1423"/>
      <c r="O49" s="1423"/>
      <c r="P49" s="1423"/>
      <c r="Q49" s="1423"/>
      <c r="R49" s="1423"/>
      <c r="S49" s="1423"/>
      <c r="T49" s="1423"/>
      <c r="U49" s="1423"/>
      <c r="V49" s="1423"/>
      <c r="W49" s="1423"/>
      <c r="X49" s="1423"/>
      <c r="Y49" s="1423"/>
      <c r="Z49" s="1423"/>
    </row>
    <row r="50" spans="1:26" ht="18.5">
      <c r="A50" s="1423"/>
      <c r="B50" s="1423"/>
      <c r="C50" s="1423"/>
      <c r="D50" s="1423"/>
      <c r="E50" s="1423"/>
      <c r="F50" s="1423"/>
      <c r="G50" s="1423"/>
      <c r="H50" s="1423"/>
      <c r="I50" s="1423"/>
      <c r="J50" s="1423"/>
      <c r="K50" s="1423"/>
      <c r="L50" s="1423"/>
      <c r="M50" s="1423"/>
      <c r="N50" s="1423"/>
      <c r="O50" s="1423"/>
      <c r="P50" s="1423"/>
      <c r="Q50" s="1423"/>
      <c r="R50" s="1423"/>
      <c r="S50" s="1423"/>
      <c r="T50" s="1423"/>
      <c r="U50" s="1423"/>
      <c r="V50" s="1423"/>
      <c r="W50" s="1423"/>
      <c r="X50" s="1423"/>
      <c r="Y50" s="1423"/>
      <c r="Z50" s="1423"/>
    </row>
    <row r="51" spans="1:26" ht="18.5">
      <c r="A51" s="1423"/>
      <c r="B51" s="1423"/>
      <c r="C51" s="1423"/>
      <c r="D51" s="1423"/>
      <c r="E51" s="1423"/>
      <c r="F51" s="1423"/>
      <c r="G51" s="1423"/>
      <c r="H51" s="1423"/>
      <c r="I51" s="1423"/>
      <c r="J51" s="1423"/>
      <c r="K51" s="1423"/>
      <c r="L51" s="1423"/>
      <c r="M51" s="1423"/>
      <c r="N51" s="1423"/>
      <c r="O51" s="1423"/>
      <c r="P51" s="1423"/>
      <c r="Q51" s="1423"/>
      <c r="R51" s="1423"/>
      <c r="S51" s="1423"/>
      <c r="T51" s="1423"/>
      <c r="U51" s="1423"/>
      <c r="V51" s="1423"/>
      <c r="W51" s="1423"/>
      <c r="X51" s="1423"/>
      <c r="Y51" s="1423"/>
      <c r="Z51" s="1423"/>
    </row>
    <row r="52" spans="1:26" ht="18.5">
      <c r="A52" s="1423"/>
      <c r="B52" s="1423"/>
      <c r="C52" s="1423"/>
      <c r="D52" s="1423"/>
      <c r="E52" s="1423"/>
      <c r="F52" s="1423"/>
      <c r="G52" s="1423"/>
      <c r="H52" s="1423"/>
      <c r="I52" s="1423"/>
      <c r="J52" s="1423"/>
      <c r="K52" s="1423"/>
      <c r="L52" s="1423"/>
      <c r="M52" s="1423"/>
      <c r="N52" s="1423"/>
      <c r="O52" s="1423"/>
      <c r="P52" s="1423"/>
      <c r="Q52" s="1423"/>
      <c r="R52" s="1423"/>
      <c r="S52" s="1423"/>
      <c r="T52" s="1423"/>
      <c r="U52" s="1423"/>
      <c r="V52" s="1423"/>
      <c r="W52" s="1423"/>
      <c r="X52" s="1423"/>
      <c r="Y52" s="1423"/>
      <c r="Z52" s="1423"/>
    </row>
    <row r="53" spans="1:26" ht="18.5">
      <c r="A53" s="1423"/>
      <c r="B53" s="1423"/>
      <c r="C53" s="1423"/>
      <c r="D53" s="1423"/>
      <c r="E53" s="1423"/>
      <c r="F53" s="1423"/>
      <c r="G53" s="1423"/>
      <c r="H53" s="1423"/>
      <c r="I53" s="1423"/>
      <c r="J53" s="1423"/>
      <c r="K53" s="1423"/>
      <c r="L53" s="1423"/>
      <c r="M53" s="1423"/>
      <c r="N53" s="1423"/>
      <c r="O53" s="1423"/>
      <c r="P53" s="1423"/>
      <c r="Q53" s="1423"/>
      <c r="R53" s="1423"/>
      <c r="S53" s="1423"/>
      <c r="T53" s="1423"/>
      <c r="U53" s="1423"/>
      <c r="V53" s="1423"/>
      <c r="W53" s="1423"/>
      <c r="X53" s="1423"/>
      <c r="Y53" s="1423"/>
      <c r="Z53" s="1423"/>
    </row>
    <row r="54" spans="1:26" ht="18.5">
      <c r="A54" s="1423"/>
      <c r="B54" s="1423"/>
      <c r="C54" s="1423"/>
      <c r="D54" s="1423"/>
      <c r="E54" s="1423"/>
      <c r="F54" s="1423"/>
      <c r="G54" s="1423"/>
      <c r="H54" s="1423"/>
      <c r="I54" s="1423"/>
      <c r="J54" s="1423"/>
      <c r="K54" s="1423"/>
      <c r="L54" s="1423"/>
      <c r="M54" s="1423"/>
      <c r="N54" s="1423"/>
      <c r="O54" s="1423"/>
      <c r="P54" s="1423"/>
      <c r="Q54" s="1423"/>
      <c r="R54" s="1423"/>
      <c r="S54" s="1423"/>
      <c r="T54" s="1423"/>
      <c r="U54" s="1423"/>
      <c r="V54" s="1423"/>
      <c r="W54" s="1423"/>
      <c r="X54" s="1423"/>
      <c r="Y54" s="1423"/>
      <c r="Z54" s="1423"/>
    </row>
    <row r="55" spans="1:26" ht="18.5">
      <c r="A55" s="1423"/>
      <c r="B55" s="1423"/>
      <c r="C55" s="1423"/>
      <c r="D55" s="1423"/>
      <c r="E55" s="1423"/>
      <c r="F55" s="1423"/>
      <c r="G55" s="1423"/>
      <c r="H55" s="1423"/>
      <c r="I55" s="1423"/>
      <c r="J55" s="1423"/>
      <c r="K55" s="1423"/>
      <c r="L55" s="1423"/>
      <c r="M55" s="1423"/>
      <c r="N55" s="1423"/>
      <c r="O55" s="1423"/>
      <c r="P55" s="1423"/>
      <c r="Q55" s="1423"/>
      <c r="R55" s="1423"/>
      <c r="S55" s="1423"/>
      <c r="T55" s="1423"/>
      <c r="U55" s="1423"/>
      <c r="V55" s="1423"/>
      <c r="W55" s="1423"/>
      <c r="X55" s="1423"/>
      <c r="Y55" s="1423"/>
      <c r="Z55" s="1423"/>
    </row>
    <row r="56" spans="1:26" ht="18.5">
      <c r="A56" s="1423"/>
      <c r="B56" s="1423"/>
      <c r="C56" s="1423"/>
      <c r="D56" s="1423"/>
      <c r="E56" s="1423"/>
      <c r="F56" s="1423"/>
      <c r="G56" s="1423"/>
      <c r="H56" s="1423"/>
      <c r="I56" s="1423"/>
      <c r="J56" s="1423"/>
      <c r="K56" s="1423"/>
      <c r="L56" s="1423"/>
      <c r="M56" s="1423"/>
      <c r="N56" s="1423"/>
      <c r="O56" s="1423"/>
      <c r="P56" s="1423"/>
      <c r="Q56" s="1423"/>
      <c r="R56" s="1423"/>
      <c r="S56" s="1423"/>
      <c r="T56" s="1423"/>
      <c r="U56" s="1423"/>
      <c r="V56" s="1423"/>
      <c r="W56" s="1423"/>
      <c r="X56" s="1423"/>
      <c r="Y56" s="1423"/>
      <c r="Z56" s="1423"/>
    </row>
    <row r="57" spans="1:26" ht="18.5">
      <c r="A57" s="1423"/>
      <c r="B57" s="1423"/>
      <c r="C57" s="1423"/>
      <c r="D57" s="1423"/>
      <c r="E57" s="1423"/>
      <c r="F57" s="1423"/>
      <c r="G57" s="1423"/>
      <c r="H57" s="1423"/>
      <c r="I57" s="1423"/>
      <c r="J57" s="1423"/>
      <c r="K57" s="1423"/>
      <c r="L57" s="1423"/>
      <c r="M57" s="1423"/>
      <c r="N57" s="1423"/>
      <c r="O57" s="1423"/>
      <c r="P57" s="1423"/>
      <c r="Q57" s="1423"/>
      <c r="R57" s="1423"/>
      <c r="S57" s="1423"/>
      <c r="T57" s="1423"/>
      <c r="U57" s="1423"/>
      <c r="V57" s="1423"/>
      <c r="W57" s="1423"/>
      <c r="X57" s="1423"/>
      <c r="Y57" s="1423"/>
      <c r="Z57" s="1423"/>
    </row>
    <row r="58" spans="1:26" ht="18.5">
      <c r="A58" s="1423"/>
      <c r="B58" s="1423"/>
      <c r="C58" s="1423"/>
      <c r="D58" s="1423"/>
      <c r="E58" s="1423"/>
      <c r="F58" s="1423"/>
      <c r="G58" s="1423"/>
      <c r="H58" s="1423"/>
      <c r="I58" s="1423"/>
      <c r="J58" s="1423"/>
      <c r="K58" s="1423"/>
      <c r="L58" s="1423"/>
      <c r="M58" s="1423"/>
      <c r="N58" s="1423"/>
      <c r="O58" s="1423"/>
      <c r="P58" s="1423"/>
      <c r="Q58" s="1423"/>
      <c r="R58" s="1423"/>
      <c r="S58" s="1423"/>
      <c r="T58" s="1423"/>
      <c r="U58" s="1423"/>
      <c r="V58" s="1423"/>
      <c r="W58" s="1423"/>
      <c r="X58" s="1423"/>
      <c r="Y58" s="1423"/>
      <c r="Z58" s="1423"/>
    </row>
    <row r="59" spans="1:26" ht="18.5">
      <c r="A59" s="1423"/>
      <c r="B59" s="1423"/>
      <c r="C59" s="1423"/>
      <c r="D59" s="1423"/>
      <c r="E59" s="1423"/>
      <c r="F59" s="1423"/>
      <c r="G59" s="1423"/>
      <c r="H59" s="1423"/>
      <c r="I59" s="1423"/>
      <c r="J59" s="1423"/>
      <c r="K59" s="1423"/>
      <c r="L59" s="1423"/>
      <c r="M59" s="1423"/>
      <c r="N59" s="1423"/>
      <c r="O59" s="1423"/>
      <c r="P59" s="1423"/>
      <c r="Q59" s="1423"/>
      <c r="R59" s="1423"/>
      <c r="S59" s="1423"/>
      <c r="T59" s="1423"/>
      <c r="U59" s="1423"/>
      <c r="V59" s="1423"/>
      <c r="W59" s="1423"/>
      <c r="X59" s="1423"/>
      <c r="Y59" s="1423"/>
      <c r="Z59" s="1423"/>
    </row>
    <row r="60" spans="1:26" ht="18.5">
      <c r="A60" s="1423"/>
      <c r="B60" s="1423"/>
      <c r="C60" s="1423"/>
      <c r="D60" s="1423"/>
      <c r="E60" s="1423"/>
      <c r="F60" s="1423"/>
      <c r="G60" s="1423"/>
      <c r="H60" s="1423"/>
      <c r="I60" s="1423"/>
      <c r="J60" s="1423"/>
      <c r="K60" s="1423"/>
      <c r="L60" s="1423"/>
      <c r="M60" s="1423"/>
      <c r="N60" s="1423"/>
      <c r="O60" s="1423"/>
      <c r="P60" s="1423"/>
      <c r="Q60" s="1423"/>
      <c r="R60" s="1423"/>
      <c r="S60" s="1423"/>
      <c r="T60" s="1423"/>
      <c r="U60" s="1423"/>
      <c r="V60" s="1423"/>
      <c r="W60" s="1423"/>
      <c r="X60" s="1423"/>
      <c r="Y60" s="1423"/>
      <c r="Z60" s="1423"/>
    </row>
    <row r="61" spans="1:26" ht="18.5">
      <c r="A61" s="1423"/>
      <c r="B61" s="1423"/>
      <c r="C61" s="1423"/>
      <c r="D61" s="1423"/>
      <c r="E61" s="1423"/>
      <c r="F61" s="1423"/>
      <c r="G61" s="1423"/>
      <c r="H61" s="1423"/>
      <c r="I61" s="1423"/>
      <c r="J61" s="1423"/>
      <c r="K61" s="1423"/>
      <c r="L61" s="1423"/>
      <c r="M61" s="1423"/>
      <c r="N61" s="1423"/>
      <c r="O61" s="1423"/>
      <c r="P61" s="1423"/>
      <c r="Q61" s="1423"/>
      <c r="R61" s="1423"/>
      <c r="S61" s="1423"/>
      <c r="T61" s="1423"/>
      <c r="U61" s="1423"/>
      <c r="V61" s="1423"/>
      <c r="W61" s="1423"/>
      <c r="X61" s="1423"/>
      <c r="Y61" s="1423"/>
      <c r="Z61" s="1423"/>
    </row>
    <row r="62" spans="1:26" ht="18.5">
      <c r="A62" s="1423"/>
      <c r="B62" s="1423"/>
      <c r="C62" s="1423"/>
      <c r="D62" s="1423"/>
      <c r="E62" s="1423"/>
      <c r="F62" s="1423"/>
      <c r="G62" s="1423"/>
      <c r="H62" s="1423"/>
      <c r="I62" s="1423"/>
      <c r="J62" s="1423"/>
      <c r="K62" s="1423"/>
      <c r="L62" s="1423"/>
      <c r="M62" s="1423"/>
      <c r="N62" s="1423"/>
      <c r="O62" s="1423"/>
      <c r="P62" s="1423"/>
      <c r="Q62" s="1423"/>
      <c r="R62" s="1423"/>
      <c r="S62" s="1423"/>
      <c r="T62" s="1423"/>
      <c r="U62" s="1423"/>
      <c r="V62" s="1423"/>
      <c r="W62" s="1423"/>
      <c r="X62" s="1423"/>
      <c r="Y62" s="1423"/>
      <c r="Z62" s="1423"/>
    </row>
    <row r="63" spans="1:26" ht="18.5">
      <c r="A63" s="1423"/>
      <c r="B63" s="1423"/>
      <c r="C63" s="1423"/>
      <c r="D63" s="1423"/>
      <c r="E63" s="1423"/>
      <c r="F63" s="1423"/>
      <c r="G63" s="1423"/>
      <c r="H63" s="1423"/>
      <c r="I63" s="1423"/>
      <c r="J63" s="1423"/>
      <c r="K63" s="1423"/>
      <c r="L63" s="1423"/>
      <c r="M63" s="1423"/>
      <c r="N63" s="1423"/>
      <c r="O63" s="1423"/>
      <c r="P63" s="1423"/>
      <c r="Q63" s="1423"/>
      <c r="R63" s="1423"/>
      <c r="S63" s="1423"/>
      <c r="T63" s="1423"/>
      <c r="U63" s="1423"/>
      <c r="V63" s="1423"/>
      <c r="W63" s="1423"/>
      <c r="X63" s="1423"/>
      <c r="Y63" s="1423"/>
      <c r="Z63" s="1423"/>
    </row>
    <row r="64" spans="1:26" ht="18.5">
      <c r="A64" s="1423"/>
      <c r="B64" s="1423"/>
      <c r="C64" s="1423"/>
      <c r="D64" s="1423"/>
      <c r="E64" s="1423"/>
      <c r="F64" s="1423"/>
      <c r="G64" s="1423"/>
      <c r="H64" s="1423"/>
      <c r="I64" s="1423"/>
      <c r="J64" s="1423"/>
      <c r="K64" s="1423"/>
      <c r="L64" s="1423"/>
      <c r="M64" s="1423"/>
      <c r="N64" s="1423"/>
      <c r="O64" s="1423"/>
      <c r="P64" s="1423"/>
      <c r="Q64" s="1423"/>
      <c r="R64" s="1423"/>
      <c r="S64" s="1423"/>
      <c r="T64" s="1423"/>
      <c r="U64" s="1423"/>
      <c r="V64" s="1423"/>
      <c r="W64" s="1423"/>
      <c r="X64" s="1423"/>
      <c r="Y64" s="1423"/>
      <c r="Z64" s="1423"/>
    </row>
    <row r="65" spans="1:26" ht="18.5">
      <c r="A65" s="1423"/>
      <c r="B65" s="1423"/>
      <c r="C65" s="1423"/>
      <c r="D65" s="1423"/>
      <c r="E65" s="1423"/>
      <c r="F65" s="1423"/>
      <c r="G65" s="1423"/>
      <c r="H65" s="1423"/>
      <c r="I65" s="1423"/>
      <c r="J65" s="1423"/>
      <c r="K65" s="1423"/>
      <c r="L65" s="1423"/>
      <c r="M65" s="1423"/>
      <c r="N65" s="1423"/>
      <c r="O65" s="1423"/>
      <c r="P65" s="1423"/>
      <c r="Q65" s="1423"/>
      <c r="R65" s="1423"/>
      <c r="S65" s="1423"/>
      <c r="T65" s="1423"/>
      <c r="U65" s="1423"/>
      <c r="V65" s="1423"/>
      <c r="W65" s="1423"/>
      <c r="X65" s="1423"/>
      <c r="Y65" s="1423"/>
      <c r="Z65" s="1423"/>
    </row>
    <row r="66" spans="1:26" ht="18.5">
      <c r="A66" s="1423"/>
      <c r="B66" s="1423"/>
      <c r="C66" s="1423"/>
      <c r="D66" s="1423"/>
      <c r="E66" s="1423"/>
      <c r="F66" s="1423"/>
      <c r="G66" s="1423"/>
      <c r="H66" s="1423"/>
      <c r="I66" s="1423"/>
      <c r="J66" s="1423"/>
      <c r="K66" s="1423"/>
      <c r="L66" s="1423"/>
      <c r="M66" s="1423"/>
      <c r="N66" s="1423"/>
      <c r="O66" s="1423"/>
      <c r="P66" s="1423"/>
      <c r="Q66" s="1423"/>
      <c r="R66" s="1423"/>
      <c r="S66" s="1423"/>
      <c r="T66" s="1423"/>
      <c r="U66" s="1423"/>
      <c r="V66" s="1423"/>
      <c r="W66" s="1423"/>
      <c r="X66" s="1423"/>
      <c r="Y66" s="1423"/>
      <c r="Z66" s="1423"/>
    </row>
    <row r="67" spans="1:26" ht="18.5">
      <c r="A67" s="1423"/>
      <c r="B67" s="1423"/>
      <c r="C67" s="1423"/>
      <c r="D67" s="1423"/>
      <c r="E67" s="1423"/>
      <c r="F67" s="1423"/>
      <c r="G67" s="1423"/>
      <c r="H67" s="1423"/>
      <c r="I67" s="1423"/>
      <c r="J67" s="1423"/>
      <c r="K67" s="1423"/>
      <c r="L67" s="1423"/>
      <c r="M67" s="1423"/>
      <c r="N67" s="1423"/>
      <c r="O67" s="1423"/>
      <c r="P67" s="1423"/>
      <c r="Q67" s="1423"/>
      <c r="R67" s="1423"/>
      <c r="S67" s="1423"/>
      <c r="T67" s="1423"/>
      <c r="U67" s="1423"/>
      <c r="V67" s="1423"/>
      <c r="W67" s="1423"/>
      <c r="X67" s="1423"/>
      <c r="Y67" s="1423"/>
      <c r="Z67" s="1423"/>
    </row>
    <row r="68" spans="1:26" ht="18.5">
      <c r="A68" s="1423"/>
      <c r="B68" s="1423"/>
      <c r="C68" s="1423"/>
      <c r="D68" s="1423"/>
      <c r="E68" s="1423"/>
      <c r="F68" s="1423"/>
      <c r="G68" s="1423"/>
      <c r="H68" s="1423"/>
      <c r="I68" s="1423"/>
      <c r="J68" s="1423"/>
      <c r="K68" s="1423"/>
      <c r="L68" s="1423"/>
      <c r="M68" s="1423"/>
      <c r="N68" s="1423"/>
      <c r="O68" s="1423"/>
      <c r="P68" s="1423"/>
      <c r="Q68" s="1423"/>
      <c r="R68" s="1423"/>
      <c r="S68" s="1423"/>
      <c r="T68" s="1423"/>
      <c r="U68" s="1423"/>
      <c r="V68" s="1423"/>
      <c r="W68" s="1423"/>
      <c r="X68" s="1423"/>
      <c r="Y68" s="1423"/>
      <c r="Z68" s="1423"/>
    </row>
    <row r="69" spans="1:26" ht="18.5">
      <c r="A69" s="1423"/>
      <c r="B69" s="1423"/>
      <c r="C69" s="1423"/>
      <c r="D69" s="1423"/>
      <c r="E69" s="1423"/>
      <c r="F69" s="1423"/>
      <c r="G69" s="1423"/>
      <c r="H69" s="1423"/>
      <c r="I69" s="1423"/>
      <c r="J69" s="1423"/>
      <c r="K69" s="1423"/>
      <c r="L69" s="1423"/>
      <c r="M69" s="1423"/>
      <c r="N69" s="1423"/>
      <c r="O69" s="1423"/>
      <c r="P69" s="1423"/>
      <c r="Q69" s="1423"/>
      <c r="R69" s="1423"/>
      <c r="S69" s="1423"/>
      <c r="T69" s="1423"/>
      <c r="U69" s="1423"/>
      <c r="V69" s="1423"/>
      <c r="W69" s="1423"/>
      <c r="X69" s="1423"/>
      <c r="Y69" s="1423"/>
      <c r="Z69" s="1423"/>
    </row>
    <row r="70" spans="1:26" ht="18.5">
      <c r="A70" s="1423"/>
      <c r="B70" s="1423"/>
      <c r="C70" s="1423"/>
      <c r="D70" s="1423"/>
      <c r="E70" s="1423"/>
      <c r="F70" s="1423"/>
      <c r="G70" s="1423"/>
      <c r="H70" s="1423"/>
      <c r="I70" s="1423"/>
      <c r="J70" s="1423"/>
      <c r="K70" s="1423"/>
      <c r="L70" s="1423"/>
      <c r="M70" s="1423"/>
      <c r="N70" s="1423"/>
      <c r="O70" s="1423"/>
      <c r="P70" s="1423"/>
      <c r="Q70" s="1423"/>
      <c r="R70" s="1423"/>
      <c r="S70" s="1423"/>
      <c r="T70" s="1423"/>
      <c r="U70" s="1423"/>
      <c r="V70" s="1423"/>
      <c r="W70" s="1423"/>
      <c r="X70" s="1423"/>
      <c r="Y70" s="1423"/>
      <c r="Z70" s="1423"/>
    </row>
    <row r="71" spans="1:26" ht="18.5">
      <c r="A71" s="1423"/>
      <c r="B71" s="1423"/>
      <c r="C71" s="1423"/>
      <c r="D71" s="1423"/>
      <c r="E71" s="1423"/>
      <c r="F71" s="1423"/>
      <c r="G71" s="1423"/>
      <c r="H71" s="1423"/>
      <c r="I71" s="1423"/>
      <c r="J71" s="1423"/>
      <c r="K71" s="1423"/>
      <c r="L71" s="1423"/>
      <c r="M71" s="1423"/>
      <c r="N71" s="1423"/>
      <c r="O71" s="1423"/>
      <c r="P71" s="1423"/>
      <c r="Q71" s="1423"/>
      <c r="R71" s="1423"/>
      <c r="S71" s="1423"/>
      <c r="T71" s="1423"/>
      <c r="U71" s="1423"/>
      <c r="V71" s="1423"/>
      <c r="W71" s="1423"/>
      <c r="X71" s="1423"/>
      <c r="Y71" s="1423"/>
      <c r="Z71" s="1423"/>
    </row>
    <row r="72" spans="1:26" ht="18.5">
      <c r="A72" s="1423"/>
      <c r="B72" s="1423"/>
      <c r="C72" s="1423"/>
      <c r="D72" s="1423"/>
      <c r="E72" s="1423"/>
      <c r="F72" s="1423"/>
      <c r="G72" s="1423"/>
      <c r="H72" s="1423"/>
      <c r="I72" s="1423"/>
      <c r="J72" s="1423"/>
      <c r="K72" s="1423"/>
      <c r="L72" s="1423"/>
      <c r="M72" s="1423"/>
      <c r="N72" s="1423"/>
      <c r="O72" s="1423"/>
      <c r="P72" s="1423"/>
      <c r="Q72" s="1423"/>
      <c r="R72" s="1423"/>
      <c r="S72" s="1423"/>
      <c r="T72" s="1423"/>
      <c r="U72" s="1423"/>
      <c r="V72" s="1423"/>
      <c r="W72" s="1423"/>
      <c r="X72" s="1423"/>
      <c r="Y72" s="1423"/>
      <c r="Z72" s="1423"/>
    </row>
    <row r="73" spans="1:26" ht="18.5">
      <c r="A73" s="1423"/>
      <c r="B73" s="1423"/>
      <c r="C73" s="1423"/>
      <c r="D73" s="1423"/>
      <c r="E73" s="1423"/>
      <c r="F73" s="1423"/>
      <c r="G73" s="1423"/>
      <c r="H73" s="1423"/>
      <c r="I73" s="1423"/>
      <c r="J73" s="1423"/>
      <c r="K73" s="1423"/>
      <c r="L73" s="1423"/>
      <c r="M73" s="1423"/>
      <c r="N73" s="1423"/>
      <c r="O73" s="1423"/>
      <c r="P73" s="1423"/>
      <c r="Q73" s="1423"/>
      <c r="R73" s="1423"/>
      <c r="S73" s="1423"/>
      <c r="T73" s="1423"/>
      <c r="U73" s="1423"/>
      <c r="V73" s="1423"/>
      <c r="W73" s="1423"/>
      <c r="X73" s="1423"/>
      <c r="Y73" s="1423"/>
      <c r="Z73" s="1423"/>
    </row>
    <row r="74" spans="1:26" ht="18.5">
      <c r="A74" s="1423"/>
      <c r="B74" s="1423"/>
      <c r="C74" s="1423"/>
      <c r="D74" s="1423"/>
      <c r="E74" s="1423"/>
      <c r="F74" s="1423"/>
      <c r="G74" s="1423"/>
      <c r="H74" s="1423"/>
      <c r="I74" s="1423"/>
      <c r="J74" s="1423"/>
      <c r="K74" s="1423"/>
      <c r="L74" s="1423"/>
      <c r="M74" s="1423"/>
      <c r="N74" s="1423"/>
      <c r="O74" s="1423"/>
      <c r="P74" s="1423"/>
      <c r="Q74" s="1423"/>
      <c r="R74" s="1423"/>
      <c r="S74" s="1423"/>
      <c r="T74" s="1423"/>
      <c r="U74" s="1423"/>
      <c r="V74" s="1423"/>
      <c r="W74" s="1423"/>
      <c r="X74" s="1423"/>
      <c r="Y74" s="1423"/>
      <c r="Z74" s="1423"/>
    </row>
    <row r="75" spans="1:26" ht="18.5">
      <c r="A75" s="1423"/>
      <c r="B75" s="1423"/>
      <c r="C75" s="1423"/>
      <c r="D75" s="1423"/>
      <c r="E75" s="1423"/>
      <c r="F75" s="1423"/>
      <c r="G75" s="1423"/>
      <c r="H75" s="1423"/>
      <c r="I75" s="1423"/>
      <c r="J75" s="1423"/>
      <c r="K75" s="1423"/>
      <c r="L75" s="1423"/>
      <c r="M75" s="1423"/>
      <c r="N75" s="1423"/>
      <c r="O75" s="1423"/>
      <c r="P75" s="1423"/>
      <c r="Q75" s="1423"/>
      <c r="R75" s="1423"/>
      <c r="S75" s="1423"/>
      <c r="T75" s="1423"/>
      <c r="U75" s="1423"/>
      <c r="V75" s="1423"/>
      <c r="W75" s="1423"/>
      <c r="X75" s="1423"/>
      <c r="Y75" s="1423"/>
      <c r="Z75" s="1423"/>
    </row>
    <row r="76" spans="1:26" ht="18.5">
      <c r="A76" s="1423"/>
      <c r="B76" s="1423"/>
      <c r="C76" s="1423"/>
      <c r="D76" s="1423"/>
      <c r="E76" s="1423"/>
      <c r="F76" s="1423"/>
      <c r="G76" s="1423"/>
      <c r="H76" s="1423"/>
      <c r="I76" s="1423"/>
      <c r="J76" s="1423"/>
      <c r="K76" s="1423"/>
      <c r="L76" s="1423"/>
      <c r="M76" s="1423"/>
      <c r="N76" s="1423"/>
      <c r="O76" s="1423"/>
      <c r="P76" s="1423"/>
      <c r="Q76" s="1423"/>
      <c r="R76" s="1423"/>
      <c r="S76" s="1423"/>
      <c r="T76" s="1423"/>
      <c r="U76" s="1423"/>
      <c r="V76" s="1423"/>
      <c r="W76" s="1423"/>
      <c r="X76" s="1423"/>
      <c r="Y76" s="1423"/>
      <c r="Z76" s="1423"/>
    </row>
    <row r="77" spans="1:26" ht="18.5">
      <c r="A77" s="1423"/>
      <c r="B77" s="1423"/>
      <c r="C77" s="1423"/>
      <c r="D77" s="1423"/>
      <c r="E77" s="1423"/>
      <c r="F77" s="1423"/>
      <c r="G77" s="1423"/>
      <c r="H77" s="1423"/>
      <c r="I77" s="1423"/>
      <c r="J77" s="1423"/>
      <c r="K77" s="1423"/>
      <c r="L77" s="1423"/>
      <c r="M77" s="1423"/>
      <c r="N77" s="1423"/>
      <c r="O77" s="1423"/>
      <c r="P77" s="1423"/>
      <c r="Q77" s="1423"/>
      <c r="R77" s="1423"/>
      <c r="S77" s="1423"/>
      <c r="T77" s="1423"/>
      <c r="U77" s="1423"/>
      <c r="V77" s="1423"/>
      <c r="W77" s="1423"/>
      <c r="X77" s="1423"/>
      <c r="Y77" s="1423"/>
      <c r="Z77" s="1423"/>
    </row>
    <row r="78" spans="1:26" ht="18.5">
      <c r="A78" s="1423"/>
      <c r="B78" s="1423"/>
      <c r="C78" s="1423"/>
      <c r="D78" s="1423"/>
      <c r="E78" s="1423"/>
      <c r="F78" s="1423"/>
      <c r="G78" s="1423"/>
      <c r="H78" s="1423"/>
      <c r="I78" s="1423"/>
      <c r="J78" s="1423"/>
      <c r="K78" s="1423"/>
      <c r="L78" s="1423"/>
      <c r="M78" s="1423"/>
      <c r="N78" s="1423"/>
      <c r="O78" s="1423"/>
      <c r="P78" s="1423"/>
      <c r="Q78" s="1423"/>
      <c r="R78" s="1423"/>
      <c r="S78" s="1423"/>
      <c r="T78" s="1423"/>
      <c r="U78" s="1423"/>
      <c r="V78" s="1423"/>
      <c r="W78" s="1423"/>
      <c r="X78" s="1423"/>
      <c r="Y78" s="1423"/>
      <c r="Z78" s="1423"/>
    </row>
    <row r="79" spans="1:26" ht="18.5">
      <c r="A79" s="1423"/>
      <c r="B79" s="1423"/>
      <c r="C79" s="1423"/>
      <c r="D79" s="1423"/>
      <c r="E79" s="1423"/>
      <c r="F79" s="1423"/>
      <c r="G79" s="1423"/>
      <c r="H79" s="1423"/>
      <c r="I79" s="1423"/>
      <c r="J79" s="1423"/>
      <c r="K79" s="1423"/>
      <c r="L79" s="1423"/>
      <c r="M79" s="1423"/>
      <c r="N79" s="1423"/>
      <c r="O79" s="1423"/>
      <c r="P79" s="1423"/>
      <c r="Q79" s="1423"/>
      <c r="R79" s="1423"/>
      <c r="S79" s="1423"/>
      <c r="T79" s="1423"/>
      <c r="U79" s="1423"/>
      <c r="V79" s="1423"/>
      <c r="W79" s="1423"/>
      <c r="X79" s="1423"/>
      <c r="Y79" s="1423"/>
      <c r="Z79" s="1423"/>
    </row>
    <row r="80" spans="1:26" ht="18.5">
      <c r="A80" s="1423"/>
      <c r="B80" s="1423"/>
      <c r="C80" s="1423"/>
      <c r="D80" s="1423"/>
      <c r="E80" s="1423"/>
      <c r="F80" s="1423"/>
      <c r="G80" s="1423"/>
      <c r="H80" s="1423"/>
      <c r="I80" s="1423"/>
      <c r="J80" s="1423"/>
      <c r="K80" s="1423"/>
      <c r="L80" s="1423"/>
      <c r="M80" s="1423"/>
      <c r="N80" s="1423"/>
      <c r="O80" s="1423"/>
      <c r="P80" s="1423"/>
      <c r="Q80" s="1423"/>
      <c r="R80" s="1423"/>
      <c r="S80" s="1423"/>
      <c r="T80" s="1423"/>
      <c r="U80" s="1423"/>
      <c r="V80" s="1423"/>
      <c r="W80" s="1423"/>
      <c r="X80" s="1423"/>
      <c r="Y80" s="1423"/>
      <c r="Z80" s="1423"/>
    </row>
    <row r="81" spans="1:26" ht="18.5">
      <c r="A81" s="1423"/>
      <c r="B81" s="1423"/>
      <c r="C81" s="1423"/>
      <c r="D81" s="1423"/>
      <c r="E81" s="1423"/>
      <c r="F81" s="1423"/>
      <c r="G81" s="1423"/>
      <c r="H81" s="1423"/>
      <c r="I81" s="1423"/>
      <c r="J81" s="1423"/>
      <c r="K81" s="1423"/>
      <c r="L81" s="1423"/>
      <c r="M81" s="1423"/>
      <c r="N81" s="1423"/>
      <c r="O81" s="1423"/>
      <c r="P81" s="1423"/>
      <c r="Q81" s="1423"/>
      <c r="R81" s="1423"/>
      <c r="S81" s="1423"/>
      <c r="T81" s="1423"/>
      <c r="U81" s="1423"/>
      <c r="V81" s="1423"/>
      <c r="W81" s="1423"/>
      <c r="X81" s="1423"/>
      <c r="Y81" s="1423"/>
      <c r="Z81" s="1423"/>
    </row>
    <row r="82" spans="1:26" ht="18.5">
      <c r="A82" s="1423"/>
      <c r="B82" s="1423"/>
      <c r="C82" s="1423"/>
      <c r="D82" s="1423"/>
      <c r="E82" s="1423"/>
      <c r="F82" s="1423"/>
      <c r="G82" s="1423"/>
      <c r="H82" s="1423"/>
      <c r="I82" s="1423"/>
      <c r="J82" s="1423"/>
      <c r="K82" s="1423"/>
      <c r="L82" s="1423"/>
      <c r="M82" s="1423"/>
      <c r="N82" s="1423"/>
      <c r="O82" s="1423"/>
      <c r="P82" s="1423"/>
      <c r="Q82" s="1423"/>
      <c r="R82" s="1423"/>
      <c r="S82" s="1423"/>
      <c r="T82" s="1423"/>
      <c r="U82" s="1423"/>
      <c r="V82" s="1423"/>
      <c r="W82" s="1423"/>
      <c r="X82" s="1423"/>
      <c r="Y82" s="1423"/>
      <c r="Z82" s="1423"/>
    </row>
    <row r="83" spans="1:26" ht="18.5">
      <c r="A83" s="1423"/>
      <c r="B83" s="1423"/>
      <c r="C83" s="1423"/>
      <c r="D83" s="1423"/>
      <c r="E83" s="1423"/>
      <c r="F83" s="1423"/>
      <c r="G83" s="1423"/>
      <c r="H83" s="1423"/>
      <c r="I83" s="1423"/>
      <c r="J83" s="1423"/>
      <c r="K83" s="1423"/>
      <c r="L83" s="1423"/>
      <c r="M83" s="1423"/>
      <c r="N83" s="1423"/>
      <c r="O83" s="1423"/>
      <c r="P83" s="1423"/>
      <c r="Q83" s="1423"/>
      <c r="R83" s="1423"/>
      <c r="S83" s="1423"/>
      <c r="T83" s="1423"/>
      <c r="U83" s="1423"/>
      <c r="V83" s="1423"/>
      <c r="W83" s="1423"/>
      <c r="X83" s="1423"/>
      <c r="Y83" s="1423"/>
      <c r="Z83" s="1423"/>
    </row>
    <row r="84" spans="1:26" ht="18.5">
      <c r="A84" s="1423"/>
      <c r="B84" s="1423"/>
      <c r="C84" s="1423"/>
      <c r="D84" s="1423"/>
      <c r="E84" s="1423"/>
      <c r="F84" s="1423"/>
      <c r="G84" s="1423"/>
      <c r="H84" s="1423"/>
      <c r="I84" s="1423"/>
      <c r="J84" s="1423"/>
      <c r="K84" s="1423"/>
      <c r="L84" s="1423"/>
      <c r="M84" s="1423"/>
      <c r="N84" s="1423"/>
      <c r="O84" s="1423"/>
      <c r="P84" s="1423"/>
      <c r="Q84" s="1423"/>
      <c r="R84" s="1423"/>
      <c r="S84" s="1423"/>
      <c r="T84" s="1423"/>
      <c r="U84" s="1423"/>
      <c r="V84" s="1423"/>
      <c r="W84" s="1423"/>
      <c r="X84" s="1423"/>
      <c r="Y84" s="1423"/>
      <c r="Z84" s="1423"/>
    </row>
    <row r="85" spans="1:26" ht="18.5">
      <c r="A85" s="1423"/>
      <c r="B85" s="1423"/>
      <c r="C85" s="1423"/>
      <c r="D85" s="1423"/>
      <c r="E85" s="1423"/>
      <c r="F85" s="1423"/>
      <c r="G85" s="1423"/>
      <c r="H85" s="1423"/>
      <c r="I85" s="1423"/>
      <c r="J85" s="1423"/>
      <c r="K85" s="1423"/>
      <c r="L85" s="1423"/>
      <c r="M85" s="1423"/>
      <c r="N85" s="1423"/>
      <c r="O85" s="1423"/>
      <c r="P85" s="1423"/>
      <c r="Q85" s="1423"/>
      <c r="R85" s="1423"/>
      <c r="S85" s="1423"/>
      <c r="T85" s="1423"/>
      <c r="U85" s="1423"/>
      <c r="V85" s="1423"/>
      <c r="W85" s="1423"/>
      <c r="X85" s="1423"/>
      <c r="Y85" s="1423"/>
      <c r="Z85" s="1423"/>
    </row>
    <row r="86" spans="1:26" ht="18.5">
      <c r="A86" s="1423"/>
      <c r="B86" s="1423"/>
      <c r="C86" s="1423"/>
      <c r="D86" s="1423"/>
      <c r="E86" s="1423"/>
      <c r="F86" s="1423"/>
      <c r="G86" s="1423"/>
      <c r="H86" s="1423"/>
      <c r="I86" s="1423"/>
      <c r="J86" s="1423"/>
      <c r="K86" s="1423"/>
      <c r="L86" s="1423"/>
      <c r="M86" s="1423"/>
      <c r="N86" s="1423"/>
      <c r="O86" s="1423"/>
      <c r="P86" s="1423"/>
      <c r="Q86" s="1423"/>
      <c r="R86" s="1423"/>
      <c r="S86" s="1423"/>
      <c r="T86" s="1423"/>
      <c r="U86" s="1423"/>
      <c r="V86" s="1423"/>
      <c r="W86" s="1423"/>
      <c r="X86" s="1423"/>
      <c r="Y86" s="1423"/>
      <c r="Z86" s="1423"/>
    </row>
    <row r="87" spans="1:26" ht="18.5">
      <c r="A87" s="1423"/>
      <c r="B87" s="1423"/>
      <c r="C87" s="1423"/>
      <c r="D87" s="1423"/>
      <c r="E87" s="1423"/>
      <c r="F87" s="1423"/>
      <c r="G87" s="1423"/>
      <c r="H87" s="1423"/>
      <c r="I87" s="1423"/>
      <c r="J87" s="1423"/>
      <c r="K87" s="1423"/>
      <c r="L87" s="1423"/>
      <c r="M87" s="1423"/>
      <c r="N87" s="1423"/>
      <c r="O87" s="1423"/>
      <c r="P87" s="1423"/>
      <c r="Q87" s="1423"/>
      <c r="R87" s="1423"/>
      <c r="S87" s="1423"/>
      <c r="T87" s="1423"/>
      <c r="U87" s="1423"/>
      <c r="V87" s="1423"/>
      <c r="W87" s="1423"/>
      <c r="X87" s="1423"/>
      <c r="Y87" s="1423"/>
      <c r="Z87" s="1423"/>
    </row>
    <row r="88" spans="1:26" ht="18.5">
      <c r="A88" s="1423"/>
      <c r="B88" s="1423"/>
      <c r="C88" s="1423"/>
      <c r="D88" s="1423"/>
      <c r="E88" s="1423"/>
      <c r="F88" s="1423"/>
      <c r="G88" s="1423"/>
      <c r="H88" s="1423"/>
      <c r="I88" s="1423"/>
      <c r="J88" s="1423"/>
      <c r="K88" s="1423"/>
      <c r="L88" s="1423"/>
      <c r="M88" s="1423"/>
      <c r="N88" s="1423"/>
      <c r="O88" s="1423"/>
      <c r="P88" s="1423"/>
      <c r="Q88" s="1423"/>
      <c r="R88" s="1423"/>
      <c r="S88" s="1423"/>
      <c r="T88" s="1423"/>
      <c r="U88" s="1423"/>
      <c r="V88" s="1423"/>
      <c r="W88" s="1423"/>
      <c r="X88" s="1423"/>
      <c r="Y88" s="1423"/>
      <c r="Z88" s="1423"/>
    </row>
    <row r="89" spans="1:26" ht="18.5">
      <c r="A89" s="1423"/>
      <c r="B89" s="1423"/>
      <c r="C89" s="1423"/>
      <c r="D89" s="1423"/>
      <c r="E89" s="1423"/>
      <c r="F89" s="1423"/>
      <c r="G89" s="1423"/>
      <c r="H89" s="1423"/>
      <c r="I89" s="1423"/>
      <c r="J89" s="1423"/>
      <c r="K89" s="1423"/>
      <c r="L89" s="1423"/>
      <c r="M89" s="1423"/>
      <c r="N89" s="1423"/>
      <c r="O89" s="1423"/>
      <c r="P89" s="1423"/>
      <c r="Q89" s="1423"/>
      <c r="R89" s="1423"/>
      <c r="S89" s="1423"/>
      <c r="T89" s="1423"/>
      <c r="U89" s="1423"/>
      <c r="V89" s="1423"/>
      <c r="W89" s="1423"/>
      <c r="X89" s="1423"/>
      <c r="Y89" s="1423"/>
      <c r="Z89" s="1423"/>
    </row>
    <row r="90" spans="1:26" ht="18.5">
      <c r="A90" s="1423"/>
      <c r="B90" s="1423"/>
      <c r="C90" s="1423"/>
      <c r="D90" s="1423"/>
      <c r="E90" s="1423"/>
      <c r="F90" s="1423"/>
      <c r="G90" s="1423"/>
      <c r="H90" s="1423"/>
      <c r="I90" s="1423"/>
      <c r="J90" s="1423"/>
      <c r="K90" s="1423"/>
      <c r="L90" s="1423"/>
      <c r="M90" s="1423"/>
      <c r="N90" s="1423"/>
      <c r="O90" s="1423"/>
      <c r="P90" s="1423"/>
      <c r="Q90" s="1423"/>
      <c r="R90" s="1423"/>
      <c r="S90" s="1423"/>
      <c r="T90" s="1423"/>
      <c r="U90" s="1423"/>
      <c r="V90" s="1423"/>
      <c r="W90" s="1423"/>
      <c r="X90" s="1423"/>
      <c r="Y90" s="1423"/>
      <c r="Z90" s="1423"/>
    </row>
    <row r="91" spans="1:26" ht="18.5">
      <c r="A91" s="1423"/>
      <c r="B91" s="1423"/>
      <c r="C91" s="1423"/>
      <c r="D91" s="1423"/>
      <c r="E91" s="1423"/>
      <c r="F91" s="1423"/>
      <c r="G91" s="1423"/>
      <c r="H91" s="1423"/>
      <c r="I91" s="1423"/>
      <c r="J91" s="1423"/>
      <c r="K91" s="1423"/>
      <c r="L91" s="1423"/>
      <c r="M91" s="1423"/>
      <c r="N91" s="1423"/>
      <c r="O91" s="1423"/>
      <c r="P91" s="1423"/>
      <c r="Q91" s="1423"/>
      <c r="R91" s="1423"/>
      <c r="S91" s="1423"/>
      <c r="T91" s="1423"/>
      <c r="U91" s="1423"/>
      <c r="V91" s="1423"/>
      <c r="W91" s="1423"/>
      <c r="X91" s="1423"/>
      <c r="Y91" s="1423"/>
      <c r="Z91" s="1423"/>
    </row>
    <row r="92" spans="1:26" ht="18.5">
      <c r="A92" s="1423"/>
      <c r="B92" s="1423"/>
      <c r="C92" s="1423"/>
      <c r="D92" s="1423"/>
      <c r="E92" s="1423"/>
      <c r="F92" s="1423"/>
      <c r="G92" s="1423"/>
      <c r="H92" s="1423"/>
      <c r="I92" s="1423"/>
      <c r="J92" s="1423"/>
      <c r="K92" s="1423"/>
      <c r="L92" s="1423"/>
      <c r="M92" s="1423"/>
      <c r="N92" s="1423"/>
      <c r="O92" s="1423"/>
      <c r="P92" s="1423"/>
      <c r="Q92" s="1423"/>
      <c r="R92" s="1423"/>
      <c r="S92" s="1423"/>
      <c r="T92" s="1423"/>
      <c r="U92" s="1423"/>
      <c r="V92" s="1423"/>
      <c r="W92" s="1423"/>
      <c r="X92" s="1423"/>
      <c r="Y92" s="1423"/>
      <c r="Z92" s="1423"/>
    </row>
    <row r="93" spans="1:26" ht="18.5">
      <c r="A93" s="1423"/>
      <c r="B93" s="1423"/>
      <c r="C93" s="1423"/>
      <c r="D93" s="1423"/>
      <c r="E93" s="1423"/>
      <c r="F93" s="1423"/>
      <c r="G93" s="1423"/>
      <c r="H93" s="1423"/>
      <c r="I93" s="1423"/>
      <c r="J93" s="1423"/>
      <c r="K93" s="1423"/>
      <c r="L93" s="1423"/>
      <c r="M93" s="1423"/>
      <c r="N93" s="1423"/>
      <c r="O93" s="1423"/>
      <c r="P93" s="1423"/>
      <c r="Q93" s="1423"/>
      <c r="R93" s="1423"/>
      <c r="S93" s="1423"/>
      <c r="T93" s="1423"/>
      <c r="U93" s="1423"/>
      <c r="V93" s="1423"/>
      <c r="W93" s="1423"/>
      <c r="X93" s="1423"/>
      <c r="Y93" s="1423"/>
      <c r="Z93" s="1423"/>
    </row>
    <row r="94" spans="1:26" ht="18.5">
      <c r="A94" s="1423"/>
      <c r="B94" s="1423"/>
      <c r="C94" s="1423"/>
      <c r="D94" s="1423"/>
      <c r="E94" s="1423"/>
      <c r="F94" s="1423"/>
      <c r="G94" s="1423"/>
      <c r="H94" s="1423"/>
      <c r="I94" s="1423"/>
      <c r="J94" s="1423"/>
      <c r="K94" s="1423"/>
      <c r="L94" s="1423"/>
      <c r="M94" s="1423"/>
      <c r="N94" s="1423"/>
      <c r="O94" s="1423"/>
      <c r="P94" s="1423"/>
      <c r="Q94" s="1423"/>
      <c r="R94" s="1423"/>
      <c r="S94" s="1423"/>
      <c r="T94" s="1423"/>
      <c r="U94" s="1423"/>
      <c r="V94" s="1423"/>
      <c r="W94" s="1423"/>
      <c r="X94" s="1423"/>
      <c r="Y94" s="1423"/>
      <c r="Z94" s="1423"/>
    </row>
    <row r="95" spans="1:26" ht="18.5">
      <c r="A95" s="1423"/>
      <c r="B95" s="1423"/>
      <c r="C95" s="1423"/>
      <c r="D95" s="1423"/>
      <c r="E95" s="1423"/>
      <c r="F95" s="1423"/>
      <c r="G95" s="1423"/>
      <c r="H95" s="1423"/>
      <c r="I95" s="1423"/>
      <c r="J95" s="1423"/>
      <c r="K95" s="1423"/>
      <c r="L95" s="1423"/>
      <c r="M95" s="1423"/>
      <c r="N95" s="1423"/>
      <c r="O95" s="1423"/>
      <c r="P95" s="1423"/>
      <c r="Q95" s="1423"/>
      <c r="R95" s="1423"/>
      <c r="S95" s="1423"/>
      <c r="T95" s="1423"/>
      <c r="U95" s="1423"/>
      <c r="V95" s="1423"/>
      <c r="W95" s="1423"/>
      <c r="X95" s="1423"/>
      <c r="Y95" s="1423"/>
      <c r="Z95" s="1423"/>
    </row>
    <row r="96" spans="1:26" ht="18.5">
      <c r="A96" s="1423"/>
      <c r="B96" s="1423"/>
      <c r="C96" s="1423"/>
      <c r="D96" s="1423"/>
      <c r="E96" s="1423"/>
      <c r="F96" s="1423"/>
      <c r="G96" s="1423"/>
      <c r="H96" s="1423"/>
      <c r="I96" s="1423"/>
      <c r="J96" s="1423"/>
      <c r="K96" s="1423"/>
      <c r="L96" s="1423"/>
      <c r="M96" s="1423"/>
      <c r="N96" s="1423"/>
      <c r="O96" s="1423"/>
      <c r="P96" s="1423"/>
      <c r="Q96" s="1423"/>
      <c r="R96" s="1423"/>
      <c r="S96" s="1423"/>
      <c r="T96" s="1423"/>
      <c r="U96" s="1423"/>
      <c r="V96" s="1423"/>
      <c r="W96" s="1423"/>
      <c r="X96" s="1423"/>
      <c r="Y96" s="1423"/>
      <c r="Z96" s="1423"/>
    </row>
    <row r="97" spans="1:26" ht="18.5">
      <c r="A97" s="1423"/>
      <c r="B97" s="1423"/>
      <c r="C97" s="1423"/>
      <c r="D97" s="1423"/>
      <c r="E97" s="1423"/>
      <c r="F97" s="1423"/>
      <c r="G97" s="1423"/>
      <c r="H97" s="1423"/>
      <c r="I97" s="1423"/>
      <c r="J97" s="1423"/>
      <c r="K97" s="1423"/>
      <c r="L97" s="1423"/>
      <c r="M97" s="1423"/>
      <c r="N97" s="1423"/>
      <c r="O97" s="1423"/>
      <c r="P97" s="1423"/>
      <c r="Q97" s="1423"/>
      <c r="R97" s="1423"/>
      <c r="S97" s="1423"/>
      <c r="T97" s="1423"/>
      <c r="U97" s="1423"/>
      <c r="V97" s="1423"/>
      <c r="W97" s="1423"/>
      <c r="X97" s="1423"/>
      <c r="Y97" s="1423"/>
      <c r="Z97" s="1423"/>
    </row>
    <row r="98" spans="1:26" ht="18.5">
      <c r="A98" s="1423"/>
      <c r="B98" s="1423"/>
      <c r="C98" s="1423"/>
      <c r="D98" s="1423"/>
      <c r="E98" s="1423"/>
      <c r="F98" s="1423"/>
      <c r="G98" s="1423"/>
      <c r="H98" s="1423"/>
      <c r="I98" s="1423"/>
      <c r="J98" s="1423"/>
      <c r="K98" s="1423"/>
      <c r="L98" s="1423"/>
      <c r="M98" s="1423"/>
      <c r="N98" s="1423"/>
      <c r="O98" s="1423"/>
      <c r="P98" s="1423"/>
      <c r="Q98" s="1423"/>
      <c r="R98" s="1423"/>
      <c r="S98" s="1423"/>
      <c r="T98" s="1423"/>
      <c r="U98" s="1423"/>
      <c r="V98" s="1423"/>
      <c r="W98" s="1423"/>
      <c r="X98" s="1423"/>
      <c r="Y98" s="1423"/>
      <c r="Z98" s="1423"/>
    </row>
    <row r="99" spans="1:26" ht="18.5">
      <c r="A99" s="1423"/>
      <c r="B99" s="1423"/>
      <c r="C99" s="1423"/>
      <c r="D99" s="1423"/>
      <c r="E99" s="1423"/>
      <c r="F99" s="1423"/>
      <c r="G99" s="1423"/>
      <c r="H99" s="1423"/>
      <c r="I99" s="1423"/>
      <c r="J99" s="1423"/>
      <c r="K99" s="1423"/>
      <c r="L99" s="1423"/>
      <c r="M99" s="1423"/>
      <c r="N99" s="1423"/>
      <c r="O99" s="1423"/>
      <c r="P99" s="1423"/>
      <c r="Q99" s="1423"/>
      <c r="R99" s="1423"/>
      <c r="S99" s="1423"/>
      <c r="T99" s="1423"/>
      <c r="U99" s="1423"/>
      <c r="V99" s="1423"/>
      <c r="W99" s="1423"/>
      <c r="X99" s="1423"/>
      <c r="Y99" s="1423"/>
      <c r="Z99" s="1423"/>
    </row>
    <row r="100" spans="1:26" ht="18.5">
      <c r="A100" s="1423"/>
      <c r="B100" s="1423"/>
      <c r="C100" s="1423"/>
      <c r="D100" s="1423"/>
      <c r="E100" s="1423"/>
      <c r="F100" s="1423"/>
      <c r="G100" s="1423"/>
      <c r="H100" s="1423"/>
      <c r="I100" s="1423"/>
      <c r="J100" s="1423"/>
      <c r="K100" s="1423"/>
      <c r="L100" s="1423"/>
      <c r="M100" s="1423"/>
      <c r="N100" s="1423"/>
      <c r="O100" s="1423"/>
      <c r="P100" s="1423"/>
      <c r="Q100" s="1423"/>
      <c r="R100" s="1423"/>
      <c r="S100" s="1423"/>
      <c r="T100" s="1423"/>
      <c r="U100" s="1423"/>
      <c r="V100" s="1423"/>
      <c r="W100" s="1423"/>
      <c r="X100" s="1423"/>
      <c r="Y100" s="1423"/>
      <c r="Z100" s="1423"/>
    </row>
    <row r="101" spans="1:26" ht="18.5">
      <c r="A101" s="1423"/>
      <c r="B101" s="1423"/>
      <c r="C101" s="1423"/>
      <c r="D101" s="1423"/>
      <c r="E101" s="1423"/>
      <c r="F101" s="1423"/>
      <c r="G101" s="1423"/>
      <c r="H101" s="1423"/>
      <c r="I101" s="1423"/>
      <c r="J101" s="1423"/>
      <c r="K101" s="1423"/>
      <c r="L101" s="1423"/>
      <c r="M101" s="1423"/>
      <c r="N101" s="1423"/>
      <c r="O101" s="1423"/>
      <c r="P101" s="1423"/>
      <c r="Q101" s="1423"/>
      <c r="R101" s="1423"/>
      <c r="S101" s="1423"/>
      <c r="T101" s="1423"/>
      <c r="U101" s="1423"/>
      <c r="V101" s="1423"/>
      <c r="W101" s="1423"/>
      <c r="X101" s="1423"/>
      <c r="Y101" s="1423"/>
      <c r="Z101" s="1423"/>
    </row>
    <row r="102" spans="1:26" ht="18.5">
      <c r="A102" s="1423"/>
      <c r="B102" s="1423"/>
      <c r="C102" s="1423"/>
      <c r="D102" s="1423"/>
      <c r="E102" s="1423"/>
      <c r="F102" s="1423"/>
      <c r="G102" s="1423"/>
      <c r="H102" s="1423"/>
      <c r="I102" s="1423"/>
      <c r="J102" s="1423"/>
      <c r="K102" s="1423"/>
      <c r="L102" s="1423"/>
      <c r="M102" s="1423"/>
      <c r="N102" s="1423"/>
      <c r="O102" s="1423"/>
      <c r="P102" s="1423"/>
      <c r="Q102" s="1423"/>
      <c r="R102" s="1423"/>
      <c r="S102" s="1423"/>
      <c r="T102" s="1423"/>
      <c r="U102" s="1423"/>
      <c r="V102" s="1423"/>
      <c r="W102" s="1423"/>
      <c r="X102" s="1423"/>
      <c r="Y102" s="1423"/>
      <c r="Z102" s="1423"/>
    </row>
    <row r="103" spans="1:26" ht="18.5">
      <c r="A103" s="1423"/>
      <c r="B103" s="1423"/>
      <c r="C103" s="1423"/>
      <c r="D103" s="1423"/>
      <c r="E103" s="1423"/>
      <c r="F103" s="1423"/>
      <c r="G103" s="1423"/>
      <c r="H103" s="1423"/>
      <c r="I103" s="1423"/>
      <c r="J103" s="1423"/>
      <c r="K103" s="1423"/>
      <c r="L103" s="1423"/>
      <c r="M103" s="1423"/>
      <c r="N103" s="1423"/>
      <c r="O103" s="1423"/>
      <c r="P103" s="1423"/>
      <c r="Q103" s="1423"/>
      <c r="R103" s="1423"/>
      <c r="S103" s="1423"/>
      <c r="T103" s="1423"/>
      <c r="U103" s="1423"/>
      <c r="V103" s="1423"/>
      <c r="W103" s="1423"/>
      <c r="X103" s="1423"/>
      <c r="Y103" s="1423"/>
      <c r="Z103" s="1423"/>
    </row>
    <row r="104" spans="1:26" ht="18.5">
      <c r="A104" s="1423"/>
      <c r="B104" s="1423"/>
      <c r="C104" s="1423"/>
      <c r="D104" s="1423"/>
      <c r="E104" s="1423"/>
      <c r="F104" s="1423"/>
      <c r="G104" s="1423"/>
      <c r="H104" s="1423"/>
      <c r="I104" s="1423"/>
      <c r="J104" s="1423"/>
      <c r="K104" s="1423"/>
      <c r="L104" s="1423"/>
      <c r="M104" s="1423"/>
      <c r="N104" s="1423"/>
      <c r="O104" s="1423"/>
      <c r="P104" s="1423"/>
      <c r="Q104" s="1423"/>
      <c r="R104" s="1423"/>
      <c r="S104" s="1423"/>
      <c r="T104" s="1423"/>
      <c r="U104" s="1423"/>
      <c r="V104" s="1423"/>
      <c r="W104" s="1423"/>
      <c r="X104" s="1423"/>
      <c r="Y104" s="1423"/>
      <c r="Z104" s="1423"/>
    </row>
    <row r="105" spans="1:26" ht="18.5">
      <c r="A105" s="1423"/>
      <c r="B105" s="1423"/>
      <c r="C105" s="1423"/>
      <c r="D105" s="1423"/>
      <c r="E105" s="1423"/>
      <c r="F105" s="1423"/>
      <c r="G105" s="1423"/>
      <c r="H105" s="1423"/>
      <c r="I105" s="1423"/>
      <c r="J105" s="1423"/>
      <c r="K105" s="1423"/>
      <c r="L105" s="1423"/>
      <c r="M105" s="1423"/>
      <c r="N105" s="1423"/>
      <c r="O105" s="1423"/>
      <c r="P105" s="1423"/>
      <c r="Q105" s="1423"/>
      <c r="R105" s="1423"/>
      <c r="S105" s="1423"/>
      <c r="T105" s="1423"/>
      <c r="U105" s="1423"/>
      <c r="V105" s="1423"/>
      <c r="W105" s="1423"/>
      <c r="X105" s="1423"/>
      <c r="Y105" s="1423"/>
      <c r="Z105" s="1423"/>
    </row>
    <row r="106" spans="1:26" ht="18.5">
      <c r="A106" s="1423"/>
      <c r="B106" s="1423"/>
      <c r="C106" s="1423"/>
      <c r="D106" s="1423"/>
      <c r="E106" s="1423"/>
      <c r="F106" s="1423"/>
      <c r="G106" s="1423"/>
      <c r="H106" s="1423"/>
      <c r="I106" s="1423"/>
      <c r="J106" s="1423"/>
      <c r="K106" s="1423"/>
      <c r="L106" s="1423"/>
      <c r="M106" s="1423"/>
      <c r="N106" s="1423"/>
      <c r="O106" s="1423"/>
      <c r="P106" s="1423"/>
      <c r="Q106" s="1423"/>
      <c r="R106" s="1423"/>
      <c r="S106" s="1423"/>
      <c r="T106" s="1423"/>
      <c r="U106" s="1423"/>
      <c r="V106" s="1423"/>
      <c r="W106" s="1423"/>
      <c r="X106" s="1423"/>
      <c r="Y106" s="1423"/>
      <c r="Z106" s="1423"/>
    </row>
    <row r="107" spans="1:26" ht="18.5">
      <c r="A107" s="1423"/>
      <c r="B107" s="1423"/>
      <c r="C107" s="1423"/>
      <c r="D107" s="1423"/>
      <c r="E107" s="1423"/>
      <c r="F107" s="1423"/>
      <c r="G107" s="1423"/>
      <c r="H107" s="1423"/>
      <c r="I107" s="1423"/>
      <c r="J107" s="1423"/>
      <c r="K107" s="1423"/>
      <c r="L107" s="1423"/>
      <c r="M107" s="1423"/>
      <c r="N107" s="1423"/>
      <c r="O107" s="1423"/>
      <c r="P107" s="1423"/>
      <c r="Q107" s="1423"/>
      <c r="R107" s="1423"/>
      <c r="S107" s="1423"/>
      <c r="T107" s="1423"/>
      <c r="U107" s="1423"/>
      <c r="V107" s="1423"/>
      <c r="W107" s="1423"/>
      <c r="X107" s="1423"/>
      <c r="Y107" s="1423"/>
      <c r="Z107" s="1423"/>
    </row>
    <row r="108" spans="1:26" ht="18.5">
      <c r="A108" s="1423"/>
      <c r="B108" s="1423"/>
      <c r="C108" s="1423"/>
      <c r="D108" s="1423"/>
      <c r="E108" s="1423"/>
      <c r="F108" s="1423"/>
      <c r="G108" s="1423"/>
      <c r="H108" s="1423"/>
      <c r="I108" s="1423"/>
      <c r="J108" s="1423"/>
      <c r="K108" s="1423"/>
      <c r="L108" s="1423"/>
      <c r="M108" s="1423"/>
      <c r="N108" s="1423"/>
      <c r="O108" s="1423"/>
      <c r="P108" s="1423"/>
      <c r="Q108" s="1423"/>
      <c r="R108" s="1423"/>
      <c r="S108" s="1423"/>
      <c r="T108" s="1423"/>
      <c r="U108" s="1423"/>
      <c r="V108" s="1423"/>
      <c r="W108" s="1423"/>
      <c r="X108" s="1423"/>
      <c r="Y108" s="1423"/>
      <c r="Z108" s="1423"/>
    </row>
    <row r="109" spans="1:26" ht="18.5">
      <c r="A109" s="1423"/>
      <c r="B109" s="1423"/>
      <c r="C109" s="1423"/>
      <c r="D109" s="1423"/>
      <c r="E109" s="1423"/>
      <c r="F109" s="1423"/>
      <c r="G109" s="1423"/>
      <c r="H109" s="1423"/>
      <c r="I109" s="1423"/>
      <c r="J109" s="1423"/>
      <c r="K109" s="1423"/>
      <c r="L109" s="1423"/>
      <c r="M109" s="1423"/>
      <c r="N109" s="1423"/>
      <c r="O109" s="1423"/>
      <c r="P109" s="1423"/>
      <c r="Q109" s="1423"/>
      <c r="R109" s="1423"/>
      <c r="S109" s="1423"/>
      <c r="T109" s="1423"/>
      <c r="U109" s="1423"/>
      <c r="V109" s="1423"/>
      <c r="W109" s="1423"/>
      <c r="X109" s="1423"/>
      <c r="Y109" s="1423"/>
      <c r="Z109" s="1423"/>
    </row>
    <row r="110" spans="1:26" ht="18.5">
      <c r="A110" s="1423"/>
      <c r="B110" s="1423"/>
      <c r="C110" s="1423"/>
      <c r="D110" s="1423"/>
      <c r="E110" s="1423"/>
      <c r="F110" s="1423"/>
      <c r="G110" s="1423"/>
      <c r="H110" s="1423"/>
      <c r="I110" s="1423"/>
      <c r="J110" s="1423"/>
      <c r="K110" s="1423"/>
      <c r="L110" s="1423"/>
      <c r="M110" s="1423"/>
      <c r="N110" s="1423"/>
      <c r="O110" s="1423"/>
      <c r="P110" s="1423"/>
      <c r="Q110" s="1423"/>
      <c r="R110" s="1423"/>
      <c r="S110" s="1423"/>
      <c r="T110" s="1423"/>
      <c r="U110" s="1423"/>
      <c r="V110" s="1423"/>
      <c r="W110" s="1423"/>
      <c r="X110" s="1423"/>
      <c r="Y110" s="1423"/>
      <c r="Z110" s="1423"/>
    </row>
    <row r="111" spans="1:26" ht="18.5">
      <c r="A111" s="1423"/>
      <c r="B111" s="1423"/>
      <c r="C111" s="1423"/>
      <c r="D111" s="1423"/>
      <c r="E111" s="1423"/>
      <c r="F111" s="1423"/>
      <c r="G111" s="1423"/>
      <c r="H111" s="1423"/>
      <c r="I111" s="1423"/>
      <c r="J111" s="1423"/>
      <c r="K111" s="1423"/>
      <c r="L111" s="1423"/>
      <c r="M111" s="1423"/>
      <c r="N111" s="1423"/>
      <c r="O111" s="1423"/>
      <c r="P111" s="1423"/>
      <c r="Q111" s="1423"/>
      <c r="R111" s="1423"/>
      <c r="S111" s="1423"/>
      <c r="T111" s="1423"/>
      <c r="U111" s="1423"/>
      <c r="V111" s="1423"/>
      <c r="W111" s="1423"/>
      <c r="X111" s="1423"/>
      <c r="Y111" s="1423"/>
      <c r="Z111" s="1423"/>
    </row>
    <row r="112" spans="1:26" ht="18.5">
      <c r="A112" s="1423"/>
      <c r="B112" s="1423"/>
      <c r="C112" s="1423"/>
      <c r="D112" s="1423"/>
      <c r="E112" s="1423"/>
      <c r="F112" s="1423"/>
      <c r="G112" s="1423"/>
      <c r="H112" s="1423"/>
      <c r="I112" s="1423"/>
      <c r="J112" s="1423"/>
      <c r="K112" s="1423"/>
      <c r="L112" s="1423"/>
      <c r="M112" s="1423"/>
      <c r="N112" s="1423"/>
      <c r="O112" s="1423"/>
      <c r="P112" s="1423"/>
      <c r="Q112" s="1423"/>
      <c r="R112" s="1423"/>
      <c r="S112" s="1423"/>
      <c r="T112" s="1423"/>
      <c r="U112" s="1423"/>
      <c r="V112" s="1423"/>
      <c r="W112" s="1423"/>
      <c r="X112" s="1423"/>
      <c r="Y112" s="1423"/>
      <c r="Z112" s="1423"/>
    </row>
    <row r="113" spans="1:26" ht="18.5">
      <c r="A113" s="1423"/>
      <c r="B113" s="1423"/>
      <c r="C113" s="1423"/>
      <c r="D113" s="1423"/>
      <c r="E113" s="1423"/>
      <c r="F113" s="1423"/>
      <c r="G113" s="1423"/>
      <c r="H113" s="1423"/>
      <c r="I113" s="1423"/>
      <c r="J113" s="1423"/>
      <c r="K113" s="1423"/>
      <c r="L113" s="1423"/>
      <c r="M113" s="1423"/>
      <c r="N113" s="1423"/>
      <c r="O113" s="1423"/>
      <c r="P113" s="1423"/>
      <c r="Q113" s="1423"/>
      <c r="R113" s="1423"/>
      <c r="S113" s="1423"/>
      <c r="T113" s="1423"/>
      <c r="U113" s="1423"/>
      <c r="V113" s="1423"/>
      <c r="W113" s="1423"/>
      <c r="X113" s="1423"/>
      <c r="Y113" s="1423"/>
      <c r="Z113" s="1423"/>
    </row>
    <row r="114" spans="1:26" ht="18.5">
      <c r="A114" s="1423"/>
      <c r="B114" s="1423"/>
      <c r="C114" s="1423"/>
      <c r="D114" s="1423"/>
      <c r="E114" s="1423"/>
      <c r="F114" s="1423"/>
      <c r="G114" s="1423"/>
      <c r="H114" s="1423"/>
      <c r="I114" s="1423"/>
      <c r="J114" s="1423"/>
      <c r="K114" s="1423"/>
      <c r="L114" s="1423"/>
      <c r="M114" s="1423"/>
      <c r="N114" s="1423"/>
      <c r="O114" s="1423"/>
      <c r="P114" s="1423"/>
      <c r="Q114" s="1423"/>
      <c r="R114" s="1423"/>
      <c r="S114" s="1423"/>
      <c r="T114" s="1423"/>
      <c r="U114" s="1423"/>
      <c r="V114" s="1423"/>
      <c r="W114" s="1423"/>
      <c r="X114" s="1423"/>
      <c r="Y114" s="1423"/>
      <c r="Z114" s="1423"/>
    </row>
    <row r="115" spans="1:26" ht="18.5">
      <c r="A115" s="1423"/>
      <c r="B115" s="1423"/>
      <c r="C115" s="1423"/>
      <c r="D115" s="1423"/>
      <c r="E115" s="1423"/>
      <c r="F115" s="1423"/>
      <c r="G115" s="1423"/>
      <c r="H115" s="1423"/>
      <c r="I115" s="1423"/>
      <c r="J115" s="1423"/>
      <c r="K115" s="1423"/>
      <c r="L115" s="1423"/>
      <c r="M115" s="1423"/>
      <c r="N115" s="1423"/>
      <c r="O115" s="1423"/>
      <c r="P115" s="1423"/>
      <c r="Q115" s="1423"/>
      <c r="R115" s="1423"/>
      <c r="S115" s="1423"/>
      <c r="T115" s="1423"/>
      <c r="U115" s="1423"/>
      <c r="V115" s="1423"/>
      <c r="W115" s="1423"/>
      <c r="X115" s="1423"/>
      <c r="Y115" s="1423"/>
      <c r="Z115" s="1423"/>
    </row>
    <row r="116" spans="1:26" ht="18.5">
      <c r="A116" s="1423"/>
      <c r="B116" s="1423"/>
      <c r="C116" s="1423"/>
      <c r="D116" s="1423"/>
      <c r="E116" s="1423"/>
      <c r="F116" s="1423"/>
      <c r="G116" s="1423"/>
      <c r="H116" s="1423"/>
      <c r="I116" s="1423"/>
      <c r="J116" s="1423"/>
      <c r="K116" s="1423"/>
      <c r="L116" s="1423"/>
      <c r="M116" s="1423"/>
      <c r="N116" s="1423"/>
      <c r="O116" s="1423"/>
      <c r="P116" s="1423"/>
      <c r="Q116" s="1423"/>
      <c r="R116" s="1423"/>
      <c r="S116" s="1423"/>
      <c r="T116" s="1423"/>
      <c r="U116" s="1423"/>
      <c r="V116" s="1423"/>
      <c r="W116" s="1423"/>
      <c r="X116" s="1423"/>
      <c r="Y116" s="1423"/>
      <c r="Z116" s="1423"/>
    </row>
    <row r="117" spans="1:26" ht="18.5">
      <c r="A117" s="1423"/>
      <c r="B117" s="1423"/>
      <c r="C117" s="1423"/>
      <c r="D117" s="1423"/>
      <c r="E117" s="1423"/>
      <c r="F117" s="1423"/>
      <c r="G117" s="1423"/>
      <c r="H117" s="1423"/>
      <c r="I117" s="1423"/>
      <c r="J117" s="1423"/>
      <c r="K117" s="1423"/>
      <c r="L117" s="1423"/>
      <c r="M117" s="1423"/>
      <c r="N117" s="1423"/>
      <c r="O117" s="1423"/>
      <c r="P117" s="1423"/>
      <c r="Q117" s="1423"/>
      <c r="R117" s="1423"/>
      <c r="S117" s="1423"/>
      <c r="T117" s="1423"/>
      <c r="U117" s="1423"/>
      <c r="V117" s="1423"/>
      <c r="W117" s="1423"/>
      <c r="X117" s="1423"/>
      <c r="Y117" s="1423"/>
      <c r="Z117" s="1423"/>
    </row>
    <row r="118" spans="1:26" ht="18.5">
      <c r="A118" s="1423"/>
      <c r="B118" s="1423"/>
      <c r="C118" s="1423"/>
      <c r="D118" s="1423"/>
      <c r="E118" s="1423"/>
      <c r="F118" s="1423"/>
      <c r="G118" s="1423"/>
      <c r="H118" s="1423"/>
      <c r="I118" s="1423"/>
      <c r="J118" s="1423"/>
      <c r="K118" s="1423"/>
      <c r="L118" s="1423"/>
      <c r="M118" s="1423"/>
      <c r="N118" s="1423"/>
      <c r="O118" s="1423"/>
      <c r="P118" s="1423"/>
      <c r="Q118" s="1423"/>
      <c r="R118" s="1423"/>
      <c r="S118" s="1423"/>
      <c r="T118" s="1423"/>
      <c r="U118" s="1423"/>
      <c r="V118" s="1423"/>
      <c r="W118" s="1423"/>
      <c r="X118" s="1423"/>
      <c r="Y118" s="1423"/>
      <c r="Z118" s="1423"/>
    </row>
    <row r="119" spans="1:26" ht="18.5">
      <c r="A119" s="1423"/>
      <c r="B119" s="1423"/>
      <c r="C119" s="1423"/>
      <c r="D119" s="1423"/>
      <c r="E119" s="1423"/>
      <c r="F119" s="1423"/>
      <c r="G119" s="1423"/>
      <c r="H119" s="1423"/>
      <c r="I119" s="1423"/>
      <c r="J119" s="1423"/>
      <c r="K119" s="1423"/>
      <c r="L119" s="1423"/>
      <c r="M119" s="1423"/>
      <c r="N119" s="1423"/>
      <c r="O119" s="1423"/>
      <c r="P119" s="1423"/>
      <c r="Q119" s="1423"/>
      <c r="R119" s="1423"/>
      <c r="S119" s="1423"/>
      <c r="T119" s="1423"/>
      <c r="U119" s="1423"/>
      <c r="V119" s="1423"/>
      <c r="W119" s="1423"/>
      <c r="X119" s="1423"/>
      <c r="Y119" s="1423"/>
      <c r="Z119" s="1423"/>
    </row>
    <row r="120" spans="1:26" ht="18.5">
      <c r="A120" s="1423"/>
      <c r="B120" s="1423"/>
      <c r="C120" s="1423"/>
      <c r="D120" s="1423"/>
      <c r="E120" s="1423"/>
      <c r="F120" s="1423"/>
      <c r="G120" s="1423"/>
      <c r="H120" s="1423"/>
      <c r="I120" s="1423"/>
      <c r="J120" s="1423"/>
      <c r="K120" s="1423"/>
      <c r="L120" s="1423"/>
      <c r="M120" s="1423"/>
      <c r="N120" s="1423"/>
      <c r="O120" s="1423"/>
      <c r="P120" s="1423"/>
      <c r="Q120" s="1423"/>
      <c r="R120" s="1423"/>
      <c r="S120" s="1423"/>
      <c r="T120" s="1423"/>
      <c r="U120" s="1423"/>
      <c r="V120" s="1423"/>
      <c r="W120" s="1423"/>
      <c r="X120" s="1423"/>
      <c r="Y120" s="1423"/>
      <c r="Z120" s="1423"/>
    </row>
    <row r="121" spans="1:26" ht="18.5">
      <c r="A121" s="1423"/>
      <c r="B121" s="1423"/>
      <c r="C121" s="1423"/>
      <c r="D121" s="1423"/>
      <c r="E121" s="1423"/>
      <c r="F121" s="1423"/>
      <c r="G121" s="1423"/>
      <c r="H121" s="1423"/>
      <c r="I121" s="1423"/>
      <c r="J121" s="1423"/>
      <c r="K121" s="1423"/>
      <c r="L121" s="1423"/>
      <c r="M121" s="1423"/>
      <c r="N121" s="1423"/>
      <c r="O121" s="1423"/>
      <c r="P121" s="1423"/>
      <c r="Q121" s="1423"/>
      <c r="R121" s="1423"/>
      <c r="S121" s="1423"/>
      <c r="T121" s="1423"/>
      <c r="U121" s="1423"/>
      <c r="V121" s="1423"/>
      <c r="W121" s="1423"/>
      <c r="X121" s="1423"/>
      <c r="Y121" s="1423"/>
      <c r="Z121" s="1423"/>
    </row>
    <row r="122" spans="1:26" ht="18.5">
      <c r="A122" s="1423"/>
      <c r="B122" s="1423"/>
      <c r="C122" s="1423"/>
      <c r="D122" s="1423"/>
      <c r="E122" s="1423"/>
      <c r="F122" s="1423"/>
      <c r="G122" s="1423"/>
      <c r="H122" s="1423"/>
      <c r="I122" s="1423"/>
      <c r="J122" s="1423"/>
      <c r="K122" s="1423"/>
      <c r="L122" s="1423"/>
      <c r="M122" s="1423"/>
      <c r="N122" s="1423"/>
      <c r="O122" s="1423"/>
      <c r="P122" s="1423"/>
      <c r="Q122" s="1423"/>
      <c r="R122" s="1423"/>
      <c r="S122" s="1423"/>
      <c r="T122" s="1423"/>
      <c r="U122" s="1423"/>
      <c r="V122" s="1423"/>
      <c r="W122" s="1423"/>
      <c r="X122" s="1423"/>
      <c r="Y122" s="1423"/>
      <c r="Z122" s="1423"/>
    </row>
    <row r="123" spans="1:26" ht="18.5">
      <c r="A123" s="1423"/>
      <c r="B123" s="1423"/>
      <c r="C123" s="1423"/>
      <c r="D123" s="1423"/>
      <c r="E123" s="1423"/>
      <c r="F123" s="1423"/>
      <c r="G123" s="1423"/>
      <c r="H123" s="1423"/>
      <c r="I123" s="1423"/>
      <c r="J123" s="1423"/>
      <c r="K123" s="1423"/>
      <c r="L123" s="1423"/>
      <c r="M123" s="1423"/>
      <c r="N123" s="1423"/>
      <c r="O123" s="1423"/>
      <c r="P123" s="1423"/>
      <c r="Q123" s="1423"/>
      <c r="R123" s="1423"/>
      <c r="S123" s="1423"/>
      <c r="T123" s="1423"/>
      <c r="U123" s="1423"/>
      <c r="V123" s="1423"/>
      <c r="W123" s="1423"/>
      <c r="X123" s="1423"/>
      <c r="Y123" s="1423"/>
      <c r="Z123" s="1423"/>
    </row>
    <row r="124" spans="1:26" ht="18.5">
      <c r="A124" s="1423"/>
      <c r="B124" s="1423"/>
      <c r="C124" s="1423"/>
      <c r="D124" s="1423"/>
      <c r="E124" s="1423"/>
      <c r="F124" s="1423"/>
      <c r="G124" s="1423"/>
      <c r="H124" s="1423"/>
      <c r="I124" s="1423"/>
      <c r="J124" s="1423"/>
      <c r="K124" s="1423"/>
      <c r="L124" s="1423"/>
      <c r="M124" s="1423"/>
      <c r="N124" s="1423"/>
      <c r="O124" s="1423"/>
      <c r="P124" s="1423"/>
      <c r="Q124" s="1423"/>
      <c r="R124" s="1423"/>
      <c r="S124" s="1423"/>
      <c r="T124" s="1423"/>
      <c r="U124" s="1423"/>
      <c r="V124" s="1423"/>
      <c r="W124" s="1423"/>
      <c r="X124" s="1423"/>
      <c r="Y124" s="1423"/>
      <c r="Z124" s="1423"/>
    </row>
    <row r="125" spans="1:26" ht="18.5">
      <c r="A125" s="1423"/>
      <c r="B125" s="1423"/>
      <c r="C125" s="1423"/>
      <c r="D125" s="1423"/>
      <c r="E125" s="1423"/>
      <c r="F125" s="1423"/>
      <c r="G125" s="1423"/>
      <c r="H125" s="1423"/>
      <c r="I125" s="1423"/>
      <c r="J125" s="1423"/>
      <c r="K125" s="1423"/>
      <c r="L125" s="1423"/>
      <c r="M125" s="1423"/>
      <c r="N125" s="1423"/>
      <c r="O125" s="1423"/>
      <c r="P125" s="1423"/>
      <c r="Q125" s="1423"/>
      <c r="R125" s="1423"/>
      <c r="S125" s="1423"/>
      <c r="T125" s="1423"/>
      <c r="U125" s="1423"/>
      <c r="V125" s="1423"/>
      <c r="W125" s="1423"/>
      <c r="X125" s="1423"/>
      <c r="Y125" s="1423"/>
      <c r="Z125" s="1423"/>
    </row>
    <row r="126" spans="1:26" ht="18.5">
      <c r="A126" s="1423"/>
      <c r="B126" s="1423"/>
      <c r="C126" s="1423"/>
      <c r="D126" s="1423"/>
      <c r="E126" s="1423"/>
      <c r="F126" s="1423"/>
      <c r="G126" s="1423"/>
      <c r="H126" s="1423"/>
      <c r="I126" s="1423"/>
      <c r="J126" s="1423"/>
      <c r="K126" s="1423"/>
      <c r="L126" s="1423"/>
      <c r="M126" s="1423"/>
      <c r="N126" s="1423"/>
      <c r="O126" s="1423"/>
      <c r="P126" s="1423"/>
      <c r="Q126" s="1423"/>
      <c r="R126" s="1423"/>
      <c r="S126" s="1423"/>
      <c r="T126" s="1423"/>
      <c r="U126" s="1423"/>
      <c r="V126" s="1423"/>
      <c r="W126" s="1423"/>
      <c r="X126" s="1423"/>
      <c r="Y126" s="1423"/>
      <c r="Z126" s="1423"/>
    </row>
    <row r="127" spans="1:26" ht="18.5">
      <c r="A127" s="1423"/>
      <c r="B127" s="1423"/>
      <c r="C127" s="1423"/>
      <c r="D127" s="1423"/>
      <c r="E127" s="1423"/>
      <c r="F127" s="1423"/>
      <c r="G127" s="1423"/>
      <c r="H127" s="1423"/>
      <c r="I127" s="1423"/>
      <c r="J127" s="1423"/>
      <c r="K127" s="1423"/>
      <c r="L127" s="1423"/>
      <c r="M127" s="1423"/>
      <c r="N127" s="1423"/>
      <c r="O127" s="1423"/>
      <c r="P127" s="1423"/>
      <c r="Q127" s="1423"/>
      <c r="R127" s="1423"/>
      <c r="S127" s="1423"/>
      <c r="T127" s="1423"/>
      <c r="U127" s="1423"/>
      <c r="V127" s="1423"/>
      <c r="W127" s="1423"/>
      <c r="X127" s="1423"/>
      <c r="Y127" s="1423"/>
      <c r="Z127" s="1423"/>
    </row>
    <row r="128" spans="1:26" ht="18.5">
      <c r="A128" s="1423"/>
      <c r="B128" s="1423"/>
      <c r="C128" s="1423"/>
      <c r="D128" s="1423"/>
      <c r="E128" s="1423"/>
      <c r="F128" s="1423"/>
      <c r="G128" s="1423"/>
      <c r="H128" s="1423"/>
      <c r="I128" s="1423"/>
      <c r="J128" s="1423"/>
      <c r="K128" s="1423"/>
      <c r="L128" s="1423"/>
      <c r="M128" s="1423"/>
      <c r="N128" s="1423"/>
      <c r="O128" s="1423"/>
      <c r="P128" s="1423"/>
      <c r="Q128" s="1423"/>
      <c r="R128" s="1423"/>
      <c r="S128" s="1423"/>
      <c r="T128" s="1423"/>
      <c r="U128" s="1423"/>
      <c r="V128" s="1423"/>
      <c r="W128" s="1423"/>
      <c r="X128" s="1423"/>
      <c r="Y128" s="1423"/>
      <c r="Z128" s="1423"/>
    </row>
    <row r="129" spans="1:26" ht="18.5">
      <c r="A129" s="1423"/>
      <c r="B129" s="1423"/>
      <c r="C129" s="1423"/>
      <c r="D129" s="1423"/>
      <c r="E129" s="1423"/>
      <c r="F129" s="1423"/>
      <c r="G129" s="1423"/>
      <c r="H129" s="1423"/>
      <c r="I129" s="1423"/>
      <c r="J129" s="1423"/>
      <c r="K129" s="1423"/>
      <c r="L129" s="1423"/>
      <c r="M129" s="1423"/>
      <c r="N129" s="1423"/>
      <c r="O129" s="1423"/>
      <c r="P129" s="1423"/>
      <c r="Q129" s="1423"/>
      <c r="R129" s="1423"/>
      <c r="S129" s="1423"/>
      <c r="T129" s="1423"/>
      <c r="U129" s="1423"/>
      <c r="V129" s="1423"/>
      <c r="W129" s="1423"/>
      <c r="X129" s="1423"/>
      <c r="Y129" s="1423"/>
      <c r="Z129" s="1423"/>
    </row>
    <row r="130" spans="1:26" ht="18.5">
      <c r="A130" s="1423"/>
      <c r="B130" s="1423"/>
      <c r="C130" s="1423"/>
      <c r="D130" s="1423"/>
      <c r="E130" s="1423"/>
      <c r="F130" s="1423"/>
      <c r="G130" s="1423"/>
      <c r="H130" s="1423"/>
      <c r="I130" s="1423"/>
      <c r="J130" s="1423"/>
      <c r="K130" s="1423"/>
      <c r="L130" s="1423"/>
      <c r="M130" s="1423"/>
      <c r="N130" s="1423"/>
      <c r="O130" s="1423"/>
      <c r="P130" s="1423"/>
      <c r="Q130" s="1423"/>
      <c r="R130" s="1423"/>
      <c r="S130" s="1423"/>
      <c r="T130" s="1423"/>
      <c r="U130" s="1423"/>
      <c r="V130" s="1423"/>
      <c r="W130" s="1423"/>
      <c r="X130" s="1423"/>
      <c r="Y130" s="1423"/>
      <c r="Z130" s="1423"/>
    </row>
    <row r="131" spans="1:26" ht="18.5">
      <c r="A131" s="1423"/>
      <c r="B131" s="1423"/>
      <c r="C131" s="1423"/>
      <c r="D131" s="1423"/>
      <c r="E131" s="1423"/>
      <c r="F131" s="1423"/>
      <c r="G131" s="1423"/>
      <c r="H131" s="1423"/>
      <c r="I131" s="1423"/>
      <c r="J131" s="1423"/>
      <c r="K131" s="1423"/>
      <c r="L131" s="1423"/>
      <c r="M131" s="1423"/>
      <c r="N131" s="1423"/>
      <c r="O131" s="1423"/>
      <c r="P131" s="1423"/>
      <c r="Q131" s="1423"/>
      <c r="R131" s="1423"/>
      <c r="S131" s="1423"/>
      <c r="T131" s="1423"/>
      <c r="U131" s="1423"/>
      <c r="V131" s="1423"/>
      <c r="W131" s="1423"/>
      <c r="X131" s="1423"/>
      <c r="Y131" s="1423"/>
      <c r="Z131" s="1423"/>
    </row>
    <row r="132" spans="1:26" ht="18.5">
      <c r="A132" s="1423"/>
      <c r="B132" s="1423"/>
      <c r="C132" s="1423"/>
      <c r="D132" s="1423"/>
      <c r="E132" s="1423"/>
      <c r="F132" s="1423"/>
      <c r="G132" s="1423"/>
      <c r="H132" s="1423"/>
      <c r="I132" s="1423"/>
      <c r="J132" s="1423"/>
      <c r="K132" s="1423"/>
      <c r="L132" s="1423"/>
      <c r="M132" s="1423"/>
      <c r="N132" s="1423"/>
      <c r="O132" s="1423"/>
      <c r="P132" s="1423"/>
      <c r="Q132" s="1423"/>
      <c r="R132" s="1423"/>
      <c r="S132" s="1423"/>
      <c r="T132" s="1423"/>
      <c r="U132" s="1423"/>
      <c r="V132" s="1423"/>
      <c r="W132" s="1423"/>
      <c r="X132" s="1423"/>
      <c r="Y132" s="1423"/>
      <c r="Z132" s="1423"/>
    </row>
    <row r="133" spans="1:26" ht="18.5">
      <c r="A133" s="1423"/>
      <c r="B133" s="1423"/>
      <c r="C133" s="1423"/>
      <c r="D133" s="1423"/>
      <c r="E133" s="1423"/>
      <c r="F133" s="1423"/>
      <c r="G133" s="1423"/>
      <c r="H133" s="1423"/>
      <c r="I133" s="1423"/>
      <c r="J133" s="1423"/>
      <c r="K133" s="1423"/>
      <c r="L133" s="1423"/>
      <c r="M133" s="1423"/>
      <c r="N133" s="1423"/>
      <c r="O133" s="1423"/>
      <c r="P133" s="1423"/>
      <c r="Q133" s="1423"/>
      <c r="R133" s="1423"/>
      <c r="S133" s="1423"/>
      <c r="T133" s="1423"/>
      <c r="U133" s="1423"/>
      <c r="V133" s="1423"/>
      <c r="W133" s="1423"/>
      <c r="X133" s="1423"/>
      <c r="Y133" s="1423"/>
      <c r="Z133" s="1423"/>
    </row>
    <row r="134" spans="1:26" ht="18.5">
      <c r="A134" s="1423"/>
      <c r="B134" s="1423"/>
      <c r="C134" s="1423"/>
      <c r="D134" s="1423"/>
      <c r="E134" s="1423"/>
      <c r="F134" s="1423"/>
      <c r="G134" s="1423"/>
      <c r="H134" s="1423"/>
      <c r="I134" s="1423"/>
      <c r="J134" s="1423"/>
      <c r="K134" s="1423"/>
      <c r="L134" s="1423"/>
      <c r="M134" s="1423"/>
      <c r="N134" s="1423"/>
      <c r="O134" s="1423"/>
      <c r="P134" s="1423"/>
      <c r="Q134" s="1423"/>
      <c r="R134" s="1423"/>
      <c r="S134" s="1423"/>
      <c r="T134" s="1423"/>
      <c r="U134" s="1423"/>
      <c r="V134" s="1423"/>
      <c r="W134" s="1423"/>
      <c r="X134" s="1423"/>
      <c r="Y134" s="1423"/>
      <c r="Z134" s="1423"/>
    </row>
    <row r="135" spans="1:26" ht="18.5">
      <c r="A135" s="1423"/>
      <c r="B135" s="1423"/>
      <c r="C135" s="1423"/>
      <c r="D135" s="1423"/>
      <c r="E135" s="1423"/>
      <c r="F135" s="1423"/>
      <c r="G135" s="1423"/>
      <c r="H135" s="1423"/>
      <c r="I135" s="1423"/>
      <c r="J135" s="1423"/>
      <c r="K135" s="1423"/>
      <c r="L135" s="1423"/>
      <c r="M135" s="1423"/>
      <c r="N135" s="1423"/>
      <c r="O135" s="1423"/>
      <c r="P135" s="1423"/>
      <c r="Q135" s="1423"/>
      <c r="R135" s="1423"/>
      <c r="S135" s="1423"/>
      <c r="T135" s="1423"/>
      <c r="U135" s="1423"/>
      <c r="V135" s="1423"/>
      <c r="W135" s="1423"/>
      <c r="X135" s="1423"/>
      <c r="Y135" s="1423"/>
      <c r="Z135" s="1423"/>
    </row>
    <row r="136" spans="1:26" ht="18.5">
      <c r="A136" s="1423"/>
      <c r="B136" s="1423"/>
      <c r="C136" s="1423"/>
      <c r="D136" s="1423"/>
      <c r="E136" s="1423"/>
      <c r="F136" s="1423"/>
      <c r="G136" s="1423"/>
      <c r="H136" s="1423"/>
      <c r="I136" s="1423"/>
      <c r="J136" s="1423"/>
      <c r="K136" s="1423"/>
      <c r="L136" s="1423"/>
      <c r="M136" s="1423"/>
      <c r="N136" s="1423"/>
      <c r="O136" s="1423"/>
      <c r="P136" s="1423"/>
      <c r="Q136" s="1423"/>
      <c r="R136" s="1423"/>
      <c r="S136" s="1423"/>
      <c r="T136" s="1423"/>
      <c r="U136" s="1423"/>
      <c r="V136" s="1423"/>
      <c r="W136" s="1423"/>
      <c r="X136" s="1423"/>
      <c r="Y136" s="1423"/>
      <c r="Z136" s="1423"/>
    </row>
    <row r="137" spans="1:26" ht="18.5">
      <c r="A137" s="1423"/>
      <c r="B137" s="1423"/>
      <c r="C137" s="1423"/>
      <c r="D137" s="1423"/>
      <c r="E137" s="1423"/>
      <c r="F137" s="1423"/>
      <c r="G137" s="1423"/>
      <c r="H137" s="1423"/>
      <c r="I137" s="1423"/>
      <c r="J137" s="1423"/>
      <c r="K137" s="1423"/>
      <c r="L137" s="1423"/>
      <c r="M137" s="1423"/>
      <c r="N137" s="1423"/>
      <c r="O137" s="1423"/>
      <c r="P137" s="1423"/>
      <c r="Q137" s="1423"/>
      <c r="R137" s="1423"/>
      <c r="S137" s="1423"/>
      <c r="T137" s="1423"/>
      <c r="U137" s="1423"/>
      <c r="V137" s="1423"/>
      <c r="W137" s="1423"/>
      <c r="X137" s="1423"/>
      <c r="Y137" s="1423"/>
      <c r="Z137" s="1423"/>
    </row>
    <row r="138" spans="1:26" ht="18.5">
      <c r="A138" s="1423"/>
      <c r="B138" s="1423"/>
      <c r="C138" s="1423"/>
      <c r="D138" s="1423"/>
      <c r="E138" s="1423"/>
      <c r="F138" s="1423"/>
      <c r="G138" s="1423"/>
      <c r="H138" s="1423"/>
      <c r="I138" s="1423"/>
      <c r="J138" s="1423"/>
      <c r="K138" s="1423"/>
      <c r="L138" s="1423"/>
      <c r="M138" s="1423"/>
      <c r="N138" s="1423"/>
      <c r="O138" s="1423"/>
      <c r="P138" s="1423"/>
      <c r="Q138" s="1423"/>
      <c r="R138" s="1423"/>
      <c r="S138" s="1423"/>
      <c r="T138" s="1423"/>
      <c r="U138" s="1423"/>
      <c r="V138" s="1423"/>
      <c r="W138" s="1423"/>
      <c r="X138" s="1423"/>
      <c r="Y138" s="1423"/>
      <c r="Z138" s="1423"/>
    </row>
    <row r="139" spans="1:26" ht="18.5">
      <c r="A139" s="1423"/>
      <c r="B139" s="1423"/>
      <c r="C139" s="1423"/>
      <c r="D139" s="1423"/>
      <c r="E139" s="1423"/>
      <c r="F139" s="1423"/>
      <c r="G139" s="1423"/>
      <c r="H139" s="1423"/>
      <c r="I139" s="1423"/>
      <c r="J139" s="1423"/>
      <c r="K139" s="1423"/>
      <c r="L139" s="1423"/>
      <c r="M139" s="1423"/>
      <c r="N139" s="1423"/>
      <c r="O139" s="1423"/>
      <c r="P139" s="1423"/>
      <c r="Q139" s="1423"/>
      <c r="R139" s="1423"/>
      <c r="S139" s="1423"/>
      <c r="T139" s="1423"/>
      <c r="U139" s="1423"/>
      <c r="V139" s="1423"/>
      <c r="W139" s="1423"/>
      <c r="X139" s="1423"/>
      <c r="Y139" s="1423"/>
      <c r="Z139" s="1423"/>
    </row>
    <row r="140" spans="1:26" ht="18.5">
      <c r="A140" s="1423"/>
      <c r="B140" s="1423"/>
      <c r="C140" s="1423"/>
      <c r="D140" s="1423"/>
      <c r="E140" s="1423"/>
      <c r="F140" s="1423"/>
      <c r="G140" s="1423"/>
      <c r="H140" s="1423"/>
      <c r="I140" s="1423"/>
      <c r="J140" s="1423"/>
      <c r="K140" s="1423"/>
      <c r="L140" s="1423"/>
      <c r="M140" s="1423"/>
      <c r="N140" s="1423"/>
      <c r="O140" s="1423"/>
      <c r="P140" s="1423"/>
      <c r="Q140" s="1423"/>
      <c r="R140" s="1423"/>
      <c r="S140" s="1423"/>
      <c r="T140" s="1423"/>
      <c r="U140" s="1423"/>
      <c r="V140" s="1423"/>
      <c r="W140" s="1423"/>
      <c r="X140" s="1423"/>
      <c r="Y140" s="1423"/>
      <c r="Z140" s="1423"/>
    </row>
    <row r="141" spans="1:26" ht="18.5">
      <c r="A141" s="1423"/>
      <c r="B141" s="1423"/>
      <c r="C141" s="1423"/>
      <c r="D141" s="1423"/>
      <c r="E141" s="1423"/>
      <c r="F141" s="1423"/>
      <c r="G141" s="1423"/>
      <c r="H141" s="1423"/>
      <c r="I141" s="1423"/>
      <c r="J141" s="1423"/>
      <c r="K141" s="1423"/>
      <c r="L141" s="1423"/>
      <c r="M141" s="1423"/>
      <c r="N141" s="1423"/>
      <c r="O141" s="1423"/>
      <c r="P141" s="1423"/>
      <c r="Q141" s="1423"/>
      <c r="R141" s="1423"/>
      <c r="S141" s="1423"/>
      <c r="T141" s="1423"/>
      <c r="U141" s="1423"/>
      <c r="V141" s="1423"/>
      <c r="W141" s="1423"/>
      <c r="X141" s="1423"/>
      <c r="Y141" s="1423"/>
      <c r="Z141" s="1423"/>
    </row>
    <row r="142" spans="1:26" ht="18.5">
      <c r="A142" s="1423"/>
      <c r="B142" s="1423"/>
      <c r="C142" s="1423"/>
      <c r="D142" s="1423"/>
      <c r="E142" s="1423"/>
      <c r="F142" s="1423"/>
      <c r="G142" s="1423"/>
      <c r="H142" s="1423"/>
      <c r="I142" s="1423"/>
      <c r="J142" s="1423"/>
      <c r="K142" s="1423"/>
      <c r="L142" s="1423"/>
      <c r="M142" s="1423"/>
      <c r="N142" s="1423"/>
      <c r="O142" s="1423"/>
      <c r="P142" s="1423"/>
      <c r="Q142" s="1423"/>
      <c r="R142" s="1423"/>
      <c r="S142" s="1423"/>
      <c r="T142" s="1423"/>
      <c r="U142" s="1423"/>
      <c r="V142" s="1423"/>
      <c r="W142" s="1423"/>
      <c r="X142" s="1423"/>
      <c r="Y142" s="1423"/>
      <c r="Z142" s="1423"/>
    </row>
    <row r="143" spans="1:26" ht="18.5">
      <c r="A143" s="1423"/>
      <c r="B143" s="1423"/>
      <c r="C143" s="1423"/>
      <c r="D143" s="1423"/>
      <c r="E143" s="1423"/>
      <c r="F143" s="1423"/>
      <c r="G143" s="1423"/>
      <c r="H143" s="1423"/>
      <c r="I143" s="1423"/>
      <c r="J143" s="1423"/>
      <c r="K143" s="1423"/>
      <c r="L143" s="1423"/>
      <c r="M143" s="1423"/>
      <c r="N143" s="1423"/>
      <c r="O143" s="1423"/>
      <c r="P143" s="1423"/>
      <c r="Q143" s="1423"/>
      <c r="R143" s="1423"/>
      <c r="S143" s="1423"/>
      <c r="T143" s="1423"/>
      <c r="U143" s="1423"/>
      <c r="V143" s="1423"/>
      <c r="W143" s="1423"/>
      <c r="X143" s="1423"/>
      <c r="Y143" s="1423"/>
      <c r="Z143" s="1423"/>
    </row>
    <row r="144" spans="1:26" ht="18.5">
      <c r="A144" s="1423"/>
      <c r="B144" s="1423"/>
      <c r="C144" s="1423"/>
      <c r="D144" s="1423"/>
      <c r="E144" s="1423"/>
      <c r="F144" s="1423"/>
      <c r="G144" s="1423"/>
      <c r="H144" s="1423"/>
      <c r="I144" s="1423"/>
      <c r="J144" s="1423"/>
      <c r="K144" s="1423"/>
      <c r="L144" s="1423"/>
      <c r="M144" s="1423"/>
      <c r="N144" s="1423"/>
      <c r="O144" s="1423"/>
      <c r="P144" s="1423"/>
      <c r="Q144" s="1423"/>
      <c r="R144" s="1423"/>
      <c r="S144" s="1423"/>
      <c r="T144" s="1423"/>
      <c r="U144" s="1423"/>
      <c r="V144" s="1423"/>
      <c r="W144" s="1423"/>
      <c r="X144" s="1423"/>
      <c r="Y144" s="1423"/>
      <c r="Z144" s="1423"/>
    </row>
    <row r="145" spans="1:26" ht="18.5">
      <c r="A145" s="1423"/>
      <c r="B145" s="1423"/>
      <c r="C145" s="1423"/>
      <c r="D145" s="1423"/>
      <c r="E145" s="1423"/>
      <c r="F145" s="1423"/>
      <c r="G145" s="1423"/>
      <c r="H145" s="1423"/>
      <c r="I145" s="1423"/>
      <c r="J145" s="1423"/>
      <c r="K145" s="1423"/>
      <c r="L145" s="1423"/>
      <c r="M145" s="1423"/>
      <c r="N145" s="1423"/>
      <c r="O145" s="1423"/>
      <c r="P145" s="1423"/>
      <c r="Q145" s="1423"/>
      <c r="R145" s="1423"/>
      <c r="S145" s="1423"/>
      <c r="T145" s="1423"/>
      <c r="U145" s="1423"/>
      <c r="V145" s="1423"/>
      <c r="W145" s="1423"/>
      <c r="X145" s="1423"/>
      <c r="Y145" s="1423"/>
      <c r="Z145" s="1423"/>
    </row>
    <row r="146" spans="1:26" ht="18.5">
      <c r="A146" s="1423"/>
      <c r="B146" s="1423"/>
      <c r="C146" s="1423"/>
      <c r="D146" s="1423"/>
      <c r="E146" s="1423"/>
      <c r="F146" s="1423"/>
      <c r="G146" s="1423"/>
      <c r="H146" s="1423"/>
      <c r="I146" s="1423"/>
      <c r="J146" s="1423"/>
      <c r="K146" s="1423"/>
      <c r="L146" s="1423"/>
      <c r="M146" s="1423"/>
      <c r="N146" s="1423"/>
      <c r="O146" s="1423"/>
      <c r="P146" s="1423"/>
      <c r="Q146" s="1423"/>
      <c r="R146" s="1423"/>
      <c r="S146" s="1423"/>
      <c r="T146" s="1423"/>
      <c r="U146" s="1423"/>
      <c r="V146" s="1423"/>
      <c r="W146" s="1423"/>
      <c r="X146" s="1423"/>
      <c r="Y146" s="1423"/>
      <c r="Z146" s="1423"/>
    </row>
    <row r="147" spans="1:26" ht="18.5">
      <c r="A147" s="1423"/>
      <c r="B147" s="1423"/>
      <c r="C147" s="1423"/>
      <c r="D147" s="1423"/>
      <c r="E147" s="1423"/>
      <c r="F147" s="1423"/>
      <c r="G147" s="1423"/>
      <c r="H147" s="1423"/>
      <c r="I147" s="1423"/>
      <c r="J147" s="1423"/>
      <c r="K147" s="1423"/>
      <c r="L147" s="1423"/>
      <c r="M147" s="1423"/>
      <c r="N147" s="1423"/>
      <c r="O147" s="1423"/>
      <c r="P147" s="1423"/>
      <c r="Q147" s="1423"/>
      <c r="R147" s="1423"/>
      <c r="S147" s="1423"/>
      <c r="T147" s="1423"/>
      <c r="U147" s="1423"/>
      <c r="V147" s="1423"/>
      <c r="W147" s="1423"/>
      <c r="X147" s="1423"/>
      <c r="Y147" s="1423"/>
      <c r="Z147" s="1423"/>
    </row>
    <row r="148" spans="1:26" ht="18.5">
      <c r="A148" s="1423"/>
      <c r="B148" s="1423"/>
      <c r="C148" s="1423"/>
      <c r="D148" s="1423"/>
      <c r="E148" s="1423"/>
      <c r="F148" s="1423"/>
      <c r="G148" s="1423"/>
      <c r="H148" s="1423"/>
      <c r="I148" s="1423"/>
      <c r="J148" s="1423"/>
      <c r="K148" s="1423"/>
      <c r="L148" s="1423"/>
      <c r="M148" s="1423"/>
      <c r="N148" s="1423"/>
      <c r="O148" s="1423"/>
      <c r="P148" s="1423"/>
      <c r="Q148" s="1423"/>
      <c r="R148" s="1423"/>
      <c r="S148" s="1423"/>
      <c r="T148" s="1423"/>
      <c r="U148" s="1423"/>
      <c r="V148" s="1423"/>
      <c r="W148" s="1423"/>
      <c r="X148" s="1423"/>
      <c r="Y148" s="1423"/>
      <c r="Z148" s="1423"/>
    </row>
    <row r="149" spans="1:26" ht="18.5">
      <c r="A149" s="1423"/>
      <c r="B149" s="1423"/>
      <c r="C149" s="1423"/>
      <c r="D149" s="1423"/>
      <c r="E149" s="1423"/>
      <c r="F149" s="1423"/>
      <c r="G149" s="1423"/>
      <c r="H149" s="1423"/>
      <c r="I149" s="1423"/>
      <c r="J149" s="1423"/>
      <c r="K149" s="1423"/>
      <c r="L149" s="1423"/>
      <c r="M149" s="1423"/>
      <c r="N149" s="1423"/>
      <c r="O149" s="1423"/>
      <c r="P149" s="1423"/>
      <c r="Q149" s="1423"/>
      <c r="R149" s="1423"/>
      <c r="S149" s="1423"/>
      <c r="T149" s="1423"/>
      <c r="U149" s="1423"/>
      <c r="V149" s="1423"/>
      <c r="W149" s="1423"/>
      <c r="X149" s="1423"/>
      <c r="Y149" s="1423"/>
      <c r="Z149" s="1423"/>
    </row>
    <row r="150" spans="1:26" ht="18.5">
      <c r="A150" s="1423"/>
      <c r="B150" s="1423"/>
      <c r="C150" s="1423"/>
      <c r="D150" s="1423"/>
      <c r="E150" s="1423"/>
      <c r="F150" s="1423"/>
      <c r="G150" s="1423"/>
      <c r="H150" s="1423"/>
      <c r="I150" s="1423"/>
      <c r="J150" s="1423"/>
      <c r="K150" s="1423"/>
      <c r="L150" s="1423"/>
      <c r="M150" s="1423"/>
      <c r="N150" s="1423"/>
      <c r="O150" s="1423"/>
      <c r="P150" s="1423"/>
      <c r="Q150" s="1423"/>
      <c r="R150" s="1423"/>
      <c r="S150" s="1423"/>
      <c r="T150" s="1423"/>
      <c r="U150" s="1423"/>
      <c r="V150" s="1423"/>
      <c r="W150" s="1423"/>
      <c r="X150" s="1423"/>
      <c r="Y150" s="1423"/>
      <c r="Z150" s="1423"/>
    </row>
    <row r="151" spans="1:26" ht="18.5">
      <c r="A151" s="1423"/>
      <c r="B151" s="1423"/>
      <c r="C151" s="1423"/>
      <c r="D151" s="1423"/>
      <c r="E151" s="1423"/>
      <c r="F151" s="1423"/>
      <c r="G151" s="1423"/>
      <c r="H151" s="1423"/>
      <c r="I151" s="1423"/>
      <c r="J151" s="1423"/>
      <c r="K151" s="1423"/>
      <c r="L151" s="1423"/>
      <c r="M151" s="1423"/>
      <c r="N151" s="1423"/>
      <c r="O151" s="1423"/>
      <c r="P151" s="1423"/>
      <c r="Q151" s="1423"/>
      <c r="R151" s="1423"/>
      <c r="S151" s="1423"/>
      <c r="T151" s="1423"/>
      <c r="U151" s="1423"/>
      <c r="V151" s="1423"/>
      <c r="W151" s="1423"/>
      <c r="X151" s="1423"/>
      <c r="Y151" s="1423"/>
      <c r="Z151" s="1423"/>
    </row>
    <row r="152" spans="1:26" ht="18.5">
      <c r="A152" s="1423"/>
      <c r="B152" s="1423"/>
      <c r="C152" s="1423"/>
      <c r="D152" s="1423"/>
      <c r="E152" s="1423"/>
      <c r="F152" s="1423"/>
      <c r="G152" s="1423"/>
      <c r="H152" s="1423"/>
      <c r="I152" s="1423"/>
      <c r="J152" s="1423"/>
      <c r="K152" s="1423"/>
      <c r="L152" s="1423"/>
      <c r="M152" s="1423"/>
      <c r="N152" s="1423"/>
      <c r="O152" s="1423"/>
      <c r="P152" s="1423"/>
      <c r="Q152" s="1423"/>
      <c r="R152" s="1423"/>
      <c r="S152" s="1423"/>
      <c r="T152" s="1423"/>
      <c r="U152" s="1423"/>
      <c r="V152" s="1423"/>
      <c r="W152" s="1423"/>
      <c r="X152" s="1423"/>
      <c r="Y152" s="1423"/>
      <c r="Z152" s="1423"/>
    </row>
    <row r="153" spans="1:26" ht="18.5">
      <c r="A153" s="1423"/>
      <c r="B153" s="1423"/>
      <c r="C153" s="1423"/>
      <c r="D153" s="1423"/>
      <c r="E153" s="1423"/>
      <c r="F153" s="1423"/>
      <c r="G153" s="1423"/>
      <c r="H153" s="1423"/>
      <c r="I153" s="1423"/>
      <c r="J153" s="1423"/>
      <c r="K153" s="1423"/>
      <c r="L153" s="1423"/>
      <c r="M153" s="1423"/>
      <c r="N153" s="1423"/>
      <c r="O153" s="1423"/>
      <c r="P153" s="1423"/>
      <c r="Q153" s="1423"/>
      <c r="R153" s="1423"/>
      <c r="S153" s="1423"/>
      <c r="T153" s="1423"/>
      <c r="U153" s="1423"/>
      <c r="V153" s="1423"/>
      <c r="W153" s="1423"/>
      <c r="X153" s="1423"/>
      <c r="Y153" s="1423"/>
      <c r="Z153" s="1423"/>
    </row>
    <row r="154" spans="1:26" ht="18.5">
      <c r="A154" s="1423"/>
      <c r="B154" s="1423"/>
      <c r="C154" s="1423"/>
      <c r="D154" s="1423"/>
      <c r="E154" s="1423"/>
      <c r="F154" s="1423"/>
      <c r="G154" s="1423"/>
      <c r="H154" s="1423"/>
      <c r="I154" s="1423"/>
      <c r="J154" s="1423"/>
      <c r="K154" s="1423"/>
      <c r="L154" s="1423"/>
      <c r="M154" s="1423"/>
      <c r="N154" s="1423"/>
      <c r="O154" s="1423"/>
      <c r="P154" s="1423"/>
      <c r="Q154" s="1423"/>
      <c r="R154" s="1423"/>
      <c r="S154" s="1423"/>
      <c r="T154" s="1423"/>
      <c r="U154" s="1423"/>
      <c r="V154" s="1423"/>
      <c r="W154" s="1423"/>
      <c r="X154" s="1423"/>
      <c r="Y154" s="1423"/>
      <c r="Z154" s="1423"/>
    </row>
    <row r="155" spans="1:26" ht="18.5">
      <c r="A155" s="1423"/>
      <c r="B155" s="1423"/>
      <c r="C155" s="1423"/>
      <c r="D155" s="1423"/>
      <c r="E155" s="1423"/>
      <c r="F155" s="1423"/>
      <c r="G155" s="1423"/>
      <c r="H155" s="1423"/>
      <c r="I155" s="1423"/>
      <c r="J155" s="1423"/>
      <c r="K155" s="1423"/>
      <c r="L155" s="1423"/>
      <c r="M155" s="1423"/>
      <c r="N155" s="1423"/>
      <c r="O155" s="1423"/>
      <c r="P155" s="1423"/>
      <c r="Q155" s="1423"/>
      <c r="R155" s="1423"/>
      <c r="S155" s="1423"/>
      <c r="T155" s="1423"/>
      <c r="U155" s="1423"/>
      <c r="V155" s="1423"/>
      <c r="W155" s="1423"/>
      <c r="X155" s="1423"/>
      <c r="Y155" s="1423"/>
      <c r="Z155" s="1423"/>
    </row>
    <row r="156" spans="1:26" ht="18.5">
      <c r="A156" s="1423"/>
      <c r="B156" s="1423"/>
      <c r="C156" s="1423"/>
      <c r="D156" s="1423"/>
      <c r="E156" s="1423"/>
      <c r="F156" s="1423"/>
      <c r="G156" s="1423"/>
      <c r="H156" s="1423"/>
      <c r="I156" s="1423"/>
      <c r="J156" s="1423"/>
      <c r="K156" s="1423"/>
      <c r="L156" s="1423"/>
      <c r="M156" s="1423"/>
      <c r="N156" s="1423"/>
      <c r="O156" s="1423"/>
      <c r="P156" s="1423"/>
      <c r="Q156" s="1423"/>
      <c r="R156" s="1423"/>
      <c r="S156" s="1423"/>
      <c r="T156" s="1423"/>
      <c r="U156" s="1423"/>
      <c r="V156" s="1423"/>
      <c r="W156" s="1423"/>
      <c r="X156" s="1423"/>
      <c r="Y156" s="1423"/>
      <c r="Z156" s="1423"/>
    </row>
    <row r="157" spans="1:26" ht="18.5">
      <c r="A157" s="1423"/>
      <c r="B157" s="1423"/>
      <c r="C157" s="1423"/>
      <c r="D157" s="1423"/>
      <c r="E157" s="1423"/>
      <c r="F157" s="1423"/>
      <c r="G157" s="1423"/>
      <c r="H157" s="1423"/>
      <c r="I157" s="1423"/>
      <c r="J157" s="1423"/>
      <c r="K157" s="1423"/>
      <c r="L157" s="1423"/>
      <c r="M157" s="1423"/>
      <c r="N157" s="1423"/>
      <c r="O157" s="1423"/>
      <c r="P157" s="1423"/>
      <c r="Q157" s="1423"/>
      <c r="R157" s="1423"/>
      <c r="S157" s="1423"/>
      <c r="T157" s="1423"/>
      <c r="U157" s="1423"/>
      <c r="V157" s="1423"/>
      <c r="W157" s="1423"/>
      <c r="X157" s="1423"/>
      <c r="Y157" s="1423"/>
      <c r="Z157" s="1423"/>
    </row>
    <row r="158" spans="1:26" ht="18.5">
      <c r="A158" s="1423"/>
      <c r="B158" s="1423"/>
      <c r="C158" s="1423"/>
      <c r="D158" s="1423"/>
      <c r="E158" s="1423"/>
      <c r="F158" s="1423"/>
      <c r="G158" s="1423"/>
      <c r="H158" s="1423"/>
      <c r="I158" s="1423"/>
      <c r="J158" s="1423"/>
      <c r="K158" s="1423"/>
      <c r="L158" s="1423"/>
      <c r="M158" s="1423"/>
      <c r="N158" s="1423"/>
      <c r="O158" s="1423"/>
      <c r="P158" s="1423"/>
      <c r="Q158" s="1423"/>
      <c r="R158" s="1423"/>
      <c r="S158" s="1423"/>
      <c r="T158" s="1423"/>
      <c r="U158" s="1423"/>
      <c r="V158" s="1423"/>
      <c r="W158" s="1423"/>
      <c r="X158" s="1423"/>
      <c r="Y158" s="1423"/>
      <c r="Z158" s="1423"/>
    </row>
    <row r="159" spans="1:26" ht="18.5">
      <c r="A159" s="1423"/>
      <c r="B159" s="1423"/>
      <c r="C159" s="1423"/>
      <c r="D159" s="1423"/>
      <c r="E159" s="1423"/>
      <c r="F159" s="1423"/>
      <c r="G159" s="1423"/>
      <c r="H159" s="1423"/>
      <c r="I159" s="1423"/>
      <c r="J159" s="1423"/>
      <c r="K159" s="1423"/>
      <c r="L159" s="1423"/>
      <c r="M159" s="1423"/>
      <c r="N159" s="1423"/>
      <c r="O159" s="1423"/>
      <c r="P159" s="1423"/>
      <c r="Q159" s="1423"/>
      <c r="R159" s="1423"/>
      <c r="S159" s="1423"/>
      <c r="T159" s="1423"/>
      <c r="U159" s="1423"/>
      <c r="V159" s="1423"/>
      <c r="W159" s="1423"/>
      <c r="X159" s="1423"/>
      <c r="Y159" s="1423"/>
      <c r="Z159" s="1423"/>
    </row>
    <row r="160" spans="1:26" ht="18.5">
      <c r="A160" s="1423"/>
      <c r="B160" s="1423"/>
      <c r="C160" s="1423"/>
      <c r="D160" s="1423"/>
      <c r="E160" s="1423"/>
      <c r="F160" s="1423"/>
      <c r="G160" s="1423"/>
      <c r="H160" s="1423"/>
      <c r="I160" s="1423"/>
      <c r="J160" s="1423"/>
      <c r="K160" s="1423"/>
      <c r="L160" s="1423"/>
      <c r="M160" s="1423"/>
      <c r="N160" s="1423"/>
      <c r="O160" s="1423"/>
      <c r="P160" s="1423"/>
      <c r="Q160" s="1423"/>
      <c r="R160" s="1423"/>
      <c r="S160" s="1423"/>
      <c r="T160" s="1423"/>
      <c r="U160" s="1423"/>
      <c r="V160" s="1423"/>
      <c r="W160" s="1423"/>
      <c r="X160" s="1423"/>
      <c r="Y160" s="1423"/>
      <c r="Z160" s="1423"/>
    </row>
    <row r="161" spans="1:26" ht="18.5">
      <c r="A161" s="1423"/>
      <c r="B161" s="1423"/>
      <c r="C161" s="1423"/>
      <c r="D161" s="1423"/>
      <c r="E161" s="1423"/>
      <c r="F161" s="1423"/>
      <c r="G161" s="1423"/>
      <c r="H161" s="1423"/>
      <c r="I161" s="1423"/>
      <c r="J161" s="1423"/>
      <c r="K161" s="1423"/>
      <c r="L161" s="1423"/>
      <c r="M161" s="1423"/>
      <c r="N161" s="1423"/>
      <c r="O161" s="1423"/>
      <c r="P161" s="1423"/>
      <c r="Q161" s="1423"/>
      <c r="R161" s="1423"/>
      <c r="S161" s="1423"/>
      <c r="T161" s="1423"/>
      <c r="U161" s="1423"/>
      <c r="V161" s="1423"/>
      <c r="W161" s="1423"/>
      <c r="X161" s="1423"/>
      <c r="Y161" s="1423"/>
      <c r="Z161" s="1423"/>
    </row>
    <row r="162" spans="1:26" ht="18.5">
      <c r="A162" s="1423"/>
      <c r="B162" s="1423"/>
      <c r="C162" s="1423"/>
      <c r="D162" s="1423"/>
      <c r="E162" s="1423"/>
      <c r="F162" s="1423"/>
      <c r="G162" s="1423"/>
      <c r="H162" s="1423"/>
      <c r="I162" s="1423"/>
      <c r="J162" s="1423"/>
      <c r="K162" s="1423"/>
      <c r="L162" s="1423"/>
      <c r="M162" s="1423"/>
      <c r="N162" s="1423"/>
      <c r="O162" s="1423"/>
      <c r="P162" s="1423"/>
      <c r="Q162" s="1423"/>
      <c r="R162" s="1423"/>
      <c r="S162" s="1423"/>
      <c r="T162" s="1423"/>
      <c r="U162" s="1423"/>
      <c r="V162" s="1423"/>
      <c r="W162" s="1423"/>
      <c r="X162" s="1423"/>
      <c r="Y162" s="1423"/>
      <c r="Z162" s="1423"/>
    </row>
    <row r="163" spans="1:26" ht="18.5">
      <c r="A163" s="1423"/>
      <c r="B163" s="1423"/>
      <c r="C163" s="1423"/>
      <c r="D163" s="1423"/>
      <c r="E163" s="1423"/>
      <c r="F163" s="1423"/>
      <c r="G163" s="1423"/>
      <c r="H163" s="1423"/>
      <c r="I163" s="1423"/>
      <c r="J163" s="1423"/>
      <c r="K163" s="1423"/>
      <c r="L163" s="1423"/>
      <c r="M163" s="1423"/>
      <c r="N163" s="1423"/>
      <c r="O163" s="1423"/>
      <c r="P163" s="1423"/>
      <c r="Q163" s="1423"/>
      <c r="R163" s="1423"/>
      <c r="S163" s="1423"/>
      <c r="T163" s="1423"/>
      <c r="U163" s="1423"/>
      <c r="V163" s="1423"/>
      <c r="W163" s="1423"/>
      <c r="X163" s="1423"/>
      <c r="Y163" s="1423"/>
      <c r="Z163" s="1423"/>
    </row>
    <row r="164" spans="1:26" ht="18.5">
      <c r="A164" s="1423"/>
      <c r="B164" s="1423"/>
      <c r="C164" s="1423"/>
      <c r="D164" s="1423"/>
      <c r="E164" s="1423"/>
      <c r="F164" s="1423"/>
      <c r="G164" s="1423"/>
      <c r="H164" s="1423"/>
      <c r="I164" s="1423"/>
      <c r="J164" s="1423"/>
      <c r="K164" s="1423"/>
      <c r="L164" s="1423"/>
      <c r="M164" s="1423"/>
      <c r="N164" s="1423"/>
      <c r="O164" s="1423"/>
      <c r="P164" s="1423"/>
      <c r="Q164" s="1423"/>
      <c r="R164" s="1423"/>
      <c r="S164" s="1423"/>
      <c r="T164" s="1423"/>
      <c r="U164" s="1423"/>
      <c r="V164" s="1423"/>
      <c r="W164" s="1423"/>
      <c r="X164" s="1423"/>
      <c r="Y164" s="1423"/>
      <c r="Z164" s="1423"/>
    </row>
    <row r="165" spans="1:26" ht="18.5">
      <c r="A165" s="1423"/>
      <c r="B165" s="1423"/>
      <c r="C165" s="1423"/>
      <c r="D165" s="1423"/>
      <c r="E165" s="1423"/>
      <c r="F165" s="1423"/>
      <c r="G165" s="1423"/>
      <c r="H165" s="1423"/>
      <c r="I165" s="1423"/>
      <c r="J165" s="1423"/>
      <c r="K165" s="1423"/>
      <c r="L165" s="1423"/>
      <c r="M165" s="1423"/>
      <c r="N165" s="1423"/>
      <c r="O165" s="1423"/>
      <c r="P165" s="1423"/>
      <c r="Q165" s="1423"/>
      <c r="R165" s="1423"/>
      <c r="S165" s="1423"/>
      <c r="T165" s="1423"/>
      <c r="U165" s="1423"/>
      <c r="V165" s="1423"/>
      <c r="W165" s="1423"/>
      <c r="X165" s="1423"/>
      <c r="Y165" s="1423"/>
      <c r="Z165" s="1423"/>
    </row>
    <row r="166" spans="1:26" ht="18.5">
      <c r="A166" s="1423"/>
      <c r="B166" s="1423"/>
      <c r="C166" s="1423"/>
      <c r="D166" s="1423"/>
      <c r="E166" s="1423"/>
      <c r="F166" s="1423"/>
      <c r="G166" s="1423"/>
      <c r="H166" s="1423"/>
      <c r="I166" s="1423"/>
      <c r="J166" s="1423"/>
      <c r="K166" s="1423"/>
      <c r="L166" s="1423"/>
      <c r="M166" s="1423"/>
      <c r="N166" s="1423"/>
      <c r="O166" s="1423"/>
      <c r="P166" s="1423"/>
      <c r="Q166" s="1423"/>
      <c r="R166" s="1423"/>
      <c r="S166" s="1423"/>
      <c r="T166" s="1423"/>
      <c r="U166" s="1423"/>
      <c r="V166" s="1423"/>
      <c r="W166" s="1423"/>
      <c r="X166" s="1423"/>
      <c r="Y166" s="1423"/>
      <c r="Z166" s="1423"/>
    </row>
    <row r="167" spans="1:26" ht="18.5">
      <c r="A167" s="1423"/>
      <c r="B167" s="1423"/>
      <c r="C167" s="1423"/>
      <c r="D167" s="1423"/>
      <c r="E167" s="1423"/>
      <c r="F167" s="1423"/>
      <c r="G167" s="1423"/>
      <c r="H167" s="1423"/>
      <c r="I167" s="1423"/>
      <c r="J167" s="1423"/>
      <c r="K167" s="1423"/>
      <c r="L167" s="1423"/>
      <c r="M167" s="1423"/>
      <c r="N167" s="1423"/>
      <c r="O167" s="1423"/>
      <c r="P167" s="1423"/>
      <c r="Q167" s="1423"/>
      <c r="R167" s="1423"/>
      <c r="S167" s="1423"/>
      <c r="T167" s="1423"/>
      <c r="U167" s="1423"/>
      <c r="V167" s="1423"/>
      <c r="W167" s="1423"/>
      <c r="X167" s="1423"/>
      <c r="Y167" s="1423"/>
      <c r="Z167" s="1423"/>
    </row>
    <row r="168" spans="1:26" ht="18.5">
      <c r="A168" s="1423"/>
      <c r="B168" s="1423"/>
      <c r="C168" s="1423"/>
      <c r="D168" s="1423"/>
      <c r="E168" s="1423"/>
      <c r="F168" s="1423"/>
      <c r="G168" s="1423"/>
      <c r="H168" s="1423"/>
      <c r="I168" s="1423"/>
      <c r="J168" s="1423"/>
      <c r="K168" s="1423"/>
      <c r="L168" s="1423"/>
      <c r="M168" s="1423"/>
      <c r="N168" s="1423"/>
      <c r="O168" s="1423"/>
      <c r="P168" s="1423"/>
      <c r="Q168" s="1423"/>
      <c r="R168" s="1423"/>
      <c r="S168" s="1423"/>
      <c r="T168" s="1423"/>
      <c r="U168" s="1423"/>
      <c r="V168" s="1423"/>
      <c r="W168" s="1423"/>
      <c r="X168" s="1423"/>
      <c r="Y168" s="1423"/>
      <c r="Z168" s="1423"/>
    </row>
    <row r="169" spans="1:26" ht="18.5">
      <c r="A169" s="1423"/>
      <c r="B169" s="1423"/>
      <c r="C169" s="1423"/>
      <c r="D169" s="1423"/>
      <c r="E169" s="1423"/>
      <c r="F169" s="1423"/>
      <c r="G169" s="1423"/>
      <c r="H169" s="1423"/>
      <c r="I169" s="1423"/>
      <c r="J169" s="1423"/>
      <c r="K169" s="1423"/>
      <c r="L169" s="1423"/>
      <c r="M169" s="1423"/>
      <c r="N169" s="1423"/>
      <c r="O169" s="1423"/>
      <c r="P169" s="1423"/>
      <c r="Q169" s="1423"/>
      <c r="R169" s="1423"/>
      <c r="S169" s="1423"/>
      <c r="T169" s="1423"/>
      <c r="U169" s="1423"/>
      <c r="V169" s="1423"/>
      <c r="W169" s="1423"/>
      <c r="X169" s="1423"/>
      <c r="Y169" s="1423"/>
      <c r="Z169" s="1423"/>
    </row>
    <row r="170" spans="1:26" ht="18.5">
      <c r="A170" s="1423"/>
      <c r="B170" s="1423"/>
      <c r="C170" s="1423"/>
      <c r="D170" s="1423"/>
      <c r="E170" s="1423"/>
      <c r="F170" s="1423"/>
      <c r="G170" s="1423"/>
      <c r="H170" s="1423"/>
      <c r="I170" s="1423"/>
      <c r="J170" s="1423"/>
      <c r="K170" s="1423"/>
      <c r="L170" s="1423"/>
      <c r="M170" s="1423"/>
      <c r="N170" s="1423"/>
      <c r="O170" s="1423"/>
      <c r="P170" s="1423"/>
      <c r="Q170" s="1423"/>
      <c r="R170" s="1423"/>
      <c r="S170" s="1423"/>
      <c r="T170" s="1423"/>
      <c r="U170" s="1423"/>
      <c r="V170" s="1423"/>
      <c r="W170" s="1423"/>
      <c r="X170" s="1423"/>
      <c r="Y170" s="1423"/>
      <c r="Z170" s="1423"/>
    </row>
    <row r="171" spans="1:26" ht="18.5">
      <c r="A171" s="1423"/>
      <c r="B171" s="1423"/>
      <c r="C171" s="1423"/>
      <c r="D171" s="1423"/>
      <c r="E171" s="1423"/>
      <c r="F171" s="1423"/>
      <c r="G171" s="1423"/>
      <c r="H171" s="1423"/>
      <c r="I171" s="1423"/>
      <c r="J171" s="1423"/>
      <c r="K171" s="1423"/>
      <c r="L171" s="1423"/>
      <c r="M171" s="1423"/>
      <c r="N171" s="1423"/>
      <c r="O171" s="1423"/>
      <c r="P171" s="1423"/>
      <c r="Q171" s="1423"/>
      <c r="R171" s="1423"/>
      <c r="S171" s="1423"/>
      <c r="T171" s="1423"/>
      <c r="U171" s="1423"/>
      <c r="V171" s="1423"/>
      <c r="W171" s="1423"/>
      <c r="X171" s="1423"/>
      <c r="Y171" s="1423"/>
      <c r="Z171" s="1423"/>
    </row>
    <row r="172" spans="1:26" ht="18.5">
      <c r="A172" s="1423"/>
      <c r="B172" s="1423"/>
      <c r="C172" s="1423"/>
      <c r="D172" s="1423"/>
      <c r="E172" s="1423"/>
      <c r="F172" s="1423"/>
      <c r="G172" s="1423"/>
      <c r="H172" s="1423"/>
      <c r="I172" s="1423"/>
      <c r="J172" s="1423"/>
      <c r="K172" s="1423"/>
      <c r="L172" s="1423"/>
      <c r="M172" s="1423"/>
      <c r="N172" s="1423"/>
      <c r="O172" s="1423"/>
      <c r="P172" s="1423"/>
      <c r="Q172" s="1423"/>
      <c r="R172" s="1423"/>
      <c r="S172" s="1423"/>
      <c r="T172" s="1423"/>
      <c r="U172" s="1423"/>
      <c r="V172" s="1423"/>
      <c r="W172" s="1423"/>
      <c r="X172" s="1423"/>
      <c r="Y172" s="1423"/>
      <c r="Z172" s="1423"/>
    </row>
    <row r="173" spans="1:26" ht="18.5">
      <c r="A173" s="1423"/>
      <c r="B173" s="1423"/>
      <c r="C173" s="1423"/>
      <c r="D173" s="1423"/>
      <c r="E173" s="1423"/>
      <c r="F173" s="1423"/>
      <c r="G173" s="1423"/>
      <c r="H173" s="1423"/>
      <c r="I173" s="1423"/>
      <c r="J173" s="1423"/>
      <c r="K173" s="1423"/>
      <c r="L173" s="1423"/>
      <c r="M173" s="1423"/>
      <c r="N173" s="1423"/>
      <c r="O173" s="1423"/>
      <c r="P173" s="1423"/>
      <c r="Q173" s="1423"/>
      <c r="R173" s="1423"/>
      <c r="S173" s="1423"/>
      <c r="T173" s="1423"/>
      <c r="U173" s="1423"/>
      <c r="V173" s="1423"/>
      <c r="W173" s="1423"/>
      <c r="X173" s="1423"/>
      <c r="Y173" s="1423"/>
      <c r="Z173" s="1423"/>
    </row>
    <row r="174" spans="1:26" ht="18.5">
      <c r="A174" s="1423"/>
      <c r="B174" s="1423"/>
      <c r="C174" s="1423"/>
      <c r="D174" s="1423"/>
      <c r="E174" s="1423"/>
      <c r="F174" s="1423"/>
      <c r="G174" s="1423"/>
      <c r="H174" s="1423"/>
      <c r="I174" s="1423"/>
      <c r="J174" s="1423"/>
      <c r="K174" s="1423"/>
      <c r="L174" s="1423"/>
      <c r="M174" s="1423"/>
      <c r="N174" s="1423"/>
      <c r="O174" s="1423"/>
      <c r="P174" s="1423"/>
      <c r="Q174" s="1423"/>
      <c r="R174" s="1423"/>
      <c r="S174" s="1423"/>
      <c r="T174" s="1423"/>
      <c r="U174" s="1423"/>
      <c r="V174" s="1423"/>
      <c r="W174" s="1423"/>
      <c r="X174" s="1423"/>
      <c r="Y174" s="1423"/>
      <c r="Z174" s="1423"/>
    </row>
    <row r="175" spans="1:26" ht="18.5">
      <c r="A175" s="1423"/>
      <c r="B175" s="1423"/>
      <c r="C175" s="1423"/>
      <c r="D175" s="1423"/>
      <c r="E175" s="1423"/>
      <c r="F175" s="1423"/>
      <c r="G175" s="1423"/>
      <c r="H175" s="1423"/>
      <c r="I175" s="1423"/>
      <c r="J175" s="1423"/>
      <c r="K175" s="1423"/>
      <c r="L175" s="1423"/>
      <c r="M175" s="1423"/>
      <c r="N175" s="1423"/>
      <c r="O175" s="1423"/>
      <c r="P175" s="1423"/>
      <c r="Q175" s="1423"/>
      <c r="R175" s="1423"/>
      <c r="S175" s="1423"/>
      <c r="T175" s="1423"/>
      <c r="U175" s="1423"/>
      <c r="V175" s="1423"/>
      <c r="W175" s="1423"/>
      <c r="X175" s="1423"/>
      <c r="Y175" s="1423"/>
      <c r="Z175" s="1423"/>
    </row>
    <row r="176" spans="1:26" ht="18.5">
      <c r="A176" s="1423"/>
      <c r="B176" s="1423"/>
      <c r="C176" s="1423"/>
      <c r="D176" s="1423"/>
      <c r="E176" s="1423"/>
      <c r="F176" s="1423"/>
      <c r="G176" s="1423"/>
      <c r="H176" s="1423"/>
      <c r="I176" s="1423"/>
      <c r="J176" s="1423"/>
      <c r="K176" s="1423"/>
      <c r="L176" s="1423"/>
      <c r="M176" s="1423"/>
      <c r="N176" s="1423"/>
      <c r="O176" s="1423"/>
      <c r="P176" s="1423"/>
      <c r="Q176" s="1423"/>
      <c r="R176" s="1423"/>
      <c r="S176" s="1423"/>
      <c r="T176" s="1423"/>
      <c r="U176" s="1423"/>
      <c r="V176" s="1423"/>
      <c r="W176" s="1423"/>
      <c r="X176" s="1423"/>
      <c r="Y176" s="1423"/>
      <c r="Z176" s="1423"/>
    </row>
    <row r="177" spans="1:26" ht="18.5">
      <c r="A177" s="1423"/>
      <c r="B177" s="1423"/>
      <c r="C177" s="1423"/>
      <c r="D177" s="1423"/>
      <c r="E177" s="1423"/>
      <c r="F177" s="1423"/>
      <c r="G177" s="1423"/>
      <c r="H177" s="1423"/>
      <c r="I177" s="1423"/>
      <c r="J177" s="1423"/>
      <c r="K177" s="1423"/>
      <c r="L177" s="1423"/>
      <c r="M177" s="1423"/>
      <c r="N177" s="1423"/>
      <c r="O177" s="1423"/>
      <c r="P177" s="1423"/>
      <c r="Q177" s="1423"/>
      <c r="R177" s="1423"/>
      <c r="S177" s="1423"/>
      <c r="T177" s="1423"/>
      <c r="U177" s="1423"/>
      <c r="V177" s="1423"/>
      <c r="W177" s="1423"/>
      <c r="X177" s="1423"/>
      <c r="Y177" s="1423"/>
      <c r="Z177" s="1423"/>
    </row>
    <row r="178" spans="1:26" ht="18.5">
      <c r="A178" s="1423"/>
      <c r="B178" s="1423"/>
      <c r="C178" s="1423"/>
      <c r="D178" s="1423"/>
      <c r="E178" s="1423"/>
      <c r="F178" s="1423"/>
      <c r="G178" s="1423"/>
      <c r="H178" s="1423"/>
      <c r="I178" s="1423"/>
      <c r="J178" s="1423"/>
      <c r="K178" s="1423"/>
      <c r="L178" s="1423"/>
      <c r="M178" s="1423"/>
      <c r="N178" s="1423"/>
      <c r="O178" s="1423"/>
      <c r="P178" s="1423"/>
      <c r="Q178" s="1423"/>
      <c r="R178" s="1423"/>
      <c r="S178" s="1423"/>
      <c r="T178" s="1423"/>
      <c r="U178" s="1423"/>
      <c r="V178" s="1423"/>
      <c r="W178" s="1423"/>
      <c r="X178" s="1423"/>
      <c r="Y178" s="1423"/>
      <c r="Z178" s="1423"/>
    </row>
    <row r="179" spans="1:26" ht="18.5">
      <c r="A179" s="1423"/>
      <c r="B179" s="1423"/>
      <c r="C179" s="1423"/>
      <c r="D179" s="1423"/>
      <c r="E179" s="1423"/>
      <c r="F179" s="1423"/>
      <c r="G179" s="1423"/>
      <c r="H179" s="1423"/>
      <c r="I179" s="1423"/>
      <c r="J179" s="1423"/>
      <c r="K179" s="1423"/>
      <c r="L179" s="1423"/>
      <c r="M179" s="1423"/>
      <c r="N179" s="1423"/>
      <c r="O179" s="1423"/>
      <c r="P179" s="1423"/>
      <c r="Q179" s="1423"/>
      <c r="R179" s="1423"/>
      <c r="S179" s="1423"/>
      <c r="T179" s="1423"/>
      <c r="U179" s="1423"/>
      <c r="V179" s="1423"/>
      <c r="W179" s="1423"/>
      <c r="X179" s="1423"/>
      <c r="Y179" s="1423"/>
      <c r="Z179" s="1423"/>
    </row>
    <row r="180" spans="1:26" ht="18.5">
      <c r="A180" s="1423"/>
      <c r="B180" s="1423"/>
      <c r="C180" s="1423"/>
      <c r="D180" s="1423"/>
      <c r="E180" s="1423"/>
      <c r="F180" s="1423"/>
      <c r="G180" s="1423"/>
      <c r="H180" s="1423"/>
      <c r="I180" s="1423"/>
      <c r="J180" s="1423"/>
      <c r="K180" s="1423"/>
      <c r="L180" s="1423"/>
      <c r="M180" s="1423"/>
      <c r="N180" s="1423"/>
      <c r="O180" s="1423"/>
      <c r="P180" s="1423"/>
      <c r="Q180" s="1423"/>
      <c r="R180" s="1423"/>
      <c r="S180" s="1423"/>
      <c r="T180" s="1423"/>
      <c r="U180" s="1423"/>
      <c r="V180" s="1423"/>
      <c r="W180" s="1423"/>
      <c r="X180" s="1423"/>
      <c r="Y180" s="1423"/>
      <c r="Z180" s="1423"/>
    </row>
    <row r="181" spans="1:26" ht="18.5">
      <c r="A181" s="1423"/>
      <c r="B181" s="1423"/>
      <c r="C181" s="1423"/>
      <c r="D181" s="1423"/>
      <c r="E181" s="1423"/>
      <c r="F181" s="1423"/>
      <c r="G181" s="1423"/>
      <c r="H181" s="1423"/>
      <c r="I181" s="1423"/>
      <c r="J181" s="1423"/>
      <c r="K181" s="1423"/>
      <c r="L181" s="1423"/>
      <c r="M181" s="1423"/>
      <c r="N181" s="1423"/>
      <c r="O181" s="1423"/>
      <c r="P181" s="1423"/>
      <c r="Q181" s="1423"/>
      <c r="R181" s="1423"/>
      <c r="S181" s="1423"/>
      <c r="T181" s="1423"/>
      <c r="U181" s="1423"/>
      <c r="V181" s="1423"/>
      <c r="W181" s="1423"/>
      <c r="X181" s="1423"/>
      <c r="Y181" s="1423"/>
      <c r="Z181" s="1423"/>
    </row>
    <row r="182" spans="1:26" ht="18.5">
      <c r="A182" s="1423"/>
      <c r="B182" s="1423"/>
      <c r="C182" s="1423"/>
      <c r="D182" s="1423"/>
      <c r="E182" s="1423"/>
      <c r="F182" s="1423"/>
      <c r="G182" s="1423"/>
      <c r="H182" s="1423"/>
      <c r="I182" s="1423"/>
      <c r="J182" s="1423"/>
      <c r="K182" s="1423"/>
      <c r="L182" s="1423"/>
      <c r="M182" s="1423"/>
      <c r="N182" s="1423"/>
      <c r="O182" s="1423"/>
      <c r="P182" s="1423"/>
      <c r="Q182" s="1423"/>
      <c r="R182" s="1423"/>
      <c r="S182" s="1423"/>
      <c r="T182" s="1423"/>
      <c r="U182" s="1423"/>
      <c r="V182" s="1423"/>
      <c r="W182" s="1423"/>
      <c r="X182" s="1423"/>
      <c r="Y182" s="1423"/>
      <c r="Z182" s="1423"/>
    </row>
    <row r="183" spans="1:26" ht="18.5">
      <c r="A183" s="1423"/>
      <c r="B183" s="1423"/>
      <c r="C183" s="1423"/>
      <c r="D183" s="1423"/>
      <c r="E183" s="1423"/>
      <c r="F183" s="1423"/>
      <c r="G183" s="1423"/>
      <c r="H183" s="1423"/>
      <c r="I183" s="1423"/>
      <c r="J183" s="1423"/>
      <c r="K183" s="1423"/>
      <c r="L183" s="1423"/>
      <c r="M183" s="1423"/>
      <c r="N183" s="1423"/>
      <c r="O183" s="1423"/>
      <c r="P183" s="1423"/>
      <c r="Q183" s="1423"/>
      <c r="R183" s="1423"/>
      <c r="S183" s="1423"/>
      <c r="T183" s="1423"/>
      <c r="U183" s="1423"/>
      <c r="V183" s="1423"/>
      <c r="W183" s="1423"/>
      <c r="X183" s="1423"/>
      <c r="Y183" s="1423"/>
      <c r="Z183" s="1423"/>
    </row>
    <row r="184" spans="1:26" ht="18.5">
      <c r="A184" s="1423"/>
      <c r="B184" s="1423"/>
      <c r="C184" s="1423"/>
      <c r="D184" s="1423"/>
      <c r="E184" s="1423"/>
      <c r="F184" s="1423"/>
      <c r="G184" s="1423"/>
      <c r="H184" s="1423"/>
      <c r="I184" s="1423"/>
      <c r="J184" s="1423"/>
      <c r="K184" s="1423"/>
      <c r="L184" s="1423"/>
      <c r="M184" s="1423"/>
      <c r="N184" s="1423"/>
      <c r="O184" s="1423"/>
      <c r="P184" s="1423"/>
      <c r="Q184" s="1423"/>
      <c r="R184" s="1423"/>
      <c r="S184" s="1423"/>
      <c r="T184" s="1423"/>
      <c r="U184" s="1423"/>
      <c r="V184" s="1423"/>
      <c r="W184" s="1423"/>
      <c r="X184" s="1423"/>
      <c r="Y184" s="1423"/>
      <c r="Z184" s="1423"/>
    </row>
    <row r="185" spans="1:26" ht="18.5">
      <c r="A185" s="1423"/>
      <c r="B185" s="1423"/>
      <c r="C185" s="1423"/>
      <c r="D185" s="1423"/>
      <c r="E185" s="1423"/>
      <c r="F185" s="1423"/>
      <c r="G185" s="1423"/>
      <c r="H185" s="1423"/>
      <c r="I185" s="1423"/>
      <c r="J185" s="1423"/>
      <c r="K185" s="1423"/>
      <c r="L185" s="1423"/>
      <c r="M185" s="1423"/>
      <c r="N185" s="1423"/>
      <c r="O185" s="1423"/>
      <c r="P185" s="1423"/>
      <c r="Q185" s="1423"/>
      <c r="R185" s="1423"/>
      <c r="S185" s="1423"/>
      <c r="T185" s="1423"/>
      <c r="U185" s="1423"/>
      <c r="V185" s="1423"/>
      <c r="W185" s="1423"/>
      <c r="X185" s="1423"/>
      <c r="Y185" s="1423"/>
      <c r="Z185" s="1423"/>
    </row>
    <row r="186" spans="1:26" ht="18.5">
      <c r="A186" s="1423"/>
      <c r="B186" s="1423"/>
      <c r="C186" s="1423"/>
      <c r="D186" s="1423"/>
      <c r="E186" s="1423"/>
      <c r="F186" s="1423"/>
      <c r="G186" s="1423"/>
      <c r="H186" s="1423"/>
      <c r="I186" s="1423"/>
      <c r="J186" s="1423"/>
      <c r="K186" s="1423"/>
      <c r="L186" s="1423"/>
      <c r="M186" s="1423"/>
      <c r="N186" s="1423"/>
      <c r="O186" s="1423"/>
      <c r="P186" s="1423"/>
      <c r="Q186" s="1423"/>
      <c r="R186" s="1423"/>
      <c r="S186" s="1423"/>
      <c r="T186" s="1423"/>
      <c r="U186" s="1423"/>
      <c r="V186" s="1423"/>
      <c r="W186" s="1423"/>
      <c r="X186" s="1423"/>
      <c r="Y186" s="1423"/>
      <c r="Z186" s="1423"/>
    </row>
    <row r="187" spans="1:26" ht="18.5">
      <c r="A187" s="1423"/>
      <c r="B187" s="1423"/>
      <c r="C187" s="1423"/>
      <c r="D187" s="1423"/>
      <c r="E187" s="1423"/>
      <c r="F187" s="1423"/>
      <c r="G187" s="1423"/>
      <c r="H187" s="1423"/>
      <c r="I187" s="1423"/>
      <c r="J187" s="1423"/>
      <c r="K187" s="1423"/>
      <c r="L187" s="1423"/>
      <c r="M187" s="1423"/>
      <c r="N187" s="1423"/>
      <c r="O187" s="1423"/>
      <c r="P187" s="1423"/>
      <c r="Q187" s="1423"/>
      <c r="R187" s="1423"/>
      <c r="S187" s="1423"/>
      <c r="T187" s="1423"/>
      <c r="U187" s="1423"/>
      <c r="V187" s="1423"/>
      <c r="W187" s="1423"/>
      <c r="X187" s="1423"/>
      <c r="Y187" s="1423"/>
      <c r="Z187" s="1423"/>
    </row>
    <row r="188" spans="1:26" ht="18.5">
      <c r="A188" s="1423"/>
      <c r="B188" s="1423"/>
      <c r="C188" s="1423"/>
      <c r="D188" s="1423"/>
      <c r="E188" s="1423"/>
      <c r="F188" s="1423"/>
      <c r="G188" s="1423"/>
      <c r="H188" s="1423"/>
      <c r="I188" s="1423"/>
      <c r="J188" s="1423"/>
      <c r="K188" s="1423"/>
      <c r="L188" s="1423"/>
      <c r="M188" s="1423"/>
      <c r="N188" s="1423"/>
      <c r="O188" s="1423"/>
      <c r="P188" s="1423"/>
      <c r="Q188" s="1423"/>
      <c r="R188" s="1423"/>
      <c r="S188" s="1423"/>
      <c r="T188" s="1423"/>
      <c r="U188" s="1423"/>
      <c r="V188" s="1423"/>
      <c r="W188" s="1423"/>
      <c r="X188" s="1423"/>
      <c r="Y188" s="1423"/>
      <c r="Z188" s="1423"/>
    </row>
    <row r="189" spans="1:26" ht="18.5">
      <c r="A189" s="1423"/>
      <c r="B189" s="1423"/>
      <c r="C189" s="1423"/>
      <c r="D189" s="1423"/>
      <c r="E189" s="1423"/>
      <c r="F189" s="1423"/>
      <c r="G189" s="1423"/>
      <c r="H189" s="1423"/>
      <c r="I189" s="1423"/>
      <c r="J189" s="1423"/>
      <c r="K189" s="1423"/>
      <c r="L189" s="1423"/>
      <c r="M189" s="1423"/>
      <c r="N189" s="1423"/>
      <c r="O189" s="1423"/>
      <c r="P189" s="1423"/>
      <c r="Q189" s="1423"/>
      <c r="R189" s="1423"/>
      <c r="S189" s="1423"/>
      <c r="T189" s="1423"/>
      <c r="U189" s="1423"/>
      <c r="V189" s="1423"/>
      <c r="W189" s="1423"/>
      <c r="X189" s="1423"/>
      <c r="Y189" s="1423"/>
      <c r="Z189" s="1423"/>
    </row>
    <row r="190" spans="1:26" ht="18.5">
      <c r="A190" s="1423"/>
      <c r="B190" s="1423"/>
      <c r="C190" s="1423"/>
      <c r="D190" s="1423"/>
      <c r="E190" s="1423"/>
      <c r="F190" s="1423"/>
      <c r="G190" s="1423"/>
      <c r="H190" s="1423"/>
      <c r="I190" s="1423"/>
      <c r="J190" s="1423"/>
      <c r="K190" s="1423"/>
      <c r="L190" s="1423"/>
      <c r="M190" s="1423"/>
      <c r="N190" s="1423"/>
      <c r="O190" s="1423"/>
      <c r="P190" s="1423"/>
      <c r="Q190" s="1423"/>
      <c r="R190" s="1423"/>
      <c r="S190" s="1423"/>
      <c r="T190" s="1423"/>
      <c r="U190" s="1423"/>
      <c r="V190" s="1423"/>
      <c r="W190" s="1423"/>
      <c r="X190" s="1423"/>
      <c r="Y190" s="1423"/>
      <c r="Z190" s="1423"/>
    </row>
    <row r="191" spans="1:26" ht="18.5">
      <c r="A191" s="1423"/>
      <c r="B191" s="1423"/>
      <c r="C191" s="1423"/>
      <c r="D191" s="1423"/>
      <c r="E191" s="1423"/>
      <c r="F191" s="1423"/>
      <c r="G191" s="1423"/>
      <c r="H191" s="1423"/>
      <c r="I191" s="1423"/>
      <c r="J191" s="1423"/>
      <c r="K191" s="1423"/>
      <c r="L191" s="1423"/>
      <c r="M191" s="1423"/>
      <c r="N191" s="1423"/>
      <c r="O191" s="1423"/>
      <c r="P191" s="1423"/>
      <c r="Q191" s="1423"/>
      <c r="R191" s="1423"/>
      <c r="S191" s="1423"/>
      <c r="T191" s="1423"/>
      <c r="U191" s="1423"/>
      <c r="V191" s="1423"/>
      <c r="W191" s="1423"/>
      <c r="X191" s="1423"/>
      <c r="Y191" s="1423"/>
      <c r="Z191" s="1423"/>
    </row>
    <row r="192" spans="1:26" ht="18.5">
      <c r="A192" s="1423"/>
      <c r="B192" s="1423"/>
      <c r="C192" s="1423"/>
      <c r="D192" s="1423"/>
      <c r="E192" s="1423"/>
      <c r="F192" s="1423"/>
      <c r="G192" s="1423"/>
      <c r="H192" s="1423"/>
      <c r="I192" s="1423"/>
      <c r="J192" s="1423"/>
      <c r="K192" s="1423"/>
      <c r="L192" s="1423"/>
      <c r="M192" s="1423"/>
      <c r="N192" s="1423"/>
      <c r="O192" s="1423"/>
      <c r="P192" s="1423"/>
      <c r="Q192" s="1423"/>
      <c r="R192" s="1423"/>
      <c r="S192" s="1423"/>
      <c r="T192" s="1423"/>
      <c r="U192" s="1423"/>
      <c r="V192" s="1423"/>
      <c r="W192" s="1423"/>
      <c r="X192" s="1423"/>
      <c r="Y192" s="1423"/>
      <c r="Z192" s="1423"/>
    </row>
    <row r="193" spans="1:26" ht="18.5">
      <c r="A193" s="1423"/>
      <c r="B193" s="1423"/>
      <c r="C193" s="1423"/>
      <c r="D193" s="1423"/>
      <c r="E193" s="1423"/>
      <c r="F193" s="1423"/>
      <c r="G193" s="1423"/>
      <c r="H193" s="1423"/>
      <c r="I193" s="1423"/>
      <c r="J193" s="1423"/>
      <c r="K193" s="1423"/>
      <c r="L193" s="1423"/>
      <c r="M193" s="1423"/>
      <c r="N193" s="1423"/>
      <c r="O193" s="1423"/>
      <c r="P193" s="1423"/>
      <c r="Q193" s="1423"/>
      <c r="R193" s="1423"/>
      <c r="S193" s="1423"/>
      <c r="T193" s="1423"/>
      <c r="U193" s="1423"/>
      <c r="V193" s="1423"/>
      <c r="W193" s="1423"/>
      <c r="X193" s="1423"/>
      <c r="Y193" s="1423"/>
      <c r="Z193" s="1423"/>
    </row>
    <row r="194" spans="1:26" ht="18.5">
      <c r="A194" s="1423"/>
      <c r="B194" s="1423"/>
      <c r="C194" s="1423"/>
      <c r="D194" s="1423"/>
      <c r="E194" s="1423"/>
      <c r="F194" s="1423"/>
      <c r="G194" s="1423"/>
      <c r="H194" s="1423"/>
      <c r="I194" s="1423"/>
      <c r="J194" s="1423"/>
      <c r="K194" s="1423"/>
      <c r="L194" s="1423"/>
      <c r="M194" s="1423"/>
      <c r="N194" s="1423"/>
      <c r="O194" s="1423"/>
      <c r="P194" s="1423"/>
      <c r="Q194" s="1423"/>
      <c r="R194" s="1423"/>
      <c r="S194" s="1423"/>
      <c r="T194" s="1423"/>
      <c r="U194" s="1423"/>
      <c r="V194" s="1423"/>
      <c r="W194" s="1423"/>
      <c r="X194" s="1423"/>
      <c r="Y194" s="1423"/>
      <c r="Z194" s="1423"/>
    </row>
    <row r="195" spans="1:26" ht="18.5">
      <c r="A195" s="1423"/>
      <c r="B195" s="1423"/>
      <c r="C195" s="1423"/>
      <c r="D195" s="1423"/>
      <c r="E195" s="1423"/>
      <c r="F195" s="1423"/>
      <c r="G195" s="1423"/>
      <c r="H195" s="1423"/>
      <c r="I195" s="1423"/>
      <c r="J195" s="1423"/>
      <c r="K195" s="1423"/>
      <c r="L195" s="1423"/>
      <c r="M195" s="1423"/>
      <c r="N195" s="1423"/>
      <c r="O195" s="1423"/>
      <c r="P195" s="1423"/>
      <c r="Q195" s="1423"/>
      <c r="R195" s="1423"/>
      <c r="S195" s="1423"/>
      <c r="T195" s="1423"/>
      <c r="U195" s="1423"/>
      <c r="V195" s="1423"/>
      <c r="W195" s="1423"/>
      <c r="X195" s="1423"/>
      <c r="Y195" s="1423"/>
      <c r="Z195" s="1423"/>
    </row>
    <row r="196" spans="1:26" ht="18.5">
      <c r="A196" s="1423"/>
      <c r="B196" s="1423"/>
      <c r="C196" s="1423"/>
      <c r="D196" s="1423"/>
      <c r="E196" s="1423"/>
      <c r="F196" s="1423"/>
      <c r="G196" s="1423"/>
      <c r="H196" s="1423"/>
      <c r="I196" s="1423"/>
      <c r="J196" s="1423"/>
      <c r="K196" s="1423"/>
      <c r="L196" s="1423"/>
      <c r="M196" s="1423"/>
      <c r="N196" s="1423"/>
      <c r="O196" s="1423"/>
      <c r="P196" s="1423"/>
      <c r="Q196" s="1423"/>
      <c r="R196" s="1423"/>
      <c r="S196" s="1423"/>
      <c r="T196" s="1423"/>
      <c r="U196" s="1423"/>
      <c r="V196" s="1423"/>
      <c r="W196" s="1423"/>
      <c r="X196" s="1423"/>
      <c r="Y196" s="1423"/>
      <c r="Z196" s="1423"/>
    </row>
    <row r="197" spans="1:26" ht="18.5">
      <c r="A197" s="1423"/>
      <c r="B197" s="1423"/>
      <c r="C197" s="1423"/>
      <c r="D197" s="1423"/>
      <c r="E197" s="1423"/>
      <c r="F197" s="1423"/>
      <c r="G197" s="1423"/>
      <c r="H197" s="1423"/>
      <c r="I197" s="1423"/>
      <c r="J197" s="1423"/>
      <c r="K197" s="1423"/>
      <c r="L197" s="1423"/>
      <c r="M197" s="1423"/>
      <c r="N197" s="1423"/>
      <c r="O197" s="1423"/>
      <c r="P197" s="1423"/>
      <c r="Q197" s="1423"/>
      <c r="R197" s="1423"/>
      <c r="S197" s="1423"/>
      <c r="T197" s="1423"/>
      <c r="U197" s="1423"/>
      <c r="V197" s="1423"/>
      <c r="W197" s="1423"/>
      <c r="X197" s="1423"/>
      <c r="Y197" s="1423"/>
      <c r="Z197" s="1423"/>
    </row>
    <row r="198" spans="1:26" ht="18.5">
      <c r="A198" s="1423"/>
      <c r="B198" s="1423"/>
      <c r="C198" s="1423"/>
      <c r="D198" s="1423"/>
      <c r="E198" s="1423"/>
      <c r="F198" s="1423"/>
      <c r="G198" s="1423"/>
      <c r="H198" s="1423"/>
      <c r="I198" s="1423"/>
      <c r="J198" s="1423"/>
      <c r="K198" s="1423"/>
      <c r="L198" s="1423"/>
      <c r="M198" s="1423"/>
      <c r="N198" s="1423"/>
      <c r="O198" s="1423"/>
      <c r="P198" s="1423"/>
      <c r="Q198" s="1423"/>
      <c r="R198" s="1423"/>
      <c r="S198" s="1423"/>
      <c r="T198" s="1423"/>
      <c r="U198" s="1423"/>
      <c r="V198" s="1423"/>
      <c r="W198" s="1423"/>
      <c r="X198" s="1423"/>
      <c r="Y198" s="1423"/>
      <c r="Z198" s="1423"/>
    </row>
    <row r="199" spans="1:26" ht="18.5">
      <c r="A199" s="1423"/>
      <c r="B199" s="1423"/>
      <c r="C199" s="1423"/>
      <c r="D199" s="1423"/>
      <c r="E199" s="1423"/>
      <c r="F199" s="1423"/>
      <c r="G199" s="1423"/>
      <c r="H199" s="1423"/>
      <c r="I199" s="1423"/>
      <c r="J199" s="1423"/>
      <c r="K199" s="1423"/>
      <c r="L199" s="1423"/>
      <c r="M199" s="1423"/>
      <c r="N199" s="1423"/>
      <c r="O199" s="1423"/>
      <c r="P199" s="1423"/>
      <c r="Q199" s="1423"/>
      <c r="R199" s="1423"/>
      <c r="S199" s="1423"/>
      <c r="T199" s="1423"/>
      <c r="U199" s="1423"/>
      <c r="V199" s="1423"/>
      <c r="W199" s="1423"/>
      <c r="X199" s="1423"/>
      <c r="Y199" s="1423"/>
      <c r="Z199" s="1423"/>
    </row>
    <row r="200" spans="1:26" ht="18.5">
      <c r="A200" s="1423"/>
      <c r="B200" s="1423"/>
      <c r="C200" s="1423"/>
      <c r="D200" s="1423"/>
      <c r="E200" s="1423"/>
      <c r="F200" s="1423"/>
      <c r="G200" s="1423"/>
      <c r="H200" s="1423"/>
      <c r="I200" s="1423"/>
      <c r="J200" s="1423"/>
      <c r="K200" s="1423"/>
      <c r="L200" s="1423"/>
      <c r="M200" s="1423"/>
      <c r="N200" s="1423"/>
      <c r="O200" s="1423"/>
      <c r="P200" s="1423"/>
      <c r="Q200" s="1423"/>
      <c r="R200" s="1423"/>
      <c r="S200" s="1423"/>
      <c r="T200" s="1423"/>
      <c r="U200" s="1423"/>
      <c r="V200" s="1423"/>
      <c r="W200" s="1423"/>
      <c r="X200" s="1423"/>
      <c r="Y200" s="1423"/>
      <c r="Z200" s="1423"/>
    </row>
    <row r="201" spans="1:26" ht="18.5">
      <c r="A201" s="1423"/>
      <c r="B201" s="1423"/>
      <c r="C201" s="1423"/>
      <c r="D201" s="1423"/>
      <c r="E201" s="1423"/>
      <c r="F201" s="1423"/>
      <c r="G201" s="1423"/>
      <c r="H201" s="1423"/>
      <c r="I201" s="1423"/>
      <c r="J201" s="1423"/>
      <c r="K201" s="1423"/>
      <c r="L201" s="1423"/>
      <c r="M201" s="1423"/>
      <c r="N201" s="1423"/>
      <c r="O201" s="1423"/>
      <c r="P201" s="1423"/>
      <c r="Q201" s="1423"/>
      <c r="R201" s="1423"/>
      <c r="S201" s="1423"/>
      <c r="T201" s="1423"/>
      <c r="U201" s="1423"/>
      <c r="V201" s="1423"/>
      <c r="W201" s="1423"/>
      <c r="X201" s="1423"/>
      <c r="Y201" s="1423"/>
      <c r="Z201" s="1423"/>
    </row>
    <row r="202" spans="1:26" ht="18.5">
      <c r="A202" s="1423"/>
      <c r="B202" s="1423"/>
      <c r="C202" s="1423"/>
      <c r="D202" s="1423"/>
      <c r="E202" s="1423"/>
      <c r="F202" s="1423"/>
      <c r="G202" s="1423"/>
      <c r="H202" s="1423"/>
      <c r="I202" s="1423"/>
      <c r="J202" s="1423"/>
      <c r="K202" s="1423"/>
      <c r="L202" s="1423"/>
      <c r="M202" s="1423"/>
      <c r="N202" s="1423"/>
      <c r="O202" s="1423"/>
      <c r="P202" s="1423"/>
      <c r="Q202" s="1423"/>
      <c r="R202" s="1423"/>
      <c r="S202" s="1423"/>
      <c r="T202" s="1423"/>
      <c r="U202" s="1423"/>
      <c r="V202" s="1423"/>
      <c r="W202" s="1423"/>
      <c r="X202" s="1423"/>
      <c r="Y202" s="1423"/>
      <c r="Z202" s="1423"/>
    </row>
    <row r="203" spans="1:26" ht="18.5">
      <c r="A203" s="1423"/>
      <c r="B203" s="1423"/>
      <c r="C203" s="1423"/>
      <c r="D203" s="1423"/>
      <c r="E203" s="1423"/>
      <c r="F203" s="1423"/>
      <c r="G203" s="1423"/>
      <c r="H203" s="1423"/>
      <c r="I203" s="1423"/>
      <c r="J203" s="1423"/>
      <c r="K203" s="1423"/>
      <c r="L203" s="1423"/>
      <c r="M203" s="1423"/>
      <c r="N203" s="1423"/>
      <c r="O203" s="1423"/>
      <c r="P203" s="1423"/>
      <c r="Q203" s="1423"/>
      <c r="R203" s="1423"/>
      <c r="S203" s="1423"/>
      <c r="T203" s="1423"/>
      <c r="U203" s="1423"/>
      <c r="V203" s="1423"/>
      <c r="W203" s="1423"/>
      <c r="X203" s="1423"/>
      <c r="Y203" s="1423"/>
      <c r="Z203" s="1423"/>
    </row>
    <row r="204" spans="1:26" ht="18.5">
      <c r="A204" s="1423"/>
      <c r="B204" s="1423"/>
      <c r="C204" s="1423"/>
      <c r="D204" s="1423"/>
      <c r="E204" s="1423"/>
      <c r="F204" s="1423"/>
      <c r="G204" s="1423"/>
      <c r="H204" s="1423"/>
      <c r="I204" s="1423"/>
      <c r="J204" s="1423"/>
      <c r="K204" s="1423"/>
      <c r="L204" s="1423"/>
      <c r="M204" s="1423"/>
      <c r="N204" s="1423"/>
      <c r="O204" s="1423"/>
      <c r="P204" s="1423"/>
      <c r="Q204" s="1423"/>
      <c r="R204" s="1423"/>
      <c r="S204" s="1423"/>
      <c r="T204" s="1423"/>
      <c r="U204" s="1423"/>
      <c r="V204" s="1423"/>
      <c r="W204" s="1423"/>
      <c r="X204" s="1423"/>
      <c r="Y204" s="1423"/>
      <c r="Z204" s="1423"/>
    </row>
    <row r="205" spans="1:26" ht="18.5">
      <c r="A205" s="1423"/>
      <c r="B205" s="1423"/>
      <c r="C205" s="1423"/>
      <c r="D205" s="1423"/>
      <c r="E205" s="1423"/>
      <c r="F205" s="1423"/>
      <c r="G205" s="1423"/>
      <c r="H205" s="1423"/>
      <c r="I205" s="1423"/>
      <c r="J205" s="1423"/>
      <c r="K205" s="1423"/>
      <c r="L205" s="1423"/>
      <c r="M205" s="1423"/>
      <c r="N205" s="1423"/>
      <c r="O205" s="1423"/>
      <c r="P205" s="1423"/>
      <c r="Q205" s="1423"/>
      <c r="R205" s="1423"/>
      <c r="S205" s="1423"/>
      <c r="T205" s="1423"/>
      <c r="U205" s="1423"/>
      <c r="V205" s="1423"/>
      <c r="W205" s="1423"/>
      <c r="X205" s="1423"/>
      <c r="Y205" s="1423"/>
      <c r="Z205" s="1423"/>
    </row>
    <row r="206" spans="1:26" ht="18.5">
      <c r="A206" s="1423"/>
      <c r="B206" s="1423"/>
      <c r="C206" s="1423"/>
      <c r="D206" s="1423"/>
      <c r="E206" s="1423"/>
      <c r="F206" s="1423"/>
      <c r="G206" s="1423"/>
      <c r="H206" s="1423"/>
      <c r="I206" s="1423"/>
      <c r="J206" s="1423"/>
      <c r="K206" s="1423"/>
      <c r="L206" s="1423"/>
      <c r="M206" s="1423"/>
      <c r="N206" s="1423"/>
      <c r="O206" s="1423"/>
      <c r="P206" s="1423"/>
      <c r="Q206" s="1423"/>
      <c r="R206" s="1423"/>
      <c r="S206" s="1423"/>
      <c r="T206" s="1423"/>
      <c r="U206" s="1423"/>
      <c r="V206" s="1423"/>
      <c r="W206" s="1423"/>
      <c r="X206" s="1423"/>
      <c r="Y206" s="1423"/>
      <c r="Z206" s="1423"/>
    </row>
    <row r="207" spans="1:26" ht="18.5">
      <c r="A207" s="1423"/>
      <c r="B207" s="1423"/>
      <c r="C207" s="1423"/>
      <c r="D207" s="1423"/>
      <c r="E207" s="1423"/>
      <c r="F207" s="1423"/>
      <c r="G207" s="1423"/>
      <c r="H207" s="1423"/>
      <c r="I207" s="1423"/>
      <c r="J207" s="1423"/>
      <c r="K207" s="1423"/>
      <c r="L207" s="1423"/>
      <c r="M207" s="1423"/>
      <c r="N207" s="1423"/>
      <c r="O207" s="1423"/>
      <c r="P207" s="1423"/>
      <c r="Q207" s="1423"/>
      <c r="R207" s="1423"/>
      <c r="S207" s="1423"/>
      <c r="T207" s="1423"/>
      <c r="U207" s="1423"/>
      <c r="V207" s="1423"/>
      <c r="W207" s="1423"/>
      <c r="X207" s="1423"/>
      <c r="Y207" s="1423"/>
      <c r="Z207" s="1423"/>
    </row>
    <row r="208" spans="1:26" ht="18.5">
      <c r="A208" s="1423"/>
      <c r="B208" s="1423"/>
      <c r="C208" s="1423"/>
      <c r="D208" s="1423"/>
      <c r="E208" s="1423"/>
      <c r="F208" s="1423"/>
      <c r="G208" s="1423"/>
      <c r="H208" s="1423"/>
      <c r="I208" s="1423"/>
      <c r="J208" s="1423"/>
      <c r="K208" s="1423"/>
      <c r="L208" s="1423"/>
      <c r="M208" s="1423"/>
      <c r="N208" s="1423"/>
      <c r="O208" s="1423"/>
      <c r="P208" s="1423"/>
      <c r="Q208" s="1423"/>
      <c r="R208" s="1423"/>
      <c r="S208" s="1423"/>
      <c r="T208" s="1423"/>
      <c r="U208" s="1423"/>
      <c r="V208" s="1423"/>
      <c r="W208" s="1423"/>
      <c r="X208" s="1423"/>
      <c r="Y208" s="1423"/>
      <c r="Z208" s="1423"/>
    </row>
    <row r="209" spans="1:26" ht="18.5">
      <c r="A209" s="1423"/>
      <c r="B209" s="1423"/>
      <c r="C209" s="1423"/>
      <c r="D209" s="1423"/>
      <c r="E209" s="1423"/>
      <c r="F209" s="1423"/>
      <c r="G209" s="1423"/>
      <c r="H209" s="1423"/>
      <c r="I209" s="1423"/>
      <c r="J209" s="1423"/>
      <c r="K209" s="1423"/>
      <c r="L209" s="1423"/>
      <c r="M209" s="1423"/>
      <c r="N209" s="1423"/>
      <c r="O209" s="1423"/>
      <c r="P209" s="1423"/>
      <c r="Q209" s="1423"/>
      <c r="R209" s="1423"/>
      <c r="S209" s="1423"/>
      <c r="T209" s="1423"/>
      <c r="U209" s="1423"/>
      <c r="V209" s="1423"/>
      <c r="W209" s="1423"/>
      <c r="X209" s="1423"/>
      <c r="Y209" s="1423"/>
      <c r="Z209" s="1423"/>
    </row>
    <row r="210" spans="1:26" ht="18.5">
      <c r="A210" s="1423"/>
      <c r="B210" s="1423"/>
      <c r="C210" s="1423"/>
      <c r="D210" s="1423"/>
      <c r="E210" s="1423"/>
      <c r="F210" s="1423"/>
      <c r="G210" s="1423"/>
      <c r="H210" s="1423"/>
      <c r="I210" s="1423"/>
      <c r="J210" s="1423"/>
      <c r="K210" s="1423"/>
      <c r="L210" s="1423"/>
      <c r="M210" s="1423"/>
      <c r="N210" s="1423"/>
      <c r="O210" s="1423"/>
      <c r="P210" s="1423"/>
      <c r="Q210" s="1423"/>
      <c r="R210" s="1423"/>
      <c r="S210" s="1423"/>
      <c r="T210" s="1423"/>
      <c r="U210" s="1423"/>
      <c r="V210" s="1423"/>
      <c r="W210" s="1423"/>
      <c r="X210" s="1423"/>
      <c r="Y210" s="1423"/>
      <c r="Z210" s="1423"/>
    </row>
    <row r="211" spans="1:26" ht="18.5">
      <c r="A211" s="1423"/>
      <c r="B211" s="1423"/>
      <c r="C211" s="1423"/>
      <c r="D211" s="1423"/>
      <c r="E211" s="1423"/>
      <c r="F211" s="1423"/>
      <c r="G211" s="1423"/>
      <c r="H211" s="1423"/>
      <c r="I211" s="1423"/>
      <c r="J211" s="1423"/>
      <c r="K211" s="1423"/>
      <c r="L211" s="1423"/>
      <c r="M211" s="1423"/>
      <c r="N211" s="1423"/>
      <c r="O211" s="1423"/>
      <c r="P211" s="1423"/>
      <c r="Q211" s="1423"/>
      <c r="R211" s="1423"/>
      <c r="S211" s="1423"/>
      <c r="T211" s="1423"/>
      <c r="U211" s="1423"/>
      <c r="V211" s="1423"/>
      <c r="W211" s="1423"/>
      <c r="X211" s="1423"/>
      <c r="Y211" s="1423"/>
      <c r="Z211" s="1423"/>
    </row>
    <row r="212" spans="1:26" ht="18.5">
      <c r="A212" s="1423"/>
      <c r="B212" s="1423"/>
      <c r="C212" s="1423"/>
      <c r="D212" s="1423"/>
      <c r="E212" s="1423"/>
      <c r="F212" s="1423"/>
      <c r="G212" s="1423"/>
      <c r="H212" s="1423"/>
      <c r="I212" s="1423"/>
      <c r="J212" s="1423"/>
      <c r="K212" s="1423"/>
      <c r="L212" s="1423"/>
      <c r="M212" s="1423"/>
      <c r="N212" s="1423"/>
      <c r="O212" s="1423"/>
      <c r="P212" s="1423"/>
      <c r="Q212" s="1423"/>
      <c r="R212" s="1423"/>
      <c r="S212" s="1423"/>
      <c r="T212" s="1423"/>
      <c r="U212" s="1423"/>
      <c r="V212" s="1423"/>
      <c r="W212" s="1423"/>
      <c r="X212" s="1423"/>
      <c r="Y212" s="1423"/>
      <c r="Z212" s="1423"/>
    </row>
    <row r="213" spans="1:26" ht="18.5">
      <c r="A213" s="1423"/>
      <c r="B213" s="1423"/>
      <c r="C213" s="1423"/>
      <c r="D213" s="1423"/>
      <c r="E213" s="1423"/>
      <c r="F213" s="1423"/>
      <c r="G213" s="1423"/>
      <c r="H213" s="1423"/>
      <c r="I213" s="1423"/>
      <c r="J213" s="1423"/>
      <c r="K213" s="1423"/>
      <c r="L213" s="1423"/>
      <c r="M213" s="1423"/>
      <c r="N213" s="1423"/>
      <c r="O213" s="1423"/>
      <c r="P213" s="1423"/>
      <c r="Q213" s="1423"/>
      <c r="R213" s="1423"/>
      <c r="S213" s="1423"/>
      <c r="T213" s="1423"/>
      <c r="U213" s="1423"/>
      <c r="V213" s="1423"/>
      <c r="W213" s="1423"/>
      <c r="X213" s="1423"/>
      <c r="Y213" s="1423"/>
      <c r="Z213" s="1423"/>
    </row>
    <row r="214" spans="1:26" ht="18.5">
      <c r="A214" s="1423"/>
      <c r="B214" s="1423"/>
      <c r="C214" s="1423"/>
      <c r="D214" s="1423"/>
      <c r="E214" s="1423"/>
      <c r="F214" s="1423"/>
      <c r="G214" s="1423"/>
      <c r="H214" s="1423"/>
      <c r="I214" s="1423"/>
      <c r="J214" s="1423"/>
      <c r="K214" s="1423"/>
      <c r="L214" s="1423"/>
      <c r="M214" s="1423"/>
      <c r="N214" s="1423"/>
      <c r="O214" s="1423"/>
      <c r="P214" s="1423"/>
      <c r="Q214" s="1423"/>
      <c r="R214" s="1423"/>
      <c r="S214" s="1423"/>
      <c r="T214" s="1423"/>
      <c r="U214" s="1423"/>
      <c r="V214" s="1423"/>
      <c r="W214" s="1423"/>
      <c r="X214" s="1423"/>
      <c r="Y214" s="1423"/>
      <c r="Z214" s="1423"/>
    </row>
    <row r="215" spans="1:26" ht="18.5">
      <c r="A215" s="1423"/>
      <c r="B215" s="1423"/>
      <c r="C215" s="1423"/>
      <c r="D215" s="1423"/>
      <c r="E215" s="1423"/>
      <c r="F215" s="1423"/>
      <c r="G215" s="1423"/>
      <c r="H215" s="1423"/>
      <c r="I215" s="1423"/>
      <c r="J215" s="1423"/>
      <c r="K215" s="1423"/>
      <c r="L215" s="1423"/>
      <c r="M215" s="1423"/>
      <c r="N215" s="1423"/>
      <c r="O215" s="1423"/>
      <c r="P215" s="1423"/>
      <c r="Q215" s="1423"/>
      <c r="R215" s="1423"/>
      <c r="S215" s="1423"/>
      <c r="T215" s="1423"/>
      <c r="U215" s="1423"/>
      <c r="V215" s="1423"/>
      <c r="W215" s="1423"/>
      <c r="X215" s="1423"/>
      <c r="Y215" s="1423"/>
      <c r="Z215" s="1423"/>
    </row>
    <row r="216" spans="1:26" ht="18.5">
      <c r="A216" s="1423"/>
      <c r="B216" s="1423"/>
      <c r="C216" s="1423"/>
      <c r="D216" s="1423"/>
      <c r="E216" s="1423"/>
      <c r="F216" s="1423"/>
      <c r="G216" s="1423"/>
      <c r="H216" s="1423"/>
      <c r="I216" s="1423"/>
      <c r="J216" s="1423"/>
      <c r="K216" s="1423"/>
      <c r="L216" s="1423"/>
      <c r="M216" s="1423"/>
      <c r="N216" s="1423"/>
      <c r="O216" s="1423"/>
      <c r="P216" s="1423"/>
      <c r="Q216" s="1423"/>
      <c r="R216" s="1423"/>
      <c r="S216" s="1423"/>
      <c r="T216" s="1423"/>
      <c r="U216" s="1423"/>
      <c r="V216" s="1423"/>
      <c r="W216" s="1423"/>
      <c r="X216" s="1423"/>
      <c r="Y216" s="1423"/>
      <c r="Z216" s="1423"/>
    </row>
    <row r="217" spans="1:26" ht="18.5">
      <c r="A217" s="1423"/>
      <c r="B217" s="1423"/>
      <c r="C217" s="1423"/>
      <c r="D217" s="1423"/>
      <c r="E217" s="1423"/>
      <c r="F217" s="1423"/>
      <c r="G217" s="1423"/>
      <c r="H217" s="1423"/>
      <c r="I217" s="1423"/>
      <c r="J217" s="1423"/>
      <c r="K217" s="1423"/>
      <c r="L217" s="1423"/>
      <c r="M217" s="1423"/>
      <c r="N217" s="1423"/>
      <c r="O217" s="1423"/>
      <c r="P217" s="1423"/>
      <c r="Q217" s="1423"/>
      <c r="R217" s="1423"/>
      <c r="S217" s="1423"/>
      <c r="T217" s="1423"/>
      <c r="U217" s="1423"/>
      <c r="V217" s="1423"/>
      <c r="W217" s="1423"/>
      <c r="X217" s="1423"/>
      <c r="Y217" s="1423"/>
      <c r="Z217" s="1423"/>
    </row>
    <row r="218" spans="1:26" ht="18.5">
      <c r="A218" s="1423"/>
      <c r="B218" s="1423"/>
      <c r="C218" s="1423"/>
      <c r="D218" s="1423"/>
      <c r="E218" s="1423"/>
      <c r="F218" s="1423"/>
      <c r="G218" s="1423"/>
      <c r="H218" s="1423"/>
      <c r="I218" s="1423"/>
      <c r="J218" s="1423"/>
      <c r="K218" s="1423"/>
      <c r="L218" s="1423"/>
      <c r="M218" s="1423"/>
      <c r="N218" s="1423"/>
      <c r="O218" s="1423"/>
      <c r="P218" s="1423"/>
      <c r="Q218" s="1423"/>
      <c r="R218" s="1423"/>
      <c r="S218" s="1423"/>
      <c r="T218" s="1423"/>
      <c r="U218" s="1423"/>
      <c r="V218" s="1423"/>
      <c r="W218" s="1423"/>
      <c r="X218" s="1423"/>
      <c r="Y218" s="1423"/>
      <c r="Z218" s="1423"/>
    </row>
    <row r="219" spans="1:26" ht="18.5">
      <c r="A219" s="1423"/>
      <c r="B219" s="1423"/>
      <c r="C219" s="1423"/>
      <c r="D219" s="1423"/>
      <c r="E219" s="1423"/>
      <c r="F219" s="1423"/>
      <c r="G219" s="1423"/>
      <c r="H219" s="1423"/>
      <c r="I219" s="1423"/>
      <c r="J219" s="1423"/>
      <c r="K219" s="1423"/>
      <c r="L219" s="1423"/>
      <c r="M219" s="1423"/>
      <c r="N219" s="1423"/>
      <c r="O219" s="1423"/>
      <c r="P219" s="1423"/>
      <c r="Q219" s="1423"/>
      <c r="R219" s="1423"/>
      <c r="S219" s="1423"/>
      <c r="T219" s="1423"/>
      <c r="U219" s="1423"/>
      <c r="V219" s="1423"/>
      <c r="W219" s="1423"/>
      <c r="X219" s="1423"/>
      <c r="Y219" s="1423"/>
      <c r="Z219" s="1423"/>
    </row>
    <row r="220" spans="1:26" ht="18.5">
      <c r="A220" s="1423"/>
      <c r="B220" s="1423"/>
      <c r="C220" s="1423"/>
      <c r="D220" s="1423"/>
      <c r="E220" s="1423"/>
      <c r="F220" s="1423"/>
      <c r="G220" s="1423"/>
      <c r="H220" s="1423"/>
      <c r="I220" s="1423"/>
      <c r="J220" s="1423"/>
      <c r="K220" s="1423"/>
      <c r="L220" s="1423"/>
      <c r="M220" s="1423"/>
      <c r="N220" s="1423"/>
      <c r="O220" s="1423"/>
      <c r="P220" s="1423"/>
      <c r="Q220" s="1423"/>
      <c r="R220" s="1423"/>
      <c r="S220" s="1423"/>
      <c r="T220" s="1423"/>
      <c r="U220" s="1423"/>
      <c r="V220" s="1423"/>
      <c r="W220" s="1423"/>
      <c r="X220" s="1423"/>
      <c r="Y220" s="1423"/>
      <c r="Z220" s="1423"/>
    </row>
    <row r="221" spans="1:26" ht="18.5">
      <c r="A221" s="1423"/>
      <c r="B221" s="1423"/>
      <c r="C221" s="1423"/>
      <c r="D221" s="1423"/>
      <c r="E221" s="1423"/>
      <c r="F221" s="1423"/>
      <c r="G221" s="1423"/>
      <c r="H221" s="1423"/>
      <c r="I221" s="1423"/>
      <c r="J221" s="1423"/>
      <c r="K221" s="1423"/>
      <c r="L221" s="1423"/>
      <c r="M221" s="1423"/>
      <c r="N221" s="1423"/>
      <c r="O221" s="1423"/>
      <c r="P221" s="1423"/>
      <c r="Q221" s="1423"/>
      <c r="R221" s="1423"/>
      <c r="S221" s="1423"/>
      <c r="T221" s="1423"/>
      <c r="U221" s="1423"/>
      <c r="V221" s="1423"/>
      <c r="W221" s="1423"/>
      <c r="X221" s="1423"/>
      <c r="Y221" s="1423"/>
      <c r="Z221" s="1423"/>
    </row>
    <row r="222" spans="1:26" ht="18.5">
      <c r="A222" s="1423"/>
      <c r="B222" s="1423"/>
      <c r="C222" s="1423"/>
      <c r="D222" s="1423"/>
      <c r="E222" s="1423"/>
      <c r="F222" s="1423"/>
      <c r="G222" s="1423"/>
      <c r="H222" s="1423"/>
      <c r="I222" s="1423"/>
      <c r="J222" s="1423"/>
      <c r="K222" s="1423"/>
      <c r="L222" s="1423"/>
      <c r="M222" s="1423"/>
      <c r="N222" s="1423"/>
      <c r="O222" s="1423"/>
      <c r="P222" s="1423"/>
      <c r="Q222" s="1423"/>
      <c r="R222" s="1423"/>
      <c r="S222" s="1423"/>
      <c r="T222" s="1423"/>
      <c r="U222" s="1423"/>
      <c r="V222" s="1423"/>
      <c r="W222" s="1423"/>
      <c r="X222" s="1423"/>
      <c r="Y222" s="1423"/>
      <c r="Z222" s="1423"/>
    </row>
    <row r="223" spans="1:26" ht="18.5">
      <c r="A223" s="1423"/>
      <c r="B223" s="1423"/>
      <c r="C223" s="1423"/>
      <c r="D223" s="1423"/>
      <c r="E223" s="1423"/>
      <c r="F223" s="1423"/>
      <c r="G223" s="1423"/>
      <c r="H223" s="1423"/>
      <c r="I223" s="1423"/>
      <c r="J223" s="1423"/>
      <c r="K223" s="1423"/>
      <c r="L223" s="1423"/>
      <c r="M223" s="1423"/>
      <c r="N223" s="1423"/>
      <c r="O223" s="1423"/>
      <c r="P223" s="1423"/>
      <c r="Q223" s="1423"/>
      <c r="R223" s="1423"/>
      <c r="S223" s="1423"/>
      <c r="T223" s="1423"/>
      <c r="U223" s="1423"/>
      <c r="V223" s="1423"/>
      <c r="W223" s="1423"/>
      <c r="X223" s="1423"/>
      <c r="Y223" s="1423"/>
      <c r="Z223" s="1423"/>
    </row>
    <row r="224" spans="1:26" ht="18.5">
      <c r="A224" s="1423"/>
      <c r="B224" s="1423"/>
      <c r="C224" s="1423"/>
      <c r="D224" s="1423"/>
      <c r="E224" s="1423"/>
      <c r="F224" s="1423"/>
      <c r="G224" s="1423"/>
      <c r="H224" s="1423"/>
      <c r="I224" s="1423"/>
      <c r="J224" s="1423"/>
      <c r="K224" s="1423"/>
      <c r="L224" s="1423"/>
      <c r="M224" s="1423"/>
      <c r="N224" s="1423"/>
      <c r="O224" s="1423"/>
      <c r="P224" s="1423"/>
      <c r="Q224" s="1423"/>
      <c r="R224" s="1423"/>
      <c r="S224" s="1423"/>
      <c r="T224" s="1423"/>
      <c r="U224" s="1423"/>
      <c r="V224" s="1423"/>
      <c r="W224" s="1423"/>
      <c r="X224" s="1423"/>
      <c r="Y224" s="1423"/>
      <c r="Z224" s="1423"/>
    </row>
    <row r="225" spans="1:26" ht="18.5">
      <c r="A225" s="1423"/>
      <c r="B225" s="1423"/>
      <c r="C225" s="1423"/>
      <c r="D225" s="1423"/>
      <c r="E225" s="1423"/>
      <c r="F225" s="1423"/>
      <c r="G225" s="1423"/>
      <c r="H225" s="1423"/>
      <c r="I225" s="1423"/>
      <c r="J225" s="1423"/>
      <c r="K225" s="1423"/>
      <c r="L225" s="1423"/>
      <c r="M225" s="1423"/>
      <c r="N225" s="1423"/>
      <c r="O225" s="1423"/>
      <c r="P225" s="1423"/>
      <c r="Q225" s="1423"/>
      <c r="R225" s="1423"/>
      <c r="S225" s="1423"/>
      <c r="T225" s="1423"/>
      <c r="U225" s="1423"/>
      <c r="V225" s="1423"/>
      <c r="W225" s="1423"/>
      <c r="X225" s="1423"/>
      <c r="Y225" s="1423"/>
      <c r="Z225" s="1423"/>
    </row>
    <row r="226" spans="1:26" ht="18.5">
      <c r="A226" s="1423"/>
      <c r="B226" s="1423"/>
      <c r="C226" s="1423"/>
      <c r="D226" s="1423"/>
      <c r="E226" s="1423"/>
      <c r="F226" s="1423"/>
      <c r="G226" s="1423"/>
      <c r="H226" s="1423"/>
      <c r="I226" s="1423"/>
      <c r="J226" s="1423"/>
      <c r="K226" s="1423"/>
      <c r="L226" s="1423"/>
      <c r="M226" s="1423"/>
      <c r="N226" s="1423"/>
      <c r="O226" s="1423"/>
      <c r="P226" s="1423"/>
      <c r="Q226" s="1423"/>
      <c r="R226" s="1423"/>
      <c r="S226" s="1423"/>
      <c r="T226" s="1423"/>
      <c r="U226" s="1423"/>
      <c r="V226" s="1423"/>
      <c r="W226" s="1423"/>
      <c r="X226" s="1423"/>
      <c r="Y226" s="1423"/>
      <c r="Z226" s="1423"/>
    </row>
    <row r="227" spans="1:26" ht="18.5">
      <c r="A227" s="1423"/>
      <c r="B227" s="1423"/>
      <c r="C227" s="1423"/>
      <c r="D227" s="1423"/>
      <c r="E227" s="1423"/>
      <c r="F227" s="1423"/>
      <c r="G227" s="1423"/>
      <c r="H227" s="1423"/>
      <c r="I227" s="1423"/>
      <c r="J227" s="1423"/>
      <c r="K227" s="1423"/>
      <c r="L227" s="1423"/>
      <c r="M227" s="1423"/>
      <c r="N227" s="1423"/>
      <c r="O227" s="1423"/>
      <c r="P227" s="1423"/>
      <c r="Q227" s="1423"/>
      <c r="R227" s="1423"/>
      <c r="S227" s="1423"/>
      <c r="T227" s="1423"/>
      <c r="U227" s="1423"/>
      <c r="V227" s="1423"/>
      <c r="W227" s="1423"/>
      <c r="X227" s="1423"/>
      <c r="Y227" s="1423"/>
      <c r="Z227" s="1423"/>
    </row>
    <row r="228" spans="1:26" ht="18.5">
      <c r="A228" s="1423"/>
      <c r="B228" s="1423"/>
      <c r="C228" s="1423"/>
      <c r="D228" s="1423"/>
      <c r="E228" s="1423"/>
      <c r="F228" s="1423"/>
      <c r="G228" s="1423"/>
      <c r="H228" s="1423"/>
      <c r="I228" s="1423"/>
      <c r="J228" s="1423"/>
      <c r="K228" s="1423"/>
      <c r="L228" s="1423"/>
      <c r="M228" s="1423"/>
      <c r="N228" s="1423"/>
      <c r="O228" s="1423"/>
      <c r="P228" s="1423"/>
      <c r="Q228" s="1423"/>
      <c r="R228" s="1423"/>
      <c r="S228" s="1423"/>
      <c r="T228" s="1423"/>
      <c r="U228" s="1423"/>
      <c r="V228" s="1423"/>
      <c r="W228" s="1423"/>
      <c r="X228" s="1423"/>
      <c r="Y228" s="1423"/>
      <c r="Z228" s="1423"/>
    </row>
    <row r="229" spans="1:26" ht="18.5">
      <c r="A229" s="1423"/>
      <c r="B229" s="1423"/>
      <c r="C229" s="1423"/>
      <c r="D229" s="1423"/>
      <c r="E229" s="1423"/>
      <c r="F229" s="1423"/>
      <c r="G229" s="1423"/>
      <c r="H229" s="1423"/>
      <c r="I229" s="1423"/>
      <c r="J229" s="1423"/>
      <c r="K229" s="1423"/>
      <c r="L229" s="1423"/>
      <c r="M229" s="1423"/>
      <c r="N229" s="1423"/>
      <c r="O229" s="1423"/>
      <c r="P229" s="1423"/>
      <c r="Q229" s="1423"/>
      <c r="R229" s="1423"/>
      <c r="S229" s="1423"/>
      <c r="T229" s="1423"/>
      <c r="U229" s="1423"/>
      <c r="V229" s="1423"/>
      <c r="W229" s="1423"/>
      <c r="X229" s="1423"/>
      <c r="Y229" s="1423"/>
      <c r="Z229" s="1423"/>
    </row>
    <row r="230" spans="1:26" ht="18.5">
      <c r="A230" s="1423"/>
      <c r="B230" s="1423"/>
      <c r="C230" s="1423"/>
      <c r="D230" s="1423"/>
      <c r="E230" s="1423"/>
      <c r="F230" s="1423"/>
      <c r="G230" s="1423"/>
      <c r="H230" s="1423"/>
      <c r="I230" s="1423"/>
      <c r="J230" s="1423"/>
      <c r="K230" s="1423"/>
      <c r="L230" s="1423"/>
      <c r="M230" s="1423"/>
      <c r="N230" s="1423"/>
      <c r="O230" s="1423"/>
      <c r="P230" s="1423"/>
      <c r="Q230" s="1423"/>
      <c r="R230" s="1423"/>
      <c r="S230" s="1423"/>
      <c r="T230" s="1423"/>
      <c r="U230" s="1423"/>
      <c r="V230" s="1423"/>
      <c r="W230" s="1423"/>
      <c r="X230" s="1423"/>
      <c r="Y230" s="1423"/>
      <c r="Z230" s="1423"/>
    </row>
    <row r="231" spans="1:26" ht="18.5">
      <c r="A231" s="1423"/>
      <c r="B231" s="1423"/>
      <c r="C231" s="1423"/>
      <c r="D231" s="1423"/>
      <c r="E231" s="1423"/>
      <c r="F231" s="1423"/>
      <c r="G231" s="1423"/>
      <c r="H231" s="1423"/>
      <c r="I231" s="1423"/>
      <c r="J231" s="1423"/>
      <c r="K231" s="1423"/>
      <c r="L231" s="1423"/>
      <c r="M231" s="1423"/>
      <c r="N231" s="1423"/>
      <c r="O231" s="1423"/>
      <c r="P231" s="1423"/>
      <c r="Q231" s="1423"/>
      <c r="R231" s="1423"/>
      <c r="S231" s="1423"/>
      <c r="T231" s="1423"/>
      <c r="U231" s="1423"/>
      <c r="V231" s="1423"/>
      <c r="W231" s="1423"/>
      <c r="X231" s="1423"/>
      <c r="Y231" s="1423"/>
      <c r="Z231" s="1423"/>
    </row>
    <row r="232" spans="1:26" ht="18.5">
      <c r="A232" s="1423"/>
      <c r="B232" s="1423"/>
      <c r="C232" s="1423"/>
      <c r="D232" s="1423"/>
      <c r="E232" s="1423"/>
      <c r="F232" s="1423"/>
      <c r="G232" s="1423"/>
      <c r="H232" s="1423"/>
      <c r="I232" s="1423"/>
      <c r="J232" s="1423"/>
      <c r="K232" s="1423"/>
      <c r="L232" s="1423"/>
      <c r="M232" s="1423"/>
      <c r="N232" s="1423"/>
      <c r="O232" s="1423"/>
      <c r="P232" s="1423"/>
      <c r="Q232" s="1423"/>
      <c r="R232" s="1423"/>
      <c r="S232" s="1423"/>
      <c r="T232" s="1423"/>
      <c r="U232" s="1423"/>
      <c r="V232" s="1423"/>
      <c r="W232" s="1423"/>
      <c r="X232" s="1423"/>
      <c r="Y232" s="1423"/>
      <c r="Z232" s="1423"/>
    </row>
    <row r="233" spans="1:26" ht="18.5">
      <c r="A233" s="1423"/>
      <c r="B233" s="1423"/>
      <c r="C233" s="1423"/>
      <c r="D233" s="1423"/>
      <c r="E233" s="1423"/>
      <c r="F233" s="1423"/>
      <c r="G233" s="1423"/>
      <c r="H233" s="1423"/>
      <c r="I233" s="1423"/>
      <c r="J233" s="1423"/>
      <c r="K233" s="1423"/>
      <c r="L233" s="1423"/>
      <c r="M233" s="1423"/>
      <c r="N233" s="1423"/>
      <c r="O233" s="1423"/>
      <c r="P233" s="1423"/>
      <c r="Q233" s="1423"/>
      <c r="R233" s="1423"/>
      <c r="S233" s="1423"/>
      <c r="T233" s="1423"/>
      <c r="U233" s="1423"/>
      <c r="V233" s="1423"/>
      <c r="W233" s="1423"/>
      <c r="X233" s="1423"/>
      <c r="Y233" s="1423"/>
      <c r="Z233" s="1423"/>
    </row>
    <row r="234" spans="1:26" ht="18.5">
      <c r="A234" s="1423"/>
      <c r="B234" s="1423"/>
      <c r="C234" s="1423"/>
      <c r="D234" s="1423"/>
      <c r="E234" s="1423"/>
      <c r="F234" s="1423"/>
      <c r="G234" s="1423"/>
      <c r="H234" s="1423"/>
      <c r="I234" s="1423"/>
      <c r="J234" s="1423"/>
      <c r="K234" s="1423"/>
      <c r="L234" s="1423"/>
      <c r="M234" s="1423"/>
      <c r="N234" s="1423"/>
      <c r="O234" s="1423"/>
      <c r="P234" s="1423"/>
      <c r="Q234" s="1423"/>
      <c r="R234" s="1423"/>
      <c r="S234" s="1423"/>
      <c r="T234" s="1423"/>
      <c r="U234" s="1423"/>
      <c r="V234" s="1423"/>
      <c r="W234" s="1423"/>
      <c r="X234" s="1423"/>
      <c r="Y234" s="1423"/>
      <c r="Z234" s="1423"/>
    </row>
    <row r="235" spans="1:26" ht="18.5">
      <c r="A235" s="1423"/>
      <c r="B235" s="1423"/>
      <c r="C235" s="1423"/>
      <c r="D235" s="1423"/>
      <c r="E235" s="1423"/>
      <c r="F235" s="1423"/>
      <c r="G235" s="1423"/>
      <c r="H235" s="1423"/>
      <c r="I235" s="1423"/>
      <c r="J235" s="1423"/>
      <c r="K235" s="1423"/>
      <c r="L235" s="1423"/>
      <c r="M235" s="1423"/>
      <c r="N235" s="1423"/>
      <c r="O235" s="1423"/>
      <c r="P235" s="1423"/>
      <c r="Q235" s="1423"/>
      <c r="R235" s="1423"/>
      <c r="S235" s="1423"/>
      <c r="T235" s="1423"/>
      <c r="U235" s="1423"/>
      <c r="V235" s="1423"/>
      <c r="W235" s="1423"/>
      <c r="X235" s="1423"/>
      <c r="Y235" s="1423"/>
      <c r="Z235" s="1423"/>
    </row>
    <row r="236" spans="1:26" ht="18.5">
      <c r="A236" s="1423"/>
      <c r="B236" s="1423"/>
      <c r="C236" s="1423"/>
      <c r="D236" s="1423"/>
      <c r="E236" s="1423"/>
      <c r="F236" s="1423"/>
      <c r="G236" s="1423"/>
      <c r="H236" s="1423"/>
      <c r="I236" s="1423"/>
      <c r="J236" s="1423"/>
      <c r="K236" s="1423"/>
      <c r="L236" s="1423"/>
      <c r="M236" s="1423"/>
      <c r="N236" s="1423"/>
      <c r="O236" s="1423"/>
      <c r="P236" s="1423"/>
      <c r="Q236" s="1423"/>
      <c r="R236" s="1423"/>
      <c r="S236" s="1423"/>
      <c r="T236" s="1423"/>
      <c r="U236" s="1423"/>
      <c r="V236" s="1423"/>
      <c r="W236" s="1423"/>
      <c r="X236" s="1423"/>
      <c r="Y236" s="1423"/>
      <c r="Z236" s="1423"/>
    </row>
    <row r="237" spans="1:26" ht="18.5">
      <c r="A237" s="1423"/>
      <c r="B237" s="1423"/>
      <c r="C237" s="1423"/>
      <c r="D237" s="1423"/>
      <c r="E237" s="1423"/>
      <c r="F237" s="1423"/>
      <c r="G237" s="1423"/>
      <c r="H237" s="1423"/>
      <c r="I237" s="1423"/>
      <c r="J237" s="1423"/>
      <c r="K237" s="1423"/>
      <c r="L237" s="1423"/>
      <c r="M237" s="1423"/>
      <c r="N237" s="1423"/>
      <c r="O237" s="1423"/>
      <c r="P237" s="1423"/>
      <c r="Q237" s="1423"/>
      <c r="R237" s="1423"/>
      <c r="S237" s="1423"/>
      <c r="T237" s="1423"/>
      <c r="U237" s="1423"/>
      <c r="V237" s="1423"/>
      <c r="W237" s="1423"/>
      <c r="X237" s="1423"/>
      <c r="Y237" s="1423"/>
      <c r="Z237" s="1423"/>
    </row>
    <row r="238" spans="1:26" ht="18.5">
      <c r="A238" s="1423"/>
      <c r="B238" s="1423"/>
      <c r="C238" s="1423"/>
      <c r="D238" s="1423"/>
      <c r="E238" s="1423"/>
      <c r="F238" s="1423"/>
      <c r="G238" s="1423"/>
      <c r="H238" s="1423"/>
      <c r="I238" s="1423"/>
      <c r="J238" s="1423"/>
      <c r="K238" s="1423"/>
      <c r="L238" s="1423"/>
      <c r="M238" s="1423"/>
      <c r="N238" s="1423"/>
      <c r="O238" s="1423"/>
      <c r="P238" s="1423"/>
      <c r="Q238" s="1423"/>
      <c r="R238" s="1423"/>
      <c r="S238" s="1423"/>
      <c r="T238" s="1423"/>
      <c r="U238" s="1423"/>
      <c r="V238" s="1423"/>
      <c r="W238" s="1423"/>
      <c r="X238" s="1423"/>
      <c r="Y238" s="1423"/>
      <c r="Z238" s="1423"/>
    </row>
    <row r="239" spans="1:26" ht="18.5">
      <c r="A239" s="1423"/>
      <c r="B239" s="1423"/>
      <c r="C239" s="1423"/>
      <c r="D239" s="1423"/>
      <c r="E239" s="1423"/>
      <c r="F239" s="1423"/>
      <c r="G239" s="1423"/>
      <c r="H239" s="1423"/>
      <c r="I239" s="1423"/>
      <c r="J239" s="1423"/>
      <c r="K239" s="1423"/>
      <c r="L239" s="1423"/>
      <c r="M239" s="1423"/>
      <c r="N239" s="1423"/>
      <c r="O239" s="1423"/>
      <c r="P239" s="1423"/>
      <c r="Q239" s="1423"/>
      <c r="R239" s="1423"/>
      <c r="S239" s="1423"/>
      <c r="T239" s="1423"/>
      <c r="U239" s="1423"/>
      <c r="V239" s="1423"/>
      <c r="W239" s="1423"/>
      <c r="X239" s="1423"/>
      <c r="Y239" s="1423"/>
      <c r="Z239" s="1423"/>
    </row>
    <row r="240" spans="1:26" ht="18.5">
      <c r="A240" s="1423"/>
      <c r="B240" s="1423"/>
      <c r="C240" s="1423"/>
      <c r="D240" s="1423"/>
      <c r="E240" s="1423"/>
      <c r="F240" s="1423"/>
      <c r="G240" s="1423"/>
      <c r="H240" s="1423"/>
      <c r="I240" s="1423"/>
      <c r="J240" s="1423"/>
      <c r="K240" s="1423"/>
      <c r="L240" s="1423"/>
      <c r="M240" s="1423"/>
      <c r="N240" s="1423"/>
      <c r="O240" s="1423"/>
      <c r="P240" s="1423"/>
      <c r="Q240" s="1423"/>
      <c r="R240" s="1423"/>
      <c r="S240" s="1423"/>
      <c r="T240" s="1423"/>
      <c r="U240" s="1423"/>
      <c r="V240" s="1423"/>
      <c r="W240" s="1423"/>
      <c r="X240" s="1423"/>
      <c r="Y240" s="1423"/>
      <c r="Z240" s="1423"/>
    </row>
    <row r="241" spans="1:26" ht="18.5">
      <c r="A241" s="1423"/>
      <c r="B241" s="1423"/>
      <c r="C241" s="1423"/>
      <c r="D241" s="1423"/>
      <c r="E241" s="1423"/>
      <c r="F241" s="1423"/>
      <c r="G241" s="1423"/>
      <c r="H241" s="1423"/>
      <c r="I241" s="1423"/>
      <c r="J241" s="1423"/>
      <c r="K241" s="1423"/>
      <c r="L241" s="1423"/>
      <c r="M241" s="1423"/>
      <c r="N241" s="1423"/>
      <c r="O241" s="1423"/>
      <c r="P241" s="1423"/>
      <c r="Q241" s="1423"/>
      <c r="R241" s="1423"/>
      <c r="S241" s="1423"/>
      <c r="T241" s="1423"/>
      <c r="U241" s="1423"/>
      <c r="V241" s="1423"/>
      <c r="W241" s="1423"/>
      <c r="X241" s="1423"/>
      <c r="Y241" s="1423"/>
      <c r="Z241" s="1423"/>
    </row>
    <row r="242" spans="1:26" ht="18.5">
      <c r="A242" s="1423"/>
      <c r="B242" s="1423"/>
      <c r="C242" s="1423"/>
      <c r="D242" s="1423"/>
      <c r="E242" s="1423"/>
      <c r="F242" s="1423"/>
      <c r="G242" s="1423"/>
      <c r="H242" s="1423"/>
      <c r="I242" s="1423"/>
      <c r="J242" s="1423"/>
      <c r="K242" s="1423"/>
      <c r="L242" s="1423"/>
      <c r="M242" s="1423"/>
      <c r="N242" s="1423"/>
      <c r="O242" s="1423"/>
      <c r="P242" s="1423"/>
      <c r="Q242" s="1423"/>
      <c r="R242" s="1423"/>
      <c r="S242" s="1423"/>
      <c r="T242" s="1423"/>
      <c r="U242" s="1423"/>
      <c r="V242" s="1423"/>
      <c r="W242" s="1423"/>
      <c r="X242" s="1423"/>
      <c r="Y242" s="1423"/>
      <c r="Z242" s="1423"/>
    </row>
    <row r="243" spans="1:26" ht="18.5">
      <c r="A243" s="1423"/>
      <c r="B243" s="1423"/>
      <c r="C243" s="1423"/>
      <c r="D243" s="1423"/>
      <c r="E243" s="1423"/>
      <c r="F243" s="1423"/>
      <c r="G243" s="1423"/>
      <c r="H243" s="1423"/>
      <c r="I243" s="1423"/>
      <c r="J243" s="1423"/>
      <c r="K243" s="1423"/>
      <c r="L243" s="1423"/>
      <c r="M243" s="1423"/>
      <c r="N243" s="1423"/>
      <c r="O243" s="1423"/>
      <c r="P243" s="1423"/>
      <c r="Q243" s="1423"/>
      <c r="R243" s="1423"/>
      <c r="S243" s="1423"/>
      <c r="T243" s="1423"/>
      <c r="U243" s="1423"/>
      <c r="V243" s="1423"/>
      <c r="W243" s="1423"/>
      <c r="X243" s="1423"/>
      <c r="Y243" s="1423"/>
      <c r="Z243" s="1423"/>
    </row>
    <row r="244" spans="1:26" ht="18.5">
      <c r="A244" s="1423"/>
      <c r="B244" s="1423"/>
      <c r="C244" s="1423"/>
      <c r="D244" s="1423"/>
      <c r="E244" s="1423"/>
      <c r="F244" s="1423"/>
      <c r="G244" s="1423"/>
      <c r="H244" s="1423"/>
      <c r="I244" s="1423"/>
      <c r="J244" s="1423"/>
      <c r="K244" s="1423"/>
      <c r="L244" s="1423"/>
      <c r="M244" s="1423"/>
      <c r="N244" s="1423"/>
      <c r="O244" s="1423"/>
      <c r="P244" s="1423"/>
      <c r="Q244" s="1423"/>
      <c r="R244" s="1423"/>
      <c r="S244" s="1423"/>
      <c r="T244" s="1423"/>
      <c r="U244" s="1423"/>
      <c r="V244" s="1423"/>
      <c r="W244" s="1423"/>
      <c r="X244" s="1423"/>
      <c r="Y244" s="1423"/>
      <c r="Z244" s="1423"/>
    </row>
    <row r="245" spans="1:26" ht="18.5">
      <c r="A245" s="1423"/>
      <c r="B245" s="1423"/>
      <c r="C245" s="1423"/>
      <c r="D245" s="1423"/>
      <c r="E245" s="1423"/>
      <c r="F245" s="1423"/>
      <c r="G245" s="1423"/>
      <c r="H245" s="1423"/>
      <c r="I245" s="1423"/>
      <c r="J245" s="1423"/>
      <c r="K245" s="1423"/>
      <c r="L245" s="1423"/>
      <c r="M245" s="1423"/>
      <c r="N245" s="1423"/>
      <c r="O245" s="1423"/>
      <c r="P245" s="1423"/>
      <c r="Q245" s="1423"/>
      <c r="R245" s="1423"/>
      <c r="S245" s="1423"/>
      <c r="T245" s="1423"/>
      <c r="U245" s="1423"/>
      <c r="V245" s="1423"/>
      <c r="W245" s="1423"/>
      <c r="X245" s="1423"/>
      <c r="Y245" s="1423"/>
      <c r="Z245" s="1423"/>
    </row>
    <row r="246" spans="1:26" ht="18.5">
      <c r="A246" s="1423"/>
      <c r="B246" s="1423"/>
      <c r="C246" s="1423"/>
      <c r="D246" s="1423"/>
      <c r="E246" s="1423"/>
      <c r="F246" s="1423"/>
      <c r="G246" s="1423"/>
      <c r="H246" s="1423"/>
      <c r="I246" s="1423"/>
      <c r="J246" s="1423"/>
      <c r="K246" s="1423"/>
      <c r="L246" s="1423"/>
      <c r="M246" s="1423"/>
      <c r="N246" s="1423"/>
      <c r="O246" s="1423"/>
      <c r="P246" s="1423"/>
      <c r="Q246" s="1423"/>
      <c r="R246" s="1423"/>
      <c r="S246" s="1423"/>
      <c r="T246" s="1423"/>
      <c r="U246" s="1423"/>
      <c r="V246" s="1423"/>
      <c r="W246" s="1423"/>
      <c r="X246" s="1423"/>
      <c r="Y246" s="1423"/>
      <c r="Z246" s="1423"/>
    </row>
    <row r="247" spans="1:26" ht="18.5">
      <c r="A247" s="1423"/>
      <c r="B247" s="1423"/>
      <c r="C247" s="1423"/>
      <c r="D247" s="1423"/>
      <c r="E247" s="1423"/>
      <c r="F247" s="1423"/>
      <c r="G247" s="1423"/>
      <c r="H247" s="1423"/>
      <c r="I247" s="1423"/>
      <c r="J247" s="1423"/>
      <c r="K247" s="1423"/>
      <c r="L247" s="1423"/>
      <c r="M247" s="1423"/>
      <c r="N247" s="1423"/>
      <c r="O247" s="1423"/>
      <c r="P247" s="1423"/>
      <c r="Q247" s="1423"/>
      <c r="R247" s="1423"/>
      <c r="S247" s="1423"/>
      <c r="T247" s="1423"/>
      <c r="U247" s="1423"/>
      <c r="V247" s="1423"/>
      <c r="W247" s="1423"/>
      <c r="X247" s="1423"/>
      <c r="Y247" s="1423"/>
      <c r="Z247" s="1423"/>
    </row>
    <row r="248" spans="1:26" ht="18.5">
      <c r="A248" s="1423"/>
      <c r="B248" s="1423"/>
      <c r="C248" s="1423"/>
      <c r="D248" s="1423"/>
      <c r="E248" s="1423"/>
      <c r="F248" s="1423"/>
      <c r="G248" s="1423"/>
      <c r="H248" s="1423"/>
      <c r="I248" s="1423"/>
      <c r="J248" s="1423"/>
      <c r="K248" s="1423"/>
      <c r="L248" s="1423"/>
      <c r="M248" s="1423"/>
      <c r="N248" s="1423"/>
      <c r="O248" s="1423"/>
      <c r="P248" s="1423"/>
      <c r="Q248" s="1423"/>
      <c r="R248" s="1423"/>
      <c r="S248" s="1423"/>
      <c r="T248" s="1423"/>
      <c r="U248" s="1423"/>
      <c r="V248" s="1423"/>
      <c r="W248" s="1423"/>
      <c r="X248" s="1423"/>
      <c r="Y248" s="1423"/>
      <c r="Z248" s="1423"/>
    </row>
    <row r="249" spans="1:26" ht="18.5">
      <c r="A249" s="1423"/>
      <c r="B249" s="1423"/>
      <c r="C249" s="1423"/>
      <c r="D249" s="1423"/>
      <c r="E249" s="1423"/>
      <c r="F249" s="1423"/>
      <c r="G249" s="1423"/>
      <c r="H249" s="1423"/>
      <c r="I249" s="1423"/>
      <c r="J249" s="1423"/>
      <c r="K249" s="1423"/>
      <c r="L249" s="1423"/>
      <c r="M249" s="1423"/>
      <c r="N249" s="1423"/>
      <c r="O249" s="1423"/>
      <c r="P249" s="1423"/>
      <c r="Q249" s="1423"/>
      <c r="R249" s="1423"/>
      <c r="S249" s="1423"/>
      <c r="T249" s="1423"/>
      <c r="U249" s="1423"/>
      <c r="V249" s="1423"/>
      <c r="W249" s="1423"/>
      <c r="X249" s="1423"/>
      <c r="Y249" s="1423"/>
      <c r="Z249" s="1423"/>
    </row>
    <row r="250" spans="1:26" ht="18.5">
      <c r="A250" s="1423"/>
      <c r="B250" s="1423"/>
      <c r="C250" s="1423"/>
      <c r="D250" s="1423"/>
      <c r="E250" s="1423"/>
      <c r="F250" s="1423"/>
      <c r="G250" s="1423"/>
      <c r="H250" s="1423"/>
      <c r="I250" s="1423"/>
      <c r="J250" s="1423"/>
      <c r="K250" s="1423"/>
      <c r="L250" s="1423"/>
      <c r="M250" s="1423"/>
      <c r="N250" s="1423"/>
      <c r="O250" s="1423"/>
      <c r="P250" s="1423"/>
      <c r="Q250" s="1423"/>
      <c r="R250" s="1423"/>
      <c r="S250" s="1423"/>
      <c r="T250" s="1423"/>
      <c r="U250" s="1423"/>
      <c r="V250" s="1423"/>
      <c r="W250" s="1423"/>
      <c r="X250" s="1423"/>
      <c r="Y250" s="1423"/>
      <c r="Z250" s="1423"/>
    </row>
    <row r="251" spans="1:26" ht="18.5">
      <c r="A251" s="1423"/>
      <c r="B251" s="1423"/>
      <c r="C251" s="1423"/>
      <c r="D251" s="1423"/>
      <c r="E251" s="1423"/>
      <c r="F251" s="1423"/>
      <c r="G251" s="1423"/>
      <c r="H251" s="1423"/>
      <c r="I251" s="1423"/>
      <c r="J251" s="1423"/>
      <c r="K251" s="1423"/>
      <c r="L251" s="1423"/>
      <c r="M251" s="1423"/>
      <c r="N251" s="1423"/>
      <c r="O251" s="1423"/>
      <c r="P251" s="1423"/>
      <c r="Q251" s="1423"/>
      <c r="R251" s="1423"/>
      <c r="S251" s="1423"/>
      <c r="T251" s="1423"/>
      <c r="U251" s="1423"/>
      <c r="V251" s="1423"/>
      <c r="W251" s="1423"/>
      <c r="X251" s="1423"/>
      <c r="Y251" s="1423"/>
      <c r="Z251" s="1423"/>
    </row>
    <row r="252" spans="1:26" ht="18.5">
      <c r="A252" s="1423"/>
      <c r="B252" s="1423"/>
      <c r="C252" s="1423"/>
      <c r="D252" s="1423"/>
      <c r="E252" s="1423"/>
      <c r="F252" s="1423"/>
      <c r="G252" s="1423"/>
      <c r="H252" s="1423"/>
      <c r="I252" s="1423"/>
      <c r="J252" s="1423"/>
      <c r="K252" s="1423"/>
      <c r="L252" s="1423"/>
      <c r="M252" s="1423"/>
      <c r="N252" s="1423"/>
      <c r="O252" s="1423"/>
      <c r="P252" s="1423"/>
      <c r="Q252" s="1423"/>
      <c r="R252" s="1423"/>
      <c r="S252" s="1423"/>
      <c r="T252" s="1423"/>
      <c r="U252" s="1423"/>
      <c r="V252" s="1423"/>
      <c r="W252" s="1423"/>
      <c r="X252" s="1423"/>
      <c r="Y252" s="1423"/>
      <c r="Z252" s="1423"/>
    </row>
    <row r="253" spans="1:26" ht="18.5">
      <c r="A253" s="1423"/>
      <c r="B253" s="1423"/>
      <c r="C253" s="1423"/>
      <c r="D253" s="1423"/>
      <c r="E253" s="1423"/>
      <c r="F253" s="1423"/>
      <c r="G253" s="1423"/>
      <c r="H253" s="1423"/>
      <c r="I253" s="1423"/>
      <c r="J253" s="1423"/>
      <c r="K253" s="1423"/>
      <c r="L253" s="1423"/>
      <c r="M253" s="1423"/>
      <c r="N253" s="1423"/>
      <c r="O253" s="1423"/>
      <c r="P253" s="1423"/>
      <c r="Q253" s="1423"/>
      <c r="R253" s="1423"/>
      <c r="S253" s="1423"/>
      <c r="T253" s="1423"/>
      <c r="U253" s="1423"/>
      <c r="V253" s="1423"/>
      <c r="W253" s="1423"/>
      <c r="X253" s="1423"/>
      <c r="Y253" s="1423"/>
      <c r="Z253" s="1423"/>
    </row>
    <row r="254" spans="1:26" ht="18.5">
      <c r="A254" s="1423"/>
      <c r="B254" s="1423"/>
      <c r="C254" s="1423"/>
      <c r="D254" s="1423"/>
      <c r="E254" s="1423"/>
      <c r="F254" s="1423"/>
      <c r="G254" s="1423"/>
      <c r="H254" s="1423"/>
      <c r="I254" s="1423"/>
      <c r="J254" s="1423"/>
      <c r="K254" s="1423"/>
      <c r="L254" s="1423"/>
      <c r="M254" s="1423"/>
      <c r="N254" s="1423"/>
      <c r="O254" s="1423"/>
      <c r="P254" s="1423"/>
      <c r="Q254" s="1423"/>
      <c r="R254" s="1423"/>
      <c r="S254" s="1423"/>
      <c r="T254" s="1423"/>
      <c r="U254" s="1423"/>
      <c r="V254" s="1423"/>
      <c r="W254" s="1423"/>
      <c r="X254" s="1423"/>
      <c r="Y254" s="1423"/>
      <c r="Z254" s="1423"/>
    </row>
    <row r="255" spans="1:26" ht="18.5">
      <c r="A255" s="1423"/>
      <c r="B255" s="1423"/>
      <c r="C255" s="1423"/>
      <c r="D255" s="1423"/>
      <c r="E255" s="1423"/>
      <c r="F255" s="1423"/>
      <c r="G255" s="1423"/>
      <c r="H255" s="1423"/>
      <c r="I255" s="1423"/>
      <c r="J255" s="1423"/>
      <c r="K255" s="1423"/>
      <c r="L255" s="1423"/>
      <c r="M255" s="1423"/>
      <c r="N255" s="1423"/>
      <c r="O255" s="1423"/>
      <c r="P255" s="1423"/>
      <c r="Q255" s="1423"/>
      <c r="R255" s="1423"/>
      <c r="S255" s="1423"/>
      <c r="T255" s="1423"/>
      <c r="U255" s="1423"/>
      <c r="V255" s="1423"/>
      <c r="W255" s="1423"/>
      <c r="X255" s="1423"/>
      <c r="Y255" s="1423"/>
      <c r="Z255" s="1423"/>
    </row>
    <row r="256" spans="1:26" ht="18.5">
      <c r="A256" s="1423"/>
      <c r="B256" s="1423"/>
      <c r="C256" s="1423"/>
      <c r="D256" s="1423"/>
      <c r="E256" s="1423"/>
      <c r="F256" s="1423"/>
      <c r="G256" s="1423"/>
      <c r="H256" s="1423"/>
      <c r="I256" s="1423"/>
      <c r="J256" s="1423"/>
      <c r="K256" s="1423"/>
      <c r="L256" s="1423"/>
      <c r="M256" s="1423"/>
      <c r="N256" s="1423"/>
      <c r="O256" s="1423"/>
      <c r="P256" s="1423"/>
      <c r="Q256" s="1423"/>
      <c r="R256" s="1423"/>
      <c r="S256" s="1423"/>
      <c r="T256" s="1423"/>
      <c r="U256" s="1423"/>
      <c r="V256" s="1423"/>
      <c r="W256" s="1423"/>
      <c r="X256" s="1423"/>
      <c r="Y256" s="1423"/>
      <c r="Z256" s="1423"/>
    </row>
    <row r="257" spans="1:26" ht="18.5">
      <c r="A257" s="1423"/>
      <c r="B257" s="1423"/>
      <c r="C257" s="1423"/>
      <c r="D257" s="1423"/>
      <c r="E257" s="1423"/>
      <c r="F257" s="1423"/>
      <c r="G257" s="1423"/>
      <c r="H257" s="1423"/>
      <c r="I257" s="1423"/>
      <c r="J257" s="1423"/>
      <c r="K257" s="1423"/>
      <c r="L257" s="1423"/>
      <c r="M257" s="1423"/>
      <c r="N257" s="1423"/>
      <c r="O257" s="1423"/>
      <c r="P257" s="1423"/>
      <c r="Q257" s="1423"/>
      <c r="R257" s="1423"/>
      <c r="S257" s="1423"/>
      <c r="T257" s="1423"/>
      <c r="U257" s="1423"/>
      <c r="V257" s="1423"/>
      <c r="W257" s="1423"/>
      <c r="X257" s="1423"/>
      <c r="Y257" s="1423"/>
      <c r="Z257" s="1423"/>
    </row>
    <row r="258" spans="1:26" ht="18.5">
      <c r="A258" s="1423"/>
      <c r="B258" s="1423"/>
      <c r="C258" s="1423"/>
      <c r="D258" s="1423"/>
      <c r="E258" s="1423"/>
      <c r="F258" s="1423"/>
      <c r="G258" s="1423"/>
      <c r="H258" s="1423"/>
      <c r="I258" s="1423"/>
      <c r="J258" s="1423"/>
      <c r="K258" s="1423"/>
      <c r="L258" s="1423"/>
      <c r="M258" s="1423"/>
      <c r="N258" s="1423"/>
      <c r="O258" s="1423"/>
      <c r="P258" s="1423"/>
      <c r="Q258" s="1423"/>
      <c r="R258" s="1423"/>
      <c r="S258" s="1423"/>
      <c r="T258" s="1423"/>
      <c r="U258" s="1423"/>
      <c r="V258" s="1423"/>
      <c r="W258" s="1423"/>
      <c r="X258" s="1423"/>
      <c r="Y258" s="1423"/>
      <c r="Z258" s="1423"/>
    </row>
    <row r="259" spans="1:26" ht="18.5">
      <c r="A259" s="1423"/>
      <c r="B259" s="1423"/>
      <c r="C259" s="1423"/>
      <c r="D259" s="1423"/>
      <c r="E259" s="1423"/>
      <c r="F259" s="1423"/>
      <c r="G259" s="1423"/>
      <c r="H259" s="1423"/>
      <c r="I259" s="1423"/>
      <c r="J259" s="1423"/>
      <c r="K259" s="1423"/>
      <c r="L259" s="1423"/>
      <c r="M259" s="1423"/>
      <c r="N259" s="1423"/>
      <c r="O259" s="1423"/>
      <c r="P259" s="1423"/>
      <c r="Q259" s="1423"/>
      <c r="R259" s="1423"/>
      <c r="S259" s="1423"/>
      <c r="T259" s="1423"/>
      <c r="U259" s="1423"/>
      <c r="V259" s="1423"/>
      <c r="W259" s="1423"/>
      <c r="X259" s="1423"/>
      <c r="Y259" s="1423"/>
      <c r="Z259" s="1423"/>
    </row>
    <row r="260" spans="1:26" ht="18.5">
      <c r="A260" s="1423"/>
      <c r="B260" s="1423"/>
      <c r="C260" s="1423"/>
      <c r="D260" s="1423"/>
      <c r="E260" s="1423"/>
      <c r="F260" s="1423"/>
      <c r="G260" s="1423"/>
      <c r="H260" s="1423"/>
      <c r="I260" s="1423"/>
      <c r="J260" s="1423"/>
      <c r="K260" s="1423"/>
      <c r="L260" s="1423"/>
      <c r="M260" s="1423"/>
      <c r="N260" s="1423"/>
      <c r="O260" s="1423"/>
      <c r="P260" s="1423"/>
      <c r="Q260" s="1423"/>
      <c r="R260" s="1423"/>
      <c r="S260" s="1423"/>
      <c r="T260" s="1423"/>
      <c r="U260" s="1423"/>
      <c r="V260" s="1423"/>
      <c r="W260" s="1423"/>
      <c r="X260" s="1423"/>
      <c r="Y260" s="1423"/>
      <c r="Z260" s="1423"/>
    </row>
    <row r="261" spans="1:26" ht="18.5">
      <c r="A261" s="1423"/>
      <c r="B261" s="1423"/>
      <c r="C261" s="1423"/>
      <c r="D261" s="1423"/>
      <c r="E261" s="1423"/>
      <c r="F261" s="1423"/>
      <c r="G261" s="1423"/>
      <c r="H261" s="1423"/>
      <c r="I261" s="1423"/>
      <c r="J261" s="1423"/>
      <c r="K261" s="1423"/>
      <c r="L261" s="1423"/>
      <c r="M261" s="1423"/>
      <c r="N261" s="1423"/>
      <c r="O261" s="1423"/>
      <c r="P261" s="1423"/>
      <c r="Q261" s="1423"/>
      <c r="R261" s="1423"/>
      <c r="S261" s="1423"/>
      <c r="T261" s="1423"/>
      <c r="U261" s="1423"/>
      <c r="V261" s="1423"/>
      <c r="W261" s="1423"/>
      <c r="X261" s="1423"/>
      <c r="Y261" s="1423"/>
      <c r="Z261" s="1423"/>
    </row>
    <row r="262" spans="1:26" ht="18.5">
      <c r="A262" s="1423"/>
      <c r="B262" s="1423"/>
      <c r="C262" s="1423"/>
      <c r="D262" s="1423"/>
      <c r="E262" s="1423"/>
      <c r="F262" s="1423"/>
      <c r="G262" s="1423"/>
      <c r="H262" s="1423"/>
      <c r="I262" s="1423"/>
      <c r="J262" s="1423"/>
      <c r="K262" s="1423"/>
      <c r="L262" s="1423"/>
      <c r="M262" s="1423"/>
      <c r="N262" s="1423"/>
      <c r="O262" s="1423"/>
      <c r="P262" s="1423"/>
      <c r="Q262" s="1423"/>
      <c r="R262" s="1423"/>
      <c r="S262" s="1423"/>
      <c r="T262" s="1423"/>
      <c r="U262" s="1423"/>
      <c r="V262" s="1423"/>
      <c r="W262" s="1423"/>
      <c r="X262" s="1423"/>
      <c r="Y262" s="1423"/>
      <c r="Z262" s="1423"/>
    </row>
    <row r="263" spans="1:26" ht="18.5">
      <c r="A263" s="1423"/>
      <c r="B263" s="1423"/>
      <c r="C263" s="1423"/>
      <c r="D263" s="1423"/>
      <c r="E263" s="1423"/>
      <c r="F263" s="1423"/>
      <c r="G263" s="1423"/>
      <c r="H263" s="1423"/>
      <c r="I263" s="1423"/>
      <c r="J263" s="1423"/>
      <c r="K263" s="1423"/>
      <c r="L263" s="1423"/>
      <c r="M263" s="1423"/>
      <c r="N263" s="1423"/>
      <c r="O263" s="1423"/>
      <c r="P263" s="1423"/>
      <c r="Q263" s="1423"/>
      <c r="R263" s="1423"/>
      <c r="S263" s="1423"/>
      <c r="T263" s="1423"/>
      <c r="U263" s="1423"/>
      <c r="V263" s="1423"/>
      <c r="W263" s="1423"/>
      <c r="X263" s="1423"/>
      <c r="Y263" s="1423"/>
      <c r="Z263" s="1423"/>
    </row>
    <row r="264" spans="1:26" ht="18.5">
      <c r="A264" s="1423"/>
      <c r="B264" s="1423"/>
      <c r="C264" s="1423"/>
      <c r="D264" s="1423"/>
      <c r="E264" s="1423"/>
      <c r="F264" s="1423"/>
      <c r="G264" s="1423"/>
      <c r="H264" s="1423"/>
      <c r="I264" s="1423"/>
      <c r="J264" s="1423"/>
      <c r="K264" s="1423"/>
      <c r="L264" s="1423"/>
      <c r="M264" s="1423"/>
      <c r="N264" s="1423"/>
      <c r="O264" s="1423"/>
      <c r="P264" s="1423"/>
      <c r="Q264" s="1423"/>
      <c r="R264" s="1423"/>
      <c r="S264" s="1423"/>
      <c r="T264" s="1423"/>
      <c r="U264" s="1423"/>
      <c r="V264" s="1423"/>
      <c r="W264" s="1423"/>
      <c r="X264" s="1423"/>
      <c r="Y264" s="1423"/>
      <c r="Z264" s="1423"/>
    </row>
    <row r="265" spans="1:26" ht="18.5">
      <c r="A265" s="1423"/>
      <c r="B265" s="1423"/>
      <c r="C265" s="1423"/>
      <c r="D265" s="1423"/>
      <c r="E265" s="1423"/>
      <c r="F265" s="1423"/>
      <c r="G265" s="1423"/>
      <c r="H265" s="1423"/>
      <c r="I265" s="1423"/>
      <c r="J265" s="1423"/>
      <c r="K265" s="1423"/>
      <c r="L265" s="1423"/>
      <c r="M265" s="1423"/>
      <c r="N265" s="1423"/>
      <c r="O265" s="1423"/>
      <c r="P265" s="1423"/>
      <c r="Q265" s="1423"/>
      <c r="R265" s="1423"/>
      <c r="S265" s="1423"/>
      <c r="T265" s="1423"/>
      <c r="U265" s="1423"/>
      <c r="V265" s="1423"/>
      <c r="W265" s="1423"/>
      <c r="X265" s="1423"/>
      <c r="Y265" s="1423"/>
      <c r="Z265" s="1423"/>
    </row>
    <row r="266" spans="1:26" ht="18.5">
      <c r="A266" s="1423"/>
      <c r="B266" s="1423"/>
      <c r="C266" s="1423"/>
      <c r="D266" s="1423"/>
      <c r="E266" s="1423"/>
      <c r="F266" s="1423"/>
      <c r="G266" s="1423"/>
      <c r="H266" s="1423"/>
      <c r="I266" s="1423"/>
      <c r="J266" s="1423"/>
      <c r="K266" s="1423"/>
      <c r="L266" s="1423"/>
      <c r="M266" s="1423"/>
      <c r="N266" s="1423"/>
      <c r="O266" s="1423"/>
      <c r="P266" s="1423"/>
      <c r="Q266" s="1423"/>
      <c r="R266" s="1423"/>
      <c r="S266" s="1423"/>
      <c r="T266" s="1423"/>
      <c r="U266" s="1423"/>
      <c r="V266" s="1423"/>
      <c r="W266" s="1423"/>
      <c r="X266" s="1423"/>
      <c r="Y266" s="1423"/>
      <c r="Z266" s="1423"/>
    </row>
    <row r="267" spans="1:26" ht="18.5">
      <c r="A267" s="1423"/>
      <c r="B267" s="1423"/>
      <c r="C267" s="1423"/>
      <c r="D267" s="1423"/>
      <c r="E267" s="1423"/>
      <c r="F267" s="1423"/>
      <c r="G267" s="1423"/>
      <c r="H267" s="1423"/>
      <c r="I267" s="1423"/>
      <c r="J267" s="1423"/>
      <c r="K267" s="1423"/>
      <c r="L267" s="1423"/>
      <c r="M267" s="1423"/>
      <c r="N267" s="1423"/>
      <c r="O267" s="1423"/>
      <c r="P267" s="1423"/>
      <c r="Q267" s="1423"/>
      <c r="R267" s="1423"/>
      <c r="S267" s="1423"/>
      <c r="T267" s="1423"/>
      <c r="U267" s="1423"/>
      <c r="V267" s="1423"/>
      <c r="W267" s="1423"/>
      <c r="X267" s="1423"/>
      <c r="Y267" s="1423"/>
      <c r="Z267" s="1423"/>
    </row>
    <row r="268" spans="1:26" ht="18.5">
      <c r="A268" s="1423"/>
      <c r="B268" s="1423"/>
      <c r="C268" s="1423"/>
      <c r="D268" s="1423"/>
      <c r="E268" s="1423"/>
      <c r="F268" s="1423"/>
      <c r="G268" s="1423"/>
      <c r="H268" s="1423"/>
      <c r="I268" s="1423"/>
      <c r="J268" s="1423"/>
      <c r="K268" s="1423"/>
      <c r="L268" s="1423"/>
      <c r="M268" s="1423"/>
      <c r="N268" s="1423"/>
      <c r="O268" s="1423"/>
      <c r="P268" s="1423"/>
      <c r="Q268" s="1423"/>
      <c r="R268" s="1423"/>
      <c r="S268" s="1423"/>
      <c r="T268" s="1423"/>
      <c r="U268" s="1423"/>
      <c r="V268" s="1423"/>
      <c r="W268" s="1423"/>
      <c r="X268" s="1423"/>
      <c r="Y268" s="1423"/>
      <c r="Z268" s="1423"/>
    </row>
    <row r="269" spans="1:26" ht="18.5">
      <c r="A269" s="1423"/>
      <c r="B269" s="1423"/>
      <c r="C269" s="1423"/>
      <c r="D269" s="1423"/>
      <c r="E269" s="1423"/>
      <c r="F269" s="1423"/>
      <c r="G269" s="1423"/>
      <c r="H269" s="1423"/>
      <c r="I269" s="1423"/>
      <c r="J269" s="1423"/>
      <c r="K269" s="1423"/>
      <c r="L269" s="1423"/>
      <c r="M269" s="1423"/>
      <c r="N269" s="1423"/>
      <c r="O269" s="1423"/>
      <c r="P269" s="1423"/>
      <c r="Q269" s="1423"/>
      <c r="R269" s="1423"/>
      <c r="S269" s="1423"/>
      <c r="T269" s="1423"/>
      <c r="U269" s="1423"/>
      <c r="V269" s="1423"/>
      <c r="W269" s="1423"/>
      <c r="X269" s="1423"/>
      <c r="Y269" s="1423"/>
      <c r="Z269" s="1423"/>
    </row>
    <row r="270" spans="1:26" ht="18.5">
      <c r="A270" s="1423"/>
      <c r="B270" s="1423"/>
      <c r="C270" s="1423"/>
      <c r="D270" s="1423"/>
      <c r="E270" s="1423"/>
      <c r="F270" s="1423"/>
      <c r="G270" s="1423"/>
      <c r="H270" s="1423"/>
      <c r="I270" s="1423"/>
      <c r="J270" s="1423"/>
      <c r="K270" s="1423"/>
      <c r="L270" s="1423"/>
      <c r="M270" s="1423"/>
      <c r="N270" s="1423"/>
      <c r="O270" s="1423"/>
      <c r="P270" s="1423"/>
      <c r="Q270" s="1423"/>
      <c r="R270" s="1423"/>
      <c r="S270" s="1423"/>
      <c r="T270" s="1423"/>
      <c r="U270" s="1423"/>
      <c r="V270" s="1423"/>
      <c r="W270" s="1423"/>
      <c r="X270" s="1423"/>
      <c r="Y270" s="1423"/>
      <c r="Z270" s="1423"/>
    </row>
    <row r="271" spans="1:26" ht="18.5">
      <c r="A271" s="1423"/>
      <c r="B271" s="1423"/>
      <c r="C271" s="1423"/>
      <c r="D271" s="1423"/>
      <c r="E271" s="1423"/>
      <c r="F271" s="1423"/>
      <c r="G271" s="1423"/>
      <c r="H271" s="1423"/>
      <c r="I271" s="1423"/>
      <c r="J271" s="1423"/>
      <c r="K271" s="1423"/>
      <c r="L271" s="1423"/>
      <c r="M271" s="1423"/>
      <c r="N271" s="1423"/>
      <c r="O271" s="1423"/>
      <c r="P271" s="1423"/>
      <c r="Q271" s="1423"/>
      <c r="R271" s="1423"/>
      <c r="S271" s="1423"/>
      <c r="T271" s="1423"/>
      <c r="U271" s="1423"/>
      <c r="V271" s="1423"/>
      <c r="W271" s="1423"/>
      <c r="X271" s="1423"/>
      <c r="Y271" s="1423"/>
      <c r="Z271" s="1423"/>
    </row>
    <row r="272" spans="1:26" ht="18.5">
      <c r="A272" s="1423"/>
      <c r="B272" s="1423"/>
      <c r="C272" s="1423"/>
      <c r="D272" s="1423"/>
      <c r="E272" s="1423"/>
      <c r="F272" s="1423"/>
      <c r="G272" s="1423"/>
      <c r="H272" s="1423"/>
      <c r="I272" s="1423"/>
      <c r="J272" s="1423"/>
      <c r="K272" s="1423"/>
      <c r="L272" s="1423"/>
      <c r="M272" s="1423"/>
      <c r="N272" s="1423"/>
      <c r="O272" s="1423"/>
      <c r="P272" s="1423"/>
      <c r="Q272" s="1423"/>
      <c r="R272" s="1423"/>
      <c r="S272" s="1423"/>
      <c r="T272" s="1423"/>
      <c r="U272" s="1423"/>
      <c r="V272" s="1423"/>
      <c r="W272" s="1423"/>
      <c r="X272" s="1423"/>
      <c r="Y272" s="1423"/>
      <c r="Z272" s="1423"/>
    </row>
    <row r="273" spans="1:26" ht="18.5">
      <c r="A273" s="1423"/>
      <c r="B273" s="1423"/>
      <c r="C273" s="1423"/>
      <c r="D273" s="1423"/>
      <c r="E273" s="1423"/>
      <c r="F273" s="1423"/>
      <c r="G273" s="1423"/>
      <c r="H273" s="1423"/>
      <c r="I273" s="1423"/>
      <c r="J273" s="1423"/>
      <c r="K273" s="1423"/>
      <c r="L273" s="1423"/>
      <c r="M273" s="1423"/>
      <c r="N273" s="1423"/>
      <c r="O273" s="1423"/>
      <c r="P273" s="1423"/>
      <c r="Q273" s="1423"/>
      <c r="R273" s="1423"/>
      <c r="S273" s="1423"/>
      <c r="T273" s="1423"/>
      <c r="U273" s="1423"/>
      <c r="V273" s="1423"/>
      <c r="W273" s="1423"/>
      <c r="X273" s="1423"/>
      <c r="Y273" s="1423"/>
      <c r="Z273" s="1423"/>
    </row>
    <row r="274" spans="1:26" ht="18.5">
      <c r="A274" s="1423"/>
      <c r="B274" s="1423"/>
      <c r="C274" s="1423"/>
      <c r="D274" s="1423"/>
      <c r="E274" s="1423"/>
      <c r="F274" s="1423"/>
      <c r="G274" s="1423"/>
      <c r="H274" s="1423"/>
      <c r="I274" s="1423"/>
      <c r="J274" s="1423"/>
      <c r="K274" s="1423"/>
      <c r="L274" s="1423"/>
      <c r="M274" s="1423"/>
      <c r="N274" s="1423"/>
      <c r="O274" s="1423"/>
      <c r="P274" s="1423"/>
      <c r="Q274" s="1423"/>
      <c r="R274" s="1423"/>
      <c r="S274" s="1423"/>
      <c r="T274" s="1423"/>
      <c r="U274" s="1423"/>
      <c r="V274" s="1423"/>
      <c r="W274" s="1423"/>
      <c r="X274" s="1423"/>
      <c r="Y274" s="1423"/>
      <c r="Z274" s="1423"/>
    </row>
    <row r="275" spans="1:26" ht="18.5">
      <c r="A275" s="1423"/>
      <c r="B275" s="1423"/>
      <c r="C275" s="1423"/>
      <c r="D275" s="1423"/>
      <c r="E275" s="1423"/>
      <c r="F275" s="1423"/>
      <c r="G275" s="1423"/>
      <c r="H275" s="1423"/>
      <c r="I275" s="1423"/>
      <c r="J275" s="1423"/>
      <c r="K275" s="1423"/>
      <c r="L275" s="1423"/>
      <c r="M275" s="1423"/>
      <c r="N275" s="1423"/>
      <c r="O275" s="1423"/>
      <c r="P275" s="1423"/>
      <c r="Q275" s="1423"/>
      <c r="R275" s="1423"/>
      <c r="S275" s="1423"/>
      <c r="T275" s="1423"/>
      <c r="U275" s="1423"/>
      <c r="V275" s="1423"/>
      <c r="W275" s="1423"/>
      <c r="X275" s="1423"/>
      <c r="Y275" s="1423"/>
      <c r="Z275" s="1423"/>
    </row>
    <row r="276" spans="1:26" ht="18.5">
      <c r="A276" s="1423"/>
      <c r="B276" s="1423"/>
      <c r="C276" s="1423"/>
      <c r="D276" s="1423"/>
      <c r="E276" s="1423"/>
      <c r="F276" s="1423"/>
      <c r="G276" s="1423"/>
      <c r="H276" s="1423"/>
      <c r="I276" s="1423"/>
      <c r="J276" s="1423"/>
      <c r="K276" s="1423"/>
      <c r="L276" s="1423"/>
      <c r="M276" s="1423"/>
      <c r="N276" s="1423"/>
      <c r="O276" s="1423"/>
      <c r="P276" s="1423"/>
      <c r="Q276" s="1423"/>
      <c r="R276" s="1423"/>
      <c r="S276" s="1423"/>
      <c r="T276" s="1423"/>
      <c r="U276" s="1423"/>
      <c r="V276" s="1423"/>
      <c r="W276" s="1423"/>
      <c r="X276" s="1423"/>
      <c r="Y276" s="1423"/>
      <c r="Z276" s="1423"/>
    </row>
    <row r="277" spans="1:26" ht="18.5">
      <c r="A277" s="1423"/>
      <c r="B277" s="1423"/>
      <c r="C277" s="1423"/>
      <c r="D277" s="1423"/>
      <c r="E277" s="1423"/>
      <c r="F277" s="1423"/>
      <c r="G277" s="1423"/>
      <c r="H277" s="1423"/>
      <c r="I277" s="1423"/>
      <c r="J277" s="1423"/>
      <c r="K277" s="1423"/>
      <c r="L277" s="1423"/>
      <c r="M277" s="1423"/>
      <c r="N277" s="1423"/>
      <c r="O277" s="1423"/>
      <c r="P277" s="1423"/>
      <c r="Q277" s="1423"/>
      <c r="R277" s="1423"/>
      <c r="S277" s="1423"/>
      <c r="T277" s="1423"/>
      <c r="U277" s="1423"/>
      <c r="V277" s="1423"/>
      <c r="W277" s="1423"/>
      <c r="X277" s="1423"/>
      <c r="Y277" s="1423"/>
      <c r="Z277" s="1423"/>
    </row>
    <row r="278" spans="1:26" ht="18.5">
      <c r="A278" s="1423"/>
      <c r="B278" s="1423"/>
      <c r="C278" s="1423"/>
      <c r="D278" s="1423"/>
      <c r="E278" s="1423"/>
      <c r="F278" s="1423"/>
      <c r="G278" s="1423"/>
      <c r="H278" s="1423"/>
      <c r="I278" s="1423"/>
      <c r="J278" s="1423"/>
      <c r="K278" s="1423"/>
      <c r="L278" s="1423"/>
      <c r="M278" s="1423"/>
      <c r="N278" s="1423"/>
      <c r="O278" s="1423"/>
      <c r="P278" s="1423"/>
      <c r="Q278" s="1423"/>
      <c r="R278" s="1423"/>
      <c r="S278" s="1423"/>
      <c r="T278" s="1423"/>
      <c r="U278" s="1423"/>
      <c r="V278" s="1423"/>
      <c r="W278" s="1423"/>
      <c r="X278" s="1423"/>
      <c r="Y278" s="1423"/>
      <c r="Z278" s="1423"/>
    </row>
    <row r="279" spans="1:26" ht="18.5">
      <c r="A279" s="1423"/>
      <c r="B279" s="1423"/>
      <c r="C279" s="1423"/>
      <c r="D279" s="1423"/>
      <c r="E279" s="1423"/>
      <c r="F279" s="1423"/>
      <c r="G279" s="1423"/>
      <c r="H279" s="1423"/>
      <c r="I279" s="1423"/>
      <c r="J279" s="1423"/>
      <c r="K279" s="1423"/>
      <c r="L279" s="1423"/>
      <c r="M279" s="1423"/>
      <c r="N279" s="1423"/>
      <c r="O279" s="1423"/>
      <c r="P279" s="1423"/>
      <c r="Q279" s="1423"/>
      <c r="R279" s="1423"/>
      <c r="S279" s="1423"/>
      <c r="T279" s="1423"/>
      <c r="U279" s="1423"/>
      <c r="V279" s="1423"/>
      <c r="W279" s="1423"/>
      <c r="X279" s="1423"/>
      <c r="Y279" s="1423"/>
      <c r="Z279" s="1423"/>
    </row>
    <row r="280" spans="1:26" ht="18.5">
      <c r="A280" s="1423"/>
      <c r="B280" s="1423"/>
      <c r="C280" s="1423"/>
      <c r="D280" s="1423"/>
      <c r="E280" s="1423"/>
      <c r="F280" s="1423"/>
      <c r="G280" s="1423"/>
      <c r="H280" s="1423"/>
      <c r="I280" s="1423"/>
      <c r="J280" s="1423"/>
      <c r="K280" s="1423"/>
      <c r="L280" s="1423"/>
      <c r="M280" s="1423"/>
      <c r="N280" s="1423"/>
      <c r="O280" s="1423"/>
      <c r="P280" s="1423"/>
      <c r="Q280" s="1423"/>
      <c r="R280" s="1423"/>
      <c r="S280" s="1423"/>
      <c r="T280" s="1423"/>
      <c r="U280" s="1423"/>
      <c r="V280" s="1423"/>
      <c r="W280" s="1423"/>
      <c r="X280" s="1423"/>
      <c r="Y280" s="1423"/>
      <c r="Z280" s="1423"/>
    </row>
    <row r="281" spans="1:26" ht="18.5">
      <c r="A281" s="1423"/>
      <c r="B281" s="1423"/>
      <c r="C281" s="1423"/>
      <c r="D281" s="1423"/>
      <c r="E281" s="1423"/>
      <c r="F281" s="1423"/>
      <c r="G281" s="1423"/>
      <c r="H281" s="1423"/>
      <c r="I281" s="1423"/>
      <c r="J281" s="1423"/>
      <c r="K281" s="1423"/>
      <c r="L281" s="1423"/>
      <c r="M281" s="1423"/>
      <c r="N281" s="1423"/>
      <c r="O281" s="1423"/>
      <c r="P281" s="1423"/>
      <c r="Q281" s="1423"/>
      <c r="R281" s="1423"/>
      <c r="S281" s="1423"/>
      <c r="T281" s="1423"/>
      <c r="U281" s="1423"/>
      <c r="V281" s="1423"/>
      <c r="W281" s="1423"/>
      <c r="X281" s="1423"/>
      <c r="Y281" s="1423"/>
      <c r="Z281" s="1423"/>
    </row>
    <row r="282" spans="1:26" ht="18.5">
      <c r="A282" s="1423"/>
      <c r="B282" s="1423"/>
      <c r="C282" s="1423"/>
      <c r="D282" s="1423"/>
      <c r="E282" s="1423"/>
      <c r="F282" s="1423"/>
      <c r="G282" s="1423"/>
      <c r="H282" s="1423"/>
      <c r="I282" s="1423"/>
      <c r="J282" s="1423"/>
      <c r="K282" s="1423"/>
      <c r="L282" s="1423"/>
      <c r="M282" s="1423"/>
      <c r="N282" s="1423"/>
      <c r="O282" s="1423"/>
      <c r="P282" s="1423"/>
      <c r="Q282" s="1423"/>
      <c r="R282" s="1423"/>
      <c r="S282" s="1423"/>
      <c r="T282" s="1423"/>
      <c r="U282" s="1423"/>
      <c r="V282" s="1423"/>
      <c r="W282" s="1423"/>
      <c r="X282" s="1423"/>
      <c r="Y282" s="1423"/>
      <c r="Z282" s="1423"/>
    </row>
    <row r="283" spans="1:26" ht="18.5">
      <c r="A283" s="1423"/>
      <c r="B283" s="1423"/>
      <c r="C283" s="1423"/>
      <c r="D283" s="1423"/>
      <c r="E283" s="1423"/>
      <c r="F283" s="1423"/>
      <c r="G283" s="1423"/>
      <c r="H283" s="1423"/>
      <c r="I283" s="1423"/>
      <c r="J283" s="1423"/>
      <c r="K283" s="1423"/>
      <c r="L283" s="1423"/>
      <c r="M283" s="1423"/>
      <c r="N283" s="1423"/>
      <c r="O283" s="1423"/>
      <c r="P283" s="1423"/>
      <c r="Q283" s="1423"/>
      <c r="R283" s="1423"/>
      <c r="S283" s="1423"/>
      <c r="T283" s="1423"/>
      <c r="U283" s="1423"/>
      <c r="V283" s="1423"/>
      <c r="W283" s="1423"/>
      <c r="X283" s="1423"/>
      <c r="Y283" s="1423"/>
      <c r="Z283" s="1423"/>
    </row>
    <row r="284" spans="1:26" ht="18.5">
      <c r="A284" s="1423"/>
      <c r="B284" s="1423"/>
      <c r="C284" s="1423"/>
      <c r="D284" s="1423"/>
      <c r="E284" s="1423"/>
      <c r="F284" s="1423"/>
      <c r="G284" s="1423"/>
      <c r="H284" s="1423"/>
      <c r="I284" s="1423"/>
      <c r="J284" s="1423"/>
      <c r="K284" s="1423"/>
      <c r="L284" s="1423"/>
      <c r="M284" s="1423"/>
      <c r="N284" s="1423"/>
      <c r="O284" s="1423"/>
      <c r="P284" s="1423"/>
      <c r="Q284" s="1423"/>
      <c r="R284" s="1423"/>
      <c r="S284" s="1423"/>
      <c r="T284" s="1423"/>
      <c r="U284" s="1423"/>
      <c r="V284" s="1423"/>
      <c r="W284" s="1423"/>
      <c r="X284" s="1423"/>
      <c r="Y284" s="1423"/>
      <c r="Z284" s="1423"/>
    </row>
    <row r="285" spans="1:26" ht="18.5">
      <c r="A285" s="1423"/>
      <c r="B285" s="1423"/>
      <c r="C285" s="1423"/>
      <c r="D285" s="1423"/>
      <c r="E285" s="1423"/>
      <c r="F285" s="1423"/>
      <c r="G285" s="1423"/>
      <c r="H285" s="1423"/>
      <c r="I285" s="1423"/>
      <c r="J285" s="1423"/>
      <c r="K285" s="1423"/>
      <c r="L285" s="1423"/>
      <c r="M285" s="1423"/>
      <c r="N285" s="1423"/>
      <c r="O285" s="1423"/>
      <c r="P285" s="1423"/>
      <c r="Q285" s="1423"/>
      <c r="R285" s="1423"/>
      <c r="S285" s="1423"/>
      <c r="T285" s="1423"/>
      <c r="U285" s="1423"/>
      <c r="V285" s="1423"/>
      <c r="W285" s="1423"/>
      <c r="X285" s="1423"/>
      <c r="Y285" s="1423"/>
      <c r="Z285" s="1423"/>
    </row>
    <row r="286" spans="1:26" ht="18.5">
      <c r="A286" s="1423"/>
      <c r="B286" s="1423"/>
      <c r="C286" s="1423"/>
      <c r="D286" s="1423"/>
      <c r="E286" s="1423"/>
      <c r="F286" s="1423"/>
      <c r="G286" s="1423"/>
      <c r="H286" s="1423"/>
      <c r="I286" s="1423"/>
      <c r="J286" s="1423"/>
      <c r="K286" s="1423"/>
      <c r="L286" s="1423"/>
      <c r="M286" s="1423"/>
      <c r="N286" s="1423"/>
      <c r="O286" s="1423"/>
      <c r="P286" s="1423"/>
      <c r="Q286" s="1423"/>
      <c r="R286" s="1423"/>
      <c r="S286" s="1423"/>
      <c r="T286" s="1423"/>
      <c r="U286" s="1423"/>
      <c r="V286" s="1423"/>
      <c r="W286" s="1423"/>
      <c r="X286" s="1423"/>
      <c r="Y286" s="1423"/>
      <c r="Z286" s="1423"/>
    </row>
    <row r="287" spans="1:26" ht="18.5">
      <c r="A287" s="1423"/>
      <c r="B287" s="1423"/>
      <c r="C287" s="1423"/>
      <c r="D287" s="1423"/>
      <c r="E287" s="1423"/>
      <c r="F287" s="1423"/>
      <c r="G287" s="1423"/>
      <c r="H287" s="1423"/>
      <c r="I287" s="1423"/>
      <c r="J287" s="1423"/>
      <c r="K287" s="1423"/>
      <c r="L287" s="1423"/>
      <c r="M287" s="1423"/>
      <c r="N287" s="1423"/>
      <c r="O287" s="1423"/>
      <c r="P287" s="1423"/>
      <c r="Q287" s="1423"/>
      <c r="R287" s="1423"/>
      <c r="S287" s="1423"/>
      <c r="T287" s="1423"/>
      <c r="U287" s="1423"/>
      <c r="V287" s="1423"/>
      <c r="W287" s="1423"/>
      <c r="X287" s="1423"/>
      <c r="Y287" s="1423"/>
      <c r="Z287" s="1423"/>
    </row>
    <row r="288" spans="1:26" ht="18.5">
      <c r="A288" s="1423"/>
      <c r="B288" s="1423"/>
      <c r="C288" s="1423"/>
      <c r="D288" s="1423"/>
      <c r="E288" s="1423"/>
      <c r="F288" s="1423"/>
      <c r="G288" s="1423"/>
      <c r="H288" s="1423"/>
      <c r="I288" s="1423"/>
      <c r="J288" s="1423"/>
      <c r="K288" s="1423"/>
      <c r="L288" s="1423"/>
      <c r="M288" s="1423"/>
      <c r="N288" s="1423"/>
      <c r="O288" s="1423"/>
      <c r="P288" s="1423"/>
      <c r="Q288" s="1423"/>
      <c r="R288" s="1423"/>
      <c r="S288" s="1423"/>
      <c r="T288" s="1423"/>
      <c r="U288" s="1423"/>
      <c r="V288" s="1423"/>
      <c r="W288" s="1423"/>
      <c r="X288" s="1423"/>
      <c r="Y288" s="1423"/>
      <c r="Z288" s="1423"/>
    </row>
    <row r="289" spans="1:26" ht="18.5">
      <c r="A289" s="1423"/>
      <c r="B289" s="1423"/>
      <c r="C289" s="1423"/>
      <c r="D289" s="1423"/>
      <c r="E289" s="1423"/>
      <c r="F289" s="1423"/>
      <c r="G289" s="1423"/>
      <c r="H289" s="1423"/>
      <c r="I289" s="1423"/>
      <c r="J289" s="1423"/>
      <c r="K289" s="1423"/>
      <c r="L289" s="1423"/>
      <c r="M289" s="1423"/>
      <c r="N289" s="1423"/>
      <c r="O289" s="1423"/>
      <c r="P289" s="1423"/>
      <c r="Q289" s="1423"/>
      <c r="R289" s="1423"/>
      <c r="S289" s="1423"/>
      <c r="T289" s="1423"/>
      <c r="U289" s="1423"/>
      <c r="V289" s="1423"/>
      <c r="W289" s="1423"/>
      <c r="X289" s="1423"/>
      <c r="Y289" s="1423"/>
      <c r="Z289" s="1423"/>
    </row>
    <row r="290" spans="1:26" ht="18.5">
      <c r="A290" s="1423"/>
      <c r="B290" s="1423"/>
      <c r="C290" s="1423"/>
      <c r="D290" s="1423"/>
      <c r="E290" s="1423"/>
      <c r="F290" s="1423"/>
      <c r="G290" s="1423"/>
      <c r="H290" s="1423"/>
      <c r="I290" s="1423"/>
      <c r="J290" s="1423"/>
      <c r="K290" s="1423"/>
      <c r="L290" s="1423"/>
      <c r="M290" s="1423"/>
      <c r="N290" s="1423"/>
      <c r="O290" s="1423"/>
      <c r="P290" s="1423"/>
      <c r="Q290" s="1423"/>
      <c r="R290" s="1423"/>
      <c r="S290" s="1423"/>
      <c r="T290" s="1423"/>
      <c r="U290" s="1423"/>
      <c r="V290" s="1423"/>
      <c r="W290" s="1423"/>
      <c r="X290" s="1423"/>
      <c r="Y290" s="1423"/>
      <c r="Z290" s="1423"/>
    </row>
    <row r="291" spans="1:26" ht="18.5">
      <c r="A291" s="1423"/>
      <c r="B291" s="1423"/>
      <c r="C291" s="1423"/>
      <c r="D291" s="1423"/>
      <c r="E291" s="1423"/>
      <c r="F291" s="1423"/>
      <c r="G291" s="1423"/>
      <c r="H291" s="1423"/>
      <c r="I291" s="1423"/>
      <c r="J291" s="1423"/>
      <c r="K291" s="1423"/>
      <c r="L291" s="1423"/>
      <c r="M291" s="1423"/>
      <c r="N291" s="1423"/>
      <c r="O291" s="1423"/>
      <c r="P291" s="1423"/>
      <c r="Q291" s="1423"/>
      <c r="R291" s="1423"/>
      <c r="S291" s="1423"/>
      <c r="T291" s="1423"/>
      <c r="U291" s="1423"/>
      <c r="V291" s="1423"/>
      <c r="W291" s="1423"/>
      <c r="X291" s="1423"/>
      <c r="Y291" s="1423"/>
      <c r="Z291" s="1423"/>
    </row>
    <row r="292" spans="1:26" ht="18.5">
      <c r="A292" s="1423"/>
      <c r="B292" s="1423"/>
      <c r="C292" s="1423"/>
      <c r="D292" s="1423"/>
      <c r="E292" s="1423"/>
      <c r="F292" s="1423"/>
      <c r="G292" s="1423"/>
      <c r="H292" s="1423"/>
      <c r="I292" s="1423"/>
      <c r="J292" s="1423"/>
      <c r="K292" s="1423"/>
      <c r="L292" s="1423"/>
      <c r="M292" s="1423"/>
      <c r="N292" s="1423"/>
      <c r="O292" s="1423"/>
      <c r="P292" s="1423"/>
      <c r="Q292" s="1423"/>
      <c r="R292" s="1423"/>
      <c r="S292" s="1423"/>
      <c r="T292" s="1423"/>
      <c r="U292" s="1423"/>
      <c r="V292" s="1423"/>
      <c r="W292" s="1423"/>
      <c r="X292" s="1423"/>
      <c r="Y292" s="1423"/>
      <c r="Z292" s="1423"/>
    </row>
    <row r="293" spans="1:26" ht="18.5">
      <c r="A293" s="1423"/>
      <c r="B293" s="1423"/>
      <c r="C293" s="1423"/>
      <c r="D293" s="1423"/>
      <c r="E293" s="1423"/>
      <c r="F293" s="1423"/>
      <c r="G293" s="1423"/>
      <c r="H293" s="1423"/>
      <c r="I293" s="1423"/>
      <c r="J293" s="1423"/>
      <c r="K293" s="1423"/>
      <c r="L293" s="1423"/>
      <c r="M293" s="1423"/>
      <c r="N293" s="1423"/>
      <c r="O293" s="1423"/>
      <c r="P293" s="1423"/>
      <c r="Q293" s="1423"/>
      <c r="R293" s="1423"/>
      <c r="S293" s="1423"/>
      <c r="T293" s="1423"/>
      <c r="U293" s="1423"/>
      <c r="V293" s="1423"/>
      <c r="W293" s="1423"/>
      <c r="X293" s="1423"/>
      <c r="Y293" s="1423"/>
      <c r="Z293" s="1423"/>
    </row>
    <row r="294" spans="1:26" ht="18.5">
      <c r="A294" s="1423"/>
      <c r="B294" s="1423"/>
      <c r="C294" s="1423"/>
      <c r="D294" s="1423"/>
      <c r="E294" s="1423"/>
      <c r="F294" s="1423"/>
      <c r="G294" s="1423"/>
      <c r="H294" s="1423"/>
      <c r="I294" s="1423"/>
      <c r="J294" s="1423"/>
      <c r="K294" s="1423"/>
      <c r="L294" s="1423"/>
      <c r="M294" s="1423"/>
      <c r="N294" s="1423"/>
      <c r="O294" s="1423"/>
      <c r="P294" s="1423"/>
      <c r="Q294" s="1423"/>
      <c r="R294" s="1423"/>
      <c r="S294" s="1423"/>
      <c r="T294" s="1423"/>
      <c r="U294" s="1423"/>
      <c r="V294" s="1423"/>
      <c r="W294" s="1423"/>
      <c r="X294" s="1423"/>
      <c r="Y294" s="1423"/>
      <c r="Z294" s="1423"/>
    </row>
    <row r="295" spans="1:26" ht="18.5">
      <c r="A295" s="1423"/>
      <c r="B295" s="1423"/>
      <c r="C295" s="1423"/>
      <c r="D295" s="1423"/>
      <c r="E295" s="1423"/>
      <c r="F295" s="1423"/>
      <c r="G295" s="1423"/>
      <c r="H295" s="1423"/>
      <c r="I295" s="1423"/>
      <c r="J295" s="1423"/>
      <c r="K295" s="1423"/>
      <c r="L295" s="1423"/>
      <c r="M295" s="1423"/>
      <c r="N295" s="1423"/>
      <c r="O295" s="1423"/>
      <c r="P295" s="1423"/>
      <c r="Q295" s="1423"/>
      <c r="R295" s="1423"/>
      <c r="S295" s="1423"/>
      <c r="T295" s="1423"/>
      <c r="U295" s="1423"/>
      <c r="V295" s="1423"/>
      <c r="W295" s="1423"/>
      <c r="X295" s="1423"/>
      <c r="Y295" s="1423"/>
      <c r="Z295" s="1423"/>
    </row>
    <row r="296" spans="1:26" ht="18.5">
      <c r="A296" s="1423"/>
      <c r="B296" s="1423"/>
      <c r="C296" s="1423"/>
      <c r="D296" s="1423"/>
      <c r="E296" s="1423"/>
      <c r="F296" s="1423"/>
      <c r="G296" s="1423"/>
      <c r="H296" s="1423"/>
      <c r="I296" s="1423"/>
      <c r="J296" s="1423"/>
      <c r="K296" s="1423"/>
      <c r="L296" s="1423"/>
      <c r="M296" s="1423"/>
      <c r="N296" s="1423"/>
      <c r="O296" s="1423"/>
      <c r="P296" s="1423"/>
      <c r="Q296" s="1423"/>
      <c r="R296" s="1423"/>
      <c r="S296" s="1423"/>
      <c r="T296" s="1423"/>
      <c r="U296" s="1423"/>
      <c r="V296" s="1423"/>
      <c r="W296" s="1423"/>
      <c r="X296" s="1423"/>
      <c r="Y296" s="1423"/>
      <c r="Z296" s="1423"/>
    </row>
    <row r="297" spans="1:26" ht="18.5">
      <c r="A297" s="1423"/>
      <c r="B297" s="1423"/>
      <c r="C297" s="1423"/>
      <c r="D297" s="1423"/>
      <c r="E297" s="1423"/>
      <c r="F297" s="1423"/>
      <c r="G297" s="1423"/>
      <c r="H297" s="1423"/>
      <c r="I297" s="1423"/>
      <c r="J297" s="1423"/>
      <c r="K297" s="1423"/>
      <c r="L297" s="1423"/>
      <c r="M297" s="1423"/>
      <c r="N297" s="1423"/>
      <c r="O297" s="1423"/>
      <c r="P297" s="1423"/>
      <c r="Q297" s="1423"/>
      <c r="R297" s="1423"/>
      <c r="S297" s="1423"/>
      <c r="T297" s="1423"/>
      <c r="U297" s="1423"/>
      <c r="V297" s="1423"/>
      <c r="W297" s="1423"/>
      <c r="X297" s="1423"/>
      <c r="Y297" s="1423"/>
      <c r="Z297" s="1423"/>
    </row>
    <row r="298" spans="1:26" ht="18.5">
      <c r="A298" s="1423"/>
      <c r="B298" s="1423"/>
      <c r="C298" s="1423"/>
      <c r="D298" s="1423"/>
      <c r="E298" s="1423"/>
      <c r="F298" s="1423"/>
      <c r="G298" s="1423"/>
      <c r="H298" s="1423"/>
      <c r="I298" s="1423"/>
      <c r="J298" s="1423"/>
      <c r="K298" s="1423"/>
      <c r="L298" s="1423"/>
      <c r="M298" s="1423"/>
      <c r="N298" s="1423"/>
      <c r="O298" s="1423"/>
      <c r="P298" s="1423"/>
      <c r="Q298" s="1423"/>
      <c r="R298" s="1423"/>
      <c r="S298" s="1423"/>
      <c r="T298" s="1423"/>
      <c r="U298" s="1423"/>
      <c r="V298" s="1423"/>
      <c r="W298" s="1423"/>
      <c r="X298" s="1423"/>
      <c r="Y298" s="1423"/>
      <c r="Z298" s="1423"/>
    </row>
    <row r="299" spans="1:26" ht="18.5">
      <c r="A299" s="1423"/>
      <c r="B299" s="1423"/>
      <c r="C299" s="1423"/>
      <c r="D299" s="1423"/>
      <c r="E299" s="1423"/>
      <c r="F299" s="1423"/>
      <c r="G299" s="1423"/>
      <c r="H299" s="1423"/>
      <c r="I299" s="1423"/>
      <c r="J299" s="1423"/>
      <c r="K299" s="1423"/>
      <c r="L299" s="1423"/>
      <c r="M299" s="1423"/>
      <c r="N299" s="1423"/>
      <c r="O299" s="1423"/>
      <c r="P299" s="1423"/>
      <c r="Q299" s="1423"/>
      <c r="R299" s="1423"/>
      <c r="S299" s="1423"/>
      <c r="T299" s="1423"/>
      <c r="U299" s="1423"/>
      <c r="V299" s="1423"/>
      <c r="W299" s="1423"/>
      <c r="X299" s="1423"/>
      <c r="Y299" s="1423"/>
      <c r="Z299" s="1423"/>
    </row>
    <row r="300" spans="1:26" ht="18.5">
      <c r="A300" s="1423"/>
      <c r="B300" s="1423"/>
      <c r="C300" s="1423"/>
      <c r="D300" s="1423"/>
      <c r="E300" s="1423"/>
      <c r="F300" s="1423"/>
      <c r="G300" s="1423"/>
      <c r="H300" s="1423"/>
      <c r="I300" s="1423"/>
      <c r="J300" s="1423"/>
      <c r="K300" s="1423"/>
      <c r="L300" s="1423"/>
      <c r="M300" s="1423"/>
      <c r="N300" s="1423"/>
      <c r="O300" s="1423"/>
      <c r="P300" s="1423"/>
      <c r="Q300" s="1423"/>
      <c r="R300" s="1423"/>
      <c r="S300" s="1423"/>
      <c r="T300" s="1423"/>
      <c r="U300" s="1423"/>
      <c r="V300" s="1423"/>
      <c r="W300" s="1423"/>
      <c r="X300" s="1423"/>
      <c r="Y300" s="1423"/>
      <c r="Z300" s="1423"/>
    </row>
    <row r="301" spans="1:26" ht="18.5">
      <c r="A301" s="1423"/>
      <c r="B301" s="1423"/>
      <c r="C301" s="1423"/>
      <c r="D301" s="1423"/>
      <c r="E301" s="1423"/>
      <c r="F301" s="1423"/>
      <c r="G301" s="1423"/>
      <c r="H301" s="1423"/>
      <c r="I301" s="1423"/>
      <c r="J301" s="1423"/>
      <c r="K301" s="1423"/>
      <c r="L301" s="1423"/>
      <c r="M301" s="1423"/>
      <c r="N301" s="1423"/>
      <c r="O301" s="1423"/>
      <c r="P301" s="1423"/>
      <c r="Q301" s="1423"/>
      <c r="R301" s="1423"/>
      <c r="S301" s="1423"/>
      <c r="T301" s="1423"/>
      <c r="U301" s="1423"/>
      <c r="V301" s="1423"/>
      <c r="W301" s="1423"/>
      <c r="X301" s="1423"/>
      <c r="Y301" s="1423"/>
      <c r="Z301" s="1423"/>
    </row>
    <row r="302" spans="1:26" ht="18.5">
      <c r="A302" s="1423"/>
      <c r="B302" s="1423"/>
      <c r="C302" s="1423"/>
      <c r="D302" s="1423"/>
      <c r="E302" s="1423"/>
      <c r="F302" s="1423"/>
      <c r="G302" s="1423"/>
      <c r="H302" s="1423"/>
      <c r="I302" s="1423"/>
      <c r="J302" s="1423"/>
      <c r="K302" s="1423"/>
      <c r="L302" s="1423"/>
      <c r="M302" s="1423"/>
      <c r="N302" s="1423"/>
      <c r="O302" s="1423"/>
      <c r="P302" s="1423"/>
      <c r="Q302" s="1423"/>
      <c r="R302" s="1423"/>
      <c r="S302" s="1423"/>
      <c r="T302" s="1423"/>
      <c r="U302" s="1423"/>
      <c r="V302" s="1423"/>
      <c r="W302" s="1423"/>
      <c r="X302" s="1423"/>
      <c r="Y302" s="1423"/>
      <c r="Z302" s="1423"/>
    </row>
    <row r="303" spans="1:26" ht="18.5">
      <c r="A303" s="1423"/>
      <c r="B303" s="1423"/>
      <c r="C303" s="1423"/>
      <c r="D303" s="1423"/>
      <c r="E303" s="1423"/>
      <c r="F303" s="1423"/>
      <c r="G303" s="1423"/>
      <c r="H303" s="1423"/>
      <c r="I303" s="1423"/>
      <c r="J303" s="1423"/>
      <c r="K303" s="1423"/>
      <c r="L303" s="1423"/>
      <c r="M303" s="1423"/>
      <c r="N303" s="1423"/>
      <c r="O303" s="1423"/>
      <c r="P303" s="1423"/>
      <c r="Q303" s="1423"/>
      <c r="R303" s="1423"/>
      <c r="S303" s="1423"/>
      <c r="T303" s="1423"/>
      <c r="U303" s="1423"/>
      <c r="V303" s="1423"/>
      <c r="W303" s="1423"/>
      <c r="X303" s="1423"/>
      <c r="Y303" s="1423"/>
      <c r="Z303" s="1423"/>
    </row>
    <row r="304" spans="1:26" ht="18.5">
      <c r="A304" s="1423"/>
      <c r="B304" s="1423"/>
      <c r="C304" s="1423"/>
      <c r="D304" s="1423"/>
      <c r="E304" s="1423"/>
      <c r="F304" s="1423"/>
      <c r="G304" s="1423"/>
      <c r="H304" s="1423"/>
      <c r="I304" s="1423"/>
      <c r="J304" s="1423"/>
      <c r="K304" s="1423"/>
      <c r="L304" s="1423"/>
      <c r="M304" s="1423"/>
      <c r="N304" s="1423"/>
      <c r="O304" s="1423"/>
      <c r="P304" s="1423"/>
      <c r="Q304" s="1423"/>
      <c r="R304" s="1423"/>
      <c r="S304" s="1423"/>
      <c r="T304" s="1423"/>
      <c r="U304" s="1423"/>
      <c r="V304" s="1423"/>
      <c r="W304" s="1423"/>
      <c r="X304" s="1423"/>
      <c r="Y304" s="1423"/>
      <c r="Z304" s="1423"/>
    </row>
    <row r="305" spans="1:26" ht="18.5">
      <c r="A305" s="1423"/>
      <c r="B305" s="1423"/>
      <c r="C305" s="1423"/>
      <c r="D305" s="1423"/>
      <c r="E305" s="1423"/>
      <c r="F305" s="1423"/>
      <c r="G305" s="1423"/>
      <c r="H305" s="1423"/>
      <c r="I305" s="1423"/>
      <c r="J305" s="1423"/>
      <c r="K305" s="1423"/>
      <c r="L305" s="1423"/>
      <c r="M305" s="1423"/>
      <c r="N305" s="1423"/>
      <c r="O305" s="1423"/>
      <c r="P305" s="1423"/>
      <c r="Q305" s="1423"/>
      <c r="R305" s="1423"/>
      <c r="S305" s="1423"/>
      <c r="T305" s="1423"/>
      <c r="U305" s="1423"/>
      <c r="V305" s="1423"/>
      <c r="W305" s="1423"/>
      <c r="X305" s="1423"/>
      <c r="Y305" s="1423"/>
      <c r="Z305" s="1423"/>
    </row>
    <row r="306" spans="1:26" ht="18.5">
      <c r="A306" s="1423"/>
      <c r="B306" s="1423"/>
      <c r="C306" s="1423"/>
      <c r="D306" s="1423"/>
      <c r="E306" s="1423"/>
      <c r="F306" s="1423"/>
      <c r="G306" s="1423"/>
      <c r="H306" s="1423"/>
      <c r="I306" s="1423"/>
      <c r="J306" s="1423"/>
      <c r="K306" s="1423"/>
      <c r="L306" s="1423"/>
      <c r="M306" s="1423"/>
      <c r="N306" s="1423"/>
      <c r="O306" s="1423"/>
      <c r="P306" s="1423"/>
      <c r="Q306" s="1423"/>
      <c r="R306" s="1423"/>
      <c r="S306" s="1423"/>
      <c r="T306" s="1423"/>
      <c r="U306" s="1423"/>
      <c r="V306" s="1423"/>
      <c r="W306" s="1423"/>
      <c r="X306" s="1423"/>
      <c r="Y306" s="1423"/>
      <c r="Z306" s="1423"/>
    </row>
    <row r="307" spans="1:26" ht="18.5">
      <c r="A307" s="1423"/>
      <c r="B307" s="1423"/>
      <c r="C307" s="1423"/>
      <c r="D307" s="1423"/>
      <c r="E307" s="1423"/>
      <c r="F307" s="1423"/>
      <c r="G307" s="1423"/>
      <c r="H307" s="1423"/>
      <c r="I307" s="1423"/>
      <c r="J307" s="1423"/>
      <c r="K307" s="1423"/>
      <c r="L307" s="1423"/>
      <c r="M307" s="1423"/>
      <c r="N307" s="1423"/>
      <c r="O307" s="1423"/>
      <c r="P307" s="1423"/>
      <c r="Q307" s="1423"/>
      <c r="R307" s="1423"/>
      <c r="S307" s="1423"/>
      <c r="T307" s="1423"/>
      <c r="U307" s="1423"/>
      <c r="V307" s="1423"/>
      <c r="W307" s="1423"/>
      <c r="X307" s="1423"/>
      <c r="Y307" s="1423"/>
      <c r="Z307" s="1423"/>
    </row>
    <row r="308" spans="1:26" ht="18.5">
      <c r="A308" s="1423"/>
      <c r="B308" s="1423"/>
      <c r="C308" s="1423"/>
      <c r="D308" s="1423"/>
      <c r="E308" s="1423"/>
      <c r="F308" s="1423"/>
      <c r="G308" s="1423"/>
      <c r="H308" s="1423"/>
      <c r="I308" s="1423"/>
      <c r="J308" s="1423"/>
      <c r="K308" s="1423"/>
      <c r="L308" s="1423"/>
      <c r="M308" s="1423"/>
      <c r="N308" s="1423"/>
      <c r="O308" s="1423"/>
      <c r="P308" s="1423"/>
      <c r="Q308" s="1423"/>
      <c r="R308" s="1423"/>
      <c r="S308" s="1423"/>
      <c r="T308" s="1423"/>
      <c r="U308" s="1423"/>
      <c r="V308" s="1423"/>
      <c r="W308" s="1423"/>
      <c r="X308" s="1423"/>
      <c r="Y308" s="1423"/>
      <c r="Z308" s="1423"/>
    </row>
    <row r="309" spans="1:26" ht="18.5">
      <c r="A309" s="1423"/>
      <c r="B309" s="1423"/>
      <c r="C309" s="1423"/>
      <c r="D309" s="1423"/>
      <c r="E309" s="1423"/>
      <c r="F309" s="1423"/>
      <c r="G309" s="1423"/>
      <c r="H309" s="1423"/>
      <c r="I309" s="1423"/>
      <c r="J309" s="1423"/>
      <c r="K309" s="1423"/>
      <c r="L309" s="1423"/>
      <c r="M309" s="1423"/>
      <c r="N309" s="1423"/>
      <c r="O309" s="1423"/>
      <c r="P309" s="1423"/>
      <c r="Q309" s="1423"/>
      <c r="R309" s="1423"/>
      <c r="S309" s="1423"/>
      <c r="T309" s="1423"/>
      <c r="U309" s="1423"/>
      <c r="V309" s="1423"/>
      <c r="W309" s="1423"/>
      <c r="X309" s="1423"/>
      <c r="Y309" s="1423"/>
      <c r="Z309" s="1423"/>
    </row>
    <row r="310" spans="1:26" ht="18.5">
      <c r="A310" s="1423"/>
      <c r="B310" s="1423"/>
      <c r="C310" s="1423"/>
      <c r="D310" s="1423"/>
      <c r="E310" s="1423"/>
      <c r="F310" s="1423"/>
      <c r="G310" s="1423"/>
      <c r="H310" s="1423"/>
      <c r="I310" s="1423"/>
      <c r="J310" s="1423"/>
      <c r="K310" s="1423"/>
      <c r="L310" s="1423"/>
      <c r="M310" s="1423"/>
      <c r="N310" s="1423"/>
      <c r="O310" s="1423"/>
      <c r="P310" s="1423"/>
      <c r="Q310" s="1423"/>
      <c r="R310" s="1423"/>
      <c r="S310" s="1423"/>
      <c r="T310" s="1423"/>
      <c r="U310" s="1423"/>
      <c r="V310" s="1423"/>
      <c r="W310" s="1423"/>
      <c r="X310" s="1423"/>
      <c r="Y310" s="1423"/>
      <c r="Z310" s="1423"/>
    </row>
    <row r="311" spans="1:26" ht="18.5">
      <c r="A311" s="1423"/>
      <c r="B311" s="1423"/>
      <c r="C311" s="1423"/>
      <c r="D311" s="1423"/>
      <c r="E311" s="1423"/>
      <c r="F311" s="1423"/>
      <c r="G311" s="1423"/>
      <c r="H311" s="1423"/>
      <c r="I311" s="1423"/>
      <c r="J311" s="1423"/>
      <c r="K311" s="1423"/>
      <c r="L311" s="1423"/>
      <c r="M311" s="1423"/>
      <c r="N311" s="1423"/>
      <c r="O311" s="1423"/>
      <c r="P311" s="1423"/>
      <c r="Q311" s="1423"/>
      <c r="R311" s="1423"/>
      <c r="S311" s="1423"/>
      <c r="T311" s="1423"/>
      <c r="U311" s="1423"/>
      <c r="V311" s="1423"/>
      <c r="W311" s="1423"/>
      <c r="X311" s="1423"/>
      <c r="Y311" s="1423"/>
      <c r="Z311" s="1423"/>
    </row>
    <row r="312" spans="1:26" ht="18.5">
      <c r="A312" s="1423"/>
      <c r="B312" s="1423"/>
      <c r="C312" s="1423"/>
      <c r="D312" s="1423"/>
      <c r="E312" s="1423"/>
      <c r="F312" s="1423"/>
      <c r="G312" s="1423"/>
      <c r="H312" s="1423"/>
      <c r="I312" s="1423"/>
      <c r="J312" s="1423"/>
      <c r="K312" s="1423"/>
      <c r="L312" s="1423"/>
      <c r="M312" s="1423"/>
      <c r="N312" s="1423"/>
      <c r="O312" s="1423"/>
      <c r="P312" s="1423"/>
      <c r="Q312" s="1423"/>
      <c r="R312" s="1423"/>
      <c r="S312" s="1423"/>
      <c r="T312" s="1423"/>
      <c r="U312" s="1423"/>
      <c r="V312" s="1423"/>
      <c r="W312" s="1423"/>
      <c r="X312" s="1423"/>
      <c r="Y312" s="1423"/>
      <c r="Z312" s="1423"/>
    </row>
    <row r="313" spans="1:26" ht="18.5">
      <c r="A313" s="1423"/>
      <c r="B313" s="1423"/>
      <c r="C313" s="1423"/>
      <c r="D313" s="1423"/>
      <c r="E313" s="1423"/>
      <c r="F313" s="1423"/>
      <c r="G313" s="1423"/>
      <c r="H313" s="1423"/>
      <c r="I313" s="1423"/>
      <c r="J313" s="1423"/>
      <c r="K313" s="1423"/>
      <c r="L313" s="1423"/>
      <c r="M313" s="1423"/>
      <c r="N313" s="1423"/>
      <c r="O313" s="1423"/>
      <c r="P313" s="1423"/>
      <c r="Q313" s="1423"/>
      <c r="R313" s="1423"/>
      <c r="S313" s="1423"/>
      <c r="T313" s="1423"/>
      <c r="U313" s="1423"/>
      <c r="V313" s="1423"/>
      <c r="W313" s="1423"/>
      <c r="X313" s="1423"/>
      <c r="Y313" s="1423"/>
      <c r="Z313" s="1423"/>
    </row>
    <row r="314" spans="1:26" ht="18.5">
      <c r="A314" s="1423"/>
      <c r="B314" s="1423"/>
      <c r="C314" s="1423"/>
      <c r="D314" s="1423"/>
      <c r="E314" s="1423"/>
      <c r="F314" s="1423"/>
      <c r="G314" s="1423"/>
      <c r="H314" s="1423"/>
      <c r="I314" s="1423"/>
      <c r="J314" s="1423"/>
      <c r="K314" s="1423"/>
      <c r="L314" s="1423"/>
      <c r="M314" s="1423"/>
      <c r="N314" s="1423"/>
      <c r="O314" s="1423"/>
      <c r="P314" s="1423"/>
      <c r="Q314" s="1423"/>
      <c r="R314" s="1423"/>
      <c r="S314" s="1423"/>
      <c r="T314" s="1423"/>
      <c r="U314" s="1423"/>
      <c r="V314" s="1423"/>
      <c r="W314" s="1423"/>
      <c r="X314" s="1423"/>
      <c r="Y314" s="1423"/>
      <c r="Z314" s="1423"/>
    </row>
    <row r="315" spans="1:26" ht="18.5">
      <c r="A315" s="1423"/>
      <c r="B315" s="1423"/>
      <c r="C315" s="1423"/>
      <c r="D315" s="1423"/>
      <c r="E315" s="1423"/>
      <c r="F315" s="1423"/>
      <c r="G315" s="1423"/>
      <c r="H315" s="1423"/>
      <c r="I315" s="1423"/>
      <c r="J315" s="1423"/>
      <c r="K315" s="1423"/>
      <c r="L315" s="1423"/>
      <c r="M315" s="1423"/>
      <c r="N315" s="1423"/>
      <c r="O315" s="1423"/>
      <c r="P315" s="1423"/>
      <c r="Q315" s="1423"/>
      <c r="R315" s="1423"/>
      <c r="S315" s="1423"/>
      <c r="T315" s="1423"/>
      <c r="U315" s="1423"/>
      <c r="V315" s="1423"/>
      <c r="W315" s="1423"/>
      <c r="X315" s="1423"/>
      <c r="Y315" s="1423"/>
      <c r="Z315" s="1423"/>
    </row>
    <row r="316" spans="1:26" ht="18.5">
      <c r="A316" s="1423"/>
      <c r="B316" s="1423"/>
      <c r="C316" s="1423"/>
      <c r="D316" s="1423"/>
      <c r="E316" s="1423"/>
      <c r="F316" s="1423"/>
      <c r="G316" s="1423"/>
      <c r="H316" s="1423"/>
      <c r="I316" s="1423"/>
      <c r="J316" s="1423"/>
      <c r="K316" s="1423"/>
      <c r="L316" s="1423"/>
      <c r="M316" s="1423"/>
      <c r="N316" s="1423"/>
      <c r="O316" s="1423"/>
      <c r="P316" s="1423"/>
      <c r="Q316" s="1423"/>
      <c r="R316" s="1423"/>
      <c r="S316" s="1423"/>
      <c r="T316" s="1423"/>
      <c r="U316" s="1423"/>
      <c r="V316" s="1423"/>
      <c r="W316" s="1423"/>
      <c r="X316" s="1423"/>
      <c r="Y316" s="1423"/>
      <c r="Z316" s="1423"/>
    </row>
    <row r="317" spans="1:26" ht="18.5">
      <c r="A317" s="1423"/>
      <c r="B317" s="1423"/>
      <c r="C317" s="1423"/>
      <c r="D317" s="1423"/>
      <c r="E317" s="1423"/>
      <c r="F317" s="1423"/>
      <c r="G317" s="1423"/>
      <c r="H317" s="1423"/>
      <c r="I317" s="1423"/>
      <c r="J317" s="1423"/>
      <c r="K317" s="1423"/>
      <c r="L317" s="1423"/>
      <c r="M317" s="1423"/>
      <c r="N317" s="1423"/>
      <c r="O317" s="1423"/>
      <c r="P317" s="1423"/>
      <c r="Q317" s="1423"/>
      <c r="R317" s="1423"/>
      <c r="S317" s="1423"/>
      <c r="T317" s="1423"/>
      <c r="U317" s="1423"/>
      <c r="V317" s="1423"/>
      <c r="W317" s="1423"/>
      <c r="X317" s="1423"/>
      <c r="Y317" s="1423"/>
      <c r="Z317" s="1423"/>
    </row>
    <row r="318" spans="1:26" ht="18.5">
      <c r="A318" s="1423"/>
      <c r="B318" s="1423"/>
      <c r="C318" s="1423"/>
      <c r="D318" s="1423"/>
      <c r="E318" s="1423"/>
      <c r="F318" s="1423"/>
      <c r="G318" s="1423"/>
      <c r="H318" s="1423"/>
      <c r="I318" s="1423"/>
      <c r="J318" s="1423"/>
      <c r="K318" s="1423"/>
      <c r="L318" s="1423"/>
      <c r="M318" s="1423"/>
      <c r="N318" s="1423"/>
      <c r="O318" s="1423"/>
      <c r="P318" s="1423"/>
      <c r="Q318" s="1423"/>
      <c r="R318" s="1423"/>
      <c r="S318" s="1423"/>
      <c r="T318" s="1423"/>
      <c r="U318" s="1423"/>
      <c r="V318" s="1423"/>
      <c r="W318" s="1423"/>
      <c r="X318" s="1423"/>
      <c r="Y318" s="1423"/>
      <c r="Z318" s="1423"/>
    </row>
    <row r="319" spans="1:26" ht="18.5">
      <c r="A319" s="1423"/>
      <c r="B319" s="1423"/>
      <c r="C319" s="1423"/>
      <c r="D319" s="1423"/>
      <c r="E319" s="1423"/>
      <c r="F319" s="1423"/>
      <c r="G319" s="1423"/>
      <c r="H319" s="1423"/>
      <c r="I319" s="1423"/>
      <c r="J319" s="1423"/>
      <c r="K319" s="1423"/>
      <c r="L319" s="1423"/>
      <c r="M319" s="1423"/>
      <c r="N319" s="1423"/>
      <c r="O319" s="1423"/>
      <c r="P319" s="1423"/>
      <c r="Q319" s="1423"/>
      <c r="R319" s="1423"/>
      <c r="S319" s="1423"/>
      <c r="T319" s="1423"/>
      <c r="U319" s="1423"/>
      <c r="V319" s="1423"/>
      <c r="W319" s="1423"/>
      <c r="X319" s="1423"/>
      <c r="Y319" s="1423"/>
      <c r="Z319" s="1423"/>
    </row>
    <row r="320" spans="1:26" ht="18.5">
      <c r="A320" s="1423"/>
      <c r="B320" s="1423"/>
      <c r="C320" s="1423"/>
      <c r="D320" s="1423"/>
      <c r="E320" s="1423"/>
      <c r="F320" s="1423"/>
      <c r="G320" s="1423"/>
      <c r="H320" s="1423"/>
      <c r="I320" s="1423"/>
      <c r="J320" s="1423"/>
      <c r="K320" s="1423"/>
      <c r="L320" s="1423"/>
      <c r="M320" s="1423"/>
      <c r="N320" s="1423"/>
      <c r="O320" s="1423"/>
      <c r="P320" s="1423"/>
      <c r="Q320" s="1423"/>
      <c r="R320" s="1423"/>
      <c r="S320" s="1423"/>
      <c r="T320" s="1423"/>
      <c r="U320" s="1423"/>
      <c r="V320" s="1423"/>
      <c r="W320" s="1423"/>
      <c r="X320" s="1423"/>
      <c r="Y320" s="1423"/>
      <c r="Z320" s="1423"/>
    </row>
    <row r="321" spans="1:26" ht="18.5">
      <c r="A321" s="1423"/>
      <c r="B321" s="1423"/>
      <c r="C321" s="1423"/>
      <c r="D321" s="1423"/>
      <c r="E321" s="1423"/>
      <c r="F321" s="1423"/>
      <c r="G321" s="1423"/>
      <c r="H321" s="1423"/>
      <c r="I321" s="1423"/>
      <c r="J321" s="1423"/>
      <c r="K321" s="1423"/>
      <c r="L321" s="1423"/>
      <c r="M321" s="1423"/>
      <c r="N321" s="1423"/>
      <c r="O321" s="1423"/>
      <c r="P321" s="1423"/>
      <c r="Q321" s="1423"/>
      <c r="R321" s="1423"/>
      <c r="S321" s="1423"/>
      <c r="T321" s="1423"/>
      <c r="U321" s="1423"/>
      <c r="V321" s="1423"/>
      <c r="W321" s="1423"/>
      <c r="X321" s="1423"/>
      <c r="Y321" s="1423"/>
      <c r="Z321" s="1423"/>
    </row>
    <row r="322" spans="1:26" ht="18.5">
      <c r="A322" s="1423"/>
      <c r="B322" s="1423"/>
      <c r="C322" s="1423"/>
      <c r="D322" s="1423"/>
      <c r="E322" s="1423"/>
      <c r="F322" s="1423"/>
      <c r="G322" s="1423"/>
      <c r="H322" s="1423"/>
      <c r="I322" s="1423"/>
      <c r="J322" s="1423"/>
      <c r="K322" s="1423"/>
      <c r="L322" s="1423"/>
      <c r="M322" s="1423"/>
      <c r="N322" s="1423"/>
      <c r="O322" s="1423"/>
      <c r="P322" s="1423"/>
      <c r="Q322" s="1423"/>
      <c r="R322" s="1423"/>
      <c r="S322" s="1423"/>
      <c r="T322" s="1423"/>
      <c r="U322" s="1423"/>
      <c r="V322" s="1423"/>
      <c r="W322" s="1423"/>
      <c r="X322" s="1423"/>
      <c r="Y322" s="1423"/>
      <c r="Z322" s="1423"/>
    </row>
    <row r="323" spans="1:26" ht="18.5">
      <c r="A323" s="1423"/>
      <c r="B323" s="1423"/>
      <c r="C323" s="1423"/>
      <c r="D323" s="1423"/>
      <c r="E323" s="1423"/>
      <c r="F323" s="1423"/>
      <c r="G323" s="1423"/>
      <c r="H323" s="1423"/>
      <c r="I323" s="1423"/>
      <c r="J323" s="1423"/>
      <c r="K323" s="1423"/>
      <c r="L323" s="1423"/>
      <c r="M323" s="1423"/>
      <c r="N323" s="1423"/>
      <c r="O323" s="1423"/>
      <c r="P323" s="1423"/>
      <c r="Q323" s="1423"/>
      <c r="R323" s="1423"/>
      <c r="S323" s="1423"/>
      <c r="T323" s="1423"/>
      <c r="U323" s="1423"/>
      <c r="V323" s="1423"/>
      <c r="W323" s="1423"/>
      <c r="X323" s="1423"/>
      <c r="Y323" s="1423"/>
      <c r="Z323" s="1423"/>
    </row>
    <row r="324" spans="1:26" ht="18.5">
      <c r="A324" s="1423"/>
      <c r="B324" s="1423"/>
      <c r="C324" s="1423"/>
      <c r="D324" s="1423"/>
      <c r="E324" s="1423"/>
      <c r="F324" s="1423"/>
      <c r="G324" s="1423"/>
      <c r="H324" s="1423"/>
      <c r="I324" s="1423"/>
      <c r="J324" s="1423"/>
      <c r="K324" s="1423"/>
      <c r="L324" s="1423"/>
      <c r="M324" s="1423"/>
      <c r="N324" s="1423"/>
      <c r="O324" s="1423"/>
      <c r="P324" s="1423"/>
      <c r="Q324" s="1423"/>
      <c r="R324" s="1423"/>
      <c r="S324" s="1423"/>
      <c r="T324" s="1423"/>
      <c r="U324" s="1423"/>
      <c r="V324" s="1423"/>
      <c r="W324" s="1423"/>
      <c r="X324" s="1423"/>
      <c r="Y324" s="1423"/>
      <c r="Z324" s="1423"/>
    </row>
    <row r="325" spans="1:26" ht="18.5">
      <c r="A325" s="1423"/>
      <c r="B325" s="1423"/>
      <c r="C325" s="1423"/>
      <c r="D325" s="1423"/>
      <c r="E325" s="1423"/>
      <c r="F325" s="1423"/>
      <c r="G325" s="1423"/>
      <c r="H325" s="1423"/>
      <c r="I325" s="1423"/>
      <c r="J325" s="1423"/>
      <c r="K325" s="1423"/>
      <c r="L325" s="1423"/>
      <c r="M325" s="1423"/>
      <c r="N325" s="1423"/>
      <c r="O325" s="1423"/>
      <c r="P325" s="1423"/>
      <c r="Q325" s="1423"/>
      <c r="R325" s="1423"/>
      <c r="S325" s="1423"/>
      <c r="T325" s="1423"/>
      <c r="U325" s="1423"/>
      <c r="V325" s="1423"/>
      <c r="W325" s="1423"/>
      <c r="X325" s="1423"/>
      <c r="Y325" s="1423"/>
      <c r="Z325" s="1423"/>
    </row>
    <row r="326" spans="1:26" ht="18.5">
      <c r="A326" s="1423"/>
      <c r="B326" s="1423"/>
      <c r="C326" s="1423"/>
      <c r="D326" s="1423"/>
      <c r="E326" s="1423"/>
      <c r="F326" s="1423"/>
      <c r="G326" s="1423"/>
      <c r="H326" s="1423"/>
      <c r="I326" s="1423"/>
      <c r="J326" s="1423"/>
      <c r="K326" s="1423"/>
      <c r="L326" s="1423"/>
      <c r="M326" s="1423"/>
      <c r="N326" s="1423"/>
      <c r="O326" s="1423"/>
      <c r="P326" s="1423"/>
      <c r="Q326" s="1423"/>
      <c r="R326" s="1423"/>
      <c r="S326" s="1423"/>
      <c r="T326" s="1423"/>
      <c r="U326" s="1423"/>
      <c r="V326" s="1423"/>
      <c r="W326" s="1423"/>
      <c r="X326" s="1423"/>
      <c r="Y326" s="1423"/>
      <c r="Z326" s="1423"/>
    </row>
    <row r="327" spans="1:26" ht="18.5">
      <c r="A327" s="1423"/>
      <c r="B327" s="1423"/>
      <c r="C327" s="1423"/>
      <c r="D327" s="1423"/>
      <c r="E327" s="1423"/>
      <c r="F327" s="1423"/>
      <c r="G327" s="1423"/>
      <c r="H327" s="1423"/>
      <c r="I327" s="1423"/>
      <c r="J327" s="1423"/>
      <c r="K327" s="1423"/>
      <c r="L327" s="1423"/>
      <c r="M327" s="1423"/>
      <c r="N327" s="1423"/>
      <c r="O327" s="1423"/>
      <c r="P327" s="1423"/>
      <c r="Q327" s="1423"/>
      <c r="R327" s="1423"/>
      <c r="S327" s="1423"/>
      <c r="T327" s="1423"/>
      <c r="U327" s="1423"/>
      <c r="V327" s="1423"/>
      <c r="W327" s="1423"/>
      <c r="X327" s="1423"/>
      <c r="Y327" s="1423"/>
      <c r="Z327" s="1423"/>
    </row>
    <row r="328" spans="1:26" ht="18.5">
      <c r="A328" s="1423"/>
      <c r="B328" s="1423"/>
      <c r="C328" s="1423"/>
      <c r="D328" s="1423"/>
      <c r="E328" s="1423"/>
      <c r="F328" s="1423"/>
      <c r="G328" s="1423"/>
      <c r="H328" s="1423"/>
      <c r="I328" s="1423"/>
      <c r="J328" s="1423"/>
      <c r="K328" s="1423"/>
      <c r="L328" s="1423"/>
      <c r="M328" s="1423"/>
      <c r="N328" s="1423"/>
      <c r="O328" s="1423"/>
      <c r="P328" s="1423"/>
      <c r="Q328" s="1423"/>
      <c r="R328" s="1423"/>
      <c r="S328" s="1423"/>
      <c r="T328" s="1423"/>
      <c r="U328" s="1423"/>
      <c r="V328" s="1423"/>
      <c r="W328" s="1423"/>
      <c r="X328" s="1423"/>
      <c r="Y328" s="1423"/>
      <c r="Z328" s="1423"/>
    </row>
    <row r="329" spans="1:26" ht="18.5">
      <c r="A329" s="1423"/>
      <c r="B329" s="1423"/>
      <c r="C329" s="1423"/>
      <c r="D329" s="1423"/>
      <c r="E329" s="1423"/>
      <c r="F329" s="1423"/>
      <c r="G329" s="1423"/>
      <c r="H329" s="1423"/>
      <c r="I329" s="1423"/>
      <c r="J329" s="1423"/>
      <c r="K329" s="1423"/>
      <c r="L329" s="1423"/>
      <c r="M329" s="1423"/>
      <c r="N329" s="1423"/>
      <c r="O329" s="1423"/>
      <c r="P329" s="1423"/>
      <c r="Q329" s="1423"/>
      <c r="R329" s="1423"/>
      <c r="S329" s="1423"/>
      <c r="T329" s="1423"/>
      <c r="U329" s="1423"/>
      <c r="V329" s="1423"/>
      <c r="W329" s="1423"/>
      <c r="X329" s="1423"/>
      <c r="Y329" s="1423"/>
      <c r="Z329" s="1423"/>
    </row>
    <row r="330" spans="1:26" ht="18.5">
      <c r="A330" s="1423"/>
      <c r="B330" s="1423"/>
      <c r="C330" s="1423"/>
      <c r="D330" s="1423"/>
      <c r="E330" s="1423"/>
      <c r="F330" s="1423"/>
      <c r="G330" s="1423"/>
      <c r="H330" s="1423"/>
      <c r="I330" s="1423"/>
      <c r="J330" s="1423"/>
      <c r="K330" s="1423"/>
      <c r="L330" s="1423"/>
      <c r="M330" s="1423"/>
      <c r="N330" s="1423"/>
      <c r="O330" s="1423"/>
      <c r="P330" s="1423"/>
      <c r="Q330" s="1423"/>
      <c r="R330" s="1423"/>
      <c r="S330" s="1423"/>
      <c r="T330" s="1423"/>
      <c r="U330" s="1423"/>
      <c r="V330" s="1423"/>
      <c r="W330" s="1423"/>
      <c r="X330" s="1423"/>
      <c r="Y330" s="1423"/>
      <c r="Z330" s="1423"/>
    </row>
    <row r="331" spans="1:26" ht="18.5">
      <c r="A331" s="1423"/>
      <c r="B331" s="1423"/>
      <c r="C331" s="1423"/>
      <c r="D331" s="1423"/>
      <c r="E331" s="1423"/>
      <c r="F331" s="1423"/>
      <c r="G331" s="1423"/>
      <c r="H331" s="1423"/>
      <c r="I331" s="1423"/>
      <c r="J331" s="1423"/>
      <c r="K331" s="1423"/>
      <c r="L331" s="1423"/>
      <c r="M331" s="1423"/>
      <c r="N331" s="1423"/>
      <c r="O331" s="1423"/>
      <c r="P331" s="1423"/>
      <c r="Q331" s="1423"/>
      <c r="R331" s="1423"/>
      <c r="S331" s="1423"/>
      <c r="T331" s="1423"/>
      <c r="U331" s="1423"/>
      <c r="V331" s="1423"/>
      <c r="W331" s="1423"/>
      <c r="X331" s="1423"/>
      <c r="Y331" s="1423"/>
      <c r="Z331" s="1423"/>
    </row>
    <row r="332" spans="1:26" ht="18.5">
      <c r="A332" s="1423"/>
      <c r="B332" s="1423"/>
      <c r="C332" s="1423"/>
      <c r="D332" s="1423"/>
      <c r="E332" s="1423"/>
      <c r="F332" s="1423"/>
      <c r="G332" s="1423"/>
      <c r="H332" s="1423"/>
      <c r="I332" s="1423"/>
      <c r="J332" s="1423"/>
      <c r="K332" s="1423"/>
      <c r="L332" s="1423"/>
      <c r="M332" s="1423"/>
      <c r="N332" s="1423"/>
      <c r="O332" s="1423"/>
      <c r="P332" s="1423"/>
      <c r="Q332" s="1423"/>
      <c r="R332" s="1423"/>
      <c r="S332" s="1423"/>
      <c r="T332" s="1423"/>
      <c r="U332" s="1423"/>
      <c r="V332" s="1423"/>
      <c r="W332" s="1423"/>
      <c r="X332" s="1423"/>
      <c r="Y332" s="1423"/>
      <c r="Z332" s="1423"/>
    </row>
    <row r="333" spans="1:26" ht="18.5">
      <c r="A333" s="1423"/>
      <c r="B333" s="1423"/>
      <c r="C333" s="1423"/>
      <c r="D333" s="1423"/>
      <c r="E333" s="1423"/>
      <c r="F333" s="1423"/>
      <c r="G333" s="1423"/>
      <c r="H333" s="1423"/>
      <c r="I333" s="1423"/>
      <c r="J333" s="1423"/>
      <c r="K333" s="1423"/>
      <c r="L333" s="1423"/>
      <c r="M333" s="1423"/>
      <c r="N333" s="1423"/>
      <c r="O333" s="1423"/>
      <c r="P333" s="1423"/>
      <c r="Q333" s="1423"/>
      <c r="R333" s="1423"/>
      <c r="S333" s="1423"/>
      <c r="T333" s="1423"/>
      <c r="U333" s="1423"/>
      <c r="V333" s="1423"/>
      <c r="W333" s="1423"/>
      <c r="X333" s="1423"/>
      <c r="Y333" s="1423"/>
      <c r="Z333" s="1423"/>
    </row>
    <row r="334" spans="1:26" ht="18.5">
      <c r="A334" s="1423"/>
      <c r="B334" s="1423"/>
      <c r="C334" s="1423"/>
      <c r="D334" s="1423"/>
      <c r="E334" s="1423"/>
      <c r="F334" s="1423"/>
      <c r="G334" s="1423"/>
      <c r="H334" s="1423"/>
      <c r="I334" s="1423"/>
      <c r="J334" s="1423"/>
      <c r="K334" s="1423"/>
      <c r="L334" s="1423"/>
      <c r="M334" s="1423"/>
      <c r="N334" s="1423"/>
      <c r="O334" s="1423"/>
      <c r="P334" s="1423"/>
      <c r="Q334" s="1423"/>
      <c r="R334" s="1423"/>
      <c r="S334" s="1423"/>
      <c r="T334" s="1423"/>
      <c r="U334" s="1423"/>
      <c r="V334" s="1423"/>
      <c r="W334" s="1423"/>
      <c r="X334" s="1423"/>
      <c r="Y334" s="1423"/>
      <c r="Z334" s="1423"/>
    </row>
    <row r="335" spans="1:26" ht="18.5">
      <c r="A335" s="1423"/>
      <c r="B335" s="1423"/>
      <c r="C335" s="1423"/>
      <c r="D335" s="1423"/>
      <c r="E335" s="1423"/>
      <c r="F335" s="1423"/>
      <c r="G335" s="1423"/>
      <c r="H335" s="1423"/>
      <c r="I335" s="1423"/>
      <c r="J335" s="1423"/>
      <c r="K335" s="1423"/>
      <c r="L335" s="1423"/>
      <c r="M335" s="1423"/>
      <c r="N335" s="1423"/>
      <c r="O335" s="1423"/>
      <c r="P335" s="1423"/>
      <c r="Q335" s="1423"/>
      <c r="R335" s="1423"/>
      <c r="S335" s="1423"/>
      <c r="T335" s="1423"/>
      <c r="U335" s="1423"/>
      <c r="V335" s="1423"/>
      <c r="W335" s="1423"/>
      <c r="X335" s="1423"/>
      <c r="Y335" s="1423"/>
      <c r="Z335" s="1423"/>
    </row>
    <row r="336" spans="1:26" ht="18.5">
      <c r="A336" s="1423"/>
      <c r="B336" s="1423"/>
      <c r="C336" s="1423"/>
      <c r="D336" s="1423"/>
      <c r="E336" s="1423"/>
      <c r="F336" s="1423"/>
      <c r="G336" s="1423"/>
      <c r="H336" s="1423"/>
      <c r="I336" s="1423"/>
      <c r="J336" s="1423"/>
      <c r="K336" s="1423"/>
      <c r="L336" s="1423"/>
      <c r="M336" s="1423"/>
      <c r="N336" s="1423"/>
      <c r="O336" s="1423"/>
      <c r="P336" s="1423"/>
      <c r="Q336" s="1423"/>
      <c r="R336" s="1423"/>
      <c r="S336" s="1423"/>
      <c r="T336" s="1423"/>
      <c r="U336" s="1423"/>
      <c r="V336" s="1423"/>
      <c r="W336" s="1423"/>
      <c r="X336" s="1423"/>
      <c r="Y336" s="1423"/>
      <c r="Z336" s="1423"/>
    </row>
    <row r="337" spans="1:26" ht="18.5">
      <c r="A337" s="1423"/>
      <c r="B337" s="1423"/>
      <c r="C337" s="1423"/>
      <c r="D337" s="1423"/>
      <c r="E337" s="1423"/>
      <c r="F337" s="1423"/>
      <c r="G337" s="1423"/>
      <c r="H337" s="1423"/>
      <c r="I337" s="1423"/>
      <c r="J337" s="1423"/>
      <c r="K337" s="1423"/>
      <c r="L337" s="1423"/>
      <c r="M337" s="1423"/>
      <c r="N337" s="1423"/>
      <c r="O337" s="1423"/>
      <c r="P337" s="1423"/>
      <c r="Q337" s="1423"/>
      <c r="R337" s="1423"/>
      <c r="S337" s="1423"/>
      <c r="T337" s="1423"/>
      <c r="U337" s="1423"/>
      <c r="V337" s="1423"/>
      <c r="W337" s="1423"/>
      <c r="X337" s="1423"/>
      <c r="Y337" s="1423"/>
      <c r="Z337" s="1423"/>
    </row>
    <row r="338" spans="1:26" ht="18.5">
      <c r="A338" s="1423"/>
      <c r="B338" s="1423"/>
      <c r="C338" s="1423"/>
      <c r="D338" s="1423"/>
      <c r="E338" s="1423"/>
      <c r="F338" s="1423"/>
      <c r="G338" s="1423"/>
      <c r="H338" s="1423"/>
      <c r="I338" s="1423"/>
      <c r="J338" s="1423"/>
      <c r="K338" s="1423"/>
      <c r="L338" s="1423"/>
      <c r="M338" s="1423"/>
      <c r="N338" s="1423"/>
      <c r="O338" s="1423"/>
      <c r="P338" s="1423"/>
      <c r="Q338" s="1423"/>
      <c r="R338" s="1423"/>
      <c r="S338" s="1423"/>
      <c r="T338" s="1423"/>
      <c r="U338" s="1423"/>
      <c r="V338" s="1423"/>
      <c r="W338" s="1423"/>
      <c r="X338" s="1423"/>
      <c r="Y338" s="1423"/>
      <c r="Z338" s="1423"/>
    </row>
    <row r="339" spans="1:26" ht="18.5">
      <c r="A339" s="1423"/>
      <c r="B339" s="1423"/>
      <c r="C339" s="1423"/>
      <c r="D339" s="1423"/>
      <c r="E339" s="1423"/>
      <c r="F339" s="1423"/>
      <c r="G339" s="1423"/>
      <c r="H339" s="1423"/>
      <c r="I339" s="1423"/>
      <c r="J339" s="1423"/>
      <c r="K339" s="1423"/>
      <c r="L339" s="1423"/>
      <c r="M339" s="1423"/>
      <c r="N339" s="1423"/>
      <c r="O339" s="1423"/>
      <c r="P339" s="1423"/>
      <c r="Q339" s="1423"/>
      <c r="R339" s="1423"/>
      <c r="S339" s="1423"/>
      <c r="T339" s="1423"/>
      <c r="U339" s="1423"/>
      <c r="V339" s="1423"/>
      <c r="W339" s="1423"/>
      <c r="X339" s="1423"/>
      <c r="Y339" s="1423"/>
      <c r="Z339" s="1423"/>
    </row>
    <row r="340" spans="1:26" ht="18.5">
      <c r="A340" s="1423"/>
      <c r="B340" s="1423"/>
      <c r="C340" s="1423"/>
      <c r="D340" s="1423"/>
      <c r="E340" s="1423"/>
      <c r="F340" s="1423"/>
      <c r="G340" s="1423"/>
      <c r="H340" s="1423"/>
      <c r="I340" s="1423"/>
      <c r="J340" s="1423"/>
      <c r="K340" s="1423"/>
      <c r="L340" s="1423"/>
      <c r="M340" s="1423"/>
      <c r="N340" s="1423"/>
      <c r="O340" s="1423"/>
      <c r="P340" s="1423"/>
      <c r="Q340" s="1423"/>
      <c r="R340" s="1423"/>
      <c r="S340" s="1423"/>
      <c r="T340" s="1423"/>
      <c r="U340" s="1423"/>
      <c r="V340" s="1423"/>
      <c r="W340" s="1423"/>
      <c r="X340" s="1423"/>
      <c r="Y340" s="1423"/>
      <c r="Z340" s="1423"/>
    </row>
    <row r="341" spans="1:26" ht="18.5">
      <c r="A341" s="1423"/>
      <c r="B341" s="1423"/>
      <c r="C341" s="1423"/>
      <c r="D341" s="1423"/>
      <c r="E341" s="1423"/>
      <c r="F341" s="1423"/>
      <c r="G341" s="1423"/>
      <c r="H341" s="1423"/>
      <c r="I341" s="1423"/>
      <c r="J341" s="1423"/>
      <c r="K341" s="1423"/>
      <c r="L341" s="1423"/>
      <c r="M341" s="1423"/>
      <c r="N341" s="1423"/>
      <c r="O341" s="1423"/>
      <c r="P341" s="1423"/>
      <c r="Q341" s="1423"/>
      <c r="R341" s="1423"/>
      <c r="S341" s="1423"/>
      <c r="T341" s="1423"/>
      <c r="U341" s="1423"/>
      <c r="V341" s="1423"/>
      <c r="W341" s="1423"/>
      <c r="X341" s="1423"/>
      <c r="Y341" s="1423"/>
      <c r="Z341" s="1423"/>
    </row>
    <row r="342" spans="1:26" ht="18.5">
      <c r="A342" s="1423"/>
      <c r="B342" s="1423"/>
      <c r="C342" s="1423"/>
      <c r="D342" s="1423"/>
      <c r="E342" s="1423"/>
      <c r="F342" s="1423"/>
      <c r="G342" s="1423"/>
      <c r="H342" s="1423"/>
      <c r="I342" s="1423"/>
      <c r="J342" s="1423"/>
      <c r="K342" s="1423"/>
      <c r="L342" s="1423"/>
      <c r="M342" s="1423"/>
      <c r="N342" s="1423"/>
      <c r="O342" s="1423"/>
      <c r="P342" s="1423"/>
      <c r="Q342" s="1423"/>
      <c r="R342" s="1423"/>
      <c r="S342" s="1423"/>
      <c r="T342" s="1423"/>
      <c r="U342" s="1423"/>
      <c r="V342" s="1423"/>
      <c r="W342" s="1423"/>
      <c r="X342" s="1423"/>
      <c r="Y342" s="1423"/>
      <c r="Z342" s="1423"/>
    </row>
    <row r="343" spans="1:26" ht="18.5">
      <c r="A343" s="1423"/>
      <c r="B343" s="1423"/>
      <c r="C343" s="1423"/>
      <c r="D343" s="1423"/>
      <c r="E343" s="1423"/>
      <c r="F343" s="1423"/>
      <c r="G343" s="1423"/>
      <c r="H343" s="1423"/>
      <c r="I343" s="1423"/>
      <c r="J343" s="1423"/>
      <c r="K343" s="1423"/>
      <c r="L343" s="1423"/>
      <c r="M343" s="1423"/>
      <c r="N343" s="1423"/>
      <c r="O343" s="1423"/>
      <c r="P343" s="1423"/>
      <c r="Q343" s="1423"/>
      <c r="R343" s="1423"/>
      <c r="S343" s="1423"/>
      <c r="T343" s="1423"/>
      <c r="U343" s="1423"/>
      <c r="V343" s="1423"/>
      <c r="W343" s="1423"/>
      <c r="X343" s="1423"/>
      <c r="Y343" s="1423"/>
      <c r="Z343" s="1423"/>
    </row>
    <row r="344" spans="1:26" ht="18.5">
      <c r="A344" s="1423"/>
      <c r="B344" s="1423"/>
      <c r="C344" s="1423"/>
      <c r="D344" s="1423"/>
      <c r="E344" s="1423"/>
      <c r="F344" s="1423"/>
      <c r="G344" s="1423"/>
      <c r="H344" s="1423"/>
      <c r="I344" s="1423"/>
      <c r="J344" s="1423"/>
      <c r="K344" s="1423"/>
      <c r="L344" s="1423"/>
      <c r="M344" s="1423"/>
      <c r="N344" s="1423"/>
      <c r="O344" s="1423"/>
      <c r="P344" s="1423"/>
      <c r="Q344" s="1423"/>
      <c r="R344" s="1423"/>
      <c r="S344" s="1423"/>
      <c r="T344" s="1423"/>
      <c r="U344" s="1423"/>
      <c r="V344" s="1423"/>
      <c r="W344" s="1423"/>
      <c r="X344" s="1423"/>
      <c r="Y344" s="1423"/>
      <c r="Z344" s="1423"/>
    </row>
    <row r="345" spans="1:26" ht="18.5">
      <c r="A345" s="1423"/>
      <c r="B345" s="1423"/>
      <c r="C345" s="1423"/>
      <c r="D345" s="1423"/>
      <c r="E345" s="1423"/>
      <c r="F345" s="1423"/>
      <c r="G345" s="1423"/>
      <c r="H345" s="1423"/>
      <c r="I345" s="1423"/>
      <c r="J345" s="1423"/>
      <c r="K345" s="1423"/>
      <c r="L345" s="1423"/>
      <c r="M345" s="1423"/>
      <c r="N345" s="1423"/>
      <c r="O345" s="1423"/>
      <c r="P345" s="1423"/>
      <c r="Q345" s="1423"/>
      <c r="R345" s="1423"/>
      <c r="S345" s="1423"/>
      <c r="T345" s="1423"/>
      <c r="U345" s="1423"/>
      <c r="V345" s="1423"/>
      <c r="W345" s="1423"/>
      <c r="X345" s="1423"/>
      <c r="Y345" s="1423"/>
      <c r="Z345" s="1423"/>
    </row>
    <row r="346" spans="1:26" ht="18.5">
      <c r="A346" s="1423"/>
      <c r="B346" s="1423"/>
      <c r="C346" s="1423"/>
      <c r="D346" s="1423"/>
      <c r="E346" s="1423"/>
      <c r="F346" s="1423"/>
      <c r="G346" s="1423"/>
      <c r="H346" s="1423"/>
      <c r="I346" s="1423"/>
      <c r="J346" s="1423"/>
      <c r="K346" s="1423"/>
      <c r="L346" s="1423"/>
      <c r="M346" s="1423"/>
      <c r="N346" s="1423"/>
      <c r="O346" s="1423"/>
      <c r="P346" s="1423"/>
      <c r="Q346" s="1423"/>
      <c r="R346" s="1423"/>
      <c r="S346" s="1423"/>
      <c r="T346" s="1423"/>
      <c r="U346" s="1423"/>
      <c r="V346" s="1423"/>
      <c r="W346" s="1423"/>
      <c r="X346" s="1423"/>
      <c r="Y346" s="1423"/>
      <c r="Z346" s="1423"/>
    </row>
    <row r="347" spans="1:26" ht="18.5">
      <c r="A347" s="1423"/>
      <c r="B347" s="1423"/>
      <c r="C347" s="1423"/>
      <c r="D347" s="1423"/>
      <c r="E347" s="1423"/>
      <c r="F347" s="1423"/>
      <c r="G347" s="1423"/>
      <c r="H347" s="1423"/>
      <c r="I347" s="1423"/>
      <c r="J347" s="1423"/>
      <c r="K347" s="1423"/>
      <c r="L347" s="1423"/>
      <c r="M347" s="1423"/>
      <c r="N347" s="1423"/>
      <c r="O347" s="1423"/>
      <c r="P347" s="1423"/>
      <c r="Q347" s="1423"/>
      <c r="R347" s="1423"/>
      <c r="S347" s="1423"/>
      <c r="T347" s="1423"/>
      <c r="U347" s="1423"/>
      <c r="V347" s="1423"/>
      <c r="W347" s="1423"/>
      <c r="X347" s="1423"/>
      <c r="Y347" s="1423"/>
      <c r="Z347" s="1423"/>
    </row>
    <row r="348" spans="1:26" ht="18.5">
      <c r="A348" s="1423"/>
      <c r="B348" s="1423"/>
      <c r="C348" s="1423"/>
      <c r="D348" s="1423"/>
      <c r="E348" s="1423"/>
      <c r="F348" s="1423"/>
      <c r="G348" s="1423"/>
      <c r="H348" s="1423"/>
      <c r="I348" s="1423"/>
      <c r="J348" s="1423"/>
      <c r="K348" s="1423"/>
      <c r="L348" s="1423"/>
      <c r="M348" s="1423"/>
      <c r="N348" s="1423"/>
      <c r="O348" s="1423"/>
      <c r="P348" s="1423"/>
      <c r="Q348" s="1423"/>
      <c r="R348" s="1423"/>
      <c r="S348" s="1423"/>
      <c r="T348" s="1423"/>
      <c r="U348" s="1423"/>
      <c r="V348" s="1423"/>
      <c r="W348" s="1423"/>
      <c r="X348" s="1423"/>
      <c r="Y348" s="1423"/>
      <c r="Z348" s="1423"/>
    </row>
    <row r="349" spans="1:26" ht="18.5">
      <c r="A349" s="1423"/>
      <c r="B349" s="1423"/>
      <c r="C349" s="1423"/>
      <c r="D349" s="1423"/>
      <c r="E349" s="1423"/>
      <c r="F349" s="1423"/>
      <c r="G349" s="1423"/>
      <c r="H349" s="1423"/>
      <c r="I349" s="1423"/>
      <c r="J349" s="1423"/>
      <c r="K349" s="1423"/>
      <c r="L349" s="1423"/>
      <c r="M349" s="1423"/>
      <c r="N349" s="1423"/>
      <c r="O349" s="1423"/>
      <c r="P349" s="1423"/>
      <c r="Q349" s="1423"/>
      <c r="R349" s="1423"/>
      <c r="S349" s="1423"/>
      <c r="T349" s="1423"/>
      <c r="U349" s="1423"/>
      <c r="V349" s="1423"/>
      <c r="W349" s="1423"/>
      <c r="X349" s="1423"/>
      <c r="Y349" s="1423"/>
      <c r="Z349" s="1423"/>
    </row>
    <row r="350" spans="1:26" ht="18.5">
      <c r="A350" s="1423"/>
      <c r="B350" s="1423"/>
      <c r="C350" s="1423"/>
      <c r="D350" s="1423"/>
      <c r="E350" s="1423"/>
      <c r="F350" s="1423"/>
      <c r="G350" s="1423"/>
      <c r="H350" s="1423"/>
      <c r="I350" s="1423"/>
      <c r="J350" s="1423"/>
      <c r="K350" s="1423"/>
      <c r="L350" s="1423"/>
      <c r="M350" s="1423"/>
      <c r="N350" s="1423"/>
      <c r="O350" s="1423"/>
      <c r="P350" s="1423"/>
      <c r="Q350" s="1423"/>
      <c r="R350" s="1423"/>
      <c r="S350" s="1423"/>
      <c r="T350" s="1423"/>
      <c r="U350" s="1423"/>
      <c r="V350" s="1423"/>
      <c r="W350" s="1423"/>
      <c r="X350" s="1423"/>
      <c r="Y350" s="1423"/>
      <c r="Z350" s="1423"/>
    </row>
    <row r="351" spans="1:26" ht="18.5">
      <c r="A351" s="1423"/>
      <c r="B351" s="1423"/>
      <c r="C351" s="1423"/>
      <c r="D351" s="1423"/>
      <c r="E351" s="1423"/>
      <c r="F351" s="1423"/>
      <c r="G351" s="1423"/>
      <c r="H351" s="1423"/>
      <c r="I351" s="1423"/>
      <c r="J351" s="1423"/>
      <c r="K351" s="1423"/>
      <c r="L351" s="1423"/>
      <c r="M351" s="1423"/>
      <c r="N351" s="1423"/>
      <c r="O351" s="1423"/>
      <c r="P351" s="1423"/>
      <c r="Q351" s="1423"/>
      <c r="R351" s="1423"/>
      <c r="S351" s="1423"/>
      <c r="T351" s="1423"/>
      <c r="U351" s="1423"/>
      <c r="V351" s="1423"/>
      <c r="W351" s="1423"/>
      <c r="X351" s="1423"/>
      <c r="Y351" s="1423"/>
      <c r="Z351" s="1423"/>
    </row>
    <row r="352" spans="1:26" ht="18.5">
      <c r="A352" s="1423"/>
      <c r="B352" s="1423"/>
      <c r="C352" s="1423"/>
      <c r="D352" s="1423"/>
      <c r="E352" s="1423"/>
      <c r="F352" s="1423"/>
      <c r="G352" s="1423"/>
      <c r="H352" s="1423"/>
      <c r="I352" s="1423"/>
      <c r="J352" s="1423"/>
      <c r="K352" s="1423"/>
      <c r="L352" s="1423"/>
      <c r="M352" s="1423"/>
      <c r="N352" s="1423"/>
      <c r="O352" s="1423"/>
      <c r="P352" s="1423"/>
      <c r="Q352" s="1423"/>
      <c r="R352" s="1423"/>
      <c r="S352" s="1423"/>
      <c r="T352" s="1423"/>
      <c r="U352" s="1423"/>
      <c r="V352" s="1423"/>
      <c r="W352" s="1423"/>
      <c r="X352" s="1423"/>
      <c r="Y352" s="1423"/>
      <c r="Z352" s="1423"/>
    </row>
    <row r="353" spans="1:26" ht="18.5">
      <c r="A353" s="1423"/>
      <c r="B353" s="1423"/>
      <c r="C353" s="1423"/>
      <c r="D353" s="1423"/>
      <c r="E353" s="1423"/>
      <c r="F353" s="1423"/>
      <c r="G353" s="1423"/>
      <c r="H353" s="1423"/>
      <c r="I353" s="1423"/>
      <c r="J353" s="1423"/>
      <c r="K353" s="1423"/>
      <c r="L353" s="1423"/>
      <c r="M353" s="1423"/>
      <c r="N353" s="1423"/>
      <c r="O353" s="1423"/>
      <c r="P353" s="1423"/>
      <c r="Q353" s="1423"/>
      <c r="R353" s="1423"/>
      <c r="S353" s="1423"/>
      <c r="T353" s="1423"/>
      <c r="U353" s="1423"/>
      <c r="V353" s="1423"/>
      <c r="W353" s="1423"/>
      <c r="X353" s="1423"/>
      <c r="Y353" s="1423"/>
      <c r="Z353" s="1423"/>
    </row>
    <row r="354" spans="1:26" ht="18.5">
      <c r="A354" s="1423"/>
      <c r="B354" s="1423"/>
      <c r="C354" s="1423"/>
      <c r="D354" s="1423"/>
      <c r="E354" s="1423"/>
      <c r="F354" s="1423"/>
      <c r="G354" s="1423"/>
      <c r="H354" s="1423"/>
      <c r="I354" s="1423"/>
      <c r="J354" s="1423"/>
      <c r="K354" s="1423"/>
      <c r="L354" s="1423"/>
      <c r="M354" s="1423"/>
      <c r="N354" s="1423"/>
      <c r="O354" s="1423"/>
      <c r="P354" s="1423"/>
      <c r="Q354" s="1423"/>
      <c r="R354" s="1423"/>
      <c r="S354" s="1423"/>
      <c r="T354" s="1423"/>
      <c r="U354" s="1423"/>
      <c r="V354" s="1423"/>
      <c r="W354" s="1423"/>
      <c r="X354" s="1423"/>
      <c r="Y354" s="1423"/>
      <c r="Z354" s="1423"/>
    </row>
    <row r="355" spans="1:26" ht="18.5">
      <c r="A355" s="1423"/>
      <c r="B355" s="1423"/>
      <c r="C355" s="1423"/>
      <c r="D355" s="1423"/>
      <c r="E355" s="1423"/>
      <c r="F355" s="1423"/>
      <c r="G355" s="1423"/>
      <c r="H355" s="1423"/>
      <c r="I355" s="1423"/>
      <c r="J355" s="1423"/>
      <c r="K355" s="1423"/>
      <c r="L355" s="1423"/>
      <c r="M355" s="1423"/>
      <c r="N355" s="1423"/>
      <c r="O355" s="1423"/>
      <c r="P355" s="1423"/>
      <c r="Q355" s="1423"/>
      <c r="R355" s="1423"/>
      <c r="S355" s="1423"/>
      <c r="T355" s="1423"/>
      <c r="U355" s="1423"/>
      <c r="V355" s="1423"/>
      <c r="W355" s="1423"/>
      <c r="X355" s="1423"/>
      <c r="Y355" s="1423"/>
      <c r="Z355" s="1423"/>
    </row>
    <row r="356" spans="1:26" ht="18.5">
      <c r="A356" s="1423"/>
      <c r="B356" s="1423"/>
      <c r="C356" s="1423"/>
      <c r="D356" s="1423"/>
      <c r="E356" s="1423"/>
      <c r="F356" s="1423"/>
      <c r="G356" s="1423"/>
      <c r="H356" s="1423"/>
      <c r="I356" s="1423"/>
      <c r="J356" s="1423"/>
      <c r="K356" s="1423"/>
      <c r="L356" s="1423"/>
      <c r="M356" s="1423"/>
      <c r="N356" s="1423"/>
      <c r="O356" s="1423"/>
      <c r="P356" s="1423"/>
      <c r="Q356" s="1423"/>
      <c r="R356" s="1423"/>
      <c r="S356" s="1423"/>
      <c r="T356" s="1423"/>
      <c r="U356" s="1423"/>
      <c r="V356" s="1423"/>
      <c r="W356" s="1423"/>
      <c r="X356" s="1423"/>
      <c r="Y356" s="1423"/>
      <c r="Z356" s="1423"/>
    </row>
    <row r="357" spans="1:26" ht="18.5">
      <c r="A357" s="1423"/>
      <c r="B357" s="1423"/>
      <c r="C357" s="1423"/>
      <c r="D357" s="1423"/>
      <c r="E357" s="1423"/>
      <c r="F357" s="1423"/>
      <c r="G357" s="1423"/>
      <c r="H357" s="1423"/>
      <c r="I357" s="1423"/>
      <c r="J357" s="1423"/>
      <c r="K357" s="1423"/>
      <c r="L357" s="1423"/>
      <c r="M357" s="1423"/>
      <c r="N357" s="1423"/>
      <c r="O357" s="1423"/>
      <c r="P357" s="1423"/>
      <c r="Q357" s="1423"/>
      <c r="R357" s="1423"/>
      <c r="S357" s="1423"/>
      <c r="T357" s="1423"/>
      <c r="U357" s="1423"/>
      <c r="V357" s="1423"/>
      <c r="W357" s="1423"/>
      <c r="X357" s="1423"/>
      <c r="Y357" s="1423"/>
      <c r="Z357" s="1423"/>
    </row>
    <row r="358" spans="1:26" ht="18.5">
      <c r="A358" s="1423"/>
      <c r="B358" s="1423"/>
      <c r="C358" s="1423"/>
      <c r="D358" s="1423"/>
      <c r="E358" s="1423"/>
      <c r="F358" s="1423"/>
      <c r="G358" s="1423"/>
      <c r="H358" s="1423"/>
      <c r="I358" s="1423"/>
      <c r="J358" s="1423"/>
      <c r="K358" s="1423"/>
      <c r="L358" s="1423"/>
      <c r="M358" s="1423"/>
      <c r="N358" s="1423"/>
      <c r="O358" s="1423"/>
      <c r="P358" s="1423"/>
      <c r="Q358" s="1423"/>
      <c r="R358" s="1423"/>
      <c r="S358" s="1423"/>
      <c r="T358" s="1423"/>
      <c r="U358" s="1423"/>
      <c r="V358" s="1423"/>
      <c r="W358" s="1423"/>
      <c r="X358" s="1423"/>
      <c r="Y358" s="1423"/>
      <c r="Z358" s="1423"/>
    </row>
    <row r="359" spans="1:26" ht="18.5">
      <c r="A359" s="1423"/>
      <c r="B359" s="1423"/>
      <c r="C359" s="1423"/>
      <c r="D359" s="1423"/>
      <c r="E359" s="1423"/>
      <c r="F359" s="1423"/>
      <c r="G359" s="1423"/>
      <c r="H359" s="1423"/>
      <c r="I359" s="1423"/>
      <c r="J359" s="1423"/>
      <c r="K359" s="1423"/>
      <c r="L359" s="1423"/>
      <c r="M359" s="1423"/>
      <c r="N359" s="1423"/>
      <c r="O359" s="1423"/>
      <c r="P359" s="1423"/>
      <c r="Q359" s="1423"/>
      <c r="R359" s="1423"/>
      <c r="S359" s="1423"/>
      <c r="T359" s="1423"/>
      <c r="U359" s="1423"/>
      <c r="V359" s="1423"/>
      <c r="W359" s="1423"/>
      <c r="X359" s="1423"/>
      <c r="Y359" s="1423"/>
      <c r="Z359" s="1423"/>
    </row>
    <row r="360" spans="1:26" ht="18.5">
      <c r="A360" s="1423"/>
      <c r="B360" s="1423"/>
      <c r="C360" s="1423"/>
      <c r="D360" s="1423"/>
      <c r="E360" s="1423"/>
      <c r="F360" s="1423"/>
      <c r="G360" s="1423"/>
      <c r="H360" s="1423"/>
      <c r="I360" s="1423"/>
      <c r="J360" s="1423"/>
      <c r="K360" s="1423"/>
      <c r="L360" s="1423"/>
      <c r="M360" s="1423"/>
      <c r="N360" s="1423"/>
      <c r="O360" s="1423"/>
      <c r="P360" s="1423"/>
      <c r="Q360" s="1423"/>
      <c r="R360" s="1423"/>
      <c r="S360" s="1423"/>
      <c r="T360" s="1423"/>
      <c r="U360" s="1423"/>
      <c r="V360" s="1423"/>
      <c r="W360" s="1423"/>
      <c r="X360" s="1423"/>
      <c r="Y360" s="1423"/>
      <c r="Z360" s="1423"/>
    </row>
    <row r="361" spans="1:26" ht="18.5">
      <c r="A361" s="1423"/>
      <c r="B361" s="1423"/>
      <c r="C361" s="1423"/>
      <c r="D361" s="1423"/>
      <c r="E361" s="1423"/>
      <c r="F361" s="1423"/>
      <c r="G361" s="1423"/>
      <c r="H361" s="1423"/>
      <c r="I361" s="1423"/>
      <c r="J361" s="1423"/>
      <c r="K361" s="1423"/>
      <c r="L361" s="1423"/>
      <c r="M361" s="1423"/>
      <c r="N361" s="1423"/>
      <c r="O361" s="1423"/>
      <c r="P361" s="1423"/>
      <c r="Q361" s="1423"/>
      <c r="R361" s="1423"/>
      <c r="S361" s="1423"/>
      <c r="T361" s="1423"/>
      <c r="U361" s="1423"/>
      <c r="V361" s="1423"/>
      <c r="W361" s="1423"/>
      <c r="X361" s="1423"/>
      <c r="Y361" s="1423"/>
      <c r="Z361" s="1423"/>
    </row>
    <row r="362" spans="1:26" ht="18.5">
      <c r="A362" s="1423"/>
      <c r="B362" s="1423"/>
      <c r="C362" s="1423"/>
      <c r="D362" s="1423"/>
      <c r="E362" s="1423"/>
      <c r="F362" s="1423"/>
      <c r="G362" s="1423"/>
      <c r="H362" s="1423"/>
      <c r="I362" s="1423"/>
      <c r="J362" s="1423"/>
      <c r="K362" s="1423"/>
      <c r="L362" s="1423"/>
      <c r="M362" s="1423"/>
      <c r="N362" s="1423"/>
      <c r="O362" s="1423"/>
      <c r="P362" s="1423"/>
      <c r="Q362" s="1423"/>
      <c r="R362" s="1423"/>
      <c r="S362" s="1423"/>
      <c r="T362" s="1423"/>
      <c r="U362" s="1423"/>
      <c r="V362" s="1423"/>
      <c r="W362" s="1423"/>
      <c r="X362" s="1423"/>
      <c r="Y362" s="1423"/>
      <c r="Z362" s="1423"/>
    </row>
    <row r="363" spans="1:26" ht="18.5">
      <c r="A363" s="1423"/>
      <c r="B363" s="1423"/>
      <c r="C363" s="1423"/>
      <c r="D363" s="1423"/>
      <c r="E363" s="1423"/>
      <c r="F363" s="1423"/>
      <c r="G363" s="1423"/>
      <c r="H363" s="1423"/>
      <c r="I363" s="1423"/>
      <c r="J363" s="1423"/>
      <c r="K363" s="1423"/>
      <c r="L363" s="1423"/>
      <c r="M363" s="1423"/>
      <c r="N363" s="1423"/>
      <c r="O363" s="1423"/>
      <c r="P363" s="1423"/>
      <c r="Q363" s="1423"/>
      <c r="R363" s="1423"/>
      <c r="S363" s="1423"/>
      <c r="T363" s="1423"/>
      <c r="U363" s="1423"/>
      <c r="V363" s="1423"/>
      <c r="W363" s="1423"/>
      <c r="X363" s="1423"/>
      <c r="Y363" s="1423"/>
      <c r="Z363" s="1423"/>
    </row>
    <row r="364" spans="1:26" ht="18.5">
      <c r="A364" s="1423"/>
      <c r="B364" s="1423"/>
      <c r="C364" s="1423"/>
      <c r="D364" s="1423"/>
      <c r="E364" s="1423"/>
      <c r="F364" s="1423"/>
      <c r="G364" s="1423"/>
      <c r="H364" s="1423"/>
      <c r="I364" s="1423"/>
      <c r="J364" s="1423"/>
      <c r="K364" s="1423"/>
      <c r="L364" s="1423"/>
      <c r="M364" s="1423"/>
      <c r="N364" s="1423"/>
      <c r="O364" s="1423"/>
      <c r="P364" s="1423"/>
      <c r="Q364" s="1423"/>
      <c r="R364" s="1423"/>
      <c r="S364" s="1423"/>
      <c r="T364" s="1423"/>
      <c r="U364" s="1423"/>
      <c r="V364" s="1423"/>
      <c r="W364" s="1423"/>
      <c r="X364" s="1423"/>
      <c r="Y364" s="1423"/>
      <c r="Z364" s="1423"/>
    </row>
    <row r="365" spans="1:26" ht="18.5">
      <c r="A365" s="1423"/>
      <c r="B365" s="1423"/>
      <c r="C365" s="1423"/>
      <c r="D365" s="1423"/>
      <c r="E365" s="1423"/>
      <c r="F365" s="1423"/>
      <c r="G365" s="1423"/>
      <c r="H365" s="1423"/>
      <c r="I365" s="1423"/>
      <c r="J365" s="1423"/>
      <c r="K365" s="1423"/>
      <c r="L365" s="1423"/>
      <c r="M365" s="1423"/>
      <c r="N365" s="1423"/>
      <c r="O365" s="1423"/>
      <c r="P365" s="1423"/>
      <c r="Q365" s="1423"/>
      <c r="R365" s="1423"/>
      <c r="S365" s="1423"/>
      <c r="T365" s="1423"/>
      <c r="U365" s="1423"/>
      <c r="V365" s="1423"/>
      <c r="W365" s="1423"/>
      <c r="X365" s="1423"/>
      <c r="Y365" s="1423"/>
      <c r="Z365" s="1423"/>
    </row>
    <row r="366" spans="1:26" ht="18.5">
      <c r="A366" s="1423"/>
      <c r="B366" s="1423"/>
      <c r="C366" s="1423"/>
      <c r="D366" s="1423"/>
      <c r="E366" s="1423"/>
      <c r="F366" s="1423"/>
      <c r="G366" s="1423"/>
      <c r="H366" s="1423"/>
      <c r="I366" s="1423"/>
      <c r="J366" s="1423"/>
      <c r="K366" s="1423"/>
      <c r="L366" s="1423"/>
      <c r="M366" s="1423"/>
      <c r="N366" s="1423"/>
      <c r="O366" s="1423"/>
      <c r="P366" s="1423"/>
      <c r="Q366" s="1423"/>
      <c r="R366" s="1423"/>
      <c r="S366" s="1423"/>
      <c r="T366" s="1423"/>
      <c r="U366" s="1423"/>
      <c r="V366" s="1423"/>
      <c r="W366" s="1423"/>
      <c r="X366" s="1423"/>
      <c r="Y366" s="1423"/>
      <c r="Z366" s="1423"/>
    </row>
    <row r="367" spans="1:26" ht="18.5">
      <c r="A367" s="1423"/>
      <c r="B367" s="1423"/>
      <c r="C367" s="1423"/>
      <c r="D367" s="1423"/>
      <c r="E367" s="1423"/>
      <c r="F367" s="1423"/>
      <c r="G367" s="1423"/>
      <c r="H367" s="1423"/>
      <c r="I367" s="1423"/>
      <c r="J367" s="1423"/>
      <c r="K367" s="1423"/>
      <c r="L367" s="1423"/>
      <c r="M367" s="1423"/>
      <c r="N367" s="1423"/>
      <c r="O367" s="1423"/>
      <c r="P367" s="1423"/>
      <c r="Q367" s="1423"/>
      <c r="R367" s="1423"/>
      <c r="S367" s="1423"/>
      <c r="T367" s="1423"/>
      <c r="U367" s="1423"/>
      <c r="V367" s="1423"/>
      <c r="W367" s="1423"/>
      <c r="X367" s="1423"/>
      <c r="Y367" s="1423"/>
      <c r="Z367" s="1423"/>
    </row>
    <row r="368" spans="1:26" ht="18.5">
      <c r="A368" s="1423"/>
      <c r="B368" s="1423"/>
      <c r="C368" s="1423"/>
      <c r="D368" s="1423"/>
      <c r="E368" s="1423"/>
      <c r="F368" s="1423"/>
      <c r="G368" s="1423"/>
      <c r="H368" s="1423"/>
      <c r="I368" s="1423"/>
      <c r="J368" s="1423"/>
      <c r="K368" s="1423"/>
      <c r="L368" s="1423"/>
      <c r="M368" s="1423"/>
      <c r="N368" s="1423"/>
      <c r="O368" s="1423"/>
      <c r="P368" s="1423"/>
      <c r="Q368" s="1423"/>
      <c r="R368" s="1423"/>
      <c r="S368" s="1423"/>
      <c r="T368" s="1423"/>
      <c r="U368" s="1423"/>
      <c r="V368" s="1423"/>
      <c r="W368" s="1423"/>
      <c r="X368" s="1423"/>
      <c r="Y368" s="1423"/>
      <c r="Z368" s="1423"/>
    </row>
    <row r="369" spans="1:26" ht="18.5">
      <c r="A369" s="1423"/>
      <c r="B369" s="1423"/>
      <c r="C369" s="1423"/>
      <c r="D369" s="1423"/>
      <c r="E369" s="1423"/>
      <c r="F369" s="1423"/>
      <c r="G369" s="1423"/>
      <c r="H369" s="1423"/>
      <c r="I369" s="1423"/>
      <c r="J369" s="1423"/>
      <c r="K369" s="1423"/>
      <c r="L369" s="1423"/>
      <c r="M369" s="1423"/>
      <c r="N369" s="1423"/>
      <c r="O369" s="1423"/>
      <c r="P369" s="1423"/>
      <c r="Q369" s="1423"/>
      <c r="R369" s="1423"/>
      <c r="S369" s="1423"/>
      <c r="T369" s="1423"/>
      <c r="U369" s="1423"/>
      <c r="V369" s="1423"/>
      <c r="W369" s="1423"/>
      <c r="X369" s="1423"/>
      <c r="Y369" s="1423"/>
      <c r="Z369" s="1423"/>
    </row>
    <row r="370" spans="1:26" ht="18.5">
      <c r="A370" s="1423"/>
      <c r="B370" s="1423"/>
      <c r="C370" s="1423"/>
      <c r="D370" s="1423"/>
      <c r="E370" s="1423"/>
      <c r="F370" s="1423"/>
      <c r="G370" s="1423"/>
      <c r="H370" s="1423"/>
      <c r="I370" s="1423"/>
      <c r="J370" s="1423"/>
      <c r="K370" s="1423"/>
      <c r="L370" s="1423"/>
      <c r="M370" s="1423"/>
      <c r="N370" s="1423"/>
      <c r="O370" s="1423"/>
      <c r="P370" s="1423"/>
      <c r="Q370" s="1423"/>
      <c r="R370" s="1423"/>
      <c r="S370" s="1423"/>
      <c r="T370" s="1423"/>
      <c r="U370" s="1423"/>
      <c r="V370" s="1423"/>
      <c r="W370" s="1423"/>
      <c r="X370" s="1423"/>
      <c r="Y370" s="1423"/>
      <c r="Z370" s="1423"/>
    </row>
    <row r="371" spans="1:26" ht="18.5">
      <c r="A371" s="1423"/>
      <c r="B371" s="1423"/>
      <c r="C371" s="1423"/>
      <c r="D371" s="1423"/>
      <c r="E371" s="1423"/>
      <c r="F371" s="1423"/>
      <c r="G371" s="1423"/>
      <c r="H371" s="1423"/>
      <c r="I371" s="1423"/>
      <c r="J371" s="1423"/>
      <c r="K371" s="1423"/>
      <c r="L371" s="1423"/>
      <c r="M371" s="1423"/>
      <c r="N371" s="1423"/>
      <c r="O371" s="1423"/>
      <c r="P371" s="1423"/>
      <c r="Q371" s="1423"/>
      <c r="R371" s="1423"/>
      <c r="S371" s="1423"/>
      <c r="T371" s="1423"/>
      <c r="U371" s="1423"/>
      <c r="V371" s="1423"/>
      <c r="W371" s="1423"/>
      <c r="X371" s="1423"/>
      <c r="Y371" s="1423"/>
      <c r="Z371" s="1423"/>
    </row>
    <row r="372" spans="1:26" ht="18.5">
      <c r="A372" s="1423"/>
      <c r="B372" s="1423"/>
      <c r="C372" s="1423"/>
      <c r="D372" s="1423"/>
      <c r="E372" s="1423"/>
      <c r="F372" s="1423"/>
      <c r="G372" s="1423"/>
      <c r="H372" s="1423"/>
      <c r="I372" s="1423"/>
      <c r="J372" s="1423"/>
      <c r="K372" s="1423"/>
      <c r="L372" s="1423"/>
      <c r="M372" s="1423"/>
      <c r="N372" s="1423"/>
      <c r="O372" s="1423"/>
      <c r="P372" s="1423"/>
      <c r="Q372" s="1423"/>
      <c r="R372" s="1423"/>
      <c r="S372" s="1423"/>
      <c r="T372" s="1423"/>
      <c r="U372" s="1423"/>
      <c r="V372" s="1423"/>
      <c r="W372" s="1423"/>
      <c r="X372" s="1423"/>
      <c r="Y372" s="1423"/>
      <c r="Z372" s="1423"/>
    </row>
    <row r="373" spans="1:26" ht="18.5">
      <c r="A373" s="1423"/>
      <c r="B373" s="1423"/>
      <c r="C373" s="1423"/>
      <c r="D373" s="1423"/>
      <c r="E373" s="1423"/>
      <c r="F373" s="1423"/>
      <c r="G373" s="1423"/>
      <c r="H373" s="1423"/>
      <c r="I373" s="1423"/>
      <c r="J373" s="1423"/>
      <c r="K373" s="1423"/>
      <c r="L373" s="1423"/>
      <c r="M373" s="1423"/>
      <c r="N373" s="1423"/>
      <c r="O373" s="1423"/>
      <c r="P373" s="1423"/>
      <c r="Q373" s="1423"/>
      <c r="R373" s="1423"/>
      <c r="S373" s="1423"/>
      <c r="T373" s="1423"/>
      <c r="U373" s="1423"/>
      <c r="V373" s="1423"/>
      <c r="W373" s="1423"/>
      <c r="X373" s="1423"/>
      <c r="Y373" s="1423"/>
      <c r="Z373" s="1423"/>
    </row>
    <row r="374" spans="1:26" ht="18.5">
      <c r="A374" s="1423"/>
      <c r="B374" s="1423"/>
      <c r="C374" s="1423"/>
      <c r="D374" s="1423"/>
      <c r="E374" s="1423"/>
      <c r="F374" s="1423"/>
      <c r="G374" s="1423"/>
      <c r="H374" s="1423"/>
      <c r="I374" s="1423"/>
      <c r="J374" s="1423"/>
      <c r="K374" s="1423"/>
      <c r="L374" s="1423"/>
      <c r="M374" s="1423"/>
      <c r="N374" s="1423"/>
      <c r="O374" s="1423"/>
      <c r="P374" s="1423"/>
      <c r="Q374" s="1423"/>
      <c r="R374" s="1423"/>
      <c r="S374" s="1423"/>
      <c r="T374" s="1423"/>
      <c r="U374" s="1423"/>
      <c r="V374" s="1423"/>
      <c r="W374" s="1423"/>
      <c r="X374" s="1423"/>
      <c r="Y374" s="1423"/>
      <c r="Z374" s="1423"/>
    </row>
    <row r="375" spans="1:26" ht="18.5">
      <c r="A375" s="1423"/>
      <c r="B375" s="1423"/>
      <c r="C375" s="1423"/>
      <c r="D375" s="1423"/>
      <c r="E375" s="1423"/>
      <c r="F375" s="1423"/>
      <c r="G375" s="1423"/>
      <c r="H375" s="1423"/>
      <c r="I375" s="1423"/>
      <c r="J375" s="1423"/>
      <c r="K375" s="1423"/>
      <c r="L375" s="1423"/>
      <c r="M375" s="1423"/>
      <c r="N375" s="1423"/>
      <c r="O375" s="1423"/>
      <c r="P375" s="1423"/>
      <c r="Q375" s="1423"/>
      <c r="R375" s="1423"/>
      <c r="S375" s="1423"/>
      <c r="T375" s="1423"/>
      <c r="U375" s="1423"/>
      <c r="V375" s="1423"/>
      <c r="W375" s="1423"/>
      <c r="X375" s="1423"/>
      <c r="Y375" s="1423"/>
      <c r="Z375" s="1423"/>
    </row>
    <row r="376" spans="1:26" ht="18.5">
      <c r="A376" s="1423"/>
      <c r="B376" s="1423"/>
      <c r="C376" s="1423"/>
      <c r="D376" s="1423"/>
      <c r="E376" s="1423"/>
      <c r="F376" s="1423"/>
      <c r="G376" s="1423"/>
      <c r="H376" s="1423"/>
      <c r="I376" s="1423"/>
      <c r="J376" s="1423"/>
      <c r="K376" s="1423"/>
      <c r="L376" s="1423"/>
      <c r="M376" s="1423"/>
      <c r="N376" s="1423"/>
      <c r="O376" s="1423"/>
      <c r="P376" s="1423"/>
      <c r="Q376" s="1423"/>
      <c r="R376" s="1423"/>
      <c r="S376" s="1423"/>
      <c r="T376" s="1423"/>
      <c r="U376" s="1423"/>
      <c r="V376" s="1423"/>
      <c r="W376" s="1423"/>
      <c r="X376" s="1423"/>
      <c r="Y376" s="1423"/>
      <c r="Z376" s="1423"/>
    </row>
    <row r="377" spans="1:26" ht="18.5">
      <c r="A377" s="1423"/>
      <c r="B377" s="1423"/>
      <c r="C377" s="1423"/>
      <c r="D377" s="1423"/>
      <c r="E377" s="1423"/>
      <c r="F377" s="1423"/>
      <c r="G377" s="1423"/>
      <c r="H377" s="1423"/>
      <c r="I377" s="1423"/>
      <c r="J377" s="1423"/>
      <c r="K377" s="1423"/>
      <c r="L377" s="1423"/>
      <c r="M377" s="1423"/>
      <c r="N377" s="1423"/>
      <c r="O377" s="1423"/>
      <c r="P377" s="1423"/>
      <c r="Q377" s="1423"/>
      <c r="R377" s="1423"/>
      <c r="S377" s="1423"/>
      <c r="T377" s="1423"/>
      <c r="U377" s="1423"/>
      <c r="V377" s="1423"/>
      <c r="W377" s="1423"/>
      <c r="X377" s="1423"/>
      <c r="Y377" s="1423"/>
      <c r="Z377" s="1423"/>
    </row>
    <row r="378" spans="1:26" ht="18.5">
      <c r="A378" s="1423"/>
      <c r="B378" s="1423"/>
      <c r="C378" s="1423"/>
      <c r="D378" s="1423"/>
      <c r="E378" s="1423"/>
      <c r="F378" s="1423"/>
      <c r="G378" s="1423"/>
      <c r="H378" s="1423"/>
      <c r="I378" s="1423"/>
      <c r="J378" s="1423"/>
      <c r="K378" s="1423"/>
      <c r="L378" s="1423"/>
      <c r="M378" s="1423"/>
      <c r="N378" s="1423"/>
      <c r="O378" s="1423"/>
      <c r="P378" s="1423"/>
      <c r="Q378" s="1423"/>
      <c r="R378" s="1423"/>
      <c r="S378" s="1423"/>
      <c r="T378" s="1423"/>
      <c r="U378" s="1423"/>
      <c r="V378" s="1423"/>
      <c r="W378" s="1423"/>
      <c r="X378" s="1423"/>
      <c r="Y378" s="1423"/>
      <c r="Z378" s="1423"/>
    </row>
    <row r="379" spans="1:26" ht="18.5">
      <c r="A379" s="1423"/>
      <c r="B379" s="1423"/>
      <c r="C379" s="1423"/>
      <c r="D379" s="1423"/>
      <c r="E379" s="1423"/>
      <c r="F379" s="1423"/>
      <c r="G379" s="1423"/>
      <c r="H379" s="1423"/>
      <c r="I379" s="1423"/>
      <c r="J379" s="1423"/>
      <c r="K379" s="1423"/>
      <c r="L379" s="1423"/>
      <c r="M379" s="1423"/>
      <c r="N379" s="1423"/>
      <c r="O379" s="1423"/>
      <c r="P379" s="1423"/>
      <c r="Q379" s="1423"/>
      <c r="R379" s="1423"/>
      <c r="S379" s="1423"/>
      <c r="T379" s="1423"/>
      <c r="U379" s="1423"/>
      <c r="V379" s="1423"/>
      <c r="W379" s="1423"/>
      <c r="X379" s="1423"/>
      <c r="Y379" s="1423"/>
      <c r="Z379" s="1423"/>
    </row>
    <row r="380" spans="1:26" ht="18.5">
      <c r="A380" s="1423"/>
      <c r="B380" s="1423"/>
      <c r="C380" s="1423"/>
      <c r="D380" s="1423"/>
      <c r="E380" s="1423"/>
      <c r="F380" s="1423"/>
      <c r="G380" s="1423"/>
      <c r="H380" s="1423"/>
      <c r="I380" s="1423"/>
      <c r="J380" s="1423"/>
      <c r="K380" s="1423"/>
      <c r="L380" s="1423"/>
      <c r="M380" s="1423"/>
      <c r="N380" s="1423"/>
      <c r="O380" s="1423"/>
      <c r="P380" s="1423"/>
      <c r="Q380" s="1423"/>
      <c r="R380" s="1423"/>
      <c r="S380" s="1423"/>
      <c r="T380" s="1423"/>
      <c r="U380" s="1423"/>
      <c r="V380" s="1423"/>
      <c r="W380" s="1423"/>
      <c r="X380" s="1423"/>
      <c r="Y380" s="1423"/>
      <c r="Z380" s="1423"/>
    </row>
    <row r="381" spans="1:26" ht="18.5">
      <c r="A381" s="1423"/>
      <c r="B381" s="1423"/>
      <c r="C381" s="1423"/>
      <c r="D381" s="1423"/>
      <c r="E381" s="1423"/>
      <c r="F381" s="1423"/>
      <c r="G381" s="1423"/>
      <c r="H381" s="1423"/>
      <c r="I381" s="1423"/>
      <c r="J381" s="1423"/>
      <c r="K381" s="1423"/>
      <c r="L381" s="1423"/>
      <c r="M381" s="1423"/>
      <c r="N381" s="1423"/>
      <c r="O381" s="1423"/>
      <c r="P381" s="1423"/>
      <c r="Q381" s="1423"/>
      <c r="R381" s="1423"/>
      <c r="S381" s="1423"/>
      <c r="T381" s="1423"/>
      <c r="U381" s="1423"/>
      <c r="V381" s="1423"/>
      <c r="W381" s="1423"/>
      <c r="X381" s="1423"/>
      <c r="Y381" s="1423"/>
      <c r="Z381" s="1423"/>
    </row>
    <row r="382" spans="1:26" ht="18.5">
      <c r="A382" s="1423"/>
      <c r="B382" s="1423"/>
      <c r="C382" s="1423"/>
      <c r="D382" s="1423"/>
      <c r="E382" s="1423"/>
      <c r="F382" s="1423"/>
      <c r="G382" s="1423"/>
      <c r="H382" s="1423"/>
      <c r="I382" s="1423"/>
      <c r="J382" s="1423"/>
      <c r="K382" s="1423"/>
      <c r="L382" s="1423"/>
      <c r="M382" s="1423"/>
      <c r="N382" s="1423"/>
      <c r="O382" s="1423"/>
      <c r="P382" s="1423"/>
      <c r="Q382" s="1423"/>
      <c r="R382" s="1423"/>
      <c r="S382" s="1423"/>
      <c r="T382" s="1423"/>
      <c r="U382" s="1423"/>
      <c r="V382" s="1423"/>
      <c r="W382" s="1423"/>
      <c r="X382" s="1423"/>
      <c r="Y382" s="1423"/>
      <c r="Z382" s="1423"/>
    </row>
    <row r="383" spans="1:26" ht="18.5">
      <c r="A383" s="1423"/>
      <c r="B383" s="1423"/>
      <c r="C383" s="1423"/>
      <c r="D383" s="1423"/>
      <c r="E383" s="1423"/>
      <c r="F383" s="1423"/>
      <c r="G383" s="1423"/>
      <c r="H383" s="1423"/>
      <c r="I383" s="1423"/>
      <c r="J383" s="1423"/>
      <c r="K383" s="1423"/>
      <c r="L383" s="1423"/>
      <c r="M383" s="1423"/>
      <c r="N383" s="1423"/>
      <c r="O383" s="1423"/>
      <c r="P383" s="1423"/>
      <c r="Q383" s="1423"/>
      <c r="R383" s="1423"/>
      <c r="S383" s="1423"/>
      <c r="T383" s="1423"/>
      <c r="U383" s="1423"/>
      <c r="V383" s="1423"/>
      <c r="W383" s="1423"/>
      <c r="X383" s="1423"/>
      <c r="Y383" s="1423"/>
      <c r="Z383" s="1423"/>
    </row>
    <row r="384" spans="1:26" ht="18.5">
      <c r="A384" s="1423"/>
      <c r="B384" s="1423"/>
      <c r="C384" s="1423"/>
      <c r="D384" s="1423"/>
      <c r="E384" s="1423"/>
      <c r="F384" s="1423"/>
      <c r="G384" s="1423"/>
      <c r="H384" s="1423"/>
      <c r="I384" s="1423"/>
      <c r="J384" s="1423"/>
      <c r="K384" s="1423"/>
      <c r="L384" s="1423"/>
      <c r="M384" s="1423"/>
      <c r="N384" s="1423"/>
      <c r="O384" s="1423"/>
      <c r="P384" s="1423"/>
      <c r="Q384" s="1423"/>
      <c r="R384" s="1423"/>
      <c r="S384" s="1423"/>
      <c r="T384" s="1423"/>
      <c r="U384" s="1423"/>
      <c r="V384" s="1423"/>
      <c r="W384" s="1423"/>
      <c r="X384" s="1423"/>
      <c r="Y384" s="1423"/>
      <c r="Z384" s="1423"/>
    </row>
    <row r="385" spans="1:26" ht="18.5">
      <c r="A385" s="1423"/>
      <c r="B385" s="1423"/>
      <c r="C385" s="1423"/>
      <c r="D385" s="1423"/>
      <c r="E385" s="1423"/>
      <c r="F385" s="1423"/>
      <c r="G385" s="1423"/>
      <c r="H385" s="1423"/>
      <c r="I385" s="1423"/>
      <c r="J385" s="1423"/>
      <c r="K385" s="1423"/>
      <c r="L385" s="1423"/>
      <c r="M385" s="1423"/>
      <c r="N385" s="1423"/>
      <c r="O385" s="1423"/>
      <c r="P385" s="1423"/>
      <c r="Q385" s="1423"/>
      <c r="R385" s="1423"/>
      <c r="S385" s="1423"/>
      <c r="T385" s="1423"/>
      <c r="U385" s="1423"/>
      <c r="V385" s="1423"/>
      <c r="W385" s="1423"/>
      <c r="X385" s="1423"/>
      <c r="Y385" s="1423"/>
      <c r="Z385" s="1423"/>
    </row>
    <row r="386" spans="1:26" ht="18.5">
      <c r="A386" s="1423"/>
      <c r="B386" s="1423"/>
      <c r="C386" s="1423"/>
      <c r="D386" s="1423"/>
      <c r="E386" s="1423"/>
      <c r="F386" s="1423"/>
      <c r="G386" s="1423"/>
      <c r="H386" s="1423"/>
      <c r="I386" s="1423"/>
      <c r="J386" s="1423"/>
      <c r="K386" s="1423"/>
      <c r="L386" s="1423"/>
      <c r="M386" s="1423"/>
      <c r="N386" s="1423"/>
      <c r="O386" s="1423"/>
      <c r="P386" s="1423"/>
      <c r="Q386" s="1423"/>
      <c r="R386" s="1423"/>
      <c r="S386" s="1423"/>
      <c r="T386" s="1423"/>
      <c r="U386" s="1423"/>
      <c r="V386" s="1423"/>
      <c r="W386" s="1423"/>
      <c r="X386" s="1423"/>
      <c r="Y386" s="1423"/>
      <c r="Z386" s="1423"/>
    </row>
    <row r="387" spans="1:26" ht="18.5">
      <c r="A387" s="1423"/>
      <c r="B387" s="1423"/>
      <c r="C387" s="1423"/>
      <c r="D387" s="1423"/>
      <c r="E387" s="1423"/>
      <c r="F387" s="1423"/>
      <c r="G387" s="1423"/>
      <c r="H387" s="1423"/>
      <c r="I387" s="1423"/>
      <c r="J387" s="1423"/>
      <c r="K387" s="1423"/>
      <c r="L387" s="1423"/>
      <c r="M387" s="1423"/>
      <c r="N387" s="1423"/>
      <c r="O387" s="1423"/>
      <c r="P387" s="1423"/>
      <c r="Q387" s="1423"/>
      <c r="R387" s="1423"/>
      <c r="S387" s="1423"/>
      <c r="T387" s="1423"/>
      <c r="U387" s="1423"/>
      <c r="V387" s="1423"/>
      <c r="W387" s="1423"/>
      <c r="X387" s="1423"/>
      <c r="Y387" s="1423"/>
      <c r="Z387" s="1423"/>
    </row>
    <row r="388" spans="1:26" ht="18.5">
      <c r="A388" s="1423"/>
      <c r="B388" s="1423"/>
      <c r="C388" s="1423"/>
      <c r="D388" s="1423"/>
      <c r="E388" s="1423"/>
      <c r="F388" s="1423"/>
      <c r="G388" s="1423"/>
      <c r="H388" s="1423"/>
      <c r="I388" s="1423"/>
      <c r="J388" s="1423"/>
      <c r="K388" s="1423"/>
      <c r="L388" s="1423"/>
      <c r="M388" s="1423"/>
      <c r="N388" s="1423"/>
      <c r="O388" s="1423"/>
      <c r="P388" s="1423"/>
      <c r="Q388" s="1423"/>
      <c r="R388" s="1423"/>
      <c r="S388" s="1423"/>
      <c r="T388" s="1423"/>
      <c r="U388" s="1423"/>
      <c r="V388" s="1423"/>
      <c r="W388" s="1423"/>
      <c r="X388" s="1423"/>
      <c r="Y388" s="1423"/>
      <c r="Z388" s="1423"/>
    </row>
    <row r="389" spans="1:26" ht="18.5">
      <c r="A389" s="1423"/>
      <c r="B389" s="1423"/>
      <c r="C389" s="1423"/>
      <c r="D389" s="1423"/>
      <c r="E389" s="1423"/>
      <c r="F389" s="1423"/>
      <c r="G389" s="1423"/>
      <c r="H389" s="1423"/>
      <c r="I389" s="1423"/>
      <c r="J389" s="1423"/>
      <c r="K389" s="1423"/>
      <c r="L389" s="1423"/>
      <c r="M389" s="1423"/>
      <c r="N389" s="1423"/>
      <c r="O389" s="1423"/>
      <c r="P389" s="1423"/>
      <c r="Q389" s="1423"/>
      <c r="R389" s="1423"/>
      <c r="S389" s="1423"/>
      <c r="T389" s="1423"/>
      <c r="U389" s="1423"/>
      <c r="V389" s="1423"/>
      <c r="W389" s="1423"/>
      <c r="X389" s="1423"/>
      <c r="Y389" s="1423"/>
      <c r="Z389" s="1423"/>
    </row>
    <row r="390" spans="1:26" ht="18.5">
      <c r="A390" s="1423"/>
      <c r="B390" s="1423"/>
      <c r="C390" s="1423"/>
      <c r="D390" s="1423"/>
      <c r="E390" s="1423"/>
      <c r="F390" s="1423"/>
      <c r="G390" s="1423"/>
      <c r="H390" s="1423"/>
      <c r="I390" s="1423"/>
      <c r="J390" s="1423"/>
      <c r="K390" s="1423"/>
      <c r="L390" s="1423"/>
      <c r="M390" s="1423"/>
      <c r="N390" s="1423"/>
      <c r="O390" s="1423"/>
      <c r="P390" s="1423"/>
      <c r="Q390" s="1423"/>
      <c r="R390" s="1423"/>
      <c r="S390" s="1423"/>
      <c r="T390" s="1423"/>
      <c r="U390" s="1423"/>
      <c r="V390" s="1423"/>
      <c r="W390" s="1423"/>
      <c r="X390" s="1423"/>
      <c r="Y390" s="1423"/>
      <c r="Z390" s="1423"/>
    </row>
    <row r="391" spans="1:26" ht="18.5">
      <c r="A391" s="1423"/>
      <c r="B391" s="1423"/>
      <c r="C391" s="1423"/>
      <c r="D391" s="1423"/>
      <c r="E391" s="1423"/>
      <c r="F391" s="1423"/>
      <c r="G391" s="1423"/>
      <c r="H391" s="1423"/>
      <c r="I391" s="1423"/>
      <c r="J391" s="1423"/>
      <c r="K391" s="1423"/>
      <c r="L391" s="1423"/>
      <c r="M391" s="1423"/>
      <c r="N391" s="1423"/>
      <c r="O391" s="1423"/>
      <c r="P391" s="1423"/>
      <c r="Q391" s="1423"/>
      <c r="R391" s="1423"/>
      <c r="S391" s="1423"/>
      <c r="T391" s="1423"/>
      <c r="U391" s="1423"/>
      <c r="V391" s="1423"/>
      <c r="W391" s="1423"/>
      <c r="X391" s="1423"/>
      <c r="Y391" s="1423"/>
      <c r="Z391" s="1423"/>
    </row>
    <row r="392" spans="1:26" ht="18.5">
      <c r="A392" s="1423"/>
      <c r="B392" s="1423"/>
      <c r="C392" s="1423"/>
      <c r="D392" s="1423"/>
      <c r="E392" s="1423"/>
      <c r="F392" s="1423"/>
      <c r="G392" s="1423"/>
      <c r="H392" s="1423"/>
      <c r="I392" s="1423"/>
      <c r="J392" s="1423"/>
      <c r="K392" s="1423"/>
      <c r="L392" s="1423"/>
      <c r="M392" s="1423"/>
      <c r="N392" s="1423"/>
      <c r="O392" s="1423"/>
      <c r="P392" s="1423"/>
      <c r="Q392" s="1423"/>
      <c r="R392" s="1423"/>
      <c r="S392" s="1423"/>
      <c r="T392" s="1423"/>
      <c r="U392" s="1423"/>
      <c r="V392" s="1423"/>
      <c r="W392" s="1423"/>
      <c r="X392" s="1423"/>
      <c r="Y392" s="1423"/>
      <c r="Z392" s="1423"/>
    </row>
    <row r="393" spans="1:26" ht="18.5">
      <c r="A393" s="1423"/>
      <c r="B393" s="1423"/>
      <c r="C393" s="1423"/>
      <c r="D393" s="1423"/>
      <c r="E393" s="1423"/>
      <c r="F393" s="1423"/>
      <c r="G393" s="1423"/>
      <c r="H393" s="1423"/>
      <c r="I393" s="1423"/>
      <c r="J393" s="1423"/>
      <c r="K393" s="1423"/>
      <c r="L393" s="1423"/>
      <c r="M393" s="1423"/>
      <c r="N393" s="1423"/>
      <c r="O393" s="1423"/>
      <c r="P393" s="1423"/>
      <c r="Q393" s="1423"/>
      <c r="R393" s="1423"/>
      <c r="S393" s="1423"/>
      <c r="T393" s="1423"/>
      <c r="U393" s="1423"/>
      <c r="V393" s="1423"/>
      <c r="W393" s="1423"/>
      <c r="X393" s="1423"/>
      <c r="Y393" s="1423"/>
      <c r="Z393" s="1423"/>
    </row>
    <row r="394" spans="1:26" ht="18.5">
      <c r="A394" s="1423"/>
      <c r="B394" s="1423"/>
      <c r="C394" s="1423"/>
      <c r="D394" s="1423"/>
      <c r="E394" s="1423"/>
      <c r="F394" s="1423"/>
      <c r="G394" s="1423"/>
      <c r="H394" s="1423"/>
      <c r="I394" s="1423"/>
      <c r="J394" s="1423"/>
      <c r="K394" s="1423"/>
      <c r="L394" s="1423"/>
      <c r="M394" s="1423"/>
      <c r="N394" s="1423"/>
      <c r="O394" s="1423"/>
      <c r="P394" s="1423"/>
      <c r="Q394" s="1423"/>
      <c r="R394" s="1423"/>
      <c r="S394" s="1423"/>
      <c r="T394" s="1423"/>
      <c r="U394" s="1423"/>
      <c r="V394" s="1423"/>
      <c r="W394" s="1423"/>
      <c r="X394" s="1423"/>
      <c r="Y394" s="1423"/>
      <c r="Z394" s="1423"/>
    </row>
    <row r="395" spans="1:26" ht="18.5">
      <c r="A395" s="1423"/>
      <c r="B395" s="1423"/>
      <c r="C395" s="1423"/>
      <c r="D395" s="1423"/>
      <c r="E395" s="1423"/>
      <c r="F395" s="1423"/>
      <c r="G395" s="1423"/>
      <c r="H395" s="1423"/>
      <c r="I395" s="1423"/>
      <c r="J395" s="1423"/>
      <c r="K395" s="1423"/>
      <c r="L395" s="1423"/>
      <c r="M395" s="1423"/>
      <c r="N395" s="1423"/>
      <c r="O395" s="1423"/>
      <c r="P395" s="1423"/>
      <c r="Q395" s="1423"/>
      <c r="R395" s="1423"/>
      <c r="S395" s="1423"/>
      <c r="T395" s="1423"/>
      <c r="U395" s="1423"/>
      <c r="V395" s="1423"/>
      <c r="W395" s="1423"/>
      <c r="X395" s="1423"/>
      <c r="Y395" s="1423"/>
      <c r="Z395" s="1423"/>
    </row>
    <row r="396" spans="1:26" ht="18.5">
      <c r="A396" s="1423"/>
      <c r="B396" s="1423"/>
      <c r="C396" s="1423"/>
      <c r="D396" s="1423"/>
      <c r="E396" s="1423"/>
      <c r="F396" s="1423"/>
      <c r="G396" s="1423"/>
      <c r="H396" s="1423"/>
      <c r="I396" s="1423"/>
      <c r="J396" s="1423"/>
      <c r="K396" s="1423"/>
      <c r="L396" s="1423"/>
      <c r="M396" s="1423"/>
      <c r="N396" s="1423"/>
      <c r="O396" s="1423"/>
      <c r="P396" s="1423"/>
      <c r="Q396" s="1423"/>
      <c r="R396" s="1423"/>
      <c r="S396" s="1423"/>
      <c r="T396" s="1423"/>
      <c r="U396" s="1423"/>
      <c r="V396" s="1423"/>
      <c r="W396" s="1423"/>
      <c r="X396" s="1423"/>
      <c r="Y396" s="1423"/>
      <c r="Z396" s="1423"/>
    </row>
    <row r="397" spans="1:26" ht="18.5">
      <c r="A397" s="1423"/>
      <c r="B397" s="1423"/>
      <c r="C397" s="1423"/>
      <c r="D397" s="1423"/>
      <c r="E397" s="1423"/>
      <c r="F397" s="1423"/>
      <c r="G397" s="1423"/>
      <c r="H397" s="1423"/>
      <c r="I397" s="1423"/>
      <c r="J397" s="1423"/>
      <c r="K397" s="1423"/>
      <c r="L397" s="1423"/>
      <c r="M397" s="1423"/>
      <c r="N397" s="1423"/>
      <c r="O397" s="1423"/>
      <c r="P397" s="1423"/>
      <c r="Q397" s="1423"/>
      <c r="R397" s="1423"/>
      <c r="S397" s="1423"/>
      <c r="T397" s="1423"/>
      <c r="U397" s="1423"/>
      <c r="V397" s="1423"/>
      <c r="W397" s="1423"/>
      <c r="X397" s="1423"/>
      <c r="Y397" s="1423"/>
      <c r="Z397" s="1423"/>
    </row>
    <row r="398" spans="1:26" ht="18.5">
      <c r="A398" s="1423"/>
      <c r="B398" s="1423"/>
      <c r="C398" s="1423"/>
      <c r="D398" s="1423"/>
      <c r="E398" s="1423"/>
      <c r="F398" s="1423"/>
      <c r="G398" s="1423"/>
      <c r="H398" s="1423"/>
      <c r="I398" s="1423"/>
      <c r="J398" s="1423"/>
      <c r="K398" s="1423"/>
      <c r="L398" s="1423"/>
      <c r="M398" s="1423"/>
      <c r="N398" s="1423"/>
      <c r="O398" s="1423"/>
      <c r="P398" s="1423"/>
      <c r="Q398" s="1423"/>
      <c r="R398" s="1423"/>
      <c r="S398" s="1423"/>
      <c r="T398" s="1423"/>
      <c r="U398" s="1423"/>
      <c r="V398" s="1423"/>
      <c r="W398" s="1423"/>
      <c r="X398" s="1423"/>
      <c r="Y398" s="1423"/>
      <c r="Z398" s="1423"/>
    </row>
    <row r="399" spans="1:26" ht="18.5">
      <c r="A399" s="1423"/>
      <c r="B399" s="1423"/>
      <c r="C399" s="1423"/>
      <c r="D399" s="1423"/>
      <c r="E399" s="1423"/>
      <c r="F399" s="1423"/>
      <c r="G399" s="1423"/>
      <c r="H399" s="1423"/>
      <c r="I399" s="1423"/>
      <c r="J399" s="1423"/>
      <c r="K399" s="1423"/>
      <c r="L399" s="1423"/>
      <c r="M399" s="1423"/>
      <c r="N399" s="1423"/>
      <c r="O399" s="1423"/>
      <c r="P399" s="1423"/>
      <c r="Q399" s="1423"/>
      <c r="R399" s="1423"/>
      <c r="S399" s="1423"/>
      <c r="T399" s="1423"/>
      <c r="U399" s="1423"/>
      <c r="V399" s="1423"/>
      <c r="W399" s="1423"/>
      <c r="X399" s="1423"/>
      <c r="Y399" s="1423"/>
      <c r="Z399" s="1423"/>
    </row>
    <row r="400" spans="1:26" ht="18.5">
      <c r="A400" s="1423"/>
      <c r="B400" s="1423"/>
      <c r="C400" s="1423"/>
      <c r="D400" s="1423"/>
      <c r="E400" s="1423"/>
      <c r="F400" s="1423"/>
      <c r="G400" s="1423"/>
      <c r="H400" s="1423"/>
      <c r="I400" s="1423"/>
      <c r="J400" s="1423"/>
      <c r="K400" s="1423"/>
      <c r="L400" s="1423"/>
      <c r="M400" s="1423"/>
      <c r="N400" s="1423"/>
      <c r="O400" s="1423"/>
      <c r="P400" s="1423"/>
      <c r="Q400" s="1423"/>
      <c r="R400" s="1423"/>
      <c r="S400" s="1423"/>
      <c r="T400" s="1423"/>
      <c r="U400" s="1423"/>
      <c r="V400" s="1423"/>
      <c r="W400" s="1423"/>
      <c r="X400" s="1423"/>
      <c r="Y400" s="1423"/>
      <c r="Z400" s="1423"/>
    </row>
    <row r="401" spans="1:26" ht="18.5">
      <c r="A401" s="1423"/>
      <c r="B401" s="1423"/>
      <c r="C401" s="1423"/>
      <c r="D401" s="1423"/>
      <c r="E401" s="1423"/>
      <c r="F401" s="1423"/>
      <c r="G401" s="1423"/>
      <c r="H401" s="1423"/>
      <c r="I401" s="1423"/>
      <c r="J401" s="1423"/>
      <c r="K401" s="1423"/>
      <c r="L401" s="1423"/>
      <c r="M401" s="1423"/>
      <c r="N401" s="1423"/>
      <c r="O401" s="1423"/>
      <c r="P401" s="1423"/>
      <c r="Q401" s="1423"/>
      <c r="R401" s="1423"/>
      <c r="S401" s="1423"/>
      <c r="T401" s="1423"/>
      <c r="U401" s="1423"/>
      <c r="V401" s="1423"/>
      <c r="W401" s="1423"/>
      <c r="X401" s="1423"/>
      <c r="Y401" s="1423"/>
      <c r="Z401" s="1423"/>
    </row>
    <row r="402" spans="1:26" ht="18.5">
      <c r="A402" s="1423"/>
      <c r="B402" s="1423"/>
      <c r="C402" s="1423"/>
      <c r="D402" s="1423"/>
      <c r="E402" s="1423"/>
      <c r="F402" s="1423"/>
      <c r="G402" s="1423"/>
      <c r="H402" s="1423"/>
      <c r="I402" s="1423"/>
      <c r="J402" s="1423"/>
      <c r="K402" s="1423"/>
      <c r="L402" s="1423"/>
      <c r="M402" s="1423"/>
      <c r="N402" s="1423"/>
      <c r="O402" s="1423"/>
      <c r="P402" s="1423"/>
      <c r="Q402" s="1423"/>
      <c r="R402" s="1423"/>
      <c r="S402" s="1423"/>
      <c r="T402" s="1423"/>
      <c r="U402" s="1423"/>
      <c r="V402" s="1423"/>
      <c r="W402" s="1423"/>
      <c r="X402" s="1423"/>
      <c r="Y402" s="1423"/>
      <c r="Z402" s="1423"/>
    </row>
    <row r="403" spans="1:26" ht="18.5">
      <c r="A403" s="1423"/>
      <c r="B403" s="1423"/>
      <c r="C403" s="1423"/>
      <c r="D403" s="1423"/>
      <c r="E403" s="1423"/>
      <c r="F403" s="1423"/>
      <c r="G403" s="1423"/>
      <c r="H403" s="1423"/>
      <c r="I403" s="1423"/>
      <c r="J403" s="1423"/>
      <c r="K403" s="1423"/>
      <c r="L403" s="1423"/>
      <c r="M403" s="1423"/>
      <c r="N403" s="1423"/>
      <c r="O403" s="1423"/>
      <c r="P403" s="1423"/>
      <c r="Q403" s="1423"/>
      <c r="R403" s="1423"/>
      <c r="S403" s="1423"/>
      <c r="T403" s="1423"/>
      <c r="U403" s="1423"/>
      <c r="V403" s="1423"/>
      <c r="W403" s="1423"/>
      <c r="X403" s="1423"/>
      <c r="Y403" s="1423"/>
      <c r="Z403" s="1423"/>
    </row>
    <row r="404" spans="1:26" ht="18.5">
      <c r="A404" s="1423"/>
      <c r="B404" s="1423"/>
      <c r="C404" s="1423"/>
      <c r="D404" s="1423"/>
      <c r="E404" s="1423"/>
      <c r="F404" s="1423"/>
      <c r="G404" s="1423"/>
      <c r="H404" s="1423"/>
      <c r="I404" s="1423"/>
      <c r="J404" s="1423"/>
      <c r="K404" s="1423"/>
      <c r="L404" s="1423"/>
      <c r="M404" s="1423"/>
      <c r="N404" s="1423"/>
      <c r="O404" s="1423"/>
      <c r="P404" s="1423"/>
      <c r="Q404" s="1423"/>
      <c r="R404" s="1423"/>
      <c r="S404" s="1423"/>
      <c r="T404" s="1423"/>
      <c r="U404" s="1423"/>
      <c r="V404" s="1423"/>
      <c r="W404" s="1423"/>
      <c r="X404" s="1423"/>
      <c r="Y404" s="1423"/>
      <c r="Z404" s="1423"/>
    </row>
    <row r="405" spans="1:26" ht="18.5">
      <c r="A405" s="1423"/>
      <c r="B405" s="1423"/>
      <c r="C405" s="1423"/>
      <c r="D405" s="1423"/>
      <c r="E405" s="1423"/>
      <c r="F405" s="1423"/>
      <c r="G405" s="1423"/>
      <c r="H405" s="1423"/>
      <c r="I405" s="1423"/>
      <c r="J405" s="1423"/>
      <c r="K405" s="1423"/>
      <c r="L405" s="1423"/>
      <c r="M405" s="1423"/>
      <c r="N405" s="1423"/>
      <c r="O405" s="1423"/>
      <c r="P405" s="1423"/>
      <c r="Q405" s="1423"/>
      <c r="R405" s="1423"/>
      <c r="S405" s="1423"/>
      <c r="T405" s="1423"/>
      <c r="U405" s="1423"/>
      <c r="V405" s="1423"/>
      <c r="W405" s="1423"/>
      <c r="X405" s="1423"/>
      <c r="Y405" s="1423"/>
      <c r="Z405" s="1423"/>
    </row>
    <row r="406" spans="1:26" ht="18.5">
      <c r="A406" s="1423"/>
      <c r="B406" s="1423"/>
      <c r="C406" s="1423"/>
      <c r="D406" s="1423"/>
      <c r="E406" s="1423"/>
      <c r="F406" s="1423"/>
      <c r="G406" s="1423"/>
      <c r="H406" s="1423"/>
      <c r="I406" s="1423"/>
      <c r="J406" s="1423"/>
      <c r="K406" s="1423"/>
      <c r="L406" s="1423"/>
      <c r="M406" s="1423"/>
      <c r="N406" s="1423"/>
      <c r="O406" s="1423"/>
      <c r="P406" s="1423"/>
      <c r="Q406" s="1423"/>
      <c r="R406" s="1423"/>
      <c r="S406" s="1423"/>
      <c r="T406" s="1423"/>
      <c r="U406" s="1423"/>
      <c r="V406" s="1423"/>
      <c r="W406" s="1423"/>
      <c r="X406" s="1423"/>
      <c r="Y406" s="1423"/>
      <c r="Z406" s="1423"/>
    </row>
    <row r="407" spans="1:26" ht="18.5">
      <c r="A407" s="1423"/>
      <c r="B407" s="1423"/>
      <c r="C407" s="1423"/>
      <c r="D407" s="1423"/>
      <c r="E407" s="1423"/>
      <c r="F407" s="1423"/>
      <c r="G407" s="1423"/>
      <c r="H407" s="1423"/>
      <c r="I407" s="1423"/>
      <c r="J407" s="1423"/>
      <c r="K407" s="1423"/>
      <c r="L407" s="1423"/>
      <c r="M407" s="1423"/>
      <c r="N407" s="1423"/>
      <c r="O407" s="1423"/>
      <c r="P407" s="1423"/>
      <c r="Q407" s="1423"/>
      <c r="R407" s="1423"/>
      <c r="S407" s="1423"/>
      <c r="T407" s="1423"/>
      <c r="U407" s="1423"/>
      <c r="V407" s="1423"/>
      <c r="W407" s="1423"/>
      <c r="X407" s="1423"/>
      <c r="Y407" s="1423"/>
      <c r="Z407" s="1423"/>
    </row>
    <row r="408" spans="1:26" ht="18.5">
      <c r="A408" s="1423"/>
      <c r="B408" s="1423"/>
      <c r="C408" s="1423"/>
      <c r="D408" s="1423"/>
      <c r="E408" s="1423"/>
      <c r="F408" s="1423"/>
      <c r="G408" s="1423"/>
      <c r="H408" s="1423"/>
      <c r="I408" s="1423"/>
      <c r="J408" s="1423"/>
      <c r="K408" s="1423"/>
      <c r="L408" s="1423"/>
      <c r="M408" s="1423"/>
      <c r="N408" s="1423"/>
      <c r="O408" s="1423"/>
      <c r="P408" s="1423"/>
      <c r="Q408" s="1423"/>
      <c r="R408" s="1423"/>
      <c r="S408" s="1423"/>
      <c r="T408" s="1423"/>
      <c r="U408" s="1423"/>
      <c r="V408" s="1423"/>
      <c r="W408" s="1423"/>
      <c r="X408" s="1423"/>
      <c r="Y408" s="1423"/>
      <c r="Z408" s="1423"/>
    </row>
    <row r="409" spans="1:26" ht="18.5">
      <c r="A409" s="1423"/>
      <c r="B409" s="1423"/>
      <c r="C409" s="1423"/>
      <c r="D409" s="1423"/>
      <c r="E409" s="1423"/>
      <c r="F409" s="1423"/>
      <c r="G409" s="1423"/>
      <c r="H409" s="1423"/>
      <c r="I409" s="1423"/>
      <c r="J409" s="1423"/>
      <c r="K409" s="1423"/>
      <c r="L409" s="1423"/>
      <c r="M409" s="1423"/>
      <c r="N409" s="1423"/>
      <c r="O409" s="1423"/>
      <c r="P409" s="1423"/>
      <c r="Q409" s="1423"/>
      <c r="R409" s="1423"/>
      <c r="S409" s="1423"/>
      <c r="T409" s="1423"/>
      <c r="U409" s="1423"/>
      <c r="V409" s="1423"/>
      <c r="W409" s="1423"/>
      <c r="X409" s="1423"/>
      <c r="Y409" s="1423"/>
      <c r="Z409" s="1423"/>
    </row>
    <row r="410" spans="1:26" ht="18.5">
      <c r="A410" s="1423"/>
      <c r="B410" s="1423"/>
      <c r="C410" s="1423"/>
      <c r="D410" s="1423"/>
      <c r="E410" s="1423"/>
      <c r="F410" s="1423"/>
      <c r="G410" s="1423"/>
      <c r="H410" s="1423"/>
      <c r="I410" s="1423"/>
      <c r="J410" s="1423"/>
      <c r="K410" s="1423"/>
      <c r="L410" s="1423"/>
      <c r="M410" s="1423"/>
      <c r="N410" s="1423"/>
      <c r="O410" s="1423"/>
      <c r="P410" s="1423"/>
      <c r="Q410" s="1423"/>
      <c r="R410" s="1423"/>
      <c r="S410" s="1423"/>
      <c r="T410" s="1423"/>
      <c r="U410" s="1423"/>
      <c r="V410" s="1423"/>
      <c r="W410" s="1423"/>
      <c r="X410" s="1423"/>
      <c r="Y410" s="1423"/>
      <c r="Z410" s="1423"/>
    </row>
    <row r="411" spans="1:26" ht="18.5">
      <c r="A411" s="1423"/>
      <c r="B411" s="1423"/>
      <c r="C411" s="1423"/>
      <c r="D411" s="1423"/>
      <c r="E411" s="1423"/>
      <c r="F411" s="1423"/>
      <c r="G411" s="1423"/>
      <c r="H411" s="1423"/>
      <c r="I411" s="1423"/>
      <c r="J411" s="1423"/>
      <c r="K411" s="1423"/>
      <c r="L411" s="1423"/>
      <c r="M411" s="1423"/>
      <c r="N411" s="1423"/>
      <c r="O411" s="1423"/>
      <c r="P411" s="1423"/>
      <c r="Q411" s="1423"/>
      <c r="R411" s="1423"/>
      <c r="S411" s="1423"/>
      <c r="T411" s="1423"/>
      <c r="U411" s="1423"/>
      <c r="V411" s="1423"/>
      <c r="W411" s="1423"/>
      <c r="X411" s="1423"/>
      <c r="Y411" s="1423"/>
      <c r="Z411" s="1423"/>
    </row>
    <row r="412" spans="1:26" ht="18.5">
      <c r="A412" s="1423"/>
      <c r="B412" s="1423"/>
      <c r="C412" s="1423"/>
      <c r="D412" s="1423"/>
      <c r="E412" s="1423"/>
      <c r="F412" s="1423"/>
      <c r="G412" s="1423"/>
      <c r="H412" s="1423"/>
      <c r="I412" s="1423"/>
      <c r="J412" s="1423"/>
      <c r="K412" s="1423"/>
      <c r="L412" s="1423"/>
      <c r="M412" s="1423"/>
      <c r="N412" s="1423"/>
      <c r="O412" s="1423"/>
      <c r="P412" s="1423"/>
      <c r="Q412" s="1423"/>
      <c r="R412" s="1423"/>
      <c r="S412" s="1423"/>
      <c r="T412" s="1423"/>
      <c r="U412" s="1423"/>
      <c r="V412" s="1423"/>
      <c r="W412" s="1423"/>
      <c r="X412" s="1423"/>
      <c r="Y412" s="1423"/>
      <c r="Z412" s="1423"/>
    </row>
    <row r="413" spans="1:26" ht="18.5">
      <c r="A413" s="1423"/>
      <c r="B413" s="1423"/>
      <c r="C413" s="1423"/>
      <c r="D413" s="1423"/>
      <c r="E413" s="1423"/>
      <c r="F413" s="1423"/>
      <c r="G413" s="1423"/>
      <c r="H413" s="1423"/>
      <c r="I413" s="1423"/>
      <c r="J413" s="1423"/>
      <c r="K413" s="1423"/>
      <c r="L413" s="1423"/>
      <c r="M413" s="1423"/>
      <c r="N413" s="1423"/>
      <c r="O413" s="1423"/>
      <c r="P413" s="1423"/>
      <c r="Q413" s="1423"/>
      <c r="R413" s="1423"/>
      <c r="S413" s="1423"/>
      <c r="T413" s="1423"/>
      <c r="U413" s="1423"/>
      <c r="V413" s="1423"/>
      <c r="W413" s="1423"/>
      <c r="X413" s="1423"/>
      <c r="Y413" s="1423"/>
      <c r="Z413" s="1423"/>
    </row>
    <row r="414" spans="1:26" ht="18.5">
      <c r="A414" s="1423"/>
      <c r="B414" s="1423"/>
      <c r="C414" s="1423"/>
      <c r="D414" s="1423"/>
      <c r="E414" s="1423"/>
      <c r="F414" s="1423"/>
      <c r="G414" s="1423"/>
      <c r="H414" s="1423"/>
      <c r="I414" s="1423"/>
      <c r="J414" s="1423"/>
      <c r="K414" s="1423"/>
      <c r="L414" s="1423"/>
      <c r="M414" s="1423"/>
      <c r="N414" s="1423"/>
      <c r="O414" s="1423"/>
      <c r="P414" s="1423"/>
      <c r="Q414" s="1423"/>
      <c r="R414" s="1423"/>
      <c r="S414" s="1423"/>
      <c r="T414" s="1423"/>
      <c r="U414" s="1423"/>
      <c r="V414" s="1423"/>
      <c r="W414" s="1423"/>
      <c r="X414" s="1423"/>
      <c r="Y414" s="1423"/>
      <c r="Z414" s="1423"/>
    </row>
    <row r="415" spans="1:26" ht="18.5">
      <c r="A415" s="1423"/>
      <c r="B415" s="1423"/>
      <c r="C415" s="1423"/>
      <c r="D415" s="1423"/>
      <c r="E415" s="1423"/>
      <c r="F415" s="1423"/>
      <c r="G415" s="1423"/>
      <c r="H415" s="1423"/>
      <c r="I415" s="1423"/>
      <c r="J415" s="1423"/>
      <c r="K415" s="1423"/>
      <c r="L415" s="1423"/>
      <c r="M415" s="1423"/>
      <c r="N415" s="1423"/>
      <c r="O415" s="1423"/>
      <c r="P415" s="1423"/>
      <c r="Q415" s="1423"/>
      <c r="R415" s="1423"/>
      <c r="S415" s="1423"/>
      <c r="T415" s="1423"/>
      <c r="U415" s="1423"/>
      <c r="V415" s="1423"/>
      <c r="W415" s="1423"/>
      <c r="X415" s="1423"/>
      <c r="Y415" s="1423"/>
      <c r="Z415" s="1423"/>
    </row>
    <row r="416" spans="1:26" ht="18.5">
      <c r="A416" s="1423"/>
      <c r="B416" s="1423"/>
      <c r="C416" s="1423"/>
      <c r="D416" s="1423"/>
      <c r="E416" s="1423"/>
      <c r="F416" s="1423"/>
      <c r="G416" s="1423"/>
      <c r="H416" s="1423"/>
      <c r="I416" s="1423"/>
      <c r="J416" s="1423"/>
      <c r="K416" s="1423"/>
      <c r="L416" s="1423"/>
      <c r="M416" s="1423"/>
      <c r="N416" s="1423"/>
      <c r="O416" s="1423"/>
      <c r="P416" s="1423"/>
      <c r="Q416" s="1423"/>
      <c r="R416" s="1423"/>
      <c r="S416" s="1423"/>
      <c r="T416" s="1423"/>
      <c r="U416" s="1423"/>
      <c r="V416" s="1423"/>
      <c r="W416" s="1423"/>
      <c r="X416" s="1423"/>
      <c r="Y416" s="1423"/>
      <c r="Z416" s="1423"/>
    </row>
    <row r="417" spans="1:26" ht="18.5">
      <c r="A417" s="1423"/>
      <c r="B417" s="1423"/>
      <c r="C417" s="1423"/>
      <c r="D417" s="1423"/>
      <c r="E417" s="1423"/>
      <c r="F417" s="1423"/>
      <c r="G417" s="1423"/>
      <c r="H417" s="1423"/>
      <c r="I417" s="1423"/>
      <c r="J417" s="1423"/>
      <c r="K417" s="1423"/>
      <c r="L417" s="1423"/>
      <c r="M417" s="1423"/>
      <c r="N417" s="1423"/>
      <c r="O417" s="1423"/>
      <c r="P417" s="1423"/>
      <c r="Q417" s="1423"/>
      <c r="R417" s="1423"/>
      <c r="S417" s="1423"/>
      <c r="T417" s="1423"/>
      <c r="U417" s="1423"/>
      <c r="V417" s="1423"/>
      <c r="W417" s="1423"/>
      <c r="X417" s="1423"/>
      <c r="Y417" s="1423"/>
      <c r="Z417" s="1423"/>
    </row>
    <row r="418" spans="1:26" ht="18.5">
      <c r="A418" s="1423"/>
      <c r="B418" s="1423"/>
      <c r="C418" s="1423"/>
      <c r="D418" s="1423"/>
      <c r="E418" s="1423"/>
      <c r="F418" s="1423"/>
      <c r="G418" s="1423"/>
      <c r="H418" s="1423"/>
      <c r="I418" s="1423"/>
      <c r="J418" s="1423"/>
      <c r="K418" s="1423"/>
      <c r="L418" s="1423"/>
      <c r="M418" s="1423"/>
      <c r="N418" s="1423"/>
      <c r="O418" s="1423"/>
      <c r="P418" s="1423"/>
      <c r="Q418" s="1423"/>
      <c r="R418" s="1423"/>
      <c r="S418" s="1423"/>
      <c r="T418" s="1423"/>
      <c r="U418" s="1423"/>
      <c r="V418" s="1423"/>
      <c r="W418" s="1423"/>
      <c r="X418" s="1423"/>
      <c r="Y418" s="1423"/>
      <c r="Z418" s="1423"/>
    </row>
    <row r="419" spans="1:26" ht="18.5">
      <c r="A419" s="1423"/>
      <c r="B419" s="1423"/>
      <c r="C419" s="1423"/>
      <c r="D419" s="1423"/>
      <c r="E419" s="1423"/>
      <c r="F419" s="1423"/>
      <c r="G419" s="1423"/>
      <c r="H419" s="1423"/>
      <c r="I419" s="1423"/>
      <c r="J419" s="1423"/>
      <c r="K419" s="1423"/>
      <c r="L419" s="1423"/>
      <c r="M419" s="1423"/>
      <c r="N419" s="1423"/>
      <c r="O419" s="1423"/>
      <c r="P419" s="1423"/>
      <c r="Q419" s="1423"/>
      <c r="R419" s="1423"/>
      <c r="S419" s="1423"/>
      <c r="T419" s="1423"/>
      <c r="U419" s="1423"/>
      <c r="V419" s="1423"/>
      <c r="W419" s="1423"/>
      <c r="X419" s="1423"/>
      <c r="Y419" s="1423"/>
      <c r="Z419" s="1423"/>
    </row>
    <row r="420" spans="1:26" ht="18.5">
      <c r="A420" s="1423"/>
      <c r="B420" s="1423"/>
      <c r="C420" s="1423"/>
      <c r="D420" s="1423"/>
      <c r="E420" s="1423"/>
      <c r="F420" s="1423"/>
      <c r="G420" s="1423"/>
      <c r="H420" s="1423"/>
      <c r="I420" s="1423"/>
      <c r="J420" s="1423"/>
      <c r="K420" s="1423"/>
      <c r="L420" s="1423"/>
      <c r="M420" s="1423"/>
      <c r="N420" s="1423"/>
      <c r="O420" s="1423"/>
      <c r="P420" s="1423"/>
      <c r="Q420" s="1423"/>
      <c r="R420" s="1423"/>
      <c r="S420" s="1423"/>
      <c r="T420" s="1423"/>
      <c r="U420" s="1423"/>
      <c r="V420" s="1423"/>
      <c r="W420" s="1423"/>
      <c r="X420" s="1423"/>
      <c r="Y420" s="1423"/>
      <c r="Z420" s="1423"/>
    </row>
    <row r="421" spans="1:26" ht="18.5">
      <c r="A421" s="1423"/>
      <c r="B421" s="1423"/>
      <c r="C421" s="1423"/>
      <c r="D421" s="1423"/>
      <c r="E421" s="1423"/>
      <c r="F421" s="1423"/>
      <c r="G421" s="1423"/>
      <c r="H421" s="1423"/>
      <c r="I421" s="1423"/>
      <c r="J421" s="1423"/>
      <c r="K421" s="1423"/>
      <c r="L421" s="1423"/>
      <c r="M421" s="1423"/>
      <c r="N421" s="1423"/>
      <c r="O421" s="1423"/>
      <c r="P421" s="1423"/>
      <c r="Q421" s="1423"/>
      <c r="R421" s="1423"/>
      <c r="S421" s="1423"/>
      <c r="T421" s="1423"/>
      <c r="U421" s="1423"/>
      <c r="V421" s="1423"/>
      <c r="W421" s="1423"/>
      <c r="X421" s="1423"/>
      <c r="Y421" s="1423"/>
      <c r="Z421" s="1423"/>
    </row>
    <row r="422" spans="1:26" ht="18.5">
      <c r="A422" s="1423"/>
      <c r="B422" s="1423"/>
      <c r="C422" s="1423"/>
      <c r="D422" s="1423"/>
      <c r="E422" s="1423"/>
      <c r="F422" s="1423"/>
      <c r="G422" s="1423"/>
      <c r="H422" s="1423"/>
      <c r="I422" s="1423"/>
      <c r="J422" s="1423"/>
      <c r="K422" s="1423"/>
      <c r="L422" s="1423"/>
      <c r="M422" s="1423"/>
      <c r="N422" s="1423"/>
      <c r="O422" s="1423"/>
      <c r="P422" s="1423"/>
      <c r="Q422" s="1423"/>
      <c r="R422" s="1423"/>
      <c r="S422" s="1423"/>
      <c r="T422" s="1423"/>
      <c r="U422" s="1423"/>
      <c r="V422" s="1423"/>
      <c r="W422" s="1423"/>
      <c r="X422" s="1423"/>
      <c r="Y422" s="1423"/>
      <c r="Z422" s="1423"/>
    </row>
    <row r="423" spans="1:26" ht="18.5">
      <c r="A423" s="1423"/>
      <c r="B423" s="1423"/>
      <c r="C423" s="1423"/>
      <c r="D423" s="1423"/>
      <c r="E423" s="1423"/>
      <c r="F423" s="1423"/>
      <c r="G423" s="1423"/>
      <c r="H423" s="1423"/>
      <c r="I423" s="1423"/>
      <c r="J423" s="1423"/>
      <c r="K423" s="1423"/>
      <c r="L423" s="1423"/>
      <c r="M423" s="1423"/>
      <c r="N423" s="1423"/>
      <c r="O423" s="1423"/>
      <c r="P423" s="1423"/>
      <c r="Q423" s="1423"/>
      <c r="R423" s="1423"/>
      <c r="S423" s="1423"/>
      <c r="T423" s="1423"/>
      <c r="U423" s="1423"/>
      <c r="V423" s="1423"/>
      <c r="W423" s="1423"/>
      <c r="X423" s="1423"/>
      <c r="Y423" s="1423"/>
      <c r="Z423" s="1423"/>
    </row>
    <row r="424" spans="1:26" ht="18.5">
      <c r="A424" s="1423"/>
      <c r="B424" s="1423"/>
      <c r="C424" s="1423"/>
      <c r="D424" s="1423"/>
      <c r="E424" s="1423"/>
      <c r="F424" s="1423"/>
      <c r="G424" s="1423"/>
      <c r="H424" s="1423"/>
      <c r="I424" s="1423"/>
      <c r="J424" s="1423"/>
      <c r="K424" s="1423"/>
      <c r="L424" s="1423"/>
      <c r="M424" s="1423"/>
      <c r="N424" s="1423"/>
      <c r="O424" s="1423"/>
      <c r="P424" s="1423"/>
      <c r="Q424" s="1423"/>
      <c r="R424" s="1423"/>
      <c r="S424" s="1423"/>
      <c r="T424" s="1423"/>
      <c r="U424" s="1423"/>
      <c r="V424" s="1423"/>
      <c r="W424" s="1423"/>
      <c r="X424" s="1423"/>
      <c r="Y424" s="1423"/>
      <c r="Z424" s="1423"/>
    </row>
    <row r="425" spans="1:26" ht="18.5">
      <c r="A425" s="1423"/>
      <c r="B425" s="1423"/>
      <c r="C425" s="1423"/>
      <c r="D425" s="1423"/>
      <c r="E425" s="1423"/>
      <c r="F425" s="1423"/>
      <c r="G425" s="1423"/>
      <c r="H425" s="1423"/>
      <c r="I425" s="1423"/>
      <c r="J425" s="1423"/>
      <c r="K425" s="1423"/>
      <c r="L425" s="1423"/>
      <c r="M425" s="1423"/>
      <c r="N425" s="1423"/>
      <c r="O425" s="1423"/>
      <c r="P425" s="1423"/>
      <c r="Q425" s="1423"/>
      <c r="R425" s="1423"/>
      <c r="S425" s="1423"/>
      <c r="T425" s="1423"/>
      <c r="U425" s="1423"/>
      <c r="V425" s="1423"/>
      <c r="W425" s="1423"/>
      <c r="X425" s="1423"/>
      <c r="Y425" s="1423"/>
      <c r="Z425" s="1423"/>
    </row>
    <row r="426" spans="1:26" ht="18.5">
      <c r="A426" s="1423"/>
      <c r="B426" s="1423"/>
      <c r="C426" s="1423"/>
      <c r="D426" s="1423"/>
      <c r="E426" s="1423"/>
      <c r="F426" s="1423"/>
      <c r="G426" s="1423"/>
      <c r="H426" s="1423"/>
      <c r="I426" s="1423"/>
      <c r="J426" s="1423"/>
      <c r="K426" s="1423"/>
      <c r="L426" s="1423"/>
      <c r="M426" s="1423"/>
      <c r="N426" s="1423"/>
      <c r="O426" s="1423"/>
      <c r="P426" s="1423"/>
      <c r="Q426" s="1423"/>
      <c r="R426" s="1423"/>
      <c r="S426" s="1423"/>
      <c r="T426" s="1423"/>
      <c r="U426" s="1423"/>
      <c r="V426" s="1423"/>
      <c r="W426" s="1423"/>
      <c r="X426" s="1423"/>
      <c r="Y426" s="1423"/>
      <c r="Z426" s="1423"/>
    </row>
    <row r="427" spans="1:26" ht="18.5">
      <c r="A427" s="1423"/>
      <c r="B427" s="1423"/>
      <c r="C427" s="1423"/>
      <c r="D427" s="1423"/>
      <c r="E427" s="1423"/>
      <c r="F427" s="1423"/>
      <c r="G427" s="1423"/>
      <c r="H427" s="1423"/>
      <c r="I427" s="1423"/>
      <c r="J427" s="1423"/>
      <c r="K427" s="1423"/>
      <c r="L427" s="1423"/>
      <c r="M427" s="1423"/>
      <c r="N427" s="1423"/>
      <c r="O427" s="1423"/>
      <c r="P427" s="1423"/>
      <c r="Q427" s="1423"/>
      <c r="R427" s="1423"/>
      <c r="S427" s="1423"/>
      <c r="T427" s="1423"/>
      <c r="U427" s="1423"/>
      <c r="V427" s="1423"/>
      <c r="W427" s="1423"/>
      <c r="X427" s="1423"/>
      <c r="Y427" s="1423"/>
      <c r="Z427" s="1423"/>
    </row>
    <row r="428" spans="1:26" ht="18.5">
      <c r="A428" s="1423"/>
      <c r="B428" s="1423"/>
      <c r="C428" s="1423"/>
      <c r="D428" s="1423"/>
      <c r="E428" s="1423"/>
      <c r="F428" s="1423"/>
      <c r="G428" s="1423"/>
      <c r="H428" s="1423"/>
      <c r="I428" s="1423"/>
      <c r="J428" s="1423"/>
      <c r="K428" s="1423"/>
      <c r="L428" s="1423"/>
      <c r="M428" s="1423"/>
      <c r="N428" s="1423"/>
      <c r="O428" s="1423"/>
      <c r="P428" s="1423"/>
      <c r="Q428" s="1423"/>
      <c r="R428" s="1423"/>
      <c r="S428" s="1423"/>
      <c r="T428" s="1423"/>
      <c r="U428" s="1423"/>
      <c r="V428" s="1423"/>
      <c r="W428" s="1423"/>
      <c r="X428" s="1423"/>
      <c r="Y428" s="1423"/>
      <c r="Z428" s="1423"/>
    </row>
    <row r="429" spans="1:26" ht="18.5">
      <c r="A429" s="1423"/>
      <c r="B429" s="1423"/>
      <c r="C429" s="1423"/>
      <c r="D429" s="1423"/>
      <c r="E429" s="1423"/>
      <c r="F429" s="1423"/>
      <c r="G429" s="1423"/>
      <c r="H429" s="1423"/>
      <c r="I429" s="1423"/>
      <c r="J429" s="1423"/>
      <c r="K429" s="1423"/>
      <c r="L429" s="1423"/>
      <c r="M429" s="1423"/>
      <c r="N429" s="1423"/>
      <c r="O429" s="1423"/>
      <c r="P429" s="1423"/>
      <c r="Q429" s="1423"/>
      <c r="R429" s="1423"/>
      <c r="S429" s="1423"/>
      <c r="T429" s="1423"/>
      <c r="U429" s="1423"/>
      <c r="V429" s="1423"/>
      <c r="W429" s="1423"/>
      <c r="X429" s="1423"/>
      <c r="Y429" s="1423"/>
      <c r="Z429" s="1423"/>
    </row>
    <row r="430" spans="1:26" ht="18.5">
      <c r="A430" s="1423"/>
      <c r="B430" s="1423"/>
      <c r="C430" s="1423"/>
      <c r="D430" s="1423"/>
      <c r="E430" s="1423"/>
      <c r="F430" s="1423"/>
      <c r="G430" s="1423"/>
      <c r="H430" s="1423"/>
      <c r="I430" s="1423"/>
      <c r="J430" s="1423"/>
      <c r="K430" s="1423"/>
      <c r="L430" s="1423"/>
      <c r="M430" s="1423"/>
      <c r="N430" s="1423"/>
      <c r="O430" s="1423"/>
      <c r="P430" s="1423"/>
      <c r="Q430" s="1423"/>
      <c r="R430" s="1423"/>
      <c r="S430" s="1423"/>
      <c r="T430" s="1423"/>
      <c r="U430" s="1423"/>
      <c r="V430" s="1423"/>
      <c r="W430" s="1423"/>
      <c r="X430" s="1423"/>
      <c r="Y430" s="1423"/>
      <c r="Z430" s="1423"/>
    </row>
    <row r="431" spans="1:26" ht="18.5">
      <c r="A431" s="1423"/>
      <c r="B431" s="1423"/>
      <c r="C431" s="1423"/>
      <c r="D431" s="1423"/>
      <c r="E431" s="1423"/>
      <c r="F431" s="1423"/>
      <c r="G431" s="1423"/>
      <c r="H431" s="1423"/>
      <c r="I431" s="1423"/>
      <c r="J431" s="1423"/>
      <c r="K431" s="1423"/>
      <c r="L431" s="1423"/>
      <c r="M431" s="1423"/>
      <c r="N431" s="1423"/>
      <c r="O431" s="1423"/>
      <c r="P431" s="1423"/>
      <c r="Q431" s="1423"/>
      <c r="R431" s="1423"/>
      <c r="S431" s="1423"/>
      <c r="T431" s="1423"/>
      <c r="U431" s="1423"/>
      <c r="V431" s="1423"/>
      <c r="W431" s="1423"/>
      <c r="X431" s="1423"/>
      <c r="Y431" s="1423"/>
      <c r="Z431" s="1423"/>
    </row>
    <row r="432" spans="1:26" ht="18.5">
      <c r="A432" s="1423"/>
      <c r="B432" s="1423"/>
      <c r="C432" s="1423"/>
      <c r="D432" s="1423"/>
      <c r="E432" s="1423"/>
      <c r="F432" s="1423"/>
      <c r="G432" s="1423"/>
      <c r="H432" s="1423"/>
      <c r="I432" s="1423"/>
      <c r="J432" s="1423"/>
      <c r="K432" s="1423"/>
      <c r="L432" s="1423"/>
      <c r="M432" s="1423"/>
      <c r="N432" s="1423"/>
      <c r="O432" s="1423"/>
      <c r="P432" s="1423"/>
      <c r="Q432" s="1423"/>
      <c r="R432" s="1423"/>
      <c r="S432" s="1423"/>
      <c r="T432" s="1423"/>
      <c r="U432" s="1423"/>
      <c r="V432" s="1423"/>
      <c r="W432" s="1423"/>
      <c r="X432" s="1423"/>
      <c r="Y432" s="1423"/>
      <c r="Z432" s="1423"/>
    </row>
    <row r="433" spans="1:26" ht="18.5">
      <c r="A433" s="1423"/>
      <c r="B433" s="1423"/>
      <c r="C433" s="1423"/>
      <c r="D433" s="1423"/>
      <c r="E433" s="1423"/>
      <c r="F433" s="1423"/>
      <c r="G433" s="1423"/>
      <c r="H433" s="1423"/>
      <c r="I433" s="1423"/>
      <c r="J433" s="1423"/>
      <c r="K433" s="1423"/>
      <c r="L433" s="1423"/>
      <c r="M433" s="1423"/>
      <c r="N433" s="1423"/>
      <c r="O433" s="1423"/>
      <c r="P433" s="1423"/>
      <c r="Q433" s="1423"/>
      <c r="R433" s="1423"/>
      <c r="S433" s="1423"/>
      <c r="T433" s="1423"/>
      <c r="U433" s="1423"/>
      <c r="V433" s="1423"/>
      <c r="W433" s="1423"/>
      <c r="X433" s="1423"/>
      <c r="Y433" s="1423"/>
      <c r="Z433" s="1423"/>
    </row>
    <row r="434" spans="1:26" ht="18.5">
      <c r="A434" s="1423"/>
      <c r="B434" s="1423"/>
      <c r="C434" s="1423"/>
      <c r="D434" s="1423"/>
      <c r="E434" s="1423"/>
      <c r="F434" s="1423"/>
      <c r="G434" s="1423"/>
      <c r="H434" s="1423"/>
      <c r="I434" s="1423"/>
      <c r="J434" s="1423"/>
      <c r="K434" s="1423"/>
      <c r="L434" s="1423"/>
      <c r="M434" s="1423"/>
      <c r="N434" s="1423"/>
      <c r="O434" s="1423"/>
      <c r="P434" s="1423"/>
      <c r="Q434" s="1423"/>
      <c r="R434" s="1423"/>
      <c r="S434" s="1423"/>
      <c r="T434" s="1423"/>
      <c r="U434" s="1423"/>
      <c r="V434" s="1423"/>
      <c r="W434" s="1423"/>
      <c r="X434" s="1423"/>
      <c r="Y434" s="1423"/>
      <c r="Z434" s="1423"/>
    </row>
    <row r="435" spans="1:26" ht="18.5">
      <c r="A435" s="1423"/>
      <c r="B435" s="1423"/>
      <c r="C435" s="1423"/>
      <c r="D435" s="1423"/>
      <c r="E435" s="1423"/>
      <c r="F435" s="1423"/>
      <c r="G435" s="1423"/>
      <c r="H435" s="1423"/>
      <c r="I435" s="1423"/>
      <c r="J435" s="1423"/>
      <c r="K435" s="1423"/>
      <c r="L435" s="1423"/>
      <c r="M435" s="1423"/>
      <c r="N435" s="1423"/>
      <c r="O435" s="1423"/>
      <c r="P435" s="1423"/>
      <c r="Q435" s="1423"/>
      <c r="R435" s="1423"/>
      <c r="S435" s="1423"/>
      <c r="T435" s="1423"/>
      <c r="U435" s="1423"/>
      <c r="V435" s="1423"/>
      <c r="W435" s="1423"/>
      <c r="X435" s="1423"/>
      <c r="Y435" s="1423"/>
      <c r="Z435" s="1423"/>
    </row>
    <row r="436" spans="1:26" ht="18.5">
      <c r="A436" s="1423"/>
      <c r="B436" s="1423"/>
      <c r="C436" s="1423"/>
      <c r="D436" s="1423"/>
      <c r="E436" s="1423"/>
      <c r="F436" s="1423"/>
      <c r="G436" s="1423"/>
      <c r="H436" s="1423"/>
      <c r="I436" s="1423"/>
      <c r="J436" s="1423"/>
      <c r="K436" s="1423"/>
      <c r="L436" s="1423"/>
      <c r="M436" s="1423"/>
      <c r="N436" s="1423"/>
      <c r="O436" s="1423"/>
      <c r="P436" s="1423"/>
      <c r="Q436" s="1423"/>
      <c r="R436" s="1423"/>
      <c r="S436" s="1423"/>
      <c r="T436" s="1423"/>
      <c r="U436" s="1423"/>
      <c r="V436" s="1423"/>
      <c r="W436" s="1423"/>
      <c r="X436" s="1423"/>
      <c r="Y436" s="1423"/>
      <c r="Z436" s="1423"/>
    </row>
    <row r="437" spans="1:26" ht="18.5">
      <c r="A437" s="1423"/>
      <c r="B437" s="1423"/>
      <c r="C437" s="1423"/>
      <c r="D437" s="1423"/>
      <c r="E437" s="1423"/>
      <c r="F437" s="1423"/>
      <c r="G437" s="1423"/>
      <c r="H437" s="1423"/>
      <c r="I437" s="1423"/>
      <c r="J437" s="1423"/>
      <c r="K437" s="1423"/>
      <c r="L437" s="1423"/>
      <c r="M437" s="1423"/>
      <c r="N437" s="1423"/>
      <c r="O437" s="1423"/>
      <c r="P437" s="1423"/>
      <c r="Q437" s="1423"/>
      <c r="R437" s="1423"/>
      <c r="S437" s="1423"/>
      <c r="T437" s="1423"/>
      <c r="U437" s="1423"/>
      <c r="V437" s="1423"/>
      <c r="W437" s="1423"/>
      <c r="X437" s="1423"/>
      <c r="Y437" s="1423"/>
      <c r="Z437" s="1423"/>
    </row>
    <row r="438" spans="1:26" ht="18.5">
      <c r="A438" s="1423"/>
      <c r="B438" s="1423"/>
      <c r="C438" s="1423"/>
      <c r="D438" s="1423"/>
      <c r="E438" s="1423"/>
      <c r="F438" s="1423"/>
      <c r="G438" s="1423"/>
      <c r="H438" s="1423"/>
      <c r="I438" s="1423"/>
      <c r="J438" s="1423"/>
      <c r="K438" s="1423"/>
      <c r="L438" s="1423"/>
      <c r="M438" s="1423"/>
      <c r="N438" s="1423"/>
      <c r="O438" s="1423"/>
      <c r="P438" s="1423"/>
      <c r="Q438" s="1423"/>
      <c r="R438" s="1423"/>
      <c r="S438" s="1423"/>
      <c r="T438" s="1423"/>
      <c r="U438" s="1423"/>
      <c r="V438" s="1423"/>
      <c r="W438" s="1423"/>
      <c r="X438" s="1423"/>
      <c r="Y438" s="1423"/>
      <c r="Z438" s="1423"/>
    </row>
    <row r="439" spans="1:26" ht="18.5">
      <c r="A439" s="1423"/>
      <c r="B439" s="1423"/>
      <c r="C439" s="1423"/>
      <c r="D439" s="1423"/>
      <c r="E439" s="1423"/>
      <c r="F439" s="1423"/>
      <c r="G439" s="1423"/>
      <c r="H439" s="1423"/>
      <c r="I439" s="1423"/>
      <c r="J439" s="1423"/>
      <c r="K439" s="1423"/>
      <c r="L439" s="1423"/>
      <c r="M439" s="1423"/>
      <c r="N439" s="1423"/>
      <c r="O439" s="1423"/>
      <c r="P439" s="1423"/>
      <c r="Q439" s="1423"/>
      <c r="R439" s="1423"/>
      <c r="S439" s="1423"/>
      <c r="T439" s="1423"/>
      <c r="U439" s="1423"/>
      <c r="V439" s="1423"/>
      <c r="W439" s="1423"/>
      <c r="X439" s="1423"/>
      <c r="Y439" s="1423"/>
      <c r="Z439" s="1423"/>
    </row>
    <row r="440" spans="1:26" ht="18.5">
      <c r="A440" s="1423"/>
      <c r="B440" s="1423"/>
      <c r="C440" s="1423"/>
      <c r="D440" s="1423"/>
      <c r="E440" s="1423"/>
      <c r="F440" s="1423"/>
      <c r="G440" s="1423"/>
      <c r="H440" s="1423"/>
      <c r="I440" s="1423"/>
      <c r="J440" s="1423"/>
      <c r="K440" s="1423"/>
      <c r="L440" s="1423"/>
      <c r="M440" s="1423"/>
      <c r="N440" s="1423"/>
      <c r="O440" s="1423"/>
      <c r="P440" s="1423"/>
      <c r="Q440" s="1423"/>
      <c r="R440" s="1423"/>
      <c r="S440" s="1423"/>
      <c r="T440" s="1423"/>
      <c r="U440" s="1423"/>
      <c r="V440" s="1423"/>
      <c r="W440" s="1423"/>
      <c r="X440" s="1423"/>
      <c r="Y440" s="1423"/>
      <c r="Z440" s="1423"/>
    </row>
    <row r="441" spans="1:26" ht="18.5">
      <c r="A441" s="1423"/>
      <c r="B441" s="1423"/>
      <c r="C441" s="1423"/>
      <c r="D441" s="1423"/>
      <c r="E441" s="1423"/>
      <c r="F441" s="1423"/>
      <c r="G441" s="1423"/>
      <c r="H441" s="1423"/>
      <c r="I441" s="1423"/>
      <c r="J441" s="1423"/>
      <c r="K441" s="1423"/>
      <c r="L441" s="1423"/>
      <c r="M441" s="1423"/>
      <c r="N441" s="1423"/>
      <c r="O441" s="1423"/>
      <c r="P441" s="1423"/>
      <c r="Q441" s="1423"/>
      <c r="R441" s="1423"/>
      <c r="S441" s="1423"/>
      <c r="T441" s="1423"/>
      <c r="U441" s="1423"/>
      <c r="V441" s="1423"/>
      <c r="W441" s="1423"/>
      <c r="X441" s="1423"/>
      <c r="Y441" s="1423"/>
      <c r="Z441" s="1423"/>
    </row>
    <row r="442" spans="1:26" ht="18.5">
      <c r="A442" s="1423"/>
      <c r="B442" s="1423"/>
      <c r="C442" s="1423"/>
      <c r="D442" s="1423"/>
      <c r="E442" s="1423"/>
      <c r="F442" s="1423"/>
      <c r="G442" s="1423"/>
      <c r="H442" s="1423"/>
      <c r="I442" s="1423"/>
      <c r="J442" s="1423"/>
      <c r="K442" s="1423"/>
      <c r="L442" s="1423"/>
      <c r="M442" s="1423"/>
      <c r="N442" s="1423"/>
      <c r="O442" s="1423"/>
      <c r="P442" s="1423"/>
      <c r="Q442" s="1423"/>
      <c r="R442" s="1423"/>
      <c r="S442" s="1423"/>
      <c r="T442" s="1423"/>
      <c r="U442" s="1423"/>
      <c r="V442" s="1423"/>
      <c r="W442" s="1423"/>
      <c r="X442" s="1423"/>
      <c r="Y442" s="1423"/>
      <c r="Z442" s="1423"/>
    </row>
    <row r="443" spans="1:26" ht="18.5">
      <c r="A443" s="1423"/>
      <c r="B443" s="1423"/>
      <c r="C443" s="1423"/>
      <c r="D443" s="1423"/>
      <c r="E443" s="1423"/>
      <c r="F443" s="1423"/>
      <c r="G443" s="1423"/>
      <c r="H443" s="1423"/>
      <c r="I443" s="1423"/>
      <c r="J443" s="1423"/>
      <c r="K443" s="1423"/>
      <c r="L443" s="1423"/>
      <c r="M443" s="1423"/>
      <c r="N443" s="1423"/>
      <c r="O443" s="1423"/>
      <c r="P443" s="1423"/>
      <c r="Q443" s="1423"/>
      <c r="R443" s="1423"/>
      <c r="S443" s="1423"/>
      <c r="T443" s="1423"/>
      <c r="U443" s="1423"/>
      <c r="V443" s="1423"/>
      <c r="W443" s="1423"/>
      <c r="X443" s="1423"/>
      <c r="Y443" s="1423"/>
      <c r="Z443" s="1423"/>
    </row>
    <row r="444" spans="1:26" ht="18.5">
      <c r="A444" s="1423"/>
      <c r="B444" s="1423"/>
      <c r="C444" s="1423"/>
      <c r="D444" s="1423"/>
      <c r="E444" s="1423"/>
      <c r="F444" s="1423"/>
      <c r="G444" s="1423"/>
      <c r="H444" s="1423"/>
      <c r="I444" s="1423"/>
      <c r="J444" s="1423"/>
      <c r="K444" s="1423"/>
      <c r="L444" s="1423"/>
      <c r="M444" s="1423"/>
      <c r="N444" s="1423"/>
      <c r="O444" s="1423"/>
      <c r="P444" s="1423"/>
      <c r="Q444" s="1423"/>
      <c r="R444" s="1423"/>
      <c r="S444" s="1423"/>
      <c r="T444" s="1423"/>
      <c r="U444" s="1423"/>
      <c r="V444" s="1423"/>
      <c r="W444" s="1423"/>
      <c r="X444" s="1423"/>
      <c r="Y444" s="1423"/>
      <c r="Z444" s="1423"/>
    </row>
    <row r="445" spans="1:26" ht="18.5">
      <c r="A445" s="1423"/>
      <c r="B445" s="1423"/>
      <c r="C445" s="1423"/>
      <c r="D445" s="1423"/>
      <c r="E445" s="1423"/>
      <c r="F445" s="1423"/>
      <c r="G445" s="1423"/>
      <c r="H445" s="1423"/>
      <c r="I445" s="1423"/>
      <c r="J445" s="1423"/>
      <c r="K445" s="1423"/>
      <c r="L445" s="1423"/>
      <c r="M445" s="1423"/>
      <c r="N445" s="1423"/>
      <c r="O445" s="1423"/>
      <c r="P445" s="1423"/>
      <c r="Q445" s="1423"/>
      <c r="R445" s="1423"/>
      <c r="S445" s="1423"/>
      <c r="T445" s="1423"/>
      <c r="U445" s="1423"/>
      <c r="V445" s="1423"/>
      <c r="W445" s="1423"/>
      <c r="X445" s="1423"/>
      <c r="Y445" s="1423"/>
      <c r="Z445" s="1423"/>
    </row>
    <row r="446" spans="1:26" ht="18.5">
      <c r="A446" s="1423"/>
      <c r="B446" s="1423"/>
      <c r="C446" s="1423"/>
      <c r="D446" s="1423"/>
      <c r="E446" s="1423"/>
      <c r="F446" s="1423"/>
      <c r="G446" s="1423"/>
      <c r="H446" s="1423"/>
      <c r="I446" s="1423"/>
      <c r="J446" s="1423"/>
      <c r="K446" s="1423"/>
      <c r="L446" s="1423"/>
      <c r="M446" s="1423"/>
      <c r="N446" s="1423"/>
      <c r="O446" s="1423"/>
      <c r="P446" s="1423"/>
      <c r="Q446" s="1423"/>
      <c r="R446" s="1423"/>
      <c r="S446" s="1423"/>
      <c r="T446" s="1423"/>
      <c r="U446" s="1423"/>
      <c r="V446" s="1423"/>
      <c r="W446" s="1423"/>
      <c r="X446" s="1423"/>
      <c r="Y446" s="1423"/>
      <c r="Z446" s="1423"/>
    </row>
    <row r="447" spans="1:26" ht="18.5">
      <c r="A447" s="1423"/>
      <c r="B447" s="1423"/>
      <c r="C447" s="1423"/>
      <c r="D447" s="1423"/>
      <c r="E447" s="1423"/>
      <c r="F447" s="1423"/>
      <c r="G447" s="1423"/>
      <c r="H447" s="1423"/>
      <c r="I447" s="1423"/>
      <c r="J447" s="1423"/>
      <c r="K447" s="1423"/>
      <c r="L447" s="1423"/>
      <c r="M447" s="1423"/>
      <c r="N447" s="1423"/>
      <c r="O447" s="1423"/>
      <c r="P447" s="1423"/>
      <c r="Q447" s="1423"/>
      <c r="R447" s="1423"/>
      <c r="S447" s="1423"/>
      <c r="T447" s="1423"/>
      <c r="U447" s="1423"/>
      <c r="V447" s="1423"/>
      <c r="W447" s="1423"/>
      <c r="X447" s="1423"/>
      <c r="Y447" s="1423"/>
      <c r="Z447" s="1423"/>
    </row>
    <row r="448" spans="1:26" ht="18.5">
      <c r="A448" s="1423"/>
      <c r="B448" s="1423"/>
      <c r="C448" s="1423"/>
      <c r="D448" s="1423"/>
      <c r="E448" s="1423"/>
      <c r="F448" s="1423"/>
      <c r="G448" s="1423"/>
      <c r="H448" s="1423"/>
      <c r="I448" s="1423"/>
      <c r="J448" s="1423"/>
      <c r="K448" s="1423"/>
      <c r="L448" s="1423"/>
      <c r="M448" s="1423"/>
      <c r="N448" s="1423"/>
      <c r="O448" s="1423"/>
      <c r="P448" s="1423"/>
      <c r="Q448" s="1423"/>
      <c r="R448" s="1423"/>
      <c r="S448" s="1423"/>
      <c r="T448" s="1423"/>
      <c r="U448" s="1423"/>
      <c r="V448" s="1423"/>
      <c r="W448" s="1423"/>
      <c r="X448" s="1423"/>
      <c r="Y448" s="1423"/>
      <c r="Z448" s="1423"/>
    </row>
    <row r="449" spans="1:26" ht="18.5">
      <c r="A449" s="1423"/>
      <c r="B449" s="1423"/>
      <c r="C449" s="1423"/>
      <c r="D449" s="1423"/>
      <c r="E449" s="1423"/>
      <c r="F449" s="1423"/>
      <c r="G449" s="1423"/>
      <c r="H449" s="1423"/>
      <c r="I449" s="1423"/>
      <c r="J449" s="1423"/>
      <c r="K449" s="1423"/>
      <c r="L449" s="1423"/>
      <c r="M449" s="1423"/>
      <c r="N449" s="1423"/>
      <c r="O449" s="1423"/>
      <c r="P449" s="1423"/>
      <c r="Q449" s="1423"/>
      <c r="R449" s="1423"/>
      <c r="S449" s="1423"/>
      <c r="T449" s="1423"/>
      <c r="U449" s="1423"/>
      <c r="V449" s="1423"/>
      <c r="W449" s="1423"/>
      <c r="X449" s="1423"/>
      <c r="Y449" s="1423"/>
      <c r="Z449" s="1423"/>
    </row>
    <row r="450" spans="1:26" ht="18.5">
      <c r="A450" s="1423"/>
      <c r="B450" s="1423"/>
      <c r="C450" s="1423"/>
      <c r="D450" s="1423"/>
      <c r="E450" s="1423"/>
      <c r="F450" s="1423"/>
      <c r="G450" s="1423"/>
      <c r="H450" s="1423"/>
      <c r="I450" s="1423"/>
      <c r="J450" s="1423"/>
      <c r="K450" s="1423"/>
      <c r="L450" s="1423"/>
      <c r="M450" s="1423"/>
      <c r="N450" s="1423"/>
      <c r="O450" s="1423"/>
      <c r="P450" s="1423"/>
      <c r="Q450" s="1423"/>
      <c r="R450" s="1423"/>
      <c r="S450" s="1423"/>
      <c r="T450" s="1423"/>
      <c r="U450" s="1423"/>
      <c r="V450" s="1423"/>
      <c r="W450" s="1423"/>
      <c r="X450" s="1423"/>
      <c r="Y450" s="1423"/>
      <c r="Z450" s="1423"/>
    </row>
    <row r="451" spans="1:26" ht="18.5">
      <c r="A451" s="1423"/>
      <c r="B451" s="1423"/>
      <c r="C451" s="1423"/>
      <c r="D451" s="1423"/>
      <c r="E451" s="1423"/>
      <c r="F451" s="1423"/>
      <c r="G451" s="1423"/>
      <c r="H451" s="1423"/>
      <c r="I451" s="1423"/>
      <c r="J451" s="1423"/>
      <c r="K451" s="1423"/>
      <c r="L451" s="1423"/>
      <c r="M451" s="1423"/>
      <c r="N451" s="1423"/>
      <c r="O451" s="1423"/>
      <c r="P451" s="1423"/>
      <c r="Q451" s="1423"/>
      <c r="R451" s="1423"/>
      <c r="S451" s="1423"/>
      <c r="T451" s="1423"/>
      <c r="U451" s="1423"/>
      <c r="V451" s="1423"/>
      <c r="W451" s="1423"/>
      <c r="X451" s="1423"/>
      <c r="Y451" s="1423"/>
      <c r="Z451" s="1423"/>
    </row>
    <row r="452" spans="1:26" ht="18.5">
      <c r="A452" s="1423"/>
      <c r="B452" s="1423"/>
      <c r="C452" s="1423"/>
      <c r="D452" s="1423"/>
      <c r="E452" s="1423"/>
      <c r="F452" s="1423"/>
      <c r="G452" s="1423"/>
      <c r="H452" s="1423"/>
      <c r="I452" s="1423"/>
      <c r="J452" s="1423"/>
      <c r="K452" s="1423"/>
      <c r="L452" s="1423"/>
      <c r="M452" s="1423"/>
      <c r="N452" s="1423"/>
      <c r="O452" s="1423"/>
      <c r="P452" s="1423"/>
      <c r="Q452" s="1423"/>
      <c r="R452" s="1423"/>
      <c r="S452" s="1423"/>
      <c r="T452" s="1423"/>
      <c r="U452" s="1423"/>
      <c r="V452" s="1423"/>
      <c r="W452" s="1423"/>
      <c r="X452" s="1423"/>
      <c r="Y452" s="1423"/>
      <c r="Z452" s="1423"/>
    </row>
    <row r="453" spans="1:26" ht="18.5">
      <c r="A453" s="1423"/>
      <c r="B453" s="1423"/>
      <c r="C453" s="1423"/>
      <c r="D453" s="1423"/>
      <c r="E453" s="1423"/>
      <c r="F453" s="1423"/>
      <c r="G453" s="1423"/>
      <c r="H453" s="1423"/>
      <c r="I453" s="1423"/>
      <c r="J453" s="1423"/>
      <c r="K453" s="1423"/>
      <c r="L453" s="1423"/>
      <c r="M453" s="1423"/>
      <c r="N453" s="1423"/>
      <c r="O453" s="1423"/>
      <c r="P453" s="1423"/>
      <c r="Q453" s="1423"/>
      <c r="R453" s="1423"/>
      <c r="S453" s="1423"/>
      <c r="T453" s="1423"/>
      <c r="U453" s="1423"/>
      <c r="V453" s="1423"/>
      <c r="W453" s="1423"/>
      <c r="X453" s="1423"/>
      <c r="Y453" s="1423"/>
      <c r="Z453" s="1423"/>
    </row>
    <row r="454" spans="1:26" ht="18.5">
      <c r="A454" s="1423"/>
      <c r="B454" s="1423"/>
      <c r="C454" s="1423"/>
      <c r="D454" s="1423"/>
      <c r="E454" s="1423"/>
      <c r="F454" s="1423"/>
      <c r="G454" s="1423"/>
      <c r="H454" s="1423"/>
      <c r="I454" s="1423"/>
      <c r="J454" s="1423"/>
      <c r="K454" s="1423"/>
      <c r="L454" s="1423"/>
      <c r="M454" s="1423"/>
      <c r="N454" s="1423"/>
      <c r="O454" s="1423"/>
      <c r="P454" s="1423"/>
      <c r="Q454" s="1423"/>
      <c r="R454" s="1423"/>
      <c r="S454" s="1423"/>
      <c r="T454" s="1423"/>
      <c r="U454" s="1423"/>
      <c r="V454" s="1423"/>
      <c r="W454" s="1423"/>
      <c r="X454" s="1423"/>
      <c r="Y454" s="1423"/>
      <c r="Z454" s="1423"/>
    </row>
    <row r="455" spans="1:26" ht="18.5">
      <c r="A455" s="1423"/>
      <c r="B455" s="1423"/>
      <c r="C455" s="1423"/>
      <c r="D455" s="1423"/>
      <c r="E455" s="1423"/>
      <c r="F455" s="1423"/>
      <c r="G455" s="1423"/>
      <c r="H455" s="1423"/>
      <c r="I455" s="1423"/>
      <c r="J455" s="1423"/>
      <c r="K455" s="1423"/>
      <c r="L455" s="1423"/>
      <c r="M455" s="1423"/>
      <c r="N455" s="1423"/>
      <c r="O455" s="1423"/>
      <c r="P455" s="1423"/>
      <c r="Q455" s="1423"/>
      <c r="R455" s="1423"/>
      <c r="S455" s="1423"/>
      <c r="T455" s="1423"/>
      <c r="U455" s="1423"/>
      <c r="V455" s="1423"/>
      <c r="W455" s="1423"/>
      <c r="X455" s="1423"/>
      <c r="Y455" s="1423"/>
      <c r="Z455" s="1423"/>
    </row>
    <row r="456" spans="1:26" ht="18.5">
      <c r="A456" s="1423"/>
      <c r="B456" s="1423"/>
      <c r="C456" s="1423"/>
      <c r="D456" s="1423"/>
      <c r="E456" s="1423"/>
      <c r="F456" s="1423"/>
      <c r="G456" s="1423"/>
      <c r="H456" s="1423"/>
      <c r="I456" s="1423"/>
      <c r="J456" s="1423"/>
      <c r="K456" s="1423"/>
      <c r="L456" s="1423"/>
      <c r="M456" s="1423"/>
      <c r="N456" s="1423"/>
      <c r="O456" s="1423"/>
      <c r="P456" s="1423"/>
      <c r="Q456" s="1423"/>
      <c r="R456" s="1423"/>
      <c r="S456" s="1423"/>
      <c r="T456" s="1423"/>
      <c r="U456" s="1423"/>
      <c r="V456" s="1423"/>
      <c r="W456" s="1423"/>
      <c r="X456" s="1423"/>
      <c r="Y456" s="1423"/>
      <c r="Z456" s="1423"/>
    </row>
    <row r="457" spans="1:26" ht="18.5">
      <c r="A457" s="1423"/>
      <c r="B457" s="1423"/>
      <c r="C457" s="1423"/>
      <c r="D457" s="1423"/>
      <c r="E457" s="1423"/>
      <c r="F457" s="1423"/>
      <c r="G457" s="1423"/>
      <c r="H457" s="1423"/>
      <c r="I457" s="1423"/>
      <c r="J457" s="1423"/>
      <c r="K457" s="1423"/>
      <c r="L457" s="1423"/>
      <c r="M457" s="1423"/>
      <c r="N457" s="1423"/>
      <c r="O457" s="1423"/>
      <c r="P457" s="1423"/>
      <c r="Q457" s="1423"/>
      <c r="R457" s="1423"/>
      <c r="S457" s="1423"/>
      <c r="T457" s="1423"/>
      <c r="U457" s="1423"/>
      <c r="V457" s="1423"/>
      <c r="W457" s="1423"/>
      <c r="X457" s="1423"/>
      <c r="Y457" s="1423"/>
      <c r="Z457" s="1423"/>
    </row>
    <row r="458" spans="1:26" ht="18.5">
      <c r="A458" s="1423"/>
      <c r="B458" s="1423"/>
      <c r="C458" s="1423"/>
      <c r="D458" s="1423"/>
      <c r="E458" s="1423"/>
      <c r="F458" s="1423"/>
      <c r="G458" s="1423"/>
      <c r="H458" s="1423"/>
      <c r="I458" s="1423"/>
      <c r="J458" s="1423"/>
      <c r="K458" s="1423"/>
      <c r="L458" s="1423"/>
      <c r="M458" s="1423"/>
      <c r="N458" s="1423"/>
      <c r="O458" s="1423"/>
      <c r="P458" s="1423"/>
      <c r="Q458" s="1423"/>
      <c r="R458" s="1423"/>
      <c r="S458" s="1423"/>
      <c r="T458" s="1423"/>
      <c r="U458" s="1423"/>
      <c r="V458" s="1423"/>
      <c r="W458" s="1423"/>
      <c r="X458" s="1423"/>
      <c r="Y458" s="1423"/>
      <c r="Z458" s="1423"/>
    </row>
    <row r="459" spans="1:26" ht="18.5">
      <c r="A459" s="1423"/>
      <c r="B459" s="1423"/>
      <c r="C459" s="1423"/>
      <c r="D459" s="1423"/>
      <c r="E459" s="1423"/>
      <c r="F459" s="1423"/>
      <c r="G459" s="1423"/>
      <c r="H459" s="1423"/>
      <c r="I459" s="1423"/>
      <c r="J459" s="1423"/>
      <c r="K459" s="1423"/>
      <c r="L459" s="1423"/>
      <c r="M459" s="1423"/>
      <c r="N459" s="1423"/>
      <c r="O459" s="1423"/>
      <c r="P459" s="1423"/>
      <c r="Q459" s="1423"/>
      <c r="R459" s="1423"/>
      <c r="S459" s="1423"/>
      <c r="T459" s="1423"/>
      <c r="U459" s="1423"/>
      <c r="V459" s="1423"/>
      <c r="W459" s="1423"/>
      <c r="X459" s="1423"/>
      <c r="Y459" s="1423"/>
      <c r="Z459" s="1423"/>
    </row>
    <row r="460" spans="1:26" ht="18.5">
      <c r="A460" s="1423"/>
      <c r="B460" s="1423"/>
      <c r="C460" s="1423"/>
      <c r="D460" s="1423"/>
      <c r="E460" s="1423"/>
      <c r="F460" s="1423"/>
      <c r="G460" s="1423"/>
      <c r="H460" s="1423"/>
      <c r="I460" s="1423"/>
      <c r="J460" s="1423"/>
      <c r="K460" s="1423"/>
      <c r="L460" s="1423"/>
      <c r="M460" s="1423"/>
      <c r="N460" s="1423"/>
      <c r="O460" s="1423"/>
      <c r="P460" s="1423"/>
      <c r="Q460" s="1423"/>
      <c r="R460" s="1423"/>
      <c r="S460" s="1423"/>
      <c r="T460" s="1423"/>
      <c r="U460" s="1423"/>
      <c r="V460" s="1423"/>
      <c r="W460" s="1423"/>
      <c r="X460" s="1423"/>
      <c r="Y460" s="1423"/>
      <c r="Z460" s="1423"/>
    </row>
    <row r="461" spans="1:26" ht="18.5">
      <c r="A461" s="1423"/>
      <c r="B461" s="1423"/>
      <c r="C461" s="1423"/>
      <c r="D461" s="1423"/>
      <c r="E461" s="1423"/>
      <c r="F461" s="1423"/>
      <c r="G461" s="1423"/>
      <c r="H461" s="1423"/>
      <c r="I461" s="1423"/>
      <c r="J461" s="1423"/>
      <c r="K461" s="1423"/>
      <c r="L461" s="1423"/>
      <c r="M461" s="1423"/>
      <c r="N461" s="1423"/>
      <c r="O461" s="1423"/>
      <c r="P461" s="1423"/>
      <c r="Q461" s="1423"/>
      <c r="R461" s="1423"/>
      <c r="S461" s="1423"/>
      <c r="T461" s="1423"/>
      <c r="U461" s="1423"/>
      <c r="V461" s="1423"/>
      <c r="W461" s="1423"/>
      <c r="X461" s="1423"/>
      <c r="Y461" s="1423"/>
      <c r="Z461" s="1423"/>
    </row>
    <row r="462" spans="1:26" ht="18.5">
      <c r="A462" s="1423"/>
      <c r="B462" s="1423"/>
      <c r="C462" s="1423"/>
      <c r="D462" s="1423"/>
      <c r="E462" s="1423"/>
      <c r="F462" s="1423"/>
      <c r="G462" s="1423"/>
      <c r="H462" s="1423"/>
      <c r="I462" s="1423"/>
      <c r="J462" s="1423"/>
      <c r="K462" s="1423"/>
      <c r="L462" s="1423"/>
      <c r="M462" s="1423"/>
      <c r="N462" s="1423"/>
      <c r="O462" s="1423"/>
      <c r="P462" s="1423"/>
      <c r="Q462" s="1423"/>
      <c r="R462" s="1423"/>
      <c r="S462" s="1423"/>
      <c r="T462" s="1423"/>
      <c r="U462" s="1423"/>
      <c r="V462" s="1423"/>
      <c r="W462" s="1423"/>
      <c r="X462" s="1423"/>
      <c r="Y462" s="1423"/>
      <c r="Z462" s="1423"/>
    </row>
    <row r="463" spans="1:26" ht="18.5">
      <c r="A463" s="1423"/>
      <c r="B463" s="1423"/>
      <c r="C463" s="1423"/>
      <c r="D463" s="1423"/>
      <c r="E463" s="1423"/>
      <c r="F463" s="1423"/>
      <c r="G463" s="1423"/>
      <c r="H463" s="1423"/>
      <c r="I463" s="1423"/>
      <c r="J463" s="1423"/>
      <c r="K463" s="1423"/>
      <c r="L463" s="1423"/>
      <c r="M463" s="1423"/>
      <c r="N463" s="1423"/>
      <c r="O463" s="1423"/>
      <c r="P463" s="1423"/>
      <c r="Q463" s="1423"/>
      <c r="R463" s="1423"/>
      <c r="S463" s="1423"/>
      <c r="T463" s="1423"/>
      <c r="U463" s="1423"/>
      <c r="V463" s="1423"/>
      <c r="W463" s="1423"/>
      <c r="X463" s="1423"/>
      <c r="Y463" s="1423"/>
      <c r="Z463" s="1423"/>
    </row>
    <row r="464" spans="1:26" ht="18.5">
      <c r="A464" s="1423"/>
      <c r="B464" s="1423"/>
      <c r="C464" s="1423"/>
      <c r="D464" s="1423"/>
      <c r="E464" s="1423"/>
      <c r="F464" s="1423"/>
      <c r="G464" s="1423"/>
      <c r="H464" s="1423"/>
      <c r="I464" s="1423"/>
      <c r="J464" s="1423"/>
      <c r="K464" s="1423"/>
      <c r="L464" s="1423"/>
      <c r="M464" s="1423"/>
      <c r="N464" s="1423"/>
      <c r="O464" s="1423"/>
      <c r="P464" s="1423"/>
      <c r="Q464" s="1423"/>
      <c r="R464" s="1423"/>
      <c r="S464" s="1423"/>
      <c r="T464" s="1423"/>
      <c r="U464" s="1423"/>
      <c r="V464" s="1423"/>
      <c r="W464" s="1423"/>
      <c r="X464" s="1423"/>
      <c r="Y464" s="1423"/>
      <c r="Z464" s="1423"/>
    </row>
    <row r="465" spans="1:26" ht="18.5">
      <c r="A465" s="1423"/>
      <c r="B465" s="1423"/>
      <c r="C465" s="1423"/>
      <c r="D465" s="1423"/>
      <c r="E465" s="1423"/>
      <c r="F465" s="1423"/>
      <c r="G465" s="1423"/>
      <c r="H465" s="1423"/>
      <c r="I465" s="1423"/>
      <c r="J465" s="1423"/>
      <c r="K465" s="1423"/>
      <c r="L465" s="1423"/>
      <c r="M465" s="1423"/>
      <c r="N465" s="1423"/>
      <c r="O465" s="1423"/>
      <c r="P465" s="1423"/>
      <c r="Q465" s="1423"/>
      <c r="R465" s="1423"/>
      <c r="S465" s="1423"/>
      <c r="T465" s="1423"/>
      <c r="U465" s="1423"/>
      <c r="V465" s="1423"/>
      <c r="W465" s="1423"/>
      <c r="X465" s="1423"/>
      <c r="Y465" s="1423"/>
      <c r="Z465" s="1423"/>
    </row>
    <row r="466" spans="1:26" ht="18.5">
      <c r="A466" s="1423"/>
      <c r="B466" s="1423"/>
      <c r="C466" s="1423"/>
      <c r="D466" s="1423"/>
      <c r="E466" s="1423"/>
      <c r="F466" s="1423"/>
      <c r="G466" s="1423"/>
      <c r="H466" s="1423"/>
      <c r="I466" s="1423"/>
      <c r="J466" s="1423"/>
      <c r="K466" s="1423"/>
      <c r="L466" s="1423"/>
      <c r="M466" s="1423"/>
      <c r="N466" s="1423"/>
      <c r="O466" s="1423"/>
      <c r="P466" s="1423"/>
      <c r="Q466" s="1423"/>
      <c r="R466" s="1423"/>
      <c r="S466" s="1423"/>
      <c r="T466" s="1423"/>
      <c r="U466" s="1423"/>
      <c r="V466" s="1423"/>
      <c r="W466" s="1423"/>
      <c r="X466" s="1423"/>
      <c r="Y466" s="1423"/>
      <c r="Z466" s="1423"/>
    </row>
    <row r="467" spans="1:26" ht="18.5">
      <c r="A467" s="1423"/>
      <c r="B467" s="1423"/>
      <c r="C467" s="1423"/>
      <c r="D467" s="1423"/>
      <c r="E467" s="1423"/>
      <c r="F467" s="1423"/>
      <c r="G467" s="1423"/>
      <c r="H467" s="1423"/>
      <c r="I467" s="1423"/>
      <c r="J467" s="1423"/>
      <c r="K467" s="1423"/>
      <c r="L467" s="1423"/>
      <c r="M467" s="1423"/>
      <c r="N467" s="1423"/>
      <c r="O467" s="1423"/>
      <c r="P467" s="1423"/>
      <c r="Q467" s="1423"/>
      <c r="R467" s="1423"/>
      <c r="S467" s="1423"/>
      <c r="T467" s="1423"/>
      <c r="U467" s="1423"/>
      <c r="V467" s="1423"/>
      <c r="W467" s="1423"/>
      <c r="X467" s="1423"/>
      <c r="Y467" s="1423"/>
      <c r="Z467" s="1423"/>
    </row>
    <row r="468" spans="1:26" ht="18.5">
      <c r="A468" s="1423"/>
      <c r="B468" s="1423"/>
      <c r="C468" s="1423"/>
      <c r="D468" s="1423"/>
      <c r="E468" s="1423"/>
      <c r="F468" s="1423"/>
      <c r="G468" s="1423"/>
      <c r="H468" s="1423"/>
      <c r="I468" s="1423"/>
      <c r="J468" s="1423"/>
      <c r="K468" s="1423"/>
      <c r="L468" s="1423"/>
      <c r="M468" s="1423"/>
      <c r="N468" s="1423"/>
      <c r="O468" s="1423"/>
      <c r="P468" s="1423"/>
      <c r="Q468" s="1423"/>
      <c r="R468" s="1423"/>
      <c r="S468" s="1423"/>
      <c r="T468" s="1423"/>
      <c r="U468" s="1423"/>
      <c r="V468" s="1423"/>
      <c r="W468" s="1423"/>
      <c r="X468" s="1423"/>
      <c r="Y468" s="1423"/>
      <c r="Z468" s="1423"/>
    </row>
    <row r="469" spans="1:26" ht="18.5">
      <c r="A469" s="1423"/>
      <c r="B469" s="1423"/>
      <c r="C469" s="1423"/>
      <c r="D469" s="1423"/>
      <c r="E469" s="1423"/>
      <c r="F469" s="1423"/>
      <c r="G469" s="1423"/>
      <c r="H469" s="1423"/>
      <c r="I469" s="1423"/>
      <c r="J469" s="1423"/>
      <c r="K469" s="1423"/>
      <c r="L469" s="1423"/>
      <c r="M469" s="1423"/>
      <c r="N469" s="1423"/>
      <c r="O469" s="1423"/>
      <c r="P469" s="1423"/>
      <c r="Q469" s="1423"/>
      <c r="R469" s="1423"/>
      <c r="S469" s="1423"/>
      <c r="T469" s="1423"/>
      <c r="U469" s="1423"/>
      <c r="V469" s="1423"/>
      <c r="W469" s="1423"/>
      <c r="X469" s="1423"/>
      <c r="Y469" s="1423"/>
      <c r="Z469" s="1423"/>
    </row>
    <row r="470" spans="1:26" ht="18.5">
      <c r="A470" s="1423"/>
      <c r="B470" s="1423"/>
      <c r="C470" s="1423"/>
      <c r="D470" s="1423"/>
      <c r="E470" s="1423"/>
      <c r="F470" s="1423"/>
      <c r="G470" s="1423"/>
      <c r="H470" s="1423"/>
      <c r="I470" s="1423"/>
      <c r="J470" s="1423"/>
      <c r="K470" s="1423"/>
      <c r="L470" s="1423"/>
      <c r="M470" s="1423"/>
      <c r="N470" s="1423"/>
      <c r="O470" s="1423"/>
      <c r="P470" s="1423"/>
      <c r="Q470" s="1423"/>
      <c r="R470" s="1423"/>
      <c r="S470" s="1423"/>
      <c r="T470" s="1423"/>
      <c r="U470" s="1423"/>
      <c r="V470" s="1423"/>
      <c r="W470" s="1423"/>
      <c r="X470" s="1423"/>
      <c r="Y470" s="1423"/>
      <c r="Z470" s="1423"/>
    </row>
    <row r="471" spans="1:26" ht="18.5">
      <c r="A471" s="1423"/>
      <c r="B471" s="1423"/>
      <c r="C471" s="1423"/>
      <c r="D471" s="1423"/>
      <c r="E471" s="1423"/>
      <c r="F471" s="1423"/>
      <c r="G471" s="1423"/>
      <c r="H471" s="1423"/>
      <c r="I471" s="1423"/>
      <c r="J471" s="1423"/>
      <c r="K471" s="1423"/>
      <c r="L471" s="1423"/>
      <c r="M471" s="1423"/>
      <c r="N471" s="1423"/>
      <c r="O471" s="1423"/>
      <c r="P471" s="1423"/>
      <c r="Q471" s="1423"/>
      <c r="R471" s="1423"/>
      <c r="S471" s="1423"/>
      <c r="T471" s="1423"/>
      <c r="U471" s="1423"/>
      <c r="V471" s="1423"/>
      <c r="W471" s="1423"/>
      <c r="X471" s="1423"/>
      <c r="Y471" s="1423"/>
      <c r="Z471" s="1423"/>
    </row>
    <row r="472" spans="1:26" ht="18.5">
      <c r="A472" s="1423"/>
      <c r="B472" s="1423"/>
      <c r="C472" s="1423"/>
      <c r="D472" s="1423"/>
      <c r="E472" s="1423"/>
      <c r="F472" s="1423"/>
      <c r="G472" s="1423"/>
      <c r="H472" s="1423"/>
      <c r="I472" s="1423"/>
      <c r="J472" s="1423"/>
      <c r="K472" s="1423"/>
      <c r="L472" s="1423"/>
      <c r="M472" s="1423"/>
      <c r="N472" s="1423"/>
      <c r="O472" s="1423"/>
      <c r="P472" s="1423"/>
      <c r="Q472" s="1423"/>
      <c r="R472" s="1423"/>
      <c r="S472" s="1423"/>
      <c r="T472" s="1423"/>
      <c r="U472" s="1423"/>
      <c r="V472" s="1423"/>
      <c r="W472" s="1423"/>
      <c r="X472" s="1423"/>
      <c r="Y472" s="1423"/>
      <c r="Z472" s="1423"/>
    </row>
    <row r="473" spans="1:26" ht="18.5">
      <c r="A473" s="1423"/>
      <c r="B473" s="1423"/>
      <c r="C473" s="1423"/>
      <c r="D473" s="1423"/>
      <c r="E473" s="1423"/>
      <c r="F473" s="1423"/>
      <c r="G473" s="1423"/>
      <c r="H473" s="1423"/>
      <c r="I473" s="1423"/>
      <c r="J473" s="1423"/>
      <c r="K473" s="1423"/>
      <c r="L473" s="1423"/>
      <c r="M473" s="1423"/>
      <c r="N473" s="1423"/>
      <c r="O473" s="1423"/>
      <c r="P473" s="1423"/>
      <c r="Q473" s="1423"/>
      <c r="R473" s="1423"/>
      <c r="S473" s="1423"/>
      <c r="T473" s="1423"/>
      <c r="U473" s="1423"/>
      <c r="V473" s="1423"/>
      <c r="W473" s="1423"/>
      <c r="X473" s="1423"/>
      <c r="Y473" s="1423"/>
      <c r="Z473" s="1423"/>
    </row>
    <row r="474" spans="1:26" ht="18.5">
      <c r="A474" s="1423"/>
      <c r="B474" s="1423"/>
      <c r="C474" s="1423"/>
      <c r="D474" s="1423"/>
      <c r="E474" s="1423"/>
      <c r="F474" s="1423"/>
      <c r="G474" s="1423"/>
      <c r="H474" s="1423"/>
      <c r="I474" s="1423"/>
      <c r="J474" s="1423"/>
      <c r="K474" s="1423"/>
      <c r="L474" s="1423"/>
      <c r="M474" s="1423"/>
      <c r="N474" s="1423"/>
      <c r="O474" s="1423"/>
      <c r="P474" s="1423"/>
      <c r="Q474" s="1423"/>
      <c r="R474" s="1423"/>
      <c r="S474" s="1423"/>
      <c r="T474" s="1423"/>
      <c r="U474" s="1423"/>
      <c r="V474" s="1423"/>
      <c r="W474" s="1423"/>
      <c r="X474" s="1423"/>
      <c r="Y474" s="1423"/>
      <c r="Z474" s="1423"/>
    </row>
    <row r="475" spans="1:26" ht="18.5">
      <c r="A475" s="1423"/>
      <c r="B475" s="1423"/>
      <c r="C475" s="1423"/>
      <c r="D475" s="1423"/>
      <c r="E475" s="1423"/>
      <c r="F475" s="1423"/>
      <c r="G475" s="1423"/>
      <c r="H475" s="1423"/>
      <c r="I475" s="1423"/>
      <c r="J475" s="1423"/>
      <c r="K475" s="1423"/>
      <c r="L475" s="1423"/>
      <c r="M475" s="1423"/>
      <c r="N475" s="1423"/>
      <c r="O475" s="1423"/>
      <c r="P475" s="1423"/>
      <c r="Q475" s="1423"/>
      <c r="R475" s="1423"/>
      <c r="S475" s="1423"/>
      <c r="T475" s="1423"/>
      <c r="U475" s="1423"/>
      <c r="V475" s="1423"/>
      <c r="W475" s="1423"/>
      <c r="X475" s="1423"/>
      <c r="Y475" s="1423"/>
      <c r="Z475" s="1423"/>
    </row>
    <row r="476" spans="1:26" ht="18.5">
      <c r="A476" s="1423"/>
      <c r="B476" s="1423"/>
      <c r="C476" s="1423"/>
      <c r="D476" s="1423"/>
      <c r="E476" s="1423"/>
      <c r="F476" s="1423"/>
      <c r="G476" s="1423"/>
      <c r="H476" s="1423"/>
      <c r="I476" s="1423"/>
      <c r="J476" s="1423"/>
      <c r="K476" s="1423"/>
      <c r="L476" s="1423"/>
      <c r="M476" s="1423"/>
      <c r="N476" s="1423"/>
      <c r="O476" s="1423"/>
      <c r="P476" s="1423"/>
      <c r="Q476" s="1423"/>
      <c r="R476" s="1423"/>
      <c r="S476" s="1423"/>
      <c r="T476" s="1423"/>
      <c r="U476" s="1423"/>
      <c r="V476" s="1423"/>
      <c r="W476" s="1423"/>
      <c r="X476" s="1423"/>
      <c r="Y476" s="1423"/>
      <c r="Z476" s="1423"/>
    </row>
    <row r="477" spans="1:26" ht="18.5">
      <c r="A477" s="1423"/>
      <c r="B477" s="1423"/>
      <c r="C477" s="1423"/>
      <c r="D477" s="1423"/>
      <c r="E477" s="1423"/>
      <c r="F477" s="1423"/>
      <c r="G477" s="1423"/>
      <c r="H477" s="1423"/>
      <c r="I477" s="1423"/>
      <c r="J477" s="1423"/>
      <c r="K477" s="1423"/>
      <c r="L477" s="1423"/>
      <c r="M477" s="1423"/>
      <c r="N477" s="1423"/>
      <c r="O477" s="1423"/>
      <c r="P477" s="1423"/>
      <c r="Q477" s="1423"/>
      <c r="R477" s="1423"/>
      <c r="S477" s="1423"/>
      <c r="T477" s="1423"/>
      <c r="U477" s="1423"/>
      <c r="V477" s="1423"/>
      <c r="W477" s="1423"/>
      <c r="X477" s="1423"/>
      <c r="Y477" s="1423"/>
      <c r="Z477" s="1423"/>
    </row>
    <row r="478" spans="1:26" ht="18.5">
      <c r="A478" s="1423"/>
      <c r="B478" s="1423"/>
      <c r="C478" s="1423"/>
      <c r="D478" s="1423"/>
      <c r="E478" s="1423"/>
      <c r="F478" s="1423"/>
      <c r="G478" s="1423"/>
      <c r="H478" s="1423"/>
      <c r="I478" s="1423"/>
      <c r="J478" s="1423"/>
      <c r="K478" s="1423"/>
      <c r="L478" s="1423"/>
      <c r="M478" s="1423"/>
      <c r="N478" s="1423"/>
      <c r="O478" s="1423"/>
      <c r="P478" s="1423"/>
      <c r="Q478" s="1423"/>
      <c r="R478" s="1423"/>
      <c r="S478" s="1423"/>
      <c r="T478" s="1423"/>
      <c r="U478" s="1423"/>
      <c r="V478" s="1423"/>
      <c r="W478" s="1423"/>
      <c r="X478" s="1423"/>
      <c r="Y478" s="1423"/>
      <c r="Z478" s="1423"/>
    </row>
    <row r="479" spans="1:26" ht="18.5">
      <c r="A479" s="1423"/>
      <c r="B479" s="1423"/>
      <c r="C479" s="1423"/>
      <c r="D479" s="1423"/>
      <c r="E479" s="1423"/>
      <c r="F479" s="1423"/>
      <c r="G479" s="1423"/>
      <c r="H479" s="1423"/>
      <c r="I479" s="1423"/>
      <c r="J479" s="1423"/>
      <c r="K479" s="1423"/>
      <c r="L479" s="1423"/>
      <c r="M479" s="1423"/>
      <c r="N479" s="1423"/>
      <c r="O479" s="1423"/>
      <c r="P479" s="1423"/>
      <c r="Q479" s="1423"/>
      <c r="R479" s="1423"/>
      <c r="S479" s="1423"/>
      <c r="T479" s="1423"/>
      <c r="U479" s="1423"/>
      <c r="V479" s="1423"/>
      <c r="W479" s="1423"/>
      <c r="X479" s="1423"/>
      <c r="Y479" s="1423"/>
      <c r="Z479" s="1423"/>
    </row>
    <row r="480" spans="1:26" ht="18.5">
      <c r="A480" s="1423"/>
      <c r="B480" s="1423"/>
      <c r="C480" s="1423"/>
      <c r="D480" s="1423"/>
      <c r="E480" s="1423"/>
      <c r="F480" s="1423"/>
      <c r="G480" s="1423"/>
      <c r="H480" s="1423"/>
      <c r="I480" s="1423"/>
      <c r="J480" s="1423"/>
      <c r="K480" s="1423"/>
      <c r="L480" s="1423"/>
      <c r="M480" s="1423"/>
      <c r="N480" s="1423"/>
      <c r="O480" s="1423"/>
      <c r="P480" s="1423"/>
      <c r="Q480" s="1423"/>
      <c r="R480" s="1423"/>
      <c r="S480" s="1423"/>
      <c r="T480" s="1423"/>
      <c r="U480" s="1423"/>
      <c r="V480" s="1423"/>
      <c r="W480" s="1423"/>
      <c r="X480" s="1423"/>
      <c r="Y480" s="1423"/>
      <c r="Z480" s="1423"/>
    </row>
    <row r="481" spans="1:26" ht="18.5">
      <c r="A481" s="1423"/>
      <c r="B481" s="1423"/>
      <c r="C481" s="1423"/>
      <c r="D481" s="1423"/>
      <c r="E481" s="1423"/>
      <c r="F481" s="1423"/>
      <c r="G481" s="1423"/>
      <c r="H481" s="1423"/>
      <c r="I481" s="1423"/>
      <c r="J481" s="1423"/>
      <c r="K481" s="1423"/>
      <c r="L481" s="1423"/>
      <c r="M481" s="1423"/>
      <c r="N481" s="1423"/>
      <c r="O481" s="1423"/>
      <c r="P481" s="1423"/>
      <c r="Q481" s="1423"/>
      <c r="R481" s="1423"/>
      <c r="S481" s="1423"/>
      <c r="T481" s="1423"/>
      <c r="U481" s="1423"/>
      <c r="V481" s="1423"/>
      <c r="W481" s="1423"/>
      <c r="X481" s="1423"/>
      <c r="Y481" s="1423"/>
      <c r="Z481" s="1423"/>
    </row>
    <row r="482" spans="1:26" ht="18.5">
      <c r="A482" s="1423"/>
      <c r="B482" s="1423"/>
      <c r="C482" s="1423"/>
      <c r="D482" s="1423"/>
      <c r="E482" s="1423"/>
      <c r="F482" s="1423"/>
      <c r="G482" s="1423"/>
      <c r="H482" s="1423"/>
      <c r="I482" s="1423"/>
      <c r="J482" s="1423"/>
      <c r="K482" s="1423"/>
      <c r="L482" s="1423"/>
      <c r="M482" s="1423"/>
      <c r="N482" s="1423"/>
      <c r="O482" s="1423"/>
      <c r="P482" s="1423"/>
      <c r="Q482" s="1423"/>
      <c r="R482" s="1423"/>
      <c r="S482" s="1423"/>
      <c r="T482" s="1423"/>
      <c r="U482" s="1423"/>
      <c r="V482" s="1423"/>
      <c r="W482" s="1423"/>
      <c r="X482" s="1423"/>
      <c r="Y482" s="1423"/>
      <c r="Z482" s="1423"/>
    </row>
    <row r="483" spans="1:26" ht="18.5">
      <c r="A483" s="1423"/>
      <c r="B483" s="1423"/>
      <c r="C483" s="1423"/>
      <c r="D483" s="1423"/>
      <c r="E483" s="1423"/>
      <c r="F483" s="1423"/>
      <c r="G483" s="1423"/>
      <c r="H483" s="1423"/>
      <c r="I483" s="1423"/>
      <c r="J483" s="1423"/>
      <c r="K483" s="1423"/>
      <c r="L483" s="1423"/>
      <c r="M483" s="1423"/>
      <c r="N483" s="1423"/>
      <c r="O483" s="1423"/>
      <c r="P483" s="1423"/>
      <c r="Q483" s="1423"/>
      <c r="R483" s="1423"/>
      <c r="S483" s="1423"/>
      <c r="T483" s="1423"/>
      <c r="U483" s="1423"/>
      <c r="V483" s="1423"/>
      <c r="W483" s="1423"/>
      <c r="X483" s="1423"/>
      <c r="Y483" s="1423"/>
      <c r="Z483" s="1423"/>
    </row>
    <row r="484" spans="1:26" ht="18.5">
      <c r="A484" s="1423"/>
      <c r="B484" s="1423"/>
      <c r="C484" s="1423"/>
      <c r="D484" s="1423"/>
      <c r="E484" s="1423"/>
      <c r="F484" s="1423"/>
      <c r="G484" s="1423"/>
      <c r="H484" s="1423"/>
      <c r="I484" s="1423"/>
      <c r="J484" s="1423"/>
      <c r="K484" s="1423"/>
      <c r="L484" s="1423"/>
      <c r="M484" s="1423"/>
      <c r="N484" s="1423"/>
      <c r="O484" s="1423"/>
      <c r="P484" s="1423"/>
      <c r="Q484" s="1423"/>
      <c r="R484" s="1423"/>
      <c r="S484" s="1423"/>
      <c r="T484" s="1423"/>
      <c r="U484" s="1423"/>
      <c r="V484" s="1423"/>
      <c r="W484" s="1423"/>
      <c r="X484" s="1423"/>
      <c r="Y484" s="1423"/>
      <c r="Z484" s="1423"/>
    </row>
    <row r="485" spans="1:26" ht="18.5">
      <c r="A485" s="1423"/>
      <c r="B485" s="1423"/>
      <c r="C485" s="1423"/>
      <c r="D485" s="1423"/>
      <c r="E485" s="1423"/>
      <c r="F485" s="1423"/>
      <c r="G485" s="1423"/>
      <c r="H485" s="1423"/>
      <c r="I485" s="1423"/>
      <c r="J485" s="1423"/>
      <c r="K485" s="1423"/>
      <c r="L485" s="1423"/>
      <c r="M485" s="1423"/>
      <c r="N485" s="1423"/>
      <c r="O485" s="1423"/>
      <c r="P485" s="1423"/>
      <c r="Q485" s="1423"/>
      <c r="R485" s="1423"/>
      <c r="S485" s="1423"/>
      <c r="T485" s="1423"/>
      <c r="U485" s="1423"/>
      <c r="V485" s="1423"/>
      <c r="W485" s="1423"/>
      <c r="X485" s="1423"/>
      <c r="Y485" s="1423"/>
      <c r="Z485" s="1423"/>
    </row>
    <row r="486" spans="1:26" ht="18.5">
      <c r="A486" s="1423"/>
      <c r="B486" s="1423"/>
      <c r="C486" s="1423"/>
      <c r="D486" s="1423"/>
      <c r="E486" s="1423"/>
      <c r="F486" s="1423"/>
      <c r="G486" s="1423"/>
      <c r="H486" s="1423"/>
      <c r="I486" s="1423"/>
      <c r="J486" s="1423"/>
      <c r="K486" s="1423"/>
      <c r="L486" s="1423"/>
      <c r="M486" s="1423"/>
      <c r="N486" s="1423"/>
      <c r="O486" s="1423"/>
      <c r="P486" s="1423"/>
      <c r="Q486" s="1423"/>
      <c r="R486" s="1423"/>
      <c r="S486" s="1423"/>
      <c r="T486" s="1423"/>
      <c r="U486" s="1423"/>
      <c r="V486" s="1423"/>
      <c r="W486" s="1423"/>
      <c r="X486" s="1423"/>
      <c r="Y486" s="1423"/>
      <c r="Z486" s="1423"/>
    </row>
    <row r="487" spans="1:26" ht="18.5">
      <c r="A487" s="1423"/>
      <c r="B487" s="1423"/>
      <c r="C487" s="1423"/>
      <c r="D487" s="1423"/>
      <c r="E487" s="1423"/>
      <c r="F487" s="1423"/>
      <c r="G487" s="1423"/>
      <c r="H487" s="1423"/>
      <c r="I487" s="1423"/>
      <c r="J487" s="1423"/>
      <c r="K487" s="1423"/>
      <c r="L487" s="1423"/>
      <c r="M487" s="1423"/>
      <c r="N487" s="1423"/>
      <c r="O487" s="1423"/>
      <c r="P487" s="1423"/>
      <c r="Q487" s="1423"/>
      <c r="R487" s="1423"/>
      <c r="S487" s="1423"/>
      <c r="T487" s="1423"/>
      <c r="U487" s="1423"/>
      <c r="V487" s="1423"/>
      <c r="W487" s="1423"/>
      <c r="X487" s="1423"/>
      <c r="Y487" s="1423"/>
      <c r="Z487" s="1423"/>
    </row>
    <row r="488" spans="1:26" ht="18.5">
      <c r="A488" s="1423"/>
      <c r="B488" s="1423"/>
      <c r="C488" s="1423"/>
      <c r="D488" s="1423"/>
      <c r="E488" s="1423"/>
      <c r="F488" s="1423"/>
      <c r="G488" s="1423"/>
      <c r="H488" s="1423"/>
      <c r="I488" s="1423"/>
      <c r="J488" s="1423"/>
      <c r="K488" s="1423"/>
      <c r="L488" s="1423"/>
      <c r="M488" s="1423"/>
      <c r="N488" s="1423"/>
      <c r="O488" s="1423"/>
      <c r="P488" s="1423"/>
      <c r="Q488" s="1423"/>
      <c r="R488" s="1423"/>
      <c r="S488" s="1423"/>
      <c r="T488" s="1423"/>
      <c r="U488" s="1423"/>
      <c r="V488" s="1423"/>
      <c r="W488" s="1423"/>
      <c r="X488" s="1423"/>
      <c r="Y488" s="1423"/>
      <c r="Z488" s="1423"/>
    </row>
    <row r="489" spans="1:26" ht="18.5">
      <c r="A489" s="1423"/>
      <c r="B489" s="1423"/>
      <c r="C489" s="1423"/>
      <c r="D489" s="1423"/>
      <c r="E489" s="1423"/>
      <c r="F489" s="1423"/>
      <c r="G489" s="1423"/>
      <c r="H489" s="1423"/>
      <c r="I489" s="1423"/>
      <c r="J489" s="1423"/>
      <c r="K489" s="1423"/>
      <c r="L489" s="1423"/>
      <c r="M489" s="1423"/>
      <c r="N489" s="1423"/>
      <c r="O489" s="1423"/>
      <c r="P489" s="1423"/>
      <c r="Q489" s="1423"/>
      <c r="R489" s="1423"/>
      <c r="S489" s="1423"/>
      <c r="T489" s="1423"/>
      <c r="U489" s="1423"/>
      <c r="V489" s="1423"/>
      <c r="W489" s="1423"/>
      <c r="X489" s="1423"/>
      <c r="Y489" s="1423"/>
      <c r="Z489" s="1423"/>
    </row>
    <row r="490" spans="1:26" ht="18.5">
      <c r="A490" s="1423"/>
      <c r="B490" s="1423"/>
      <c r="C490" s="1423"/>
      <c r="D490" s="1423"/>
      <c r="E490" s="1423"/>
      <c r="F490" s="1423"/>
      <c r="G490" s="1423"/>
      <c r="H490" s="1423"/>
      <c r="I490" s="1423"/>
      <c r="J490" s="1423"/>
      <c r="K490" s="1423"/>
      <c r="L490" s="1423"/>
      <c r="M490" s="1423"/>
      <c r="N490" s="1423"/>
      <c r="O490" s="1423"/>
      <c r="P490" s="1423"/>
      <c r="Q490" s="1423"/>
      <c r="R490" s="1423"/>
      <c r="S490" s="1423"/>
      <c r="T490" s="1423"/>
      <c r="U490" s="1423"/>
      <c r="V490" s="1423"/>
      <c r="W490" s="1423"/>
      <c r="X490" s="1423"/>
      <c r="Y490" s="1423"/>
      <c r="Z490" s="1423"/>
    </row>
    <row r="491" spans="1:26" ht="18.5">
      <c r="A491" s="1423"/>
      <c r="B491" s="1423"/>
      <c r="C491" s="1423"/>
      <c r="D491" s="1423"/>
      <c r="E491" s="1423"/>
      <c r="F491" s="1423"/>
      <c r="G491" s="1423"/>
      <c r="H491" s="1423"/>
      <c r="I491" s="1423"/>
      <c r="J491" s="1423"/>
      <c r="K491" s="1423"/>
      <c r="L491" s="1423"/>
      <c r="M491" s="1423"/>
      <c r="N491" s="1423"/>
      <c r="O491" s="1423"/>
      <c r="P491" s="1423"/>
      <c r="Q491" s="1423"/>
      <c r="R491" s="1423"/>
      <c r="S491" s="1423"/>
      <c r="T491" s="1423"/>
      <c r="U491" s="1423"/>
      <c r="V491" s="1423"/>
      <c r="W491" s="1423"/>
      <c r="X491" s="1423"/>
      <c r="Y491" s="1423"/>
      <c r="Z491" s="1423"/>
    </row>
    <row r="492" spans="1:26" ht="18.5">
      <c r="A492" s="1423"/>
      <c r="B492" s="1423"/>
      <c r="C492" s="1423"/>
      <c r="D492" s="1423"/>
      <c r="E492" s="1423"/>
      <c r="F492" s="1423"/>
      <c r="G492" s="1423"/>
      <c r="H492" s="1423"/>
      <c r="I492" s="1423"/>
      <c r="J492" s="1423"/>
      <c r="K492" s="1423"/>
      <c r="L492" s="1423"/>
      <c r="M492" s="1423"/>
      <c r="N492" s="1423"/>
      <c r="O492" s="1423"/>
      <c r="P492" s="1423"/>
      <c r="Q492" s="1423"/>
      <c r="R492" s="1423"/>
      <c r="S492" s="1423"/>
      <c r="T492" s="1423"/>
      <c r="U492" s="1423"/>
      <c r="V492" s="1423"/>
      <c r="W492" s="1423"/>
      <c r="X492" s="1423"/>
      <c r="Y492" s="1423"/>
      <c r="Z492" s="1423"/>
    </row>
    <row r="493" spans="1:26" ht="18.5">
      <c r="A493" s="1423"/>
      <c r="B493" s="1423"/>
      <c r="C493" s="1423"/>
      <c r="D493" s="1423"/>
      <c r="E493" s="1423"/>
      <c r="F493" s="1423"/>
      <c r="G493" s="1423"/>
      <c r="H493" s="1423"/>
      <c r="I493" s="1423"/>
      <c r="J493" s="1423"/>
      <c r="K493" s="1423"/>
      <c r="L493" s="1423"/>
      <c r="M493" s="1423"/>
      <c r="N493" s="1423"/>
      <c r="O493" s="1423"/>
      <c r="P493" s="1423"/>
      <c r="Q493" s="1423"/>
      <c r="R493" s="1423"/>
      <c r="S493" s="1423"/>
      <c r="T493" s="1423"/>
      <c r="U493" s="1423"/>
      <c r="V493" s="1423"/>
      <c r="W493" s="1423"/>
      <c r="X493" s="1423"/>
      <c r="Y493" s="1423"/>
      <c r="Z493" s="1423"/>
    </row>
    <row r="494" spans="1:26" ht="18.5">
      <c r="A494" s="1423"/>
      <c r="B494" s="1423"/>
      <c r="C494" s="1423"/>
      <c r="D494" s="1423"/>
      <c r="E494" s="1423"/>
      <c r="F494" s="1423"/>
      <c r="G494" s="1423"/>
      <c r="H494" s="1423"/>
      <c r="I494" s="1423"/>
      <c r="J494" s="1423"/>
      <c r="K494" s="1423"/>
      <c r="L494" s="1423"/>
      <c r="M494" s="1423"/>
      <c r="N494" s="1423"/>
      <c r="O494" s="1423"/>
      <c r="P494" s="1423"/>
      <c r="Q494" s="1423"/>
      <c r="R494" s="1423"/>
      <c r="S494" s="1423"/>
      <c r="T494" s="1423"/>
      <c r="U494" s="1423"/>
      <c r="V494" s="1423"/>
      <c r="W494" s="1423"/>
      <c r="X494" s="1423"/>
      <c r="Y494" s="1423"/>
      <c r="Z494" s="1423"/>
    </row>
    <row r="495" spans="1:26" ht="18.5">
      <c r="A495" s="1423"/>
      <c r="B495" s="1423"/>
      <c r="C495" s="1423"/>
      <c r="D495" s="1423"/>
      <c r="E495" s="1423"/>
      <c r="F495" s="1423"/>
      <c r="G495" s="1423"/>
      <c r="H495" s="1423"/>
      <c r="I495" s="1423"/>
      <c r="J495" s="1423"/>
      <c r="K495" s="1423"/>
      <c r="L495" s="1423"/>
      <c r="M495" s="1423"/>
      <c r="N495" s="1423"/>
      <c r="O495" s="1423"/>
      <c r="P495" s="1423"/>
      <c r="Q495" s="1423"/>
      <c r="R495" s="1423"/>
      <c r="S495" s="1423"/>
      <c r="T495" s="1423"/>
      <c r="U495" s="1423"/>
      <c r="V495" s="1423"/>
      <c r="W495" s="1423"/>
      <c r="X495" s="1423"/>
      <c r="Y495" s="1423"/>
      <c r="Z495" s="1423"/>
    </row>
    <row r="496" spans="1:26" ht="18.5">
      <c r="A496" s="1423"/>
      <c r="B496" s="1423"/>
      <c r="C496" s="1423"/>
      <c r="D496" s="1423"/>
      <c r="E496" s="1423"/>
      <c r="F496" s="1423"/>
      <c r="G496" s="1423"/>
      <c r="H496" s="1423"/>
      <c r="I496" s="1423"/>
      <c r="J496" s="1423"/>
      <c r="K496" s="1423"/>
      <c r="L496" s="1423"/>
      <c r="M496" s="1423"/>
      <c r="N496" s="1423"/>
      <c r="O496" s="1423"/>
      <c r="P496" s="1423"/>
      <c r="Q496" s="1423"/>
      <c r="R496" s="1423"/>
      <c r="S496" s="1423"/>
      <c r="T496" s="1423"/>
      <c r="U496" s="1423"/>
      <c r="V496" s="1423"/>
      <c r="W496" s="1423"/>
      <c r="X496" s="1423"/>
      <c r="Y496" s="1423"/>
      <c r="Z496" s="1423"/>
    </row>
    <row r="497" spans="1:26" ht="18.5">
      <c r="A497" s="1423"/>
      <c r="B497" s="1423"/>
      <c r="C497" s="1423"/>
      <c r="D497" s="1423"/>
      <c r="E497" s="1423"/>
      <c r="F497" s="1423"/>
      <c r="G497" s="1423"/>
      <c r="H497" s="1423"/>
      <c r="I497" s="1423"/>
      <c r="J497" s="1423"/>
      <c r="K497" s="1423"/>
      <c r="L497" s="1423"/>
      <c r="M497" s="1423"/>
      <c r="N497" s="1423"/>
      <c r="O497" s="1423"/>
      <c r="P497" s="1423"/>
      <c r="Q497" s="1423"/>
      <c r="R497" s="1423"/>
      <c r="S497" s="1423"/>
      <c r="T497" s="1423"/>
      <c r="U497" s="1423"/>
      <c r="V497" s="1423"/>
      <c r="W497" s="1423"/>
      <c r="X497" s="1423"/>
      <c r="Y497" s="1423"/>
      <c r="Z497" s="1423"/>
    </row>
    <row r="498" spans="1:26" ht="18.5">
      <c r="A498" s="1423"/>
      <c r="B498" s="1423"/>
      <c r="C498" s="1423"/>
      <c r="D498" s="1423"/>
      <c r="E498" s="1423"/>
      <c r="F498" s="1423"/>
      <c r="G498" s="1423"/>
      <c r="H498" s="1423"/>
      <c r="I498" s="1423"/>
      <c r="J498" s="1423"/>
      <c r="K498" s="1423"/>
      <c r="L498" s="1423"/>
      <c r="M498" s="1423"/>
      <c r="N498" s="1423"/>
      <c r="O498" s="1423"/>
      <c r="P498" s="1423"/>
      <c r="Q498" s="1423"/>
      <c r="R498" s="1423"/>
      <c r="S498" s="1423"/>
      <c r="T498" s="1423"/>
      <c r="U498" s="1423"/>
      <c r="V498" s="1423"/>
      <c r="W498" s="1423"/>
      <c r="X498" s="1423"/>
      <c r="Y498" s="1423"/>
      <c r="Z498" s="1423"/>
    </row>
    <row r="499" spans="1:26" ht="18.5">
      <c r="A499" s="1423"/>
      <c r="B499" s="1423"/>
      <c r="C499" s="1423"/>
      <c r="D499" s="1423"/>
      <c r="E499" s="1423"/>
      <c r="F499" s="1423"/>
      <c r="G499" s="1423"/>
      <c r="H499" s="1423"/>
      <c r="I499" s="1423"/>
      <c r="J499" s="1423"/>
      <c r="K499" s="1423"/>
      <c r="L499" s="1423"/>
      <c r="M499" s="1423"/>
      <c r="N499" s="1423"/>
      <c r="O499" s="1423"/>
      <c r="P499" s="1423"/>
      <c r="Q499" s="1423"/>
      <c r="R499" s="1423"/>
      <c r="S499" s="1423"/>
      <c r="T499" s="1423"/>
      <c r="U499" s="1423"/>
      <c r="V499" s="1423"/>
      <c r="W499" s="1423"/>
      <c r="X499" s="1423"/>
      <c r="Y499" s="1423"/>
      <c r="Z499" s="1423"/>
    </row>
    <row r="500" spans="1:26" ht="18.5">
      <c r="A500" s="1423"/>
      <c r="B500" s="1423"/>
      <c r="C500" s="1423"/>
      <c r="D500" s="1423"/>
      <c r="E500" s="1423"/>
      <c r="F500" s="1423"/>
      <c r="G500" s="1423"/>
      <c r="H500" s="1423"/>
      <c r="I500" s="1423"/>
      <c r="J500" s="1423"/>
      <c r="K500" s="1423"/>
      <c r="L500" s="1423"/>
      <c r="M500" s="1423"/>
      <c r="N500" s="1423"/>
      <c r="O500" s="1423"/>
      <c r="P500" s="1423"/>
      <c r="Q500" s="1423"/>
      <c r="R500" s="1423"/>
      <c r="S500" s="1423"/>
      <c r="T500" s="1423"/>
      <c r="U500" s="1423"/>
      <c r="V500" s="1423"/>
      <c r="W500" s="1423"/>
      <c r="X500" s="1423"/>
      <c r="Y500" s="1423"/>
      <c r="Z500" s="1423"/>
    </row>
    <row r="501" spans="1:26" ht="18.5">
      <c r="A501" s="1423"/>
      <c r="B501" s="1423"/>
      <c r="C501" s="1423"/>
      <c r="D501" s="1423"/>
      <c r="E501" s="1423"/>
      <c r="F501" s="1423"/>
      <c r="G501" s="1423"/>
      <c r="H501" s="1423"/>
      <c r="I501" s="1423"/>
      <c r="J501" s="1423"/>
      <c r="K501" s="1423"/>
      <c r="L501" s="1423"/>
      <c r="M501" s="1423"/>
      <c r="N501" s="1423"/>
      <c r="O501" s="1423"/>
      <c r="P501" s="1423"/>
      <c r="Q501" s="1423"/>
      <c r="R501" s="1423"/>
      <c r="S501" s="1423"/>
      <c r="T501" s="1423"/>
      <c r="U501" s="1423"/>
      <c r="V501" s="1423"/>
      <c r="W501" s="1423"/>
      <c r="X501" s="1423"/>
      <c r="Y501" s="1423"/>
      <c r="Z501" s="1423"/>
    </row>
    <row r="502" spans="1:26" ht="18.5">
      <c r="A502" s="1423"/>
      <c r="B502" s="1423"/>
      <c r="C502" s="1423"/>
      <c r="D502" s="1423"/>
      <c r="E502" s="1423"/>
      <c r="F502" s="1423"/>
      <c r="G502" s="1423"/>
      <c r="H502" s="1423"/>
      <c r="I502" s="1423"/>
      <c r="J502" s="1423"/>
      <c r="K502" s="1423"/>
      <c r="L502" s="1423"/>
      <c r="M502" s="1423"/>
      <c r="N502" s="1423"/>
      <c r="O502" s="1423"/>
      <c r="P502" s="1423"/>
      <c r="Q502" s="1423"/>
      <c r="R502" s="1423"/>
      <c r="S502" s="1423"/>
      <c r="T502" s="1423"/>
      <c r="U502" s="1423"/>
      <c r="V502" s="1423"/>
      <c r="W502" s="1423"/>
      <c r="X502" s="1423"/>
      <c r="Y502" s="1423"/>
      <c r="Z502" s="1423"/>
    </row>
    <row r="503" spans="1:26" ht="18.5">
      <c r="A503" s="1423"/>
      <c r="B503" s="1423"/>
      <c r="C503" s="1423"/>
      <c r="D503" s="1423"/>
      <c r="E503" s="1423"/>
      <c r="F503" s="1423"/>
      <c r="G503" s="1423"/>
      <c r="H503" s="1423"/>
      <c r="I503" s="1423"/>
      <c r="J503" s="1423"/>
      <c r="K503" s="1423"/>
      <c r="L503" s="1423"/>
      <c r="M503" s="1423"/>
      <c r="N503" s="1423"/>
      <c r="O503" s="1423"/>
      <c r="P503" s="1423"/>
      <c r="Q503" s="1423"/>
      <c r="R503" s="1423"/>
      <c r="S503" s="1423"/>
      <c r="T503" s="1423"/>
      <c r="U503" s="1423"/>
      <c r="V503" s="1423"/>
      <c r="W503" s="1423"/>
      <c r="X503" s="1423"/>
      <c r="Y503" s="1423"/>
      <c r="Z503" s="1423"/>
    </row>
    <row r="504" spans="1:26" ht="18.5">
      <c r="A504" s="1423"/>
      <c r="B504" s="1423"/>
      <c r="C504" s="1423"/>
      <c r="D504" s="1423"/>
      <c r="E504" s="1423"/>
      <c r="F504" s="1423"/>
      <c r="G504" s="1423"/>
      <c r="H504" s="1423"/>
      <c r="I504" s="1423"/>
      <c r="J504" s="1423"/>
      <c r="K504" s="1423"/>
      <c r="L504" s="1423"/>
      <c r="M504" s="1423"/>
      <c r="N504" s="1423"/>
      <c r="O504" s="1423"/>
      <c r="P504" s="1423"/>
      <c r="Q504" s="1423"/>
      <c r="R504" s="1423"/>
      <c r="S504" s="1423"/>
      <c r="T504" s="1423"/>
      <c r="U504" s="1423"/>
      <c r="V504" s="1423"/>
      <c r="W504" s="1423"/>
      <c r="X504" s="1423"/>
      <c r="Y504" s="1423"/>
      <c r="Z504" s="1423"/>
    </row>
    <row r="505" spans="1:26" ht="18.5">
      <c r="A505" s="1423"/>
      <c r="B505" s="1423"/>
      <c r="C505" s="1423"/>
      <c r="D505" s="1423"/>
      <c r="E505" s="1423"/>
      <c r="F505" s="1423"/>
      <c r="G505" s="1423"/>
      <c r="H505" s="1423"/>
      <c r="I505" s="1423"/>
      <c r="J505" s="1423"/>
      <c r="K505" s="1423"/>
      <c r="L505" s="1423"/>
      <c r="M505" s="1423"/>
      <c r="N505" s="1423"/>
      <c r="O505" s="1423"/>
      <c r="P505" s="1423"/>
      <c r="Q505" s="1423"/>
      <c r="R505" s="1423"/>
      <c r="S505" s="1423"/>
      <c r="T505" s="1423"/>
      <c r="U505" s="1423"/>
      <c r="V505" s="1423"/>
      <c r="W505" s="1423"/>
      <c r="X505" s="1423"/>
      <c r="Y505" s="1423"/>
      <c r="Z505" s="1423"/>
    </row>
    <row r="506" spans="1:26" ht="18.5">
      <c r="A506" s="1423"/>
      <c r="B506" s="1423"/>
      <c r="C506" s="1423"/>
      <c r="D506" s="1423"/>
      <c r="E506" s="1423"/>
      <c r="F506" s="1423"/>
      <c r="G506" s="1423"/>
      <c r="H506" s="1423"/>
      <c r="I506" s="1423"/>
      <c r="J506" s="1423"/>
      <c r="K506" s="1423"/>
      <c r="L506" s="1423"/>
      <c r="M506" s="1423"/>
      <c r="N506" s="1423"/>
      <c r="O506" s="1423"/>
      <c r="P506" s="1423"/>
      <c r="Q506" s="1423"/>
      <c r="R506" s="1423"/>
      <c r="S506" s="1423"/>
      <c r="T506" s="1423"/>
      <c r="U506" s="1423"/>
      <c r="V506" s="1423"/>
      <c r="W506" s="1423"/>
      <c r="X506" s="1423"/>
      <c r="Y506" s="1423"/>
      <c r="Z506" s="1423"/>
    </row>
    <row r="507" spans="1:26" ht="18.5">
      <c r="A507" s="1423"/>
      <c r="B507" s="1423"/>
      <c r="C507" s="1423"/>
      <c r="D507" s="1423"/>
      <c r="E507" s="1423"/>
      <c r="F507" s="1423"/>
      <c r="G507" s="1423"/>
      <c r="H507" s="1423"/>
      <c r="I507" s="1423"/>
      <c r="J507" s="1423"/>
      <c r="K507" s="1423"/>
      <c r="L507" s="1423"/>
      <c r="M507" s="1423"/>
      <c r="N507" s="1423"/>
      <c r="O507" s="1423"/>
      <c r="P507" s="1423"/>
      <c r="Q507" s="1423"/>
      <c r="R507" s="1423"/>
      <c r="S507" s="1423"/>
      <c r="T507" s="1423"/>
      <c r="U507" s="1423"/>
      <c r="V507" s="1423"/>
      <c r="W507" s="1423"/>
      <c r="X507" s="1423"/>
      <c r="Y507" s="1423"/>
      <c r="Z507" s="1423"/>
    </row>
    <row r="508" spans="1:26" ht="18.5">
      <c r="A508" s="1423"/>
      <c r="B508" s="1423"/>
      <c r="C508" s="1423"/>
      <c r="D508" s="1423"/>
      <c r="E508" s="1423"/>
      <c r="F508" s="1423"/>
      <c r="G508" s="1423"/>
      <c r="H508" s="1423"/>
      <c r="I508" s="1423"/>
      <c r="J508" s="1423"/>
      <c r="K508" s="1423"/>
      <c r="L508" s="1423"/>
      <c r="M508" s="1423"/>
      <c r="N508" s="1423"/>
      <c r="O508" s="1423"/>
      <c r="P508" s="1423"/>
      <c r="Q508" s="1423"/>
      <c r="R508" s="1423"/>
      <c r="S508" s="1423"/>
      <c r="T508" s="1423"/>
      <c r="U508" s="1423"/>
      <c r="V508" s="1423"/>
      <c r="W508" s="1423"/>
      <c r="X508" s="1423"/>
      <c r="Y508" s="1423"/>
      <c r="Z508" s="1423"/>
    </row>
    <row r="509" spans="1:26" ht="18.5">
      <c r="A509" s="1423"/>
      <c r="B509" s="1423"/>
      <c r="C509" s="1423"/>
      <c r="D509" s="1423"/>
      <c r="E509" s="1423"/>
      <c r="F509" s="1423"/>
      <c r="G509" s="1423"/>
      <c r="H509" s="1423"/>
      <c r="I509" s="1423"/>
      <c r="J509" s="1423"/>
      <c r="K509" s="1423"/>
      <c r="L509" s="1423"/>
      <c r="M509" s="1423"/>
      <c r="N509" s="1423"/>
      <c r="O509" s="1423"/>
      <c r="P509" s="1423"/>
      <c r="Q509" s="1423"/>
      <c r="R509" s="1423"/>
      <c r="S509" s="1423"/>
      <c r="T509" s="1423"/>
      <c r="U509" s="1423"/>
      <c r="V509" s="1423"/>
      <c r="W509" s="1423"/>
      <c r="X509" s="1423"/>
      <c r="Y509" s="1423"/>
      <c r="Z509" s="1423"/>
    </row>
    <row r="510" spans="1:26" ht="18.5">
      <c r="A510" s="1423"/>
      <c r="B510" s="1423"/>
      <c r="C510" s="1423"/>
      <c r="D510" s="1423"/>
      <c r="E510" s="1423"/>
      <c r="F510" s="1423"/>
      <c r="G510" s="1423"/>
      <c r="H510" s="1423"/>
      <c r="I510" s="1423"/>
      <c r="J510" s="1423"/>
      <c r="K510" s="1423"/>
      <c r="L510" s="1423"/>
      <c r="M510" s="1423"/>
      <c r="N510" s="1423"/>
      <c r="O510" s="1423"/>
      <c r="P510" s="1423"/>
      <c r="Q510" s="1423"/>
      <c r="R510" s="1423"/>
      <c r="S510" s="1423"/>
      <c r="T510" s="1423"/>
      <c r="U510" s="1423"/>
      <c r="V510" s="1423"/>
      <c r="W510" s="1423"/>
      <c r="X510" s="1423"/>
      <c r="Y510" s="1423"/>
      <c r="Z510" s="1423"/>
    </row>
    <row r="511" spans="1:26" ht="18.5">
      <c r="A511" s="1423"/>
      <c r="B511" s="1423"/>
      <c r="C511" s="1423"/>
      <c r="D511" s="1423"/>
      <c r="E511" s="1423"/>
      <c r="F511" s="1423"/>
      <c r="G511" s="1423"/>
      <c r="H511" s="1423"/>
      <c r="I511" s="1423"/>
      <c r="J511" s="1423"/>
      <c r="K511" s="1423"/>
      <c r="L511" s="1423"/>
      <c r="M511" s="1423"/>
      <c r="N511" s="1423"/>
      <c r="O511" s="1423"/>
      <c r="P511" s="1423"/>
      <c r="Q511" s="1423"/>
      <c r="R511" s="1423"/>
      <c r="S511" s="1423"/>
      <c r="T511" s="1423"/>
      <c r="U511" s="1423"/>
      <c r="V511" s="1423"/>
      <c r="W511" s="1423"/>
      <c r="X511" s="1423"/>
      <c r="Y511" s="1423"/>
      <c r="Z511" s="1423"/>
    </row>
    <row r="512" spans="1:26" ht="18.5">
      <c r="A512" s="1423"/>
      <c r="B512" s="1423"/>
      <c r="C512" s="1423"/>
      <c r="D512" s="1423"/>
      <c r="E512" s="1423"/>
      <c r="F512" s="1423"/>
      <c r="G512" s="1423"/>
      <c r="H512" s="1423"/>
      <c r="I512" s="1423"/>
      <c r="J512" s="1423"/>
      <c r="K512" s="1423"/>
      <c r="L512" s="1423"/>
      <c r="M512" s="1423"/>
      <c r="N512" s="1423"/>
      <c r="O512" s="1423"/>
      <c r="P512" s="1423"/>
      <c r="Q512" s="1423"/>
      <c r="R512" s="1423"/>
      <c r="S512" s="1423"/>
      <c r="T512" s="1423"/>
      <c r="U512" s="1423"/>
      <c r="V512" s="1423"/>
      <c r="W512" s="1423"/>
      <c r="X512" s="1423"/>
      <c r="Y512" s="1423"/>
      <c r="Z512" s="1423"/>
    </row>
    <row r="513" spans="1:26" ht="18.5">
      <c r="A513" s="1423"/>
      <c r="B513" s="1423"/>
      <c r="C513" s="1423"/>
      <c r="D513" s="1423"/>
      <c r="E513" s="1423"/>
      <c r="F513" s="1423"/>
      <c r="G513" s="1423"/>
      <c r="H513" s="1423"/>
      <c r="I513" s="1423"/>
      <c r="J513" s="1423"/>
      <c r="K513" s="1423"/>
      <c r="L513" s="1423"/>
      <c r="M513" s="1423"/>
      <c r="N513" s="1423"/>
      <c r="O513" s="1423"/>
      <c r="P513" s="1423"/>
      <c r="Q513" s="1423"/>
      <c r="R513" s="1423"/>
      <c r="S513" s="1423"/>
      <c r="T513" s="1423"/>
      <c r="U513" s="1423"/>
      <c r="V513" s="1423"/>
      <c r="W513" s="1423"/>
      <c r="X513" s="1423"/>
      <c r="Y513" s="1423"/>
      <c r="Z513" s="1423"/>
    </row>
    <row r="514" spans="1:26" ht="18.5">
      <c r="A514" s="1423"/>
      <c r="B514" s="1423"/>
      <c r="C514" s="1423"/>
      <c r="D514" s="1423"/>
      <c r="E514" s="1423"/>
      <c r="F514" s="1423"/>
      <c r="G514" s="1423"/>
      <c r="H514" s="1423"/>
      <c r="I514" s="1423"/>
      <c r="J514" s="1423"/>
      <c r="K514" s="1423"/>
      <c r="L514" s="1423"/>
      <c r="M514" s="1423"/>
      <c r="N514" s="1423"/>
      <c r="O514" s="1423"/>
      <c r="P514" s="1423"/>
      <c r="Q514" s="1423"/>
      <c r="R514" s="1423"/>
      <c r="S514" s="1423"/>
      <c r="T514" s="1423"/>
      <c r="U514" s="1423"/>
      <c r="V514" s="1423"/>
      <c r="W514" s="1423"/>
      <c r="X514" s="1423"/>
      <c r="Y514" s="1423"/>
      <c r="Z514" s="1423"/>
    </row>
    <row r="515" spans="1:26" ht="18.5">
      <c r="A515" s="1423"/>
      <c r="B515" s="1423"/>
      <c r="C515" s="1423"/>
      <c r="D515" s="1423"/>
      <c r="E515" s="1423"/>
      <c r="F515" s="1423"/>
      <c r="G515" s="1423"/>
      <c r="H515" s="1423"/>
      <c r="I515" s="1423"/>
      <c r="J515" s="1423"/>
      <c r="K515" s="1423"/>
      <c r="L515" s="1423"/>
      <c r="M515" s="1423"/>
      <c r="N515" s="1423"/>
      <c r="O515" s="1423"/>
      <c r="P515" s="1423"/>
      <c r="Q515" s="1423"/>
      <c r="R515" s="1423"/>
      <c r="S515" s="1423"/>
      <c r="T515" s="1423"/>
      <c r="U515" s="1423"/>
      <c r="V515" s="1423"/>
      <c r="W515" s="1423"/>
      <c r="X515" s="1423"/>
      <c r="Y515" s="1423"/>
      <c r="Z515" s="1423"/>
    </row>
    <row r="516" spans="1:26" ht="18.5">
      <c r="A516" s="1423"/>
      <c r="B516" s="1423"/>
      <c r="C516" s="1423"/>
      <c r="D516" s="1423"/>
      <c r="E516" s="1423"/>
      <c r="F516" s="1423"/>
      <c r="G516" s="1423"/>
      <c r="H516" s="1423"/>
      <c r="I516" s="1423"/>
      <c r="J516" s="1423"/>
      <c r="K516" s="1423"/>
      <c r="L516" s="1423"/>
      <c r="M516" s="1423"/>
      <c r="N516" s="1423"/>
      <c r="O516" s="1423"/>
      <c r="P516" s="1423"/>
      <c r="Q516" s="1423"/>
      <c r="R516" s="1423"/>
      <c r="S516" s="1423"/>
      <c r="T516" s="1423"/>
      <c r="U516" s="1423"/>
      <c r="V516" s="1423"/>
      <c r="W516" s="1423"/>
      <c r="X516" s="1423"/>
      <c r="Y516" s="1423"/>
      <c r="Z516" s="1423"/>
    </row>
    <row r="517" spans="1:26" ht="18.5">
      <c r="A517" s="1423"/>
      <c r="B517" s="1423"/>
      <c r="C517" s="1423"/>
      <c r="D517" s="1423"/>
      <c r="E517" s="1423"/>
      <c r="F517" s="1423"/>
      <c r="G517" s="1423"/>
      <c r="H517" s="1423"/>
      <c r="I517" s="1423"/>
      <c r="J517" s="1423"/>
      <c r="K517" s="1423"/>
      <c r="L517" s="1423"/>
      <c r="M517" s="1423"/>
      <c r="N517" s="1423"/>
      <c r="O517" s="1423"/>
      <c r="P517" s="1423"/>
      <c r="Q517" s="1423"/>
      <c r="R517" s="1423"/>
      <c r="S517" s="1423"/>
      <c r="T517" s="1423"/>
      <c r="U517" s="1423"/>
      <c r="V517" s="1423"/>
      <c r="W517" s="1423"/>
      <c r="X517" s="1423"/>
      <c r="Y517" s="1423"/>
      <c r="Z517" s="1423"/>
    </row>
    <row r="518" spans="1:26" ht="18.5">
      <c r="A518" s="1423"/>
      <c r="B518" s="1423"/>
      <c r="C518" s="1423"/>
      <c r="D518" s="1423"/>
      <c r="E518" s="1423"/>
      <c r="F518" s="1423"/>
      <c r="G518" s="1423"/>
      <c r="H518" s="1423"/>
      <c r="I518" s="1423"/>
      <c r="J518" s="1423"/>
      <c r="K518" s="1423"/>
      <c r="L518" s="1423"/>
      <c r="M518" s="1423"/>
      <c r="N518" s="1423"/>
      <c r="O518" s="1423"/>
      <c r="P518" s="1423"/>
      <c r="Q518" s="1423"/>
      <c r="R518" s="1423"/>
      <c r="S518" s="1423"/>
      <c r="T518" s="1423"/>
      <c r="U518" s="1423"/>
      <c r="V518" s="1423"/>
      <c r="W518" s="1423"/>
      <c r="X518" s="1423"/>
      <c r="Y518" s="1423"/>
      <c r="Z518" s="1423"/>
    </row>
    <row r="519" spans="1:26" ht="18.5">
      <c r="A519" s="1423"/>
      <c r="B519" s="1423"/>
      <c r="C519" s="1423"/>
      <c r="D519" s="1423"/>
      <c r="E519" s="1423"/>
      <c r="F519" s="1423"/>
      <c r="G519" s="1423"/>
      <c r="H519" s="1423"/>
      <c r="I519" s="1423"/>
      <c r="J519" s="1423"/>
      <c r="K519" s="1423"/>
      <c r="L519" s="1423"/>
      <c r="M519" s="1423"/>
      <c r="N519" s="1423"/>
      <c r="O519" s="1423"/>
      <c r="P519" s="1423"/>
      <c r="Q519" s="1423"/>
      <c r="R519" s="1423"/>
      <c r="S519" s="1423"/>
      <c r="T519" s="1423"/>
      <c r="U519" s="1423"/>
      <c r="V519" s="1423"/>
      <c r="W519" s="1423"/>
      <c r="X519" s="1423"/>
      <c r="Y519" s="1423"/>
      <c r="Z519" s="1423"/>
    </row>
    <row r="520" spans="1:26" ht="18.5">
      <c r="A520" s="1423"/>
      <c r="B520" s="1423"/>
      <c r="C520" s="1423"/>
      <c r="D520" s="1423"/>
      <c r="E520" s="1423"/>
      <c r="F520" s="1423"/>
      <c r="G520" s="1423"/>
      <c r="H520" s="1423"/>
      <c r="I520" s="1423"/>
      <c r="J520" s="1423"/>
      <c r="K520" s="1423"/>
      <c r="L520" s="1423"/>
      <c r="M520" s="1423"/>
      <c r="N520" s="1423"/>
      <c r="O520" s="1423"/>
      <c r="P520" s="1423"/>
      <c r="Q520" s="1423"/>
      <c r="R520" s="1423"/>
      <c r="S520" s="1423"/>
      <c r="T520" s="1423"/>
      <c r="U520" s="1423"/>
      <c r="V520" s="1423"/>
      <c r="W520" s="1423"/>
      <c r="X520" s="1423"/>
      <c r="Y520" s="1423"/>
      <c r="Z520" s="1423"/>
    </row>
    <row r="521" spans="1:26" ht="18.5">
      <c r="A521" s="1423"/>
      <c r="B521" s="1423"/>
      <c r="C521" s="1423"/>
      <c r="D521" s="1423"/>
      <c r="E521" s="1423"/>
      <c r="F521" s="1423"/>
      <c r="G521" s="1423"/>
      <c r="H521" s="1423"/>
      <c r="I521" s="1423"/>
      <c r="J521" s="1423"/>
      <c r="K521" s="1423"/>
      <c r="L521" s="1423"/>
      <c r="M521" s="1423"/>
      <c r="N521" s="1423"/>
      <c r="O521" s="1423"/>
      <c r="P521" s="1423"/>
      <c r="Q521" s="1423"/>
      <c r="R521" s="1423"/>
      <c r="S521" s="1423"/>
      <c r="T521" s="1423"/>
      <c r="U521" s="1423"/>
      <c r="V521" s="1423"/>
      <c r="W521" s="1423"/>
      <c r="X521" s="1423"/>
      <c r="Y521" s="1423"/>
      <c r="Z521" s="1423"/>
    </row>
    <row r="522" spans="1:26" ht="18.5">
      <c r="A522" s="1423"/>
      <c r="B522" s="1423"/>
      <c r="C522" s="1423"/>
      <c r="D522" s="1423"/>
      <c r="E522" s="1423"/>
      <c r="F522" s="1423"/>
      <c r="G522" s="1423"/>
      <c r="H522" s="1423"/>
      <c r="I522" s="1423"/>
      <c r="J522" s="1423"/>
      <c r="K522" s="1423"/>
      <c r="L522" s="1423"/>
      <c r="M522" s="1423"/>
      <c r="N522" s="1423"/>
      <c r="O522" s="1423"/>
      <c r="P522" s="1423"/>
      <c r="Q522" s="1423"/>
      <c r="R522" s="1423"/>
      <c r="S522" s="1423"/>
      <c r="T522" s="1423"/>
      <c r="U522" s="1423"/>
      <c r="V522" s="1423"/>
      <c r="W522" s="1423"/>
      <c r="X522" s="1423"/>
      <c r="Y522" s="1423"/>
      <c r="Z522" s="1423"/>
    </row>
    <row r="523" spans="1:26" ht="18.5">
      <c r="A523" s="1423"/>
      <c r="B523" s="1423"/>
      <c r="C523" s="1423"/>
      <c r="D523" s="1423"/>
      <c r="E523" s="1423"/>
      <c r="F523" s="1423"/>
      <c r="G523" s="1423"/>
      <c r="H523" s="1423"/>
      <c r="I523" s="1423"/>
      <c r="J523" s="1423"/>
      <c r="K523" s="1423"/>
      <c r="L523" s="1423"/>
      <c r="M523" s="1423"/>
      <c r="N523" s="1423"/>
      <c r="O523" s="1423"/>
      <c r="P523" s="1423"/>
      <c r="Q523" s="1423"/>
      <c r="R523" s="1423"/>
      <c r="S523" s="1423"/>
      <c r="T523" s="1423"/>
      <c r="U523" s="1423"/>
      <c r="V523" s="1423"/>
      <c r="W523" s="1423"/>
      <c r="X523" s="1423"/>
      <c r="Y523" s="1423"/>
      <c r="Z523" s="1423"/>
    </row>
    <row r="524" spans="1:26" ht="18.5">
      <c r="A524" s="1423"/>
      <c r="B524" s="1423"/>
      <c r="C524" s="1423"/>
      <c r="D524" s="1423"/>
      <c r="E524" s="1423"/>
      <c r="F524" s="1423"/>
      <c r="G524" s="1423"/>
      <c r="H524" s="1423"/>
      <c r="I524" s="1423"/>
      <c r="J524" s="1423"/>
      <c r="K524" s="1423"/>
      <c r="L524" s="1423"/>
      <c r="M524" s="1423"/>
      <c r="N524" s="1423"/>
      <c r="O524" s="1423"/>
      <c r="P524" s="1423"/>
      <c r="Q524" s="1423"/>
      <c r="R524" s="1423"/>
      <c r="S524" s="1423"/>
      <c r="T524" s="1423"/>
      <c r="U524" s="1423"/>
      <c r="V524" s="1423"/>
      <c r="W524" s="1423"/>
      <c r="X524" s="1423"/>
      <c r="Y524" s="1423"/>
      <c r="Z524" s="1423"/>
    </row>
    <row r="525" spans="1:26" ht="18.5">
      <c r="A525" s="1423"/>
      <c r="B525" s="1423"/>
      <c r="C525" s="1423"/>
      <c r="D525" s="1423"/>
      <c r="E525" s="1423"/>
      <c r="F525" s="1423"/>
      <c r="G525" s="1423"/>
      <c r="H525" s="1423"/>
      <c r="I525" s="1423"/>
      <c r="J525" s="1423"/>
      <c r="K525" s="1423"/>
      <c r="L525" s="1423"/>
      <c r="M525" s="1423"/>
      <c r="N525" s="1423"/>
      <c r="O525" s="1423"/>
      <c r="P525" s="1423"/>
      <c r="Q525" s="1423"/>
      <c r="R525" s="1423"/>
      <c r="S525" s="1423"/>
      <c r="T525" s="1423"/>
      <c r="U525" s="1423"/>
      <c r="V525" s="1423"/>
      <c r="W525" s="1423"/>
      <c r="X525" s="1423"/>
      <c r="Y525" s="1423"/>
      <c r="Z525" s="1423"/>
    </row>
    <row r="526" spans="1:26" ht="18.5">
      <c r="A526" s="1423"/>
      <c r="B526" s="1423"/>
      <c r="C526" s="1423"/>
      <c r="D526" s="1423"/>
      <c r="E526" s="1423"/>
      <c r="F526" s="1423"/>
      <c r="G526" s="1423"/>
      <c r="H526" s="1423"/>
      <c r="I526" s="1423"/>
      <c r="J526" s="1423"/>
      <c r="K526" s="1423"/>
      <c r="L526" s="1423"/>
      <c r="M526" s="1423"/>
      <c r="N526" s="1423"/>
      <c r="O526" s="1423"/>
      <c r="P526" s="1423"/>
      <c r="Q526" s="1423"/>
      <c r="R526" s="1423"/>
      <c r="S526" s="1423"/>
      <c r="T526" s="1423"/>
      <c r="U526" s="1423"/>
      <c r="V526" s="1423"/>
      <c r="W526" s="1423"/>
      <c r="X526" s="1423"/>
      <c r="Y526" s="1423"/>
      <c r="Z526" s="1423"/>
    </row>
    <row r="527" spans="1:26" ht="18.5">
      <c r="A527" s="1423"/>
      <c r="B527" s="1423"/>
      <c r="C527" s="1423"/>
      <c r="D527" s="1423"/>
      <c r="E527" s="1423"/>
      <c r="F527" s="1423"/>
      <c r="G527" s="1423"/>
      <c r="H527" s="1423"/>
      <c r="I527" s="1423"/>
      <c r="J527" s="1423"/>
      <c r="K527" s="1423"/>
      <c r="L527" s="1423"/>
      <c r="M527" s="1423"/>
      <c r="N527" s="1423"/>
      <c r="O527" s="1423"/>
      <c r="P527" s="1423"/>
      <c r="Q527" s="1423"/>
      <c r="R527" s="1423"/>
      <c r="S527" s="1423"/>
      <c r="T527" s="1423"/>
      <c r="U527" s="1423"/>
      <c r="V527" s="1423"/>
      <c r="W527" s="1423"/>
      <c r="X527" s="1423"/>
      <c r="Y527" s="1423"/>
      <c r="Z527" s="1423"/>
    </row>
    <row r="528" spans="1:26" ht="18.5">
      <c r="A528" s="1423"/>
      <c r="B528" s="1423"/>
      <c r="C528" s="1423"/>
      <c r="D528" s="1423"/>
      <c r="E528" s="1423"/>
      <c r="F528" s="1423"/>
      <c r="G528" s="1423"/>
      <c r="H528" s="1423"/>
      <c r="I528" s="1423"/>
      <c r="J528" s="1423"/>
      <c r="K528" s="1423"/>
      <c r="L528" s="1423"/>
      <c r="M528" s="1423"/>
      <c r="N528" s="1423"/>
      <c r="O528" s="1423"/>
      <c r="P528" s="1423"/>
      <c r="Q528" s="1423"/>
      <c r="R528" s="1423"/>
      <c r="S528" s="1423"/>
      <c r="T528" s="1423"/>
      <c r="U528" s="1423"/>
      <c r="V528" s="1423"/>
      <c r="W528" s="1423"/>
      <c r="X528" s="1423"/>
      <c r="Y528" s="1423"/>
      <c r="Z528" s="1423"/>
    </row>
    <row r="529" spans="1:26" ht="18.5">
      <c r="A529" s="1423"/>
      <c r="B529" s="1423"/>
      <c r="C529" s="1423"/>
      <c r="D529" s="1423"/>
      <c r="E529" s="1423"/>
      <c r="F529" s="1423"/>
      <c r="G529" s="1423"/>
      <c r="H529" s="1423"/>
      <c r="I529" s="1423"/>
      <c r="J529" s="1423"/>
      <c r="K529" s="1423"/>
      <c r="L529" s="1423"/>
      <c r="M529" s="1423"/>
      <c r="N529" s="1423"/>
      <c r="O529" s="1423"/>
      <c r="P529" s="1423"/>
      <c r="Q529" s="1423"/>
      <c r="R529" s="1423"/>
      <c r="S529" s="1423"/>
      <c r="T529" s="1423"/>
      <c r="U529" s="1423"/>
      <c r="V529" s="1423"/>
      <c r="W529" s="1423"/>
      <c r="X529" s="1423"/>
      <c r="Y529" s="1423"/>
      <c r="Z529" s="1423"/>
    </row>
    <row r="530" spans="1:26" ht="18.5">
      <c r="A530" s="1423"/>
      <c r="B530" s="1423"/>
      <c r="C530" s="1423"/>
      <c r="D530" s="1423"/>
      <c r="E530" s="1423"/>
      <c r="F530" s="1423"/>
      <c r="G530" s="1423"/>
      <c r="H530" s="1423"/>
      <c r="I530" s="1423"/>
      <c r="J530" s="1423"/>
      <c r="K530" s="1423"/>
      <c r="L530" s="1423"/>
      <c r="M530" s="1423"/>
      <c r="N530" s="1423"/>
      <c r="O530" s="1423"/>
      <c r="P530" s="1423"/>
      <c r="Q530" s="1423"/>
      <c r="R530" s="1423"/>
      <c r="S530" s="1423"/>
      <c r="T530" s="1423"/>
      <c r="U530" s="1423"/>
      <c r="V530" s="1423"/>
      <c r="W530" s="1423"/>
      <c r="X530" s="1423"/>
      <c r="Y530" s="1423"/>
      <c r="Z530" s="1423"/>
    </row>
    <row r="531" spans="1:26" ht="18.5">
      <c r="A531" s="1423"/>
      <c r="B531" s="1423"/>
      <c r="C531" s="1423"/>
      <c r="D531" s="1423"/>
      <c r="E531" s="1423"/>
      <c r="F531" s="1423"/>
      <c r="G531" s="1423"/>
      <c r="H531" s="1423"/>
      <c r="I531" s="1423"/>
      <c r="J531" s="1423"/>
      <c r="K531" s="1423"/>
      <c r="L531" s="1423"/>
      <c r="M531" s="1423"/>
      <c r="N531" s="1423"/>
      <c r="O531" s="1423"/>
      <c r="P531" s="1423"/>
      <c r="Q531" s="1423"/>
      <c r="R531" s="1423"/>
      <c r="S531" s="1423"/>
      <c r="T531" s="1423"/>
      <c r="U531" s="1423"/>
      <c r="V531" s="1423"/>
      <c r="W531" s="1423"/>
      <c r="X531" s="1423"/>
      <c r="Y531" s="1423"/>
      <c r="Z531" s="1423"/>
    </row>
    <row r="532" spans="1:26" ht="18.5">
      <c r="A532" s="1423"/>
      <c r="B532" s="1423"/>
      <c r="C532" s="1423"/>
      <c r="D532" s="1423"/>
      <c r="E532" s="1423"/>
      <c r="F532" s="1423"/>
      <c r="G532" s="1423"/>
      <c r="H532" s="1423"/>
      <c r="I532" s="1423"/>
      <c r="J532" s="1423"/>
      <c r="K532" s="1423"/>
      <c r="L532" s="1423"/>
      <c r="M532" s="1423"/>
      <c r="N532" s="1423"/>
      <c r="O532" s="1423"/>
      <c r="P532" s="1423"/>
      <c r="Q532" s="1423"/>
      <c r="R532" s="1423"/>
      <c r="S532" s="1423"/>
      <c r="T532" s="1423"/>
      <c r="U532" s="1423"/>
      <c r="V532" s="1423"/>
      <c r="W532" s="1423"/>
      <c r="X532" s="1423"/>
      <c r="Y532" s="1423"/>
      <c r="Z532" s="1423"/>
    </row>
    <row r="533" spans="1:26" ht="18.5">
      <c r="A533" s="1423"/>
      <c r="B533" s="1423"/>
      <c r="C533" s="1423"/>
      <c r="D533" s="1423"/>
      <c r="E533" s="1423"/>
      <c r="F533" s="1423"/>
      <c r="G533" s="1423"/>
      <c r="H533" s="1423"/>
      <c r="I533" s="1423"/>
      <c r="J533" s="1423"/>
      <c r="K533" s="1423"/>
      <c r="L533" s="1423"/>
      <c r="M533" s="1423"/>
      <c r="N533" s="1423"/>
      <c r="O533" s="1423"/>
      <c r="P533" s="1423"/>
      <c r="Q533" s="1423"/>
      <c r="R533" s="1423"/>
      <c r="S533" s="1423"/>
      <c r="T533" s="1423"/>
      <c r="U533" s="1423"/>
      <c r="V533" s="1423"/>
      <c r="W533" s="1423"/>
      <c r="X533" s="1423"/>
      <c r="Y533" s="1423"/>
      <c r="Z533" s="1423"/>
    </row>
    <row r="534" spans="1:26" ht="18.5">
      <c r="A534" s="1423"/>
      <c r="B534" s="1423"/>
      <c r="C534" s="1423"/>
      <c r="D534" s="1423"/>
      <c r="E534" s="1423"/>
      <c r="F534" s="1423"/>
      <c r="G534" s="1423"/>
      <c r="H534" s="1423"/>
      <c r="I534" s="1423"/>
      <c r="J534" s="1423"/>
      <c r="K534" s="1423"/>
      <c r="L534" s="1423"/>
      <c r="M534" s="1423"/>
      <c r="N534" s="1423"/>
      <c r="O534" s="1423"/>
      <c r="P534" s="1423"/>
      <c r="Q534" s="1423"/>
      <c r="R534" s="1423"/>
      <c r="S534" s="1423"/>
      <c r="T534" s="1423"/>
      <c r="U534" s="1423"/>
      <c r="V534" s="1423"/>
      <c r="W534" s="1423"/>
      <c r="X534" s="1423"/>
      <c r="Y534" s="1423"/>
      <c r="Z534" s="1423"/>
    </row>
    <row r="535" spans="1:26" ht="18.5">
      <c r="A535" s="1423"/>
      <c r="B535" s="1423"/>
      <c r="C535" s="1423"/>
      <c r="D535" s="1423"/>
      <c r="E535" s="1423"/>
      <c r="F535" s="1423"/>
      <c r="G535" s="1423"/>
      <c r="H535" s="1423"/>
      <c r="I535" s="1423"/>
      <c r="J535" s="1423"/>
      <c r="K535" s="1423"/>
      <c r="L535" s="1423"/>
      <c r="M535" s="1423"/>
      <c r="N535" s="1423"/>
      <c r="O535" s="1423"/>
      <c r="P535" s="1423"/>
      <c r="Q535" s="1423"/>
      <c r="R535" s="1423"/>
      <c r="S535" s="1423"/>
      <c r="T535" s="1423"/>
      <c r="U535" s="1423"/>
      <c r="V535" s="1423"/>
      <c r="W535" s="1423"/>
      <c r="X535" s="1423"/>
      <c r="Y535" s="1423"/>
      <c r="Z535" s="1423"/>
    </row>
    <row r="536" spans="1:26" ht="18.5">
      <c r="A536" s="1423"/>
      <c r="B536" s="1423"/>
      <c r="C536" s="1423"/>
      <c r="D536" s="1423"/>
      <c r="E536" s="1423"/>
      <c r="F536" s="1423"/>
      <c r="G536" s="1423"/>
      <c r="H536" s="1423"/>
      <c r="I536" s="1423"/>
      <c r="J536" s="1423"/>
      <c r="K536" s="1423"/>
      <c r="L536" s="1423"/>
      <c r="M536" s="1423"/>
      <c r="N536" s="1423"/>
      <c r="O536" s="1423"/>
      <c r="P536" s="1423"/>
      <c r="Q536" s="1423"/>
      <c r="R536" s="1423"/>
      <c r="S536" s="1423"/>
      <c r="T536" s="1423"/>
      <c r="U536" s="1423"/>
      <c r="V536" s="1423"/>
      <c r="W536" s="1423"/>
      <c r="X536" s="1423"/>
      <c r="Y536" s="1423"/>
      <c r="Z536" s="1423"/>
    </row>
    <row r="537" spans="1:26" ht="18.5">
      <c r="A537" s="1423"/>
      <c r="B537" s="1423"/>
      <c r="C537" s="1423"/>
      <c r="D537" s="1423"/>
      <c r="E537" s="1423"/>
      <c r="F537" s="1423"/>
      <c r="G537" s="1423"/>
      <c r="H537" s="1423"/>
      <c r="I537" s="1423"/>
      <c r="J537" s="1423"/>
      <c r="K537" s="1423"/>
      <c r="L537" s="1423"/>
      <c r="M537" s="1423"/>
      <c r="N537" s="1423"/>
      <c r="O537" s="1423"/>
      <c r="P537" s="1423"/>
      <c r="Q537" s="1423"/>
      <c r="R537" s="1423"/>
      <c r="S537" s="1423"/>
      <c r="T537" s="1423"/>
      <c r="U537" s="1423"/>
      <c r="V537" s="1423"/>
      <c r="W537" s="1423"/>
      <c r="X537" s="1423"/>
      <c r="Y537" s="1423"/>
      <c r="Z537" s="1423"/>
    </row>
    <row r="538" spans="1:26" ht="18.5">
      <c r="A538" s="1423"/>
      <c r="B538" s="1423"/>
      <c r="C538" s="1423"/>
      <c r="D538" s="1423"/>
      <c r="E538" s="1423"/>
      <c r="F538" s="1423"/>
      <c r="G538" s="1423"/>
      <c r="H538" s="1423"/>
      <c r="I538" s="1423"/>
      <c r="J538" s="1423"/>
      <c r="K538" s="1423"/>
      <c r="L538" s="1423"/>
      <c r="M538" s="1423"/>
      <c r="N538" s="1423"/>
      <c r="O538" s="1423"/>
      <c r="P538" s="1423"/>
      <c r="Q538" s="1423"/>
      <c r="R538" s="1423"/>
      <c r="S538" s="1423"/>
      <c r="T538" s="1423"/>
      <c r="U538" s="1423"/>
      <c r="V538" s="1423"/>
      <c r="W538" s="1423"/>
      <c r="X538" s="1423"/>
      <c r="Y538" s="1423"/>
      <c r="Z538" s="1423"/>
    </row>
    <row r="539" spans="1:26" ht="18.5">
      <c r="A539" s="1423"/>
      <c r="B539" s="1423"/>
      <c r="C539" s="1423"/>
      <c r="D539" s="1423"/>
      <c r="E539" s="1423"/>
      <c r="F539" s="1423"/>
      <c r="G539" s="1423"/>
      <c r="H539" s="1423"/>
      <c r="I539" s="1423"/>
      <c r="J539" s="1423"/>
      <c r="K539" s="1423"/>
      <c r="L539" s="1423"/>
      <c r="M539" s="1423"/>
      <c r="N539" s="1423"/>
      <c r="O539" s="1423"/>
      <c r="P539" s="1423"/>
      <c r="Q539" s="1423"/>
      <c r="R539" s="1423"/>
      <c r="S539" s="1423"/>
      <c r="T539" s="1423"/>
      <c r="U539" s="1423"/>
      <c r="V539" s="1423"/>
      <c r="W539" s="1423"/>
      <c r="X539" s="1423"/>
      <c r="Y539" s="1423"/>
      <c r="Z539" s="1423"/>
    </row>
    <row r="540" spans="1:26" ht="18.5">
      <c r="A540" s="1423"/>
      <c r="B540" s="1423"/>
      <c r="C540" s="1423"/>
      <c r="D540" s="1423"/>
      <c r="E540" s="1423"/>
      <c r="F540" s="1423"/>
      <c r="G540" s="1423"/>
      <c r="H540" s="1423"/>
      <c r="I540" s="1423"/>
      <c r="J540" s="1423"/>
      <c r="K540" s="1423"/>
      <c r="L540" s="1423"/>
      <c r="M540" s="1423"/>
      <c r="N540" s="1423"/>
      <c r="O540" s="1423"/>
      <c r="P540" s="1423"/>
      <c r="Q540" s="1423"/>
      <c r="R540" s="1423"/>
      <c r="S540" s="1423"/>
      <c r="T540" s="1423"/>
      <c r="U540" s="1423"/>
      <c r="V540" s="1423"/>
      <c r="W540" s="1423"/>
      <c r="X540" s="1423"/>
      <c r="Y540" s="1423"/>
      <c r="Z540" s="1423"/>
    </row>
    <row r="541" spans="1:26" ht="18.5">
      <c r="A541" s="1423"/>
      <c r="B541" s="1423"/>
      <c r="C541" s="1423"/>
      <c r="D541" s="1423"/>
      <c r="E541" s="1423"/>
      <c r="F541" s="1423"/>
      <c r="G541" s="1423"/>
      <c r="H541" s="1423"/>
      <c r="I541" s="1423"/>
      <c r="J541" s="1423"/>
      <c r="K541" s="1423"/>
      <c r="L541" s="1423"/>
      <c r="M541" s="1423"/>
      <c r="N541" s="1423"/>
      <c r="O541" s="1423"/>
      <c r="P541" s="1423"/>
      <c r="Q541" s="1423"/>
      <c r="R541" s="1423"/>
      <c r="S541" s="1423"/>
      <c r="T541" s="1423"/>
      <c r="U541" s="1423"/>
      <c r="V541" s="1423"/>
      <c r="W541" s="1423"/>
      <c r="X541" s="1423"/>
      <c r="Y541" s="1423"/>
      <c r="Z541" s="1423"/>
    </row>
    <row r="542" spans="1:26" ht="18.5">
      <c r="A542" s="1423"/>
      <c r="B542" s="1423"/>
      <c r="C542" s="1423"/>
      <c r="D542" s="1423"/>
      <c r="E542" s="1423"/>
      <c r="F542" s="1423"/>
      <c r="G542" s="1423"/>
      <c r="H542" s="1423"/>
      <c r="I542" s="1423"/>
      <c r="J542" s="1423"/>
      <c r="K542" s="1423"/>
      <c r="L542" s="1423"/>
      <c r="M542" s="1423"/>
      <c r="N542" s="1423"/>
      <c r="O542" s="1423"/>
      <c r="P542" s="1423"/>
      <c r="Q542" s="1423"/>
      <c r="R542" s="1423"/>
      <c r="S542" s="1423"/>
      <c r="T542" s="1423"/>
      <c r="U542" s="1423"/>
      <c r="V542" s="1423"/>
      <c r="W542" s="1423"/>
      <c r="X542" s="1423"/>
      <c r="Y542" s="1423"/>
      <c r="Z542" s="1423"/>
    </row>
    <row r="543" spans="1:26" ht="18.5">
      <c r="A543" s="1423"/>
      <c r="B543" s="1423"/>
      <c r="C543" s="1423"/>
      <c r="D543" s="1423"/>
      <c r="E543" s="1423"/>
      <c r="F543" s="1423"/>
      <c r="G543" s="1423"/>
      <c r="H543" s="1423"/>
      <c r="I543" s="1423"/>
      <c r="J543" s="1423"/>
      <c r="K543" s="1423"/>
      <c r="L543" s="1423"/>
      <c r="M543" s="1423"/>
      <c r="N543" s="1423"/>
      <c r="O543" s="1423"/>
      <c r="P543" s="1423"/>
      <c r="Q543" s="1423"/>
      <c r="R543" s="1423"/>
      <c r="S543" s="1423"/>
      <c r="T543" s="1423"/>
      <c r="U543" s="1423"/>
      <c r="V543" s="1423"/>
      <c r="W543" s="1423"/>
      <c r="X543" s="1423"/>
      <c r="Y543" s="1423"/>
      <c r="Z543" s="1423"/>
    </row>
    <row r="544" spans="1:26" ht="18.5">
      <c r="A544" s="1423"/>
      <c r="B544" s="1423"/>
      <c r="C544" s="1423"/>
      <c r="D544" s="1423"/>
      <c r="E544" s="1423"/>
      <c r="F544" s="1423"/>
      <c r="G544" s="1423"/>
      <c r="H544" s="1423"/>
      <c r="I544" s="1423"/>
      <c r="J544" s="1423"/>
      <c r="K544" s="1423"/>
      <c r="L544" s="1423"/>
      <c r="M544" s="1423"/>
      <c r="N544" s="1423"/>
      <c r="O544" s="1423"/>
      <c r="P544" s="1423"/>
      <c r="Q544" s="1423"/>
      <c r="R544" s="1423"/>
      <c r="S544" s="1423"/>
      <c r="T544" s="1423"/>
      <c r="U544" s="1423"/>
      <c r="V544" s="1423"/>
      <c r="W544" s="1423"/>
      <c r="X544" s="1423"/>
      <c r="Y544" s="1423"/>
      <c r="Z544" s="1423"/>
    </row>
    <row r="545" spans="1:26" ht="18.5">
      <c r="A545" s="1423"/>
      <c r="B545" s="1423"/>
      <c r="C545" s="1423"/>
      <c r="D545" s="1423"/>
      <c r="E545" s="1423"/>
      <c r="F545" s="1423"/>
      <c r="G545" s="1423"/>
      <c r="H545" s="1423"/>
      <c r="I545" s="1423"/>
      <c r="J545" s="1423"/>
      <c r="K545" s="1423"/>
      <c r="L545" s="1423"/>
      <c r="M545" s="1423"/>
      <c r="N545" s="1423"/>
      <c r="O545" s="1423"/>
      <c r="P545" s="1423"/>
      <c r="Q545" s="1423"/>
      <c r="R545" s="1423"/>
      <c r="S545" s="1423"/>
      <c r="T545" s="1423"/>
      <c r="U545" s="1423"/>
      <c r="V545" s="1423"/>
      <c r="W545" s="1423"/>
      <c r="X545" s="1423"/>
      <c r="Y545" s="1423"/>
      <c r="Z545" s="1423"/>
    </row>
    <row r="546" spans="1:26" ht="18.5">
      <c r="A546" s="1423"/>
      <c r="B546" s="1423"/>
      <c r="C546" s="1423"/>
      <c r="D546" s="1423"/>
      <c r="E546" s="1423"/>
      <c r="F546" s="1423"/>
      <c r="G546" s="1423"/>
      <c r="H546" s="1423"/>
      <c r="I546" s="1423"/>
      <c r="J546" s="1423"/>
      <c r="K546" s="1423"/>
      <c r="L546" s="1423"/>
      <c r="M546" s="1423"/>
      <c r="N546" s="1423"/>
      <c r="O546" s="1423"/>
      <c r="P546" s="1423"/>
      <c r="Q546" s="1423"/>
      <c r="R546" s="1423"/>
      <c r="S546" s="1423"/>
      <c r="T546" s="1423"/>
      <c r="U546" s="1423"/>
      <c r="V546" s="1423"/>
      <c r="W546" s="1423"/>
      <c r="X546" s="1423"/>
      <c r="Y546" s="1423"/>
      <c r="Z546" s="1423"/>
    </row>
    <row r="547" spans="1:26" ht="18.5">
      <c r="A547" s="1423"/>
      <c r="B547" s="1423"/>
      <c r="C547" s="1423"/>
      <c r="D547" s="1423"/>
      <c r="E547" s="1423"/>
      <c r="F547" s="1423"/>
      <c r="G547" s="1423"/>
      <c r="H547" s="1423"/>
      <c r="I547" s="1423"/>
      <c r="J547" s="1423"/>
      <c r="K547" s="1423"/>
      <c r="L547" s="1423"/>
      <c r="M547" s="1423"/>
      <c r="N547" s="1423"/>
      <c r="O547" s="1423"/>
      <c r="P547" s="1423"/>
      <c r="Q547" s="1423"/>
      <c r="R547" s="1423"/>
      <c r="S547" s="1423"/>
      <c r="T547" s="1423"/>
      <c r="U547" s="1423"/>
      <c r="V547" s="1423"/>
      <c r="W547" s="1423"/>
      <c r="X547" s="1423"/>
      <c r="Y547" s="1423"/>
      <c r="Z547" s="1423"/>
    </row>
    <row r="548" spans="1:26" ht="18.5">
      <c r="A548" s="1423"/>
      <c r="B548" s="1423"/>
      <c r="C548" s="1423"/>
      <c r="D548" s="1423"/>
      <c r="E548" s="1423"/>
      <c r="F548" s="1423"/>
      <c r="G548" s="1423"/>
      <c r="H548" s="1423"/>
      <c r="I548" s="1423"/>
      <c r="J548" s="1423"/>
      <c r="K548" s="1423"/>
      <c r="L548" s="1423"/>
      <c r="M548" s="1423"/>
      <c r="N548" s="1423"/>
      <c r="O548" s="1423"/>
      <c r="P548" s="1423"/>
      <c r="Q548" s="1423"/>
      <c r="R548" s="1423"/>
      <c r="S548" s="1423"/>
      <c r="T548" s="1423"/>
      <c r="U548" s="1423"/>
      <c r="V548" s="1423"/>
      <c r="W548" s="1423"/>
      <c r="X548" s="1423"/>
      <c r="Y548" s="1423"/>
      <c r="Z548" s="1423"/>
    </row>
    <row r="549" spans="1:26" ht="18.5">
      <c r="A549" s="1423"/>
      <c r="B549" s="1423"/>
      <c r="C549" s="1423"/>
      <c r="D549" s="1423"/>
      <c r="E549" s="1423"/>
      <c r="F549" s="1423"/>
      <c r="G549" s="1423"/>
      <c r="H549" s="1423"/>
      <c r="I549" s="1423"/>
      <c r="J549" s="1423"/>
      <c r="K549" s="1423"/>
      <c r="L549" s="1423"/>
      <c r="M549" s="1423"/>
      <c r="N549" s="1423"/>
      <c r="O549" s="1423"/>
      <c r="P549" s="1423"/>
      <c r="Q549" s="1423"/>
      <c r="R549" s="1423"/>
      <c r="S549" s="1423"/>
      <c r="T549" s="1423"/>
      <c r="U549" s="1423"/>
      <c r="V549" s="1423"/>
      <c r="W549" s="1423"/>
      <c r="X549" s="1423"/>
      <c r="Y549" s="1423"/>
      <c r="Z549" s="1423"/>
    </row>
    <row r="550" spans="1:26" ht="18.5">
      <c r="A550" s="1423"/>
      <c r="B550" s="1423"/>
      <c r="C550" s="1423"/>
      <c r="D550" s="1423"/>
      <c r="E550" s="1423"/>
      <c r="F550" s="1423"/>
      <c r="G550" s="1423"/>
      <c r="H550" s="1423"/>
      <c r="I550" s="1423"/>
      <c r="J550" s="1423"/>
      <c r="K550" s="1423"/>
      <c r="L550" s="1423"/>
      <c r="M550" s="1423"/>
      <c r="N550" s="1423"/>
      <c r="O550" s="1423"/>
      <c r="P550" s="1423"/>
      <c r="Q550" s="1423"/>
      <c r="R550" s="1423"/>
      <c r="S550" s="1423"/>
      <c r="T550" s="1423"/>
      <c r="U550" s="1423"/>
      <c r="V550" s="1423"/>
      <c r="W550" s="1423"/>
      <c r="X550" s="1423"/>
      <c r="Y550" s="1423"/>
      <c r="Z550" s="1423"/>
    </row>
    <row r="551" spans="1:26" ht="18.5">
      <c r="A551" s="1423"/>
      <c r="B551" s="1423"/>
      <c r="C551" s="1423"/>
      <c r="D551" s="1423"/>
      <c r="E551" s="1423"/>
      <c r="F551" s="1423"/>
      <c r="G551" s="1423"/>
      <c r="H551" s="1423"/>
      <c r="I551" s="1423"/>
      <c r="J551" s="1423"/>
      <c r="K551" s="1423"/>
      <c r="L551" s="1423"/>
      <c r="M551" s="1423"/>
      <c r="N551" s="1423"/>
      <c r="O551" s="1423"/>
      <c r="P551" s="1423"/>
      <c r="Q551" s="1423"/>
      <c r="R551" s="1423"/>
      <c r="S551" s="1423"/>
      <c r="T551" s="1423"/>
      <c r="U551" s="1423"/>
      <c r="V551" s="1423"/>
      <c r="W551" s="1423"/>
      <c r="X551" s="1423"/>
      <c r="Y551" s="1423"/>
      <c r="Z551" s="1423"/>
    </row>
    <row r="552" spans="1:26" ht="18.5">
      <c r="A552" s="1423"/>
      <c r="B552" s="1423"/>
      <c r="C552" s="1423"/>
      <c r="D552" s="1423"/>
      <c r="E552" s="1423"/>
      <c r="F552" s="1423"/>
      <c r="G552" s="1423"/>
      <c r="H552" s="1423"/>
      <c r="I552" s="1423"/>
      <c r="J552" s="1423"/>
      <c r="K552" s="1423"/>
      <c r="L552" s="1423"/>
      <c r="M552" s="1423"/>
      <c r="N552" s="1423"/>
      <c r="O552" s="1423"/>
      <c r="P552" s="1423"/>
      <c r="Q552" s="1423"/>
      <c r="R552" s="1423"/>
      <c r="S552" s="1423"/>
      <c r="T552" s="1423"/>
      <c r="U552" s="1423"/>
      <c r="V552" s="1423"/>
      <c r="W552" s="1423"/>
      <c r="X552" s="1423"/>
      <c r="Y552" s="1423"/>
      <c r="Z552" s="1423"/>
    </row>
    <row r="553" spans="1:26" ht="18.5">
      <c r="A553" s="1423"/>
      <c r="B553" s="1423"/>
      <c r="C553" s="1423"/>
      <c r="D553" s="1423"/>
      <c r="E553" s="1423"/>
      <c r="F553" s="1423"/>
      <c r="G553" s="1423"/>
      <c r="H553" s="1423"/>
      <c r="I553" s="1423"/>
      <c r="J553" s="1423"/>
      <c r="K553" s="1423"/>
      <c r="L553" s="1423"/>
      <c r="M553" s="1423"/>
      <c r="N553" s="1423"/>
      <c r="O553" s="1423"/>
      <c r="P553" s="1423"/>
      <c r="Q553" s="1423"/>
      <c r="R553" s="1423"/>
      <c r="S553" s="1423"/>
      <c r="T553" s="1423"/>
      <c r="U553" s="1423"/>
      <c r="V553" s="1423"/>
      <c r="W553" s="1423"/>
      <c r="X553" s="1423"/>
      <c r="Y553" s="1423"/>
      <c r="Z553" s="1423"/>
    </row>
    <row r="554" spans="1:26" ht="18.5">
      <c r="A554" s="1423"/>
      <c r="B554" s="1423"/>
      <c r="C554" s="1423"/>
      <c r="D554" s="1423"/>
      <c r="E554" s="1423"/>
      <c r="F554" s="1423"/>
      <c r="G554" s="1423"/>
      <c r="H554" s="1423"/>
      <c r="I554" s="1423"/>
      <c r="J554" s="1423"/>
      <c r="K554" s="1423"/>
      <c r="L554" s="1423"/>
      <c r="M554" s="1423"/>
      <c r="N554" s="1423"/>
      <c r="O554" s="1423"/>
      <c r="P554" s="1423"/>
      <c r="Q554" s="1423"/>
      <c r="R554" s="1423"/>
      <c r="S554" s="1423"/>
      <c r="T554" s="1423"/>
      <c r="U554" s="1423"/>
      <c r="V554" s="1423"/>
      <c r="W554" s="1423"/>
      <c r="X554" s="1423"/>
      <c r="Y554" s="1423"/>
      <c r="Z554" s="1423"/>
    </row>
    <row r="555" spans="1:26" ht="18.5">
      <c r="A555" s="1423"/>
      <c r="B555" s="1423"/>
      <c r="C555" s="1423"/>
      <c r="D555" s="1423"/>
      <c r="E555" s="1423"/>
      <c r="F555" s="1423"/>
      <c r="G555" s="1423"/>
      <c r="H555" s="1423"/>
      <c r="I555" s="1423"/>
      <c r="J555" s="1423"/>
      <c r="K555" s="1423"/>
      <c r="L555" s="1423"/>
      <c r="M555" s="1423"/>
      <c r="N555" s="1423"/>
      <c r="O555" s="1423"/>
      <c r="P555" s="1423"/>
      <c r="Q555" s="1423"/>
      <c r="R555" s="1423"/>
      <c r="S555" s="1423"/>
      <c r="T555" s="1423"/>
      <c r="U555" s="1423"/>
      <c r="V555" s="1423"/>
      <c r="W555" s="1423"/>
      <c r="X555" s="1423"/>
      <c r="Y555" s="1423"/>
      <c r="Z555" s="1423"/>
    </row>
    <row r="556" spans="1:26" ht="18.5">
      <c r="A556" s="1423"/>
      <c r="B556" s="1423"/>
      <c r="C556" s="1423"/>
      <c r="D556" s="1423"/>
      <c r="E556" s="1423"/>
      <c r="F556" s="1423"/>
      <c r="G556" s="1423"/>
      <c r="H556" s="1423"/>
      <c r="I556" s="1423"/>
      <c r="J556" s="1423"/>
      <c r="K556" s="1423"/>
      <c r="L556" s="1423"/>
      <c r="M556" s="1423"/>
      <c r="N556" s="1423"/>
      <c r="O556" s="1423"/>
      <c r="P556" s="1423"/>
      <c r="Q556" s="1423"/>
      <c r="R556" s="1423"/>
      <c r="S556" s="1423"/>
      <c r="T556" s="1423"/>
      <c r="U556" s="1423"/>
      <c r="V556" s="1423"/>
      <c r="W556" s="1423"/>
      <c r="X556" s="1423"/>
      <c r="Y556" s="1423"/>
      <c r="Z556" s="1423"/>
    </row>
    <row r="557" spans="1:26" ht="18.5">
      <c r="A557" s="1423"/>
      <c r="B557" s="1423"/>
      <c r="C557" s="1423"/>
      <c r="D557" s="1423"/>
      <c r="E557" s="1423"/>
      <c r="F557" s="1423"/>
      <c r="G557" s="1423"/>
      <c r="H557" s="1423"/>
      <c r="I557" s="1423"/>
      <c r="J557" s="1423"/>
      <c r="K557" s="1423"/>
      <c r="L557" s="1423"/>
      <c r="M557" s="1423"/>
      <c r="N557" s="1423"/>
      <c r="O557" s="1423"/>
      <c r="P557" s="1423"/>
      <c r="Q557" s="1423"/>
      <c r="R557" s="1423"/>
      <c r="S557" s="1423"/>
      <c r="T557" s="1423"/>
      <c r="U557" s="1423"/>
      <c r="V557" s="1423"/>
      <c r="W557" s="1423"/>
      <c r="X557" s="1423"/>
      <c r="Y557" s="1423"/>
      <c r="Z557" s="1423"/>
    </row>
    <row r="558" spans="1:26" ht="18.5">
      <c r="A558" s="1423"/>
      <c r="B558" s="1423"/>
      <c r="C558" s="1423"/>
      <c r="D558" s="1423"/>
      <c r="E558" s="1423"/>
      <c r="F558" s="1423"/>
      <c r="G558" s="1423"/>
      <c r="H558" s="1423"/>
      <c r="I558" s="1423"/>
      <c r="J558" s="1423"/>
      <c r="K558" s="1423"/>
      <c r="L558" s="1423"/>
      <c r="M558" s="1423"/>
      <c r="N558" s="1423"/>
      <c r="O558" s="1423"/>
      <c r="P558" s="1423"/>
      <c r="Q558" s="1423"/>
      <c r="R558" s="1423"/>
      <c r="S558" s="1423"/>
      <c r="T558" s="1423"/>
      <c r="U558" s="1423"/>
      <c r="V558" s="1423"/>
      <c r="W558" s="1423"/>
      <c r="X558" s="1423"/>
      <c r="Y558" s="1423"/>
      <c r="Z558" s="1423"/>
    </row>
    <row r="559" spans="1:26" ht="18.5">
      <c r="A559" s="1423"/>
      <c r="B559" s="1423"/>
      <c r="C559" s="1423"/>
      <c r="D559" s="1423"/>
      <c r="E559" s="1423"/>
      <c r="F559" s="1423"/>
      <c r="G559" s="1423"/>
      <c r="H559" s="1423"/>
      <c r="I559" s="1423"/>
      <c r="J559" s="1423"/>
      <c r="K559" s="1423"/>
      <c r="L559" s="1423"/>
      <c r="M559" s="1423"/>
      <c r="N559" s="1423"/>
      <c r="O559" s="1423"/>
      <c r="P559" s="1423"/>
      <c r="Q559" s="1423"/>
      <c r="R559" s="1423"/>
      <c r="S559" s="1423"/>
      <c r="T559" s="1423"/>
      <c r="U559" s="1423"/>
      <c r="V559" s="1423"/>
      <c r="W559" s="1423"/>
      <c r="X559" s="1423"/>
      <c r="Y559" s="1423"/>
      <c r="Z559" s="1423"/>
    </row>
    <row r="560" spans="1:26" ht="18.5">
      <c r="A560" s="1423"/>
      <c r="B560" s="1423"/>
      <c r="C560" s="1423"/>
      <c r="D560" s="1423"/>
      <c r="E560" s="1423"/>
      <c r="F560" s="1423"/>
      <c r="G560" s="1423"/>
      <c r="H560" s="1423"/>
      <c r="I560" s="1423"/>
      <c r="J560" s="1423"/>
      <c r="K560" s="1423"/>
      <c r="L560" s="1423"/>
      <c r="M560" s="1423"/>
      <c r="N560" s="1423"/>
      <c r="O560" s="1423"/>
      <c r="P560" s="1423"/>
      <c r="Q560" s="1423"/>
      <c r="R560" s="1423"/>
      <c r="S560" s="1423"/>
      <c r="T560" s="1423"/>
      <c r="U560" s="1423"/>
      <c r="V560" s="1423"/>
      <c r="W560" s="1423"/>
      <c r="X560" s="1423"/>
      <c r="Y560" s="1423"/>
      <c r="Z560" s="1423"/>
    </row>
    <row r="561" spans="1:26" ht="18.5">
      <c r="A561" s="1423"/>
      <c r="B561" s="1423"/>
      <c r="C561" s="1423"/>
      <c r="D561" s="1423"/>
      <c r="E561" s="1423"/>
      <c r="F561" s="1423"/>
      <c r="G561" s="1423"/>
      <c r="H561" s="1423"/>
      <c r="I561" s="1423"/>
      <c r="J561" s="1423"/>
      <c r="K561" s="1423"/>
      <c r="L561" s="1423"/>
      <c r="M561" s="1423"/>
      <c r="N561" s="1423"/>
      <c r="O561" s="1423"/>
      <c r="P561" s="1423"/>
      <c r="Q561" s="1423"/>
      <c r="R561" s="1423"/>
      <c r="S561" s="1423"/>
      <c r="T561" s="1423"/>
      <c r="U561" s="1423"/>
      <c r="V561" s="1423"/>
      <c r="W561" s="1423"/>
      <c r="X561" s="1423"/>
      <c r="Y561" s="1423"/>
      <c r="Z561" s="1423"/>
    </row>
    <row r="562" spans="1:26" ht="18.5">
      <c r="A562" s="1423"/>
      <c r="B562" s="1423"/>
      <c r="C562" s="1423"/>
      <c r="D562" s="1423"/>
      <c r="E562" s="1423"/>
      <c r="F562" s="1423"/>
      <c r="G562" s="1423"/>
      <c r="H562" s="1423"/>
      <c r="I562" s="1423"/>
      <c r="J562" s="1423"/>
      <c r="K562" s="1423"/>
      <c r="L562" s="1423"/>
      <c r="M562" s="1423"/>
      <c r="N562" s="1423"/>
      <c r="O562" s="1423"/>
      <c r="P562" s="1423"/>
      <c r="Q562" s="1423"/>
      <c r="R562" s="1423"/>
      <c r="S562" s="1423"/>
      <c r="T562" s="1423"/>
      <c r="U562" s="1423"/>
      <c r="V562" s="1423"/>
      <c r="W562" s="1423"/>
      <c r="X562" s="1423"/>
      <c r="Y562" s="1423"/>
      <c r="Z562" s="1423"/>
    </row>
    <row r="563" spans="1:26" ht="18.5">
      <c r="A563" s="1423"/>
      <c r="B563" s="1423"/>
      <c r="C563" s="1423"/>
      <c r="D563" s="1423"/>
      <c r="E563" s="1423"/>
      <c r="F563" s="1423"/>
      <c r="G563" s="1423"/>
      <c r="H563" s="1423"/>
      <c r="I563" s="1423"/>
      <c r="J563" s="1423"/>
      <c r="K563" s="1423"/>
      <c r="L563" s="1423"/>
      <c r="M563" s="1423"/>
      <c r="N563" s="1423"/>
      <c r="O563" s="1423"/>
      <c r="P563" s="1423"/>
      <c r="Q563" s="1423"/>
      <c r="R563" s="1423"/>
      <c r="S563" s="1423"/>
      <c r="T563" s="1423"/>
      <c r="U563" s="1423"/>
      <c r="V563" s="1423"/>
      <c r="W563" s="1423"/>
      <c r="X563" s="1423"/>
      <c r="Y563" s="1423"/>
      <c r="Z563" s="1423"/>
    </row>
    <row r="564" spans="1:26" ht="18.5">
      <c r="A564" s="1423"/>
      <c r="B564" s="1423"/>
      <c r="C564" s="1423"/>
      <c r="D564" s="1423"/>
      <c r="E564" s="1423"/>
      <c r="F564" s="1423"/>
      <c r="G564" s="1423"/>
      <c r="H564" s="1423"/>
      <c r="I564" s="1423"/>
      <c r="J564" s="1423"/>
      <c r="K564" s="1423"/>
      <c r="L564" s="1423"/>
      <c r="M564" s="1423"/>
      <c r="N564" s="1423"/>
      <c r="O564" s="1423"/>
      <c r="P564" s="1423"/>
      <c r="Q564" s="1423"/>
      <c r="R564" s="1423"/>
      <c r="S564" s="1423"/>
      <c r="T564" s="1423"/>
      <c r="U564" s="1423"/>
      <c r="V564" s="1423"/>
      <c r="W564" s="1423"/>
      <c r="X564" s="1423"/>
      <c r="Y564" s="1423"/>
      <c r="Z564" s="1423"/>
    </row>
    <row r="565" spans="1:26" ht="18.5">
      <c r="A565" s="1423"/>
      <c r="B565" s="1423"/>
      <c r="C565" s="1423"/>
      <c r="D565" s="1423"/>
      <c r="E565" s="1423"/>
      <c r="F565" s="1423"/>
      <c r="G565" s="1423"/>
      <c r="H565" s="1423"/>
      <c r="I565" s="1423"/>
      <c r="J565" s="1423"/>
      <c r="K565" s="1423"/>
      <c r="L565" s="1423"/>
      <c r="M565" s="1423"/>
      <c r="N565" s="1423"/>
      <c r="O565" s="1423"/>
      <c r="P565" s="1423"/>
      <c r="Q565" s="1423"/>
      <c r="R565" s="1423"/>
      <c r="S565" s="1423"/>
      <c r="T565" s="1423"/>
      <c r="U565" s="1423"/>
      <c r="V565" s="1423"/>
      <c r="W565" s="1423"/>
      <c r="X565" s="1423"/>
      <c r="Y565" s="1423"/>
      <c r="Z565" s="1423"/>
    </row>
    <row r="566" spans="1:26" ht="18.5">
      <c r="A566" s="1423"/>
      <c r="B566" s="1423"/>
      <c r="C566" s="1423"/>
      <c r="D566" s="1423"/>
      <c r="E566" s="1423"/>
      <c r="F566" s="1423"/>
      <c r="G566" s="1423"/>
      <c r="H566" s="1423"/>
      <c r="I566" s="1423"/>
      <c r="J566" s="1423"/>
      <c r="K566" s="1423"/>
      <c r="L566" s="1423"/>
      <c r="M566" s="1423"/>
      <c r="N566" s="1423"/>
      <c r="O566" s="1423"/>
      <c r="P566" s="1423"/>
      <c r="Q566" s="1423"/>
      <c r="R566" s="1423"/>
      <c r="S566" s="1423"/>
      <c r="T566" s="1423"/>
      <c r="U566" s="1423"/>
      <c r="V566" s="1423"/>
      <c r="W566" s="1423"/>
      <c r="X566" s="1423"/>
      <c r="Y566" s="1423"/>
      <c r="Z566" s="1423"/>
    </row>
    <row r="567" spans="1:26" ht="18.5">
      <c r="A567" s="1423"/>
      <c r="B567" s="1423"/>
      <c r="C567" s="1423"/>
      <c r="D567" s="1423"/>
      <c r="E567" s="1423"/>
      <c r="F567" s="1423"/>
      <c r="G567" s="1423"/>
      <c r="H567" s="1423"/>
      <c r="I567" s="1423"/>
      <c r="J567" s="1423"/>
      <c r="K567" s="1423"/>
      <c r="L567" s="1423"/>
      <c r="M567" s="1423"/>
      <c r="N567" s="1423"/>
      <c r="O567" s="1423"/>
      <c r="P567" s="1423"/>
      <c r="Q567" s="1423"/>
      <c r="R567" s="1423"/>
      <c r="S567" s="1423"/>
      <c r="T567" s="1423"/>
      <c r="U567" s="1423"/>
      <c r="V567" s="1423"/>
      <c r="W567" s="1423"/>
      <c r="X567" s="1423"/>
      <c r="Y567" s="1423"/>
      <c r="Z567" s="1423"/>
    </row>
    <row r="568" spans="1:26" ht="18.5">
      <c r="A568" s="1423"/>
      <c r="B568" s="1423"/>
      <c r="C568" s="1423"/>
      <c r="D568" s="1423"/>
      <c r="E568" s="1423"/>
      <c r="F568" s="1423"/>
      <c r="G568" s="1423"/>
      <c r="H568" s="1423"/>
      <c r="I568" s="1423"/>
      <c r="J568" s="1423"/>
      <c r="K568" s="1423"/>
      <c r="L568" s="1423"/>
      <c r="M568" s="1423"/>
      <c r="N568" s="1423"/>
      <c r="O568" s="1423"/>
      <c r="P568" s="1423"/>
      <c r="Q568" s="1423"/>
      <c r="R568" s="1423"/>
      <c r="S568" s="1423"/>
      <c r="T568" s="1423"/>
      <c r="U568" s="1423"/>
      <c r="V568" s="1423"/>
      <c r="W568" s="1423"/>
      <c r="X568" s="1423"/>
      <c r="Y568" s="1423"/>
      <c r="Z568" s="1423"/>
    </row>
    <row r="569" spans="1:26" ht="18.5">
      <c r="A569" s="1423"/>
      <c r="B569" s="1423"/>
      <c r="C569" s="1423"/>
      <c r="D569" s="1423"/>
      <c r="E569" s="1423"/>
      <c r="F569" s="1423"/>
      <c r="G569" s="1423"/>
      <c r="H569" s="1423"/>
      <c r="I569" s="1423"/>
      <c r="J569" s="1423"/>
      <c r="K569" s="1423"/>
      <c r="L569" s="1423"/>
      <c r="M569" s="1423"/>
      <c r="N569" s="1423"/>
      <c r="O569" s="1423"/>
      <c r="P569" s="1423"/>
      <c r="Q569" s="1423"/>
      <c r="R569" s="1423"/>
      <c r="S569" s="1423"/>
      <c r="T569" s="1423"/>
      <c r="U569" s="1423"/>
      <c r="V569" s="1423"/>
      <c r="W569" s="1423"/>
      <c r="X569" s="1423"/>
      <c r="Y569" s="1423"/>
      <c r="Z569" s="1423"/>
    </row>
    <row r="570" spans="1:26" ht="18.5">
      <c r="A570" s="1423"/>
      <c r="B570" s="1423"/>
      <c r="C570" s="1423"/>
      <c r="D570" s="1423"/>
      <c r="E570" s="1423"/>
      <c r="F570" s="1423"/>
      <c r="G570" s="1423"/>
      <c r="H570" s="1423"/>
      <c r="I570" s="1423"/>
      <c r="J570" s="1423"/>
      <c r="K570" s="1423"/>
      <c r="L570" s="1423"/>
      <c r="M570" s="1423"/>
      <c r="N570" s="1423"/>
      <c r="O570" s="1423"/>
      <c r="P570" s="1423"/>
      <c r="Q570" s="1423"/>
      <c r="R570" s="1423"/>
      <c r="S570" s="1423"/>
      <c r="T570" s="1423"/>
      <c r="U570" s="1423"/>
      <c r="V570" s="1423"/>
      <c r="W570" s="1423"/>
      <c r="X570" s="1423"/>
      <c r="Y570" s="1423"/>
      <c r="Z570" s="1423"/>
    </row>
    <row r="571" spans="1:26" ht="18.5">
      <c r="A571" s="1423"/>
      <c r="B571" s="1423"/>
      <c r="C571" s="1423"/>
      <c r="D571" s="1423"/>
      <c r="E571" s="1423"/>
      <c r="F571" s="1423"/>
      <c r="G571" s="1423"/>
      <c r="H571" s="1423"/>
      <c r="I571" s="1423"/>
      <c r="J571" s="1423"/>
      <c r="K571" s="1423"/>
      <c r="L571" s="1423"/>
      <c r="M571" s="1423"/>
      <c r="N571" s="1423"/>
      <c r="O571" s="1423"/>
      <c r="P571" s="1423"/>
      <c r="Q571" s="1423"/>
      <c r="R571" s="1423"/>
      <c r="S571" s="1423"/>
      <c r="T571" s="1423"/>
      <c r="U571" s="1423"/>
      <c r="V571" s="1423"/>
      <c r="W571" s="1423"/>
      <c r="X571" s="1423"/>
      <c r="Y571" s="1423"/>
      <c r="Z571" s="1423"/>
    </row>
    <row r="572" spans="1:26" ht="18.5">
      <c r="A572" s="1423"/>
      <c r="B572" s="1423"/>
      <c r="C572" s="1423"/>
      <c r="D572" s="1423"/>
      <c r="E572" s="1423"/>
      <c r="F572" s="1423"/>
      <c r="G572" s="1423"/>
      <c r="H572" s="1423"/>
      <c r="I572" s="1423"/>
      <c r="J572" s="1423"/>
      <c r="K572" s="1423"/>
      <c r="L572" s="1423"/>
      <c r="M572" s="1423"/>
      <c r="N572" s="1423"/>
      <c r="O572" s="1423"/>
      <c r="P572" s="1423"/>
      <c r="Q572" s="1423"/>
      <c r="R572" s="1423"/>
      <c r="S572" s="1423"/>
      <c r="T572" s="1423"/>
      <c r="U572" s="1423"/>
      <c r="V572" s="1423"/>
      <c r="W572" s="1423"/>
      <c r="X572" s="1423"/>
      <c r="Y572" s="1423"/>
      <c r="Z572" s="1423"/>
    </row>
    <row r="573" spans="1:26" ht="18.5">
      <c r="A573" s="1423"/>
      <c r="B573" s="1423"/>
      <c r="C573" s="1423"/>
      <c r="D573" s="1423"/>
      <c r="E573" s="1423"/>
      <c r="F573" s="1423"/>
      <c r="G573" s="1423"/>
      <c r="H573" s="1423"/>
      <c r="I573" s="1423"/>
      <c r="J573" s="1423"/>
      <c r="K573" s="1423"/>
      <c r="L573" s="1423"/>
      <c r="M573" s="1423"/>
      <c r="N573" s="1423"/>
      <c r="O573" s="1423"/>
      <c r="P573" s="1423"/>
      <c r="Q573" s="1423"/>
      <c r="R573" s="1423"/>
      <c r="S573" s="1423"/>
      <c r="T573" s="1423"/>
      <c r="U573" s="1423"/>
      <c r="V573" s="1423"/>
      <c r="W573" s="1423"/>
      <c r="X573" s="1423"/>
      <c r="Y573" s="1423"/>
      <c r="Z573" s="1423"/>
    </row>
    <row r="574" spans="1:26" ht="18.5">
      <c r="A574" s="1423"/>
      <c r="B574" s="1423"/>
      <c r="C574" s="1423"/>
      <c r="D574" s="1423"/>
      <c r="E574" s="1423"/>
      <c r="F574" s="1423"/>
      <c r="G574" s="1423"/>
      <c r="H574" s="1423"/>
      <c r="I574" s="1423"/>
      <c r="J574" s="1423"/>
      <c r="K574" s="1423"/>
      <c r="L574" s="1423"/>
      <c r="M574" s="1423"/>
      <c r="N574" s="1423"/>
      <c r="O574" s="1423"/>
      <c r="P574" s="1423"/>
      <c r="Q574" s="1423"/>
      <c r="R574" s="1423"/>
      <c r="S574" s="1423"/>
      <c r="T574" s="1423"/>
      <c r="U574" s="1423"/>
      <c r="V574" s="1423"/>
      <c r="W574" s="1423"/>
      <c r="X574" s="1423"/>
      <c r="Y574" s="1423"/>
      <c r="Z574" s="1423"/>
    </row>
    <row r="575" spans="1:26" ht="18.5">
      <c r="A575" s="1423"/>
      <c r="B575" s="1423"/>
      <c r="C575" s="1423"/>
      <c r="D575" s="1423"/>
      <c r="E575" s="1423"/>
      <c r="F575" s="1423"/>
      <c r="G575" s="1423"/>
      <c r="H575" s="1423"/>
      <c r="I575" s="1423"/>
      <c r="J575" s="1423"/>
      <c r="K575" s="1423"/>
      <c r="L575" s="1423"/>
      <c r="M575" s="1423"/>
      <c r="N575" s="1423"/>
      <c r="O575" s="1423"/>
      <c r="P575" s="1423"/>
      <c r="Q575" s="1423"/>
      <c r="R575" s="1423"/>
      <c r="S575" s="1423"/>
      <c r="T575" s="1423"/>
      <c r="U575" s="1423"/>
      <c r="V575" s="1423"/>
      <c r="W575" s="1423"/>
      <c r="X575" s="1423"/>
      <c r="Y575" s="1423"/>
      <c r="Z575" s="1423"/>
    </row>
    <row r="576" spans="1:26" ht="18.5">
      <c r="A576" s="1423"/>
      <c r="B576" s="1423"/>
      <c r="C576" s="1423"/>
      <c r="D576" s="1423"/>
      <c r="E576" s="1423"/>
      <c r="F576" s="1423"/>
      <c r="G576" s="1423"/>
      <c r="H576" s="1423"/>
      <c r="I576" s="1423"/>
      <c r="J576" s="1423"/>
      <c r="K576" s="1423"/>
      <c r="L576" s="1423"/>
      <c r="M576" s="1423"/>
      <c r="N576" s="1423"/>
      <c r="O576" s="1423"/>
      <c r="P576" s="1423"/>
      <c r="Q576" s="1423"/>
      <c r="R576" s="1423"/>
      <c r="S576" s="1423"/>
      <c r="T576" s="1423"/>
      <c r="U576" s="1423"/>
      <c r="V576" s="1423"/>
      <c r="W576" s="1423"/>
      <c r="X576" s="1423"/>
      <c r="Y576" s="1423"/>
      <c r="Z576" s="1423"/>
    </row>
    <row r="577" spans="1:26" ht="18.5">
      <c r="A577" s="1423"/>
      <c r="B577" s="1423"/>
      <c r="C577" s="1423"/>
      <c r="D577" s="1423"/>
      <c r="E577" s="1423"/>
      <c r="F577" s="1423"/>
      <c r="G577" s="1423"/>
      <c r="H577" s="1423"/>
      <c r="I577" s="1423"/>
      <c r="J577" s="1423"/>
      <c r="K577" s="1423"/>
      <c r="L577" s="1423"/>
      <c r="M577" s="1423"/>
      <c r="N577" s="1423"/>
      <c r="O577" s="1423"/>
      <c r="P577" s="1423"/>
      <c r="Q577" s="1423"/>
      <c r="R577" s="1423"/>
      <c r="S577" s="1423"/>
      <c r="T577" s="1423"/>
      <c r="U577" s="1423"/>
      <c r="V577" s="1423"/>
      <c r="W577" s="1423"/>
      <c r="X577" s="1423"/>
      <c r="Y577" s="1423"/>
      <c r="Z577" s="1423"/>
    </row>
    <row r="578" spans="1:26" ht="18.5">
      <c r="A578" s="1423"/>
      <c r="B578" s="1423"/>
      <c r="C578" s="1423"/>
      <c r="D578" s="1423"/>
      <c r="E578" s="1423"/>
      <c r="F578" s="1423"/>
      <c r="G578" s="1423"/>
      <c r="H578" s="1423"/>
      <c r="I578" s="1423"/>
      <c r="J578" s="1423"/>
      <c r="K578" s="1423"/>
      <c r="L578" s="1423"/>
      <c r="M578" s="1423"/>
      <c r="N578" s="1423"/>
      <c r="O578" s="1423"/>
      <c r="P578" s="1423"/>
      <c r="Q578" s="1423"/>
      <c r="R578" s="1423"/>
      <c r="S578" s="1423"/>
      <c r="T578" s="1423"/>
      <c r="U578" s="1423"/>
      <c r="V578" s="1423"/>
      <c r="W578" s="1423"/>
      <c r="X578" s="1423"/>
      <c r="Y578" s="1423"/>
      <c r="Z578" s="1423"/>
    </row>
    <row r="579" spans="1:26" ht="18.5">
      <c r="A579" s="1423"/>
      <c r="B579" s="1423"/>
      <c r="C579" s="1423"/>
      <c r="D579" s="1423"/>
      <c r="E579" s="1423"/>
      <c r="F579" s="1423"/>
      <c r="G579" s="1423"/>
      <c r="H579" s="1423"/>
      <c r="I579" s="1423"/>
      <c r="J579" s="1423"/>
      <c r="K579" s="1423"/>
      <c r="L579" s="1423"/>
      <c r="M579" s="1423"/>
      <c r="N579" s="1423"/>
      <c r="O579" s="1423"/>
      <c r="P579" s="1423"/>
      <c r="Q579" s="1423"/>
      <c r="R579" s="1423"/>
      <c r="S579" s="1423"/>
      <c r="T579" s="1423"/>
      <c r="U579" s="1423"/>
      <c r="V579" s="1423"/>
      <c r="W579" s="1423"/>
      <c r="X579" s="1423"/>
      <c r="Y579" s="1423"/>
      <c r="Z579" s="1423"/>
    </row>
    <row r="580" spans="1:26" ht="18.5">
      <c r="A580" s="1423"/>
      <c r="B580" s="1423"/>
      <c r="C580" s="1423"/>
      <c r="D580" s="1423"/>
      <c r="E580" s="1423"/>
      <c r="F580" s="1423"/>
      <c r="G580" s="1423"/>
      <c r="H580" s="1423"/>
      <c r="I580" s="1423"/>
      <c r="J580" s="1423"/>
      <c r="K580" s="1423"/>
      <c r="L580" s="1423"/>
      <c r="M580" s="1423"/>
      <c r="N580" s="1423"/>
      <c r="O580" s="1423"/>
      <c r="P580" s="1423"/>
      <c r="Q580" s="1423"/>
      <c r="R580" s="1423"/>
      <c r="S580" s="1423"/>
      <c r="T580" s="1423"/>
      <c r="U580" s="1423"/>
      <c r="V580" s="1423"/>
      <c r="W580" s="1423"/>
      <c r="X580" s="1423"/>
      <c r="Y580" s="1423"/>
      <c r="Z580" s="1423"/>
    </row>
    <row r="581" spans="1:26" ht="18.5">
      <c r="A581" s="1423"/>
      <c r="B581" s="1423"/>
      <c r="C581" s="1423"/>
      <c r="D581" s="1423"/>
      <c r="E581" s="1423"/>
      <c r="F581" s="1423"/>
      <c r="G581" s="1423"/>
      <c r="H581" s="1423"/>
      <c r="I581" s="1423"/>
      <c r="J581" s="1423"/>
      <c r="K581" s="1423"/>
      <c r="L581" s="1423"/>
      <c r="M581" s="1423"/>
      <c r="N581" s="1423"/>
      <c r="O581" s="1423"/>
      <c r="P581" s="1423"/>
      <c r="Q581" s="1423"/>
      <c r="R581" s="1423"/>
      <c r="S581" s="1423"/>
      <c r="T581" s="1423"/>
      <c r="U581" s="1423"/>
      <c r="V581" s="1423"/>
      <c r="W581" s="1423"/>
      <c r="X581" s="1423"/>
      <c r="Y581" s="1423"/>
      <c r="Z581" s="1423"/>
    </row>
    <row r="582" spans="1:26" ht="18.5">
      <c r="A582" s="1423"/>
      <c r="B582" s="1423"/>
      <c r="C582" s="1423"/>
      <c r="D582" s="1423"/>
      <c r="E582" s="1423"/>
      <c r="F582" s="1423"/>
      <c r="G582" s="1423"/>
      <c r="H582" s="1423"/>
      <c r="I582" s="1423"/>
      <c r="J582" s="1423"/>
      <c r="K582" s="1423"/>
      <c r="L582" s="1423"/>
      <c r="M582" s="1423"/>
      <c r="N582" s="1423"/>
      <c r="O582" s="1423"/>
      <c r="P582" s="1423"/>
      <c r="Q582" s="1423"/>
      <c r="R582" s="1423"/>
      <c r="S582" s="1423"/>
      <c r="T582" s="1423"/>
      <c r="U582" s="1423"/>
      <c r="V582" s="1423"/>
      <c r="W582" s="1423"/>
      <c r="X582" s="1423"/>
      <c r="Y582" s="1423"/>
      <c r="Z582" s="1423"/>
    </row>
    <row r="583" spans="1:26" ht="18.5">
      <c r="A583" s="1423"/>
      <c r="B583" s="1423"/>
      <c r="C583" s="1423"/>
      <c r="D583" s="1423"/>
      <c r="E583" s="1423"/>
      <c r="F583" s="1423"/>
      <c r="G583" s="1423"/>
      <c r="H583" s="1423"/>
      <c r="I583" s="1423"/>
      <c r="J583" s="1423"/>
      <c r="K583" s="1423"/>
      <c r="L583" s="1423"/>
      <c r="M583" s="1423"/>
      <c r="N583" s="1423"/>
      <c r="O583" s="1423"/>
      <c r="P583" s="1423"/>
      <c r="Q583" s="1423"/>
      <c r="R583" s="1423"/>
      <c r="S583" s="1423"/>
      <c r="T583" s="1423"/>
      <c r="U583" s="1423"/>
      <c r="V583" s="1423"/>
      <c r="W583" s="1423"/>
      <c r="X583" s="1423"/>
      <c r="Y583" s="1423"/>
      <c r="Z583" s="1423"/>
    </row>
    <row r="584" spans="1:26" ht="18.5">
      <c r="A584" s="1423"/>
      <c r="B584" s="1423"/>
      <c r="C584" s="1423"/>
      <c r="D584" s="1423"/>
      <c r="E584" s="1423"/>
      <c r="F584" s="1423"/>
      <c r="G584" s="1423"/>
      <c r="H584" s="1423"/>
      <c r="I584" s="1423"/>
      <c r="J584" s="1423"/>
      <c r="K584" s="1423"/>
      <c r="L584" s="1423"/>
      <c r="M584" s="1423"/>
      <c r="N584" s="1423"/>
      <c r="O584" s="1423"/>
      <c r="P584" s="1423"/>
      <c r="Q584" s="1423"/>
      <c r="R584" s="1423"/>
      <c r="S584" s="1423"/>
      <c r="T584" s="1423"/>
      <c r="U584" s="1423"/>
      <c r="V584" s="1423"/>
      <c r="W584" s="1423"/>
      <c r="X584" s="1423"/>
      <c r="Y584" s="1423"/>
      <c r="Z584" s="1423"/>
    </row>
    <row r="585" spans="1:26" ht="18.5">
      <c r="A585" s="1423"/>
      <c r="B585" s="1423"/>
      <c r="C585" s="1423"/>
      <c r="D585" s="1423"/>
      <c r="E585" s="1423"/>
      <c r="F585" s="1423"/>
      <c r="G585" s="1423"/>
      <c r="H585" s="1423"/>
      <c r="I585" s="1423"/>
      <c r="J585" s="1423"/>
      <c r="K585" s="1423"/>
      <c r="L585" s="1423"/>
      <c r="M585" s="1423"/>
      <c r="N585" s="1423"/>
      <c r="O585" s="1423"/>
      <c r="P585" s="1423"/>
      <c r="Q585" s="1423"/>
      <c r="R585" s="1423"/>
      <c r="S585" s="1423"/>
      <c r="T585" s="1423"/>
      <c r="U585" s="1423"/>
      <c r="V585" s="1423"/>
      <c r="W585" s="1423"/>
      <c r="X585" s="1423"/>
      <c r="Y585" s="1423"/>
      <c r="Z585" s="1423"/>
    </row>
    <row r="586" spans="1:26" ht="18.5">
      <c r="A586" s="1423"/>
      <c r="B586" s="1423"/>
      <c r="C586" s="1423"/>
      <c r="D586" s="1423"/>
      <c r="E586" s="1423"/>
      <c r="F586" s="1423"/>
      <c r="G586" s="1423"/>
      <c r="H586" s="1423"/>
      <c r="I586" s="1423"/>
      <c r="J586" s="1423"/>
      <c r="K586" s="1423"/>
      <c r="L586" s="1423"/>
      <c r="M586" s="1423"/>
      <c r="N586" s="1423"/>
      <c r="O586" s="1423"/>
      <c r="P586" s="1423"/>
      <c r="Q586" s="1423"/>
      <c r="R586" s="1423"/>
      <c r="S586" s="1423"/>
      <c r="T586" s="1423"/>
      <c r="U586" s="1423"/>
      <c r="V586" s="1423"/>
      <c r="W586" s="1423"/>
      <c r="X586" s="1423"/>
      <c r="Y586" s="1423"/>
      <c r="Z586" s="1423"/>
    </row>
    <row r="587" spans="1:26" ht="18.5">
      <c r="A587" s="1423"/>
      <c r="B587" s="1423"/>
      <c r="C587" s="1423"/>
      <c r="D587" s="1423"/>
      <c r="E587" s="1423"/>
      <c r="F587" s="1423"/>
      <c r="G587" s="1423"/>
      <c r="H587" s="1423"/>
      <c r="I587" s="1423"/>
      <c r="J587" s="1423"/>
      <c r="K587" s="1423"/>
      <c r="L587" s="1423"/>
      <c r="M587" s="1423"/>
      <c r="N587" s="1423"/>
      <c r="O587" s="1423"/>
      <c r="P587" s="1423"/>
      <c r="Q587" s="1423"/>
      <c r="R587" s="1423"/>
      <c r="S587" s="1423"/>
      <c r="T587" s="1423"/>
      <c r="U587" s="1423"/>
      <c r="V587" s="1423"/>
      <c r="W587" s="1423"/>
      <c r="X587" s="1423"/>
      <c r="Y587" s="1423"/>
      <c r="Z587" s="1423"/>
    </row>
    <row r="588" spans="1:26" ht="18.5">
      <c r="A588" s="1423"/>
      <c r="B588" s="1423"/>
      <c r="C588" s="1423"/>
      <c r="D588" s="1423"/>
      <c r="E588" s="1423"/>
      <c r="F588" s="1423"/>
      <c r="G588" s="1423"/>
      <c r="H588" s="1423"/>
      <c r="I588" s="1423"/>
      <c r="J588" s="1423"/>
      <c r="K588" s="1423"/>
      <c r="L588" s="1423"/>
      <c r="M588" s="1423"/>
      <c r="N588" s="1423"/>
      <c r="O588" s="1423"/>
      <c r="P588" s="1423"/>
      <c r="Q588" s="1423"/>
      <c r="R588" s="1423"/>
      <c r="S588" s="1423"/>
      <c r="T588" s="1423"/>
      <c r="U588" s="1423"/>
      <c r="V588" s="1423"/>
      <c r="W588" s="1423"/>
      <c r="X588" s="1423"/>
      <c r="Y588" s="1423"/>
      <c r="Z588" s="1423"/>
    </row>
    <row r="589" spans="1:26" ht="18.5">
      <c r="A589" s="1423"/>
      <c r="B589" s="1423"/>
      <c r="C589" s="1423"/>
      <c r="D589" s="1423"/>
      <c r="E589" s="1423"/>
      <c r="F589" s="1423"/>
      <c r="G589" s="1423"/>
      <c r="H589" s="1423"/>
      <c r="I589" s="1423"/>
      <c r="J589" s="1423"/>
      <c r="K589" s="1423"/>
      <c r="L589" s="1423"/>
      <c r="M589" s="1423"/>
      <c r="N589" s="1423"/>
      <c r="O589" s="1423"/>
      <c r="P589" s="1423"/>
      <c r="Q589" s="1423"/>
      <c r="R589" s="1423"/>
      <c r="S589" s="1423"/>
      <c r="T589" s="1423"/>
      <c r="U589" s="1423"/>
      <c r="V589" s="1423"/>
      <c r="W589" s="1423"/>
      <c r="X589" s="1423"/>
      <c r="Y589" s="1423"/>
      <c r="Z589" s="1423"/>
    </row>
    <row r="590" spans="1:26" ht="18.5">
      <c r="A590" s="1423"/>
      <c r="B590" s="1423"/>
      <c r="C590" s="1423"/>
      <c r="D590" s="1423"/>
      <c r="E590" s="1423"/>
      <c r="F590" s="1423"/>
      <c r="G590" s="1423"/>
      <c r="H590" s="1423"/>
      <c r="I590" s="1423"/>
      <c r="J590" s="1423"/>
      <c r="K590" s="1423"/>
      <c r="L590" s="1423"/>
      <c r="M590" s="1423"/>
      <c r="N590" s="1423"/>
      <c r="O590" s="1423"/>
      <c r="P590" s="1423"/>
      <c r="Q590" s="1423"/>
      <c r="R590" s="1423"/>
      <c r="S590" s="1423"/>
      <c r="T590" s="1423"/>
      <c r="U590" s="1423"/>
      <c r="V590" s="1423"/>
      <c r="W590" s="1423"/>
      <c r="X590" s="1423"/>
      <c r="Y590" s="1423"/>
      <c r="Z590" s="1423"/>
    </row>
    <row r="591" spans="1:26" ht="18.5">
      <c r="A591" s="1423"/>
      <c r="B591" s="1423"/>
      <c r="C591" s="1423"/>
      <c r="D591" s="1423"/>
      <c r="E591" s="1423"/>
      <c r="F591" s="1423"/>
      <c r="G591" s="1423"/>
      <c r="H591" s="1423"/>
      <c r="I591" s="1423"/>
      <c r="J591" s="1423"/>
      <c r="K591" s="1423"/>
      <c r="L591" s="1423"/>
      <c r="M591" s="1423"/>
      <c r="N591" s="1423"/>
      <c r="O591" s="1423"/>
      <c r="P591" s="1423"/>
      <c r="Q591" s="1423"/>
      <c r="R591" s="1423"/>
      <c r="S591" s="1423"/>
      <c r="T591" s="1423"/>
      <c r="U591" s="1423"/>
      <c r="V591" s="1423"/>
      <c r="W591" s="1423"/>
      <c r="X591" s="1423"/>
      <c r="Y591" s="1423"/>
      <c r="Z591" s="1423"/>
    </row>
    <row r="592" spans="1:26" ht="18.5">
      <c r="A592" s="1423"/>
      <c r="B592" s="1423"/>
      <c r="C592" s="1423"/>
      <c r="D592" s="1423"/>
      <c r="E592" s="1423"/>
      <c r="F592" s="1423"/>
      <c r="G592" s="1423"/>
      <c r="H592" s="1423"/>
      <c r="I592" s="1423"/>
      <c r="J592" s="1423"/>
      <c r="K592" s="1423"/>
      <c r="L592" s="1423"/>
      <c r="M592" s="1423"/>
      <c r="N592" s="1423"/>
      <c r="O592" s="1423"/>
      <c r="P592" s="1423"/>
      <c r="Q592" s="1423"/>
      <c r="R592" s="1423"/>
      <c r="S592" s="1423"/>
      <c r="T592" s="1423"/>
      <c r="U592" s="1423"/>
      <c r="V592" s="1423"/>
      <c r="W592" s="1423"/>
      <c r="X592" s="1423"/>
      <c r="Y592" s="1423"/>
      <c r="Z592" s="1423"/>
    </row>
    <row r="593" spans="1:26" ht="18.5">
      <c r="A593" s="1423"/>
      <c r="B593" s="1423"/>
      <c r="C593" s="1423"/>
      <c r="D593" s="1423"/>
      <c r="E593" s="1423"/>
      <c r="F593" s="1423"/>
      <c r="G593" s="1423"/>
      <c r="H593" s="1423"/>
      <c r="I593" s="1423"/>
      <c r="J593" s="1423"/>
      <c r="K593" s="1423"/>
      <c r="L593" s="1423"/>
      <c r="M593" s="1423"/>
      <c r="N593" s="1423"/>
      <c r="O593" s="1423"/>
      <c r="P593" s="1423"/>
      <c r="Q593" s="1423"/>
      <c r="R593" s="1423"/>
      <c r="S593" s="1423"/>
      <c r="T593" s="1423"/>
      <c r="U593" s="1423"/>
      <c r="V593" s="1423"/>
      <c r="W593" s="1423"/>
      <c r="X593" s="1423"/>
      <c r="Y593" s="1423"/>
      <c r="Z593" s="1423"/>
    </row>
    <row r="594" spans="1:26" ht="18.5">
      <c r="A594" s="1423"/>
      <c r="B594" s="1423"/>
      <c r="C594" s="1423"/>
      <c r="D594" s="1423"/>
      <c r="E594" s="1423"/>
      <c r="F594" s="1423"/>
      <c r="G594" s="1423"/>
      <c r="H594" s="1423"/>
      <c r="I594" s="1423"/>
      <c r="J594" s="1423"/>
      <c r="K594" s="1423"/>
      <c r="L594" s="1423"/>
      <c r="M594" s="1423"/>
      <c r="N594" s="1423"/>
      <c r="O594" s="1423"/>
      <c r="P594" s="1423"/>
      <c r="Q594" s="1423"/>
      <c r="R594" s="1423"/>
      <c r="S594" s="1423"/>
      <c r="T594" s="1423"/>
      <c r="U594" s="1423"/>
      <c r="V594" s="1423"/>
      <c r="W594" s="1423"/>
      <c r="X594" s="1423"/>
      <c r="Y594" s="1423"/>
      <c r="Z594" s="1423"/>
    </row>
    <row r="595" spans="1:26" ht="18.5">
      <c r="A595" s="1423"/>
      <c r="B595" s="1423"/>
      <c r="C595" s="1423"/>
      <c r="D595" s="1423"/>
      <c r="E595" s="1423"/>
      <c r="F595" s="1423"/>
      <c r="G595" s="1423"/>
      <c r="H595" s="1423"/>
      <c r="I595" s="1423"/>
      <c r="J595" s="1423"/>
      <c r="K595" s="1423"/>
      <c r="L595" s="1423"/>
      <c r="M595" s="1423"/>
      <c r="N595" s="1423"/>
      <c r="O595" s="1423"/>
      <c r="P595" s="1423"/>
      <c r="Q595" s="1423"/>
      <c r="R595" s="1423"/>
      <c r="S595" s="1423"/>
      <c r="T595" s="1423"/>
      <c r="U595" s="1423"/>
      <c r="V595" s="1423"/>
      <c r="W595" s="1423"/>
      <c r="X595" s="1423"/>
      <c r="Y595" s="1423"/>
      <c r="Z595" s="1423"/>
    </row>
    <row r="596" spans="1:26" ht="18.5">
      <c r="A596" s="1423"/>
      <c r="B596" s="1423"/>
      <c r="C596" s="1423"/>
      <c r="D596" s="1423"/>
      <c r="E596" s="1423"/>
      <c r="F596" s="1423"/>
      <c r="G596" s="1423"/>
      <c r="H596" s="1423"/>
      <c r="I596" s="1423"/>
      <c r="J596" s="1423"/>
      <c r="K596" s="1423"/>
      <c r="L596" s="1423"/>
      <c r="M596" s="1423"/>
      <c r="N596" s="1423"/>
      <c r="O596" s="1423"/>
      <c r="P596" s="1423"/>
      <c r="Q596" s="1423"/>
      <c r="R596" s="1423"/>
      <c r="S596" s="1423"/>
      <c r="T596" s="1423"/>
      <c r="U596" s="1423"/>
      <c r="V596" s="1423"/>
      <c r="W596" s="1423"/>
      <c r="X596" s="1423"/>
      <c r="Y596" s="1423"/>
      <c r="Z596" s="1423"/>
    </row>
    <row r="597" spans="1:26" ht="18.5">
      <c r="A597" s="1423"/>
      <c r="B597" s="1423"/>
      <c r="C597" s="1423"/>
      <c r="D597" s="1423"/>
      <c r="E597" s="1423"/>
      <c r="F597" s="1423"/>
      <c r="G597" s="1423"/>
      <c r="H597" s="1423"/>
      <c r="I597" s="1423"/>
      <c r="J597" s="1423"/>
      <c r="K597" s="1423"/>
      <c r="L597" s="1423"/>
      <c r="M597" s="1423"/>
      <c r="N597" s="1423"/>
      <c r="O597" s="1423"/>
      <c r="P597" s="1423"/>
      <c r="Q597" s="1423"/>
      <c r="R597" s="1423"/>
      <c r="S597" s="1423"/>
      <c r="T597" s="1423"/>
      <c r="U597" s="1423"/>
      <c r="V597" s="1423"/>
      <c r="W597" s="1423"/>
      <c r="X597" s="1423"/>
      <c r="Y597" s="1423"/>
      <c r="Z597" s="1423"/>
    </row>
    <row r="598" spans="1:26" ht="18.5">
      <c r="A598" s="1423"/>
      <c r="B598" s="1423"/>
      <c r="C598" s="1423"/>
      <c r="D598" s="1423"/>
      <c r="E598" s="1423"/>
      <c r="F598" s="1423"/>
      <c r="G598" s="1423"/>
      <c r="H598" s="1423"/>
      <c r="I598" s="1423"/>
      <c r="J598" s="1423"/>
      <c r="K598" s="1423"/>
      <c r="L598" s="1423"/>
      <c r="M598" s="1423"/>
      <c r="N598" s="1423"/>
      <c r="O598" s="1423"/>
      <c r="P598" s="1423"/>
      <c r="Q598" s="1423"/>
      <c r="R598" s="1423"/>
      <c r="S598" s="1423"/>
      <c r="T598" s="1423"/>
      <c r="U598" s="1423"/>
      <c r="V598" s="1423"/>
      <c r="W598" s="1423"/>
      <c r="X598" s="1423"/>
      <c r="Y598" s="1423"/>
      <c r="Z598" s="1423"/>
    </row>
    <row r="599" spans="1:26" ht="18.5">
      <c r="A599" s="1423"/>
      <c r="B599" s="1423"/>
      <c r="C599" s="1423"/>
      <c r="D599" s="1423"/>
      <c r="E599" s="1423"/>
      <c r="F599" s="1423"/>
      <c r="G599" s="1423"/>
      <c r="H599" s="1423"/>
      <c r="I599" s="1423"/>
      <c r="J599" s="1423"/>
      <c r="K599" s="1423"/>
      <c r="L599" s="1423"/>
      <c r="M599" s="1423"/>
      <c r="N599" s="1423"/>
      <c r="O599" s="1423"/>
      <c r="P599" s="1423"/>
      <c r="Q599" s="1423"/>
      <c r="R599" s="1423"/>
      <c r="S599" s="1423"/>
      <c r="T599" s="1423"/>
      <c r="U599" s="1423"/>
      <c r="V599" s="1423"/>
      <c r="W599" s="1423"/>
      <c r="X599" s="1423"/>
      <c r="Y599" s="1423"/>
      <c r="Z599" s="1423"/>
    </row>
    <row r="600" spans="1:26" ht="18.5">
      <c r="A600" s="1423"/>
      <c r="B600" s="1423"/>
      <c r="C600" s="1423"/>
      <c r="D600" s="1423"/>
      <c r="E600" s="1423"/>
      <c r="F600" s="1423"/>
      <c r="G600" s="1423"/>
      <c r="H600" s="1423"/>
      <c r="I600" s="1423"/>
      <c r="J600" s="1423"/>
      <c r="K600" s="1423"/>
      <c r="L600" s="1423"/>
      <c r="M600" s="1423"/>
      <c r="N600" s="1423"/>
      <c r="O600" s="1423"/>
      <c r="P600" s="1423"/>
      <c r="Q600" s="1423"/>
      <c r="R600" s="1423"/>
      <c r="S600" s="1423"/>
      <c r="T600" s="1423"/>
      <c r="U600" s="1423"/>
      <c r="V600" s="1423"/>
      <c r="W600" s="1423"/>
      <c r="X600" s="1423"/>
      <c r="Y600" s="1423"/>
      <c r="Z600" s="1423"/>
    </row>
    <row r="601" spans="1:26" ht="18.5">
      <c r="A601" s="1423"/>
      <c r="B601" s="1423"/>
      <c r="C601" s="1423"/>
      <c r="D601" s="1423"/>
      <c r="E601" s="1423"/>
      <c r="F601" s="1423"/>
      <c r="G601" s="1423"/>
      <c r="H601" s="1423"/>
      <c r="I601" s="1423"/>
      <c r="J601" s="1423"/>
      <c r="K601" s="1423"/>
      <c r="L601" s="1423"/>
      <c r="M601" s="1423"/>
      <c r="N601" s="1423"/>
      <c r="O601" s="1423"/>
      <c r="P601" s="1423"/>
      <c r="Q601" s="1423"/>
      <c r="R601" s="1423"/>
      <c r="S601" s="1423"/>
      <c r="T601" s="1423"/>
      <c r="U601" s="1423"/>
      <c r="V601" s="1423"/>
      <c r="W601" s="1423"/>
      <c r="X601" s="1423"/>
      <c r="Y601" s="1423"/>
      <c r="Z601" s="1423"/>
    </row>
    <row r="602" spans="1:26" ht="18.5">
      <c r="A602" s="1423"/>
      <c r="B602" s="1423"/>
      <c r="C602" s="1423"/>
      <c r="D602" s="1423"/>
      <c r="E602" s="1423"/>
      <c r="F602" s="1423"/>
      <c r="G602" s="1423"/>
      <c r="H602" s="1423"/>
      <c r="I602" s="1423"/>
      <c r="J602" s="1423"/>
      <c r="K602" s="1423"/>
      <c r="L602" s="1423"/>
      <c r="M602" s="1423"/>
      <c r="N602" s="1423"/>
      <c r="O602" s="1423"/>
      <c r="P602" s="1423"/>
      <c r="Q602" s="1423"/>
      <c r="R602" s="1423"/>
      <c r="S602" s="1423"/>
      <c r="T602" s="1423"/>
      <c r="U602" s="1423"/>
      <c r="V602" s="1423"/>
      <c r="W602" s="1423"/>
      <c r="X602" s="1423"/>
      <c r="Y602" s="1423"/>
      <c r="Z602" s="1423"/>
    </row>
    <row r="603" spans="1:26" ht="18.5">
      <c r="A603" s="1423"/>
      <c r="B603" s="1423"/>
      <c r="C603" s="1423"/>
      <c r="D603" s="1423"/>
      <c r="E603" s="1423"/>
      <c r="F603" s="1423"/>
      <c r="G603" s="1423"/>
      <c r="H603" s="1423"/>
      <c r="I603" s="1423"/>
      <c r="J603" s="1423"/>
      <c r="K603" s="1423"/>
      <c r="L603" s="1423"/>
      <c r="M603" s="1423"/>
      <c r="N603" s="1423"/>
      <c r="O603" s="1423"/>
      <c r="P603" s="1423"/>
      <c r="Q603" s="1423"/>
      <c r="R603" s="1423"/>
      <c r="S603" s="1423"/>
      <c r="T603" s="1423"/>
      <c r="U603" s="1423"/>
      <c r="V603" s="1423"/>
      <c r="W603" s="1423"/>
      <c r="X603" s="1423"/>
      <c r="Y603" s="1423"/>
      <c r="Z603" s="1423"/>
    </row>
    <row r="604" spans="1:26" ht="18.5">
      <c r="A604" s="1423"/>
      <c r="B604" s="1423"/>
      <c r="C604" s="1423"/>
      <c r="D604" s="1423"/>
      <c r="E604" s="1423"/>
      <c r="F604" s="1423"/>
      <c r="G604" s="1423"/>
      <c r="H604" s="1423"/>
      <c r="I604" s="1423"/>
      <c r="J604" s="1423"/>
      <c r="K604" s="1423"/>
      <c r="L604" s="1423"/>
      <c r="M604" s="1423"/>
      <c r="N604" s="1423"/>
      <c r="O604" s="1423"/>
      <c r="P604" s="1423"/>
      <c r="Q604" s="1423"/>
      <c r="R604" s="1423"/>
      <c r="S604" s="1423"/>
      <c r="T604" s="1423"/>
      <c r="U604" s="1423"/>
      <c r="V604" s="1423"/>
      <c r="W604" s="1423"/>
      <c r="X604" s="1423"/>
      <c r="Y604" s="1423"/>
      <c r="Z604" s="1423"/>
    </row>
    <row r="605" spans="1:26" ht="18.5">
      <c r="A605" s="1423"/>
      <c r="B605" s="1423"/>
      <c r="C605" s="1423"/>
      <c r="D605" s="1423"/>
      <c r="E605" s="1423"/>
      <c r="F605" s="1423"/>
      <c r="G605" s="1423"/>
      <c r="H605" s="1423"/>
      <c r="I605" s="1423"/>
      <c r="J605" s="1423"/>
      <c r="K605" s="1423"/>
      <c r="L605" s="1423"/>
      <c r="M605" s="1423"/>
      <c r="N605" s="1423"/>
      <c r="O605" s="1423"/>
      <c r="P605" s="1423"/>
      <c r="Q605" s="1423"/>
      <c r="R605" s="1423"/>
      <c r="S605" s="1423"/>
      <c r="T605" s="1423"/>
      <c r="U605" s="1423"/>
      <c r="V605" s="1423"/>
      <c r="W605" s="1423"/>
      <c r="X605" s="1423"/>
      <c r="Y605" s="1423"/>
      <c r="Z605" s="1423"/>
    </row>
    <row r="606" spans="1:26" ht="18.5">
      <c r="A606" s="1423"/>
      <c r="B606" s="1423"/>
      <c r="C606" s="1423"/>
      <c r="D606" s="1423"/>
      <c r="E606" s="1423"/>
      <c r="F606" s="1423"/>
      <c r="G606" s="1423"/>
      <c r="H606" s="1423"/>
      <c r="I606" s="1423"/>
      <c r="J606" s="1423"/>
      <c r="K606" s="1423"/>
      <c r="L606" s="1423"/>
      <c r="M606" s="1423"/>
      <c r="N606" s="1423"/>
      <c r="O606" s="1423"/>
      <c r="P606" s="1423"/>
      <c r="Q606" s="1423"/>
      <c r="R606" s="1423"/>
      <c r="S606" s="1423"/>
      <c r="T606" s="1423"/>
      <c r="U606" s="1423"/>
      <c r="V606" s="1423"/>
      <c r="W606" s="1423"/>
      <c r="X606" s="1423"/>
      <c r="Y606" s="1423"/>
      <c r="Z606" s="1423"/>
    </row>
    <row r="607" spans="1:26" ht="18.5">
      <c r="A607" s="1423"/>
      <c r="B607" s="1423"/>
      <c r="C607" s="1423"/>
      <c r="D607" s="1423"/>
      <c r="E607" s="1423"/>
      <c r="F607" s="1423"/>
      <c r="G607" s="1423"/>
      <c r="H607" s="1423"/>
      <c r="I607" s="1423"/>
      <c r="J607" s="1423"/>
      <c r="K607" s="1423"/>
      <c r="L607" s="1423"/>
      <c r="M607" s="1423"/>
      <c r="N607" s="1423"/>
      <c r="O607" s="1423"/>
      <c r="P607" s="1423"/>
      <c r="Q607" s="1423"/>
      <c r="R607" s="1423"/>
      <c r="S607" s="1423"/>
      <c r="T607" s="1423"/>
      <c r="U607" s="1423"/>
      <c r="V607" s="1423"/>
      <c r="W607" s="1423"/>
      <c r="X607" s="1423"/>
      <c r="Y607" s="1423"/>
      <c r="Z607" s="1423"/>
    </row>
    <row r="608" spans="1:26" ht="18.5">
      <c r="A608" s="1423"/>
      <c r="B608" s="1423"/>
      <c r="C608" s="1423"/>
      <c r="D608" s="1423"/>
      <c r="E608" s="1423"/>
      <c r="F608" s="1423"/>
      <c r="G608" s="1423"/>
      <c r="H608" s="1423"/>
      <c r="I608" s="1423"/>
      <c r="J608" s="1423"/>
      <c r="K608" s="1423"/>
      <c r="L608" s="1423"/>
      <c r="M608" s="1423"/>
      <c r="N608" s="1423"/>
      <c r="O608" s="1423"/>
      <c r="P608" s="1423"/>
      <c r="Q608" s="1423"/>
      <c r="R608" s="1423"/>
      <c r="S608" s="1423"/>
      <c r="T608" s="1423"/>
      <c r="U608" s="1423"/>
      <c r="V608" s="1423"/>
      <c r="W608" s="1423"/>
      <c r="X608" s="1423"/>
      <c r="Y608" s="1423"/>
      <c r="Z608" s="1423"/>
    </row>
    <row r="609" spans="1:26" ht="18.5">
      <c r="A609" s="1423"/>
      <c r="B609" s="1423"/>
      <c r="C609" s="1423"/>
      <c r="D609" s="1423"/>
      <c r="E609" s="1423"/>
      <c r="F609" s="1423"/>
      <c r="G609" s="1423"/>
      <c r="H609" s="1423"/>
      <c r="I609" s="1423"/>
      <c r="J609" s="1423"/>
      <c r="K609" s="1423"/>
      <c r="L609" s="1423"/>
      <c r="M609" s="1423"/>
      <c r="N609" s="1423"/>
      <c r="O609" s="1423"/>
      <c r="P609" s="1423"/>
      <c r="Q609" s="1423"/>
      <c r="R609" s="1423"/>
      <c r="S609" s="1423"/>
      <c r="T609" s="1423"/>
      <c r="U609" s="1423"/>
      <c r="V609" s="1423"/>
      <c r="W609" s="1423"/>
      <c r="X609" s="1423"/>
      <c r="Y609" s="1423"/>
      <c r="Z609" s="1423"/>
    </row>
    <row r="610" spans="1:26" ht="18.5">
      <c r="A610" s="1423"/>
      <c r="B610" s="1423"/>
      <c r="C610" s="1423"/>
      <c r="D610" s="1423"/>
      <c r="E610" s="1423"/>
      <c r="F610" s="1423"/>
      <c r="G610" s="1423"/>
      <c r="H610" s="1423"/>
      <c r="I610" s="1423"/>
      <c r="J610" s="1423"/>
      <c r="K610" s="1423"/>
      <c r="L610" s="1423"/>
      <c r="M610" s="1423"/>
      <c r="N610" s="1423"/>
      <c r="O610" s="1423"/>
      <c r="P610" s="1423"/>
      <c r="Q610" s="1423"/>
      <c r="R610" s="1423"/>
      <c r="S610" s="1423"/>
      <c r="T610" s="1423"/>
      <c r="U610" s="1423"/>
      <c r="V610" s="1423"/>
      <c r="W610" s="1423"/>
      <c r="X610" s="1423"/>
      <c r="Y610" s="1423"/>
      <c r="Z610" s="1423"/>
    </row>
    <row r="611" spans="1:26" ht="18.5">
      <c r="A611" s="1423"/>
      <c r="B611" s="1423"/>
      <c r="C611" s="1423"/>
      <c r="D611" s="1423"/>
      <c r="E611" s="1423"/>
      <c r="F611" s="1423"/>
      <c r="G611" s="1423"/>
      <c r="H611" s="1423"/>
      <c r="I611" s="1423"/>
      <c r="J611" s="1423"/>
      <c r="K611" s="1423"/>
      <c r="L611" s="1423"/>
      <c r="M611" s="1423"/>
      <c r="N611" s="1423"/>
      <c r="O611" s="1423"/>
      <c r="P611" s="1423"/>
      <c r="Q611" s="1423"/>
      <c r="R611" s="1423"/>
      <c r="S611" s="1423"/>
      <c r="T611" s="1423"/>
      <c r="U611" s="1423"/>
      <c r="V611" s="1423"/>
      <c r="W611" s="1423"/>
      <c r="X611" s="1423"/>
      <c r="Y611" s="1423"/>
      <c r="Z611" s="1423"/>
    </row>
    <row r="612" spans="1:26" ht="18.5">
      <c r="A612" s="1423"/>
      <c r="B612" s="1423"/>
      <c r="C612" s="1423"/>
      <c r="D612" s="1423"/>
      <c r="E612" s="1423"/>
      <c r="F612" s="1423"/>
      <c r="G612" s="1423"/>
      <c r="H612" s="1423"/>
      <c r="I612" s="1423"/>
      <c r="J612" s="1423"/>
      <c r="K612" s="1423"/>
      <c r="L612" s="1423"/>
      <c r="M612" s="1423"/>
      <c r="N612" s="1423"/>
      <c r="O612" s="1423"/>
      <c r="P612" s="1423"/>
      <c r="Q612" s="1423"/>
      <c r="R612" s="1423"/>
      <c r="S612" s="1423"/>
      <c r="T612" s="1423"/>
      <c r="U612" s="1423"/>
      <c r="V612" s="1423"/>
      <c r="W612" s="1423"/>
      <c r="X612" s="1423"/>
      <c r="Y612" s="1423"/>
      <c r="Z612" s="1423"/>
    </row>
    <row r="613" spans="1:26" ht="18.5">
      <c r="A613" s="1423"/>
      <c r="B613" s="1423"/>
      <c r="C613" s="1423"/>
      <c r="D613" s="1423"/>
      <c r="E613" s="1423"/>
      <c r="F613" s="1423"/>
      <c r="G613" s="1423"/>
      <c r="H613" s="1423"/>
      <c r="I613" s="1423"/>
      <c r="J613" s="1423"/>
      <c r="K613" s="1423"/>
      <c r="L613" s="1423"/>
      <c r="M613" s="1423"/>
      <c r="N613" s="1423"/>
      <c r="O613" s="1423"/>
      <c r="P613" s="1423"/>
      <c r="Q613" s="1423"/>
      <c r="R613" s="1423"/>
      <c r="S613" s="1423"/>
      <c r="T613" s="1423"/>
      <c r="U613" s="1423"/>
      <c r="V613" s="1423"/>
      <c r="W613" s="1423"/>
      <c r="X613" s="1423"/>
      <c r="Y613" s="1423"/>
      <c r="Z613" s="1423"/>
    </row>
    <row r="614" spans="1:26" ht="18.5">
      <c r="A614" s="1423"/>
      <c r="B614" s="1423"/>
      <c r="C614" s="1423"/>
      <c r="D614" s="1423"/>
      <c r="E614" s="1423"/>
      <c r="F614" s="1423"/>
      <c r="G614" s="1423"/>
      <c r="H614" s="1423"/>
      <c r="I614" s="1423"/>
      <c r="J614" s="1423"/>
      <c r="K614" s="1423"/>
      <c r="L614" s="1423"/>
      <c r="M614" s="1423"/>
      <c r="N614" s="1423"/>
      <c r="O614" s="1423"/>
      <c r="P614" s="1423"/>
      <c r="Q614" s="1423"/>
      <c r="R614" s="1423"/>
      <c r="S614" s="1423"/>
      <c r="T614" s="1423"/>
      <c r="U614" s="1423"/>
      <c r="V614" s="1423"/>
      <c r="W614" s="1423"/>
      <c r="X614" s="1423"/>
      <c r="Y614" s="1423"/>
      <c r="Z614" s="1423"/>
    </row>
    <row r="615" spans="1:26" ht="18.5">
      <c r="A615" s="1423"/>
      <c r="B615" s="1423"/>
      <c r="C615" s="1423"/>
      <c r="D615" s="1423"/>
      <c r="E615" s="1423"/>
      <c r="F615" s="1423"/>
      <c r="G615" s="1423"/>
      <c r="H615" s="1423"/>
      <c r="I615" s="1423"/>
      <c r="J615" s="1423"/>
      <c r="K615" s="1423"/>
      <c r="L615" s="1423"/>
      <c r="M615" s="1423"/>
      <c r="N615" s="1423"/>
      <c r="O615" s="1423"/>
      <c r="P615" s="1423"/>
      <c r="Q615" s="1423"/>
      <c r="R615" s="1423"/>
      <c r="S615" s="1423"/>
      <c r="T615" s="1423"/>
      <c r="U615" s="1423"/>
      <c r="V615" s="1423"/>
      <c r="W615" s="1423"/>
      <c r="X615" s="1423"/>
      <c r="Y615" s="1423"/>
      <c r="Z615" s="1423"/>
    </row>
    <row r="616" spans="1:26" ht="18.5">
      <c r="A616" s="1423"/>
      <c r="B616" s="1423"/>
      <c r="C616" s="1423"/>
      <c r="D616" s="1423"/>
      <c r="E616" s="1423"/>
      <c r="F616" s="1423"/>
      <c r="G616" s="1423"/>
      <c r="H616" s="1423"/>
      <c r="I616" s="1423"/>
      <c r="J616" s="1423"/>
      <c r="K616" s="1423"/>
      <c r="L616" s="1423"/>
      <c r="M616" s="1423"/>
      <c r="N616" s="1423"/>
      <c r="O616" s="1423"/>
      <c r="P616" s="1423"/>
      <c r="Q616" s="1423"/>
      <c r="R616" s="1423"/>
      <c r="S616" s="1423"/>
      <c r="T616" s="1423"/>
      <c r="U616" s="1423"/>
      <c r="V616" s="1423"/>
      <c r="W616" s="1423"/>
      <c r="X616" s="1423"/>
      <c r="Y616" s="1423"/>
      <c r="Z616" s="1423"/>
    </row>
    <row r="617" spans="1:26" ht="18.5">
      <c r="A617" s="1423"/>
      <c r="B617" s="1423"/>
      <c r="C617" s="1423"/>
      <c r="D617" s="1423"/>
      <c r="E617" s="1423"/>
      <c r="F617" s="1423"/>
      <c r="G617" s="1423"/>
      <c r="H617" s="1423"/>
      <c r="I617" s="1423"/>
      <c r="J617" s="1423"/>
      <c r="K617" s="1423"/>
      <c r="L617" s="1423"/>
      <c r="M617" s="1423"/>
      <c r="N617" s="1423"/>
      <c r="O617" s="1423"/>
      <c r="P617" s="1423"/>
      <c r="Q617" s="1423"/>
      <c r="R617" s="1423"/>
      <c r="S617" s="1423"/>
      <c r="T617" s="1423"/>
      <c r="U617" s="1423"/>
      <c r="V617" s="1423"/>
      <c r="W617" s="1423"/>
      <c r="X617" s="1423"/>
      <c r="Y617" s="1423"/>
      <c r="Z617" s="1423"/>
    </row>
    <row r="618" spans="1:26" ht="18.5">
      <c r="A618" s="1423"/>
      <c r="B618" s="1423"/>
      <c r="C618" s="1423"/>
      <c r="D618" s="1423"/>
      <c r="E618" s="1423"/>
      <c r="F618" s="1423"/>
      <c r="G618" s="1423"/>
      <c r="H618" s="1423"/>
      <c r="I618" s="1423"/>
      <c r="J618" s="1423"/>
      <c r="K618" s="1423"/>
      <c r="L618" s="1423"/>
      <c r="M618" s="1423"/>
      <c r="N618" s="1423"/>
      <c r="O618" s="1423"/>
      <c r="P618" s="1423"/>
      <c r="Q618" s="1423"/>
      <c r="R618" s="1423"/>
      <c r="S618" s="1423"/>
      <c r="T618" s="1423"/>
      <c r="U618" s="1423"/>
      <c r="V618" s="1423"/>
      <c r="W618" s="1423"/>
      <c r="X618" s="1423"/>
      <c r="Y618" s="1423"/>
      <c r="Z618" s="1423"/>
    </row>
    <row r="619" spans="1:26" ht="18.5">
      <c r="A619" s="1423"/>
      <c r="B619" s="1423"/>
      <c r="C619" s="1423"/>
      <c r="D619" s="1423"/>
      <c r="E619" s="1423"/>
      <c r="F619" s="1423"/>
      <c r="G619" s="1423"/>
      <c r="H619" s="1423"/>
      <c r="I619" s="1423"/>
      <c r="J619" s="1423"/>
      <c r="K619" s="1423"/>
      <c r="L619" s="1423"/>
      <c r="M619" s="1423"/>
      <c r="N619" s="1423"/>
      <c r="O619" s="1423"/>
      <c r="P619" s="1423"/>
      <c r="Q619" s="1423"/>
      <c r="R619" s="1423"/>
      <c r="S619" s="1423"/>
      <c r="T619" s="1423"/>
      <c r="U619" s="1423"/>
      <c r="V619" s="1423"/>
      <c r="W619" s="1423"/>
      <c r="X619" s="1423"/>
      <c r="Y619" s="1423"/>
      <c r="Z619" s="1423"/>
    </row>
    <row r="620" spans="1:26" ht="18.5">
      <c r="A620" s="1423"/>
      <c r="B620" s="1423"/>
      <c r="C620" s="1423"/>
      <c r="D620" s="1423"/>
      <c r="E620" s="1423"/>
      <c r="F620" s="1423"/>
      <c r="G620" s="1423"/>
      <c r="H620" s="1423"/>
      <c r="I620" s="1423"/>
      <c r="J620" s="1423"/>
      <c r="K620" s="1423"/>
      <c r="L620" s="1423"/>
      <c r="M620" s="1423"/>
      <c r="N620" s="1423"/>
      <c r="O620" s="1423"/>
      <c r="P620" s="1423"/>
      <c r="Q620" s="1423"/>
      <c r="R620" s="1423"/>
      <c r="S620" s="1423"/>
      <c r="T620" s="1423"/>
      <c r="U620" s="1423"/>
      <c r="V620" s="1423"/>
      <c r="W620" s="1423"/>
      <c r="X620" s="1423"/>
      <c r="Y620" s="1423"/>
      <c r="Z620" s="1423"/>
    </row>
    <row r="621" spans="1:26" ht="18.5">
      <c r="A621" s="1423"/>
      <c r="B621" s="1423"/>
      <c r="C621" s="1423"/>
      <c r="D621" s="1423"/>
      <c r="E621" s="1423"/>
      <c r="F621" s="1423"/>
      <c r="G621" s="1423"/>
      <c r="H621" s="1423"/>
      <c r="I621" s="1423"/>
      <c r="J621" s="1423"/>
      <c r="K621" s="1423"/>
      <c r="L621" s="1423"/>
      <c r="M621" s="1423"/>
      <c r="N621" s="1423"/>
      <c r="O621" s="1423"/>
      <c r="P621" s="1423"/>
      <c r="Q621" s="1423"/>
      <c r="R621" s="1423"/>
      <c r="S621" s="1423"/>
      <c r="T621" s="1423"/>
      <c r="U621" s="1423"/>
      <c r="V621" s="1423"/>
      <c r="W621" s="1423"/>
      <c r="X621" s="1423"/>
      <c r="Y621" s="1423"/>
      <c r="Z621" s="1423"/>
    </row>
    <row r="622" spans="1:26" ht="18.5">
      <c r="A622" s="1423"/>
      <c r="B622" s="1423"/>
      <c r="C622" s="1423"/>
      <c r="D622" s="1423"/>
      <c r="E622" s="1423"/>
      <c r="F622" s="1423"/>
      <c r="G622" s="1423"/>
      <c r="H622" s="1423"/>
      <c r="I622" s="1423"/>
      <c r="J622" s="1423"/>
      <c r="K622" s="1423"/>
      <c r="L622" s="1423"/>
      <c r="M622" s="1423"/>
      <c r="N622" s="1423"/>
      <c r="O622" s="1423"/>
      <c r="P622" s="1423"/>
      <c r="Q622" s="1423"/>
      <c r="R622" s="1423"/>
      <c r="S622" s="1423"/>
      <c r="T622" s="1423"/>
      <c r="U622" s="1423"/>
      <c r="V622" s="1423"/>
      <c r="W622" s="1423"/>
      <c r="X622" s="1423"/>
      <c r="Y622" s="1423"/>
      <c r="Z622" s="1423"/>
    </row>
    <row r="623" spans="1:26" ht="18.5">
      <c r="A623" s="1423"/>
      <c r="B623" s="1423"/>
      <c r="C623" s="1423"/>
      <c r="D623" s="1423"/>
      <c r="E623" s="1423"/>
      <c r="F623" s="1423"/>
      <c r="G623" s="1423"/>
      <c r="H623" s="1423"/>
      <c r="I623" s="1423"/>
      <c r="J623" s="1423"/>
      <c r="K623" s="1423"/>
      <c r="L623" s="1423"/>
      <c r="M623" s="1423"/>
      <c r="N623" s="1423"/>
      <c r="O623" s="1423"/>
      <c r="P623" s="1423"/>
      <c r="Q623" s="1423"/>
      <c r="R623" s="1423"/>
      <c r="S623" s="1423"/>
      <c r="T623" s="1423"/>
      <c r="U623" s="1423"/>
      <c r="V623" s="1423"/>
      <c r="W623" s="1423"/>
      <c r="X623" s="1423"/>
      <c r="Y623" s="1423"/>
      <c r="Z623" s="1423"/>
    </row>
    <row r="624" spans="1:26" ht="18.5">
      <c r="A624" s="1423"/>
      <c r="B624" s="1423"/>
      <c r="C624" s="1423"/>
      <c r="D624" s="1423"/>
      <c r="E624" s="1423"/>
      <c r="F624" s="1423"/>
      <c r="G624" s="1423"/>
      <c r="H624" s="1423"/>
      <c r="I624" s="1423"/>
      <c r="J624" s="1423"/>
      <c r="K624" s="1423"/>
      <c r="L624" s="1423"/>
      <c r="M624" s="1423"/>
      <c r="N624" s="1423"/>
      <c r="O624" s="1423"/>
      <c r="P624" s="1423"/>
      <c r="Q624" s="1423"/>
      <c r="R624" s="1423"/>
      <c r="S624" s="1423"/>
      <c r="T624" s="1423"/>
      <c r="U624" s="1423"/>
      <c r="V624" s="1423"/>
      <c r="W624" s="1423"/>
      <c r="X624" s="1423"/>
      <c r="Y624" s="1423"/>
      <c r="Z624" s="1423"/>
    </row>
    <row r="625" spans="1:26" ht="18.5">
      <c r="A625" s="1423"/>
      <c r="B625" s="1423"/>
      <c r="C625" s="1423"/>
      <c r="D625" s="1423"/>
      <c r="E625" s="1423"/>
      <c r="F625" s="1423"/>
      <c r="G625" s="1423"/>
      <c r="H625" s="1423"/>
      <c r="I625" s="1423"/>
      <c r="J625" s="1423"/>
      <c r="K625" s="1423"/>
      <c r="L625" s="1423"/>
      <c r="M625" s="1423"/>
      <c r="N625" s="1423"/>
      <c r="O625" s="1423"/>
      <c r="P625" s="1423"/>
      <c r="Q625" s="1423"/>
      <c r="R625" s="1423"/>
      <c r="S625" s="1423"/>
      <c r="T625" s="1423"/>
      <c r="U625" s="1423"/>
      <c r="V625" s="1423"/>
      <c r="W625" s="1423"/>
      <c r="X625" s="1423"/>
      <c r="Y625" s="1423"/>
      <c r="Z625" s="1423"/>
    </row>
    <row r="626" spans="1:26" ht="18.5">
      <c r="A626" s="1423"/>
      <c r="B626" s="1423"/>
      <c r="C626" s="1423"/>
      <c r="D626" s="1423"/>
      <c r="E626" s="1423"/>
      <c r="F626" s="1423"/>
      <c r="G626" s="1423"/>
      <c r="H626" s="1423"/>
      <c r="I626" s="1423"/>
      <c r="J626" s="1423"/>
      <c r="K626" s="1423"/>
      <c r="L626" s="1423"/>
      <c r="M626" s="1423"/>
      <c r="N626" s="1423"/>
      <c r="O626" s="1423"/>
      <c r="P626" s="1423"/>
      <c r="Q626" s="1423"/>
      <c r="R626" s="1423"/>
      <c r="S626" s="1423"/>
      <c r="T626" s="1423"/>
      <c r="U626" s="1423"/>
      <c r="V626" s="1423"/>
      <c r="W626" s="1423"/>
      <c r="X626" s="1423"/>
      <c r="Y626" s="1423"/>
      <c r="Z626" s="1423"/>
    </row>
    <row r="627" spans="1:26" ht="18.5">
      <c r="A627" s="1423"/>
      <c r="B627" s="1423"/>
      <c r="C627" s="1423"/>
      <c r="D627" s="1423"/>
      <c r="E627" s="1423"/>
      <c r="F627" s="1423"/>
      <c r="G627" s="1423"/>
      <c r="H627" s="1423"/>
      <c r="I627" s="1423"/>
      <c r="J627" s="1423"/>
      <c r="K627" s="1423"/>
      <c r="L627" s="1423"/>
      <c r="M627" s="1423"/>
      <c r="N627" s="1423"/>
      <c r="O627" s="1423"/>
      <c r="P627" s="1423"/>
      <c r="Q627" s="1423"/>
      <c r="R627" s="1423"/>
      <c r="S627" s="1423"/>
      <c r="T627" s="1423"/>
      <c r="U627" s="1423"/>
      <c r="V627" s="1423"/>
      <c r="W627" s="1423"/>
      <c r="X627" s="1423"/>
      <c r="Y627" s="1423"/>
      <c r="Z627" s="1423"/>
    </row>
    <row r="628" spans="1:26" ht="18.5">
      <c r="A628" s="1423"/>
      <c r="B628" s="1423"/>
      <c r="C628" s="1423"/>
      <c r="D628" s="1423"/>
      <c r="E628" s="1423"/>
      <c r="F628" s="1423"/>
      <c r="G628" s="1423"/>
      <c r="H628" s="1423"/>
      <c r="I628" s="1423"/>
      <c r="J628" s="1423"/>
      <c r="K628" s="1423"/>
      <c r="L628" s="1423"/>
      <c r="M628" s="1423"/>
      <c r="N628" s="1423"/>
      <c r="O628" s="1423"/>
      <c r="P628" s="1423"/>
      <c r="Q628" s="1423"/>
      <c r="R628" s="1423"/>
      <c r="S628" s="1423"/>
      <c r="T628" s="1423"/>
      <c r="U628" s="1423"/>
      <c r="V628" s="1423"/>
      <c r="W628" s="1423"/>
      <c r="X628" s="1423"/>
      <c r="Y628" s="1423"/>
      <c r="Z628" s="1423"/>
    </row>
    <row r="629" spans="1:26" ht="18.5">
      <c r="A629" s="1423"/>
      <c r="B629" s="1423"/>
      <c r="C629" s="1423"/>
      <c r="D629" s="1423"/>
      <c r="E629" s="1423"/>
      <c r="F629" s="1423"/>
      <c r="G629" s="1423"/>
      <c r="H629" s="1423"/>
      <c r="I629" s="1423"/>
      <c r="J629" s="1423"/>
      <c r="K629" s="1423"/>
      <c r="L629" s="1423"/>
      <c r="M629" s="1423"/>
      <c r="N629" s="1423"/>
      <c r="O629" s="1423"/>
      <c r="P629" s="1423"/>
      <c r="Q629" s="1423"/>
      <c r="R629" s="1423"/>
      <c r="S629" s="1423"/>
      <c r="T629" s="1423"/>
      <c r="U629" s="1423"/>
      <c r="V629" s="1423"/>
      <c r="W629" s="1423"/>
      <c r="X629" s="1423"/>
      <c r="Y629" s="1423"/>
      <c r="Z629" s="1423"/>
    </row>
    <row r="630" spans="1:26" ht="18.5">
      <c r="A630" s="1423"/>
      <c r="B630" s="1423"/>
      <c r="C630" s="1423"/>
      <c r="D630" s="1423"/>
      <c r="E630" s="1423"/>
      <c r="F630" s="1423"/>
      <c r="G630" s="1423"/>
      <c r="H630" s="1423"/>
      <c r="I630" s="1423"/>
      <c r="J630" s="1423"/>
      <c r="K630" s="1423"/>
      <c r="L630" s="1423"/>
      <c r="M630" s="1423"/>
      <c r="N630" s="1423"/>
      <c r="O630" s="1423"/>
      <c r="P630" s="1423"/>
      <c r="Q630" s="1423"/>
      <c r="R630" s="1423"/>
      <c r="S630" s="1423"/>
      <c r="T630" s="1423"/>
      <c r="U630" s="1423"/>
      <c r="V630" s="1423"/>
      <c r="W630" s="1423"/>
      <c r="X630" s="1423"/>
      <c r="Y630" s="1423"/>
      <c r="Z630" s="1423"/>
    </row>
    <row r="631" spans="1:26" ht="18.5">
      <c r="A631" s="1423"/>
      <c r="B631" s="1423"/>
      <c r="C631" s="1423"/>
      <c r="D631" s="1423"/>
      <c r="E631" s="1423"/>
      <c r="F631" s="1423"/>
      <c r="G631" s="1423"/>
      <c r="H631" s="1423"/>
      <c r="I631" s="1423"/>
      <c r="J631" s="1423"/>
      <c r="K631" s="1423"/>
      <c r="L631" s="1423"/>
      <c r="M631" s="1423"/>
      <c r="N631" s="1423"/>
      <c r="O631" s="1423"/>
      <c r="P631" s="1423"/>
      <c r="Q631" s="1423"/>
      <c r="R631" s="1423"/>
      <c r="S631" s="1423"/>
      <c r="T631" s="1423"/>
      <c r="U631" s="1423"/>
      <c r="V631" s="1423"/>
      <c r="W631" s="1423"/>
      <c r="X631" s="1423"/>
      <c r="Y631" s="1423"/>
      <c r="Z631" s="1423"/>
    </row>
    <row r="632" spans="1:26" ht="18.5">
      <c r="A632" s="1423"/>
      <c r="B632" s="1423"/>
      <c r="C632" s="1423"/>
      <c r="D632" s="1423"/>
      <c r="E632" s="1423"/>
      <c r="F632" s="1423"/>
      <c r="G632" s="1423"/>
      <c r="H632" s="1423"/>
      <c r="I632" s="1423"/>
      <c r="J632" s="1423"/>
      <c r="K632" s="1423"/>
      <c r="L632" s="1423"/>
      <c r="M632" s="1423"/>
      <c r="N632" s="1423"/>
      <c r="O632" s="1423"/>
      <c r="P632" s="1423"/>
      <c r="Q632" s="1423"/>
      <c r="R632" s="1423"/>
      <c r="S632" s="1423"/>
      <c r="T632" s="1423"/>
      <c r="U632" s="1423"/>
      <c r="V632" s="1423"/>
      <c r="W632" s="1423"/>
      <c r="X632" s="1423"/>
      <c r="Y632" s="1423"/>
      <c r="Z632" s="1423"/>
    </row>
    <row r="633" spans="1:26" ht="18.5">
      <c r="A633" s="1423"/>
      <c r="B633" s="1423"/>
      <c r="C633" s="1423"/>
      <c r="D633" s="1423"/>
      <c r="E633" s="1423"/>
      <c r="F633" s="1423"/>
      <c r="G633" s="1423"/>
      <c r="H633" s="1423"/>
      <c r="I633" s="1423"/>
      <c r="J633" s="1423"/>
      <c r="K633" s="1423"/>
      <c r="L633" s="1423"/>
      <c r="M633" s="1423"/>
      <c r="N633" s="1423"/>
      <c r="O633" s="1423"/>
      <c r="P633" s="1423"/>
      <c r="Q633" s="1423"/>
      <c r="R633" s="1423"/>
      <c r="S633" s="1423"/>
      <c r="T633" s="1423"/>
      <c r="U633" s="1423"/>
      <c r="V633" s="1423"/>
      <c r="W633" s="1423"/>
      <c r="X633" s="1423"/>
      <c r="Y633" s="1423"/>
      <c r="Z633" s="1423"/>
    </row>
    <row r="634" spans="1:26" ht="18.5">
      <c r="A634" s="1423"/>
      <c r="B634" s="1423"/>
      <c r="C634" s="1423"/>
      <c r="D634" s="1423"/>
      <c r="E634" s="1423"/>
      <c r="F634" s="1423"/>
      <c r="G634" s="1423"/>
      <c r="H634" s="1423"/>
      <c r="I634" s="1423"/>
      <c r="J634" s="1423"/>
      <c r="K634" s="1423"/>
      <c r="L634" s="1423"/>
      <c r="M634" s="1423"/>
      <c r="N634" s="1423"/>
      <c r="O634" s="1423"/>
      <c r="P634" s="1423"/>
      <c r="Q634" s="1423"/>
      <c r="R634" s="1423"/>
      <c r="S634" s="1423"/>
      <c r="T634" s="1423"/>
      <c r="U634" s="1423"/>
      <c r="V634" s="1423"/>
      <c r="W634" s="1423"/>
      <c r="X634" s="1423"/>
      <c r="Y634" s="1423"/>
      <c r="Z634" s="1423"/>
    </row>
    <row r="635" spans="1:26" ht="18.5">
      <c r="A635" s="1423"/>
      <c r="B635" s="1423"/>
      <c r="C635" s="1423"/>
      <c r="D635" s="1423"/>
      <c r="E635" s="1423"/>
      <c r="F635" s="1423"/>
      <c r="G635" s="1423"/>
      <c r="H635" s="1423"/>
      <c r="I635" s="1423"/>
      <c r="J635" s="1423"/>
      <c r="K635" s="1423"/>
      <c r="L635" s="1423"/>
      <c r="M635" s="1423"/>
      <c r="N635" s="1423"/>
      <c r="O635" s="1423"/>
      <c r="P635" s="1423"/>
      <c r="Q635" s="1423"/>
      <c r="R635" s="1423"/>
      <c r="S635" s="1423"/>
      <c r="T635" s="1423"/>
      <c r="U635" s="1423"/>
      <c r="V635" s="1423"/>
      <c r="W635" s="1423"/>
      <c r="X635" s="1423"/>
      <c r="Y635" s="1423"/>
      <c r="Z635" s="1423"/>
    </row>
    <row r="636" spans="1:26" ht="18.5">
      <c r="A636" s="1423"/>
      <c r="B636" s="1423"/>
      <c r="C636" s="1423"/>
      <c r="D636" s="1423"/>
      <c r="E636" s="1423"/>
      <c r="F636" s="1423"/>
      <c r="G636" s="1423"/>
      <c r="H636" s="1423"/>
      <c r="I636" s="1423"/>
      <c r="J636" s="1423"/>
      <c r="K636" s="1423"/>
      <c r="L636" s="1423"/>
      <c r="M636" s="1423"/>
      <c r="N636" s="1423"/>
      <c r="O636" s="1423"/>
      <c r="P636" s="1423"/>
      <c r="Q636" s="1423"/>
      <c r="R636" s="1423"/>
      <c r="S636" s="1423"/>
      <c r="T636" s="1423"/>
      <c r="U636" s="1423"/>
      <c r="V636" s="1423"/>
      <c r="W636" s="1423"/>
      <c r="X636" s="1423"/>
      <c r="Y636" s="1423"/>
      <c r="Z636" s="1423"/>
    </row>
    <row r="637" spans="1:26" ht="18.5">
      <c r="A637" s="1423"/>
      <c r="B637" s="1423"/>
      <c r="C637" s="1423"/>
      <c r="D637" s="1423"/>
      <c r="E637" s="1423"/>
      <c r="F637" s="1423"/>
      <c r="G637" s="1423"/>
      <c r="H637" s="1423"/>
      <c r="I637" s="1423"/>
      <c r="J637" s="1423"/>
      <c r="K637" s="1423"/>
      <c r="L637" s="1423"/>
      <c r="M637" s="1423"/>
      <c r="N637" s="1423"/>
      <c r="O637" s="1423"/>
      <c r="P637" s="1423"/>
      <c r="Q637" s="1423"/>
      <c r="R637" s="1423"/>
      <c r="S637" s="1423"/>
      <c r="T637" s="1423"/>
      <c r="U637" s="1423"/>
      <c r="V637" s="1423"/>
      <c r="W637" s="1423"/>
      <c r="X637" s="1423"/>
      <c r="Y637" s="1423"/>
      <c r="Z637" s="1423"/>
    </row>
    <row r="638" spans="1:26" ht="18.5">
      <c r="A638" s="1423"/>
      <c r="B638" s="1423"/>
      <c r="C638" s="1423"/>
      <c r="D638" s="1423"/>
      <c r="E638" s="1423"/>
      <c r="F638" s="1423"/>
      <c r="G638" s="1423"/>
      <c r="H638" s="1423"/>
      <c r="I638" s="1423"/>
      <c r="J638" s="1423"/>
      <c r="K638" s="1423"/>
      <c r="L638" s="1423"/>
      <c r="M638" s="1423"/>
      <c r="N638" s="1423"/>
      <c r="O638" s="1423"/>
      <c r="P638" s="1423"/>
      <c r="Q638" s="1423"/>
      <c r="R638" s="1423"/>
      <c r="S638" s="1423"/>
      <c r="T638" s="1423"/>
      <c r="U638" s="1423"/>
      <c r="V638" s="1423"/>
      <c r="W638" s="1423"/>
      <c r="X638" s="1423"/>
      <c r="Y638" s="1423"/>
      <c r="Z638" s="1423"/>
    </row>
    <row r="639" spans="1:26" ht="18.5">
      <c r="A639" s="1423"/>
      <c r="B639" s="1423"/>
      <c r="C639" s="1423"/>
      <c r="D639" s="1423"/>
      <c r="E639" s="1423"/>
      <c r="F639" s="1423"/>
      <c r="G639" s="1423"/>
      <c r="H639" s="1423"/>
      <c r="I639" s="1423"/>
      <c r="J639" s="1423"/>
      <c r="K639" s="1423"/>
      <c r="L639" s="1423"/>
      <c r="M639" s="1423"/>
      <c r="N639" s="1423"/>
      <c r="O639" s="1423"/>
      <c r="P639" s="1423"/>
      <c r="Q639" s="1423"/>
      <c r="R639" s="1423"/>
      <c r="S639" s="1423"/>
      <c r="T639" s="1423"/>
      <c r="U639" s="1423"/>
      <c r="V639" s="1423"/>
      <c r="W639" s="1423"/>
      <c r="X639" s="1423"/>
      <c r="Y639" s="1423"/>
      <c r="Z639" s="1423"/>
    </row>
    <row r="640" spans="1:26" ht="18.5">
      <c r="A640" s="1423"/>
      <c r="B640" s="1423"/>
      <c r="C640" s="1423"/>
      <c r="D640" s="1423"/>
      <c r="E640" s="1423"/>
      <c r="F640" s="1423"/>
      <c r="G640" s="1423"/>
      <c r="H640" s="1423"/>
      <c r="I640" s="1423"/>
      <c r="J640" s="1423"/>
      <c r="K640" s="1423"/>
      <c r="L640" s="1423"/>
      <c r="M640" s="1423"/>
      <c r="N640" s="1423"/>
      <c r="O640" s="1423"/>
      <c r="P640" s="1423"/>
      <c r="Q640" s="1423"/>
      <c r="R640" s="1423"/>
      <c r="S640" s="1423"/>
      <c r="T640" s="1423"/>
      <c r="U640" s="1423"/>
      <c r="V640" s="1423"/>
      <c r="W640" s="1423"/>
      <c r="X640" s="1423"/>
      <c r="Y640" s="1423"/>
      <c r="Z640" s="1423"/>
    </row>
    <row r="641" spans="1:26" ht="18.5">
      <c r="A641" s="1423"/>
      <c r="B641" s="1423"/>
      <c r="C641" s="1423"/>
      <c r="D641" s="1423"/>
      <c r="E641" s="1423"/>
      <c r="F641" s="1423"/>
      <c r="G641" s="1423"/>
      <c r="H641" s="1423"/>
      <c r="I641" s="1423"/>
      <c r="J641" s="1423"/>
      <c r="K641" s="1423"/>
      <c r="L641" s="1423"/>
      <c r="M641" s="1423"/>
      <c r="N641" s="1423"/>
      <c r="O641" s="1423"/>
      <c r="P641" s="1423"/>
      <c r="Q641" s="1423"/>
      <c r="R641" s="1423"/>
      <c r="S641" s="1423"/>
      <c r="T641" s="1423"/>
      <c r="U641" s="1423"/>
      <c r="V641" s="1423"/>
      <c r="W641" s="1423"/>
      <c r="X641" s="1423"/>
      <c r="Y641" s="1423"/>
      <c r="Z641" s="1423"/>
    </row>
    <row r="642" spans="1:26" ht="18.5">
      <c r="A642" s="1423"/>
      <c r="B642" s="1423"/>
      <c r="C642" s="1423"/>
      <c r="D642" s="1423"/>
      <c r="E642" s="1423"/>
      <c r="F642" s="1423"/>
      <c r="G642" s="1423"/>
      <c r="H642" s="1423"/>
      <c r="I642" s="1423"/>
      <c r="J642" s="1423"/>
      <c r="K642" s="1423"/>
      <c r="L642" s="1423"/>
      <c r="M642" s="1423"/>
      <c r="N642" s="1423"/>
      <c r="O642" s="1423"/>
      <c r="P642" s="1423"/>
      <c r="Q642" s="1423"/>
      <c r="R642" s="1423"/>
      <c r="S642" s="1423"/>
      <c r="T642" s="1423"/>
      <c r="U642" s="1423"/>
      <c r="V642" s="1423"/>
      <c r="W642" s="1423"/>
      <c r="X642" s="1423"/>
      <c r="Y642" s="1423"/>
      <c r="Z642" s="1423"/>
    </row>
    <row r="643" spans="1:26" ht="18.5">
      <c r="A643" s="1423"/>
      <c r="B643" s="1423"/>
      <c r="C643" s="1423"/>
      <c r="D643" s="1423"/>
      <c r="E643" s="1423"/>
      <c r="F643" s="1423"/>
      <c r="G643" s="1423"/>
      <c r="H643" s="1423"/>
      <c r="I643" s="1423"/>
      <c r="J643" s="1423"/>
      <c r="K643" s="1423"/>
      <c r="L643" s="1423"/>
      <c r="M643" s="1423"/>
      <c r="N643" s="1423"/>
      <c r="O643" s="1423"/>
      <c r="P643" s="1423"/>
      <c r="Q643" s="1423"/>
      <c r="R643" s="1423"/>
      <c r="S643" s="1423"/>
      <c r="T643" s="1423"/>
      <c r="U643" s="1423"/>
      <c r="V643" s="1423"/>
      <c r="W643" s="1423"/>
      <c r="X643" s="1423"/>
      <c r="Y643" s="1423"/>
      <c r="Z643" s="1423"/>
    </row>
    <row r="644" spans="1:26" ht="18.5">
      <c r="A644" s="1423"/>
      <c r="B644" s="1423"/>
      <c r="C644" s="1423"/>
      <c r="D644" s="1423"/>
      <c r="E644" s="1423"/>
      <c r="F644" s="1423"/>
      <c r="G644" s="1423"/>
      <c r="H644" s="1423"/>
      <c r="I644" s="1423"/>
      <c r="J644" s="1423"/>
      <c r="K644" s="1423"/>
      <c r="L644" s="1423"/>
      <c r="M644" s="1423"/>
      <c r="N644" s="1423"/>
      <c r="O644" s="1423"/>
      <c r="P644" s="1423"/>
      <c r="Q644" s="1423"/>
      <c r="R644" s="1423"/>
      <c r="S644" s="1423"/>
      <c r="T644" s="1423"/>
      <c r="U644" s="1423"/>
      <c r="V644" s="1423"/>
      <c r="W644" s="1423"/>
      <c r="X644" s="1423"/>
      <c r="Y644" s="1423"/>
      <c r="Z644" s="1423"/>
    </row>
    <row r="645" spans="1:26" ht="18.5">
      <c r="A645" s="1423"/>
      <c r="B645" s="1423"/>
      <c r="C645" s="1423"/>
      <c r="D645" s="1423"/>
      <c r="E645" s="1423"/>
      <c r="F645" s="1423"/>
      <c r="G645" s="1423"/>
      <c r="H645" s="1423"/>
      <c r="I645" s="1423"/>
      <c r="J645" s="1423"/>
      <c r="K645" s="1423"/>
      <c r="L645" s="1423"/>
      <c r="M645" s="1423"/>
      <c r="N645" s="1423"/>
      <c r="O645" s="1423"/>
      <c r="P645" s="1423"/>
      <c r="Q645" s="1423"/>
      <c r="R645" s="1423"/>
      <c r="S645" s="1423"/>
      <c r="T645" s="1423"/>
      <c r="U645" s="1423"/>
      <c r="V645" s="1423"/>
      <c r="W645" s="1423"/>
      <c r="X645" s="1423"/>
      <c r="Y645" s="1423"/>
      <c r="Z645" s="1423"/>
    </row>
    <row r="646" spans="1:26" ht="18.5">
      <c r="A646" s="1423"/>
      <c r="B646" s="1423"/>
      <c r="C646" s="1423"/>
      <c r="D646" s="1423"/>
      <c r="E646" s="1423"/>
      <c r="F646" s="1423"/>
      <c r="G646" s="1423"/>
      <c r="H646" s="1423"/>
      <c r="I646" s="1423"/>
      <c r="J646" s="1423"/>
      <c r="K646" s="1423"/>
      <c r="L646" s="1423"/>
      <c r="M646" s="1423"/>
      <c r="N646" s="1423"/>
      <c r="O646" s="1423"/>
      <c r="P646" s="1423"/>
      <c r="Q646" s="1423"/>
      <c r="R646" s="1423"/>
      <c r="S646" s="1423"/>
      <c r="T646" s="1423"/>
      <c r="U646" s="1423"/>
      <c r="V646" s="1423"/>
      <c r="W646" s="1423"/>
      <c r="X646" s="1423"/>
      <c r="Y646" s="1423"/>
      <c r="Z646" s="1423"/>
    </row>
    <row r="647" spans="1:26" ht="18.5">
      <c r="A647" s="1423"/>
      <c r="B647" s="1423"/>
      <c r="C647" s="1423"/>
      <c r="D647" s="1423"/>
      <c r="E647" s="1423"/>
      <c r="F647" s="1423"/>
      <c r="G647" s="1423"/>
      <c r="H647" s="1423"/>
      <c r="I647" s="1423"/>
      <c r="J647" s="1423"/>
      <c r="K647" s="1423"/>
      <c r="L647" s="1423"/>
      <c r="M647" s="1423"/>
      <c r="N647" s="1423"/>
      <c r="O647" s="1423"/>
      <c r="P647" s="1423"/>
      <c r="Q647" s="1423"/>
      <c r="R647" s="1423"/>
      <c r="S647" s="1423"/>
      <c r="T647" s="1423"/>
      <c r="U647" s="1423"/>
      <c r="V647" s="1423"/>
      <c r="W647" s="1423"/>
      <c r="X647" s="1423"/>
      <c r="Y647" s="1423"/>
      <c r="Z647" s="1423"/>
    </row>
    <row r="648" spans="1:26" ht="18.5">
      <c r="A648" s="1423"/>
      <c r="B648" s="1423"/>
      <c r="C648" s="1423"/>
      <c r="D648" s="1423"/>
      <c r="E648" s="1423"/>
      <c r="F648" s="1423"/>
      <c r="G648" s="1423"/>
      <c r="H648" s="1423"/>
      <c r="I648" s="1423"/>
      <c r="J648" s="1423"/>
      <c r="K648" s="1423"/>
      <c r="L648" s="1423"/>
      <c r="M648" s="1423"/>
      <c r="N648" s="1423"/>
      <c r="O648" s="1423"/>
      <c r="P648" s="1423"/>
      <c r="Q648" s="1423"/>
      <c r="R648" s="1423"/>
      <c r="S648" s="1423"/>
      <c r="T648" s="1423"/>
      <c r="U648" s="1423"/>
      <c r="V648" s="1423"/>
      <c r="W648" s="1423"/>
      <c r="X648" s="1423"/>
      <c r="Y648" s="1423"/>
      <c r="Z648" s="1423"/>
    </row>
    <row r="649" spans="1:26" ht="18.5">
      <c r="A649" s="1423"/>
      <c r="B649" s="1423"/>
      <c r="C649" s="1423"/>
      <c r="D649" s="1423"/>
      <c r="E649" s="1423"/>
      <c r="F649" s="1423"/>
      <c r="G649" s="1423"/>
      <c r="H649" s="1423"/>
      <c r="I649" s="1423"/>
      <c r="J649" s="1423"/>
      <c r="K649" s="1423"/>
      <c r="L649" s="1423"/>
      <c r="M649" s="1423"/>
      <c r="N649" s="1423"/>
      <c r="O649" s="1423"/>
      <c r="P649" s="1423"/>
      <c r="Q649" s="1423"/>
      <c r="R649" s="1423"/>
      <c r="S649" s="1423"/>
      <c r="T649" s="1423"/>
      <c r="U649" s="1423"/>
      <c r="V649" s="1423"/>
      <c r="W649" s="1423"/>
      <c r="X649" s="1423"/>
      <c r="Y649" s="1423"/>
      <c r="Z649" s="1423"/>
    </row>
    <row r="650" spans="1:26" ht="18.5">
      <c r="A650" s="1423"/>
      <c r="B650" s="1423"/>
      <c r="C650" s="1423"/>
      <c r="D650" s="1423"/>
      <c r="E650" s="1423"/>
      <c r="F650" s="1423"/>
      <c r="G650" s="1423"/>
      <c r="H650" s="1423"/>
      <c r="I650" s="1423"/>
      <c r="J650" s="1423"/>
      <c r="K650" s="1423"/>
      <c r="L650" s="1423"/>
      <c r="M650" s="1423"/>
      <c r="N650" s="1423"/>
      <c r="O650" s="1423"/>
      <c r="P650" s="1423"/>
      <c r="Q650" s="1423"/>
      <c r="R650" s="1423"/>
      <c r="S650" s="1423"/>
      <c r="T650" s="1423"/>
      <c r="U650" s="1423"/>
      <c r="V650" s="1423"/>
      <c r="W650" s="1423"/>
      <c r="X650" s="1423"/>
      <c r="Y650" s="1423"/>
      <c r="Z650" s="1423"/>
    </row>
    <row r="651" spans="1:26" ht="18.5">
      <c r="A651" s="1423"/>
      <c r="B651" s="1423"/>
      <c r="C651" s="1423"/>
      <c r="D651" s="1423"/>
      <c r="E651" s="1423"/>
      <c r="F651" s="1423"/>
      <c r="G651" s="1423"/>
      <c r="H651" s="1423"/>
      <c r="I651" s="1423"/>
      <c r="J651" s="1423"/>
      <c r="K651" s="1423"/>
      <c r="L651" s="1423"/>
      <c r="M651" s="1423"/>
      <c r="N651" s="1423"/>
      <c r="O651" s="1423"/>
      <c r="P651" s="1423"/>
      <c r="Q651" s="1423"/>
      <c r="R651" s="1423"/>
      <c r="S651" s="1423"/>
      <c r="T651" s="1423"/>
      <c r="U651" s="1423"/>
      <c r="V651" s="1423"/>
      <c r="W651" s="1423"/>
      <c r="X651" s="1423"/>
      <c r="Y651" s="1423"/>
      <c r="Z651" s="1423"/>
    </row>
    <row r="652" spans="1:26" ht="18.5">
      <c r="A652" s="1423"/>
      <c r="B652" s="1423"/>
      <c r="C652" s="1423"/>
      <c r="D652" s="1423"/>
      <c r="E652" s="1423"/>
      <c r="F652" s="1423"/>
      <c r="G652" s="1423"/>
      <c r="H652" s="1423"/>
      <c r="I652" s="1423"/>
      <c r="J652" s="1423"/>
      <c r="K652" s="1423"/>
      <c r="L652" s="1423"/>
      <c r="M652" s="1423"/>
      <c r="N652" s="1423"/>
      <c r="O652" s="1423"/>
      <c r="P652" s="1423"/>
      <c r="Q652" s="1423"/>
      <c r="R652" s="1423"/>
      <c r="S652" s="1423"/>
      <c r="T652" s="1423"/>
      <c r="U652" s="1423"/>
      <c r="V652" s="1423"/>
      <c r="W652" s="1423"/>
      <c r="X652" s="1423"/>
      <c r="Y652" s="1423"/>
      <c r="Z652" s="1423"/>
    </row>
    <row r="653" spans="1:26" ht="18.5">
      <c r="A653" s="1423"/>
      <c r="B653" s="1423"/>
      <c r="C653" s="1423"/>
      <c r="D653" s="1423"/>
      <c r="E653" s="1423"/>
      <c r="F653" s="1423"/>
      <c r="G653" s="1423"/>
      <c r="H653" s="1423"/>
      <c r="I653" s="1423"/>
      <c r="J653" s="1423"/>
      <c r="K653" s="1423"/>
      <c r="L653" s="1423"/>
      <c r="M653" s="1423"/>
      <c r="N653" s="1423"/>
      <c r="O653" s="1423"/>
      <c r="P653" s="1423"/>
      <c r="Q653" s="1423"/>
      <c r="R653" s="1423"/>
      <c r="S653" s="1423"/>
      <c r="T653" s="1423"/>
      <c r="U653" s="1423"/>
      <c r="V653" s="1423"/>
      <c r="W653" s="1423"/>
      <c r="X653" s="1423"/>
      <c r="Y653" s="1423"/>
      <c r="Z653" s="1423"/>
    </row>
    <row r="654" spans="1:26" ht="18.5">
      <c r="A654" s="1423"/>
      <c r="B654" s="1423"/>
      <c r="C654" s="1423"/>
      <c r="D654" s="1423"/>
      <c r="E654" s="1423"/>
      <c r="F654" s="1423"/>
      <c r="G654" s="1423"/>
      <c r="H654" s="1423"/>
      <c r="I654" s="1423"/>
      <c r="J654" s="1423"/>
      <c r="K654" s="1423"/>
      <c r="L654" s="1423"/>
      <c r="M654" s="1423"/>
      <c r="N654" s="1423"/>
      <c r="O654" s="1423"/>
      <c r="P654" s="1423"/>
      <c r="Q654" s="1423"/>
      <c r="R654" s="1423"/>
      <c r="S654" s="1423"/>
      <c r="T654" s="1423"/>
      <c r="U654" s="1423"/>
      <c r="V654" s="1423"/>
      <c r="W654" s="1423"/>
      <c r="X654" s="1423"/>
      <c r="Y654" s="1423"/>
      <c r="Z654" s="1423"/>
    </row>
    <row r="655" spans="1:26" ht="18.5">
      <c r="A655" s="1423"/>
      <c r="B655" s="1423"/>
      <c r="C655" s="1423"/>
      <c r="D655" s="1423"/>
      <c r="E655" s="1423"/>
      <c r="F655" s="1423"/>
      <c r="G655" s="1423"/>
      <c r="H655" s="1423"/>
      <c r="I655" s="1423"/>
      <c r="J655" s="1423"/>
      <c r="K655" s="1423"/>
      <c r="L655" s="1423"/>
      <c r="M655" s="1423"/>
      <c r="N655" s="1423"/>
      <c r="O655" s="1423"/>
      <c r="P655" s="1423"/>
      <c r="Q655" s="1423"/>
      <c r="R655" s="1423"/>
      <c r="S655" s="1423"/>
      <c r="T655" s="1423"/>
      <c r="U655" s="1423"/>
      <c r="V655" s="1423"/>
      <c r="W655" s="1423"/>
      <c r="X655" s="1423"/>
      <c r="Y655" s="1423"/>
      <c r="Z655" s="1423"/>
    </row>
    <row r="656" spans="1:26" ht="18.5">
      <c r="A656" s="1423"/>
      <c r="B656" s="1423"/>
      <c r="C656" s="1423"/>
      <c r="D656" s="1423"/>
      <c r="E656" s="1423"/>
      <c r="F656" s="1423"/>
      <c r="G656" s="1423"/>
      <c r="H656" s="1423"/>
      <c r="I656" s="1423"/>
      <c r="J656" s="1423"/>
      <c r="K656" s="1423"/>
      <c r="L656" s="1423"/>
      <c r="M656" s="1423"/>
      <c r="N656" s="1423"/>
      <c r="O656" s="1423"/>
      <c r="P656" s="1423"/>
      <c r="Q656" s="1423"/>
      <c r="R656" s="1423"/>
      <c r="S656" s="1423"/>
      <c r="T656" s="1423"/>
      <c r="U656" s="1423"/>
      <c r="V656" s="1423"/>
      <c r="W656" s="1423"/>
      <c r="X656" s="1423"/>
      <c r="Y656" s="1423"/>
      <c r="Z656" s="1423"/>
    </row>
    <row r="657" spans="1:26" ht="18.5">
      <c r="A657" s="1423"/>
      <c r="B657" s="1423"/>
      <c r="C657" s="1423"/>
      <c r="D657" s="1423"/>
      <c r="E657" s="1423"/>
      <c r="F657" s="1423"/>
      <c r="G657" s="1423"/>
      <c r="H657" s="1423"/>
      <c r="I657" s="1423"/>
      <c r="J657" s="1423"/>
      <c r="K657" s="1423"/>
      <c r="L657" s="1423"/>
      <c r="M657" s="1423"/>
      <c r="N657" s="1423"/>
      <c r="O657" s="1423"/>
      <c r="P657" s="1423"/>
      <c r="Q657" s="1423"/>
      <c r="R657" s="1423"/>
      <c r="S657" s="1423"/>
      <c r="T657" s="1423"/>
      <c r="U657" s="1423"/>
      <c r="V657" s="1423"/>
      <c r="W657" s="1423"/>
      <c r="X657" s="1423"/>
      <c r="Y657" s="1423"/>
      <c r="Z657" s="1423"/>
    </row>
    <row r="658" spans="1:26" ht="18.5">
      <c r="A658" s="1423"/>
      <c r="B658" s="1423"/>
      <c r="C658" s="1423"/>
      <c r="D658" s="1423"/>
      <c r="E658" s="1423"/>
      <c r="F658" s="1423"/>
      <c r="G658" s="1423"/>
      <c r="H658" s="1423"/>
      <c r="I658" s="1423"/>
      <c r="J658" s="1423"/>
      <c r="K658" s="1423"/>
      <c r="L658" s="1423"/>
      <c r="M658" s="1423"/>
      <c r="N658" s="1423"/>
      <c r="O658" s="1423"/>
      <c r="P658" s="1423"/>
      <c r="Q658" s="1423"/>
      <c r="R658" s="1423"/>
      <c r="S658" s="1423"/>
      <c r="T658" s="1423"/>
      <c r="U658" s="1423"/>
      <c r="V658" s="1423"/>
      <c r="W658" s="1423"/>
      <c r="X658" s="1423"/>
      <c r="Y658" s="1423"/>
      <c r="Z658" s="1423"/>
    </row>
    <row r="659" spans="1:26" ht="18.5">
      <c r="A659" s="1423"/>
      <c r="B659" s="1423"/>
      <c r="C659" s="1423"/>
      <c r="D659" s="1423"/>
      <c r="E659" s="1423"/>
      <c r="F659" s="1423"/>
      <c r="G659" s="1423"/>
      <c r="H659" s="1423"/>
      <c r="I659" s="1423"/>
      <c r="J659" s="1423"/>
      <c r="K659" s="1423"/>
      <c r="L659" s="1423"/>
      <c r="M659" s="1423"/>
      <c r="N659" s="1423"/>
      <c r="O659" s="1423"/>
      <c r="P659" s="1423"/>
      <c r="Q659" s="1423"/>
      <c r="R659" s="1423"/>
      <c r="S659" s="1423"/>
      <c r="T659" s="1423"/>
      <c r="U659" s="1423"/>
      <c r="V659" s="1423"/>
      <c r="W659" s="1423"/>
      <c r="X659" s="1423"/>
      <c r="Y659" s="1423"/>
      <c r="Z659" s="1423"/>
    </row>
    <row r="660" spans="1:26" ht="18.5">
      <c r="A660" s="1423"/>
      <c r="B660" s="1423"/>
      <c r="C660" s="1423"/>
      <c r="D660" s="1423"/>
      <c r="E660" s="1423"/>
      <c r="F660" s="1423"/>
      <c r="G660" s="1423"/>
      <c r="H660" s="1423"/>
      <c r="I660" s="1423"/>
      <c r="J660" s="1423"/>
      <c r="K660" s="1423"/>
      <c r="L660" s="1423"/>
      <c r="M660" s="1423"/>
      <c r="N660" s="1423"/>
      <c r="O660" s="1423"/>
      <c r="P660" s="1423"/>
      <c r="Q660" s="1423"/>
      <c r="R660" s="1423"/>
      <c r="S660" s="1423"/>
      <c r="T660" s="1423"/>
      <c r="U660" s="1423"/>
      <c r="V660" s="1423"/>
      <c r="W660" s="1423"/>
      <c r="X660" s="1423"/>
      <c r="Y660" s="1423"/>
      <c r="Z660" s="1423"/>
    </row>
    <row r="661" spans="1:26" ht="18.5">
      <c r="A661" s="1423"/>
      <c r="B661" s="1423"/>
      <c r="C661" s="1423"/>
      <c r="D661" s="1423"/>
      <c r="E661" s="1423"/>
      <c r="F661" s="1423"/>
      <c r="G661" s="1423"/>
      <c r="H661" s="1423"/>
      <c r="I661" s="1423"/>
      <c r="J661" s="1423"/>
      <c r="K661" s="1423"/>
      <c r="L661" s="1423"/>
      <c r="M661" s="1423"/>
      <c r="N661" s="1423"/>
      <c r="O661" s="1423"/>
      <c r="P661" s="1423"/>
      <c r="Q661" s="1423"/>
      <c r="R661" s="1423"/>
      <c r="S661" s="1423"/>
      <c r="T661" s="1423"/>
      <c r="U661" s="1423"/>
      <c r="V661" s="1423"/>
      <c r="W661" s="1423"/>
      <c r="X661" s="1423"/>
      <c r="Y661" s="1423"/>
      <c r="Z661" s="1423"/>
    </row>
    <row r="662" spans="1:26" ht="18.5">
      <c r="A662" s="1423"/>
      <c r="B662" s="1423"/>
      <c r="C662" s="1423"/>
      <c r="D662" s="1423"/>
      <c r="E662" s="1423"/>
      <c r="F662" s="1423"/>
      <c r="G662" s="1423"/>
      <c r="H662" s="1423"/>
      <c r="I662" s="1423"/>
      <c r="J662" s="1423"/>
      <c r="K662" s="1423"/>
      <c r="L662" s="1423"/>
      <c r="M662" s="1423"/>
      <c r="N662" s="1423"/>
      <c r="O662" s="1423"/>
      <c r="P662" s="1423"/>
      <c r="Q662" s="1423"/>
      <c r="R662" s="1423"/>
      <c r="S662" s="1423"/>
      <c r="T662" s="1423"/>
      <c r="U662" s="1423"/>
      <c r="V662" s="1423"/>
      <c r="W662" s="1423"/>
      <c r="X662" s="1423"/>
      <c r="Y662" s="1423"/>
      <c r="Z662" s="1423"/>
    </row>
    <row r="663" spans="1:26" ht="18.5">
      <c r="A663" s="1423"/>
      <c r="B663" s="1423"/>
      <c r="C663" s="1423"/>
      <c r="D663" s="1423"/>
      <c r="E663" s="1423"/>
      <c r="F663" s="1423"/>
      <c r="G663" s="1423"/>
      <c r="H663" s="1423"/>
      <c r="I663" s="1423"/>
      <c r="J663" s="1423"/>
      <c r="K663" s="1423"/>
      <c r="L663" s="1423"/>
      <c r="M663" s="1423"/>
      <c r="N663" s="1423"/>
      <c r="O663" s="1423"/>
      <c r="P663" s="1423"/>
      <c r="Q663" s="1423"/>
      <c r="R663" s="1423"/>
      <c r="S663" s="1423"/>
      <c r="T663" s="1423"/>
      <c r="U663" s="1423"/>
      <c r="V663" s="1423"/>
      <c r="W663" s="1423"/>
      <c r="X663" s="1423"/>
      <c r="Y663" s="1423"/>
      <c r="Z663" s="1423"/>
    </row>
    <row r="664" spans="1:26" ht="18.5">
      <c r="A664" s="1423"/>
      <c r="B664" s="1423"/>
      <c r="C664" s="1423"/>
      <c r="D664" s="1423"/>
      <c r="E664" s="1423"/>
      <c r="F664" s="1423"/>
      <c r="G664" s="1423"/>
      <c r="H664" s="1423"/>
      <c r="I664" s="1423"/>
      <c r="J664" s="1423"/>
      <c r="K664" s="1423"/>
      <c r="L664" s="1423"/>
      <c r="M664" s="1423"/>
      <c r="N664" s="1423"/>
      <c r="O664" s="1423"/>
      <c r="P664" s="1423"/>
      <c r="Q664" s="1423"/>
      <c r="R664" s="1423"/>
      <c r="S664" s="1423"/>
      <c r="T664" s="1423"/>
      <c r="U664" s="1423"/>
      <c r="V664" s="1423"/>
      <c r="W664" s="1423"/>
      <c r="X664" s="1423"/>
      <c r="Y664" s="1423"/>
      <c r="Z664" s="1423"/>
    </row>
    <row r="665" spans="1:26" ht="18.5">
      <c r="A665" s="1423"/>
      <c r="B665" s="1423"/>
      <c r="C665" s="1423"/>
      <c r="D665" s="1423"/>
      <c r="E665" s="1423"/>
      <c r="F665" s="1423"/>
      <c r="G665" s="1423"/>
      <c r="H665" s="1423"/>
      <c r="I665" s="1423"/>
      <c r="J665" s="1423"/>
      <c r="K665" s="1423"/>
      <c r="L665" s="1423"/>
      <c r="M665" s="1423"/>
      <c r="N665" s="1423"/>
      <c r="O665" s="1423"/>
      <c r="P665" s="1423"/>
      <c r="Q665" s="1423"/>
      <c r="R665" s="1423"/>
      <c r="S665" s="1423"/>
      <c r="T665" s="1423"/>
      <c r="U665" s="1423"/>
      <c r="V665" s="1423"/>
      <c r="W665" s="1423"/>
      <c r="X665" s="1423"/>
      <c r="Y665" s="1423"/>
      <c r="Z665" s="1423"/>
    </row>
    <row r="666" spans="1:26" ht="18.5">
      <c r="A666" s="1423"/>
      <c r="B666" s="1423"/>
      <c r="C666" s="1423"/>
      <c r="D666" s="1423"/>
      <c r="E666" s="1423"/>
      <c r="F666" s="1423"/>
      <c r="G666" s="1423"/>
      <c r="H666" s="1423"/>
      <c r="I666" s="1423"/>
      <c r="J666" s="1423"/>
      <c r="K666" s="1423"/>
      <c r="L666" s="1423"/>
      <c r="M666" s="1423"/>
      <c r="N666" s="1423"/>
      <c r="O666" s="1423"/>
      <c r="P666" s="1423"/>
      <c r="Q666" s="1423"/>
      <c r="R666" s="1423"/>
      <c r="S666" s="1423"/>
      <c r="T666" s="1423"/>
      <c r="U666" s="1423"/>
      <c r="V666" s="1423"/>
      <c r="W666" s="1423"/>
      <c r="X666" s="1423"/>
      <c r="Y666" s="1423"/>
      <c r="Z666" s="1423"/>
    </row>
    <row r="667" spans="1:26" ht="18.5">
      <c r="A667" s="1423"/>
      <c r="B667" s="1423"/>
      <c r="C667" s="1423"/>
      <c r="D667" s="1423"/>
      <c r="E667" s="1423"/>
      <c r="F667" s="1423"/>
      <c r="G667" s="1423"/>
      <c r="H667" s="1423"/>
      <c r="I667" s="1423"/>
      <c r="J667" s="1423"/>
      <c r="K667" s="1423"/>
      <c r="L667" s="1423"/>
      <c r="M667" s="1423"/>
      <c r="N667" s="1423"/>
      <c r="O667" s="1423"/>
      <c r="P667" s="1423"/>
      <c r="Q667" s="1423"/>
      <c r="R667" s="1423"/>
      <c r="S667" s="1423"/>
      <c r="T667" s="1423"/>
      <c r="U667" s="1423"/>
      <c r="V667" s="1423"/>
      <c r="W667" s="1423"/>
      <c r="X667" s="1423"/>
      <c r="Y667" s="1423"/>
      <c r="Z667" s="1423"/>
    </row>
    <row r="668" spans="1:26" ht="18.5">
      <c r="A668" s="1423"/>
      <c r="B668" s="1423"/>
      <c r="C668" s="1423"/>
      <c r="D668" s="1423"/>
      <c r="E668" s="1423"/>
      <c r="F668" s="1423"/>
      <c r="G668" s="1423"/>
      <c r="H668" s="1423"/>
      <c r="I668" s="1423"/>
      <c r="J668" s="1423"/>
      <c r="K668" s="1423"/>
      <c r="L668" s="1423"/>
      <c r="M668" s="1423"/>
      <c r="N668" s="1423"/>
      <c r="O668" s="1423"/>
      <c r="P668" s="1423"/>
      <c r="Q668" s="1423"/>
      <c r="R668" s="1423"/>
      <c r="S668" s="1423"/>
      <c r="T668" s="1423"/>
      <c r="U668" s="1423"/>
      <c r="V668" s="1423"/>
      <c r="W668" s="1423"/>
      <c r="X668" s="1423"/>
      <c r="Y668" s="1423"/>
      <c r="Z668" s="1423"/>
    </row>
    <row r="669" spans="1:26" ht="18.5">
      <c r="A669" s="1423"/>
      <c r="B669" s="1423"/>
      <c r="C669" s="1423"/>
      <c r="D669" s="1423"/>
      <c r="E669" s="1423"/>
      <c r="F669" s="1423"/>
      <c r="G669" s="1423"/>
      <c r="H669" s="1423"/>
      <c r="I669" s="1423"/>
      <c r="J669" s="1423"/>
      <c r="K669" s="1423"/>
      <c r="L669" s="1423"/>
      <c r="M669" s="1423"/>
      <c r="N669" s="1423"/>
      <c r="O669" s="1423"/>
      <c r="P669" s="1423"/>
      <c r="Q669" s="1423"/>
      <c r="R669" s="1423"/>
      <c r="S669" s="1423"/>
      <c r="T669" s="1423"/>
      <c r="U669" s="1423"/>
      <c r="V669" s="1423"/>
      <c r="W669" s="1423"/>
      <c r="X669" s="1423"/>
      <c r="Y669" s="1423"/>
      <c r="Z669" s="1423"/>
    </row>
    <row r="670" spans="1:26" ht="18.5">
      <c r="A670" s="1423"/>
      <c r="B670" s="1423"/>
      <c r="C670" s="1423"/>
      <c r="D670" s="1423"/>
      <c r="E670" s="1423"/>
      <c r="F670" s="1423"/>
      <c r="G670" s="1423"/>
      <c r="H670" s="1423"/>
      <c r="I670" s="1423"/>
      <c r="J670" s="1423"/>
      <c r="K670" s="1423"/>
      <c r="L670" s="1423"/>
      <c r="M670" s="1423"/>
      <c r="N670" s="1423"/>
      <c r="O670" s="1423"/>
      <c r="P670" s="1423"/>
      <c r="Q670" s="1423"/>
      <c r="R670" s="1423"/>
      <c r="S670" s="1423"/>
      <c r="T670" s="1423"/>
      <c r="U670" s="1423"/>
      <c r="V670" s="1423"/>
      <c r="W670" s="1423"/>
      <c r="X670" s="1423"/>
      <c r="Y670" s="1423"/>
      <c r="Z670" s="1423"/>
    </row>
    <row r="671" spans="1:26" ht="18.5">
      <c r="A671" s="1423"/>
      <c r="B671" s="1423"/>
      <c r="C671" s="1423"/>
      <c r="D671" s="1423"/>
      <c r="E671" s="1423"/>
      <c r="F671" s="1423"/>
      <c r="G671" s="1423"/>
      <c r="H671" s="1423"/>
      <c r="I671" s="1423"/>
      <c r="J671" s="1423"/>
      <c r="K671" s="1423"/>
      <c r="L671" s="1423"/>
      <c r="M671" s="1423"/>
      <c r="N671" s="1423"/>
      <c r="O671" s="1423"/>
      <c r="P671" s="1423"/>
      <c r="Q671" s="1423"/>
      <c r="R671" s="1423"/>
      <c r="S671" s="1423"/>
      <c r="T671" s="1423"/>
      <c r="U671" s="1423"/>
      <c r="V671" s="1423"/>
      <c r="W671" s="1423"/>
      <c r="X671" s="1423"/>
      <c r="Y671" s="1423"/>
      <c r="Z671" s="1423"/>
    </row>
    <row r="672" spans="1:26" ht="18.5">
      <c r="A672" s="1423"/>
      <c r="B672" s="1423"/>
      <c r="C672" s="1423"/>
      <c r="D672" s="1423"/>
      <c r="E672" s="1423"/>
      <c r="F672" s="1423"/>
      <c r="G672" s="1423"/>
      <c r="H672" s="1423"/>
      <c r="I672" s="1423"/>
      <c r="J672" s="1423"/>
      <c r="K672" s="1423"/>
      <c r="L672" s="1423"/>
      <c r="M672" s="1423"/>
      <c r="N672" s="1423"/>
      <c r="O672" s="1423"/>
      <c r="P672" s="1423"/>
      <c r="Q672" s="1423"/>
      <c r="R672" s="1423"/>
      <c r="S672" s="1423"/>
      <c r="T672" s="1423"/>
      <c r="U672" s="1423"/>
      <c r="V672" s="1423"/>
      <c r="W672" s="1423"/>
      <c r="X672" s="1423"/>
      <c r="Y672" s="1423"/>
      <c r="Z672" s="1423"/>
    </row>
    <row r="673" spans="1:26" ht="18.5">
      <c r="A673" s="1423"/>
      <c r="B673" s="1423"/>
      <c r="C673" s="1423"/>
      <c r="D673" s="1423"/>
      <c r="E673" s="1423"/>
      <c r="F673" s="1423"/>
      <c r="G673" s="1423"/>
      <c r="H673" s="1423"/>
      <c r="I673" s="1423"/>
      <c r="J673" s="1423"/>
      <c r="K673" s="1423"/>
      <c r="L673" s="1423"/>
      <c r="M673" s="1423"/>
      <c r="N673" s="1423"/>
      <c r="O673" s="1423"/>
      <c r="P673" s="1423"/>
      <c r="Q673" s="1423"/>
      <c r="R673" s="1423"/>
      <c r="S673" s="1423"/>
      <c r="T673" s="1423"/>
      <c r="U673" s="1423"/>
      <c r="V673" s="1423"/>
      <c r="W673" s="1423"/>
      <c r="X673" s="1423"/>
      <c r="Y673" s="1423"/>
      <c r="Z673" s="1423"/>
    </row>
    <row r="674" spans="1:26" ht="18.5">
      <c r="A674" s="1423"/>
      <c r="B674" s="1423"/>
      <c r="C674" s="1423"/>
      <c r="D674" s="1423"/>
      <c r="E674" s="1423"/>
      <c r="F674" s="1423"/>
      <c r="G674" s="1423"/>
      <c r="H674" s="1423"/>
      <c r="I674" s="1423"/>
      <c r="J674" s="1423"/>
      <c r="K674" s="1423"/>
      <c r="L674" s="1423"/>
      <c r="M674" s="1423"/>
      <c r="N674" s="1423"/>
      <c r="O674" s="1423"/>
      <c r="P674" s="1423"/>
      <c r="Q674" s="1423"/>
      <c r="R674" s="1423"/>
      <c r="S674" s="1423"/>
      <c r="T674" s="1423"/>
      <c r="U674" s="1423"/>
      <c r="V674" s="1423"/>
      <c r="W674" s="1423"/>
      <c r="X674" s="1423"/>
      <c r="Y674" s="1423"/>
      <c r="Z674" s="1423"/>
    </row>
    <row r="675" spans="1:26" ht="18.5">
      <c r="A675" s="1423"/>
      <c r="B675" s="1423"/>
      <c r="C675" s="1423"/>
      <c r="D675" s="1423"/>
      <c r="E675" s="1423"/>
      <c r="F675" s="1423"/>
      <c r="G675" s="1423"/>
      <c r="H675" s="1423"/>
      <c r="I675" s="1423"/>
      <c r="J675" s="1423"/>
      <c r="K675" s="1423"/>
      <c r="L675" s="1423"/>
      <c r="M675" s="1423"/>
      <c r="N675" s="1423"/>
      <c r="O675" s="1423"/>
      <c r="P675" s="1423"/>
      <c r="Q675" s="1423"/>
      <c r="R675" s="1423"/>
      <c r="S675" s="1423"/>
      <c r="T675" s="1423"/>
      <c r="U675" s="1423"/>
      <c r="V675" s="1423"/>
      <c r="W675" s="1423"/>
      <c r="X675" s="1423"/>
      <c r="Y675" s="1423"/>
      <c r="Z675" s="1423"/>
    </row>
    <row r="676" spans="1:26" ht="18.5">
      <c r="A676" s="1423"/>
      <c r="B676" s="1423"/>
      <c r="C676" s="1423"/>
      <c r="D676" s="1423"/>
      <c r="E676" s="1423"/>
      <c r="F676" s="1423"/>
      <c r="G676" s="1423"/>
      <c r="H676" s="1423"/>
      <c r="I676" s="1423"/>
      <c r="J676" s="1423"/>
      <c r="K676" s="1423"/>
      <c r="L676" s="1423"/>
      <c r="M676" s="1423"/>
      <c r="N676" s="1423"/>
      <c r="O676" s="1423"/>
      <c r="P676" s="1423"/>
      <c r="Q676" s="1423"/>
      <c r="R676" s="1423"/>
      <c r="S676" s="1423"/>
      <c r="T676" s="1423"/>
      <c r="U676" s="1423"/>
      <c r="V676" s="1423"/>
      <c r="W676" s="1423"/>
      <c r="X676" s="1423"/>
      <c r="Y676" s="1423"/>
      <c r="Z676" s="1423"/>
    </row>
    <row r="677" spans="1:26" ht="18.5">
      <c r="A677" s="1423"/>
      <c r="B677" s="1423"/>
      <c r="C677" s="1423"/>
      <c r="D677" s="1423"/>
      <c r="E677" s="1423"/>
      <c r="F677" s="1423"/>
      <c r="G677" s="1423"/>
      <c r="H677" s="1423"/>
      <c r="I677" s="1423"/>
      <c r="J677" s="1423"/>
      <c r="K677" s="1423"/>
      <c r="L677" s="1423"/>
      <c r="M677" s="1423"/>
      <c r="N677" s="1423"/>
      <c r="O677" s="1423"/>
      <c r="P677" s="1423"/>
      <c r="Q677" s="1423"/>
      <c r="R677" s="1423"/>
      <c r="S677" s="1423"/>
      <c r="T677" s="1423"/>
      <c r="U677" s="1423"/>
      <c r="V677" s="1423"/>
      <c r="W677" s="1423"/>
      <c r="X677" s="1423"/>
      <c r="Y677" s="1423"/>
      <c r="Z677" s="1423"/>
    </row>
    <row r="678" spans="1:26" ht="18.5">
      <c r="A678" s="1423"/>
      <c r="B678" s="1423"/>
      <c r="C678" s="1423"/>
      <c r="D678" s="1423"/>
      <c r="E678" s="1423"/>
      <c r="F678" s="1423"/>
      <c r="G678" s="1423"/>
      <c r="H678" s="1423"/>
      <c r="I678" s="1423"/>
      <c r="J678" s="1423"/>
      <c r="K678" s="1423"/>
      <c r="L678" s="1423"/>
      <c r="M678" s="1423"/>
      <c r="N678" s="1423"/>
      <c r="O678" s="1423"/>
      <c r="P678" s="1423"/>
      <c r="Q678" s="1423"/>
      <c r="R678" s="1423"/>
      <c r="S678" s="1423"/>
      <c r="T678" s="1423"/>
      <c r="U678" s="1423"/>
      <c r="V678" s="1423"/>
      <c r="W678" s="1423"/>
      <c r="X678" s="1423"/>
      <c r="Y678" s="1423"/>
      <c r="Z678" s="1423"/>
    </row>
    <row r="679" spans="1:26" ht="18.5">
      <c r="A679" s="1423"/>
      <c r="B679" s="1423"/>
      <c r="C679" s="1423"/>
      <c r="D679" s="1423"/>
      <c r="E679" s="1423"/>
      <c r="F679" s="1423"/>
      <c r="G679" s="1423"/>
      <c r="H679" s="1423"/>
      <c r="I679" s="1423"/>
      <c r="J679" s="1423"/>
      <c r="K679" s="1423"/>
      <c r="L679" s="1423"/>
      <c r="M679" s="1423"/>
      <c r="N679" s="1423"/>
      <c r="O679" s="1423"/>
      <c r="P679" s="1423"/>
      <c r="Q679" s="1423"/>
      <c r="R679" s="1423"/>
      <c r="S679" s="1423"/>
      <c r="T679" s="1423"/>
      <c r="U679" s="1423"/>
      <c r="V679" s="1423"/>
      <c r="W679" s="1423"/>
      <c r="X679" s="1423"/>
      <c r="Y679" s="1423"/>
      <c r="Z679" s="1423"/>
    </row>
    <row r="680" spans="1:26" ht="18.5">
      <c r="A680" s="1423"/>
      <c r="B680" s="1423"/>
      <c r="C680" s="1423"/>
      <c r="D680" s="1423"/>
      <c r="E680" s="1423"/>
      <c r="F680" s="1423"/>
      <c r="G680" s="1423"/>
      <c r="H680" s="1423"/>
      <c r="I680" s="1423"/>
      <c r="J680" s="1423"/>
      <c r="K680" s="1423"/>
      <c r="L680" s="1423"/>
      <c r="M680" s="1423"/>
      <c r="N680" s="1423"/>
      <c r="O680" s="1423"/>
      <c r="P680" s="1423"/>
      <c r="Q680" s="1423"/>
      <c r="R680" s="1423"/>
      <c r="S680" s="1423"/>
      <c r="T680" s="1423"/>
      <c r="U680" s="1423"/>
      <c r="V680" s="1423"/>
      <c r="W680" s="1423"/>
      <c r="X680" s="1423"/>
      <c r="Y680" s="1423"/>
      <c r="Z680" s="1423"/>
    </row>
    <row r="681" spans="1:26" ht="18.5">
      <c r="A681" s="1423"/>
      <c r="B681" s="1423"/>
      <c r="C681" s="1423"/>
      <c r="D681" s="1423"/>
      <c r="E681" s="1423"/>
      <c r="F681" s="1423"/>
      <c r="G681" s="1423"/>
      <c r="H681" s="1423"/>
      <c r="I681" s="1423"/>
      <c r="J681" s="1423"/>
      <c r="K681" s="1423"/>
      <c r="L681" s="1423"/>
      <c r="M681" s="1423"/>
      <c r="N681" s="1423"/>
      <c r="O681" s="1423"/>
      <c r="P681" s="1423"/>
      <c r="Q681" s="1423"/>
      <c r="R681" s="1423"/>
      <c r="S681" s="1423"/>
      <c r="T681" s="1423"/>
      <c r="U681" s="1423"/>
      <c r="V681" s="1423"/>
      <c r="W681" s="1423"/>
      <c r="X681" s="1423"/>
      <c r="Y681" s="1423"/>
      <c r="Z681" s="1423"/>
    </row>
    <row r="682" spans="1:26" ht="18.5">
      <c r="A682" s="1423"/>
      <c r="B682" s="1423"/>
      <c r="C682" s="1423"/>
      <c r="D682" s="1423"/>
      <c r="E682" s="1423"/>
      <c r="F682" s="1423"/>
      <c r="G682" s="1423"/>
      <c r="H682" s="1423"/>
      <c r="I682" s="1423"/>
      <c r="J682" s="1423"/>
      <c r="K682" s="1423"/>
      <c r="L682" s="1423"/>
      <c r="M682" s="1423"/>
      <c r="N682" s="1423"/>
      <c r="O682" s="1423"/>
      <c r="P682" s="1423"/>
      <c r="Q682" s="1423"/>
      <c r="R682" s="1423"/>
      <c r="S682" s="1423"/>
      <c r="T682" s="1423"/>
      <c r="U682" s="1423"/>
      <c r="V682" s="1423"/>
      <c r="W682" s="1423"/>
      <c r="X682" s="1423"/>
      <c r="Y682" s="1423"/>
      <c r="Z682" s="1423"/>
    </row>
    <row r="683" spans="1:26" ht="18.5">
      <c r="A683" s="1423"/>
      <c r="B683" s="1423"/>
      <c r="C683" s="1423"/>
      <c r="D683" s="1423"/>
      <c r="E683" s="1423"/>
      <c r="F683" s="1423"/>
      <c r="G683" s="1423"/>
      <c r="H683" s="1423"/>
      <c r="I683" s="1423"/>
      <c r="J683" s="1423"/>
      <c r="K683" s="1423"/>
      <c r="L683" s="1423"/>
      <c r="M683" s="1423"/>
      <c r="N683" s="1423"/>
      <c r="O683" s="1423"/>
      <c r="P683" s="1423"/>
      <c r="Q683" s="1423"/>
      <c r="R683" s="1423"/>
      <c r="S683" s="1423"/>
      <c r="T683" s="1423"/>
      <c r="U683" s="1423"/>
      <c r="V683" s="1423"/>
      <c r="W683" s="1423"/>
      <c r="X683" s="1423"/>
      <c r="Y683" s="1423"/>
      <c r="Z683" s="1423"/>
    </row>
    <row r="684" spans="1:26" ht="18.5">
      <c r="A684" s="1423"/>
      <c r="B684" s="1423"/>
      <c r="C684" s="1423"/>
      <c r="D684" s="1423"/>
      <c r="E684" s="1423"/>
      <c r="F684" s="1423"/>
      <c r="G684" s="1423"/>
      <c r="H684" s="1423"/>
      <c r="I684" s="1423"/>
      <c r="J684" s="1423"/>
      <c r="K684" s="1423"/>
      <c r="L684" s="1423"/>
      <c r="M684" s="1423"/>
      <c r="N684" s="1423"/>
      <c r="O684" s="1423"/>
      <c r="P684" s="1423"/>
      <c r="Q684" s="1423"/>
      <c r="R684" s="1423"/>
      <c r="S684" s="1423"/>
      <c r="T684" s="1423"/>
      <c r="U684" s="1423"/>
      <c r="V684" s="1423"/>
      <c r="W684" s="1423"/>
      <c r="X684" s="1423"/>
      <c r="Y684" s="1423"/>
      <c r="Z684" s="1423"/>
    </row>
    <row r="685" spans="1:26" ht="18.5">
      <c r="A685" s="1423"/>
      <c r="B685" s="1423"/>
      <c r="C685" s="1423"/>
      <c r="D685" s="1423"/>
      <c r="E685" s="1423"/>
      <c r="F685" s="1423"/>
      <c r="G685" s="1423"/>
      <c r="H685" s="1423"/>
      <c r="I685" s="1423"/>
      <c r="J685" s="1423"/>
      <c r="K685" s="1423"/>
      <c r="L685" s="1423"/>
      <c r="M685" s="1423"/>
      <c r="N685" s="1423"/>
      <c r="O685" s="1423"/>
      <c r="P685" s="1423"/>
      <c r="Q685" s="1423"/>
      <c r="R685" s="1423"/>
      <c r="S685" s="1423"/>
      <c r="T685" s="1423"/>
      <c r="U685" s="1423"/>
      <c r="V685" s="1423"/>
      <c r="W685" s="1423"/>
      <c r="X685" s="1423"/>
      <c r="Y685" s="1423"/>
      <c r="Z685" s="1423"/>
    </row>
    <row r="686" spans="1:26" ht="18.5">
      <c r="A686" s="1423"/>
      <c r="B686" s="1423"/>
      <c r="C686" s="1423"/>
      <c r="D686" s="1423"/>
      <c r="E686" s="1423"/>
      <c r="F686" s="1423"/>
      <c r="G686" s="1423"/>
      <c r="H686" s="1423"/>
      <c r="I686" s="1423"/>
      <c r="J686" s="1423"/>
      <c r="K686" s="1423"/>
      <c r="L686" s="1423"/>
      <c r="M686" s="1423"/>
      <c r="N686" s="1423"/>
      <c r="O686" s="1423"/>
      <c r="P686" s="1423"/>
      <c r="Q686" s="1423"/>
      <c r="R686" s="1423"/>
      <c r="S686" s="1423"/>
      <c r="T686" s="1423"/>
      <c r="U686" s="1423"/>
      <c r="V686" s="1423"/>
      <c r="W686" s="1423"/>
      <c r="X686" s="1423"/>
      <c r="Y686" s="1423"/>
      <c r="Z686" s="1423"/>
    </row>
    <row r="687" spans="1:26" ht="18.5">
      <c r="A687" s="1423"/>
      <c r="B687" s="1423"/>
      <c r="C687" s="1423"/>
      <c r="D687" s="1423"/>
      <c r="E687" s="1423"/>
      <c r="F687" s="1423"/>
      <c r="G687" s="1423"/>
      <c r="H687" s="1423"/>
      <c r="I687" s="1423"/>
      <c r="J687" s="1423"/>
      <c r="K687" s="1423"/>
      <c r="L687" s="1423"/>
      <c r="M687" s="1423"/>
      <c r="N687" s="1423"/>
      <c r="O687" s="1423"/>
      <c r="P687" s="1423"/>
      <c r="Q687" s="1423"/>
      <c r="R687" s="1423"/>
      <c r="S687" s="1423"/>
      <c r="T687" s="1423"/>
      <c r="U687" s="1423"/>
      <c r="V687" s="1423"/>
      <c r="W687" s="1423"/>
      <c r="X687" s="1423"/>
      <c r="Y687" s="1423"/>
      <c r="Z687" s="1423"/>
    </row>
    <row r="688" spans="1:26" ht="18.5">
      <c r="A688" s="1423"/>
      <c r="B688" s="1423"/>
      <c r="C688" s="1423"/>
      <c r="D688" s="1423"/>
      <c r="E688" s="1423"/>
      <c r="F688" s="1423"/>
      <c r="G688" s="1423"/>
      <c r="H688" s="1423"/>
      <c r="I688" s="1423"/>
      <c r="J688" s="1423"/>
      <c r="K688" s="1423"/>
      <c r="L688" s="1423"/>
      <c r="M688" s="1423"/>
      <c r="N688" s="1423"/>
      <c r="O688" s="1423"/>
      <c r="P688" s="1423"/>
      <c r="Q688" s="1423"/>
      <c r="R688" s="1423"/>
      <c r="S688" s="1423"/>
      <c r="T688" s="1423"/>
      <c r="U688" s="1423"/>
      <c r="V688" s="1423"/>
      <c r="W688" s="1423"/>
      <c r="X688" s="1423"/>
      <c r="Y688" s="1423"/>
      <c r="Z688" s="1423"/>
    </row>
    <row r="689" spans="1:26" ht="18.5">
      <c r="A689" s="1423"/>
      <c r="B689" s="1423"/>
      <c r="C689" s="1423"/>
      <c r="D689" s="1423"/>
      <c r="E689" s="1423"/>
      <c r="F689" s="1423"/>
      <c r="G689" s="1423"/>
      <c r="H689" s="1423"/>
      <c r="I689" s="1423"/>
      <c r="J689" s="1423"/>
      <c r="K689" s="1423"/>
      <c r="L689" s="1423"/>
      <c r="M689" s="1423"/>
      <c r="N689" s="1423"/>
      <c r="O689" s="1423"/>
      <c r="P689" s="1423"/>
      <c r="Q689" s="1423"/>
      <c r="R689" s="1423"/>
      <c r="S689" s="1423"/>
      <c r="T689" s="1423"/>
      <c r="U689" s="1423"/>
      <c r="V689" s="1423"/>
      <c r="W689" s="1423"/>
      <c r="X689" s="1423"/>
      <c r="Y689" s="1423"/>
      <c r="Z689" s="1423"/>
    </row>
    <row r="690" spans="1:26" ht="18.5">
      <c r="A690" s="1423"/>
      <c r="B690" s="1423"/>
      <c r="C690" s="1423"/>
      <c r="D690" s="1423"/>
      <c r="E690" s="1423"/>
      <c r="F690" s="1423"/>
      <c r="G690" s="1423"/>
      <c r="H690" s="1423"/>
      <c r="I690" s="1423"/>
      <c r="J690" s="1423"/>
      <c r="K690" s="1423"/>
      <c r="L690" s="1423"/>
      <c r="M690" s="1423"/>
      <c r="N690" s="1423"/>
      <c r="O690" s="1423"/>
      <c r="P690" s="1423"/>
      <c r="Q690" s="1423"/>
      <c r="R690" s="1423"/>
      <c r="S690" s="1423"/>
      <c r="T690" s="1423"/>
      <c r="U690" s="1423"/>
      <c r="V690" s="1423"/>
      <c r="W690" s="1423"/>
      <c r="X690" s="1423"/>
      <c r="Y690" s="1423"/>
      <c r="Z690" s="1423"/>
    </row>
    <row r="691" spans="1:26" ht="18.5">
      <c r="A691" s="1423"/>
      <c r="B691" s="1423"/>
      <c r="C691" s="1423"/>
      <c r="D691" s="1423"/>
      <c r="E691" s="1423"/>
      <c r="F691" s="1423"/>
      <c r="G691" s="1423"/>
      <c r="H691" s="1423"/>
      <c r="I691" s="1423"/>
      <c r="J691" s="1423"/>
      <c r="K691" s="1423"/>
      <c r="L691" s="1423"/>
      <c r="M691" s="1423"/>
      <c r="N691" s="1423"/>
      <c r="O691" s="1423"/>
      <c r="P691" s="1423"/>
      <c r="Q691" s="1423"/>
      <c r="R691" s="1423"/>
      <c r="S691" s="1423"/>
      <c r="T691" s="1423"/>
      <c r="U691" s="1423"/>
      <c r="V691" s="1423"/>
      <c r="W691" s="1423"/>
      <c r="X691" s="1423"/>
      <c r="Y691" s="1423"/>
      <c r="Z691" s="1423"/>
    </row>
    <row r="692" spans="1:26" ht="18.5">
      <c r="A692" s="1423"/>
      <c r="B692" s="1423"/>
      <c r="C692" s="1423"/>
      <c r="D692" s="1423"/>
      <c r="E692" s="1423"/>
      <c r="F692" s="1423"/>
      <c r="G692" s="1423"/>
      <c r="H692" s="1423"/>
      <c r="I692" s="1423"/>
      <c r="J692" s="1423"/>
      <c r="K692" s="1423"/>
      <c r="L692" s="1423"/>
      <c r="M692" s="1423"/>
      <c r="N692" s="1423"/>
      <c r="O692" s="1423"/>
      <c r="P692" s="1423"/>
      <c r="Q692" s="1423"/>
      <c r="R692" s="1423"/>
      <c r="S692" s="1423"/>
      <c r="T692" s="1423"/>
      <c r="U692" s="1423"/>
      <c r="V692" s="1423"/>
      <c r="W692" s="1423"/>
      <c r="X692" s="1423"/>
      <c r="Y692" s="1423"/>
      <c r="Z692" s="1423"/>
    </row>
    <row r="693" spans="1:26" ht="18.5">
      <c r="A693" s="1423"/>
      <c r="B693" s="1423"/>
      <c r="C693" s="1423"/>
      <c r="D693" s="1423"/>
      <c r="E693" s="1423"/>
      <c r="F693" s="1423"/>
      <c r="G693" s="1423"/>
      <c r="H693" s="1423"/>
      <c r="I693" s="1423"/>
      <c r="J693" s="1423"/>
      <c r="K693" s="1423"/>
      <c r="L693" s="1423"/>
      <c r="M693" s="1423"/>
      <c r="N693" s="1423"/>
      <c r="O693" s="1423"/>
      <c r="P693" s="1423"/>
      <c r="Q693" s="1423"/>
      <c r="R693" s="1423"/>
      <c r="S693" s="1423"/>
      <c r="T693" s="1423"/>
      <c r="U693" s="1423"/>
      <c r="V693" s="1423"/>
      <c r="W693" s="1423"/>
      <c r="X693" s="1423"/>
      <c r="Y693" s="1423"/>
      <c r="Z693" s="1423"/>
    </row>
    <row r="694" spans="1:26" ht="18.5">
      <c r="A694" s="1423"/>
      <c r="B694" s="1423"/>
      <c r="C694" s="1423"/>
      <c r="D694" s="1423"/>
      <c r="E694" s="1423"/>
      <c r="F694" s="1423"/>
      <c r="G694" s="1423"/>
      <c r="H694" s="1423"/>
      <c r="I694" s="1423"/>
      <c r="J694" s="1423"/>
      <c r="K694" s="1423"/>
      <c r="L694" s="1423"/>
      <c r="M694" s="1423"/>
      <c r="N694" s="1423"/>
      <c r="O694" s="1423"/>
      <c r="P694" s="1423"/>
      <c r="Q694" s="1423"/>
      <c r="R694" s="1423"/>
      <c r="S694" s="1423"/>
      <c r="T694" s="1423"/>
      <c r="U694" s="1423"/>
      <c r="V694" s="1423"/>
      <c r="W694" s="1423"/>
      <c r="X694" s="1423"/>
      <c r="Y694" s="1423"/>
      <c r="Z694" s="1423"/>
    </row>
    <row r="695" spans="1:26" ht="18.5">
      <c r="A695" s="1423"/>
      <c r="B695" s="1423"/>
      <c r="C695" s="1423"/>
      <c r="D695" s="1423"/>
      <c r="E695" s="1423"/>
      <c r="F695" s="1423"/>
      <c r="G695" s="1423"/>
      <c r="H695" s="1423"/>
      <c r="I695" s="1423"/>
      <c r="J695" s="1423"/>
      <c r="K695" s="1423"/>
      <c r="L695" s="1423"/>
      <c r="M695" s="1423"/>
      <c r="N695" s="1423"/>
      <c r="O695" s="1423"/>
      <c r="P695" s="1423"/>
      <c r="Q695" s="1423"/>
      <c r="R695" s="1423"/>
      <c r="S695" s="1423"/>
      <c r="T695" s="1423"/>
      <c r="U695" s="1423"/>
      <c r="V695" s="1423"/>
      <c r="W695" s="1423"/>
      <c r="X695" s="1423"/>
      <c r="Y695" s="1423"/>
      <c r="Z695" s="1423"/>
    </row>
    <row r="696" spans="1:26" ht="18.5">
      <c r="A696" s="1423"/>
      <c r="B696" s="1423"/>
      <c r="C696" s="1423"/>
      <c r="D696" s="1423"/>
      <c r="E696" s="1423"/>
      <c r="F696" s="1423"/>
      <c r="G696" s="1423"/>
      <c r="H696" s="1423"/>
      <c r="I696" s="1423"/>
      <c r="J696" s="1423"/>
      <c r="K696" s="1423"/>
      <c r="L696" s="1423"/>
      <c r="M696" s="1423"/>
      <c r="N696" s="1423"/>
      <c r="O696" s="1423"/>
      <c r="P696" s="1423"/>
      <c r="Q696" s="1423"/>
      <c r="R696" s="1423"/>
      <c r="S696" s="1423"/>
      <c r="T696" s="1423"/>
      <c r="U696" s="1423"/>
      <c r="V696" s="1423"/>
      <c r="W696" s="1423"/>
      <c r="X696" s="1423"/>
      <c r="Y696" s="1423"/>
      <c r="Z696" s="1423"/>
    </row>
    <row r="697" spans="1:26" ht="18.5">
      <c r="A697" s="1423"/>
      <c r="B697" s="1423"/>
      <c r="C697" s="1423"/>
      <c r="D697" s="1423"/>
      <c r="E697" s="1423"/>
      <c r="F697" s="1423"/>
      <c r="G697" s="1423"/>
      <c r="H697" s="1423"/>
      <c r="I697" s="1423"/>
      <c r="J697" s="1423"/>
      <c r="K697" s="1423"/>
      <c r="L697" s="1423"/>
      <c r="M697" s="1423"/>
      <c r="N697" s="1423"/>
      <c r="O697" s="1423"/>
      <c r="P697" s="1423"/>
      <c r="Q697" s="1423"/>
      <c r="R697" s="1423"/>
      <c r="S697" s="1423"/>
      <c r="T697" s="1423"/>
      <c r="U697" s="1423"/>
      <c r="V697" s="1423"/>
      <c r="W697" s="1423"/>
      <c r="X697" s="1423"/>
      <c r="Y697" s="1423"/>
      <c r="Z697" s="1423"/>
    </row>
    <row r="698" spans="1:26" ht="18.5">
      <c r="A698" s="1423"/>
      <c r="B698" s="1423"/>
      <c r="C698" s="1423"/>
      <c r="D698" s="1423"/>
      <c r="E698" s="1423"/>
      <c r="F698" s="1423"/>
      <c r="G698" s="1423"/>
      <c r="H698" s="1423"/>
      <c r="I698" s="1423"/>
      <c r="J698" s="1423"/>
      <c r="K698" s="1423"/>
      <c r="L698" s="1423"/>
      <c r="M698" s="1423"/>
      <c r="N698" s="1423"/>
      <c r="O698" s="1423"/>
      <c r="P698" s="1423"/>
      <c r="Q698" s="1423"/>
      <c r="R698" s="1423"/>
      <c r="S698" s="1423"/>
      <c r="T698" s="1423"/>
      <c r="U698" s="1423"/>
      <c r="V698" s="1423"/>
      <c r="W698" s="1423"/>
      <c r="X698" s="1423"/>
      <c r="Y698" s="1423"/>
      <c r="Z698" s="1423"/>
    </row>
    <row r="699" spans="1:26" ht="18.5">
      <c r="A699" s="1423"/>
      <c r="B699" s="1423"/>
      <c r="C699" s="1423"/>
      <c r="D699" s="1423"/>
      <c r="E699" s="1423"/>
      <c r="F699" s="1423"/>
      <c r="G699" s="1423"/>
      <c r="H699" s="1423"/>
      <c r="I699" s="1423"/>
      <c r="J699" s="1423"/>
      <c r="K699" s="1423"/>
      <c r="L699" s="1423"/>
      <c r="M699" s="1423"/>
      <c r="N699" s="1423"/>
      <c r="O699" s="1423"/>
      <c r="P699" s="1423"/>
      <c r="Q699" s="1423"/>
      <c r="R699" s="1423"/>
      <c r="S699" s="1423"/>
      <c r="T699" s="1423"/>
      <c r="U699" s="1423"/>
      <c r="V699" s="1423"/>
      <c r="W699" s="1423"/>
      <c r="X699" s="1423"/>
      <c r="Y699" s="1423"/>
      <c r="Z699" s="1423"/>
    </row>
    <row r="700" spans="1:26" ht="18.5">
      <c r="A700" s="1423"/>
      <c r="B700" s="1423"/>
      <c r="C700" s="1423"/>
      <c r="D700" s="1423"/>
      <c r="E700" s="1423"/>
      <c r="F700" s="1423"/>
      <c r="G700" s="1423"/>
      <c r="H700" s="1423"/>
      <c r="I700" s="1423"/>
      <c r="J700" s="1423"/>
      <c r="K700" s="1423"/>
      <c r="L700" s="1423"/>
      <c r="M700" s="1423"/>
      <c r="N700" s="1423"/>
      <c r="O700" s="1423"/>
      <c r="P700" s="1423"/>
      <c r="Q700" s="1423"/>
      <c r="R700" s="1423"/>
      <c r="S700" s="1423"/>
      <c r="T700" s="1423"/>
      <c r="U700" s="1423"/>
      <c r="V700" s="1423"/>
      <c r="W700" s="1423"/>
      <c r="X700" s="1423"/>
      <c r="Y700" s="1423"/>
      <c r="Z700" s="1423"/>
    </row>
    <row r="701" spans="1:26" ht="18.5">
      <c r="A701" s="1423"/>
      <c r="B701" s="1423"/>
      <c r="C701" s="1423"/>
      <c r="D701" s="1423"/>
      <c r="E701" s="1423"/>
      <c r="F701" s="1423"/>
      <c r="G701" s="1423"/>
      <c r="H701" s="1423"/>
      <c r="I701" s="1423"/>
      <c r="J701" s="1423"/>
      <c r="K701" s="1423"/>
      <c r="L701" s="1423"/>
      <c r="M701" s="1423"/>
      <c r="N701" s="1423"/>
      <c r="O701" s="1423"/>
      <c r="P701" s="1423"/>
      <c r="Q701" s="1423"/>
      <c r="R701" s="1423"/>
      <c r="S701" s="1423"/>
      <c r="T701" s="1423"/>
      <c r="U701" s="1423"/>
      <c r="V701" s="1423"/>
      <c r="W701" s="1423"/>
      <c r="X701" s="1423"/>
      <c r="Y701" s="1423"/>
      <c r="Z701" s="1423"/>
    </row>
    <row r="702" spans="1:26" ht="18.5">
      <c r="A702" s="1423"/>
      <c r="B702" s="1423"/>
      <c r="C702" s="1423"/>
      <c r="D702" s="1423"/>
      <c r="E702" s="1423"/>
      <c r="F702" s="1423"/>
      <c r="G702" s="1423"/>
      <c r="H702" s="1423"/>
      <c r="I702" s="1423"/>
      <c r="J702" s="1423"/>
      <c r="K702" s="1423"/>
      <c r="L702" s="1423"/>
      <c r="M702" s="1423"/>
      <c r="N702" s="1423"/>
      <c r="O702" s="1423"/>
      <c r="P702" s="1423"/>
      <c r="Q702" s="1423"/>
      <c r="R702" s="1423"/>
      <c r="S702" s="1423"/>
      <c r="T702" s="1423"/>
      <c r="U702" s="1423"/>
      <c r="V702" s="1423"/>
      <c r="W702" s="1423"/>
      <c r="X702" s="1423"/>
      <c r="Y702" s="1423"/>
      <c r="Z702" s="1423"/>
    </row>
    <row r="703" spans="1:26" ht="18.5">
      <c r="A703" s="1423"/>
      <c r="B703" s="1423"/>
      <c r="C703" s="1423"/>
      <c r="D703" s="1423"/>
      <c r="E703" s="1423"/>
      <c r="F703" s="1423"/>
      <c r="G703" s="1423"/>
      <c r="H703" s="1423"/>
      <c r="I703" s="1423"/>
      <c r="J703" s="1423"/>
      <c r="K703" s="1423"/>
      <c r="L703" s="1423"/>
      <c r="M703" s="1423"/>
      <c r="N703" s="1423"/>
      <c r="O703" s="1423"/>
      <c r="P703" s="1423"/>
      <c r="Q703" s="1423"/>
      <c r="R703" s="1423"/>
      <c r="S703" s="1423"/>
      <c r="T703" s="1423"/>
      <c r="U703" s="1423"/>
      <c r="V703" s="1423"/>
      <c r="W703" s="1423"/>
      <c r="X703" s="1423"/>
      <c r="Y703" s="1423"/>
      <c r="Z703" s="1423"/>
    </row>
    <row r="704" spans="1:26" ht="18.5">
      <c r="A704" s="1423"/>
      <c r="B704" s="1423"/>
      <c r="C704" s="1423"/>
      <c r="D704" s="1423"/>
      <c r="E704" s="1423"/>
      <c r="F704" s="1423"/>
      <c r="G704" s="1423"/>
      <c r="H704" s="1423"/>
      <c r="I704" s="1423"/>
      <c r="J704" s="1423"/>
      <c r="K704" s="1423"/>
      <c r="L704" s="1423"/>
      <c r="M704" s="1423"/>
      <c r="N704" s="1423"/>
      <c r="O704" s="1423"/>
      <c r="P704" s="1423"/>
      <c r="Q704" s="1423"/>
      <c r="R704" s="1423"/>
      <c r="S704" s="1423"/>
      <c r="T704" s="1423"/>
      <c r="U704" s="1423"/>
      <c r="V704" s="1423"/>
      <c r="W704" s="1423"/>
      <c r="X704" s="1423"/>
      <c r="Y704" s="1423"/>
      <c r="Z704" s="1423"/>
    </row>
    <row r="705" spans="1:26" ht="18.5">
      <c r="A705" s="1423"/>
      <c r="B705" s="1423"/>
      <c r="C705" s="1423"/>
      <c r="D705" s="1423"/>
      <c r="E705" s="1423"/>
      <c r="F705" s="1423"/>
      <c r="G705" s="1423"/>
      <c r="H705" s="1423"/>
      <c r="I705" s="1423"/>
      <c r="J705" s="1423"/>
      <c r="K705" s="1423"/>
      <c r="L705" s="1423"/>
      <c r="M705" s="1423"/>
      <c r="N705" s="1423"/>
      <c r="O705" s="1423"/>
      <c r="P705" s="1423"/>
      <c r="Q705" s="1423"/>
      <c r="R705" s="1423"/>
      <c r="S705" s="1423"/>
      <c r="T705" s="1423"/>
      <c r="U705" s="1423"/>
      <c r="V705" s="1423"/>
      <c r="W705" s="1423"/>
      <c r="X705" s="1423"/>
      <c r="Y705" s="1423"/>
      <c r="Z705" s="1423"/>
    </row>
    <row r="706" spans="1:26" ht="18.5">
      <c r="A706" s="1423"/>
      <c r="B706" s="1423"/>
      <c r="C706" s="1423"/>
      <c r="D706" s="1423"/>
      <c r="E706" s="1423"/>
      <c r="F706" s="1423"/>
      <c r="G706" s="1423"/>
      <c r="H706" s="1423"/>
      <c r="I706" s="1423"/>
      <c r="J706" s="1423"/>
      <c r="K706" s="1423"/>
      <c r="L706" s="1423"/>
      <c r="M706" s="1423"/>
      <c r="N706" s="1423"/>
      <c r="O706" s="1423"/>
      <c r="P706" s="1423"/>
      <c r="Q706" s="1423"/>
      <c r="R706" s="1423"/>
      <c r="S706" s="1423"/>
      <c r="T706" s="1423"/>
      <c r="U706" s="1423"/>
      <c r="V706" s="1423"/>
      <c r="W706" s="1423"/>
      <c r="X706" s="1423"/>
      <c r="Y706" s="1423"/>
      <c r="Z706" s="1423"/>
    </row>
    <row r="707" spans="1:26" ht="18.5">
      <c r="A707" s="1423"/>
      <c r="B707" s="1423"/>
      <c r="C707" s="1423"/>
      <c r="D707" s="1423"/>
      <c r="E707" s="1423"/>
      <c r="F707" s="1423"/>
      <c r="G707" s="1423"/>
      <c r="H707" s="1423"/>
      <c r="I707" s="1423"/>
      <c r="J707" s="1423"/>
      <c r="K707" s="1423"/>
      <c r="L707" s="1423"/>
      <c r="M707" s="1423"/>
      <c r="N707" s="1423"/>
      <c r="O707" s="1423"/>
      <c r="P707" s="1423"/>
      <c r="Q707" s="1423"/>
      <c r="R707" s="1423"/>
      <c r="S707" s="1423"/>
      <c r="T707" s="1423"/>
      <c r="U707" s="1423"/>
      <c r="V707" s="1423"/>
      <c r="W707" s="1423"/>
      <c r="X707" s="1423"/>
      <c r="Y707" s="1423"/>
      <c r="Z707" s="1423"/>
    </row>
    <row r="708" spans="1:26" ht="18.5">
      <c r="A708" s="1423"/>
      <c r="B708" s="1423"/>
      <c r="C708" s="1423"/>
      <c r="D708" s="1423"/>
      <c r="E708" s="1423"/>
      <c r="F708" s="1423"/>
      <c r="G708" s="1423"/>
      <c r="H708" s="1423"/>
      <c r="I708" s="1423"/>
      <c r="J708" s="1423"/>
      <c r="K708" s="1423"/>
      <c r="L708" s="1423"/>
      <c r="M708" s="1423"/>
      <c r="N708" s="1423"/>
      <c r="O708" s="1423"/>
      <c r="P708" s="1423"/>
      <c r="Q708" s="1423"/>
      <c r="R708" s="1423"/>
      <c r="S708" s="1423"/>
      <c r="T708" s="1423"/>
      <c r="U708" s="1423"/>
      <c r="V708" s="1423"/>
      <c r="W708" s="1423"/>
      <c r="X708" s="1423"/>
      <c r="Y708" s="1423"/>
      <c r="Z708" s="1423"/>
    </row>
    <row r="709" spans="1:26" ht="18.5">
      <c r="A709" s="1423"/>
      <c r="B709" s="1423"/>
      <c r="C709" s="1423"/>
      <c r="D709" s="1423"/>
      <c r="E709" s="1423"/>
      <c r="F709" s="1423"/>
      <c r="G709" s="1423"/>
      <c r="H709" s="1423"/>
      <c r="I709" s="1423"/>
      <c r="J709" s="1423"/>
      <c r="K709" s="1423"/>
      <c r="L709" s="1423"/>
      <c r="M709" s="1423"/>
      <c r="N709" s="1423"/>
      <c r="O709" s="1423"/>
      <c r="P709" s="1423"/>
      <c r="Q709" s="1423"/>
      <c r="R709" s="1423"/>
      <c r="S709" s="1423"/>
      <c r="T709" s="1423"/>
      <c r="U709" s="1423"/>
      <c r="V709" s="1423"/>
      <c r="W709" s="1423"/>
      <c r="X709" s="1423"/>
      <c r="Y709" s="1423"/>
      <c r="Z709" s="1423"/>
    </row>
    <row r="710" spans="1:26" ht="18.5">
      <c r="A710" s="1423"/>
      <c r="B710" s="1423"/>
      <c r="C710" s="1423"/>
      <c r="D710" s="1423"/>
      <c r="E710" s="1423"/>
      <c r="F710" s="1423"/>
      <c r="G710" s="1423"/>
      <c r="H710" s="1423"/>
      <c r="I710" s="1423"/>
      <c r="J710" s="1423"/>
      <c r="K710" s="1423"/>
      <c r="L710" s="1423"/>
      <c r="M710" s="1423"/>
      <c r="N710" s="1423"/>
      <c r="O710" s="1423"/>
      <c r="P710" s="1423"/>
      <c r="Q710" s="1423"/>
      <c r="R710" s="1423"/>
      <c r="S710" s="1423"/>
      <c r="T710" s="1423"/>
      <c r="U710" s="1423"/>
      <c r="V710" s="1423"/>
      <c r="W710" s="1423"/>
      <c r="X710" s="1423"/>
      <c r="Y710" s="1423"/>
      <c r="Z710" s="1423"/>
    </row>
    <row r="711" spans="1:26" ht="18.5">
      <c r="A711" s="1423"/>
      <c r="B711" s="1423"/>
      <c r="C711" s="1423"/>
      <c r="D711" s="1423"/>
      <c r="E711" s="1423"/>
      <c r="F711" s="1423"/>
      <c r="G711" s="1423"/>
      <c r="H711" s="1423"/>
      <c r="I711" s="1423"/>
      <c r="J711" s="1423"/>
      <c r="K711" s="1423"/>
      <c r="L711" s="1423"/>
      <c r="M711" s="1423"/>
      <c r="N711" s="1423"/>
      <c r="O711" s="1423"/>
      <c r="P711" s="1423"/>
      <c r="Q711" s="1423"/>
      <c r="R711" s="1423"/>
      <c r="S711" s="1423"/>
      <c r="T711" s="1423"/>
      <c r="U711" s="1423"/>
      <c r="V711" s="1423"/>
      <c r="W711" s="1423"/>
      <c r="X711" s="1423"/>
      <c r="Y711" s="1423"/>
      <c r="Z711" s="1423"/>
    </row>
    <row r="712" spans="1:26" ht="18.5">
      <c r="A712" s="1423"/>
      <c r="B712" s="1423"/>
      <c r="C712" s="1423"/>
      <c r="D712" s="1423"/>
      <c r="E712" s="1423"/>
      <c r="F712" s="1423"/>
      <c r="G712" s="1423"/>
      <c r="H712" s="1423"/>
      <c r="I712" s="1423"/>
      <c r="J712" s="1423"/>
      <c r="K712" s="1423"/>
      <c r="L712" s="1423"/>
      <c r="M712" s="1423"/>
      <c r="N712" s="1423"/>
      <c r="O712" s="1423"/>
      <c r="P712" s="1423"/>
      <c r="Q712" s="1423"/>
      <c r="R712" s="1423"/>
      <c r="S712" s="1423"/>
      <c r="T712" s="1423"/>
      <c r="U712" s="1423"/>
      <c r="V712" s="1423"/>
      <c r="W712" s="1423"/>
      <c r="X712" s="1423"/>
      <c r="Y712" s="1423"/>
      <c r="Z712" s="1423"/>
    </row>
    <row r="713" spans="1:26" ht="18.5">
      <c r="A713" s="1423"/>
      <c r="B713" s="1423"/>
      <c r="C713" s="1423"/>
      <c r="D713" s="1423"/>
      <c r="E713" s="1423"/>
      <c r="F713" s="1423"/>
      <c r="G713" s="1423"/>
      <c r="H713" s="1423"/>
      <c r="I713" s="1423"/>
      <c r="J713" s="1423"/>
      <c r="K713" s="1423"/>
      <c r="L713" s="1423"/>
      <c r="M713" s="1423"/>
      <c r="N713" s="1423"/>
      <c r="O713" s="1423"/>
      <c r="P713" s="1423"/>
      <c r="Q713" s="1423"/>
      <c r="R713" s="1423"/>
      <c r="S713" s="1423"/>
      <c r="T713" s="1423"/>
      <c r="U713" s="1423"/>
      <c r="V713" s="1423"/>
      <c r="W713" s="1423"/>
      <c r="X713" s="1423"/>
      <c r="Y713" s="1423"/>
      <c r="Z713" s="1423"/>
    </row>
    <row r="714" spans="1:26" ht="18.5">
      <c r="A714" s="1423"/>
      <c r="B714" s="1423"/>
      <c r="C714" s="1423"/>
      <c r="D714" s="1423"/>
      <c r="E714" s="1423"/>
      <c r="F714" s="1423"/>
      <c r="G714" s="1423"/>
      <c r="H714" s="1423"/>
      <c r="I714" s="1423"/>
      <c r="J714" s="1423"/>
      <c r="K714" s="1423"/>
      <c r="L714" s="1423"/>
      <c r="M714" s="1423"/>
      <c r="N714" s="1423"/>
      <c r="O714" s="1423"/>
      <c r="P714" s="1423"/>
      <c r="Q714" s="1423"/>
      <c r="R714" s="1423"/>
      <c r="S714" s="1423"/>
      <c r="T714" s="1423"/>
      <c r="U714" s="1423"/>
      <c r="V714" s="1423"/>
      <c r="W714" s="1423"/>
      <c r="X714" s="1423"/>
      <c r="Y714" s="1423"/>
      <c r="Z714" s="1423"/>
    </row>
    <row r="715" spans="1:26" ht="18.5">
      <c r="A715" s="1423"/>
      <c r="B715" s="1423"/>
      <c r="C715" s="1423"/>
      <c r="D715" s="1423"/>
      <c r="E715" s="1423"/>
      <c r="F715" s="1423"/>
      <c r="G715" s="1423"/>
      <c r="H715" s="1423"/>
      <c r="I715" s="1423"/>
      <c r="J715" s="1423"/>
      <c r="K715" s="1423"/>
      <c r="L715" s="1423"/>
      <c r="M715" s="1423"/>
      <c r="N715" s="1423"/>
      <c r="O715" s="1423"/>
      <c r="P715" s="1423"/>
      <c r="Q715" s="1423"/>
      <c r="R715" s="1423"/>
      <c r="S715" s="1423"/>
      <c r="T715" s="1423"/>
      <c r="U715" s="1423"/>
      <c r="V715" s="1423"/>
      <c r="W715" s="1423"/>
      <c r="X715" s="1423"/>
      <c r="Y715" s="1423"/>
      <c r="Z715" s="1423"/>
    </row>
    <row r="716" spans="1:26" ht="18.5">
      <c r="A716" s="1423"/>
      <c r="B716" s="1423"/>
      <c r="C716" s="1423"/>
      <c r="D716" s="1423"/>
      <c r="E716" s="1423"/>
      <c r="F716" s="1423"/>
      <c r="G716" s="1423"/>
      <c r="H716" s="1423"/>
      <c r="I716" s="1423"/>
      <c r="J716" s="1423"/>
      <c r="K716" s="1423"/>
      <c r="L716" s="1423"/>
      <c r="M716" s="1423"/>
      <c r="N716" s="1423"/>
      <c r="O716" s="1423"/>
      <c r="P716" s="1423"/>
      <c r="Q716" s="1423"/>
      <c r="R716" s="1423"/>
      <c r="S716" s="1423"/>
      <c r="T716" s="1423"/>
      <c r="U716" s="1423"/>
      <c r="V716" s="1423"/>
      <c r="W716" s="1423"/>
      <c r="X716" s="1423"/>
      <c r="Y716" s="1423"/>
      <c r="Z716" s="1423"/>
    </row>
    <row r="717" spans="1:26" ht="18.5">
      <c r="A717" s="1423"/>
      <c r="B717" s="1423"/>
      <c r="C717" s="1423"/>
      <c r="D717" s="1423"/>
      <c r="E717" s="1423"/>
      <c r="F717" s="1423"/>
      <c r="G717" s="1423"/>
      <c r="H717" s="1423"/>
      <c r="I717" s="1423"/>
      <c r="J717" s="1423"/>
      <c r="K717" s="1423"/>
      <c r="L717" s="1423"/>
      <c r="M717" s="1423"/>
      <c r="N717" s="1423"/>
      <c r="O717" s="1423"/>
      <c r="P717" s="1423"/>
      <c r="Q717" s="1423"/>
      <c r="R717" s="1423"/>
      <c r="S717" s="1423"/>
      <c r="T717" s="1423"/>
      <c r="U717" s="1423"/>
      <c r="V717" s="1423"/>
      <c r="W717" s="1423"/>
      <c r="X717" s="1423"/>
      <c r="Y717" s="1423"/>
      <c r="Z717" s="1423"/>
    </row>
    <row r="718" spans="1:26" ht="18.5">
      <c r="A718" s="1423"/>
      <c r="B718" s="1423"/>
      <c r="C718" s="1423"/>
      <c r="D718" s="1423"/>
      <c r="E718" s="1423"/>
      <c r="F718" s="1423"/>
      <c r="G718" s="1423"/>
      <c r="H718" s="1423"/>
      <c r="I718" s="1423"/>
      <c r="J718" s="1423"/>
      <c r="K718" s="1423"/>
      <c r="L718" s="1423"/>
      <c r="M718" s="1423"/>
      <c r="N718" s="1423"/>
      <c r="O718" s="1423"/>
      <c r="P718" s="1423"/>
      <c r="Q718" s="1423"/>
      <c r="R718" s="1423"/>
      <c r="S718" s="1423"/>
      <c r="T718" s="1423"/>
      <c r="U718" s="1423"/>
      <c r="V718" s="1423"/>
      <c r="W718" s="1423"/>
      <c r="X718" s="1423"/>
      <c r="Y718" s="1423"/>
      <c r="Z718" s="1423"/>
    </row>
    <row r="719" spans="1:26" ht="18.5">
      <c r="A719" s="1423"/>
      <c r="B719" s="1423"/>
      <c r="C719" s="1423"/>
      <c r="D719" s="1423"/>
      <c r="E719" s="1423"/>
      <c r="F719" s="1423"/>
      <c r="G719" s="1423"/>
      <c r="H719" s="1423"/>
      <c r="I719" s="1423"/>
      <c r="J719" s="1423"/>
      <c r="K719" s="1423"/>
      <c r="L719" s="1423"/>
      <c r="M719" s="1423"/>
      <c r="N719" s="1423"/>
      <c r="O719" s="1423"/>
      <c r="P719" s="1423"/>
      <c r="Q719" s="1423"/>
      <c r="R719" s="1423"/>
      <c r="S719" s="1423"/>
      <c r="T719" s="1423"/>
      <c r="U719" s="1423"/>
      <c r="V719" s="1423"/>
      <c r="W719" s="1423"/>
      <c r="X719" s="1423"/>
      <c r="Y719" s="1423"/>
      <c r="Z719" s="1423"/>
    </row>
    <row r="720" spans="1:26" ht="18.5">
      <c r="A720" s="1423"/>
      <c r="B720" s="1423"/>
      <c r="C720" s="1423"/>
      <c r="D720" s="1423"/>
      <c r="E720" s="1423"/>
      <c r="F720" s="1423"/>
      <c r="G720" s="1423"/>
      <c r="H720" s="1423"/>
      <c r="I720" s="1423"/>
      <c r="J720" s="1423"/>
      <c r="K720" s="1423"/>
      <c r="L720" s="1423"/>
      <c r="M720" s="1423"/>
      <c r="N720" s="1423"/>
      <c r="O720" s="1423"/>
      <c r="P720" s="1423"/>
      <c r="Q720" s="1423"/>
      <c r="R720" s="1423"/>
      <c r="S720" s="1423"/>
      <c r="T720" s="1423"/>
      <c r="U720" s="1423"/>
      <c r="V720" s="1423"/>
      <c r="W720" s="1423"/>
      <c r="X720" s="1423"/>
      <c r="Y720" s="1423"/>
      <c r="Z720" s="1423"/>
    </row>
    <row r="721" spans="1:26" ht="18.5">
      <c r="A721" s="1423"/>
      <c r="B721" s="1423"/>
      <c r="C721" s="1423"/>
      <c r="D721" s="1423"/>
      <c r="E721" s="1423"/>
      <c r="F721" s="1423"/>
      <c r="G721" s="1423"/>
      <c r="H721" s="1423"/>
      <c r="I721" s="1423"/>
      <c r="J721" s="1423"/>
      <c r="K721" s="1423"/>
      <c r="L721" s="1423"/>
      <c r="M721" s="1423"/>
      <c r="N721" s="1423"/>
      <c r="O721" s="1423"/>
      <c r="P721" s="1423"/>
      <c r="Q721" s="1423"/>
      <c r="R721" s="1423"/>
      <c r="S721" s="1423"/>
      <c r="T721" s="1423"/>
      <c r="U721" s="1423"/>
      <c r="V721" s="1423"/>
      <c r="W721" s="1423"/>
      <c r="X721" s="1423"/>
      <c r="Y721" s="1423"/>
      <c r="Z721" s="1423"/>
    </row>
    <row r="722" spans="1:26" ht="18.5">
      <c r="A722" s="1423"/>
      <c r="B722" s="1423"/>
      <c r="C722" s="1423"/>
      <c r="D722" s="1423"/>
      <c r="E722" s="1423"/>
      <c r="F722" s="1423"/>
      <c r="G722" s="1423"/>
      <c r="H722" s="1423"/>
      <c r="I722" s="1423"/>
      <c r="J722" s="1423"/>
      <c r="K722" s="1423"/>
      <c r="L722" s="1423"/>
      <c r="M722" s="1423"/>
      <c r="N722" s="1423"/>
      <c r="O722" s="1423"/>
      <c r="P722" s="1423"/>
      <c r="Q722" s="1423"/>
      <c r="R722" s="1423"/>
      <c r="S722" s="1423"/>
      <c r="T722" s="1423"/>
      <c r="U722" s="1423"/>
      <c r="V722" s="1423"/>
      <c r="W722" s="1423"/>
      <c r="X722" s="1423"/>
      <c r="Y722" s="1423"/>
      <c r="Z722" s="1423"/>
    </row>
    <row r="723" spans="1:26" ht="18.5">
      <c r="A723" s="1423"/>
      <c r="B723" s="1423"/>
      <c r="C723" s="1423"/>
      <c r="D723" s="1423"/>
      <c r="E723" s="1423"/>
      <c r="F723" s="1423"/>
      <c r="G723" s="1423"/>
      <c r="H723" s="1423"/>
      <c r="I723" s="1423"/>
      <c r="J723" s="1423"/>
      <c r="K723" s="1423"/>
      <c r="L723" s="1423"/>
      <c r="M723" s="1423"/>
      <c r="N723" s="1423"/>
      <c r="O723" s="1423"/>
      <c r="P723" s="1423"/>
      <c r="Q723" s="1423"/>
      <c r="R723" s="1423"/>
      <c r="S723" s="1423"/>
      <c r="T723" s="1423"/>
      <c r="U723" s="1423"/>
      <c r="V723" s="1423"/>
      <c r="W723" s="1423"/>
      <c r="X723" s="1423"/>
      <c r="Y723" s="1423"/>
      <c r="Z723" s="1423"/>
    </row>
    <row r="724" spans="1:26" ht="18.5">
      <c r="A724" s="1423"/>
      <c r="B724" s="1423"/>
      <c r="C724" s="1423"/>
      <c r="D724" s="1423"/>
      <c r="E724" s="1423"/>
      <c r="F724" s="1423"/>
      <c r="G724" s="1423"/>
      <c r="H724" s="1423"/>
      <c r="I724" s="1423"/>
      <c r="J724" s="1423"/>
      <c r="K724" s="1423"/>
      <c r="L724" s="1423"/>
      <c r="M724" s="1423"/>
      <c r="N724" s="1423"/>
      <c r="O724" s="1423"/>
      <c r="P724" s="1423"/>
      <c r="Q724" s="1423"/>
      <c r="R724" s="1423"/>
      <c r="S724" s="1423"/>
      <c r="T724" s="1423"/>
      <c r="U724" s="1423"/>
      <c r="V724" s="1423"/>
      <c r="W724" s="1423"/>
      <c r="X724" s="1423"/>
      <c r="Y724" s="1423"/>
      <c r="Z724" s="1423"/>
    </row>
    <row r="725" spans="1:26" ht="18.5">
      <c r="A725" s="1423"/>
      <c r="B725" s="1423"/>
      <c r="C725" s="1423"/>
      <c r="D725" s="1423"/>
      <c r="E725" s="1423"/>
      <c r="F725" s="1423"/>
      <c r="G725" s="1423"/>
      <c r="H725" s="1423"/>
      <c r="I725" s="1423"/>
      <c r="J725" s="1423"/>
      <c r="K725" s="1423"/>
      <c r="L725" s="1423"/>
      <c r="M725" s="1423"/>
      <c r="N725" s="1423"/>
      <c r="O725" s="1423"/>
      <c r="P725" s="1423"/>
      <c r="Q725" s="1423"/>
      <c r="R725" s="1423"/>
      <c r="S725" s="1423"/>
      <c r="T725" s="1423"/>
      <c r="U725" s="1423"/>
      <c r="V725" s="1423"/>
      <c r="W725" s="1423"/>
      <c r="X725" s="1423"/>
      <c r="Y725" s="1423"/>
      <c r="Z725" s="1423"/>
    </row>
    <row r="726" spans="1:26" ht="18.5">
      <c r="A726" s="1423"/>
      <c r="B726" s="1423"/>
      <c r="C726" s="1423"/>
      <c r="D726" s="1423"/>
      <c r="E726" s="1423"/>
      <c r="F726" s="1423"/>
      <c r="G726" s="1423"/>
      <c r="H726" s="1423"/>
      <c r="I726" s="1423"/>
      <c r="J726" s="1423"/>
      <c r="K726" s="1423"/>
      <c r="L726" s="1423"/>
      <c r="M726" s="1423"/>
      <c r="N726" s="1423"/>
      <c r="O726" s="1423"/>
      <c r="P726" s="1423"/>
      <c r="Q726" s="1423"/>
      <c r="R726" s="1423"/>
      <c r="S726" s="1423"/>
      <c r="T726" s="1423"/>
      <c r="U726" s="1423"/>
      <c r="V726" s="1423"/>
      <c r="W726" s="1423"/>
      <c r="X726" s="1423"/>
      <c r="Y726" s="1423"/>
      <c r="Z726" s="1423"/>
    </row>
    <row r="727" spans="1:26" ht="18.5">
      <c r="A727" s="1423"/>
      <c r="B727" s="1423"/>
      <c r="C727" s="1423"/>
      <c r="D727" s="1423"/>
      <c r="E727" s="1423"/>
      <c r="F727" s="1423"/>
      <c r="G727" s="1423"/>
      <c r="H727" s="1423"/>
      <c r="I727" s="1423"/>
      <c r="J727" s="1423"/>
      <c r="K727" s="1423"/>
      <c r="L727" s="1423"/>
      <c r="M727" s="1423"/>
      <c r="N727" s="1423"/>
      <c r="O727" s="1423"/>
      <c r="P727" s="1423"/>
      <c r="Q727" s="1423"/>
      <c r="R727" s="1423"/>
      <c r="S727" s="1423"/>
      <c r="T727" s="1423"/>
      <c r="U727" s="1423"/>
      <c r="V727" s="1423"/>
      <c r="W727" s="1423"/>
      <c r="X727" s="1423"/>
      <c r="Y727" s="1423"/>
      <c r="Z727" s="1423"/>
    </row>
    <row r="728" spans="1:26" ht="18.5">
      <c r="A728" s="1423"/>
      <c r="B728" s="1423"/>
      <c r="C728" s="1423"/>
      <c r="D728" s="1423"/>
      <c r="E728" s="1423"/>
      <c r="F728" s="1423"/>
      <c r="G728" s="1423"/>
      <c r="H728" s="1423"/>
      <c r="I728" s="1423"/>
      <c r="J728" s="1423"/>
      <c r="K728" s="1423"/>
      <c r="L728" s="1423"/>
      <c r="M728" s="1423"/>
      <c r="N728" s="1423"/>
      <c r="O728" s="1423"/>
      <c r="P728" s="1423"/>
      <c r="Q728" s="1423"/>
      <c r="R728" s="1423"/>
      <c r="S728" s="1423"/>
      <c r="T728" s="1423"/>
      <c r="U728" s="1423"/>
      <c r="V728" s="1423"/>
      <c r="W728" s="1423"/>
      <c r="X728" s="1423"/>
      <c r="Y728" s="1423"/>
      <c r="Z728" s="1423"/>
    </row>
    <row r="729" spans="1:26" ht="18.5">
      <c r="A729" s="1423"/>
      <c r="B729" s="1423"/>
      <c r="C729" s="1423"/>
      <c r="D729" s="1423"/>
      <c r="E729" s="1423"/>
      <c r="F729" s="1423"/>
      <c r="G729" s="1423"/>
      <c r="H729" s="1423"/>
      <c r="I729" s="1423"/>
      <c r="J729" s="1423"/>
      <c r="K729" s="1423"/>
      <c r="L729" s="1423"/>
      <c r="M729" s="1423"/>
      <c r="N729" s="1423"/>
      <c r="O729" s="1423"/>
      <c r="P729" s="1423"/>
      <c r="Q729" s="1423"/>
      <c r="R729" s="1423"/>
      <c r="S729" s="1423"/>
      <c r="T729" s="1423"/>
      <c r="U729" s="1423"/>
      <c r="V729" s="1423"/>
      <c r="W729" s="1423"/>
      <c r="X729" s="1423"/>
      <c r="Y729" s="1423"/>
      <c r="Z729" s="1423"/>
    </row>
    <row r="730" spans="1:26" ht="18.5">
      <c r="A730" s="1423"/>
      <c r="B730" s="1423"/>
      <c r="C730" s="1423"/>
      <c r="D730" s="1423"/>
      <c r="E730" s="1423"/>
      <c r="F730" s="1423"/>
      <c r="G730" s="1423"/>
      <c r="H730" s="1423"/>
      <c r="I730" s="1423"/>
      <c r="J730" s="1423"/>
      <c r="K730" s="1423"/>
      <c r="L730" s="1423"/>
      <c r="M730" s="1423"/>
      <c r="N730" s="1423"/>
      <c r="O730" s="1423"/>
      <c r="P730" s="1423"/>
      <c r="Q730" s="1423"/>
      <c r="R730" s="1423"/>
      <c r="S730" s="1423"/>
      <c r="T730" s="1423"/>
      <c r="U730" s="1423"/>
      <c r="V730" s="1423"/>
      <c r="W730" s="1423"/>
      <c r="X730" s="1423"/>
      <c r="Y730" s="1423"/>
      <c r="Z730" s="1423"/>
    </row>
    <row r="731" spans="1:26" ht="18.5">
      <c r="A731" s="1423"/>
      <c r="B731" s="1423"/>
      <c r="C731" s="1423"/>
      <c r="D731" s="1423"/>
      <c r="E731" s="1423"/>
      <c r="F731" s="1423"/>
      <c r="G731" s="1423"/>
      <c r="H731" s="1423"/>
      <c r="I731" s="1423"/>
      <c r="J731" s="1423"/>
      <c r="K731" s="1423"/>
      <c r="L731" s="1423"/>
      <c r="M731" s="1423"/>
      <c r="N731" s="1423"/>
      <c r="O731" s="1423"/>
      <c r="P731" s="1423"/>
      <c r="Q731" s="1423"/>
      <c r="R731" s="1423"/>
      <c r="S731" s="1423"/>
      <c r="T731" s="1423"/>
      <c r="U731" s="1423"/>
      <c r="V731" s="1423"/>
      <c r="W731" s="1423"/>
      <c r="X731" s="1423"/>
      <c r="Y731" s="1423"/>
      <c r="Z731" s="1423"/>
    </row>
    <row r="732" spans="1:26" ht="18.5">
      <c r="A732" s="1423"/>
      <c r="B732" s="1423"/>
      <c r="C732" s="1423"/>
      <c r="D732" s="1423"/>
      <c r="E732" s="1423"/>
      <c r="F732" s="1423"/>
      <c r="G732" s="1423"/>
      <c r="H732" s="1423"/>
      <c r="I732" s="1423"/>
      <c r="J732" s="1423"/>
      <c r="K732" s="1423"/>
      <c r="L732" s="1423"/>
      <c r="M732" s="1423"/>
      <c r="N732" s="1423"/>
      <c r="O732" s="1423"/>
      <c r="P732" s="1423"/>
      <c r="Q732" s="1423"/>
      <c r="R732" s="1423"/>
      <c r="S732" s="1423"/>
      <c r="T732" s="1423"/>
      <c r="U732" s="1423"/>
      <c r="V732" s="1423"/>
      <c r="W732" s="1423"/>
      <c r="X732" s="1423"/>
      <c r="Y732" s="1423"/>
      <c r="Z732" s="1423"/>
    </row>
    <row r="733" spans="1:26" ht="18.5">
      <c r="A733" s="1423"/>
      <c r="B733" s="1423"/>
      <c r="C733" s="1423"/>
      <c r="D733" s="1423"/>
      <c r="E733" s="1423"/>
      <c r="F733" s="1423"/>
      <c r="G733" s="1423"/>
      <c r="H733" s="1423"/>
      <c r="I733" s="1423"/>
      <c r="J733" s="1423"/>
      <c r="K733" s="1423"/>
      <c r="L733" s="1423"/>
      <c r="M733" s="1423"/>
      <c r="N733" s="1423"/>
      <c r="O733" s="1423"/>
      <c r="P733" s="1423"/>
      <c r="Q733" s="1423"/>
      <c r="R733" s="1423"/>
      <c r="S733" s="1423"/>
      <c r="T733" s="1423"/>
      <c r="U733" s="1423"/>
      <c r="V733" s="1423"/>
      <c r="W733" s="1423"/>
      <c r="X733" s="1423"/>
      <c r="Y733" s="1423"/>
      <c r="Z733" s="1423"/>
    </row>
    <row r="734" spans="1:26" ht="18.5">
      <c r="A734" s="1423"/>
      <c r="B734" s="1423"/>
      <c r="C734" s="1423"/>
      <c r="D734" s="1423"/>
      <c r="E734" s="1423"/>
      <c r="F734" s="1423"/>
      <c r="G734" s="1423"/>
      <c r="H734" s="1423"/>
      <c r="I734" s="1423"/>
      <c r="J734" s="1423"/>
      <c r="K734" s="1423"/>
      <c r="L734" s="1423"/>
      <c r="M734" s="1423"/>
      <c r="N734" s="1423"/>
      <c r="O734" s="1423"/>
      <c r="P734" s="1423"/>
      <c r="Q734" s="1423"/>
      <c r="R734" s="1423"/>
      <c r="S734" s="1423"/>
      <c r="T734" s="1423"/>
      <c r="U734" s="1423"/>
      <c r="V734" s="1423"/>
      <c r="W734" s="1423"/>
      <c r="X734" s="1423"/>
      <c r="Y734" s="1423"/>
      <c r="Z734" s="1423"/>
    </row>
    <row r="735" spans="1:26" ht="18.5">
      <c r="A735" s="1423"/>
      <c r="B735" s="1423"/>
      <c r="C735" s="1423"/>
      <c r="D735" s="1423"/>
      <c r="E735" s="1423"/>
      <c r="F735" s="1423"/>
      <c r="G735" s="1423"/>
      <c r="H735" s="1423"/>
      <c r="I735" s="1423"/>
      <c r="J735" s="1423"/>
      <c r="K735" s="1423"/>
      <c r="L735" s="1423"/>
      <c r="M735" s="1423"/>
      <c r="N735" s="1423"/>
      <c r="O735" s="1423"/>
      <c r="P735" s="1423"/>
      <c r="Q735" s="1423"/>
      <c r="R735" s="1423"/>
      <c r="S735" s="1423"/>
      <c r="T735" s="1423"/>
      <c r="U735" s="1423"/>
      <c r="V735" s="1423"/>
      <c r="W735" s="1423"/>
      <c r="X735" s="1423"/>
      <c r="Y735" s="1423"/>
      <c r="Z735" s="1423"/>
    </row>
    <row r="736" spans="1:26" ht="18.5">
      <c r="A736" s="1423"/>
      <c r="B736" s="1423"/>
      <c r="C736" s="1423"/>
      <c r="D736" s="1423"/>
      <c r="E736" s="1423"/>
      <c r="F736" s="1423"/>
      <c r="G736" s="1423"/>
      <c r="H736" s="1423"/>
      <c r="I736" s="1423"/>
      <c r="J736" s="1423"/>
      <c r="K736" s="1423"/>
      <c r="L736" s="1423"/>
      <c r="M736" s="1423"/>
      <c r="N736" s="1423"/>
      <c r="O736" s="1423"/>
      <c r="P736" s="1423"/>
      <c r="Q736" s="1423"/>
      <c r="R736" s="1423"/>
      <c r="S736" s="1423"/>
      <c r="T736" s="1423"/>
      <c r="U736" s="1423"/>
      <c r="V736" s="1423"/>
      <c r="W736" s="1423"/>
      <c r="X736" s="1423"/>
      <c r="Y736" s="1423"/>
      <c r="Z736" s="1423"/>
    </row>
    <row r="737" spans="1:26" ht="18.5">
      <c r="A737" s="1423"/>
      <c r="B737" s="1423"/>
      <c r="C737" s="1423"/>
      <c r="D737" s="1423"/>
      <c r="E737" s="1423"/>
      <c r="F737" s="1423"/>
      <c r="G737" s="1423"/>
      <c r="H737" s="1423"/>
      <c r="I737" s="1423"/>
      <c r="J737" s="1423"/>
      <c r="K737" s="1423"/>
      <c r="L737" s="1423"/>
      <c r="M737" s="1423"/>
      <c r="N737" s="1423"/>
      <c r="O737" s="1423"/>
      <c r="P737" s="1423"/>
      <c r="Q737" s="1423"/>
      <c r="R737" s="1423"/>
      <c r="S737" s="1423"/>
      <c r="T737" s="1423"/>
      <c r="U737" s="1423"/>
      <c r="V737" s="1423"/>
      <c r="W737" s="1423"/>
      <c r="X737" s="1423"/>
      <c r="Y737" s="1423"/>
      <c r="Z737" s="1423"/>
    </row>
    <row r="738" spans="1:26" ht="18.5">
      <c r="A738" s="1423"/>
      <c r="B738" s="1423"/>
      <c r="C738" s="1423"/>
      <c r="D738" s="1423"/>
      <c r="E738" s="1423"/>
      <c r="F738" s="1423"/>
      <c r="G738" s="1423"/>
      <c r="H738" s="1423"/>
      <c r="I738" s="1423"/>
      <c r="J738" s="1423"/>
      <c r="K738" s="1423"/>
      <c r="L738" s="1423"/>
      <c r="M738" s="1423"/>
      <c r="N738" s="1423"/>
      <c r="O738" s="1423"/>
      <c r="P738" s="1423"/>
      <c r="Q738" s="1423"/>
      <c r="R738" s="1423"/>
      <c r="S738" s="1423"/>
      <c r="T738" s="1423"/>
      <c r="U738" s="1423"/>
      <c r="V738" s="1423"/>
      <c r="W738" s="1423"/>
      <c r="X738" s="1423"/>
      <c r="Y738" s="1423"/>
      <c r="Z738" s="1423"/>
    </row>
    <row r="739" spans="1:26" ht="18.5">
      <c r="A739" s="1423"/>
      <c r="B739" s="1423"/>
      <c r="C739" s="1423"/>
      <c r="D739" s="1423"/>
      <c r="E739" s="1423"/>
      <c r="F739" s="1423"/>
      <c r="G739" s="1423"/>
      <c r="H739" s="1423"/>
      <c r="I739" s="1423"/>
      <c r="J739" s="1423"/>
      <c r="K739" s="1423"/>
      <c r="L739" s="1423"/>
      <c r="M739" s="1423"/>
      <c r="N739" s="1423"/>
      <c r="O739" s="1423"/>
      <c r="P739" s="1423"/>
      <c r="Q739" s="1423"/>
      <c r="R739" s="1423"/>
      <c r="S739" s="1423"/>
      <c r="T739" s="1423"/>
      <c r="U739" s="1423"/>
      <c r="V739" s="1423"/>
      <c r="W739" s="1423"/>
      <c r="X739" s="1423"/>
      <c r="Y739" s="1423"/>
      <c r="Z739" s="1423"/>
    </row>
    <row r="740" spans="1:26" ht="18.5">
      <c r="A740" s="1423"/>
      <c r="B740" s="1423"/>
      <c r="C740" s="1423"/>
      <c r="D740" s="1423"/>
      <c r="E740" s="1423"/>
      <c r="F740" s="1423"/>
      <c r="G740" s="1423"/>
      <c r="H740" s="1423"/>
      <c r="I740" s="1423"/>
      <c r="J740" s="1423"/>
      <c r="K740" s="1423"/>
      <c r="L740" s="1423"/>
      <c r="M740" s="1423"/>
      <c r="N740" s="1423"/>
      <c r="O740" s="1423"/>
      <c r="P740" s="1423"/>
      <c r="Q740" s="1423"/>
      <c r="R740" s="1423"/>
      <c r="S740" s="1423"/>
      <c r="T740" s="1423"/>
      <c r="U740" s="1423"/>
      <c r="V740" s="1423"/>
      <c r="W740" s="1423"/>
      <c r="X740" s="1423"/>
      <c r="Y740" s="1423"/>
      <c r="Z740" s="1423"/>
    </row>
    <row r="741" spans="1:26" ht="18.5">
      <c r="A741" s="1423"/>
      <c r="B741" s="1423"/>
      <c r="C741" s="1423"/>
      <c r="D741" s="1423"/>
      <c r="E741" s="1423"/>
      <c r="F741" s="1423"/>
      <c r="G741" s="1423"/>
      <c r="H741" s="1423"/>
      <c r="I741" s="1423"/>
      <c r="J741" s="1423"/>
      <c r="K741" s="1423"/>
      <c r="L741" s="1423"/>
      <c r="M741" s="1423"/>
      <c r="N741" s="1423"/>
      <c r="O741" s="1423"/>
      <c r="P741" s="1423"/>
      <c r="Q741" s="1423"/>
      <c r="R741" s="1423"/>
      <c r="S741" s="1423"/>
      <c r="T741" s="1423"/>
      <c r="U741" s="1423"/>
      <c r="V741" s="1423"/>
      <c r="W741" s="1423"/>
      <c r="X741" s="1423"/>
      <c r="Y741" s="1423"/>
      <c r="Z741" s="1423"/>
    </row>
    <row r="742" spans="1:26" ht="18.5">
      <c r="A742" s="1423"/>
      <c r="B742" s="1423"/>
      <c r="C742" s="1423"/>
      <c r="D742" s="1423"/>
      <c r="E742" s="1423"/>
      <c r="F742" s="1423"/>
      <c r="G742" s="1423"/>
      <c r="H742" s="1423"/>
      <c r="I742" s="1423"/>
      <c r="J742" s="1423"/>
      <c r="K742" s="1423"/>
      <c r="L742" s="1423"/>
      <c r="M742" s="1423"/>
      <c r="N742" s="1423"/>
      <c r="O742" s="1423"/>
      <c r="P742" s="1423"/>
      <c r="Q742" s="1423"/>
      <c r="R742" s="1423"/>
      <c r="S742" s="1423"/>
      <c r="T742" s="1423"/>
      <c r="U742" s="1423"/>
      <c r="V742" s="1423"/>
      <c r="W742" s="1423"/>
      <c r="X742" s="1423"/>
      <c r="Y742" s="1423"/>
      <c r="Z742" s="1423"/>
    </row>
    <row r="743" spans="1:26" ht="18.5">
      <c r="A743" s="1423"/>
      <c r="B743" s="1423"/>
      <c r="C743" s="1423"/>
      <c r="D743" s="1423"/>
      <c r="E743" s="1423"/>
      <c r="F743" s="1423"/>
      <c r="G743" s="1423"/>
      <c r="H743" s="1423"/>
      <c r="I743" s="1423"/>
      <c r="J743" s="1423"/>
      <c r="K743" s="1423"/>
      <c r="L743" s="1423"/>
      <c r="M743" s="1423"/>
      <c r="N743" s="1423"/>
      <c r="O743" s="1423"/>
      <c r="P743" s="1423"/>
      <c r="Q743" s="1423"/>
      <c r="R743" s="1423"/>
      <c r="S743" s="1423"/>
      <c r="T743" s="1423"/>
      <c r="U743" s="1423"/>
      <c r="V743" s="1423"/>
      <c r="W743" s="1423"/>
      <c r="X743" s="1423"/>
      <c r="Y743" s="1423"/>
      <c r="Z743" s="1423"/>
    </row>
    <row r="744" spans="1:26" ht="18.5">
      <c r="A744" s="1423"/>
      <c r="B744" s="1423"/>
      <c r="C744" s="1423"/>
      <c r="D744" s="1423"/>
      <c r="E744" s="1423"/>
      <c r="F744" s="1423"/>
      <c r="G744" s="1423"/>
      <c r="H744" s="1423"/>
      <c r="I744" s="1423"/>
      <c r="J744" s="1423"/>
      <c r="K744" s="1423"/>
      <c r="L744" s="1423"/>
      <c r="M744" s="1423"/>
      <c r="N744" s="1423"/>
      <c r="O744" s="1423"/>
      <c r="P744" s="1423"/>
      <c r="Q744" s="1423"/>
      <c r="R744" s="1423"/>
      <c r="S744" s="1423"/>
      <c r="T744" s="1423"/>
      <c r="U744" s="1423"/>
      <c r="V744" s="1423"/>
      <c r="W744" s="1423"/>
      <c r="X744" s="1423"/>
      <c r="Y744" s="1423"/>
      <c r="Z744" s="1423"/>
    </row>
    <row r="745" spans="1:26" ht="18.5">
      <c r="A745" s="1423"/>
      <c r="B745" s="1423"/>
      <c r="C745" s="1423"/>
      <c r="D745" s="1423"/>
      <c r="E745" s="1423"/>
      <c r="F745" s="1423"/>
      <c r="G745" s="1423"/>
      <c r="H745" s="1423"/>
      <c r="I745" s="1423"/>
      <c r="J745" s="1423"/>
      <c r="K745" s="1423"/>
      <c r="L745" s="1423"/>
      <c r="M745" s="1423"/>
      <c r="N745" s="1423"/>
      <c r="O745" s="1423"/>
      <c r="P745" s="1423"/>
      <c r="Q745" s="1423"/>
      <c r="R745" s="1423"/>
      <c r="S745" s="1423"/>
      <c r="T745" s="1423"/>
      <c r="U745" s="1423"/>
      <c r="V745" s="1423"/>
      <c r="W745" s="1423"/>
      <c r="X745" s="1423"/>
      <c r="Y745" s="1423"/>
      <c r="Z745" s="1423"/>
    </row>
    <row r="746" spans="1:26" ht="18.5">
      <c r="A746" s="1423"/>
      <c r="B746" s="1423"/>
      <c r="C746" s="1423"/>
      <c r="D746" s="1423"/>
      <c r="E746" s="1423"/>
      <c r="F746" s="1423"/>
      <c r="G746" s="1423"/>
      <c r="H746" s="1423"/>
      <c r="I746" s="1423"/>
      <c r="J746" s="1423"/>
      <c r="K746" s="1423"/>
      <c r="L746" s="1423"/>
      <c r="M746" s="1423"/>
      <c r="N746" s="1423"/>
      <c r="O746" s="1423"/>
      <c r="P746" s="1423"/>
      <c r="Q746" s="1423"/>
      <c r="R746" s="1423"/>
      <c r="S746" s="1423"/>
      <c r="T746" s="1423"/>
      <c r="U746" s="1423"/>
      <c r="V746" s="1423"/>
      <c r="W746" s="1423"/>
      <c r="X746" s="1423"/>
      <c r="Y746" s="1423"/>
      <c r="Z746" s="1423"/>
    </row>
    <row r="747" spans="1:26" ht="18.5">
      <c r="A747" s="1423"/>
      <c r="B747" s="1423"/>
      <c r="C747" s="1423"/>
      <c r="D747" s="1423"/>
      <c r="E747" s="1423"/>
      <c r="F747" s="1423"/>
      <c r="G747" s="1423"/>
      <c r="H747" s="1423"/>
      <c r="I747" s="1423"/>
      <c r="J747" s="1423"/>
      <c r="K747" s="1423"/>
      <c r="L747" s="1423"/>
      <c r="M747" s="1423"/>
      <c r="N747" s="1423"/>
      <c r="O747" s="1423"/>
      <c r="P747" s="1423"/>
      <c r="Q747" s="1423"/>
      <c r="R747" s="1423"/>
      <c r="S747" s="1423"/>
      <c r="T747" s="1423"/>
      <c r="U747" s="1423"/>
      <c r="V747" s="1423"/>
      <c r="W747" s="1423"/>
      <c r="X747" s="1423"/>
      <c r="Y747" s="1423"/>
      <c r="Z747" s="1423"/>
    </row>
    <row r="748" spans="1:26" ht="18.5">
      <c r="A748" s="1423"/>
      <c r="B748" s="1423"/>
      <c r="C748" s="1423"/>
      <c r="D748" s="1423"/>
      <c r="E748" s="1423"/>
      <c r="F748" s="1423"/>
      <c r="G748" s="1423"/>
      <c r="H748" s="1423"/>
      <c r="I748" s="1423"/>
      <c r="J748" s="1423"/>
      <c r="K748" s="1423"/>
      <c r="L748" s="1423"/>
      <c r="M748" s="1423"/>
      <c r="N748" s="1423"/>
      <c r="O748" s="1423"/>
      <c r="P748" s="1423"/>
      <c r="Q748" s="1423"/>
      <c r="R748" s="1423"/>
      <c r="S748" s="1423"/>
      <c r="T748" s="1423"/>
      <c r="U748" s="1423"/>
      <c r="V748" s="1423"/>
      <c r="W748" s="1423"/>
      <c r="X748" s="1423"/>
      <c r="Y748" s="1423"/>
      <c r="Z748" s="1423"/>
    </row>
    <row r="749" spans="1:26" ht="18.5">
      <c r="A749" s="1423"/>
      <c r="B749" s="1423"/>
      <c r="C749" s="1423"/>
      <c r="D749" s="1423"/>
      <c r="E749" s="1423"/>
      <c r="F749" s="1423"/>
      <c r="G749" s="1423"/>
      <c r="H749" s="1423"/>
      <c r="I749" s="1423"/>
      <c r="J749" s="1423"/>
      <c r="K749" s="1423"/>
      <c r="L749" s="1423"/>
      <c r="M749" s="1423"/>
      <c r="N749" s="1423"/>
      <c r="O749" s="1423"/>
      <c r="P749" s="1423"/>
      <c r="Q749" s="1423"/>
      <c r="R749" s="1423"/>
      <c r="S749" s="1423"/>
      <c r="T749" s="1423"/>
      <c r="U749" s="1423"/>
      <c r="V749" s="1423"/>
      <c r="W749" s="1423"/>
      <c r="X749" s="1423"/>
      <c r="Y749" s="1423"/>
      <c r="Z749" s="1423"/>
    </row>
    <row r="750" spans="1:26" ht="18.5">
      <c r="A750" s="1423"/>
      <c r="B750" s="1423"/>
      <c r="C750" s="1423"/>
      <c r="D750" s="1423"/>
      <c r="E750" s="1423"/>
      <c r="F750" s="1423"/>
      <c r="G750" s="1423"/>
      <c r="H750" s="1423"/>
      <c r="I750" s="1423"/>
      <c r="J750" s="1423"/>
      <c r="K750" s="1423"/>
      <c r="L750" s="1423"/>
      <c r="M750" s="1423"/>
      <c r="N750" s="1423"/>
      <c r="O750" s="1423"/>
      <c r="P750" s="1423"/>
      <c r="Q750" s="1423"/>
      <c r="R750" s="1423"/>
      <c r="S750" s="1423"/>
      <c r="T750" s="1423"/>
      <c r="U750" s="1423"/>
      <c r="V750" s="1423"/>
      <c r="W750" s="1423"/>
      <c r="X750" s="1423"/>
      <c r="Y750" s="1423"/>
      <c r="Z750" s="1423"/>
    </row>
    <row r="751" spans="1:26" ht="18.5">
      <c r="A751" s="1423"/>
      <c r="B751" s="1423"/>
      <c r="C751" s="1423"/>
      <c r="D751" s="1423"/>
      <c r="E751" s="1423"/>
      <c r="F751" s="1423"/>
      <c r="G751" s="1423"/>
      <c r="H751" s="1423"/>
      <c r="I751" s="1423"/>
      <c r="J751" s="1423"/>
      <c r="K751" s="1423"/>
      <c r="L751" s="1423"/>
      <c r="M751" s="1423"/>
      <c r="N751" s="1423"/>
      <c r="O751" s="1423"/>
      <c r="P751" s="1423"/>
      <c r="Q751" s="1423"/>
      <c r="R751" s="1423"/>
      <c r="S751" s="1423"/>
      <c r="T751" s="1423"/>
      <c r="U751" s="1423"/>
      <c r="V751" s="1423"/>
      <c r="W751" s="1423"/>
      <c r="X751" s="1423"/>
      <c r="Y751" s="1423"/>
      <c r="Z751" s="1423"/>
    </row>
    <row r="752" spans="1:26" ht="18.5">
      <c r="A752" s="1423"/>
      <c r="B752" s="1423"/>
      <c r="C752" s="1423"/>
      <c r="D752" s="1423"/>
      <c r="E752" s="1423"/>
      <c r="F752" s="1423"/>
      <c r="G752" s="1423"/>
      <c r="H752" s="1423"/>
      <c r="I752" s="1423"/>
      <c r="J752" s="1423"/>
      <c r="K752" s="1423"/>
      <c r="L752" s="1423"/>
      <c r="M752" s="1423"/>
      <c r="N752" s="1423"/>
      <c r="O752" s="1423"/>
      <c r="P752" s="1423"/>
      <c r="Q752" s="1423"/>
      <c r="R752" s="1423"/>
      <c r="S752" s="1423"/>
      <c r="T752" s="1423"/>
      <c r="U752" s="1423"/>
      <c r="V752" s="1423"/>
      <c r="W752" s="1423"/>
      <c r="X752" s="1423"/>
      <c r="Y752" s="1423"/>
      <c r="Z752" s="1423"/>
    </row>
    <row r="753" spans="1:26" ht="18.5">
      <c r="A753" s="1423"/>
      <c r="B753" s="1423"/>
      <c r="C753" s="1423"/>
      <c r="D753" s="1423"/>
      <c r="E753" s="1423"/>
      <c r="F753" s="1423"/>
      <c r="G753" s="1423"/>
      <c r="H753" s="1423"/>
      <c r="I753" s="1423"/>
      <c r="J753" s="1423"/>
      <c r="K753" s="1423"/>
      <c r="L753" s="1423"/>
      <c r="M753" s="1423"/>
      <c r="N753" s="1423"/>
      <c r="O753" s="1423"/>
      <c r="P753" s="1423"/>
      <c r="Q753" s="1423"/>
      <c r="R753" s="1423"/>
      <c r="S753" s="1423"/>
      <c r="T753" s="1423"/>
      <c r="U753" s="1423"/>
      <c r="V753" s="1423"/>
      <c r="W753" s="1423"/>
      <c r="X753" s="1423"/>
      <c r="Y753" s="1423"/>
      <c r="Z753" s="1423"/>
    </row>
    <row r="754" spans="1:26" ht="18.5">
      <c r="A754" s="1423"/>
      <c r="B754" s="1423"/>
      <c r="C754" s="1423"/>
      <c r="D754" s="1423"/>
      <c r="E754" s="1423"/>
      <c r="F754" s="1423"/>
      <c r="G754" s="1423"/>
      <c r="H754" s="1423"/>
      <c r="I754" s="1423"/>
      <c r="J754" s="1423"/>
      <c r="K754" s="1423"/>
      <c r="L754" s="1423"/>
      <c r="M754" s="1423"/>
      <c r="N754" s="1423"/>
      <c r="O754" s="1423"/>
      <c r="P754" s="1423"/>
      <c r="Q754" s="1423"/>
      <c r="R754" s="1423"/>
      <c r="S754" s="1423"/>
      <c r="T754" s="1423"/>
      <c r="U754" s="1423"/>
      <c r="V754" s="1423"/>
      <c r="W754" s="1423"/>
      <c r="X754" s="1423"/>
      <c r="Y754" s="1423"/>
      <c r="Z754" s="1423"/>
    </row>
    <row r="755" spans="1:26" ht="18.5">
      <c r="A755" s="1423"/>
      <c r="B755" s="1423"/>
      <c r="C755" s="1423"/>
      <c r="D755" s="1423"/>
      <c r="E755" s="1423"/>
      <c r="F755" s="1423"/>
      <c r="G755" s="1423"/>
      <c r="H755" s="1423"/>
      <c r="I755" s="1423"/>
      <c r="J755" s="1423"/>
      <c r="K755" s="1423"/>
      <c r="L755" s="1423"/>
      <c r="M755" s="1423"/>
      <c r="N755" s="1423"/>
      <c r="O755" s="1423"/>
      <c r="P755" s="1423"/>
      <c r="Q755" s="1423"/>
      <c r="R755" s="1423"/>
      <c r="S755" s="1423"/>
      <c r="T755" s="1423"/>
      <c r="U755" s="1423"/>
      <c r="V755" s="1423"/>
      <c r="W755" s="1423"/>
      <c r="X755" s="1423"/>
      <c r="Y755" s="1423"/>
      <c r="Z755" s="1423"/>
    </row>
    <row r="756" spans="1:26" ht="18.5">
      <c r="A756" s="1423"/>
      <c r="B756" s="1423"/>
      <c r="C756" s="1423"/>
      <c r="D756" s="1423"/>
      <c r="E756" s="1423"/>
      <c r="F756" s="1423"/>
      <c r="G756" s="1423"/>
      <c r="H756" s="1423"/>
      <c r="I756" s="1423"/>
      <c r="J756" s="1423"/>
      <c r="K756" s="1423"/>
      <c r="L756" s="1423"/>
      <c r="M756" s="1423"/>
      <c r="N756" s="1423"/>
      <c r="O756" s="1423"/>
      <c r="P756" s="1423"/>
      <c r="Q756" s="1423"/>
      <c r="R756" s="1423"/>
      <c r="S756" s="1423"/>
      <c r="T756" s="1423"/>
      <c r="U756" s="1423"/>
      <c r="V756" s="1423"/>
      <c r="W756" s="1423"/>
      <c r="X756" s="1423"/>
      <c r="Y756" s="1423"/>
      <c r="Z756" s="1423"/>
    </row>
    <row r="757" spans="1:26" ht="18.5">
      <c r="A757" s="1423"/>
      <c r="B757" s="1423"/>
      <c r="C757" s="1423"/>
      <c r="D757" s="1423"/>
      <c r="E757" s="1423"/>
      <c r="F757" s="1423"/>
      <c r="G757" s="1423"/>
      <c r="H757" s="1423"/>
      <c r="I757" s="1423"/>
      <c r="J757" s="1423"/>
      <c r="K757" s="1423"/>
      <c r="L757" s="1423"/>
      <c r="M757" s="1423"/>
      <c r="N757" s="1423"/>
      <c r="O757" s="1423"/>
      <c r="P757" s="1423"/>
      <c r="Q757" s="1423"/>
      <c r="R757" s="1423"/>
      <c r="S757" s="1423"/>
      <c r="T757" s="1423"/>
      <c r="U757" s="1423"/>
      <c r="V757" s="1423"/>
      <c r="W757" s="1423"/>
      <c r="X757" s="1423"/>
      <c r="Y757" s="1423"/>
      <c r="Z757" s="1423"/>
    </row>
    <row r="758" spans="1:26" ht="18.5">
      <c r="A758" s="1423"/>
      <c r="B758" s="1423"/>
      <c r="C758" s="1423"/>
      <c r="D758" s="1423"/>
      <c r="E758" s="1423"/>
      <c r="F758" s="1423"/>
      <c r="G758" s="1423"/>
      <c r="H758" s="1423"/>
      <c r="I758" s="1423"/>
      <c r="J758" s="1423"/>
      <c r="K758" s="1423"/>
      <c r="L758" s="1423"/>
      <c r="M758" s="1423"/>
      <c r="N758" s="1423"/>
      <c r="O758" s="1423"/>
      <c r="P758" s="1423"/>
      <c r="Q758" s="1423"/>
      <c r="R758" s="1423"/>
      <c r="S758" s="1423"/>
      <c r="T758" s="1423"/>
      <c r="U758" s="1423"/>
      <c r="V758" s="1423"/>
      <c r="W758" s="1423"/>
      <c r="X758" s="1423"/>
      <c r="Y758" s="1423"/>
      <c r="Z758" s="1423"/>
    </row>
    <row r="759" spans="1:26" ht="18.5">
      <c r="A759" s="1423"/>
      <c r="B759" s="1423"/>
      <c r="C759" s="1423"/>
      <c r="D759" s="1423"/>
      <c r="E759" s="1423"/>
      <c r="F759" s="1423"/>
      <c r="G759" s="1423"/>
      <c r="H759" s="1423"/>
      <c r="I759" s="1423"/>
      <c r="J759" s="1423"/>
      <c r="K759" s="1423"/>
      <c r="L759" s="1423"/>
      <c r="M759" s="1423"/>
      <c r="N759" s="1423"/>
      <c r="O759" s="1423"/>
      <c r="P759" s="1423"/>
      <c r="Q759" s="1423"/>
      <c r="R759" s="1423"/>
      <c r="S759" s="1423"/>
      <c r="T759" s="1423"/>
      <c r="U759" s="1423"/>
      <c r="V759" s="1423"/>
      <c r="W759" s="1423"/>
      <c r="X759" s="1423"/>
      <c r="Y759" s="1423"/>
      <c r="Z759" s="1423"/>
    </row>
    <row r="760" spans="1:26" ht="18.5">
      <c r="A760" s="1423"/>
      <c r="B760" s="1423"/>
      <c r="C760" s="1423"/>
      <c r="D760" s="1423"/>
      <c r="E760" s="1423"/>
      <c r="F760" s="1423"/>
      <c r="G760" s="1423"/>
      <c r="H760" s="1423"/>
      <c r="I760" s="1423"/>
      <c r="J760" s="1423"/>
      <c r="K760" s="1423"/>
      <c r="L760" s="1423"/>
      <c r="M760" s="1423"/>
      <c r="N760" s="1423"/>
      <c r="O760" s="1423"/>
      <c r="P760" s="1423"/>
      <c r="Q760" s="1423"/>
      <c r="R760" s="1423"/>
      <c r="S760" s="1423"/>
      <c r="T760" s="1423"/>
      <c r="U760" s="1423"/>
      <c r="V760" s="1423"/>
      <c r="W760" s="1423"/>
      <c r="X760" s="1423"/>
      <c r="Y760" s="1423"/>
      <c r="Z760" s="1423"/>
    </row>
    <row r="761" spans="1:26" ht="18.5">
      <c r="A761" s="1423"/>
      <c r="B761" s="1423"/>
      <c r="C761" s="1423"/>
      <c r="D761" s="1423"/>
      <c r="E761" s="1423"/>
      <c r="F761" s="1423"/>
      <c r="G761" s="1423"/>
      <c r="H761" s="1423"/>
      <c r="I761" s="1423"/>
      <c r="J761" s="1423"/>
      <c r="K761" s="1423"/>
      <c r="L761" s="1423"/>
      <c r="M761" s="1423"/>
      <c r="N761" s="1423"/>
      <c r="O761" s="1423"/>
      <c r="P761" s="1423"/>
      <c r="Q761" s="1423"/>
      <c r="R761" s="1423"/>
      <c r="S761" s="1423"/>
      <c r="T761" s="1423"/>
      <c r="U761" s="1423"/>
      <c r="V761" s="1423"/>
      <c r="W761" s="1423"/>
      <c r="X761" s="1423"/>
      <c r="Y761" s="1423"/>
      <c r="Z761" s="1423"/>
    </row>
    <row r="762" spans="1:26" ht="18.5">
      <c r="A762" s="1423"/>
      <c r="B762" s="1423"/>
      <c r="C762" s="1423"/>
      <c r="D762" s="1423"/>
      <c r="E762" s="1423"/>
      <c r="F762" s="1423"/>
      <c r="G762" s="1423"/>
      <c r="H762" s="1423"/>
      <c r="I762" s="1423"/>
      <c r="J762" s="1423"/>
      <c r="K762" s="1423"/>
      <c r="L762" s="1423"/>
      <c r="M762" s="1423"/>
      <c r="N762" s="1423"/>
      <c r="O762" s="1423"/>
      <c r="P762" s="1423"/>
      <c r="Q762" s="1423"/>
      <c r="R762" s="1423"/>
      <c r="S762" s="1423"/>
      <c r="T762" s="1423"/>
      <c r="U762" s="1423"/>
      <c r="V762" s="1423"/>
      <c r="W762" s="1423"/>
      <c r="X762" s="1423"/>
      <c r="Y762" s="1423"/>
      <c r="Z762" s="1423"/>
    </row>
    <row r="763" spans="1:26" ht="18.5">
      <c r="A763" s="1423"/>
      <c r="B763" s="1423"/>
      <c r="C763" s="1423"/>
      <c r="D763" s="1423"/>
      <c r="E763" s="1423"/>
      <c r="F763" s="1423"/>
      <c r="G763" s="1423"/>
      <c r="H763" s="1423"/>
      <c r="I763" s="1423"/>
      <c r="J763" s="1423"/>
      <c r="K763" s="1423"/>
      <c r="L763" s="1423"/>
      <c r="M763" s="1423"/>
      <c r="N763" s="1423"/>
      <c r="O763" s="1423"/>
      <c r="P763" s="1423"/>
      <c r="Q763" s="1423"/>
      <c r="R763" s="1423"/>
      <c r="S763" s="1423"/>
      <c r="T763" s="1423"/>
      <c r="U763" s="1423"/>
      <c r="V763" s="1423"/>
      <c r="W763" s="1423"/>
      <c r="X763" s="1423"/>
      <c r="Y763" s="1423"/>
      <c r="Z763" s="1423"/>
    </row>
    <row r="764" spans="1:26" ht="18.5">
      <c r="A764" s="1423"/>
      <c r="B764" s="1423"/>
      <c r="C764" s="1423"/>
      <c r="D764" s="1423"/>
      <c r="E764" s="1423"/>
      <c r="F764" s="1423"/>
      <c r="G764" s="1423"/>
      <c r="H764" s="1423"/>
      <c r="I764" s="1423"/>
      <c r="J764" s="1423"/>
      <c r="K764" s="1423"/>
      <c r="L764" s="1423"/>
      <c r="M764" s="1423"/>
      <c r="N764" s="1423"/>
      <c r="O764" s="1423"/>
      <c r="P764" s="1423"/>
      <c r="Q764" s="1423"/>
      <c r="R764" s="1423"/>
      <c r="S764" s="1423"/>
      <c r="T764" s="1423"/>
      <c r="U764" s="1423"/>
      <c r="V764" s="1423"/>
      <c r="W764" s="1423"/>
      <c r="X764" s="1423"/>
      <c r="Y764" s="1423"/>
      <c r="Z764" s="1423"/>
    </row>
    <row r="765" spans="1:26" ht="18.5">
      <c r="A765" s="1423"/>
      <c r="B765" s="1423"/>
      <c r="C765" s="1423"/>
      <c r="D765" s="1423"/>
      <c r="E765" s="1423"/>
      <c r="F765" s="1423"/>
      <c r="G765" s="1423"/>
      <c r="H765" s="1423"/>
      <c r="I765" s="1423"/>
      <c r="J765" s="1423"/>
      <c r="K765" s="1423"/>
      <c r="L765" s="1423"/>
      <c r="M765" s="1423"/>
      <c r="N765" s="1423"/>
      <c r="O765" s="1423"/>
      <c r="P765" s="1423"/>
      <c r="Q765" s="1423"/>
      <c r="R765" s="1423"/>
      <c r="S765" s="1423"/>
      <c r="T765" s="1423"/>
      <c r="U765" s="1423"/>
      <c r="V765" s="1423"/>
      <c r="W765" s="1423"/>
      <c r="X765" s="1423"/>
      <c r="Y765" s="1423"/>
      <c r="Z765" s="1423"/>
    </row>
    <row r="766" spans="1:26" ht="18.5">
      <c r="A766" s="1423"/>
      <c r="B766" s="1423"/>
      <c r="C766" s="1423"/>
      <c r="D766" s="1423"/>
      <c r="E766" s="1423"/>
      <c r="F766" s="1423"/>
      <c r="G766" s="1423"/>
      <c r="H766" s="1423"/>
      <c r="I766" s="1423"/>
      <c r="J766" s="1423"/>
      <c r="K766" s="1423"/>
      <c r="L766" s="1423"/>
      <c r="M766" s="1423"/>
      <c r="N766" s="1423"/>
      <c r="O766" s="1423"/>
      <c r="P766" s="1423"/>
      <c r="Q766" s="1423"/>
      <c r="R766" s="1423"/>
      <c r="S766" s="1423"/>
      <c r="T766" s="1423"/>
      <c r="U766" s="1423"/>
      <c r="V766" s="1423"/>
      <c r="W766" s="1423"/>
      <c r="X766" s="1423"/>
      <c r="Y766" s="1423"/>
      <c r="Z766" s="1423"/>
    </row>
    <row r="767" spans="1:26" ht="18.5">
      <c r="A767" s="1423"/>
      <c r="B767" s="1423"/>
      <c r="C767" s="1423"/>
      <c r="D767" s="1423"/>
      <c r="E767" s="1423"/>
      <c r="F767" s="1423"/>
      <c r="G767" s="1423"/>
      <c r="H767" s="1423"/>
      <c r="I767" s="1423"/>
      <c r="J767" s="1423"/>
      <c r="K767" s="1423"/>
      <c r="L767" s="1423"/>
      <c r="M767" s="1423"/>
      <c r="N767" s="1423"/>
      <c r="O767" s="1423"/>
      <c r="P767" s="1423"/>
      <c r="Q767" s="1423"/>
      <c r="R767" s="1423"/>
      <c r="S767" s="1423"/>
      <c r="T767" s="1423"/>
      <c r="U767" s="1423"/>
      <c r="V767" s="1423"/>
      <c r="W767" s="1423"/>
      <c r="X767" s="1423"/>
      <c r="Y767" s="1423"/>
      <c r="Z767" s="1423"/>
    </row>
    <row r="768" spans="1:26" ht="18.5">
      <c r="A768" s="1423"/>
      <c r="B768" s="1423"/>
      <c r="C768" s="1423"/>
      <c r="D768" s="1423"/>
      <c r="E768" s="1423"/>
      <c r="F768" s="1423"/>
      <c r="G768" s="1423"/>
      <c r="H768" s="1423"/>
      <c r="I768" s="1423"/>
      <c r="J768" s="1423"/>
      <c r="K768" s="1423"/>
      <c r="L768" s="1423"/>
      <c r="M768" s="1423"/>
      <c r="N768" s="1423"/>
      <c r="O768" s="1423"/>
      <c r="P768" s="1423"/>
      <c r="Q768" s="1423"/>
      <c r="R768" s="1423"/>
      <c r="S768" s="1423"/>
      <c r="T768" s="1423"/>
      <c r="U768" s="1423"/>
      <c r="V768" s="1423"/>
      <c r="W768" s="1423"/>
      <c r="X768" s="1423"/>
      <c r="Y768" s="1423"/>
      <c r="Z768" s="1423"/>
    </row>
    <row r="769" spans="1:26" ht="18.5">
      <c r="A769" s="1423"/>
      <c r="B769" s="1423"/>
      <c r="C769" s="1423"/>
      <c r="D769" s="1423"/>
      <c r="E769" s="1423"/>
      <c r="F769" s="1423"/>
      <c r="G769" s="1423"/>
      <c r="H769" s="1423"/>
      <c r="I769" s="1423"/>
      <c r="J769" s="1423"/>
      <c r="K769" s="1423"/>
      <c r="L769" s="1423"/>
      <c r="M769" s="1423"/>
      <c r="N769" s="1423"/>
      <c r="O769" s="1423"/>
      <c r="P769" s="1423"/>
      <c r="Q769" s="1423"/>
      <c r="R769" s="1423"/>
      <c r="S769" s="1423"/>
      <c r="T769" s="1423"/>
      <c r="U769" s="1423"/>
      <c r="V769" s="1423"/>
      <c r="W769" s="1423"/>
      <c r="X769" s="1423"/>
      <c r="Y769" s="1423"/>
      <c r="Z769" s="1423"/>
    </row>
    <row r="770" spans="1:26" ht="18.5">
      <c r="A770" s="1423"/>
      <c r="B770" s="1423"/>
      <c r="C770" s="1423"/>
      <c r="D770" s="1423"/>
      <c r="E770" s="1423"/>
      <c r="F770" s="1423"/>
      <c r="G770" s="1423"/>
      <c r="H770" s="1423"/>
      <c r="I770" s="1423"/>
      <c r="J770" s="1423"/>
      <c r="K770" s="1423"/>
      <c r="L770" s="1423"/>
      <c r="M770" s="1423"/>
      <c r="N770" s="1423"/>
      <c r="O770" s="1423"/>
      <c r="P770" s="1423"/>
      <c r="Q770" s="1423"/>
      <c r="R770" s="1423"/>
      <c r="S770" s="1423"/>
      <c r="T770" s="1423"/>
      <c r="U770" s="1423"/>
      <c r="V770" s="1423"/>
      <c r="W770" s="1423"/>
      <c r="X770" s="1423"/>
      <c r="Y770" s="1423"/>
      <c r="Z770" s="1423"/>
    </row>
    <row r="771" spans="1:26" ht="18.5">
      <c r="A771" s="1423"/>
      <c r="B771" s="1423"/>
      <c r="C771" s="1423"/>
      <c r="D771" s="1423"/>
      <c r="E771" s="1423"/>
      <c r="F771" s="1423"/>
      <c r="G771" s="1423"/>
      <c r="H771" s="1423"/>
      <c r="I771" s="1423"/>
      <c r="J771" s="1423"/>
      <c r="K771" s="1423"/>
      <c r="L771" s="1423"/>
      <c r="M771" s="1423"/>
      <c r="N771" s="1423"/>
      <c r="O771" s="1423"/>
      <c r="P771" s="1423"/>
      <c r="Q771" s="1423"/>
      <c r="R771" s="1423"/>
      <c r="S771" s="1423"/>
      <c r="T771" s="1423"/>
      <c r="U771" s="1423"/>
      <c r="V771" s="1423"/>
      <c r="W771" s="1423"/>
      <c r="X771" s="1423"/>
      <c r="Y771" s="1423"/>
      <c r="Z771" s="1423"/>
    </row>
    <row r="772" spans="1:26" ht="18.5">
      <c r="A772" s="1423"/>
      <c r="B772" s="1423"/>
      <c r="C772" s="1423"/>
      <c r="D772" s="1423"/>
      <c r="E772" s="1423"/>
      <c r="F772" s="1423"/>
      <c r="G772" s="1423"/>
      <c r="H772" s="1423"/>
      <c r="I772" s="1423"/>
      <c r="J772" s="1423"/>
      <c r="K772" s="1423"/>
      <c r="L772" s="1423"/>
      <c r="M772" s="1423"/>
      <c r="N772" s="1423"/>
      <c r="O772" s="1423"/>
      <c r="P772" s="1423"/>
      <c r="Q772" s="1423"/>
      <c r="R772" s="1423"/>
      <c r="S772" s="1423"/>
      <c r="T772" s="1423"/>
      <c r="U772" s="1423"/>
      <c r="V772" s="1423"/>
      <c r="W772" s="1423"/>
      <c r="X772" s="1423"/>
      <c r="Y772" s="1423"/>
      <c r="Z772" s="1423"/>
    </row>
    <row r="773" spans="1:26" ht="18.5">
      <c r="A773" s="1423"/>
      <c r="B773" s="1423"/>
      <c r="C773" s="1423"/>
      <c r="D773" s="1423"/>
      <c r="E773" s="1423"/>
      <c r="F773" s="1423"/>
      <c r="G773" s="1423"/>
      <c r="H773" s="1423"/>
      <c r="I773" s="1423"/>
      <c r="J773" s="1423"/>
      <c r="K773" s="1423"/>
      <c r="L773" s="1423"/>
      <c r="M773" s="1423"/>
      <c r="N773" s="1423"/>
      <c r="O773" s="1423"/>
      <c r="P773" s="1423"/>
      <c r="Q773" s="1423"/>
      <c r="R773" s="1423"/>
      <c r="S773" s="1423"/>
      <c r="T773" s="1423"/>
      <c r="U773" s="1423"/>
      <c r="V773" s="1423"/>
      <c r="W773" s="1423"/>
      <c r="X773" s="1423"/>
      <c r="Y773" s="1423"/>
      <c r="Z773" s="1423"/>
    </row>
    <row r="774" spans="1:26" ht="18.5">
      <c r="A774" s="1423"/>
      <c r="B774" s="1423"/>
      <c r="C774" s="1423"/>
      <c r="D774" s="1423"/>
      <c r="E774" s="1423"/>
      <c r="F774" s="1423"/>
      <c r="G774" s="1423"/>
      <c r="H774" s="1423"/>
      <c r="I774" s="1423"/>
      <c r="J774" s="1423"/>
      <c r="K774" s="1423"/>
      <c r="L774" s="1423"/>
      <c r="M774" s="1423"/>
      <c r="N774" s="1423"/>
      <c r="O774" s="1423"/>
      <c r="P774" s="1423"/>
      <c r="Q774" s="1423"/>
      <c r="R774" s="1423"/>
      <c r="S774" s="1423"/>
      <c r="T774" s="1423"/>
      <c r="U774" s="1423"/>
      <c r="V774" s="1423"/>
      <c r="W774" s="1423"/>
      <c r="X774" s="1423"/>
      <c r="Y774" s="1423"/>
      <c r="Z774" s="1423"/>
    </row>
    <row r="775" spans="1:26" ht="18.5">
      <c r="A775" s="1423"/>
      <c r="B775" s="1423"/>
      <c r="C775" s="1423"/>
      <c r="D775" s="1423"/>
      <c r="E775" s="1423"/>
      <c r="F775" s="1423"/>
      <c r="G775" s="1423"/>
      <c r="H775" s="1423"/>
      <c r="I775" s="1423"/>
      <c r="J775" s="1423"/>
      <c r="K775" s="1423"/>
      <c r="L775" s="1423"/>
      <c r="M775" s="1423"/>
      <c r="N775" s="1423"/>
      <c r="O775" s="1423"/>
      <c r="P775" s="1423"/>
      <c r="Q775" s="1423"/>
      <c r="R775" s="1423"/>
      <c r="S775" s="1423"/>
      <c r="T775" s="1423"/>
      <c r="U775" s="1423"/>
      <c r="V775" s="1423"/>
      <c r="W775" s="1423"/>
      <c r="X775" s="1423"/>
      <c r="Y775" s="1423"/>
      <c r="Z775" s="1423"/>
    </row>
    <row r="776" spans="1:26" ht="18.5">
      <c r="A776" s="1423"/>
      <c r="B776" s="1423"/>
      <c r="C776" s="1423"/>
      <c r="D776" s="1423"/>
      <c r="E776" s="1423"/>
      <c r="F776" s="1423"/>
      <c r="G776" s="1423"/>
      <c r="H776" s="1423"/>
      <c r="I776" s="1423"/>
      <c r="J776" s="1423"/>
      <c r="K776" s="1423"/>
      <c r="L776" s="1423"/>
      <c r="M776" s="1423"/>
      <c r="N776" s="1423"/>
      <c r="O776" s="1423"/>
      <c r="P776" s="1423"/>
      <c r="Q776" s="1423"/>
      <c r="R776" s="1423"/>
      <c r="S776" s="1423"/>
      <c r="T776" s="1423"/>
      <c r="U776" s="1423"/>
      <c r="V776" s="1423"/>
      <c r="W776" s="1423"/>
      <c r="X776" s="1423"/>
      <c r="Y776" s="1423"/>
      <c r="Z776" s="1423"/>
    </row>
    <row r="777" spans="1:26" ht="18.5">
      <c r="A777" s="1423"/>
      <c r="B777" s="1423"/>
      <c r="C777" s="1423"/>
      <c r="D777" s="1423"/>
      <c r="E777" s="1423"/>
      <c r="F777" s="1423"/>
      <c r="G777" s="1423"/>
      <c r="H777" s="1423"/>
      <c r="I777" s="1423"/>
      <c r="J777" s="1423"/>
      <c r="K777" s="1423"/>
      <c r="L777" s="1423"/>
      <c r="M777" s="1423"/>
      <c r="N777" s="1423"/>
      <c r="O777" s="1423"/>
      <c r="P777" s="1423"/>
      <c r="Q777" s="1423"/>
      <c r="R777" s="1423"/>
      <c r="S777" s="1423"/>
      <c r="T777" s="1423"/>
      <c r="U777" s="1423"/>
      <c r="V777" s="1423"/>
      <c r="W777" s="1423"/>
      <c r="X777" s="1423"/>
      <c r="Y777" s="1423"/>
      <c r="Z777" s="1423"/>
    </row>
    <row r="778" spans="1:26" ht="18.5">
      <c r="A778" s="1423"/>
      <c r="B778" s="1423"/>
      <c r="C778" s="1423"/>
      <c r="D778" s="1423"/>
      <c r="E778" s="1423"/>
      <c r="F778" s="1423"/>
      <c r="G778" s="1423"/>
      <c r="H778" s="1423"/>
      <c r="I778" s="1423"/>
      <c r="J778" s="1423"/>
      <c r="K778" s="1423"/>
      <c r="L778" s="1423"/>
      <c r="M778" s="1423"/>
      <c r="N778" s="1423"/>
      <c r="O778" s="1423"/>
      <c r="P778" s="1423"/>
      <c r="Q778" s="1423"/>
      <c r="R778" s="1423"/>
      <c r="S778" s="1423"/>
      <c r="T778" s="1423"/>
      <c r="U778" s="1423"/>
      <c r="V778" s="1423"/>
      <c r="W778" s="1423"/>
      <c r="X778" s="1423"/>
      <c r="Y778" s="1423"/>
      <c r="Z778" s="1423"/>
    </row>
    <row r="779" spans="1:26" ht="18.5">
      <c r="A779" s="1423"/>
      <c r="B779" s="1423"/>
      <c r="C779" s="1423"/>
      <c r="D779" s="1423"/>
      <c r="E779" s="1423"/>
      <c r="F779" s="1423"/>
      <c r="G779" s="1423"/>
      <c r="H779" s="1423"/>
      <c r="I779" s="1423"/>
      <c r="J779" s="1423"/>
      <c r="K779" s="1423"/>
      <c r="L779" s="1423"/>
      <c r="M779" s="1423"/>
      <c r="N779" s="1423"/>
      <c r="O779" s="1423"/>
      <c r="P779" s="1423"/>
      <c r="Q779" s="1423"/>
      <c r="R779" s="1423"/>
      <c r="S779" s="1423"/>
      <c r="T779" s="1423"/>
      <c r="U779" s="1423"/>
      <c r="V779" s="1423"/>
      <c r="W779" s="1423"/>
      <c r="X779" s="1423"/>
      <c r="Y779" s="1423"/>
      <c r="Z779" s="1423"/>
    </row>
    <row r="780" spans="1:26" ht="18.5">
      <c r="A780" s="1423"/>
      <c r="B780" s="1423"/>
      <c r="C780" s="1423"/>
      <c r="D780" s="1423"/>
      <c r="E780" s="1423"/>
      <c r="F780" s="1423"/>
      <c r="G780" s="1423"/>
      <c r="H780" s="1423"/>
      <c r="I780" s="1423"/>
      <c r="J780" s="1423"/>
      <c r="K780" s="1423"/>
      <c r="L780" s="1423"/>
      <c r="M780" s="1423"/>
      <c r="N780" s="1423"/>
      <c r="O780" s="1423"/>
      <c r="P780" s="1423"/>
      <c r="Q780" s="1423"/>
      <c r="R780" s="1423"/>
      <c r="S780" s="1423"/>
      <c r="T780" s="1423"/>
      <c r="U780" s="1423"/>
      <c r="V780" s="1423"/>
      <c r="W780" s="1423"/>
      <c r="X780" s="1423"/>
      <c r="Y780" s="1423"/>
      <c r="Z780" s="1423"/>
    </row>
    <row r="781" spans="1:26" ht="18.5">
      <c r="A781" s="1423"/>
      <c r="B781" s="1423"/>
      <c r="C781" s="1423"/>
      <c r="D781" s="1423"/>
      <c r="E781" s="1423"/>
      <c r="F781" s="1423"/>
      <c r="G781" s="1423"/>
      <c r="H781" s="1423"/>
      <c r="I781" s="1423"/>
      <c r="J781" s="1423"/>
      <c r="K781" s="1423"/>
      <c r="L781" s="1423"/>
      <c r="M781" s="1423"/>
      <c r="N781" s="1423"/>
      <c r="O781" s="1423"/>
      <c r="P781" s="1423"/>
      <c r="Q781" s="1423"/>
      <c r="R781" s="1423"/>
      <c r="S781" s="1423"/>
      <c r="T781" s="1423"/>
      <c r="U781" s="1423"/>
      <c r="V781" s="1423"/>
      <c r="W781" s="1423"/>
      <c r="X781" s="1423"/>
      <c r="Y781" s="1423"/>
      <c r="Z781" s="1423"/>
    </row>
    <row r="782" spans="1:26" ht="18.5">
      <c r="A782" s="1423"/>
      <c r="B782" s="1423"/>
      <c r="C782" s="1423"/>
      <c r="D782" s="1423"/>
      <c r="E782" s="1423"/>
      <c r="F782" s="1423"/>
      <c r="G782" s="1423"/>
      <c r="H782" s="1423"/>
      <c r="I782" s="1423"/>
      <c r="J782" s="1423"/>
      <c r="K782" s="1423"/>
      <c r="L782" s="1423"/>
      <c r="M782" s="1423"/>
      <c r="N782" s="1423"/>
      <c r="O782" s="1423"/>
      <c r="P782" s="1423"/>
      <c r="Q782" s="1423"/>
      <c r="R782" s="1423"/>
      <c r="S782" s="1423"/>
      <c r="T782" s="1423"/>
      <c r="U782" s="1423"/>
      <c r="V782" s="1423"/>
      <c r="W782" s="1423"/>
      <c r="X782" s="1423"/>
      <c r="Y782" s="1423"/>
      <c r="Z782" s="1423"/>
    </row>
    <row r="783" spans="1:26" ht="18.5">
      <c r="A783" s="1423"/>
      <c r="B783" s="1423"/>
      <c r="C783" s="1423"/>
      <c r="D783" s="1423"/>
      <c r="E783" s="1423"/>
      <c r="F783" s="1423"/>
      <c r="G783" s="1423"/>
      <c r="H783" s="1423"/>
      <c r="I783" s="1423"/>
      <c r="J783" s="1423"/>
      <c r="K783" s="1423"/>
      <c r="L783" s="1423"/>
      <c r="M783" s="1423"/>
      <c r="N783" s="1423"/>
      <c r="O783" s="1423"/>
      <c r="P783" s="1423"/>
      <c r="Q783" s="1423"/>
      <c r="R783" s="1423"/>
      <c r="S783" s="1423"/>
      <c r="T783" s="1423"/>
      <c r="U783" s="1423"/>
      <c r="V783" s="1423"/>
      <c r="W783" s="1423"/>
      <c r="X783" s="1423"/>
      <c r="Y783" s="1423"/>
      <c r="Z783" s="1423"/>
    </row>
    <row r="784" spans="1:26" ht="18.5">
      <c r="A784" s="1423"/>
      <c r="B784" s="1423"/>
      <c r="C784" s="1423"/>
      <c r="D784" s="1423"/>
      <c r="E784" s="1423"/>
      <c r="F784" s="1423"/>
      <c r="G784" s="1423"/>
      <c r="H784" s="1423"/>
      <c r="I784" s="1423"/>
      <c r="J784" s="1423"/>
      <c r="K784" s="1423"/>
      <c r="L784" s="1423"/>
      <c r="M784" s="1423"/>
      <c r="N784" s="1423"/>
      <c r="O784" s="1423"/>
      <c r="P784" s="1423"/>
      <c r="Q784" s="1423"/>
      <c r="R784" s="1423"/>
      <c r="S784" s="1423"/>
      <c r="T784" s="1423"/>
      <c r="U784" s="1423"/>
      <c r="V784" s="1423"/>
      <c r="W784" s="1423"/>
      <c r="X784" s="1423"/>
      <c r="Y784" s="1423"/>
      <c r="Z784" s="1423"/>
    </row>
    <row r="785" spans="1:26" ht="18.5">
      <c r="A785" s="1423"/>
      <c r="B785" s="1423"/>
      <c r="C785" s="1423"/>
      <c r="D785" s="1423"/>
      <c r="E785" s="1423"/>
      <c r="F785" s="1423"/>
      <c r="G785" s="1423"/>
      <c r="H785" s="1423"/>
      <c r="I785" s="1423"/>
      <c r="J785" s="1423"/>
      <c r="K785" s="1423"/>
      <c r="L785" s="1423"/>
      <c r="M785" s="1423"/>
      <c r="N785" s="1423"/>
      <c r="O785" s="1423"/>
      <c r="P785" s="1423"/>
      <c r="Q785" s="1423"/>
      <c r="R785" s="1423"/>
      <c r="S785" s="1423"/>
      <c r="T785" s="1423"/>
      <c r="U785" s="1423"/>
      <c r="V785" s="1423"/>
      <c r="W785" s="1423"/>
      <c r="X785" s="1423"/>
      <c r="Y785" s="1423"/>
      <c r="Z785" s="1423"/>
    </row>
    <row r="786" spans="1:26" ht="18.5">
      <c r="A786" s="1423"/>
      <c r="B786" s="1423"/>
      <c r="C786" s="1423"/>
      <c r="D786" s="1423"/>
      <c r="E786" s="1423"/>
      <c r="F786" s="1423"/>
      <c r="G786" s="1423"/>
      <c r="H786" s="1423"/>
      <c r="I786" s="1423"/>
      <c r="J786" s="1423"/>
      <c r="K786" s="1423"/>
      <c r="L786" s="1423"/>
      <c r="M786" s="1423"/>
      <c r="N786" s="1423"/>
      <c r="O786" s="1423"/>
      <c r="P786" s="1423"/>
      <c r="Q786" s="1423"/>
      <c r="R786" s="1423"/>
      <c r="S786" s="1423"/>
      <c r="T786" s="1423"/>
      <c r="U786" s="1423"/>
      <c r="V786" s="1423"/>
      <c r="W786" s="1423"/>
      <c r="X786" s="1423"/>
      <c r="Y786" s="1423"/>
      <c r="Z786" s="1423"/>
    </row>
    <row r="787" spans="1:26" ht="18.5">
      <c r="A787" s="1423"/>
      <c r="B787" s="1423"/>
      <c r="C787" s="1423"/>
      <c r="D787" s="1423"/>
      <c r="E787" s="1423"/>
      <c r="F787" s="1423"/>
      <c r="G787" s="1423"/>
      <c r="H787" s="1423"/>
      <c r="I787" s="1423"/>
      <c r="J787" s="1423"/>
      <c r="K787" s="1423"/>
      <c r="L787" s="1423"/>
      <c r="M787" s="1423"/>
      <c r="N787" s="1423"/>
      <c r="O787" s="1423"/>
      <c r="P787" s="1423"/>
      <c r="Q787" s="1423"/>
      <c r="R787" s="1423"/>
      <c r="S787" s="1423"/>
      <c r="T787" s="1423"/>
      <c r="U787" s="1423"/>
      <c r="V787" s="1423"/>
      <c r="W787" s="1423"/>
      <c r="X787" s="1423"/>
      <c r="Y787" s="1423"/>
      <c r="Z787" s="1423"/>
    </row>
    <row r="788" spans="1:26" ht="18.5">
      <c r="A788" s="1423"/>
      <c r="B788" s="1423"/>
      <c r="C788" s="1423"/>
      <c r="D788" s="1423"/>
      <c r="E788" s="1423"/>
      <c r="F788" s="1423"/>
      <c r="G788" s="1423"/>
      <c r="H788" s="1423"/>
      <c r="I788" s="1423"/>
      <c r="J788" s="1423"/>
      <c r="K788" s="1423"/>
      <c r="L788" s="1423"/>
      <c r="M788" s="1423"/>
      <c r="N788" s="1423"/>
      <c r="O788" s="1423"/>
      <c r="P788" s="1423"/>
      <c r="Q788" s="1423"/>
      <c r="R788" s="1423"/>
      <c r="S788" s="1423"/>
      <c r="T788" s="1423"/>
      <c r="U788" s="1423"/>
      <c r="V788" s="1423"/>
      <c r="W788" s="1423"/>
      <c r="X788" s="1423"/>
      <c r="Y788" s="1423"/>
      <c r="Z788" s="1423"/>
    </row>
    <row r="789" spans="1:26" ht="18.5">
      <c r="A789" s="1423"/>
      <c r="B789" s="1423"/>
      <c r="C789" s="1423"/>
      <c r="D789" s="1423"/>
      <c r="E789" s="1423"/>
      <c r="F789" s="1423"/>
      <c r="G789" s="1423"/>
      <c r="H789" s="1423"/>
      <c r="I789" s="1423"/>
      <c r="J789" s="1423"/>
      <c r="K789" s="1423"/>
      <c r="L789" s="1423"/>
      <c r="M789" s="1423"/>
      <c r="N789" s="1423"/>
      <c r="O789" s="1423"/>
      <c r="P789" s="1423"/>
      <c r="Q789" s="1423"/>
      <c r="R789" s="1423"/>
      <c r="S789" s="1423"/>
      <c r="T789" s="1423"/>
      <c r="U789" s="1423"/>
      <c r="V789" s="1423"/>
      <c r="W789" s="1423"/>
      <c r="X789" s="1423"/>
      <c r="Y789" s="1423"/>
      <c r="Z789" s="1423"/>
    </row>
    <row r="790" spans="1:26" ht="18.5">
      <c r="A790" s="1423"/>
      <c r="B790" s="1423"/>
      <c r="C790" s="1423"/>
      <c r="D790" s="1423"/>
      <c r="E790" s="1423"/>
      <c r="F790" s="1423"/>
      <c r="G790" s="1423"/>
      <c r="H790" s="1423"/>
      <c r="I790" s="1423"/>
      <c r="J790" s="1423"/>
      <c r="K790" s="1423"/>
      <c r="L790" s="1423"/>
      <c r="M790" s="1423"/>
      <c r="N790" s="1423"/>
      <c r="O790" s="1423"/>
      <c r="P790" s="1423"/>
      <c r="Q790" s="1423"/>
      <c r="R790" s="1423"/>
      <c r="S790" s="1423"/>
      <c r="T790" s="1423"/>
      <c r="U790" s="1423"/>
      <c r="V790" s="1423"/>
      <c r="W790" s="1423"/>
      <c r="X790" s="1423"/>
      <c r="Y790" s="1423"/>
      <c r="Z790" s="1423"/>
    </row>
    <row r="791" spans="1:26" ht="18.5">
      <c r="A791" s="1423"/>
      <c r="B791" s="1423"/>
      <c r="C791" s="1423"/>
      <c r="D791" s="1423"/>
      <c r="E791" s="1423"/>
      <c r="F791" s="1423"/>
      <c r="G791" s="1423"/>
      <c r="H791" s="1423"/>
      <c r="I791" s="1423"/>
      <c r="J791" s="1423"/>
      <c r="K791" s="1423"/>
      <c r="L791" s="1423"/>
      <c r="M791" s="1423"/>
      <c r="N791" s="1423"/>
      <c r="O791" s="1423"/>
      <c r="P791" s="1423"/>
      <c r="Q791" s="1423"/>
      <c r="R791" s="1423"/>
      <c r="S791" s="1423"/>
      <c r="T791" s="1423"/>
      <c r="U791" s="1423"/>
      <c r="V791" s="1423"/>
      <c r="W791" s="1423"/>
      <c r="X791" s="1423"/>
      <c r="Y791" s="1423"/>
      <c r="Z791" s="1423"/>
    </row>
    <row r="792" spans="1:26" ht="18.5">
      <c r="A792" s="1423"/>
      <c r="B792" s="1423"/>
      <c r="C792" s="1423"/>
      <c r="D792" s="1423"/>
      <c r="E792" s="1423"/>
      <c r="F792" s="1423"/>
      <c r="G792" s="1423"/>
      <c r="H792" s="1423"/>
      <c r="I792" s="1423"/>
      <c r="J792" s="1423"/>
      <c r="K792" s="1423"/>
      <c r="L792" s="1423"/>
      <c r="M792" s="1423"/>
      <c r="N792" s="1423"/>
      <c r="O792" s="1423"/>
      <c r="P792" s="1423"/>
      <c r="Q792" s="1423"/>
      <c r="R792" s="1423"/>
      <c r="S792" s="1423"/>
      <c r="T792" s="1423"/>
      <c r="U792" s="1423"/>
      <c r="V792" s="1423"/>
      <c r="W792" s="1423"/>
      <c r="X792" s="1423"/>
      <c r="Y792" s="1423"/>
      <c r="Z792" s="1423"/>
    </row>
    <row r="793" spans="1:26" ht="18.5">
      <c r="A793" s="1423"/>
      <c r="B793" s="1423"/>
      <c r="C793" s="1423"/>
      <c r="D793" s="1423"/>
      <c r="E793" s="1423"/>
      <c r="F793" s="1423"/>
      <c r="G793" s="1423"/>
      <c r="H793" s="1423"/>
      <c r="I793" s="1423"/>
      <c r="J793" s="1423"/>
      <c r="K793" s="1423"/>
      <c r="L793" s="1423"/>
      <c r="M793" s="1423"/>
      <c r="N793" s="1423"/>
      <c r="O793" s="1423"/>
      <c r="P793" s="1423"/>
      <c r="Q793" s="1423"/>
      <c r="R793" s="1423"/>
      <c r="S793" s="1423"/>
      <c r="T793" s="1423"/>
      <c r="U793" s="1423"/>
      <c r="V793" s="1423"/>
      <c r="W793" s="1423"/>
      <c r="X793" s="1423"/>
      <c r="Y793" s="1423"/>
      <c r="Z793" s="1423"/>
    </row>
    <row r="794" spans="1:26" ht="18.5">
      <c r="A794" s="1423"/>
      <c r="B794" s="1423"/>
      <c r="C794" s="1423"/>
      <c r="D794" s="1423"/>
      <c r="E794" s="1423"/>
      <c r="F794" s="1423"/>
      <c r="G794" s="1423"/>
      <c r="H794" s="1423"/>
      <c r="I794" s="1423"/>
      <c r="J794" s="1423"/>
      <c r="K794" s="1423"/>
      <c r="L794" s="1423"/>
      <c r="M794" s="1423"/>
      <c r="N794" s="1423"/>
      <c r="O794" s="1423"/>
      <c r="P794" s="1423"/>
      <c r="Q794" s="1423"/>
      <c r="R794" s="1423"/>
      <c r="S794" s="1423"/>
      <c r="T794" s="1423"/>
      <c r="U794" s="1423"/>
      <c r="V794" s="1423"/>
      <c r="W794" s="1423"/>
      <c r="X794" s="1423"/>
      <c r="Y794" s="1423"/>
      <c r="Z794" s="1423"/>
    </row>
    <row r="795" spans="1:26" ht="18.5">
      <c r="A795" s="1423"/>
      <c r="B795" s="1423"/>
      <c r="C795" s="1423"/>
      <c r="D795" s="1423"/>
      <c r="E795" s="1423"/>
      <c r="F795" s="1423"/>
      <c r="G795" s="1423"/>
      <c r="H795" s="1423"/>
      <c r="I795" s="1423"/>
      <c r="J795" s="1423"/>
      <c r="K795" s="1423"/>
      <c r="L795" s="1423"/>
      <c r="M795" s="1423"/>
      <c r="N795" s="1423"/>
      <c r="O795" s="1423"/>
      <c r="P795" s="1423"/>
      <c r="Q795" s="1423"/>
      <c r="R795" s="1423"/>
      <c r="S795" s="1423"/>
      <c r="T795" s="1423"/>
      <c r="U795" s="1423"/>
      <c r="V795" s="1423"/>
      <c r="W795" s="1423"/>
      <c r="X795" s="1423"/>
      <c r="Y795" s="1423"/>
      <c r="Z795" s="1423"/>
    </row>
    <row r="796" spans="1:26" ht="18.5">
      <c r="A796" s="1423"/>
      <c r="B796" s="1423"/>
      <c r="C796" s="1423"/>
      <c r="D796" s="1423"/>
      <c r="E796" s="1423"/>
      <c r="F796" s="1423"/>
      <c r="G796" s="1423"/>
      <c r="H796" s="1423"/>
      <c r="I796" s="1423"/>
      <c r="J796" s="1423"/>
      <c r="K796" s="1423"/>
      <c r="L796" s="1423"/>
      <c r="M796" s="1423"/>
      <c r="N796" s="1423"/>
      <c r="O796" s="1423"/>
      <c r="P796" s="1423"/>
      <c r="Q796" s="1423"/>
      <c r="R796" s="1423"/>
      <c r="S796" s="1423"/>
      <c r="T796" s="1423"/>
      <c r="U796" s="1423"/>
      <c r="V796" s="1423"/>
      <c r="W796" s="1423"/>
      <c r="X796" s="1423"/>
      <c r="Y796" s="1423"/>
      <c r="Z796" s="1423"/>
    </row>
    <row r="797" spans="1:26" ht="18.5">
      <c r="A797" s="1423"/>
      <c r="B797" s="1423"/>
      <c r="C797" s="1423"/>
      <c r="D797" s="1423"/>
      <c r="E797" s="1423"/>
      <c r="F797" s="1423"/>
      <c r="G797" s="1423"/>
      <c r="H797" s="1423"/>
      <c r="I797" s="1423"/>
      <c r="J797" s="1423"/>
      <c r="K797" s="1423"/>
      <c r="L797" s="1423"/>
      <c r="M797" s="1423"/>
      <c r="N797" s="1423"/>
      <c r="O797" s="1423"/>
      <c r="P797" s="1423"/>
      <c r="Q797" s="1423"/>
      <c r="R797" s="1423"/>
      <c r="S797" s="1423"/>
      <c r="T797" s="1423"/>
      <c r="U797" s="1423"/>
      <c r="V797" s="1423"/>
      <c r="W797" s="1423"/>
      <c r="X797" s="1423"/>
      <c r="Y797" s="1423"/>
      <c r="Z797" s="1423"/>
    </row>
    <row r="798" spans="1:26" ht="18.5">
      <c r="A798" s="1423"/>
      <c r="B798" s="1423"/>
      <c r="C798" s="1423"/>
      <c r="D798" s="1423"/>
      <c r="E798" s="1423"/>
      <c r="F798" s="1423"/>
      <c r="G798" s="1423"/>
      <c r="H798" s="1423"/>
      <c r="I798" s="1423"/>
      <c r="J798" s="1423"/>
      <c r="K798" s="1423"/>
      <c r="L798" s="1423"/>
      <c r="M798" s="1423"/>
      <c r="N798" s="1423"/>
      <c r="O798" s="1423"/>
      <c r="P798" s="1423"/>
      <c r="Q798" s="1423"/>
      <c r="R798" s="1423"/>
      <c r="S798" s="1423"/>
      <c r="T798" s="1423"/>
      <c r="U798" s="1423"/>
      <c r="V798" s="1423"/>
      <c r="W798" s="1423"/>
      <c r="X798" s="1423"/>
      <c r="Y798" s="1423"/>
      <c r="Z798" s="1423"/>
    </row>
    <row r="799" spans="1:26" ht="18.5">
      <c r="A799" s="1423"/>
      <c r="B799" s="1423"/>
      <c r="C799" s="1423"/>
      <c r="D799" s="1423"/>
      <c r="E799" s="1423"/>
      <c r="F799" s="1423"/>
      <c r="G799" s="1423"/>
      <c r="H799" s="1423"/>
      <c r="I799" s="1423"/>
      <c r="J799" s="1423"/>
      <c r="K799" s="1423"/>
      <c r="L799" s="1423"/>
      <c r="M799" s="1423"/>
      <c r="N799" s="1423"/>
      <c r="O799" s="1423"/>
      <c r="P799" s="1423"/>
      <c r="Q799" s="1423"/>
      <c r="R799" s="1423"/>
      <c r="S799" s="1423"/>
      <c r="T799" s="1423"/>
      <c r="U799" s="1423"/>
      <c r="V799" s="1423"/>
      <c r="W799" s="1423"/>
      <c r="X799" s="1423"/>
      <c r="Y799" s="1423"/>
      <c r="Z799" s="1423"/>
    </row>
    <row r="800" spans="1:26" ht="18.5">
      <c r="A800" s="1423"/>
      <c r="B800" s="1423"/>
      <c r="C800" s="1423"/>
      <c r="D800" s="1423"/>
      <c r="E800" s="1423"/>
      <c r="F800" s="1423"/>
      <c r="G800" s="1423"/>
      <c r="H800" s="1423"/>
      <c r="I800" s="1423"/>
      <c r="J800" s="1423"/>
      <c r="K800" s="1423"/>
      <c r="L800" s="1423"/>
      <c r="M800" s="1423"/>
      <c r="N800" s="1423"/>
      <c r="O800" s="1423"/>
      <c r="P800" s="1423"/>
      <c r="Q800" s="1423"/>
      <c r="R800" s="1423"/>
      <c r="S800" s="1423"/>
      <c r="T800" s="1423"/>
      <c r="U800" s="1423"/>
      <c r="V800" s="1423"/>
      <c r="W800" s="1423"/>
      <c r="X800" s="1423"/>
      <c r="Y800" s="1423"/>
      <c r="Z800" s="1423"/>
    </row>
    <row r="801" spans="1:26" ht="18.5">
      <c r="A801" s="1423"/>
      <c r="B801" s="1423"/>
      <c r="C801" s="1423"/>
      <c r="D801" s="1423"/>
      <c r="E801" s="1423"/>
      <c r="F801" s="1423"/>
      <c r="G801" s="1423"/>
      <c r="H801" s="1423"/>
      <c r="I801" s="1423"/>
      <c r="J801" s="1423"/>
      <c r="K801" s="1423"/>
      <c r="L801" s="1423"/>
      <c r="M801" s="1423"/>
      <c r="N801" s="1423"/>
      <c r="O801" s="1423"/>
      <c r="P801" s="1423"/>
      <c r="Q801" s="1423"/>
      <c r="R801" s="1423"/>
      <c r="S801" s="1423"/>
      <c r="T801" s="1423"/>
      <c r="U801" s="1423"/>
      <c r="V801" s="1423"/>
      <c r="W801" s="1423"/>
      <c r="X801" s="1423"/>
      <c r="Y801" s="1423"/>
      <c r="Z801" s="1423"/>
    </row>
    <row r="802" spans="1:26" ht="18.5">
      <c r="A802" s="1423"/>
      <c r="B802" s="1423"/>
      <c r="C802" s="1423"/>
      <c r="D802" s="1423"/>
      <c r="E802" s="1423"/>
      <c r="F802" s="1423"/>
      <c r="G802" s="1423"/>
      <c r="H802" s="1423"/>
      <c r="I802" s="1423"/>
      <c r="J802" s="1423"/>
      <c r="K802" s="1423"/>
      <c r="L802" s="1423"/>
      <c r="M802" s="1423"/>
      <c r="N802" s="1423"/>
      <c r="O802" s="1423"/>
      <c r="P802" s="1423"/>
      <c r="Q802" s="1423"/>
      <c r="R802" s="1423"/>
      <c r="S802" s="1423"/>
      <c r="T802" s="1423"/>
      <c r="U802" s="1423"/>
      <c r="V802" s="1423"/>
      <c r="W802" s="1423"/>
      <c r="X802" s="1423"/>
      <c r="Y802" s="1423"/>
      <c r="Z802" s="1423"/>
    </row>
    <row r="803" spans="1:26" ht="18.5">
      <c r="A803" s="1423"/>
      <c r="B803" s="1423"/>
      <c r="C803" s="1423"/>
      <c r="D803" s="1423"/>
      <c r="E803" s="1423"/>
      <c r="F803" s="1423"/>
      <c r="G803" s="1423"/>
      <c r="H803" s="1423"/>
      <c r="I803" s="1423"/>
      <c r="J803" s="1423"/>
      <c r="K803" s="1423"/>
      <c r="L803" s="1423"/>
      <c r="M803" s="1423"/>
      <c r="N803" s="1423"/>
      <c r="O803" s="1423"/>
      <c r="P803" s="1423"/>
      <c r="Q803" s="1423"/>
      <c r="R803" s="1423"/>
      <c r="S803" s="1423"/>
      <c r="T803" s="1423"/>
      <c r="U803" s="1423"/>
      <c r="V803" s="1423"/>
      <c r="W803" s="1423"/>
      <c r="X803" s="1423"/>
      <c r="Y803" s="1423"/>
      <c r="Z803" s="1423"/>
    </row>
    <row r="804" spans="1:26" ht="18.5">
      <c r="A804" s="1423"/>
      <c r="B804" s="1423"/>
      <c r="C804" s="1423"/>
      <c r="D804" s="1423"/>
      <c r="E804" s="1423"/>
      <c r="F804" s="1423"/>
      <c r="G804" s="1423"/>
      <c r="H804" s="1423"/>
      <c r="I804" s="1423"/>
      <c r="J804" s="1423"/>
      <c r="K804" s="1423"/>
      <c r="L804" s="1423"/>
      <c r="M804" s="1423"/>
      <c r="N804" s="1423"/>
      <c r="O804" s="1423"/>
      <c r="P804" s="1423"/>
      <c r="Q804" s="1423"/>
      <c r="R804" s="1423"/>
      <c r="S804" s="1423"/>
      <c r="T804" s="1423"/>
      <c r="U804" s="1423"/>
      <c r="V804" s="1423"/>
      <c r="W804" s="1423"/>
      <c r="X804" s="1423"/>
      <c r="Y804" s="1423"/>
      <c r="Z804" s="1423"/>
    </row>
    <row r="805" spans="1:26" ht="18.5">
      <c r="A805" s="1423"/>
      <c r="B805" s="1423"/>
      <c r="C805" s="1423"/>
      <c r="D805" s="1423"/>
      <c r="E805" s="1423"/>
      <c r="F805" s="1423"/>
      <c r="G805" s="1423"/>
      <c r="H805" s="1423"/>
      <c r="I805" s="1423"/>
      <c r="J805" s="1423"/>
      <c r="K805" s="1423"/>
      <c r="L805" s="1423"/>
      <c r="M805" s="1423"/>
      <c r="N805" s="1423"/>
      <c r="O805" s="1423"/>
      <c r="P805" s="1423"/>
      <c r="Q805" s="1423"/>
      <c r="R805" s="1423"/>
      <c r="S805" s="1423"/>
      <c r="T805" s="1423"/>
      <c r="U805" s="1423"/>
      <c r="V805" s="1423"/>
      <c r="W805" s="1423"/>
      <c r="X805" s="1423"/>
      <c r="Y805" s="1423"/>
      <c r="Z805" s="1423"/>
    </row>
    <row r="806" spans="1:26" ht="18.5">
      <c r="A806" s="1423"/>
      <c r="B806" s="1423"/>
      <c r="C806" s="1423"/>
      <c r="D806" s="1423"/>
      <c r="E806" s="1423"/>
      <c r="F806" s="1423"/>
      <c r="G806" s="1423"/>
      <c r="H806" s="1423"/>
      <c r="I806" s="1423"/>
      <c r="J806" s="1423"/>
      <c r="K806" s="1423"/>
      <c r="L806" s="1423"/>
      <c r="M806" s="1423"/>
      <c r="N806" s="1423"/>
      <c r="O806" s="1423"/>
      <c r="P806" s="1423"/>
      <c r="Q806" s="1423"/>
      <c r="R806" s="1423"/>
      <c r="S806" s="1423"/>
      <c r="T806" s="1423"/>
      <c r="U806" s="1423"/>
      <c r="V806" s="1423"/>
      <c r="W806" s="1423"/>
      <c r="X806" s="1423"/>
      <c r="Y806" s="1423"/>
      <c r="Z806" s="1423"/>
    </row>
    <row r="807" spans="1:26" ht="18.5">
      <c r="A807" s="1423"/>
      <c r="B807" s="1423"/>
      <c r="C807" s="1423"/>
      <c r="D807" s="1423"/>
      <c r="E807" s="1423"/>
      <c r="F807" s="1423"/>
      <c r="G807" s="1423"/>
      <c r="H807" s="1423"/>
      <c r="I807" s="1423"/>
      <c r="J807" s="1423"/>
      <c r="K807" s="1423"/>
      <c r="L807" s="1423"/>
      <c r="M807" s="1423"/>
      <c r="N807" s="1423"/>
      <c r="O807" s="1423"/>
      <c r="P807" s="1423"/>
      <c r="Q807" s="1423"/>
      <c r="R807" s="1423"/>
      <c r="S807" s="1423"/>
      <c r="T807" s="1423"/>
      <c r="U807" s="1423"/>
      <c r="V807" s="1423"/>
      <c r="W807" s="1423"/>
      <c r="X807" s="1423"/>
      <c r="Y807" s="1423"/>
      <c r="Z807" s="1423"/>
    </row>
    <row r="808" spans="1:26" ht="18.5">
      <c r="A808" s="1423"/>
      <c r="B808" s="1423"/>
      <c r="C808" s="1423"/>
      <c r="D808" s="1423"/>
      <c r="E808" s="1423"/>
      <c r="F808" s="1423"/>
      <c r="G808" s="1423"/>
      <c r="H808" s="1423"/>
      <c r="I808" s="1423"/>
      <c r="J808" s="1423"/>
      <c r="K808" s="1423"/>
      <c r="L808" s="1423"/>
      <c r="M808" s="1423"/>
      <c r="N808" s="1423"/>
      <c r="O808" s="1423"/>
      <c r="P808" s="1423"/>
      <c r="Q808" s="1423"/>
      <c r="R808" s="1423"/>
      <c r="S808" s="1423"/>
      <c r="T808" s="1423"/>
      <c r="U808" s="1423"/>
      <c r="V808" s="1423"/>
      <c r="W808" s="1423"/>
      <c r="X808" s="1423"/>
      <c r="Y808" s="1423"/>
      <c r="Z808" s="1423"/>
    </row>
    <row r="809" spans="1:26" ht="18.5">
      <c r="A809" s="1423"/>
      <c r="B809" s="1423"/>
      <c r="C809" s="1423"/>
      <c r="D809" s="1423"/>
      <c r="E809" s="1423"/>
      <c r="F809" s="1423"/>
      <c r="G809" s="1423"/>
      <c r="H809" s="1423"/>
      <c r="I809" s="1423"/>
      <c r="J809" s="1423"/>
      <c r="K809" s="1423"/>
      <c r="L809" s="1423"/>
      <c r="M809" s="1423"/>
      <c r="N809" s="1423"/>
      <c r="O809" s="1423"/>
      <c r="P809" s="1423"/>
      <c r="Q809" s="1423"/>
      <c r="R809" s="1423"/>
      <c r="S809" s="1423"/>
      <c r="T809" s="1423"/>
      <c r="U809" s="1423"/>
      <c r="V809" s="1423"/>
      <c r="W809" s="1423"/>
      <c r="X809" s="1423"/>
      <c r="Y809" s="1423"/>
      <c r="Z809" s="1423"/>
    </row>
    <row r="810" spans="1:26" ht="18.5">
      <c r="A810" s="1423"/>
      <c r="B810" s="1423"/>
      <c r="C810" s="1423"/>
      <c r="D810" s="1423"/>
      <c r="E810" s="1423"/>
      <c r="F810" s="1423"/>
      <c r="G810" s="1423"/>
      <c r="H810" s="1423"/>
      <c r="I810" s="1423"/>
      <c r="J810" s="1423"/>
      <c r="K810" s="1423"/>
      <c r="L810" s="1423"/>
      <c r="M810" s="1423"/>
      <c r="N810" s="1423"/>
      <c r="O810" s="1423"/>
      <c r="P810" s="1423"/>
      <c r="Q810" s="1423"/>
      <c r="R810" s="1423"/>
      <c r="S810" s="1423"/>
      <c r="T810" s="1423"/>
      <c r="U810" s="1423"/>
      <c r="V810" s="1423"/>
      <c r="W810" s="1423"/>
      <c r="X810" s="1423"/>
      <c r="Y810" s="1423"/>
      <c r="Z810" s="1423"/>
    </row>
    <row r="811" spans="1:26" ht="18.5">
      <c r="A811" s="1423"/>
      <c r="B811" s="1423"/>
      <c r="C811" s="1423"/>
      <c r="D811" s="1423"/>
      <c r="E811" s="1423"/>
      <c r="F811" s="1423"/>
      <c r="G811" s="1423"/>
      <c r="H811" s="1423"/>
      <c r="I811" s="1423"/>
      <c r="J811" s="1423"/>
      <c r="K811" s="1423"/>
      <c r="L811" s="1423"/>
      <c r="M811" s="1423"/>
      <c r="N811" s="1423"/>
      <c r="O811" s="1423"/>
      <c r="P811" s="1423"/>
      <c r="Q811" s="1423"/>
      <c r="R811" s="1423"/>
      <c r="S811" s="1423"/>
      <c r="T811" s="1423"/>
      <c r="U811" s="1423"/>
      <c r="V811" s="1423"/>
      <c r="W811" s="1423"/>
      <c r="X811" s="1423"/>
      <c r="Y811" s="1423"/>
      <c r="Z811" s="1423"/>
    </row>
    <row r="812" spans="1:26" ht="18.5">
      <c r="A812" s="1423"/>
      <c r="B812" s="1423"/>
      <c r="C812" s="1423"/>
      <c r="D812" s="1423"/>
      <c r="E812" s="1423"/>
      <c r="F812" s="1423"/>
      <c r="G812" s="1423"/>
      <c r="H812" s="1423"/>
      <c r="I812" s="1423"/>
      <c r="J812" s="1423"/>
      <c r="K812" s="1423"/>
      <c r="L812" s="1423"/>
      <c r="M812" s="1423"/>
      <c r="N812" s="1423"/>
      <c r="O812" s="1423"/>
      <c r="P812" s="1423"/>
      <c r="Q812" s="1423"/>
      <c r="R812" s="1423"/>
      <c r="S812" s="1423"/>
      <c r="T812" s="1423"/>
      <c r="U812" s="1423"/>
      <c r="V812" s="1423"/>
      <c r="W812" s="1423"/>
      <c r="X812" s="1423"/>
      <c r="Y812" s="1423"/>
      <c r="Z812" s="1423"/>
    </row>
    <row r="813" spans="1:26" ht="18.5">
      <c r="A813" s="1423"/>
      <c r="B813" s="1423"/>
      <c r="C813" s="1423"/>
      <c r="D813" s="1423"/>
      <c r="E813" s="1423"/>
      <c r="F813" s="1423"/>
      <c r="G813" s="1423"/>
      <c r="H813" s="1423"/>
      <c r="I813" s="1423"/>
      <c r="J813" s="1423"/>
      <c r="K813" s="1423"/>
      <c r="L813" s="1423"/>
      <c r="M813" s="1423"/>
      <c r="N813" s="1423"/>
      <c r="O813" s="1423"/>
      <c r="P813" s="1423"/>
      <c r="Q813" s="1423"/>
      <c r="R813" s="1423"/>
      <c r="S813" s="1423"/>
      <c r="T813" s="1423"/>
      <c r="U813" s="1423"/>
      <c r="V813" s="1423"/>
      <c r="W813" s="1423"/>
      <c r="X813" s="1423"/>
      <c r="Y813" s="1423"/>
      <c r="Z813" s="1423"/>
    </row>
    <row r="814" spans="1:26" ht="18.5">
      <c r="A814" s="1423"/>
      <c r="B814" s="1423"/>
      <c r="C814" s="1423"/>
      <c r="D814" s="1423"/>
      <c r="E814" s="1423"/>
      <c r="F814" s="1423"/>
      <c r="G814" s="1423"/>
      <c r="H814" s="1423"/>
      <c r="I814" s="1423"/>
      <c r="J814" s="1423"/>
      <c r="K814" s="1423"/>
      <c r="L814" s="1423"/>
      <c r="M814" s="1423"/>
      <c r="N814" s="1423"/>
      <c r="O814" s="1423"/>
      <c r="P814" s="1423"/>
      <c r="Q814" s="1423"/>
      <c r="R814" s="1423"/>
      <c r="S814" s="1423"/>
      <c r="T814" s="1423"/>
      <c r="U814" s="1423"/>
      <c r="V814" s="1423"/>
      <c r="W814" s="1423"/>
      <c r="X814" s="1423"/>
      <c r="Y814" s="1423"/>
      <c r="Z814" s="1423"/>
    </row>
    <row r="815" spans="1:26" ht="18.5">
      <c r="A815" s="1423"/>
      <c r="B815" s="1423"/>
      <c r="C815" s="1423"/>
      <c r="D815" s="1423"/>
      <c r="E815" s="1423"/>
      <c r="F815" s="1423"/>
      <c r="G815" s="1423"/>
      <c r="H815" s="1423"/>
      <c r="I815" s="1423"/>
      <c r="J815" s="1423"/>
      <c r="K815" s="1423"/>
      <c r="L815" s="1423"/>
      <c r="M815" s="1423"/>
      <c r="N815" s="1423"/>
      <c r="O815" s="1423"/>
      <c r="P815" s="1423"/>
      <c r="Q815" s="1423"/>
      <c r="R815" s="1423"/>
      <c r="S815" s="1423"/>
      <c r="T815" s="1423"/>
      <c r="U815" s="1423"/>
      <c r="V815" s="1423"/>
      <c r="W815" s="1423"/>
      <c r="X815" s="1423"/>
      <c r="Y815" s="1423"/>
      <c r="Z815" s="1423"/>
    </row>
    <row r="816" spans="1:26" ht="18.5">
      <c r="A816" s="1423"/>
      <c r="B816" s="1423"/>
      <c r="C816" s="1423"/>
      <c r="D816" s="1423"/>
      <c r="E816" s="1423"/>
      <c r="F816" s="1423"/>
      <c r="G816" s="1423"/>
      <c r="H816" s="1423"/>
      <c r="I816" s="1423"/>
      <c r="J816" s="1423"/>
      <c r="K816" s="1423"/>
      <c r="L816" s="1423"/>
      <c r="M816" s="1423"/>
      <c r="N816" s="1423"/>
      <c r="O816" s="1423"/>
      <c r="P816" s="1423"/>
      <c r="Q816" s="1423"/>
      <c r="R816" s="1423"/>
      <c r="S816" s="1423"/>
      <c r="T816" s="1423"/>
      <c r="U816" s="1423"/>
      <c r="V816" s="1423"/>
      <c r="W816" s="1423"/>
      <c r="X816" s="1423"/>
      <c r="Y816" s="1423"/>
      <c r="Z816" s="1423"/>
    </row>
    <row r="817" spans="1:26" ht="18.5">
      <c r="A817" s="1423"/>
      <c r="B817" s="1423"/>
      <c r="C817" s="1423"/>
      <c r="D817" s="1423"/>
      <c r="E817" s="1423"/>
      <c r="F817" s="1423"/>
      <c r="G817" s="1423"/>
      <c r="H817" s="1423"/>
      <c r="I817" s="1423"/>
      <c r="J817" s="1423"/>
      <c r="K817" s="1423"/>
      <c r="L817" s="1423"/>
      <c r="M817" s="1423"/>
      <c r="N817" s="1423"/>
      <c r="O817" s="1423"/>
      <c r="P817" s="1423"/>
      <c r="Q817" s="1423"/>
      <c r="R817" s="1423"/>
      <c r="S817" s="1423"/>
      <c r="T817" s="1423"/>
      <c r="U817" s="1423"/>
      <c r="V817" s="1423"/>
      <c r="W817" s="1423"/>
      <c r="X817" s="1423"/>
      <c r="Y817" s="1423"/>
      <c r="Z817" s="1423"/>
    </row>
    <row r="818" spans="1:26" ht="18.5">
      <c r="A818" s="1423"/>
      <c r="B818" s="1423"/>
      <c r="C818" s="1423"/>
      <c r="D818" s="1423"/>
      <c r="E818" s="1423"/>
      <c r="F818" s="1423"/>
      <c r="G818" s="1423"/>
      <c r="H818" s="1423"/>
      <c r="I818" s="1423"/>
      <c r="J818" s="1423"/>
      <c r="K818" s="1423"/>
      <c r="L818" s="1423"/>
      <c r="M818" s="1423"/>
      <c r="N818" s="1423"/>
      <c r="O818" s="1423"/>
      <c r="P818" s="1423"/>
      <c r="Q818" s="1423"/>
      <c r="R818" s="1423"/>
      <c r="S818" s="1423"/>
      <c r="T818" s="1423"/>
      <c r="U818" s="1423"/>
      <c r="V818" s="1423"/>
      <c r="W818" s="1423"/>
      <c r="X818" s="1423"/>
      <c r="Y818" s="1423"/>
      <c r="Z818" s="1423"/>
    </row>
    <row r="819" spans="1:26" ht="18.5">
      <c r="A819" s="1423"/>
      <c r="B819" s="1423"/>
      <c r="C819" s="1423"/>
      <c r="D819" s="1423"/>
      <c r="E819" s="1423"/>
      <c r="F819" s="1423"/>
      <c r="G819" s="1423"/>
      <c r="H819" s="1423"/>
      <c r="I819" s="1423"/>
      <c r="J819" s="1423"/>
      <c r="K819" s="1423"/>
      <c r="L819" s="1423"/>
      <c r="M819" s="1423"/>
      <c r="N819" s="1423"/>
      <c r="O819" s="1423"/>
      <c r="P819" s="1423"/>
      <c r="Q819" s="1423"/>
      <c r="R819" s="1423"/>
      <c r="S819" s="1423"/>
      <c r="T819" s="1423"/>
      <c r="U819" s="1423"/>
      <c r="V819" s="1423"/>
      <c r="W819" s="1423"/>
      <c r="X819" s="1423"/>
      <c r="Y819" s="1423"/>
      <c r="Z819" s="1423"/>
    </row>
    <row r="820" spans="1:26" ht="18.5">
      <c r="A820" s="1423"/>
      <c r="B820" s="1423"/>
      <c r="C820" s="1423"/>
      <c r="D820" s="1423"/>
      <c r="E820" s="1423"/>
      <c r="F820" s="1423"/>
      <c r="G820" s="1423"/>
      <c r="H820" s="1423"/>
      <c r="I820" s="1423"/>
      <c r="J820" s="1423"/>
      <c r="K820" s="1423"/>
      <c r="L820" s="1423"/>
      <c r="M820" s="1423"/>
      <c r="N820" s="1423"/>
      <c r="O820" s="1423"/>
      <c r="P820" s="1423"/>
      <c r="Q820" s="1423"/>
      <c r="R820" s="1423"/>
      <c r="S820" s="1423"/>
      <c r="T820" s="1423"/>
      <c r="U820" s="1423"/>
      <c r="V820" s="1423"/>
      <c r="W820" s="1423"/>
      <c r="X820" s="1423"/>
      <c r="Y820" s="1423"/>
      <c r="Z820" s="1423"/>
    </row>
    <row r="821" spans="1:26" ht="18.5">
      <c r="A821" s="1423"/>
      <c r="B821" s="1423"/>
      <c r="C821" s="1423"/>
      <c r="D821" s="1423"/>
      <c r="E821" s="1423"/>
      <c r="F821" s="1423"/>
      <c r="G821" s="1423"/>
      <c r="H821" s="1423"/>
      <c r="I821" s="1423"/>
      <c r="J821" s="1423"/>
      <c r="K821" s="1423"/>
      <c r="L821" s="1423"/>
      <c r="M821" s="1423"/>
      <c r="N821" s="1423"/>
      <c r="O821" s="1423"/>
      <c r="P821" s="1423"/>
      <c r="Q821" s="1423"/>
      <c r="R821" s="1423"/>
      <c r="S821" s="1423"/>
      <c r="T821" s="1423"/>
      <c r="U821" s="1423"/>
      <c r="V821" s="1423"/>
      <c r="W821" s="1423"/>
      <c r="X821" s="1423"/>
      <c r="Y821" s="1423"/>
      <c r="Z821" s="1423"/>
    </row>
    <row r="822" spans="1:26" ht="18.5">
      <c r="A822" s="1423"/>
      <c r="B822" s="1423"/>
      <c r="C822" s="1423"/>
      <c r="D822" s="1423"/>
      <c r="E822" s="1423"/>
      <c r="F822" s="1423"/>
      <c r="G822" s="1423"/>
      <c r="H822" s="1423"/>
      <c r="I822" s="1423"/>
      <c r="J822" s="1423"/>
      <c r="K822" s="1423"/>
      <c r="L822" s="1423"/>
      <c r="M822" s="1423"/>
      <c r="N822" s="1423"/>
      <c r="O822" s="1423"/>
      <c r="P822" s="1423"/>
      <c r="Q822" s="1423"/>
      <c r="R822" s="1423"/>
      <c r="S822" s="1423"/>
      <c r="T822" s="1423"/>
      <c r="U822" s="1423"/>
      <c r="V822" s="1423"/>
      <c r="W822" s="1423"/>
      <c r="X822" s="1423"/>
      <c r="Y822" s="1423"/>
      <c r="Z822" s="1423"/>
    </row>
    <row r="823" spans="1:26" ht="18.5">
      <c r="A823" s="1423"/>
      <c r="B823" s="1423"/>
      <c r="C823" s="1423"/>
      <c r="D823" s="1423"/>
      <c r="E823" s="1423"/>
      <c r="F823" s="1423"/>
      <c r="G823" s="1423"/>
      <c r="H823" s="1423"/>
      <c r="I823" s="1423"/>
      <c r="J823" s="1423"/>
      <c r="K823" s="1423"/>
      <c r="L823" s="1423"/>
      <c r="M823" s="1423"/>
      <c r="N823" s="1423"/>
      <c r="O823" s="1423"/>
      <c r="P823" s="1423"/>
      <c r="Q823" s="1423"/>
      <c r="R823" s="1423"/>
      <c r="S823" s="1423"/>
      <c r="T823" s="1423"/>
      <c r="U823" s="1423"/>
      <c r="V823" s="1423"/>
      <c r="W823" s="1423"/>
      <c r="X823" s="1423"/>
      <c r="Y823" s="1423"/>
      <c r="Z823" s="1423"/>
    </row>
    <row r="824" spans="1:26" ht="18.5">
      <c r="A824" s="1423"/>
      <c r="B824" s="1423"/>
      <c r="C824" s="1423"/>
      <c r="D824" s="1423"/>
      <c r="E824" s="1423"/>
      <c r="F824" s="1423"/>
      <c r="G824" s="1423"/>
      <c r="H824" s="1423"/>
      <c r="I824" s="1423"/>
      <c r="J824" s="1423"/>
      <c r="K824" s="1423"/>
      <c r="L824" s="1423"/>
      <c r="M824" s="1423"/>
      <c r="N824" s="1423"/>
      <c r="O824" s="1423"/>
      <c r="P824" s="1423"/>
      <c r="Q824" s="1423"/>
      <c r="R824" s="1423"/>
      <c r="S824" s="1423"/>
      <c r="T824" s="1423"/>
      <c r="U824" s="1423"/>
      <c r="V824" s="1423"/>
      <c r="W824" s="1423"/>
      <c r="X824" s="1423"/>
      <c r="Y824" s="1423"/>
      <c r="Z824" s="1423"/>
    </row>
    <row r="825" spans="1:26" ht="18.5">
      <c r="A825" s="1423"/>
      <c r="B825" s="1423"/>
      <c r="C825" s="1423"/>
      <c r="D825" s="1423"/>
      <c r="E825" s="1423"/>
      <c r="F825" s="1423"/>
      <c r="G825" s="1423"/>
      <c r="H825" s="1423"/>
      <c r="I825" s="1423"/>
      <c r="J825" s="1423"/>
      <c r="K825" s="1423"/>
      <c r="L825" s="1423"/>
      <c r="M825" s="1423"/>
      <c r="N825" s="1423"/>
      <c r="O825" s="1423"/>
      <c r="P825" s="1423"/>
      <c r="Q825" s="1423"/>
      <c r="R825" s="1423"/>
      <c r="S825" s="1423"/>
      <c r="T825" s="1423"/>
      <c r="U825" s="1423"/>
      <c r="V825" s="1423"/>
      <c r="W825" s="1423"/>
      <c r="X825" s="1423"/>
      <c r="Y825" s="1423"/>
      <c r="Z825" s="1423"/>
    </row>
    <row r="826" spans="1:26" ht="18.5">
      <c r="A826" s="1423"/>
      <c r="B826" s="1423"/>
      <c r="C826" s="1423"/>
      <c r="D826" s="1423"/>
      <c r="E826" s="1423"/>
      <c r="F826" s="1423"/>
      <c r="G826" s="1423"/>
      <c r="H826" s="1423"/>
      <c r="I826" s="1423"/>
      <c r="J826" s="1423"/>
      <c r="K826" s="1423"/>
      <c r="L826" s="1423"/>
      <c r="M826" s="1423"/>
      <c r="N826" s="1423"/>
      <c r="O826" s="1423"/>
      <c r="P826" s="1423"/>
      <c r="Q826" s="1423"/>
      <c r="R826" s="1423"/>
      <c r="S826" s="1423"/>
      <c r="T826" s="1423"/>
      <c r="U826" s="1423"/>
      <c r="V826" s="1423"/>
      <c r="W826" s="1423"/>
      <c r="X826" s="1423"/>
      <c r="Y826" s="1423"/>
      <c r="Z826" s="1423"/>
    </row>
    <row r="827" spans="1:26" ht="18.5">
      <c r="A827" s="1423"/>
      <c r="B827" s="1423"/>
      <c r="C827" s="1423"/>
      <c r="D827" s="1423"/>
      <c r="E827" s="1423"/>
      <c r="F827" s="1423"/>
      <c r="G827" s="1423"/>
      <c r="H827" s="1423"/>
      <c r="I827" s="1423"/>
      <c r="J827" s="1423"/>
      <c r="K827" s="1423"/>
      <c r="L827" s="1423"/>
      <c r="M827" s="1423"/>
      <c r="N827" s="1423"/>
      <c r="O827" s="1423"/>
      <c r="P827" s="1423"/>
      <c r="Q827" s="1423"/>
      <c r="R827" s="1423"/>
      <c r="S827" s="1423"/>
      <c r="T827" s="1423"/>
      <c r="U827" s="1423"/>
      <c r="V827" s="1423"/>
      <c r="W827" s="1423"/>
      <c r="X827" s="1423"/>
      <c r="Y827" s="1423"/>
      <c r="Z827" s="1423"/>
    </row>
    <row r="828" spans="1:26" ht="18.5">
      <c r="A828" s="1423"/>
      <c r="B828" s="1423"/>
      <c r="C828" s="1423"/>
      <c r="D828" s="1423"/>
      <c r="E828" s="1423"/>
      <c r="F828" s="1423"/>
      <c r="G828" s="1423"/>
      <c r="H828" s="1423"/>
      <c r="I828" s="1423"/>
      <c r="J828" s="1423"/>
      <c r="K828" s="1423"/>
      <c r="L828" s="1423"/>
      <c r="M828" s="1423"/>
      <c r="N828" s="1423"/>
      <c r="O828" s="1423"/>
      <c r="P828" s="1423"/>
      <c r="Q828" s="1423"/>
      <c r="R828" s="1423"/>
      <c r="S828" s="1423"/>
      <c r="T828" s="1423"/>
      <c r="U828" s="1423"/>
      <c r="V828" s="1423"/>
      <c r="W828" s="1423"/>
      <c r="X828" s="1423"/>
      <c r="Y828" s="1423"/>
      <c r="Z828" s="1423"/>
    </row>
    <row r="829" spans="1:26" ht="18.5">
      <c r="A829" s="1423"/>
      <c r="B829" s="1423"/>
      <c r="C829" s="1423"/>
      <c r="D829" s="1423"/>
      <c r="E829" s="1423"/>
      <c r="F829" s="1423"/>
      <c r="G829" s="1423"/>
      <c r="H829" s="1423"/>
      <c r="I829" s="1423"/>
      <c r="J829" s="1423"/>
      <c r="K829" s="1423"/>
      <c r="L829" s="1423"/>
      <c r="M829" s="1423"/>
      <c r="N829" s="1423"/>
      <c r="O829" s="1423"/>
      <c r="P829" s="1423"/>
      <c r="Q829" s="1423"/>
      <c r="R829" s="1423"/>
      <c r="S829" s="1423"/>
      <c r="T829" s="1423"/>
      <c r="U829" s="1423"/>
      <c r="V829" s="1423"/>
      <c r="W829" s="1423"/>
      <c r="X829" s="1423"/>
      <c r="Y829" s="1423"/>
      <c r="Z829" s="1423"/>
    </row>
    <row r="830" spans="1:26" ht="18.5">
      <c r="A830" s="1423"/>
      <c r="B830" s="1423"/>
      <c r="C830" s="1423"/>
      <c r="D830" s="1423"/>
      <c r="E830" s="1423"/>
      <c r="F830" s="1423"/>
      <c r="G830" s="1423"/>
      <c r="H830" s="1423"/>
      <c r="I830" s="1423"/>
      <c r="J830" s="1423"/>
      <c r="K830" s="1423"/>
      <c r="L830" s="1423"/>
      <c r="M830" s="1423"/>
      <c r="N830" s="1423"/>
      <c r="O830" s="1423"/>
      <c r="P830" s="1423"/>
      <c r="Q830" s="1423"/>
      <c r="R830" s="1423"/>
      <c r="S830" s="1423"/>
      <c r="T830" s="1423"/>
      <c r="U830" s="1423"/>
      <c r="V830" s="1423"/>
      <c r="W830" s="1423"/>
      <c r="X830" s="1423"/>
      <c r="Y830" s="1423"/>
      <c r="Z830" s="1423"/>
    </row>
    <row r="831" spans="1:26" ht="18.5">
      <c r="A831" s="1423"/>
      <c r="B831" s="1423"/>
      <c r="C831" s="1423"/>
      <c r="D831" s="1423"/>
      <c r="E831" s="1423"/>
      <c r="F831" s="1423"/>
      <c r="G831" s="1423"/>
      <c r="H831" s="1423"/>
      <c r="I831" s="1423"/>
      <c r="J831" s="1423"/>
      <c r="K831" s="1423"/>
      <c r="L831" s="1423"/>
      <c r="M831" s="1423"/>
      <c r="N831" s="1423"/>
      <c r="O831" s="1423"/>
      <c r="P831" s="1423"/>
      <c r="Q831" s="1423"/>
      <c r="R831" s="1423"/>
      <c r="S831" s="1423"/>
      <c r="T831" s="1423"/>
      <c r="U831" s="1423"/>
      <c r="V831" s="1423"/>
      <c r="W831" s="1423"/>
      <c r="X831" s="1423"/>
      <c r="Y831" s="1423"/>
      <c r="Z831" s="1423"/>
    </row>
    <row r="832" spans="1:26" ht="18.5">
      <c r="A832" s="1423"/>
      <c r="B832" s="1423"/>
      <c r="C832" s="1423"/>
      <c r="D832" s="1423"/>
      <c r="E832" s="1423"/>
      <c r="F832" s="1423"/>
      <c r="G832" s="1423"/>
      <c r="H832" s="1423"/>
      <c r="I832" s="1423"/>
      <c r="J832" s="1423"/>
      <c r="K832" s="1423"/>
      <c r="L832" s="1423"/>
      <c r="M832" s="1423"/>
      <c r="N832" s="1423"/>
      <c r="O832" s="1423"/>
      <c r="P832" s="1423"/>
      <c r="Q832" s="1423"/>
      <c r="R832" s="1423"/>
      <c r="S832" s="1423"/>
      <c r="T832" s="1423"/>
      <c r="U832" s="1423"/>
      <c r="V832" s="1423"/>
      <c r="W832" s="1423"/>
      <c r="X832" s="1423"/>
      <c r="Y832" s="1423"/>
      <c r="Z832" s="1423"/>
    </row>
    <row r="833" spans="1:26" ht="18.5">
      <c r="A833" s="1423"/>
      <c r="B833" s="1423"/>
      <c r="C833" s="1423"/>
      <c r="D833" s="1423"/>
      <c r="E833" s="1423"/>
      <c r="F833" s="1423"/>
      <c r="G833" s="1423"/>
      <c r="H833" s="1423"/>
      <c r="I833" s="1423"/>
      <c r="J833" s="1423"/>
      <c r="K833" s="1423"/>
      <c r="L833" s="1423"/>
      <c r="M833" s="1423"/>
      <c r="N833" s="1423"/>
      <c r="O833" s="1423"/>
      <c r="P833" s="1423"/>
      <c r="Q833" s="1423"/>
      <c r="R833" s="1423"/>
      <c r="S833" s="1423"/>
      <c r="T833" s="1423"/>
      <c r="U833" s="1423"/>
      <c r="V833" s="1423"/>
      <c r="W833" s="1423"/>
      <c r="X833" s="1423"/>
      <c r="Y833" s="1423"/>
      <c r="Z833" s="1423"/>
    </row>
    <row r="834" spans="1:26" ht="18.5">
      <c r="A834" s="1423"/>
      <c r="B834" s="1423"/>
      <c r="C834" s="1423"/>
      <c r="D834" s="1423"/>
      <c r="E834" s="1423"/>
      <c r="F834" s="1423"/>
      <c r="G834" s="1423"/>
      <c r="H834" s="1423"/>
      <c r="I834" s="1423"/>
      <c r="J834" s="1423"/>
      <c r="K834" s="1423"/>
      <c r="L834" s="1423"/>
      <c r="M834" s="1423"/>
      <c r="N834" s="1423"/>
      <c r="O834" s="1423"/>
      <c r="P834" s="1423"/>
      <c r="Q834" s="1423"/>
      <c r="R834" s="1423"/>
      <c r="S834" s="1423"/>
      <c r="T834" s="1423"/>
      <c r="U834" s="1423"/>
      <c r="V834" s="1423"/>
      <c r="W834" s="1423"/>
      <c r="X834" s="1423"/>
      <c r="Y834" s="1423"/>
      <c r="Z834" s="1423"/>
    </row>
    <row r="835" spans="1:26" ht="18.5">
      <c r="A835" s="1423"/>
      <c r="B835" s="1423"/>
      <c r="C835" s="1423"/>
      <c r="D835" s="1423"/>
      <c r="E835" s="1423"/>
      <c r="F835" s="1423"/>
      <c r="G835" s="1423"/>
      <c r="H835" s="1423"/>
      <c r="I835" s="1423"/>
      <c r="J835" s="1423"/>
      <c r="K835" s="1423"/>
      <c r="L835" s="1423"/>
      <c r="M835" s="1423"/>
      <c r="N835" s="1423"/>
      <c r="O835" s="1423"/>
      <c r="P835" s="1423"/>
      <c r="Q835" s="1423"/>
      <c r="R835" s="1423"/>
      <c r="S835" s="1423"/>
      <c r="T835" s="1423"/>
      <c r="U835" s="1423"/>
      <c r="V835" s="1423"/>
      <c r="W835" s="1423"/>
      <c r="X835" s="1423"/>
      <c r="Y835" s="1423"/>
      <c r="Z835" s="1423"/>
    </row>
    <row r="836" spans="1:26" ht="18.5">
      <c r="A836" s="1423"/>
      <c r="B836" s="1423"/>
      <c r="C836" s="1423"/>
      <c r="D836" s="1423"/>
      <c r="E836" s="1423"/>
      <c r="F836" s="1423"/>
      <c r="G836" s="1423"/>
      <c r="H836" s="1423"/>
      <c r="I836" s="1423"/>
      <c r="J836" s="1423"/>
      <c r="K836" s="1423"/>
      <c r="L836" s="1423"/>
      <c r="M836" s="1423"/>
      <c r="N836" s="1423"/>
      <c r="O836" s="1423"/>
      <c r="P836" s="1423"/>
      <c r="Q836" s="1423"/>
      <c r="R836" s="1423"/>
      <c r="S836" s="1423"/>
      <c r="T836" s="1423"/>
      <c r="U836" s="1423"/>
      <c r="V836" s="1423"/>
      <c r="W836" s="1423"/>
      <c r="X836" s="1423"/>
      <c r="Y836" s="1423"/>
      <c r="Z836" s="1423"/>
    </row>
    <row r="837" spans="1:26" ht="18.5">
      <c r="A837" s="1423"/>
      <c r="B837" s="1423"/>
      <c r="C837" s="1423"/>
      <c r="D837" s="1423"/>
      <c r="E837" s="1423"/>
      <c r="F837" s="1423"/>
      <c r="G837" s="1423"/>
      <c r="H837" s="1423"/>
      <c r="I837" s="1423"/>
      <c r="J837" s="1423"/>
      <c r="K837" s="1423"/>
      <c r="L837" s="1423"/>
      <c r="M837" s="1423"/>
      <c r="N837" s="1423"/>
      <c r="O837" s="1423"/>
      <c r="P837" s="1423"/>
      <c r="Q837" s="1423"/>
      <c r="R837" s="1423"/>
      <c r="S837" s="1423"/>
      <c r="T837" s="1423"/>
      <c r="U837" s="1423"/>
      <c r="V837" s="1423"/>
      <c r="W837" s="1423"/>
      <c r="X837" s="1423"/>
      <c r="Y837" s="1423"/>
      <c r="Z837" s="1423"/>
    </row>
    <row r="838" spans="1:26" ht="18.5">
      <c r="A838" s="1423"/>
      <c r="B838" s="1423"/>
      <c r="C838" s="1423"/>
      <c r="D838" s="1423"/>
      <c r="E838" s="1423"/>
      <c r="F838" s="1423"/>
      <c r="G838" s="1423"/>
      <c r="H838" s="1423"/>
      <c r="I838" s="1423"/>
      <c r="J838" s="1423"/>
      <c r="K838" s="1423"/>
      <c r="L838" s="1423"/>
      <c r="M838" s="1423"/>
      <c r="N838" s="1423"/>
      <c r="O838" s="1423"/>
      <c r="P838" s="1423"/>
      <c r="Q838" s="1423"/>
      <c r="R838" s="1423"/>
      <c r="S838" s="1423"/>
      <c r="T838" s="1423"/>
      <c r="U838" s="1423"/>
      <c r="V838" s="1423"/>
      <c r="W838" s="1423"/>
      <c r="X838" s="1423"/>
      <c r="Y838" s="1423"/>
      <c r="Z838" s="1423"/>
    </row>
    <row r="839" spans="1:26" ht="18.5">
      <c r="A839" s="1423"/>
      <c r="B839" s="1423"/>
      <c r="C839" s="1423"/>
      <c r="D839" s="1423"/>
      <c r="E839" s="1423"/>
      <c r="F839" s="1423"/>
      <c r="G839" s="1423"/>
      <c r="H839" s="1423"/>
      <c r="I839" s="1423"/>
      <c r="J839" s="1423"/>
      <c r="K839" s="1423"/>
      <c r="L839" s="1423"/>
      <c r="M839" s="1423"/>
      <c r="N839" s="1423"/>
      <c r="O839" s="1423"/>
      <c r="P839" s="1423"/>
      <c r="Q839" s="1423"/>
      <c r="R839" s="1423"/>
      <c r="S839" s="1423"/>
      <c r="T839" s="1423"/>
      <c r="U839" s="1423"/>
      <c r="V839" s="1423"/>
      <c r="W839" s="1423"/>
      <c r="X839" s="1423"/>
      <c r="Y839" s="1423"/>
      <c r="Z839" s="1423"/>
    </row>
    <row r="840" spans="1:26" ht="18.5">
      <c r="A840" s="1423"/>
      <c r="B840" s="1423"/>
      <c r="C840" s="1423"/>
      <c r="D840" s="1423"/>
      <c r="E840" s="1423"/>
      <c r="F840" s="1423"/>
      <c r="G840" s="1423"/>
      <c r="H840" s="1423"/>
      <c r="I840" s="1423"/>
      <c r="J840" s="1423"/>
      <c r="K840" s="1423"/>
      <c r="L840" s="1423"/>
      <c r="M840" s="1423"/>
      <c r="N840" s="1423"/>
      <c r="O840" s="1423"/>
      <c r="P840" s="1423"/>
      <c r="Q840" s="1423"/>
      <c r="R840" s="1423"/>
      <c r="S840" s="1423"/>
      <c r="T840" s="1423"/>
      <c r="U840" s="1423"/>
      <c r="V840" s="1423"/>
      <c r="W840" s="1423"/>
      <c r="X840" s="1423"/>
      <c r="Y840" s="1423"/>
      <c r="Z840" s="1423"/>
    </row>
    <row r="841" spans="1:26" ht="18.5">
      <c r="A841" s="1423"/>
      <c r="B841" s="1423"/>
      <c r="C841" s="1423"/>
      <c r="D841" s="1423"/>
      <c r="E841" s="1423"/>
      <c r="F841" s="1423"/>
      <c r="G841" s="1423"/>
      <c r="H841" s="1423"/>
      <c r="I841" s="1423"/>
      <c r="J841" s="1423"/>
      <c r="K841" s="1423"/>
      <c r="L841" s="1423"/>
      <c r="M841" s="1423"/>
      <c r="N841" s="1423"/>
      <c r="O841" s="1423"/>
      <c r="P841" s="1423"/>
      <c r="Q841" s="1423"/>
      <c r="R841" s="1423"/>
      <c r="S841" s="1423"/>
      <c r="T841" s="1423"/>
      <c r="U841" s="1423"/>
      <c r="V841" s="1423"/>
      <c r="W841" s="1423"/>
      <c r="X841" s="1423"/>
      <c r="Y841" s="1423"/>
      <c r="Z841" s="1423"/>
    </row>
    <row r="842" spans="1:26" ht="18.5">
      <c r="A842" s="1423"/>
      <c r="B842" s="1423"/>
      <c r="C842" s="1423"/>
      <c r="D842" s="1423"/>
      <c r="E842" s="1423"/>
      <c r="F842" s="1423"/>
      <c r="G842" s="1423"/>
      <c r="H842" s="1423"/>
      <c r="I842" s="1423"/>
      <c r="J842" s="1423"/>
      <c r="K842" s="1423"/>
      <c r="L842" s="1423"/>
      <c r="M842" s="1423"/>
      <c r="N842" s="1423"/>
      <c r="O842" s="1423"/>
      <c r="P842" s="1423"/>
      <c r="Q842" s="1423"/>
      <c r="R842" s="1423"/>
      <c r="S842" s="1423"/>
      <c r="T842" s="1423"/>
      <c r="U842" s="1423"/>
      <c r="V842" s="1423"/>
      <c r="W842" s="1423"/>
      <c r="X842" s="1423"/>
      <c r="Y842" s="1423"/>
      <c r="Z842" s="1423"/>
    </row>
    <row r="843" spans="1:26" ht="18.5">
      <c r="A843" s="1423"/>
      <c r="B843" s="1423"/>
      <c r="C843" s="1423"/>
      <c r="D843" s="1423"/>
      <c r="E843" s="1423"/>
      <c r="F843" s="1423"/>
      <c r="G843" s="1423"/>
      <c r="H843" s="1423"/>
      <c r="I843" s="1423"/>
      <c r="J843" s="1423"/>
      <c r="K843" s="1423"/>
      <c r="L843" s="1423"/>
      <c r="M843" s="1423"/>
      <c r="N843" s="1423"/>
      <c r="O843" s="1423"/>
      <c r="P843" s="1423"/>
      <c r="Q843" s="1423"/>
      <c r="R843" s="1423"/>
      <c r="S843" s="1423"/>
      <c r="T843" s="1423"/>
      <c r="U843" s="1423"/>
      <c r="V843" s="1423"/>
      <c r="W843" s="1423"/>
      <c r="X843" s="1423"/>
      <c r="Y843" s="1423"/>
      <c r="Z843" s="1423"/>
    </row>
    <row r="844" spans="1:26" ht="18.5">
      <c r="A844" s="1423"/>
      <c r="B844" s="1423"/>
      <c r="C844" s="1423"/>
      <c r="D844" s="1423"/>
      <c r="E844" s="1423"/>
      <c r="F844" s="1423"/>
      <c r="G844" s="1423"/>
      <c r="H844" s="1423"/>
      <c r="I844" s="1423"/>
      <c r="J844" s="1423"/>
      <c r="K844" s="1423"/>
      <c r="L844" s="1423"/>
      <c r="M844" s="1423"/>
      <c r="N844" s="1423"/>
      <c r="O844" s="1423"/>
      <c r="P844" s="1423"/>
      <c r="Q844" s="1423"/>
      <c r="R844" s="1423"/>
      <c r="S844" s="1423"/>
      <c r="T844" s="1423"/>
      <c r="U844" s="1423"/>
      <c r="V844" s="1423"/>
      <c r="W844" s="1423"/>
      <c r="X844" s="1423"/>
      <c r="Y844" s="1423"/>
      <c r="Z844" s="1423"/>
    </row>
    <row r="845" spans="1:26" ht="18.5">
      <c r="A845" s="1423"/>
      <c r="B845" s="1423"/>
      <c r="C845" s="1423"/>
      <c r="D845" s="1423"/>
      <c r="E845" s="1423"/>
      <c r="F845" s="1423"/>
      <c r="G845" s="1423"/>
      <c r="H845" s="1423"/>
      <c r="I845" s="1423"/>
      <c r="J845" s="1423"/>
      <c r="K845" s="1423"/>
      <c r="L845" s="1423"/>
      <c r="M845" s="1423"/>
      <c r="N845" s="1423"/>
      <c r="O845" s="1423"/>
      <c r="P845" s="1423"/>
      <c r="Q845" s="1423"/>
      <c r="R845" s="1423"/>
      <c r="S845" s="1423"/>
      <c r="T845" s="1423"/>
      <c r="U845" s="1423"/>
      <c r="V845" s="1423"/>
      <c r="W845" s="1423"/>
      <c r="X845" s="1423"/>
      <c r="Y845" s="1423"/>
      <c r="Z845" s="1423"/>
    </row>
    <row r="846" spans="1:26" ht="18.5">
      <c r="A846" s="1423"/>
      <c r="B846" s="1423"/>
      <c r="C846" s="1423"/>
      <c r="D846" s="1423"/>
      <c r="E846" s="1423"/>
      <c r="F846" s="1423"/>
      <c r="G846" s="1423"/>
      <c r="H846" s="1423"/>
      <c r="I846" s="1423"/>
      <c r="J846" s="1423"/>
      <c r="K846" s="1423"/>
      <c r="L846" s="1423"/>
      <c r="M846" s="1423"/>
      <c r="N846" s="1423"/>
      <c r="O846" s="1423"/>
      <c r="P846" s="1423"/>
      <c r="Q846" s="1423"/>
      <c r="R846" s="1423"/>
      <c r="S846" s="1423"/>
      <c r="T846" s="1423"/>
      <c r="U846" s="1423"/>
      <c r="V846" s="1423"/>
      <c r="W846" s="1423"/>
      <c r="X846" s="1423"/>
      <c r="Y846" s="1423"/>
      <c r="Z846" s="1423"/>
    </row>
    <row r="847" spans="1:26" ht="18.5">
      <c r="A847" s="1423"/>
      <c r="B847" s="1423"/>
      <c r="C847" s="1423"/>
      <c r="D847" s="1423"/>
      <c r="E847" s="1423"/>
      <c r="F847" s="1423"/>
      <c r="G847" s="1423"/>
      <c r="H847" s="1423"/>
      <c r="I847" s="1423"/>
      <c r="J847" s="1423"/>
      <c r="K847" s="1423"/>
      <c r="L847" s="1423"/>
      <c r="M847" s="1423"/>
      <c r="N847" s="1423"/>
      <c r="O847" s="1423"/>
      <c r="P847" s="1423"/>
      <c r="Q847" s="1423"/>
      <c r="R847" s="1423"/>
      <c r="S847" s="1423"/>
      <c r="T847" s="1423"/>
      <c r="U847" s="1423"/>
      <c r="V847" s="1423"/>
      <c r="W847" s="1423"/>
      <c r="X847" s="1423"/>
      <c r="Y847" s="1423"/>
      <c r="Z847" s="1423"/>
    </row>
    <row r="848" spans="1:26" ht="18.5">
      <c r="A848" s="1423"/>
      <c r="B848" s="1423"/>
      <c r="C848" s="1423"/>
      <c r="D848" s="1423"/>
      <c r="E848" s="1423"/>
      <c r="F848" s="1423"/>
      <c r="G848" s="1423"/>
      <c r="H848" s="1423"/>
      <c r="I848" s="1423"/>
      <c r="J848" s="1423"/>
      <c r="K848" s="1423"/>
      <c r="L848" s="1423"/>
      <c r="M848" s="1423"/>
      <c r="N848" s="1423"/>
      <c r="O848" s="1423"/>
      <c r="P848" s="1423"/>
      <c r="Q848" s="1423"/>
      <c r="R848" s="1423"/>
      <c r="S848" s="1423"/>
      <c r="T848" s="1423"/>
      <c r="U848" s="1423"/>
      <c r="V848" s="1423"/>
      <c r="W848" s="1423"/>
      <c r="X848" s="1423"/>
      <c r="Y848" s="1423"/>
      <c r="Z848" s="1423"/>
    </row>
    <row r="849" spans="1:26" ht="18.5">
      <c r="A849" s="1423"/>
      <c r="B849" s="1423"/>
      <c r="C849" s="1423"/>
      <c r="D849" s="1423"/>
      <c r="E849" s="1423"/>
      <c r="F849" s="1423"/>
      <c r="G849" s="1423"/>
      <c r="H849" s="1423"/>
      <c r="I849" s="1423"/>
      <c r="J849" s="1423"/>
      <c r="K849" s="1423"/>
      <c r="L849" s="1423"/>
      <c r="M849" s="1423"/>
      <c r="N849" s="1423"/>
      <c r="O849" s="1423"/>
      <c r="P849" s="1423"/>
      <c r="Q849" s="1423"/>
      <c r="R849" s="1423"/>
      <c r="S849" s="1423"/>
      <c r="T849" s="1423"/>
      <c r="U849" s="1423"/>
      <c r="V849" s="1423"/>
      <c r="W849" s="1423"/>
      <c r="X849" s="1423"/>
      <c r="Y849" s="1423"/>
      <c r="Z849" s="1423"/>
    </row>
    <row r="850" spans="1:26" ht="18.5">
      <c r="A850" s="1423"/>
      <c r="B850" s="1423"/>
      <c r="C850" s="1423"/>
      <c r="D850" s="1423"/>
      <c r="E850" s="1423"/>
      <c r="F850" s="1423"/>
      <c r="G850" s="1423"/>
      <c r="H850" s="1423"/>
      <c r="I850" s="1423"/>
      <c r="J850" s="1423"/>
      <c r="K850" s="1423"/>
      <c r="L850" s="1423"/>
      <c r="M850" s="1423"/>
      <c r="N850" s="1423"/>
      <c r="O850" s="1423"/>
      <c r="P850" s="1423"/>
      <c r="Q850" s="1423"/>
      <c r="R850" s="1423"/>
      <c r="S850" s="1423"/>
      <c r="T850" s="1423"/>
      <c r="U850" s="1423"/>
      <c r="V850" s="1423"/>
      <c r="W850" s="1423"/>
      <c r="X850" s="1423"/>
      <c r="Y850" s="1423"/>
      <c r="Z850" s="1423"/>
    </row>
    <row r="851" spans="1:26" ht="18.5">
      <c r="A851" s="1423"/>
      <c r="B851" s="1423"/>
      <c r="C851" s="1423"/>
      <c r="D851" s="1423"/>
      <c r="E851" s="1423"/>
      <c r="F851" s="1423"/>
      <c r="G851" s="1423"/>
      <c r="H851" s="1423"/>
      <c r="I851" s="1423"/>
      <c r="J851" s="1423"/>
      <c r="K851" s="1423"/>
      <c r="L851" s="1423"/>
      <c r="M851" s="1423"/>
      <c r="N851" s="1423"/>
      <c r="O851" s="1423"/>
      <c r="P851" s="1423"/>
      <c r="Q851" s="1423"/>
      <c r="R851" s="1423"/>
      <c r="S851" s="1423"/>
      <c r="T851" s="1423"/>
      <c r="U851" s="1423"/>
      <c r="V851" s="1423"/>
      <c r="W851" s="1423"/>
      <c r="X851" s="1423"/>
      <c r="Y851" s="1423"/>
      <c r="Z851" s="1423"/>
    </row>
    <row r="852" spans="1:26" ht="18.5">
      <c r="A852" s="1423"/>
      <c r="B852" s="1423"/>
      <c r="C852" s="1423"/>
      <c r="D852" s="1423"/>
      <c r="E852" s="1423"/>
      <c r="F852" s="1423"/>
      <c r="G852" s="1423"/>
      <c r="H852" s="1423"/>
      <c r="I852" s="1423"/>
      <c r="J852" s="1423"/>
      <c r="K852" s="1423"/>
      <c r="L852" s="1423"/>
      <c r="M852" s="1423"/>
      <c r="N852" s="1423"/>
      <c r="O852" s="1423"/>
      <c r="P852" s="1423"/>
      <c r="Q852" s="1423"/>
      <c r="R852" s="1423"/>
      <c r="S852" s="1423"/>
      <c r="T852" s="1423"/>
      <c r="U852" s="1423"/>
      <c r="V852" s="1423"/>
      <c r="W852" s="1423"/>
      <c r="X852" s="1423"/>
      <c r="Y852" s="1423"/>
      <c r="Z852" s="1423"/>
    </row>
    <row r="853" spans="1:26" ht="18.5">
      <c r="A853" s="1423"/>
      <c r="B853" s="1423"/>
      <c r="C853" s="1423"/>
      <c r="D853" s="1423"/>
      <c r="E853" s="1423"/>
      <c r="F853" s="1423"/>
      <c r="G853" s="1423"/>
      <c r="H853" s="1423"/>
      <c r="I853" s="1423"/>
      <c r="J853" s="1423"/>
      <c r="K853" s="1423"/>
      <c r="L853" s="1423"/>
      <c r="M853" s="1423"/>
      <c r="N853" s="1423"/>
      <c r="O853" s="1423"/>
      <c r="P853" s="1423"/>
      <c r="Q853" s="1423"/>
      <c r="R853" s="1423"/>
      <c r="S853" s="1423"/>
      <c r="T853" s="1423"/>
      <c r="U853" s="1423"/>
      <c r="V853" s="1423"/>
      <c r="W853" s="1423"/>
      <c r="X853" s="1423"/>
      <c r="Y853" s="1423"/>
      <c r="Z853" s="1423"/>
    </row>
    <row r="854" spans="1:26" ht="18.5">
      <c r="A854" s="1423"/>
      <c r="B854" s="1423"/>
      <c r="C854" s="1423"/>
      <c r="D854" s="1423"/>
      <c r="E854" s="1423"/>
      <c r="F854" s="1423"/>
      <c r="G854" s="1423"/>
      <c r="H854" s="1423"/>
      <c r="I854" s="1423"/>
      <c r="J854" s="1423"/>
      <c r="K854" s="1423"/>
      <c r="L854" s="1423"/>
      <c r="M854" s="1423"/>
      <c r="N854" s="1423"/>
      <c r="O854" s="1423"/>
      <c r="P854" s="1423"/>
      <c r="Q854" s="1423"/>
      <c r="R854" s="1423"/>
      <c r="S854" s="1423"/>
      <c r="T854" s="1423"/>
      <c r="U854" s="1423"/>
      <c r="V854" s="1423"/>
      <c r="W854" s="1423"/>
      <c r="X854" s="1423"/>
      <c r="Y854" s="1423"/>
      <c r="Z854" s="1423"/>
    </row>
    <row r="855" spans="1:26" ht="18.5">
      <c r="A855" s="1423"/>
      <c r="B855" s="1423"/>
      <c r="C855" s="1423"/>
      <c r="D855" s="1423"/>
      <c r="E855" s="1423"/>
      <c r="F855" s="1423"/>
      <c r="G855" s="1423"/>
      <c r="H855" s="1423"/>
      <c r="I855" s="1423"/>
      <c r="J855" s="1423"/>
      <c r="K855" s="1423"/>
      <c r="L855" s="1423"/>
      <c r="M855" s="1423"/>
      <c r="N855" s="1423"/>
      <c r="O855" s="1423"/>
      <c r="P855" s="1423"/>
      <c r="Q855" s="1423"/>
      <c r="R855" s="1423"/>
      <c r="S855" s="1423"/>
      <c r="T855" s="1423"/>
      <c r="U855" s="1423"/>
      <c r="V855" s="1423"/>
      <c r="W855" s="1423"/>
      <c r="X855" s="1423"/>
      <c r="Y855" s="1423"/>
      <c r="Z855" s="1423"/>
    </row>
    <row r="856" spans="1:26" ht="18.5">
      <c r="A856" s="1423"/>
      <c r="B856" s="1423"/>
      <c r="C856" s="1423"/>
      <c r="D856" s="1423"/>
      <c r="E856" s="1423"/>
      <c r="F856" s="1423"/>
      <c r="G856" s="1423"/>
      <c r="H856" s="1423"/>
      <c r="I856" s="1423"/>
      <c r="J856" s="1423"/>
      <c r="K856" s="1423"/>
      <c r="L856" s="1423"/>
      <c r="M856" s="1423"/>
      <c r="N856" s="1423"/>
      <c r="O856" s="1423"/>
      <c r="P856" s="1423"/>
      <c r="Q856" s="1423"/>
      <c r="R856" s="1423"/>
      <c r="S856" s="1423"/>
      <c r="T856" s="1423"/>
      <c r="U856" s="1423"/>
      <c r="V856" s="1423"/>
      <c r="W856" s="1423"/>
      <c r="X856" s="1423"/>
      <c r="Y856" s="1423"/>
      <c r="Z856" s="1423"/>
    </row>
    <row r="857" spans="1:26" ht="18.5">
      <c r="A857" s="1423"/>
      <c r="B857" s="1423"/>
      <c r="C857" s="1423"/>
      <c r="D857" s="1423"/>
      <c r="E857" s="1423"/>
      <c r="F857" s="1423"/>
      <c r="G857" s="1423"/>
      <c r="H857" s="1423"/>
      <c r="I857" s="1423"/>
      <c r="J857" s="1423"/>
      <c r="K857" s="1423"/>
      <c r="L857" s="1423"/>
      <c r="M857" s="1423"/>
      <c r="N857" s="1423"/>
      <c r="O857" s="1423"/>
      <c r="P857" s="1423"/>
      <c r="Q857" s="1423"/>
      <c r="R857" s="1423"/>
      <c r="S857" s="1423"/>
      <c r="T857" s="1423"/>
      <c r="U857" s="1423"/>
      <c r="V857" s="1423"/>
      <c r="W857" s="1423"/>
      <c r="X857" s="1423"/>
      <c r="Y857" s="1423"/>
      <c r="Z857" s="1423"/>
    </row>
    <row r="858" spans="1:26" ht="18.5">
      <c r="A858" s="1423"/>
      <c r="B858" s="1423"/>
      <c r="C858" s="1423"/>
      <c r="D858" s="1423"/>
      <c r="E858" s="1423"/>
      <c r="F858" s="1423"/>
      <c r="G858" s="1423"/>
      <c r="H858" s="1423"/>
      <c r="I858" s="1423"/>
      <c r="J858" s="1423"/>
      <c r="K858" s="1423"/>
      <c r="L858" s="1423"/>
      <c r="M858" s="1423"/>
      <c r="N858" s="1423"/>
      <c r="O858" s="1423"/>
      <c r="P858" s="1423"/>
      <c r="Q858" s="1423"/>
      <c r="R858" s="1423"/>
      <c r="S858" s="1423"/>
      <c r="T858" s="1423"/>
      <c r="U858" s="1423"/>
      <c r="V858" s="1423"/>
      <c r="W858" s="1423"/>
      <c r="X858" s="1423"/>
      <c r="Y858" s="1423"/>
      <c r="Z858" s="1423"/>
    </row>
    <row r="859" spans="1:26" ht="18.5">
      <c r="A859" s="1423"/>
      <c r="B859" s="1423"/>
      <c r="C859" s="1423"/>
      <c r="D859" s="1423"/>
      <c r="E859" s="1423"/>
      <c r="F859" s="1423"/>
      <c r="G859" s="1423"/>
      <c r="H859" s="1423"/>
      <c r="I859" s="1423"/>
      <c r="J859" s="1423"/>
      <c r="K859" s="1423"/>
      <c r="L859" s="1423"/>
      <c r="M859" s="1423"/>
      <c r="N859" s="1423"/>
      <c r="O859" s="1423"/>
      <c r="P859" s="1423"/>
      <c r="Q859" s="1423"/>
      <c r="R859" s="1423"/>
      <c r="S859" s="1423"/>
      <c r="T859" s="1423"/>
      <c r="U859" s="1423"/>
      <c r="V859" s="1423"/>
      <c r="W859" s="1423"/>
      <c r="X859" s="1423"/>
      <c r="Y859" s="1423"/>
      <c r="Z859" s="1423"/>
    </row>
    <row r="860" spans="1:26" ht="18.5">
      <c r="A860" s="1423"/>
      <c r="B860" s="1423"/>
      <c r="C860" s="1423"/>
      <c r="D860" s="1423"/>
      <c r="E860" s="1423"/>
      <c r="F860" s="1423"/>
      <c r="G860" s="1423"/>
      <c r="H860" s="1423"/>
      <c r="I860" s="1423"/>
      <c r="J860" s="1423"/>
      <c r="K860" s="1423"/>
      <c r="L860" s="1423"/>
      <c r="M860" s="1423"/>
      <c r="N860" s="1423"/>
      <c r="O860" s="1423"/>
      <c r="P860" s="1423"/>
      <c r="Q860" s="1423"/>
      <c r="R860" s="1423"/>
      <c r="S860" s="1423"/>
      <c r="T860" s="1423"/>
      <c r="U860" s="1423"/>
      <c r="V860" s="1423"/>
      <c r="W860" s="1423"/>
      <c r="X860" s="1423"/>
      <c r="Y860" s="1423"/>
      <c r="Z860" s="1423"/>
    </row>
    <row r="861" spans="1:26" ht="18.5">
      <c r="A861" s="1423"/>
      <c r="B861" s="1423"/>
      <c r="C861" s="1423"/>
      <c r="D861" s="1423"/>
      <c r="E861" s="1423"/>
      <c r="F861" s="1423"/>
      <c r="G861" s="1423"/>
      <c r="H861" s="1423"/>
      <c r="I861" s="1423"/>
      <c r="J861" s="1423"/>
      <c r="K861" s="1423"/>
      <c r="L861" s="1423"/>
      <c r="M861" s="1423"/>
      <c r="N861" s="1423"/>
      <c r="O861" s="1423"/>
      <c r="P861" s="1423"/>
      <c r="Q861" s="1423"/>
      <c r="R861" s="1423"/>
      <c r="S861" s="1423"/>
      <c r="T861" s="1423"/>
      <c r="U861" s="1423"/>
      <c r="V861" s="1423"/>
      <c r="W861" s="1423"/>
      <c r="X861" s="1423"/>
      <c r="Y861" s="1423"/>
      <c r="Z861" s="1423"/>
    </row>
    <row r="862" spans="1:26" ht="18.5">
      <c r="A862" s="1423"/>
      <c r="B862" s="1423"/>
      <c r="C862" s="1423"/>
      <c r="D862" s="1423"/>
      <c r="E862" s="1423"/>
      <c r="F862" s="1423"/>
      <c r="G862" s="1423"/>
      <c r="H862" s="1423"/>
      <c r="I862" s="1423"/>
      <c r="J862" s="1423"/>
      <c r="K862" s="1423"/>
      <c r="L862" s="1423"/>
      <c r="M862" s="1423"/>
      <c r="N862" s="1423"/>
      <c r="O862" s="1423"/>
      <c r="P862" s="1423"/>
      <c r="Q862" s="1423"/>
      <c r="R862" s="1423"/>
      <c r="S862" s="1423"/>
      <c r="T862" s="1423"/>
      <c r="U862" s="1423"/>
      <c r="V862" s="1423"/>
      <c r="W862" s="1423"/>
      <c r="X862" s="1423"/>
      <c r="Y862" s="1423"/>
      <c r="Z862" s="1423"/>
    </row>
    <row r="863" spans="1:26" ht="18.5">
      <c r="A863" s="1423"/>
      <c r="B863" s="1423"/>
      <c r="C863" s="1423"/>
      <c r="D863" s="1423"/>
      <c r="E863" s="1423"/>
      <c r="F863" s="1423"/>
      <c r="G863" s="1423"/>
      <c r="H863" s="1423"/>
      <c r="I863" s="1423"/>
      <c r="J863" s="1423"/>
      <c r="K863" s="1423"/>
      <c r="L863" s="1423"/>
      <c r="M863" s="1423"/>
      <c r="N863" s="1423"/>
      <c r="O863" s="1423"/>
      <c r="P863" s="1423"/>
      <c r="Q863" s="1423"/>
      <c r="R863" s="1423"/>
      <c r="S863" s="1423"/>
      <c r="T863" s="1423"/>
      <c r="U863" s="1423"/>
      <c r="V863" s="1423"/>
      <c r="W863" s="1423"/>
      <c r="X863" s="1423"/>
      <c r="Y863" s="1423"/>
      <c r="Z863" s="1423"/>
    </row>
    <row r="864" spans="1:26" ht="18.5">
      <c r="A864" s="1423"/>
      <c r="B864" s="1423"/>
      <c r="C864" s="1423"/>
      <c r="D864" s="1423"/>
      <c r="E864" s="1423"/>
      <c r="F864" s="1423"/>
      <c r="G864" s="1423"/>
      <c r="H864" s="1423"/>
      <c r="I864" s="1423"/>
      <c r="J864" s="1423"/>
      <c r="K864" s="1423"/>
      <c r="L864" s="1423"/>
      <c r="M864" s="1423"/>
      <c r="N864" s="1423"/>
      <c r="O864" s="1423"/>
      <c r="P864" s="1423"/>
      <c r="Q864" s="1423"/>
      <c r="R864" s="1423"/>
      <c r="S864" s="1423"/>
      <c r="T864" s="1423"/>
      <c r="U864" s="1423"/>
      <c r="V864" s="1423"/>
      <c r="W864" s="1423"/>
      <c r="X864" s="1423"/>
      <c r="Y864" s="1423"/>
      <c r="Z864" s="1423"/>
    </row>
    <row r="865" spans="1:26" ht="18.5">
      <c r="A865" s="1423"/>
      <c r="B865" s="1423"/>
      <c r="C865" s="1423"/>
      <c r="D865" s="1423"/>
      <c r="E865" s="1423"/>
      <c r="F865" s="1423"/>
      <c r="G865" s="1423"/>
      <c r="H865" s="1423"/>
      <c r="I865" s="1423"/>
      <c r="J865" s="1423"/>
      <c r="K865" s="1423"/>
      <c r="L865" s="1423"/>
      <c r="M865" s="1423"/>
      <c r="N865" s="1423"/>
      <c r="O865" s="1423"/>
      <c r="P865" s="1423"/>
      <c r="Q865" s="1423"/>
      <c r="R865" s="1423"/>
      <c r="S865" s="1423"/>
      <c r="T865" s="1423"/>
      <c r="U865" s="1423"/>
      <c r="V865" s="1423"/>
      <c r="W865" s="1423"/>
      <c r="X865" s="1423"/>
      <c r="Y865" s="1423"/>
      <c r="Z865" s="1423"/>
    </row>
    <row r="866" spans="1:26" ht="18.5">
      <c r="A866" s="1423"/>
      <c r="B866" s="1423"/>
      <c r="C866" s="1423"/>
      <c r="D866" s="1423"/>
      <c r="E866" s="1423"/>
      <c r="F866" s="1423"/>
      <c r="G866" s="1423"/>
      <c r="H866" s="1423"/>
      <c r="I866" s="1423"/>
      <c r="J866" s="1423"/>
      <c r="K866" s="1423"/>
      <c r="L866" s="1423"/>
      <c r="M866" s="1423"/>
      <c r="N866" s="1423"/>
      <c r="O866" s="1423"/>
      <c r="P866" s="1423"/>
      <c r="Q866" s="1423"/>
      <c r="R866" s="1423"/>
      <c r="S866" s="1423"/>
      <c r="T866" s="1423"/>
      <c r="U866" s="1423"/>
      <c r="V866" s="1423"/>
      <c r="W866" s="1423"/>
      <c r="X866" s="1423"/>
      <c r="Y866" s="1423"/>
      <c r="Z866" s="1423"/>
    </row>
    <row r="867" spans="1:26" ht="18.5">
      <c r="A867" s="1423"/>
      <c r="B867" s="1423"/>
      <c r="C867" s="1423"/>
      <c r="D867" s="1423"/>
      <c r="E867" s="1423"/>
      <c r="F867" s="1423"/>
      <c r="G867" s="1423"/>
      <c r="H867" s="1423"/>
      <c r="I867" s="1423"/>
      <c r="J867" s="1423"/>
      <c r="K867" s="1423"/>
      <c r="L867" s="1423"/>
      <c r="M867" s="1423"/>
      <c r="N867" s="1423"/>
      <c r="O867" s="1423"/>
      <c r="P867" s="1423"/>
      <c r="Q867" s="1423"/>
      <c r="R867" s="1423"/>
      <c r="S867" s="1423"/>
      <c r="T867" s="1423"/>
      <c r="U867" s="1423"/>
      <c r="V867" s="1423"/>
      <c r="W867" s="1423"/>
      <c r="X867" s="1423"/>
      <c r="Y867" s="1423"/>
      <c r="Z867" s="1423"/>
    </row>
    <row r="868" spans="1:26" ht="18.5">
      <c r="A868" s="1423"/>
      <c r="B868" s="1423"/>
      <c r="C868" s="1423"/>
      <c r="D868" s="1423"/>
      <c r="E868" s="1423"/>
      <c r="F868" s="1423"/>
      <c r="G868" s="1423"/>
      <c r="H868" s="1423"/>
      <c r="I868" s="1423"/>
      <c r="J868" s="1423"/>
      <c r="K868" s="1423"/>
      <c r="L868" s="1423"/>
      <c r="M868" s="1423"/>
      <c r="N868" s="1423"/>
      <c r="O868" s="1423"/>
      <c r="P868" s="1423"/>
      <c r="Q868" s="1423"/>
      <c r="R868" s="1423"/>
      <c r="S868" s="1423"/>
      <c r="T868" s="1423"/>
      <c r="U868" s="1423"/>
      <c r="V868" s="1423"/>
      <c r="W868" s="1423"/>
      <c r="X868" s="1423"/>
      <c r="Y868" s="1423"/>
      <c r="Z868" s="1423"/>
    </row>
    <row r="869" spans="1:26" ht="18.5">
      <c r="A869" s="1423"/>
      <c r="B869" s="1423"/>
      <c r="C869" s="1423"/>
      <c r="D869" s="1423"/>
      <c r="E869" s="1423"/>
      <c r="F869" s="1423"/>
      <c r="G869" s="1423"/>
      <c r="H869" s="1423"/>
      <c r="I869" s="1423"/>
      <c r="J869" s="1423"/>
      <c r="K869" s="1423"/>
      <c r="L869" s="1423"/>
      <c r="M869" s="1423"/>
      <c r="N869" s="1423"/>
      <c r="O869" s="1423"/>
      <c r="P869" s="1423"/>
      <c r="Q869" s="1423"/>
      <c r="R869" s="1423"/>
      <c r="S869" s="1423"/>
      <c r="T869" s="1423"/>
      <c r="U869" s="1423"/>
      <c r="V869" s="1423"/>
      <c r="W869" s="1423"/>
      <c r="X869" s="1423"/>
      <c r="Y869" s="1423"/>
      <c r="Z869" s="1423"/>
    </row>
    <row r="870" spans="1:26" ht="18.5">
      <c r="A870" s="1423"/>
      <c r="B870" s="1423"/>
      <c r="C870" s="1423"/>
      <c r="D870" s="1423"/>
      <c r="E870" s="1423"/>
      <c r="F870" s="1423"/>
      <c r="G870" s="1423"/>
      <c r="H870" s="1423"/>
      <c r="I870" s="1423"/>
      <c r="J870" s="1423"/>
      <c r="K870" s="1423"/>
      <c r="L870" s="1423"/>
      <c r="M870" s="1423"/>
      <c r="N870" s="1423"/>
      <c r="O870" s="1423"/>
      <c r="P870" s="1423"/>
      <c r="Q870" s="1423"/>
      <c r="R870" s="1423"/>
      <c r="S870" s="1423"/>
      <c r="T870" s="1423"/>
      <c r="U870" s="1423"/>
      <c r="V870" s="1423"/>
      <c r="W870" s="1423"/>
      <c r="X870" s="1423"/>
      <c r="Y870" s="1423"/>
      <c r="Z870" s="1423"/>
    </row>
    <row r="871" spans="1:26" ht="18.5">
      <c r="A871" s="1423"/>
      <c r="B871" s="1423"/>
      <c r="C871" s="1423"/>
      <c r="D871" s="1423"/>
      <c r="E871" s="1423"/>
      <c r="F871" s="1423"/>
      <c r="G871" s="1423"/>
      <c r="H871" s="1423"/>
      <c r="I871" s="1423"/>
      <c r="J871" s="1423"/>
      <c r="K871" s="1423"/>
      <c r="L871" s="1423"/>
      <c r="M871" s="1423"/>
      <c r="N871" s="1423"/>
      <c r="O871" s="1423"/>
      <c r="P871" s="1423"/>
      <c r="Q871" s="1423"/>
      <c r="R871" s="1423"/>
      <c r="S871" s="1423"/>
      <c r="T871" s="1423"/>
      <c r="U871" s="1423"/>
      <c r="V871" s="1423"/>
      <c r="W871" s="1423"/>
      <c r="X871" s="1423"/>
      <c r="Y871" s="1423"/>
      <c r="Z871" s="1423"/>
    </row>
    <row r="872" spans="1:26" ht="18.5">
      <c r="A872" s="1423"/>
      <c r="B872" s="1423"/>
      <c r="C872" s="1423"/>
      <c r="D872" s="1423"/>
      <c r="E872" s="1423"/>
      <c r="F872" s="1423"/>
      <c r="G872" s="1423"/>
      <c r="H872" s="1423"/>
      <c r="I872" s="1423"/>
      <c r="J872" s="1423"/>
      <c r="K872" s="1423"/>
      <c r="L872" s="1423"/>
      <c r="M872" s="1423"/>
      <c r="N872" s="1423"/>
      <c r="O872" s="1423"/>
      <c r="P872" s="1423"/>
      <c r="Q872" s="1423"/>
      <c r="R872" s="1423"/>
      <c r="S872" s="1423"/>
      <c r="T872" s="1423"/>
      <c r="U872" s="1423"/>
      <c r="V872" s="1423"/>
      <c r="W872" s="1423"/>
      <c r="X872" s="1423"/>
      <c r="Y872" s="1423"/>
      <c r="Z872" s="1423"/>
    </row>
    <row r="873" spans="1:26" ht="18.5">
      <c r="A873" s="1423"/>
      <c r="B873" s="1423"/>
      <c r="C873" s="1423"/>
      <c r="D873" s="1423"/>
      <c r="E873" s="1423"/>
      <c r="F873" s="1423"/>
      <c r="G873" s="1423"/>
      <c r="H873" s="1423"/>
      <c r="I873" s="1423"/>
      <c r="J873" s="1423"/>
      <c r="K873" s="1423"/>
      <c r="L873" s="1423"/>
      <c r="M873" s="1423"/>
      <c r="N873" s="1423"/>
      <c r="O873" s="1423"/>
      <c r="P873" s="1423"/>
      <c r="Q873" s="1423"/>
      <c r="R873" s="1423"/>
      <c r="S873" s="1423"/>
      <c r="T873" s="1423"/>
      <c r="U873" s="1423"/>
      <c r="V873" s="1423"/>
      <c r="W873" s="1423"/>
      <c r="X873" s="1423"/>
      <c r="Y873" s="1423"/>
      <c r="Z873" s="1423"/>
    </row>
    <row r="874" spans="1:26" ht="18.5">
      <c r="A874" s="1423"/>
      <c r="B874" s="1423"/>
      <c r="C874" s="1423"/>
      <c r="D874" s="1423"/>
      <c r="E874" s="1423"/>
      <c r="F874" s="1423"/>
      <c r="G874" s="1423"/>
      <c r="H874" s="1423"/>
      <c r="I874" s="1423"/>
      <c r="J874" s="1423"/>
      <c r="K874" s="1423"/>
      <c r="L874" s="1423"/>
      <c r="M874" s="1423"/>
      <c r="N874" s="1423"/>
      <c r="O874" s="1423"/>
      <c r="P874" s="1423"/>
      <c r="Q874" s="1423"/>
      <c r="R874" s="1423"/>
      <c r="S874" s="1423"/>
      <c r="T874" s="1423"/>
      <c r="U874" s="1423"/>
      <c r="V874" s="1423"/>
      <c r="W874" s="1423"/>
      <c r="X874" s="1423"/>
      <c r="Y874" s="1423"/>
      <c r="Z874" s="1423"/>
    </row>
    <row r="875" spans="1:26" ht="18.5">
      <c r="A875" s="1423"/>
      <c r="B875" s="1423"/>
      <c r="C875" s="1423"/>
      <c r="D875" s="1423"/>
      <c r="E875" s="1423"/>
      <c r="F875" s="1423"/>
      <c r="G875" s="1423"/>
      <c r="H875" s="1423"/>
      <c r="I875" s="1423"/>
      <c r="J875" s="1423"/>
      <c r="K875" s="1423"/>
      <c r="L875" s="1423"/>
      <c r="M875" s="1423"/>
      <c r="N875" s="1423"/>
      <c r="O875" s="1423"/>
      <c r="P875" s="1423"/>
      <c r="Q875" s="1423"/>
      <c r="R875" s="1423"/>
      <c r="S875" s="1423"/>
      <c r="T875" s="1423"/>
      <c r="U875" s="1423"/>
      <c r="V875" s="1423"/>
      <c r="W875" s="1423"/>
      <c r="X875" s="1423"/>
      <c r="Y875" s="1423"/>
      <c r="Z875" s="1423"/>
    </row>
    <row r="876" spans="1:26" ht="18.5">
      <c r="A876" s="1423"/>
      <c r="B876" s="1423"/>
      <c r="C876" s="1423"/>
      <c r="D876" s="1423"/>
      <c r="E876" s="1423"/>
      <c r="F876" s="1423"/>
      <c r="G876" s="1423"/>
      <c r="H876" s="1423"/>
      <c r="I876" s="1423"/>
      <c r="J876" s="1423"/>
      <c r="K876" s="1423"/>
      <c r="L876" s="1423"/>
      <c r="M876" s="1423"/>
      <c r="N876" s="1423"/>
      <c r="O876" s="1423"/>
      <c r="P876" s="1423"/>
      <c r="Q876" s="1423"/>
      <c r="R876" s="1423"/>
      <c r="S876" s="1423"/>
      <c r="T876" s="1423"/>
      <c r="U876" s="1423"/>
      <c r="V876" s="1423"/>
      <c r="W876" s="1423"/>
      <c r="X876" s="1423"/>
      <c r="Y876" s="1423"/>
      <c r="Z876" s="1423"/>
    </row>
    <row r="877" spans="1:26" ht="18.5">
      <c r="A877" s="1423"/>
      <c r="B877" s="1423"/>
      <c r="C877" s="1423"/>
      <c r="D877" s="1423"/>
      <c r="E877" s="1423"/>
      <c r="F877" s="1423"/>
      <c r="G877" s="1423"/>
      <c r="H877" s="1423"/>
      <c r="I877" s="1423"/>
      <c r="J877" s="1423"/>
      <c r="K877" s="1423"/>
      <c r="L877" s="1423"/>
      <c r="M877" s="1423"/>
      <c r="N877" s="1423"/>
      <c r="O877" s="1423"/>
      <c r="P877" s="1423"/>
      <c r="Q877" s="1423"/>
      <c r="R877" s="1423"/>
      <c r="S877" s="1423"/>
      <c r="T877" s="1423"/>
      <c r="U877" s="1423"/>
      <c r="V877" s="1423"/>
      <c r="W877" s="1423"/>
      <c r="X877" s="1423"/>
      <c r="Y877" s="1423"/>
      <c r="Z877" s="1423"/>
    </row>
    <row r="878" spans="1:26" ht="18.5">
      <c r="A878" s="1423"/>
      <c r="B878" s="1423"/>
      <c r="C878" s="1423"/>
      <c r="D878" s="1423"/>
      <c r="E878" s="1423"/>
      <c r="F878" s="1423"/>
      <c r="G878" s="1423"/>
      <c r="H878" s="1423"/>
      <c r="I878" s="1423"/>
      <c r="J878" s="1423"/>
      <c r="K878" s="1423"/>
      <c r="L878" s="1423"/>
      <c r="M878" s="1423"/>
      <c r="N878" s="1423"/>
      <c r="O878" s="1423"/>
      <c r="P878" s="1423"/>
      <c r="Q878" s="1423"/>
      <c r="R878" s="1423"/>
      <c r="S878" s="1423"/>
      <c r="T878" s="1423"/>
      <c r="U878" s="1423"/>
      <c r="V878" s="1423"/>
      <c r="W878" s="1423"/>
      <c r="X878" s="1423"/>
      <c r="Y878" s="1423"/>
      <c r="Z878" s="1423"/>
    </row>
    <row r="879" spans="1:26" ht="18.5">
      <c r="A879" s="1423"/>
      <c r="B879" s="1423"/>
      <c r="C879" s="1423"/>
      <c r="D879" s="1423"/>
      <c r="E879" s="1423"/>
      <c r="F879" s="1423"/>
      <c r="G879" s="1423"/>
      <c r="H879" s="1423"/>
      <c r="I879" s="1423"/>
      <c r="J879" s="1423"/>
      <c r="K879" s="1423"/>
      <c r="L879" s="1423"/>
      <c r="M879" s="1423"/>
      <c r="N879" s="1423"/>
      <c r="O879" s="1423"/>
      <c r="P879" s="1423"/>
      <c r="Q879" s="1423"/>
      <c r="R879" s="1423"/>
      <c r="S879" s="1423"/>
      <c r="T879" s="1423"/>
      <c r="U879" s="1423"/>
      <c r="V879" s="1423"/>
      <c r="W879" s="1423"/>
      <c r="X879" s="1423"/>
      <c r="Y879" s="1423"/>
      <c r="Z879" s="1423"/>
    </row>
    <row r="880" spans="1:26" ht="18.5">
      <c r="A880" s="1423"/>
      <c r="B880" s="1423"/>
      <c r="C880" s="1423"/>
      <c r="D880" s="1423"/>
      <c r="E880" s="1423"/>
      <c r="F880" s="1423"/>
      <c r="G880" s="1423"/>
      <c r="H880" s="1423"/>
      <c r="I880" s="1423"/>
      <c r="J880" s="1423"/>
      <c r="K880" s="1423"/>
      <c r="L880" s="1423"/>
      <c r="M880" s="1423"/>
      <c r="N880" s="1423"/>
      <c r="O880" s="1423"/>
      <c r="P880" s="1423"/>
      <c r="Q880" s="1423"/>
      <c r="R880" s="1423"/>
      <c r="S880" s="1423"/>
      <c r="T880" s="1423"/>
      <c r="U880" s="1423"/>
      <c r="V880" s="1423"/>
      <c r="W880" s="1423"/>
      <c r="X880" s="1423"/>
      <c r="Y880" s="1423"/>
      <c r="Z880" s="1423"/>
    </row>
    <row r="881" spans="1:26" ht="18.5">
      <c r="A881" s="1423"/>
      <c r="B881" s="1423"/>
      <c r="C881" s="1423"/>
      <c r="D881" s="1423"/>
      <c r="E881" s="1423"/>
      <c r="F881" s="1423"/>
      <c r="G881" s="1423"/>
      <c r="H881" s="1423"/>
      <c r="I881" s="1423"/>
      <c r="J881" s="1423"/>
      <c r="K881" s="1423"/>
      <c r="L881" s="1423"/>
      <c r="M881" s="1423"/>
      <c r="N881" s="1423"/>
      <c r="O881" s="1423"/>
      <c r="P881" s="1423"/>
      <c r="Q881" s="1423"/>
      <c r="R881" s="1423"/>
      <c r="S881" s="1423"/>
      <c r="T881" s="1423"/>
      <c r="U881" s="1423"/>
      <c r="V881" s="1423"/>
      <c r="W881" s="1423"/>
      <c r="X881" s="1423"/>
      <c r="Y881" s="1423"/>
      <c r="Z881" s="1423"/>
    </row>
    <row r="882" spans="1:26" ht="18.5">
      <c r="A882" s="1423"/>
      <c r="B882" s="1423"/>
      <c r="C882" s="1423"/>
      <c r="D882" s="1423"/>
      <c r="E882" s="1423"/>
      <c r="F882" s="1423"/>
      <c r="G882" s="1423"/>
      <c r="H882" s="1423"/>
      <c r="I882" s="1423"/>
      <c r="J882" s="1423"/>
      <c r="K882" s="1423"/>
      <c r="L882" s="1423"/>
      <c r="M882" s="1423"/>
      <c r="N882" s="1423"/>
      <c r="O882" s="1423"/>
      <c r="P882" s="1423"/>
      <c r="Q882" s="1423"/>
      <c r="R882" s="1423"/>
      <c r="S882" s="1423"/>
      <c r="T882" s="1423"/>
      <c r="U882" s="1423"/>
      <c r="V882" s="1423"/>
      <c r="W882" s="1423"/>
      <c r="X882" s="1423"/>
      <c r="Y882" s="1423"/>
      <c r="Z882" s="1423"/>
    </row>
    <row r="883" spans="1:26" ht="18.5">
      <c r="A883" s="1423"/>
      <c r="B883" s="1423"/>
      <c r="C883" s="1423"/>
      <c r="D883" s="1423"/>
      <c r="E883" s="1423"/>
      <c r="F883" s="1423"/>
      <c r="G883" s="1423"/>
      <c r="H883" s="1423"/>
      <c r="I883" s="1423"/>
      <c r="J883" s="1423"/>
      <c r="K883" s="1423"/>
      <c r="L883" s="1423"/>
      <c r="M883" s="1423"/>
      <c r="N883" s="1423"/>
      <c r="O883" s="1423"/>
      <c r="P883" s="1423"/>
      <c r="Q883" s="1423"/>
      <c r="R883" s="1423"/>
      <c r="S883" s="1423"/>
      <c r="T883" s="1423"/>
      <c r="U883" s="1423"/>
      <c r="V883" s="1423"/>
      <c r="W883" s="1423"/>
      <c r="X883" s="1423"/>
      <c r="Y883" s="1423"/>
      <c r="Z883" s="1423"/>
    </row>
    <row r="884" spans="1:26" ht="18.5">
      <c r="A884" s="1423"/>
      <c r="B884" s="1423"/>
      <c r="C884" s="1423"/>
      <c r="D884" s="1423"/>
      <c r="E884" s="1423"/>
      <c r="F884" s="1423"/>
      <c r="G884" s="1423"/>
      <c r="H884" s="1423"/>
      <c r="I884" s="1423"/>
      <c r="J884" s="1423"/>
      <c r="K884" s="1423"/>
      <c r="L884" s="1423"/>
      <c r="M884" s="1423"/>
      <c r="N884" s="1423"/>
      <c r="O884" s="1423"/>
      <c r="P884" s="1423"/>
      <c r="Q884" s="1423"/>
      <c r="R884" s="1423"/>
      <c r="S884" s="1423"/>
      <c r="T884" s="1423"/>
      <c r="U884" s="1423"/>
      <c r="V884" s="1423"/>
      <c r="W884" s="1423"/>
      <c r="X884" s="1423"/>
      <c r="Y884" s="1423"/>
      <c r="Z884" s="1423"/>
    </row>
    <row r="885" spans="1:26" ht="18.5">
      <c r="A885" s="1423"/>
      <c r="B885" s="1423"/>
      <c r="C885" s="1423"/>
      <c r="D885" s="1423"/>
      <c r="E885" s="1423"/>
      <c r="F885" s="1423"/>
      <c r="G885" s="1423"/>
      <c r="H885" s="1423"/>
      <c r="I885" s="1423"/>
      <c r="J885" s="1423"/>
      <c r="K885" s="1423"/>
      <c r="L885" s="1423"/>
      <c r="M885" s="1423"/>
      <c r="N885" s="1423"/>
      <c r="O885" s="1423"/>
      <c r="P885" s="1423"/>
      <c r="Q885" s="1423"/>
      <c r="R885" s="1423"/>
      <c r="S885" s="1423"/>
      <c r="T885" s="1423"/>
      <c r="U885" s="1423"/>
      <c r="V885" s="1423"/>
      <c r="W885" s="1423"/>
      <c r="X885" s="1423"/>
      <c r="Y885" s="1423"/>
      <c r="Z885" s="1423"/>
    </row>
    <row r="886" spans="1:26" ht="18.5">
      <c r="A886" s="1423"/>
      <c r="B886" s="1423"/>
      <c r="C886" s="1423"/>
      <c r="D886" s="1423"/>
      <c r="E886" s="1423"/>
      <c r="F886" s="1423"/>
      <c r="G886" s="1423"/>
      <c r="H886" s="1423"/>
      <c r="I886" s="1423"/>
      <c r="J886" s="1423"/>
      <c r="K886" s="1423"/>
      <c r="L886" s="1423"/>
      <c r="M886" s="1423"/>
      <c r="N886" s="1423"/>
      <c r="O886" s="1423"/>
      <c r="P886" s="1423"/>
      <c r="Q886" s="1423"/>
      <c r="R886" s="1423"/>
      <c r="S886" s="1423"/>
      <c r="T886" s="1423"/>
      <c r="U886" s="1423"/>
      <c r="V886" s="1423"/>
      <c r="W886" s="1423"/>
      <c r="X886" s="1423"/>
      <c r="Y886" s="1423"/>
      <c r="Z886" s="1423"/>
    </row>
    <row r="887" spans="1:26" ht="18.5">
      <c r="A887" s="1423"/>
      <c r="B887" s="1423"/>
      <c r="C887" s="1423"/>
      <c r="D887" s="1423"/>
      <c r="E887" s="1423"/>
      <c r="F887" s="1423"/>
      <c r="G887" s="1423"/>
      <c r="H887" s="1423"/>
      <c r="I887" s="1423"/>
      <c r="J887" s="1423"/>
      <c r="K887" s="1423"/>
      <c r="L887" s="1423"/>
      <c r="M887" s="1423"/>
      <c r="N887" s="1423"/>
      <c r="O887" s="1423"/>
      <c r="P887" s="1423"/>
      <c r="Q887" s="1423"/>
      <c r="R887" s="1423"/>
      <c r="S887" s="1423"/>
      <c r="T887" s="1423"/>
      <c r="U887" s="1423"/>
      <c r="V887" s="1423"/>
      <c r="W887" s="1423"/>
      <c r="X887" s="1423"/>
      <c r="Y887" s="1423"/>
      <c r="Z887" s="1423"/>
    </row>
    <row r="888" spans="1:26" ht="18.5">
      <c r="A888" s="1423"/>
      <c r="B888" s="1423"/>
      <c r="C888" s="1423"/>
      <c r="D888" s="1423"/>
      <c r="E888" s="1423"/>
      <c r="F888" s="1423"/>
      <c r="G888" s="1423"/>
      <c r="H888" s="1423"/>
      <c r="I888" s="1423"/>
      <c r="J888" s="1423"/>
      <c r="K888" s="1423"/>
      <c r="L888" s="1423"/>
      <c r="M888" s="1423"/>
      <c r="N888" s="1423"/>
      <c r="O888" s="1423"/>
      <c r="P888" s="1423"/>
      <c r="Q888" s="1423"/>
      <c r="R888" s="1423"/>
      <c r="S888" s="1423"/>
      <c r="T888" s="1423"/>
      <c r="U888" s="1423"/>
      <c r="V888" s="1423"/>
      <c r="W888" s="1423"/>
      <c r="X888" s="1423"/>
      <c r="Y888" s="1423"/>
      <c r="Z888" s="1423"/>
    </row>
    <row r="889" spans="1:26" ht="18.5">
      <c r="A889" s="1423"/>
      <c r="B889" s="1423"/>
      <c r="C889" s="1423"/>
      <c r="D889" s="1423"/>
      <c r="E889" s="1423"/>
      <c r="F889" s="1423"/>
      <c r="G889" s="1423"/>
      <c r="H889" s="1423"/>
      <c r="I889" s="1423"/>
      <c r="J889" s="1423"/>
      <c r="K889" s="1423"/>
      <c r="L889" s="1423"/>
      <c r="M889" s="1423"/>
      <c r="N889" s="1423"/>
      <c r="O889" s="1423"/>
      <c r="P889" s="1423"/>
      <c r="Q889" s="1423"/>
      <c r="R889" s="1423"/>
      <c r="S889" s="1423"/>
      <c r="T889" s="1423"/>
      <c r="U889" s="1423"/>
      <c r="V889" s="1423"/>
      <c r="W889" s="1423"/>
      <c r="X889" s="1423"/>
      <c r="Y889" s="1423"/>
      <c r="Z889" s="1423"/>
    </row>
    <row r="890" spans="1:26" ht="18.5">
      <c r="A890" s="1423"/>
      <c r="B890" s="1423"/>
      <c r="C890" s="1423"/>
      <c r="D890" s="1423"/>
      <c r="E890" s="1423"/>
      <c r="F890" s="1423"/>
      <c r="G890" s="1423"/>
      <c r="H890" s="1423"/>
      <c r="I890" s="1423"/>
      <c r="J890" s="1423"/>
      <c r="K890" s="1423"/>
      <c r="L890" s="1423"/>
      <c r="M890" s="1423"/>
      <c r="N890" s="1423"/>
      <c r="O890" s="1423"/>
      <c r="P890" s="1423"/>
      <c r="Q890" s="1423"/>
      <c r="R890" s="1423"/>
      <c r="S890" s="1423"/>
      <c r="T890" s="1423"/>
      <c r="U890" s="1423"/>
      <c r="V890" s="1423"/>
      <c r="W890" s="1423"/>
      <c r="X890" s="1423"/>
      <c r="Y890" s="1423"/>
      <c r="Z890" s="1423"/>
    </row>
    <row r="891" spans="1:26" ht="18.5">
      <c r="A891" s="1423"/>
      <c r="B891" s="1423"/>
      <c r="C891" s="1423"/>
      <c r="D891" s="1423"/>
      <c r="E891" s="1423"/>
      <c r="F891" s="1423"/>
      <c r="G891" s="1423"/>
      <c r="H891" s="1423"/>
      <c r="I891" s="1423"/>
      <c r="J891" s="1423"/>
      <c r="K891" s="1423"/>
      <c r="L891" s="1423"/>
      <c r="M891" s="1423"/>
      <c r="N891" s="1423"/>
      <c r="O891" s="1423"/>
      <c r="P891" s="1423"/>
      <c r="Q891" s="1423"/>
      <c r="R891" s="1423"/>
      <c r="S891" s="1423"/>
      <c r="T891" s="1423"/>
      <c r="U891" s="1423"/>
      <c r="V891" s="1423"/>
      <c r="W891" s="1423"/>
      <c r="X891" s="1423"/>
      <c r="Y891" s="1423"/>
      <c r="Z891" s="1423"/>
    </row>
    <row r="892" spans="1:26" ht="18.5">
      <c r="A892" s="1423"/>
      <c r="B892" s="1423"/>
      <c r="C892" s="1423"/>
      <c r="D892" s="1423"/>
      <c r="E892" s="1423"/>
      <c r="F892" s="1423"/>
      <c r="G892" s="1423"/>
      <c r="H892" s="1423"/>
      <c r="I892" s="1423"/>
      <c r="J892" s="1423"/>
      <c r="K892" s="1423"/>
      <c r="L892" s="1423"/>
      <c r="M892" s="1423"/>
      <c r="N892" s="1423"/>
      <c r="O892" s="1423"/>
      <c r="P892" s="1423"/>
      <c r="Q892" s="1423"/>
      <c r="R892" s="1423"/>
      <c r="S892" s="1423"/>
      <c r="T892" s="1423"/>
      <c r="U892" s="1423"/>
      <c r="V892" s="1423"/>
      <c r="W892" s="1423"/>
      <c r="X892" s="1423"/>
      <c r="Y892" s="1423"/>
      <c r="Z892" s="1423"/>
    </row>
    <row r="893" spans="1:26" ht="18.5">
      <c r="A893" s="1423"/>
      <c r="B893" s="1423"/>
      <c r="C893" s="1423"/>
      <c r="D893" s="1423"/>
      <c r="E893" s="1423"/>
      <c r="F893" s="1423"/>
      <c r="G893" s="1423"/>
      <c r="H893" s="1423"/>
      <c r="I893" s="1423"/>
      <c r="J893" s="1423"/>
      <c r="K893" s="1423"/>
      <c r="L893" s="1423"/>
      <c r="M893" s="1423"/>
      <c r="N893" s="1423"/>
      <c r="O893" s="1423"/>
      <c r="P893" s="1423"/>
      <c r="Q893" s="1423"/>
      <c r="R893" s="1423"/>
      <c r="S893" s="1423"/>
      <c r="T893" s="1423"/>
      <c r="U893" s="1423"/>
      <c r="V893" s="1423"/>
      <c r="W893" s="1423"/>
      <c r="X893" s="1423"/>
      <c r="Y893" s="1423"/>
      <c r="Z893" s="1423"/>
    </row>
    <row r="894" spans="1:26" ht="18.5">
      <c r="A894" s="1423"/>
      <c r="B894" s="1423"/>
      <c r="C894" s="1423"/>
      <c r="D894" s="1423"/>
      <c r="E894" s="1423"/>
      <c r="F894" s="1423"/>
      <c r="G894" s="1423"/>
      <c r="H894" s="1423"/>
      <c r="I894" s="1423"/>
      <c r="J894" s="1423"/>
      <c r="K894" s="1423"/>
      <c r="L894" s="1423"/>
      <c r="M894" s="1423"/>
      <c r="N894" s="1423"/>
      <c r="O894" s="1423"/>
      <c r="P894" s="1423"/>
      <c r="Q894" s="1423"/>
      <c r="R894" s="1423"/>
      <c r="S894" s="1423"/>
      <c r="T894" s="1423"/>
      <c r="U894" s="1423"/>
      <c r="V894" s="1423"/>
      <c r="W894" s="1423"/>
      <c r="X894" s="1423"/>
      <c r="Y894" s="1423"/>
      <c r="Z894" s="1423"/>
    </row>
    <row r="895" spans="1:26" ht="18.5">
      <c r="A895" s="1423"/>
      <c r="B895" s="1423"/>
      <c r="C895" s="1423"/>
      <c r="D895" s="1423"/>
      <c r="E895" s="1423"/>
      <c r="F895" s="1423"/>
      <c r="G895" s="1423"/>
      <c r="H895" s="1423"/>
      <c r="I895" s="1423"/>
      <c r="J895" s="1423"/>
      <c r="K895" s="1423"/>
      <c r="L895" s="1423"/>
      <c r="M895" s="1423"/>
      <c r="N895" s="1423"/>
      <c r="O895" s="1423"/>
      <c r="P895" s="1423"/>
      <c r="Q895" s="1423"/>
      <c r="R895" s="1423"/>
      <c r="S895" s="1423"/>
      <c r="T895" s="1423"/>
      <c r="U895" s="1423"/>
      <c r="V895" s="1423"/>
      <c r="W895" s="1423"/>
      <c r="X895" s="1423"/>
      <c r="Y895" s="1423"/>
      <c r="Z895" s="1423"/>
    </row>
    <row r="896" spans="1:26" ht="18.5">
      <c r="A896" s="1423"/>
      <c r="B896" s="1423"/>
      <c r="C896" s="1423"/>
      <c r="D896" s="1423"/>
      <c r="E896" s="1423"/>
      <c r="F896" s="1423"/>
      <c r="G896" s="1423"/>
      <c r="H896" s="1423"/>
      <c r="I896" s="1423"/>
      <c r="J896" s="1423"/>
      <c r="K896" s="1423"/>
      <c r="L896" s="1423"/>
      <c r="M896" s="1423"/>
      <c r="N896" s="1423"/>
      <c r="O896" s="1423"/>
      <c r="P896" s="1423"/>
      <c r="Q896" s="1423"/>
      <c r="R896" s="1423"/>
      <c r="S896" s="1423"/>
      <c r="T896" s="1423"/>
      <c r="U896" s="1423"/>
      <c r="V896" s="1423"/>
      <c r="W896" s="1423"/>
      <c r="X896" s="1423"/>
      <c r="Y896" s="1423"/>
      <c r="Z896" s="1423"/>
    </row>
    <row r="897" spans="1:26" ht="18.5">
      <c r="A897" s="1423"/>
      <c r="B897" s="1423"/>
      <c r="C897" s="1423"/>
      <c r="D897" s="1423"/>
      <c r="E897" s="1423"/>
      <c r="F897" s="1423"/>
      <c r="G897" s="1423"/>
      <c r="H897" s="1423"/>
      <c r="I897" s="1423"/>
      <c r="J897" s="1423"/>
      <c r="K897" s="1423"/>
      <c r="L897" s="1423"/>
      <c r="M897" s="1423"/>
      <c r="N897" s="1423"/>
      <c r="O897" s="1423"/>
      <c r="P897" s="1423"/>
      <c r="Q897" s="1423"/>
      <c r="R897" s="1423"/>
      <c r="S897" s="1423"/>
      <c r="T897" s="1423"/>
      <c r="U897" s="1423"/>
      <c r="V897" s="1423"/>
      <c r="W897" s="1423"/>
      <c r="X897" s="1423"/>
      <c r="Y897" s="1423"/>
      <c r="Z897" s="1423"/>
    </row>
    <row r="898" spans="1:26" ht="18.5">
      <c r="A898" s="1423"/>
      <c r="B898" s="1423"/>
      <c r="C898" s="1423"/>
      <c r="D898" s="1423"/>
      <c r="E898" s="1423"/>
      <c r="F898" s="1423"/>
      <c r="G898" s="1423"/>
      <c r="H898" s="1423"/>
      <c r="I898" s="1423"/>
      <c r="J898" s="1423"/>
      <c r="K898" s="1423"/>
      <c r="L898" s="1423"/>
      <c r="M898" s="1423"/>
      <c r="N898" s="1423"/>
      <c r="O898" s="1423"/>
      <c r="P898" s="1423"/>
      <c r="Q898" s="1423"/>
      <c r="R898" s="1423"/>
      <c r="S898" s="1423"/>
      <c r="T898" s="1423"/>
      <c r="U898" s="1423"/>
      <c r="V898" s="1423"/>
      <c r="W898" s="1423"/>
      <c r="X898" s="1423"/>
      <c r="Y898" s="1423"/>
      <c r="Z898" s="1423"/>
    </row>
    <row r="899" spans="1:26" ht="18.5">
      <c r="A899" s="1423"/>
      <c r="B899" s="1423"/>
      <c r="C899" s="1423"/>
      <c r="D899" s="1423"/>
      <c r="E899" s="1423"/>
      <c r="F899" s="1423"/>
      <c r="G899" s="1423"/>
      <c r="H899" s="1423"/>
      <c r="I899" s="1423"/>
      <c r="J899" s="1423"/>
      <c r="K899" s="1423"/>
      <c r="L899" s="1423"/>
      <c r="M899" s="1423"/>
      <c r="N899" s="1423"/>
      <c r="O899" s="1423"/>
      <c r="P899" s="1423"/>
      <c r="Q899" s="1423"/>
      <c r="R899" s="1423"/>
      <c r="S899" s="1423"/>
      <c r="T899" s="1423"/>
      <c r="U899" s="1423"/>
      <c r="V899" s="1423"/>
      <c r="W899" s="1423"/>
      <c r="X899" s="1423"/>
      <c r="Y899" s="1423"/>
      <c r="Z899" s="1423"/>
    </row>
    <row r="900" spans="1:26" ht="18.5">
      <c r="A900" s="1423"/>
      <c r="B900" s="1423"/>
      <c r="C900" s="1423"/>
      <c r="D900" s="1423"/>
      <c r="E900" s="1423"/>
      <c r="F900" s="1423"/>
      <c r="G900" s="1423"/>
      <c r="H900" s="1423"/>
      <c r="I900" s="1423"/>
      <c r="J900" s="1423"/>
      <c r="K900" s="1423"/>
      <c r="L900" s="1423"/>
      <c r="M900" s="1423"/>
      <c r="N900" s="1423"/>
      <c r="O900" s="1423"/>
      <c r="P900" s="1423"/>
      <c r="Q900" s="1423"/>
      <c r="R900" s="1423"/>
      <c r="S900" s="1423"/>
      <c r="T900" s="1423"/>
      <c r="U900" s="1423"/>
      <c r="V900" s="1423"/>
      <c r="W900" s="1423"/>
      <c r="X900" s="1423"/>
      <c r="Y900" s="1423"/>
      <c r="Z900" s="1423"/>
    </row>
    <row r="901" spans="1:26" ht="18.5">
      <c r="A901" s="1423"/>
      <c r="B901" s="1423"/>
      <c r="C901" s="1423"/>
      <c r="D901" s="1423"/>
      <c r="E901" s="1423"/>
      <c r="F901" s="1423"/>
      <c r="G901" s="1423"/>
      <c r="H901" s="1423"/>
      <c r="I901" s="1423"/>
      <c r="J901" s="1423"/>
      <c r="K901" s="1423"/>
      <c r="L901" s="1423"/>
      <c r="M901" s="1423"/>
      <c r="N901" s="1423"/>
      <c r="O901" s="1423"/>
      <c r="P901" s="1423"/>
      <c r="Q901" s="1423"/>
      <c r="R901" s="1423"/>
      <c r="S901" s="1423"/>
      <c r="T901" s="1423"/>
      <c r="U901" s="1423"/>
      <c r="V901" s="1423"/>
      <c r="W901" s="1423"/>
      <c r="X901" s="1423"/>
      <c r="Y901" s="1423"/>
      <c r="Z901" s="1423"/>
    </row>
    <row r="902" spans="1:26" ht="18.5">
      <c r="A902" s="1423"/>
      <c r="B902" s="1423"/>
      <c r="C902" s="1423"/>
      <c r="D902" s="1423"/>
      <c r="E902" s="1423"/>
      <c r="F902" s="1423"/>
      <c r="G902" s="1423"/>
      <c r="H902" s="1423"/>
      <c r="I902" s="1423"/>
      <c r="J902" s="1423"/>
      <c r="K902" s="1423"/>
      <c r="L902" s="1423"/>
      <c r="M902" s="1423"/>
      <c r="N902" s="1423"/>
      <c r="O902" s="1423"/>
      <c r="P902" s="1423"/>
      <c r="Q902" s="1423"/>
      <c r="R902" s="1423"/>
      <c r="S902" s="1423"/>
      <c r="T902" s="1423"/>
      <c r="U902" s="1423"/>
      <c r="V902" s="1423"/>
      <c r="W902" s="1423"/>
      <c r="X902" s="1423"/>
      <c r="Y902" s="1423"/>
      <c r="Z902" s="1423"/>
    </row>
    <row r="903" spans="1:26" ht="18.5">
      <c r="A903" s="1423"/>
      <c r="B903" s="1423"/>
      <c r="C903" s="1423"/>
      <c r="D903" s="1423"/>
      <c r="E903" s="1423"/>
      <c r="F903" s="1423"/>
      <c r="G903" s="1423"/>
      <c r="H903" s="1423"/>
      <c r="I903" s="1423"/>
      <c r="J903" s="1423"/>
      <c r="K903" s="1423"/>
      <c r="L903" s="1423"/>
      <c r="M903" s="1423"/>
      <c r="N903" s="1423"/>
      <c r="O903" s="1423"/>
      <c r="P903" s="1423"/>
      <c r="Q903" s="1423"/>
      <c r="R903" s="1423"/>
      <c r="S903" s="1423"/>
      <c r="T903" s="1423"/>
      <c r="U903" s="1423"/>
      <c r="V903" s="1423"/>
      <c r="W903" s="1423"/>
      <c r="X903" s="1423"/>
      <c r="Y903" s="1423"/>
      <c r="Z903" s="1423"/>
    </row>
    <row r="904" spans="1:26" ht="18.5">
      <c r="A904" s="1423"/>
      <c r="B904" s="1423"/>
      <c r="C904" s="1423"/>
      <c r="D904" s="1423"/>
      <c r="E904" s="1423"/>
      <c r="F904" s="1423"/>
      <c r="G904" s="1423"/>
      <c r="H904" s="1423"/>
      <c r="I904" s="1423"/>
      <c r="J904" s="1423"/>
      <c r="K904" s="1423"/>
      <c r="L904" s="1423"/>
      <c r="M904" s="1423"/>
      <c r="N904" s="1423"/>
      <c r="O904" s="1423"/>
      <c r="P904" s="1423"/>
      <c r="Q904" s="1423"/>
      <c r="R904" s="1423"/>
      <c r="S904" s="1423"/>
      <c r="T904" s="1423"/>
      <c r="U904" s="1423"/>
      <c r="V904" s="1423"/>
      <c r="W904" s="1423"/>
      <c r="X904" s="1423"/>
      <c r="Y904" s="1423"/>
      <c r="Z904" s="1423"/>
    </row>
    <row r="905" spans="1:26" ht="18.5">
      <c r="A905" s="1423"/>
      <c r="B905" s="1423"/>
      <c r="C905" s="1423"/>
      <c r="D905" s="1423"/>
      <c r="E905" s="1423"/>
      <c r="F905" s="1423"/>
      <c r="G905" s="1423"/>
      <c r="H905" s="1423"/>
      <c r="I905" s="1423"/>
      <c r="J905" s="1423"/>
      <c r="K905" s="1423"/>
      <c r="L905" s="1423"/>
      <c r="M905" s="1423"/>
      <c r="N905" s="1423"/>
      <c r="O905" s="1423"/>
      <c r="P905" s="1423"/>
      <c r="Q905" s="1423"/>
      <c r="R905" s="1423"/>
      <c r="S905" s="1423"/>
      <c r="T905" s="1423"/>
      <c r="U905" s="1423"/>
      <c r="V905" s="1423"/>
      <c r="W905" s="1423"/>
      <c r="X905" s="1423"/>
      <c r="Y905" s="1423"/>
      <c r="Z905" s="1423"/>
    </row>
    <row r="906" spans="1:26" ht="18.5">
      <c r="A906" s="1423"/>
      <c r="B906" s="1423"/>
      <c r="C906" s="1423"/>
      <c r="D906" s="1423"/>
      <c r="E906" s="1423"/>
      <c r="F906" s="1423"/>
      <c r="G906" s="1423"/>
      <c r="H906" s="1423"/>
      <c r="I906" s="1423"/>
      <c r="J906" s="1423"/>
      <c r="K906" s="1423"/>
      <c r="L906" s="1423"/>
      <c r="M906" s="1423"/>
      <c r="N906" s="1423"/>
      <c r="O906" s="1423"/>
      <c r="P906" s="1423"/>
      <c r="Q906" s="1423"/>
      <c r="R906" s="1423"/>
      <c r="S906" s="1423"/>
      <c r="T906" s="1423"/>
      <c r="U906" s="1423"/>
      <c r="V906" s="1423"/>
      <c r="W906" s="1423"/>
      <c r="X906" s="1423"/>
      <c r="Y906" s="1423"/>
      <c r="Z906" s="1423"/>
    </row>
    <row r="907" spans="1:26" ht="18.5">
      <c r="A907" s="1423"/>
      <c r="B907" s="1423"/>
      <c r="C907" s="1423"/>
      <c r="D907" s="1423"/>
      <c r="E907" s="1423"/>
      <c r="F907" s="1423"/>
      <c r="G907" s="1423"/>
      <c r="H907" s="1423"/>
      <c r="I907" s="1423"/>
      <c r="J907" s="1423"/>
      <c r="K907" s="1423"/>
      <c r="L907" s="1423"/>
      <c r="M907" s="1423"/>
      <c r="N907" s="1423"/>
      <c r="O907" s="1423"/>
      <c r="P907" s="1423"/>
      <c r="Q907" s="1423"/>
      <c r="R907" s="1423"/>
      <c r="S907" s="1423"/>
      <c r="T907" s="1423"/>
      <c r="U907" s="1423"/>
      <c r="V907" s="1423"/>
      <c r="W907" s="1423"/>
      <c r="X907" s="1423"/>
      <c r="Y907" s="1423"/>
      <c r="Z907" s="1423"/>
    </row>
    <row r="908" spans="1:26" ht="18.5">
      <c r="A908" s="1423"/>
      <c r="B908" s="1423"/>
      <c r="C908" s="1423"/>
      <c r="D908" s="1423"/>
      <c r="E908" s="1423"/>
      <c r="F908" s="1423"/>
      <c r="G908" s="1423"/>
      <c r="H908" s="1423"/>
      <c r="I908" s="1423"/>
      <c r="J908" s="1423"/>
      <c r="K908" s="1423"/>
      <c r="L908" s="1423"/>
      <c r="M908" s="1423"/>
      <c r="N908" s="1423"/>
      <c r="O908" s="1423"/>
      <c r="P908" s="1423"/>
      <c r="Q908" s="1423"/>
      <c r="R908" s="1423"/>
      <c r="S908" s="1423"/>
      <c r="T908" s="1423"/>
      <c r="U908" s="1423"/>
      <c r="V908" s="1423"/>
      <c r="W908" s="1423"/>
      <c r="X908" s="1423"/>
      <c r="Y908" s="1423"/>
      <c r="Z908" s="1423"/>
    </row>
    <row r="909" spans="1:26" ht="18.5">
      <c r="A909" s="1423"/>
      <c r="B909" s="1423"/>
      <c r="C909" s="1423"/>
      <c r="D909" s="1423"/>
      <c r="E909" s="1423"/>
      <c r="F909" s="1423"/>
      <c r="G909" s="1423"/>
      <c r="H909" s="1423"/>
      <c r="I909" s="1423"/>
      <c r="J909" s="1423"/>
      <c r="K909" s="1423"/>
      <c r="L909" s="1423"/>
      <c r="M909" s="1423"/>
      <c r="N909" s="1423"/>
      <c r="O909" s="1423"/>
      <c r="P909" s="1423"/>
      <c r="Q909" s="1423"/>
      <c r="R909" s="1423"/>
      <c r="S909" s="1423"/>
      <c r="T909" s="1423"/>
      <c r="U909" s="1423"/>
      <c r="V909" s="1423"/>
      <c r="W909" s="1423"/>
      <c r="X909" s="1423"/>
      <c r="Y909" s="1423"/>
      <c r="Z909" s="1423"/>
    </row>
    <row r="910" spans="1:26" ht="18.5">
      <c r="A910" s="1423"/>
      <c r="B910" s="1423"/>
      <c r="C910" s="1423"/>
      <c r="D910" s="1423"/>
      <c r="E910" s="1423"/>
      <c r="F910" s="1423"/>
      <c r="G910" s="1423"/>
      <c r="H910" s="1423"/>
      <c r="I910" s="1423"/>
      <c r="J910" s="1423"/>
      <c r="K910" s="1423"/>
      <c r="L910" s="1423"/>
      <c r="M910" s="1423"/>
      <c r="N910" s="1423"/>
      <c r="O910" s="1423"/>
      <c r="P910" s="1423"/>
      <c r="Q910" s="1423"/>
      <c r="R910" s="1423"/>
      <c r="S910" s="1423"/>
      <c r="T910" s="1423"/>
      <c r="U910" s="1423"/>
      <c r="V910" s="1423"/>
      <c r="W910" s="1423"/>
      <c r="X910" s="1423"/>
      <c r="Y910" s="1423"/>
      <c r="Z910" s="1423"/>
    </row>
    <row r="911" spans="1:26" ht="18.5">
      <c r="A911" s="1423"/>
      <c r="B911" s="1423"/>
      <c r="C911" s="1423"/>
      <c r="D911" s="1423"/>
      <c r="E911" s="1423"/>
      <c r="F911" s="1423"/>
      <c r="G911" s="1423"/>
      <c r="H911" s="1423"/>
      <c r="I911" s="1423"/>
      <c r="J911" s="1423"/>
      <c r="K911" s="1423"/>
      <c r="L911" s="1423"/>
      <c r="M911" s="1423"/>
      <c r="N911" s="1423"/>
      <c r="O911" s="1423"/>
      <c r="P911" s="1423"/>
      <c r="Q911" s="1423"/>
      <c r="R911" s="1423"/>
      <c r="S911" s="1423"/>
      <c r="T911" s="1423"/>
      <c r="U911" s="1423"/>
      <c r="V911" s="1423"/>
      <c r="W911" s="1423"/>
      <c r="X911" s="1423"/>
      <c r="Y911" s="1423"/>
      <c r="Z911" s="1423"/>
    </row>
    <row r="912" spans="1:26" ht="18.5">
      <c r="A912" s="1423"/>
      <c r="B912" s="1423"/>
      <c r="C912" s="1423"/>
      <c r="D912" s="1423"/>
      <c r="E912" s="1423"/>
      <c r="F912" s="1423"/>
      <c r="G912" s="1423"/>
      <c r="H912" s="1423"/>
      <c r="I912" s="1423"/>
      <c r="J912" s="1423"/>
      <c r="K912" s="1423"/>
      <c r="L912" s="1423"/>
      <c r="M912" s="1423"/>
      <c r="N912" s="1423"/>
      <c r="O912" s="1423"/>
      <c r="P912" s="1423"/>
      <c r="Q912" s="1423"/>
      <c r="R912" s="1423"/>
      <c r="S912" s="1423"/>
      <c r="T912" s="1423"/>
      <c r="U912" s="1423"/>
      <c r="V912" s="1423"/>
      <c r="W912" s="1423"/>
      <c r="X912" s="1423"/>
      <c r="Y912" s="1423"/>
      <c r="Z912" s="1423"/>
    </row>
    <row r="913" spans="1:26" ht="18.5">
      <c r="A913" s="1423"/>
      <c r="B913" s="1423"/>
      <c r="C913" s="1423"/>
      <c r="D913" s="1423"/>
      <c r="E913" s="1423"/>
      <c r="F913" s="1423"/>
      <c r="G913" s="1423"/>
      <c r="H913" s="1423"/>
      <c r="I913" s="1423"/>
      <c r="J913" s="1423"/>
      <c r="K913" s="1423"/>
      <c r="L913" s="1423"/>
      <c r="M913" s="1423"/>
      <c r="N913" s="1423"/>
      <c r="O913" s="1423"/>
      <c r="P913" s="1423"/>
      <c r="Q913" s="1423"/>
      <c r="R913" s="1423"/>
      <c r="S913" s="1423"/>
      <c r="T913" s="1423"/>
      <c r="U913" s="1423"/>
      <c r="V913" s="1423"/>
      <c r="W913" s="1423"/>
      <c r="X913" s="1423"/>
      <c r="Y913" s="1423"/>
      <c r="Z913" s="1423"/>
    </row>
    <row r="914" spans="1:26" ht="18.5">
      <c r="A914" s="1423"/>
      <c r="B914" s="1423"/>
      <c r="C914" s="1423"/>
      <c r="D914" s="1423"/>
      <c r="E914" s="1423"/>
      <c r="F914" s="1423"/>
      <c r="G914" s="1423"/>
      <c r="H914" s="1423"/>
      <c r="I914" s="1423"/>
      <c r="J914" s="1423"/>
      <c r="K914" s="1423"/>
      <c r="L914" s="1423"/>
      <c r="M914" s="1423"/>
      <c r="N914" s="1423"/>
      <c r="O914" s="1423"/>
      <c r="P914" s="1423"/>
      <c r="Q914" s="1423"/>
      <c r="R914" s="1423"/>
      <c r="S914" s="1423"/>
      <c r="T914" s="1423"/>
      <c r="U914" s="1423"/>
      <c r="V914" s="1423"/>
      <c r="W914" s="1423"/>
      <c r="X914" s="1423"/>
      <c r="Y914" s="1423"/>
      <c r="Z914" s="1423"/>
    </row>
    <row r="915" spans="1:26" ht="18.5">
      <c r="A915" s="1423"/>
      <c r="B915" s="1423"/>
      <c r="C915" s="1423"/>
      <c r="D915" s="1423"/>
      <c r="E915" s="1423"/>
      <c r="F915" s="1423"/>
      <c r="G915" s="1423"/>
      <c r="H915" s="1423"/>
      <c r="I915" s="1423"/>
      <c r="J915" s="1423"/>
      <c r="K915" s="1423"/>
      <c r="L915" s="1423"/>
      <c r="M915" s="1423"/>
      <c r="N915" s="1423"/>
      <c r="O915" s="1423"/>
      <c r="P915" s="1423"/>
      <c r="Q915" s="1423"/>
      <c r="R915" s="1423"/>
      <c r="S915" s="1423"/>
      <c r="T915" s="1423"/>
      <c r="U915" s="1423"/>
      <c r="V915" s="1423"/>
      <c r="W915" s="1423"/>
      <c r="X915" s="1423"/>
      <c r="Y915" s="1423"/>
      <c r="Z915" s="1423"/>
    </row>
    <row r="916" spans="1:26" ht="18.5">
      <c r="A916" s="1423"/>
      <c r="B916" s="1423"/>
      <c r="C916" s="1423"/>
      <c r="D916" s="1423"/>
      <c r="E916" s="1423"/>
      <c r="F916" s="1423"/>
      <c r="G916" s="1423"/>
      <c r="H916" s="1423"/>
      <c r="I916" s="1423"/>
      <c r="J916" s="1423"/>
      <c r="K916" s="1423"/>
      <c r="L916" s="1423"/>
      <c r="M916" s="1423"/>
      <c r="N916" s="1423"/>
      <c r="O916" s="1423"/>
      <c r="P916" s="1423"/>
      <c r="Q916" s="1423"/>
      <c r="R916" s="1423"/>
      <c r="S916" s="1423"/>
      <c r="T916" s="1423"/>
      <c r="U916" s="1423"/>
      <c r="V916" s="1423"/>
      <c r="W916" s="1423"/>
      <c r="X916" s="1423"/>
      <c r="Y916" s="1423"/>
      <c r="Z916" s="1423"/>
    </row>
    <row r="917" spans="1:26" ht="18.5">
      <c r="A917" s="1423"/>
      <c r="B917" s="1423"/>
      <c r="C917" s="1423"/>
      <c r="D917" s="1423"/>
      <c r="E917" s="1423"/>
      <c r="F917" s="1423"/>
      <c r="G917" s="1423"/>
      <c r="H917" s="1423"/>
      <c r="I917" s="1423"/>
      <c r="J917" s="1423"/>
      <c r="K917" s="1423"/>
      <c r="L917" s="1423"/>
      <c r="M917" s="1423"/>
      <c r="N917" s="1423"/>
      <c r="O917" s="1423"/>
      <c r="P917" s="1423"/>
      <c r="Q917" s="1423"/>
      <c r="R917" s="1423"/>
      <c r="S917" s="1423"/>
      <c r="T917" s="1423"/>
      <c r="U917" s="1423"/>
      <c r="V917" s="1423"/>
      <c r="W917" s="1423"/>
      <c r="X917" s="1423"/>
      <c r="Y917" s="1423"/>
      <c r="Z917" s="1423"/>
    </row>
    <row r="918" spans="1:26" ht="18.5">
      <c r="A918" s="1423"/>
      <c r="B918" s="1423"/>
      <c r="C918" s="1423"/>
      <c r="D918" s="1423"/>
      <c r="E918" s="1423"/>
      <c r="F918" s="1423"/>
      <c r="G918" s="1423"/>
      <c r="H918" s="1423"/>
      <c r="I918" s="1423"/>
      <c r="J918" s="1423"/>
      <c r="K918" s="1423"/>
      <c r="L918" s="1423"/>
      <c r="M918" s="1423"/>
      <c r="N918" s="1423"/>
      <c r="O918" s="1423"/>
      <c r="P918" s="1423"/>
      <c r="Q918" s="1423"/>
      <c r="R918" s="1423"/>
      <c r="S918" s="1423"/>
      <c r="T918" s="1423"/>
      <c r="U918" s="1423"/>
      <c r="V918" s="1423"/>
      <c r="W918" s="1423"/>
      <c r="X918" s="1423"/>
      <c r="Y918" s="1423"/>
      <c r="Z918" s="1423"/>
    </row>
    <row r="919" spans="1:26" ht="18.5">
      <c r="A919" s="1423"/>
      <c r="B919" s="1423"/>
      <c r="C919" s="1423"/>
      <c r="D919" s="1423"/>
      <c r="E919" s="1423"/>
      <c r="F919" s="1423"/>
      <c r="G919" s="1423"/>
      <c r="H919" s="1423"/>
      <c r="I919" s="1423"/>
      <c r="J919" s="1423"/>
      <c r="K919" s="1423"/>
      <c r="L919" s="1423"/>
      <c r="M919" s="1423"/>
      <c r="N919" s="1423"/>
      <c r="O919" s="1423"/>
      <c r="P919" s="1423"/>
      <c r="Q919" s="1423"/>
      <c r="R919" s="1423"/>
      <c r="S919" s="1423"/>
      <c r="T919" s="1423"/>
      <c r="U919" s="1423"/>
      <c r="V919" s="1423"/>
      <c r="W919" s="1423"/>
      <c r="X919" s="1423"/>
      <c r="Y919" s="1423"/>
      <c r="Z919" s="1423"/>
    </row>
    <row r="920" spans="1:26" ht="18.5">
      <c r="A920" s="1423"/>
      <c r="B920" s="1423"/>
      <c r="C920" s="1423"/>
      <c r="D920" s="1423"/>
      <c r="E920" s="1423"/>
      <c r="F920" s="1423"/>
      <c r="G920" s="1423"/>
      <c r="H920" s="1423"/>
      <c r="I920" s="1423"/>
      <c r="J920" s="1423"/>
      <c r="K920" s="1423"/>
      <c r="L920" s="1423"/>
      <c r="M920" s="1423"/>
      <c r="N920" s="1423"/>
      <c r="O920" s="1423"/>
      <c r="P920" s="1423"/>
      <c r="Q920" s="1423"/>
      <c r="R920" s="1423"/>
      <c r="S920" s="1423"/>
      <c r="T920" s="1423"/>
      <c r="U920" s="1423"/>
      <c r="V920" s="1423"/>
      <c r="W920" s="1423"/>
      <c r="X920" s="1423"/>
      <c r="Y920" s="1423"/>
      <c r="Z920" s="1423"/>
    </row>
    <row r="921" spans="1:26" ht="18.5">
      <c r="A921" s="1423"/>
      <c r="B921" s="1423"/>
      <c r="C921" s="1423"/>
      <c r="D921" s="1423"/>
      <c r="E921" s="1423"/>
      <c r="F921" s="1423"/>
      <c r="G921" s="1423"/>
      <c r="H921" s="1423"/>
      <c r="I921" s="1423"/>
      <c r="J921" s="1423"/>
      <c r="K921" s="1423"/>
      <c r="L921" s="1423"/>
      <c r="M921" s="1423"/>
      <c r="N921" s="1423"/>
      <c r="O921" s="1423"/>
      <c r="P921" s="1423"/>
      <c r="Q921" s="1423"/>
      <c r="R921" s="1423"/>
      <c r="S921" s="1423"/>
      <c r="T921" s="1423"/>
      <c r="U921" s="1423"/>
      <c r="V921" s="1423"/>
      <c r="W921" s="1423"/>
      <c r="X921" s="1423"/>
      <c r="Y921" s="1423"/>
      <c r="Z921" s="1423"/>
    </row>
    <row r="922" spans="1:26" ht="18.5">
      <c r="A922" s="1423"/>
      <c r="B922" s="1423"/>
      <c r="C922" s="1423"/>
      <c r="D922" s="1423"/>
      <c r="E922" s="1423"/>
      <c r="F922" s="1423"/>
      <c r="G922" s="1423"/>
      <c r="H922" s="1423"/>
      <c r="I922" s="1423"/>
      <c r="J922" s="1423"/>
      <c r="K922" s="1423"/>
      <c r="L922" s="1423"/>
      <c r="M922" s="1423"/>
      <c r="N922" s="1423"/>
      <c r="O922" s="1423"/>
      <c r="P922" s="1423"/>
      <c r="Q922" s="1423"/>
      <c r="R922" s="1423"/>
      <c r="S922" s="1423"/>
      <c r="T922" s="1423"/>
      <c r="U922" s="1423"/>
      <c r="V922" s="1423"/>
      <c r="W922" s="1423"/>
      <c r="X922" s="1423"/>
      <c r="Y922" s="1423"/>
      <c r="Z922" s="1423"/>
    </row>
    <row r="923" spans="1:26" ht="18.5">
      <c r="A923" s="1423"/>
      <c r="B923" s="1423"/>
      <c r="C923" s="1423"/>
      <c r="D923" s="1423"/>
      <c r="E923" s="1423"/>
      <c r="F923" s="1423"/>
      <c r="G923" s="1423"/>
      <c r="H923" s="1423"/>
      <c r="I923" s="1423"/>
      <c r="J923" s="1423"/>
      <c r="K923" s="1423"/>
      <c r="L923" s="1423"/>
      <c r="M923" s="1423"/>
      <c r="N923" s="1423"/>
      <c r="O923" s="1423"/>
      <c r="P923" s="1423"/>
      <c r="Q923" s="1423"/>
      <c r="R923" s="1423"/>
      <c r="S923" s="1423"/>
      <c r="T923" s="1423"/>
      <c r="U923" s="1423"/>
      <c r="V923" s="1423"/>
      <c r="W923" s="1423"/>
      <c r="X923" s="1423"/>
      <c r="Y923" s="1423"/>
      <c r="Z923" s="1423"/>
    </row>
    <row r="924" spans="1:26" ht="18.5">
      <c r="A924" s="1423"/>
      <c r="B924" s="1423"/>
      <c r="C924" s="1423"/>
      <c r="D924" s="1423"/>
      <c r="E924" s="1423"/>
      <c r="F924" s="1423"/>
      <c r="G924" s="1423"/>
      <c r="H924" s="1423"/>
      <c r="I924" s="1423"/>
      <c r="J924" s="1423"/>
      <c r="K924" s="1423"/>
      <c r="L924" s="1423"/>
      <c r="M924" s="1423"/>
      <c r="N924" s="1423"/>
      <c r="O924" s="1423"/>
      <c r="P924" s="1423"/>
      <c r="Q924" s="1423"/>
      <c r="R924" s="1423"/>
      <c r="S924" s="1423"/>
      <c r="T924" s="1423"/>
      <c r="U924" s="1423"/>
      <c r="V924" s="1423"/>
      <c r="W924" s="1423"/>
      <c r="X924" s="1423"/>
      <c r="Y924" s="1423"/>
      <c r="Z924" s="1423"/>
    </row>
    <row r="925" spans="1:26" ht="18.5">
      <c r="A925" s="1423"/>
      <c r="B925" s="1423"/>
      <c r="C925" s="1423"/>
      <c r="D925" s="1423"/>
      <c r="E925" s="1423"/>
      <c r="F925" s="1423"/>
      <c r="G925" s="1423"/>
      <c r="H925" s="1423"/>
      <c r="I925" s="1423"/>
      <c r="J925" s="1423"/>
      <c r="K925" s="1423"/>
      <c r="L925" s="1423"/>
      <c r="M925" s="1423"/>
      <c r="N925" s="1423"/>
      <c r="O925" s="1423"/>
      <c r="P925" s="1423"/>
      <c r="Q925" s="1423"/>
      <c r="R925" s="1423"/>
      <c r="S925" s="1423"/>
      <c r="T925" s="1423"/>
      <c r="U925" s="1423"/>
      <c r="V925" s="1423"/>
      <c r="W925" s="1423"/>
      <c r="X925" s="1423"/>
      <c r="Y925" s="1423"/>
      <c r="Z925" s="1423"/>
    </row>
    <row r="926" spans="1:26" ht="18.5">
      <c r="A926" s="1423"/>
      <c r="B926" s="1423"/>
      <c r="C926" s="1423"/>
      <c r="D926" s="1423"/>
      <c r="E926" s="1423"/>
      <c r="F926" s="1423"/>
      <c r="G926" s="1423"/>
      <c r="H926" s="1423"/>
      <c r="I926" s="1423"/>
      <c r="J926" s="1423"/>
      <c r="K926" s="1423"/>
      <c r="L926" s="1423"/>
      <c r="M926" s="1423"/>
      <c r="N926" s="1423"/>
      <c r="O926" s="1423"/>
      <c r="P926" s="1423"/>
      <c r="Q926" s="1423"/>
      <c r="R926" s="1423"/>
      <c r="S926" s="1423"/>
      <c r="T926" s="1423"/>
      <c r="U926" s="1423"/>
      <c r="V926" s="1423"/>
      <c r="W926" s="1423"/>
      <c r="X926" s="1423"/>
      <c r="Y926" s="1423"/>
      <c r="Z926" s="1423"/>
    </row>
    <row r="927" spans="1:26" ht="18.5">
      <c r="A927" s="1423"/>
      <c r="B927" s="1423"/>
      <c r="C927" s="1423"/>
      <c r="D927" s="1423"/>
      <c r="E927" s="1423"/>
      <c r="F927" s="1423"/>
      <c r="G927" s="1423"/>
      <c r="H927" s="1423"/>
      <c r="I927" s="1423"/>
      <c r="J927" s="1423"/>
      <c r="K927" s="1423"/>
      <c r="L927" s="1423"/>
      <c r="M927" s="1423"/>
      <c r="N927" s="1423"/>
      <c r="O927" s="1423"/>
      <c r="P927" s="1423"/>
      <c r="Q927" s="1423"/>
      <c r="R927" s="1423"/>
      <c r="S927" s="1423"/>
      <c r="T927" s="1423"/>
      <c r="U927" s="1423"/>
      <c r="V927" s="1423"/>
      <c r="W927" s="1423"/>
      <c r="X927" s="1423"/>
      <c r="Y927" s="1423"/>
      <c r="Z927" s="1423"/>
    </row>
    <row r="928" spans="1:26" ht="18.5">
      <c r="A928" s="1423"/>
      <c r="B928" s="1423"/>
      <c r="C928" s="1423"/>
      <c r="D928" s="1423"/>
      <c r="E928" s="1423"/>
      <c r="F928" s="1423"/>
      <c r="G928" s="1423"/>
      <c r="H928" s="1423"/>
      <c r="I928" s="1423"/>
      <c r="J928" s="1423"/>
      <c r="K928" s="1423"/>
      <c r="L928" s="1423"/>
      <c r="M928" s="1423"/>
      <c r="N928" s="1423"/>
      <c r="O928" s="1423"/>
      <c r="P928" s="1423"/>
      <c r="Q928" s="1423"/>
      <c r="R928" s="1423"/>
      <c r="S928" s="1423"/>
      <c r="T928" s="1423"/>
      <c r="U928" s="1423"/>
      <c r="V928" s="1423"/>
      <c r="W928" s="1423"/>
      <c r="X928" s="1423"/>
      <c r="Y928" s="1423"/>
      <c r="Z928" s="1423"/>
    </row>
    <row r="929" spans="1:26" ht="18.5">
      <c r="A929" s="1423"/>
      <c r="B929" s="1423"/>
      <c r="C929" s="1423"/>
      <c r="D929" s="1423"/>
      <c r="E929" s="1423"/>
      <c r="F929" s="1423"/>
      <c r="G929" s="1423"/>
      <c r="H929" s="1423"/>
      <c r="I929" s="1423"/>
      <c r="J929" s="1423"/>
      <c r="K929" s="1423"/>
      <c r="L929" s="1423"/>
      <c r="M929" s="1423"/>
      <c r="N929" s="1423"/>
      <c r="O929" s="1423"/>
      <c r="P929" s="1423"/>
      <c r="Q929" s="1423"/>
      <c r="R929" s="1423"/>
      <c r="S929" s="1423"/>
      <c r="T929" s="1423"/>
      <c r="U929" s="1423"/>
      <c r="V929" s="1423"/>
      <c r="W929" s="1423"/>
      <c r="X929" s="1423"/>
      <c r="Y929" s="1423"/>
      <c r="Z929" s="1423"/>
    </row>
    <row r="930" spans="1:26" ht="18.5">
      <c r="A930" s="1423"/>
      <c r="B930" s="1423"/>
      <c r="C930" s="1423"/>
      <c r="D930" s="1423"/>
      <c r="E930" s="1423"/>
      <c r="F930" s="1423"/>
      <c r="G930" s="1423"/>
      <c r="H930" s="1423"/>
      <c r="I930" s="1423"/>
      <c r="J930" s="1423"/>
      <c r="K930" s="1423"/>
      <c r="L930" s="1423"/>
      <c r="M930" s="1423"/>
      <c r="N930" s="1423"/>
      <c r="O930" s="1423"/>
      <c r="P930" s="1423"/>
      <c r="Q930" s="1423"/>
      <c r="R930" s="1423"/>
      <c r="S930" s="1423"/>
      <c r="T930" s="1423"/>
      <c r="U930" s="1423"/>
      <c r="V930" s="1423"/>
      <c r="W930" s="1423"/>
      <c r="X930" s="1423"/>
      <c r="Y930" s="1423"/>
      <c r="Z930" s="1423"/>
    </row>
    <row r="931" spans="1:26" ht="18.5">
      <c r="A931" s="1423"/>
      <c r="B931" s="1423"/>
      <c r="C931" s="1423"/>
      <c r="D931" s="1423"/>
      <c r="E931" s="1423"/>
      <c r="F931" s="1423"/>
      <c r="G931" s="1423"/>
      <c r="H931" s="1423"/>
      <c r="I931" s="1423"/>
      <c r="J931" s="1423"/>
      <c r="K931" s="1423"/>
      <c r="L931" s="1423"/>
      <c r="M931" s="1423"/>
      <c r="N931" s="1423"/>
      <c r="O931" s="1423"/>
      <c r="P931" s="1423"/>
      <c r="Q931" s="1423"/>
      <c r="R931" s="1423"/>
      <c r="S931" s="1423"/>
      <c r="T931" s="1423"/>
      <c r="U931" s="1423"/>
      <c r="V931" s="1423"/>
      <c r="W931" s="1423"/>
      <c r="X931" s="1423"/>
      <c r="Y931" s="1423"/>
      <c r="Z931" s="1423"/>
    </row>
    <row r="932" spans="1:26" ht="18.5">
      <c r="A932" s="1423"/>
      <c r="B932" s="1423"/>
      <c r="C932" s="1423"/>
      <c r="D932" s="1423"/>
      <c r="E932" s="1423"/>
      <c r="F932" s="1423"/>
      <c r="G932" s="1423"/>
      <c r="H932" s="1423"/>
      <c r="I932" s="1423"/>
      <c r="J932" s="1423"/>
      <c r="K932" s="1423"/>
      <c r="L932" s="1423"/>
      <c r="M932" s="1423"/>
      <c r="N932" s="1423"/>
      <c r="O932" s="1423"/>
      <c r="P932" s="1423"/>
      <c r="Q932" s="1423"/>
      <c r="R932" s="1423"/>
      <c r="S932" s="1423"/>
      <c r="T932" s="1423"/>
      <c r="U932" s="1423"/>
      <c r="V932" s="1423"/>
      <c r="W932" s="1423"/>
      <c r="X932" s="1423"/>
      <c r="Y932" s="1423"/>
      <c r="Z932" s="1423"/>
    </row>
    <row r="933" spans="1:26" ht="18.5">
      <c r="A933" s="1423"/>
      <c r="B933" s="1423"/>
      <c r="C933" s="1423"/>
      <c r="D933" s="1423"/>
      <c r="E933" s="1423"/>
      <c r="F933" s="1423"/>
      <c r="G933" s="1423"/>
      <c r="H933" s="1423"/>
      <c r="I933" s="1423"/>
      <c r="J933" s="1423"/>
      <c r="K933" s="1423"/>
      <c r="L933" s="1423"/>
      <c r="M933" s="1423"/>
      <c r="N933" s="1423"/>
      <c r="O933" s="1423"/>
      <c r="P933" s="1423"/>
      <c r="Q933" s="1423"/>
      <c r="R933" s="1423"/>
      <c r="S933" s="1423"/>
      <c r="T933" s="1423"/>
      <c r="U933" s="1423"/>
      <c r="V933" s="1423"/>
      <c r="W933" s="1423"/>
      <c r="X933" s="1423"/>
      <c r="Y933" s="1423"/>
      <c r="Z933" s="1423"/>
    </row>
    <row r="934" spans="1:26" ht="18.5">
      <c r="A934" s="1423"/>
      <c r="B934" s="1423"/>
      <c r="C934" s="1423"/>
      <c r="D934" s="1423"/>
      <c r="E934" s="1423"/>
      <c r="F934" s="1423"/>
      <c r="G934" s="1423"/>
      <c r="H934" s="1423"/>
      <c r="I934" s="1423"/>
      <c r="J934" s="1423"/>
      <c r="K934" s="1423"/>
      <c r="L934" s="1423"/>
      <c r="M934" s="1423"/>
      <c r="N934" s="1423"/>
      <c r="O934" s="1423"/>
      <c r="P934" s="1423"/>
      <c r="Q934" s="1423"/>
      <c r="R934" s="1423"/>
      <c r="S934" s="1423"/>
      <c r="T934" s="1423"/>
      <c r="U934" s="1423"/>
      <c r="V934" s="1423"/>
      <c r="W934" s="1423"/>
      <c r="X934" s="1423"/>
      <c r="Y934" s="1423"/>
      <c r="Z934" s="1423"/>
    </row>
    <row r="935" spans="1:26" ht="18.5">
      <c r="A935" s="1423"/>
      <c r="B935" s="1423"/>
      <c r="C935" s="1423"/>
      <c r="D935" s="1423"/>
      <c r="E935" s="1423"/>
      <c r="F935" s="1423"/>
      <c r="G935" s="1423"/>
      <c r="H935" s="1423"/>
      <c r="I935" s="1423"/>
      <c r="J935" s="1423"/>
      <c r="K935" s="1423"/>
      <c r="L935" s="1423"/>
      <c r="M935" s="1423"/>
      <c r="N935" s="1423"/>
      <c r="O935" s="1423"/>
      <c r="P935" s="1423"/>
      <c r="Q935" s="1423"/>
      <c r="R935" s="1423"/>
      <c r="S935" s="1423"/>
      <c r="T935" s="1423"/>
      <c r="U935" s="1423"/>
      <c r="V935" s="1423"/>
      <c r="W935" s="1423"/>
      <c r="X935" s="1423"/>
      <c r="Y935" s="1423"/>
      <c r="Z935" s="1423"/>
    </row>
    <row r="936" spans="1:26" ht="18.5">
      <c r="A936" s="1423"/>
      <c r="B936" s="1423"/>
      <c r="C936" s="1423"/>
      <c r="D936" s="1423"/>
      <c r="E936" s="1423"/>
      <c r="F936" s="1423"/>
      <c r="G936" s="1423"/>
      <c r="H936" s="1423"/>
      <c r="I936" s="1423"/>
      <c r="J936" s="1423"/>
      <c r="K936" s="1423"/>
      <c r="L936" s="1423"/>
      <c r="M936" s="1423"/>
      <c r="N936" s="1423"/>
      <c r="O936" s="1423"/>
      <c r="P936" s="1423"/>
      <c r="Q936" s="1423"/>
      <c r="R936" s="1423"/>
      <c r="S936" s="1423"/>
      <c r="T936" s="1423"/>
      <c r="U936" s="1423"/>
      <c r="V936" s="1423"/>
      <c r="W936" s="1423"/>
      <c r="X936" s="1423"/>
      <c r="Y936" s="1423"/>
      <c r="Z936" s="1423"/>
    </row>
    <row r="937" spans="1:26" ht="18.5">
      <c r="A937" s="1423"/>
      <c r="B937" s="1423"/>
      <c r="C937" s="1423"/>
      <c r="D937" s="1423"/>
      <c r="E937" s="1423"/>
      <c r="F937" s="1423"/>
      <c r="G937" s="1423"/>
      <c r="H937" s="1423"/>
      <c r="I937" s="1423"/>
      <c r="J937" s="1423"/>
      <c r="K937" s="1423"/>
      <c r="L937" s="1423"/>
      <c r="M937" s="1423"/>
      <c r="N937" s="1423"/>
      <c r="O937" s="1423"/>
      <c r="P937" s="1423"/>
      <c r="Q937" s="1423"/>
      <c r="R937" s="1423"/>
      <c r="S937" s="1423"/>
      <c r="T937" s="1423"/>
      <c r="U937" s="1423"/>
      <c r="V937" s="1423"/>
      <c r="W937" s="1423"/>
      <c r="X937" s="1423"/>
      <c r="Y937" s="1423"/>
      <c r="Z937" s="1423"/>
    </row>
    <row r="938" spans="1:26" ht="18.5">
      <c r="A938" s="1423"/>
      <c r="B938" s="1423"/>
      <c r="C938" s="1423"/>
      <c r="D938" s="1423"/>
      <c r="E938" s="1423"/>
      <c r="F938" s="1423"/>
      <c r="G938" s="1423"/>
      <c r="H938" s="1423"/>
      <c r="I938" s="1423"/>
      <c r="J938" s="1423"/>
      <c r="K938" s="1423"/>
      <c r="L938" s="1423"/>
      <c r="M938" s="1423"/>
      <c r="N938" s="1423"/>
      <c r="O938" s="1423"/>
      <c r="P938" s="1423"/>
      <c r="Q938" s="1423"/>
      <c r="R938" s="1423"/>
      <c r="S938" s="1423"/>
      <c r="T938" s="1423"/>
      <c r="U938" s="1423"/>
      <c r="V938" s="1423"/>
      <c r="W938" s="1423"/>
      <c r="X938" s="1423"/>
      <c r="Y938" s="1423"/>
      <c r="Z938" s="1423"/>
    </row>
    <row r="939" spans="1:26" ht="18.5">
      <c r="A939" s="1423"/>
      <c r="B939" s="1423"/>
      <c r="C939" s="1423"/>
      <c r="D939" s="1423"/>
      <c r="E939" s="1423"/>
      <c r="F939" s="1423"/>
      <c r="G939" s="1423"/>
      <c r="H939" s="1423"/>
      <c r="I939" s="1423"/>
      <c r="J939" s="1423"/>
      <c r="K939" s="1423"/>
      <c r="L939" s="1423"/>
      <c r="M939" s="1423"/>
      <c r="N939" s="1423"/>
      <c r="O939" s="1423"/>
      <c r="P939" s="1423"/>
      <c r="Q939" s="1423"/>
      <c r="R939" s="1423"/>
      <c r="S939" s="1423"/>
      <c r="T939" s="1423"/>
      <c r="U939" s="1423"/>
      <c r="V939" s="1423"/>
      <c r="W939" s="1423"/>
      <c r="X939" s="1423"/>
      <c r="Y939" s="1423"/>
      <c r="Z939" s="1423"/>
    </row>
    <row r="940" spans="1:26" ht="18.5">
      <c r="A940" s="1423"/>
      <c r="B940" s="1423"/>
      <c r="C940" s="1423"/>
      <c r="D940" s="1423"/>
      <c r="E940" s="1423"/>
      <c r="F940" s="1423"/>
      <c r="G940" s="1423"/>
      <c r="H940" s="1423"/>
      <c r="I940" s="1423"/>
      <c r="J940" s="1423"/>
      <c r="K940" s="1423"/>
      <c r="L940" s="1423"/>
      <c r="M940" s="1423"/>
      <c r="N940" s="1423"/>
      <c r="O940" s="1423"/>
      <c r="P940" s="1423"/>
      <c r="Q940" s="1423"/>
      <c r="R940" s="1423"/>
      <c r="S940" s="1423"/>
      <c r="T940" s="1423"/>
      <c r="U940" s="1423"/>
      <c r="V940" s="1423"/>
      <c r="W940" s="1423"/>
      <c r="X940" s="1423"/>
      <c r="Y940" s="1423"/>
      <c r="Z940" s="1423"/>
    </row>
    <row r="941" spans="1:26" ht="18.5">
      <c r="A941" s="1423"/>
      <c r="B941" s="1423"/>
      <c r="C941" s="1423"/>
      <c r="D941" s="1423"/>
      <c r="E941" s="1423"/>
      <c r="F941" s="1423"/>
      <c r="G941" s="1423"/>
      <c r="H941" s="1423"/>
      <c r="I941" s="1423"/>
      <c r="J941" s="1423"/>
      <c r="K941" s="1423"/>
      <c r="L941" s="1423"/>
      <c r="M941" s="1423"/>
      <c r="N941" s="1423"/>
      <c r="O941" s="1423"/>
      <c r="P941" s="1423"/>
      <c r="Q941" s="1423"/>
      <c r="R941" s="1423"/>
      <c r="S941" s="1423"/>
      <c r="T941" s="1423"/>
      <c r="U941" s="1423"/>
      <c r="V941" s="1423"/>
      <c r="W941" s="1423"/>
      <c r="X941" s="1423"/>
      <c r="Y941" s="1423"/>
      <c r="Z941" s="1423"/>
    </row>
    <row r="942" spans="1:26" ht="18.5">
      <c r="A942" s="1423"/>
      <c r="B942" s="1423"/>
      <c r="C942" s="1423"/>
      <c r="D942" s="1423"/>
      <c r="E942" s="1423"/>
      <c r="F942" s="1423"/>
      <c r="G942" s="1423"/>
      <c r="H942" s="1423"/>
      <c r="I942" s="1423"/>
      <c r="J942" s="1423"/>
      <c r="K942" s="1423"/>
      <c r="L942" s="1423"/>
      <c r="M942" s="1423"/>
      <c r="N942" s="1423"/>
      <c r="O942" s="1423"/>
      <c r="P942" s="1423"/>
      <c r="Q942" s="1423"/>
      <c r="R942" s="1423"/>
      <c r="S942" s="1423"/>
      <c r="T942" s="1423"/>
      <c r="U942" s="1423"/>
      <c r="V942" s="1423"/>
      <c r="W942" s="1423"/>
      <c r="X942" s="1423"/>
      <c r="Y942" s="1423"/>
      <c r="Z942" s="1423"/>
    </row>
    <row r="943" spans="1:26" ht="18.5">
      <c r="A943" s="1423"/>
      <c r="B943" s="1423"/>
      <c r="C943" s="1423"/>
      <c r="D943" s="1423"/>
      <c r="E943" s="1423"/>
      <c r="F943" s="1423"/>
      <c r="G943" s="1423"/>
      <c r="H943" s="1423"/>
      <c r="I943" s="1423"/>
      <c r="J943" s="1423"/>
      <c r="K943" s="1423"/>
      <c r="L943" s="1423"/>
      <c r="M943" s="1423"/>
      <c r="N943" s="1423"/>
      <c r="O943" s="1423"/>
      <c r="P943" s="1423"/>
      <c r="Q943" s="1423"/>
      <c r="R943" s="1423"/>
      <c r="S943" s="1423"/>
      <c r="T943" s="1423"/>
      <c r="U943" s="1423"/>
      <c r="V943" s="1423"/>
      <c r="W943" s="1423"/>
      <c r="X943" s="1423"/>
      <c r="Y943" s="1423"/>
      <c r="Z943" s="1423"/>
    </row>
    <row r="944" spans="1:26" ht="18.5">
      <c r="A944" s="1423"/>
      <c r="B944" s="1423"/>
      <c r="C944" s="1423"/>
      <c r="D944" s="1423"/>
      <c r="E944" s="1423"/>
      <c r="F944" s="1423"/>
      <c r="G944" s="1423"/>
      <c r="H944" s="1423"/>
      <c r="I944" s="1423"/>
      <c r="J944" s="1423"/>
      <c r="K944" s="1423"/>
      <c r="L944" s="1423"/>
      <c r="M944" s="1423"/>
      <c r="N944" s="1423"/>
      <c r="O944" s="1423"/>
      <c r="P944" s="1423"/>
      <c r="Q944" s="1423"/>
      <c r="R944" s="1423"/>
      <c r="S944" s="1423"/>
      <c r="T944" s="1423"/>
      <c r="U944" s="1423"/>
      <c r="V944" s="1423"/>
      <c r="W944" s="1423"/>
      <c r="X944" s="1423"/>
      <c r="Y944" s="1423"/>
      <c r="Z944" s="1423"/>
    </row>
    <row r="945" spans="1:26" ht="18.5">
      <c r="A945" s="1423"/>
      <c r="B945" s="1423"/>
      <c r="C945" s="1423"/>
      <c r="D945" s="1423"/>
      <c r="E945" s="1423"/>
      <c r="F945" s="1423"/>
      <c r="G945" s="1423"/>
      <c r="H945" s="1423"/>
      <c r="I945" s="1423"/>
      <c r="J945" s="1423"/>
      <c r="K945" s="1423"/>
      <c r="L945" s="1423"/>
      <c r="M945" s="1423"/>
      <c r="N945" s="1423"/>
      <c r="O945" s="1423"/>
      <c r="P945" s="1423"/>
      <c r="Q945" s="1423"/>
      <c r="R945" s="1423"/>
      <c r="S945" s="1423"/>
      <c r="T945" s="1423"/>
      <c r="U945" s="1423"/>
      <c r="V945" s="1423"/>
      <c r="W945" s="1423"/>
      <c r="X945" s="1423"/>
      <c r="Y945" s="1423"/>
      <c r="Z945" s="1423"/>
    </row>
    <row r="946" spans="1:26" ht="18.5">
      <c r="A946" s="1423"/>
      <c r="B946" s="1423"/>
      <c r="C946" s="1423"/>
      <c r="D946" s="1423"/>
      <c r="E946" s="1423"/>
      <c r="F946" s="1423"/>
      <c r="G946" s="1423"/>
      <c r="H946" s="1423"/>
      <c r="I946" s="1423"/>
      <c r="J946" s="1423"/>
      <c r="K946" s="1423"/>
      <c r="L946" s="1423"/>
      <c r="M946" s="1423"/>
      <c r="N946" s="1423"/>
      <c r="O946" s="1423"/>
      <c r="P946" s="1423"/>
      <c r="Q946" s="1423"/>
      <c r="R946" s="1423"/>
      <c r="S946" s="1423"/>
      <c r="T946" s="1423"/>
      <c r="U946" s="1423"/>
      <c r="V946" s="1423"/>
      <c r="W946" s="1423"/>
      <c r="X946" s="1423"/>
      <c r="Y946" s="1423"/>
      <c r="Z946" s="1423"/>
    </row>
    <row r="947" spans="1:26" ht="18.5">
      <c r="A947" s="1423"/>
      <c r="B947" s="1423"/>
      <c r="C947" s="1423"/>
      <c r="D947" s="1423"/>
      <c r="E947" s="1423"/>
      <c r="F947" s="1423"/>
      <c r="G947" s="1423"/>
      <c r="H947" s="1423"/>
      <c r="I947" s="1423"/>
      <c r="J947" s="1423"/>
      <c r="K947" s="1423"/>
      <c r="L947" s="1423"/>
      <c r="M947" s="1423"/>
      <c r="N947" s="1423"/>
      <c r="O947" s="1423"/>
      <c r="P947" s="1423"/>
      <c r="Q947" s="1423"/>
      <c r="R947" s="1423"/>
      <c r="S947" s="1423"/>
      <c r="T947" s="1423"/>
      <c r="U947" s="1423"/>
      <c r="V947" s="1423"/>
      <c r="W947" s="1423"/>
      <c r="X947" s="1423"/>
      <c r="Y947" s="1423"/>
      <c r="Z947" s="1423"/>
    </row>
    <row r="948" spans="1:26" ht="18.5">
      <c r="A948" s="1423"/>
      <c r="B948" s="1423"/>
      <c r="C948" s="1423"/>
      <c r="D948" s="1423"/>
      <c r="E948" s="1423"/>
      <c r="F948" s="1423"/>
      <c r="G948" s="1423"/>
      <c r="H948" s="1423"/>
      <c r="I948" s="1423"/>
      <c r="J948" s="1423"/>
      <c r="K948" s="1423"/>
      <c r="L948" s="1423"/>
      <c r="M948" s="1423"/>
      <c r="N948" s="1423"/>
      <c r="O948" s="1423"/>
      <c r="P948" s="1423"/>
      <c r="Q948" s="1423"/>
      <c r="R948" s="1423"/>
      <c r="S948" s="1423"/>
      <c r="T948" s="1423"/>
      <c r="U948" s="1423"/>
      <c r="V948" s="1423"/>
      <c r="W948" s="1423"/>
      <c r="X948" s="1423"/>
      <c r="Y948" s="1423"/>
      <c r="Z948" s="1423"/>
    </row>
    <row r="949" spans="1:26" ht="18.5">
      <c r="A949" s="1423"/>
      <c r="B949" s="1423"/>
      <c r="C949" s="1423"/>
      <c r="D949" s="1423"/>
      <c r="E949" s="1423"/>
      <c r="F949" s="1423"/>
      <c r="G949" s="1423"/>
      <c r="H949" s="1423"/>
      <c r="I949" s="1423"/>
      <c r="J949" s="1423"/>
      <c r="K949" s="1423"/>
      <c r="L949" s="1423"/>
      <c r="M949" s="1423"/>
      <c r="N949" s="1423"/>
      <c r="O949" s="1423"/>
      <c r="P949" s="1423"/>
      <c r="Q949" s="1423"/>
      <c r="R949" s="1423"/>
      <c r="S949" s="1423"/>
      <c r="T949" s="1423"/>
      <c r="U949" s="1423"/>
      <c r="V949" s="1423"/>
      <c r="W949" s="1423"/>
      <c r="X949" s="1423"/>
      <c r="Y949" s="1423"/>
      <c r="Z949" s="1423"/>
    </row>
    <row r="950" spans="1:26" ht="18.5">
      <c r="A950" s="1423"/>
      <c r="B950" s="1423"/>
      <c r="C950" s="1423"/>
      <c r="D950" s="1423"/>
      <c r="E950" s="1423"/>
      <c r="F950" s="1423"/>
      <c r="G950" s="1423"/>
      <c r="H950" s="1423"/>
      <c r="I950" s="1423"/>
      <c r="J950" s="1423"/>
      <c r="K950" s="1423"/>
      <c r="L950" s="1423"/>
      <c r="M950" s="1423"/>
      <c r="N950" s="1423"/>
      <c r="O950" s="1423"/>
      <c r="P950" s="1423"/>
      <c r="Q950" s="1423"/>
      <c r="R950" s="1423"/>
      <c r="S950" s="1423"/>
      <c r="T950" s="1423"/>
      <c r="U950" s="1423"/>
      <c r="V950" s="1423"/>
      <c r="W950" s="1423"/>
      <c r="X950" s="1423"/>
      <c r="Y950" s="1423"/>
      <c r="Z950" s="1423"/>
    </row>
    <row r="951" spans="1:26" ht="18.5">
      <c r="A951" s="1423"/>
      <c r="B951" s="1423"/>
      <c r="C951" s="1423"/>
      <c r="D951" s="1423"/>
      <c r="E951" s="1423"/>
      <c r="F951" s="1423"/>
      <c r="G951" s="1423"/>
      <c r="H951" s="1423"/>
      <c r="I951" s="1423"/>
      <c r="J951" s="1423"/>
      <c r="K951" s="1423"/>
      <c r="L951" s="1423"/>
      <c r="M951" s="1423"/>
      <c r="N951" s="1423"/>
      <c r="O951" s="1423"/>
      <c r="P951" s="1423"/>
      <c r="Q951" s="1423"/>
      <c r="R951" s="1423"/>
      <c r="S951" s="1423"/>
      <c r="T951" s="1423"/>
      <c r="U951" s="1423"/>
      <c r="V951" s="1423"/>
      <c r="W951" s="1423"/>
      <c r="X951" s="1423"/>
      <c r="Y951" s="1423"/>
      <c r="Z951" s="1423"/>
    </row>
    <row r="952" spans="1:26" ht="18.5">
      <c r="A952" s="1423"/>
      <c r="B952" s="1423"/>
      <c r="C952" s="1423"/>
      <c r="D952" s="1423"/>
      <c r="E952" s="1423"/>
      <c r="F952" s="1423"/>
      <c r="G952" s="1423"/>
      <c r="H952" s="1423"/>
      <c r="I952" s="1423"/>
      <c r="J952" s="1423"/>
      <c r="K952" s="1423"/>
      <c r="L952" s="1423"/>
      <c r="M952" s="1423"/>
      <c r="N952" s="1423"/>
      <c r="O952" s="1423"/>
      <c r="P952" s="1423"/>
      <c r="Q952" s="1423"/>
      <c r="R952" s="1423"/>
      <c r="S952" s="1423"/>
      <c r="T952" s="1423"/>
      <c r="U952" s="1423"/>
      <c r="V952" s="1423"/>
      <c r="W952" s="1423"/>
      <c r="X952" s="1423"/>
      <c r="Y952" s="1423"/>
      <c r="Z952" s="1423"/>
    </row>
    <row r="953" spans="1:26" ht="18.5">
      <c r="A953" s="1423"/>
      <c r="B953" s="1423"/>
      <c r="C953" s="1423"/>
      <c r="D953" s="1423"/>
      <c r="E953" s="1423"/>
      <c r="F953" s="1423"/>
      <c r="G953" s="1423"/>
      <c r="H953" s="1423"/>
      <c r="I953" s="1423"/>
      <c r="J953" s="1423"/>
      <c r="K953" s="1423"/>
      <c r="L953" s="1423"/>
      <c r="M953" s="1423"/>
      <c r="N953" s="1423"/>
      <c r="O953" s="1423"/>
      <c r="P953" s="1423"/>
      <c r="Q953" s="1423"/>
      <c r="R953" s="1423"/>
      <c r="S953" s="1423"/>
      <c r="T953" s="1423"/>
      <c r="U953" s="1423"/>
      <c r="V953" s="1423"/>
      <c r="W953" s="1423"/>
      <c r="X953" s="1423"/>
      <c r="Y953" s="1423"/>
      <c r="Z953" s="1423"/>
    </row>
    <row r="954" spans="1:26" ht="18.5">
      <c r="A954" s="1423"/>
      <c r="B954" s="1423"/>
      <c r="C954" s="1423"/>
      <c r="D954" s="1423"/>
      <c r="E954" s="1423"/>
      <c r="F954" s="1423"/>
      <c r="G954" s="1423"/>
      <c r="H954" s="1423"/>
      <c r="I954" s="1423"/>
      <c r="J954" s="1423"/>
      <c r="K954" s="1423"/>
      <c r="L954" s="1423"/>
      <c r="M954" s="1423"/>
      <c r="N954" s="1423"/>
      <c r="O954" s="1423"/>
      <c r="P954" s="1423"/>
      <c r="Q954" s="1423"/>
      <c r="R954" s="1423"/>
      <c r="S954" s="1423"/>
      <c r="T954" s="1423"/>
      <c r="U954" s="1423"/>
      <c r="V954" s="1423"/>
      <c r="W954" s="1423"/>
      <c r="X954" s="1423"/>
      <c r="Y954" s="1423"/>
      <c r="Z954" s="1423"/>
    </row>
    <row r="955" spans="1:26" ht="18.5">
      <c r="A955" s="1423"/>
      <c r="B955" s="1423"/>
      <c r="C955" s="1423"/>
      <c r="D955" s="1423"/>
      <c r="E955" s="1423"/>
      <c r="F955" s="1423"/>
      <c r="G955" s="1423"/>
      <c r="H955" s="1423"/>
      <c r="I955" s="1423"/>
      <c r="J955" s="1423"/>
      <c r="K955" s="1423"/>
      <c r="L955" s="1423"/>
      <c r="M955" s="1423"/>
      <c r="N955" s="1423"/>
      <c r="O955" s="1423"/>
      <c r="P955" s="1423"/>
      <c r="Q955" s="1423"/>
      <c r="R955" s="1423"/>
      <c r="S955" s="1423"/>
      <c r="T955" s="1423"/>
      <c r="U955" s="1423"/>
      <c r="V955" s="1423"/>
      <c r="W955" s="1423"/>
      <c r="X955" s="1423"/>
      <c r="Y955" s="1423"/>
      <c r="Z955" s="1423"/>
    </row>
    <row r="956" spans="1:26" ht="18.5">
      <c r="A956" s="1423"/>
      <c r="B956" s="1423"/>
      <c r="C956" s="1423"/>
      <c r="D956" s="1423"/>
      <c r="E956" s="1423"/>
      <c r="F956" s="1423"/>
      <c r="G956" s="1423"/>
      <c r="H956" s="1423"/>
      <c r="I956" s="1423"/>
      <c r="J956" s="1423"/>
      <c r="K956" s="1423"/>
      <c r="L956" s="1423"/>
      <c r="M956" s="1423"/>
      <c r="N956" s="1423"/>
      <c r="O956" s="1423"/>
      <c r="P956" s="1423"/>
      <c r="Q956" s="1423"/>
      <c r="R956" s="1423"/>
      <c r="S956" s="1423"/>
      <c r="T956" s="1423"/>
      <c r="U956" s="1423"/>
      <c r="V956" s="1423"/>
      <c r="W956" s="1423"/>
      <c r="X956" s="1423"/>
      <c r="Y956" s="1423"/>
      <c r="Z956" s="1423"/>
    </row>
    <row r="957" spans="1:26" ht="18.5">
      <c r="A957" s="1423"/>
      <c r="B957" s="1423"/>
      <c r="C957" s="1423"/>
      <c r="D957" s="1423"/>
      <c r="E957" s="1423"/>
      <c r="F957" s="1423"/>
      <c r="G957" s="1423"/>
      <c r="H957" s="1423"/>
      <c r="I957" s="1423"/>
      <c r="J957" s="1423"/>
      <c r="K957" s="1423"/>
      <c r="L957" s="1423"/>
      <c r="M957" s="1423"/>
      <c r="N957" s="1423"/>
      <c r="O957" s="1423"/>
      <c r="P957" s="1423"/>
      <c r="Q957" s="1423"/>
      <c r="R957" s="1423"/>
      <c r="S957" s="1423"/>
      <c r="T957" s="1423"/>
      <c r="U957" s="1423"/>
      <c r="V957" s="1423"/>
      <c r="W957" s="1423"/>
      <c r="X957" s="1423"/>
      <c r="Y957" s="1423"/>
      <c r="Z957" s="1423"/>
    </row>
    <row r="958" spans="1:26" ht="18.5">
      <c r="A958" s="1423"/>
      <c r="B958" s="1423"/>
      <c r="C958" s="1423"/>
      <c r="D958" s="1423"/>
      <c r="E958" s="1423"/>
      <c r="F958" s="1423"/>
      <c r="G958" s="1423"/>
      <c r="H958" s="1423"/>
      <c r="I958" s="1423"/>
      <c r="J958" s="1423"/>
      <c r="K958" s="1423"/>
      <c r="L958" s="1423"/>
      <c r="M958" s="1423"/>
      <c r="N958" s="1423"/>
      <c r="O958" s="1423"/>
      <c r="P958" s="1423"/>
      <c r="Q958" s="1423"/>
      <c r="R958" s="1423"/>
      <c r="S958" s="1423"/>
      <c r="T958" s="1423"/>
      <c r="U958" s="1423"/>
      <c r="V958" s="1423"/>
      <c r="W958" s="1423"/>
      <c r="X958" s="1423"/>
      <c r="Y958" s="1423"/>
      <c r="Z958" s="1423"/>
    </row>
    <row r="959" spans="1:26" ht="18.5">
      <c r="A959" s="1423"/>
      <c r="B959" s="1423"/>
      <c r="C959" s="1423"/>
      <c r="D959" s="1423"/>
      <c r="E959" s="1423"/>
      <c r="F959" s="1423"/>
      <c r="G959" s="1423"/>
      <c r="H959" s="1423"/>
      <c r="I959" s="1423"/>
      <c r="J959" s="1423"/>
      <c r="K959" s="1423"/>
      <c r="L959" s="1423"/>
      <c r="M959" s="1423"/>
      <c r="N959" s="1423"/>
      <c r="O959" s="1423"/>
      <c r="P959" s="1423"/>
      <c r="Q959" s="1423"/>
      <c r="R959" s="1423"/>
      <c r="S959" s="1423"/>
      <c r="T959" s="1423"/>
      <c r="U959" s="1423"/>
      <c r="V959" s="1423"/>
      <c r="W959" s="1423"/>
      <c r="X959" s="1423"/>
      <c r="Y959" s="1423"/>
      <c r="Z959" s="1423"/>
    </row>
    <row r="960" spans="1:26" ht="18.5">
      <c r="A960" s="1423"/>
      <c r="B960" s="1423"/>
      <c r="C960" s="1423"/>
      <c r="D960" s="1423"/>
      <c r="E960" s="1423"/>
      <c r="F960" s="1423"/>
      <c r="G960" s="1423"/>
      <c r="H960" s="1423"/>
      <c r="I960" s="1423"/>
      <c r="J960" s="1423"/>
      <c r="K960" s="1423"/>
      <c r="L960" s="1423"/>
      <c r="M960" s="1423"/>
      <c r="N960" s="1423"/>
      <c r="O960" s="1423"/>
      <c r="P960" s="1423"/>
      <c r="Q960" s="1423"/>
      <c r="R960" s="1423"/>
      <c r="S960" s="1423"/>
      <c r="T960" s="1423"/>
      <c r="U960" s="1423"/>
      <c r="V960" s="1423"/>
      <c r="W960" s="1423"/>
      <c r="X960" s="1423"/>
      <c r="Y960" s="1423"/>
      <c r="Z960" s="1423"/>
    </row>
    <row r="961" spans="1:26" ht="18.5">
      <c r="A961" s="1423"/>
      <c r="B961" s="1423"/>
      <c r="C961" s="1423"/>
      <c r="D961" s="1423"/>
      <c r="E961" s="1423"/>
      <c r="F961" s="1423"/>
      <c r="G961" s="1423"/>
      <c r="H961" s="1423"/>
      <c r="I961" s="1423"/>
      <c r="J961" s="1423"/>
      <c r="K961" s="1423"/>
      <c r="L961" s="1423"/>
      <c r="M961" s="1423"/>
      <c r="N961" s="1423"/>
      <c r="O961" s="1423"/>
      <c r="P961" s="1423"/>
      <c r="Q961" s="1423"/>
      <c r="R961" s="1423"/>
      <c r="S961" s="1423"/>
      <c r="T961" s="1423"/>
      <c r="U961" s="1423"/>
      <c r="V961" s="1423"/>
      <c r="W961" s="1423"/>
      <c r="X961" s="1423"/>
      <c r="Y961" s="1423"/>
      <c r="Z961" s="1423"/>
    </row>
    <row r="962" spans="1:26" ht="18.5">
      <c r="A962" s="1423"/>
      <c r="B962" s="1423"/>
      <c r="C962" s="1423"/>
      <c r="D962" s="1423"/>
      <c r="E962" s="1423"/>
      <c r="F962" s="1423"/>
      <c r="G962" s="1423"/>
      <c r="H962" s="1423"/>
      <c r="I962" s="1423"/>
      <c r="J962" s="1423"/>
      <c r="K962" s="1423"/>
      <c r="L962" s="1423"/>
      <c r="M962" s="1423"/>
      <c r="N962" s="1423"/>
      <c r="O962" s="1423"/>
      <c r="P962" s="1423"/>
      <c r="Q962" s="1423"/>
      <c r="R962" s="1423"/>
      <c r="S962" s="1423"/>
      <c r="T962" s="1423"/>
      <c r="U962" s="1423"/>
      <c r="V962" s="1423"/>
      <c r="W962" s="1423"/>
      <c r="X962" s="1423"/>
      <c r="Y962" s="1423"/>
      <c r="Z962" s="1423"/>
    </row>
    <row r="963" spans="1:26" ht="18.5">
      <c r="A963" s="1423"/>
      <c r="B963" s="1423"/>
      <c r="C963" s="1423"/>
      <c r="D963" s="1423"/>
      <c r="E963" s="1423"/>
      <c r="F963" s="1423"/>
      <c r="G963" s="1423"/>
      <c r="H963" s="1423"/>
      <c r="I963" s="1423"/>
      <c r="J963" s="1423"/>
      <c r="K963" s="1423"/>
      <c r="L963" s="1423"/>
      <c r="M963" s="1423"/>
      <c r="N963" s="1423"/>
      <c r="O963" s="1423"/>
      <c r="P963" s="1423"/>
      <c r="Q963" s="1423"/>
      <c r="R963" s="1423"/>
      <c r="S963" s="1423"/>
      <c r="T963" s="1423"/>
      <c r="U963" s="1423"/>
      <c r="V963" s="1423"/>
      <c r="W963" s="1423"/>
      <c r="X963" s="1423"/>
      <c r="Y963" s="1423"/>
      <c r="Z963" s="1423"/>
    </row>
    <row r="964" spans="1:26" ht="18.5">
      <c r="A964" s="1423"/>
      <c r="B964" s="1423"/>
      <c r="C964" s="1423"/>
      <c r="D964" s="1423"/>
      <c r="E964" s="1423"/>
      <c r="F964" s="1423"/>
      <c r="G964" s="1423"/>
      <c r="H964" s="1423"/>
      <c r="I964" s="1423"/>
      <c r="J964" s="1423"/>
      <c r="K964" s="1423"/>
      <c r="L964" s="1423"/>
      <c r="M964" s="1423"/>
      <c r="N964" s="1423"/>
      <c r="O964" s="1423"/>
      <c r="P964" s="1423"/>
      <c r="Q964" s="1423"/>
      <c r="R964" s="1423"/>
      <c r="S964" s="1423"/>
      <c r="T964" s="1423"/>
      <c r="U964" s="1423"/>
      <c r="V964" s="1423"/>
      <c r="W964" s="1423"/>
      <c r="X964" s="1423"/>
      <c r="Y964" s="1423"/>
      <c r="Z964" s="1423"/>
    </row>
    <row r="965" spans="1:26" ht="18.5">
      <c r="A965" s="1423"/>
      <c r="B965" s="1423"/>
      <c r="C965" s="1423"/>
      <c r="D965" s="1423"/>
      <c r="E965" s="1423"/>
      <c r="F965" s="1423"/>
      <c r="G965" s="1423"/>
      <c r="H965" s="1423"/>
      <c r="I965" s="1423"/>
      <c r="J965" s="1423"/>
      <c r="K965" s="1423"/>
      <c r="L965" s="1423"/>
      <c r="M965" s="1423"/>
      <c r="N965" s="1423"/>
      <c r="O965" s="1423"/>
      <c r="P965" s="1423"/>
      <c r="Q965" s="1423"/>
      <c r="R965" s="1423"/>
      <c r="S965" s="1423"/>
      <c r="T965" s="1423"/>
      <c r="U965" s="1423"/>
      <c r="V965" s="1423"/>
      <c r="W965" s="1423"/>
      <c r="X965" s="1423"/>
      <c r="Y965" s="1423"/>
      <c r="Z965" s="1423"/>
    </row>
    <row r="966" spans="1:26" ht="18.5">
      <c r="A966" s="1423"/>
      <c r="B966" s="1423"/>
      <c r="C966" s="1423"/>
      <c r="D966" s="1423"/>
      <c r="E966" s="1423"/>
      <c r="F966" s="1423"/>
      <c r="G966" s="1423"/>
      <c r="H966" s="1423"/>
      <c r="I966" s="1423"/>
      <c r="J966" s="1423"/>
      <c r="K966" s="1423"/>
      <c r="L966" s="1423"/>
      <c r="M966" s="1423"/>
      <c r="N966" s="1423"/>
      <c r="O966" s="1423"/>
      <c r="P966" s="1423"/>
      <c r="Q966" s="1423"/>
      <c r="R966" s="1423"/>
      <c r="S966" s="1423"/>
      <c r="T966" s="1423"/>
      <c r="U966" s="1423"/>
      <c r="V966" s="1423"/>
      <c r="W966" s="1423"/>
      <c r="X966" s="1423"/>
      <c r="Y966" s="1423"/>
      <c r="Z966" s="1423"/>
    </row>
    <row r="967" spans="1:26" ht="18.5">
      <c r="A967" s="1423"/>
      <c r="B967" s="1423"/>
      <c r="C967" s="1423"/>
      <c r="D967" s="1423"/>
      <c r="E967" s="1423"/>
      <c r="F967" s="1423"/>
      <c r="G967" s="1423"/>
      <c r="H967" s="1423"/>
      <c r="I967" s="1423"/>
      <c r="J967" s="1423"/>
      <c r="K967" s="1423"/>
      <c r="L967" s="1423"/>
      <c r="M967" s="1423"/>
      <c r="N967" s="1423"/>
      <c r="O967" s="1423"/>
      <c r="P967" s="1423"/>
      <c r="Q967" s="1423"/>
      <c r="R967" s="1423"/>
      <c r="S967" s="1423"/>
      <c r="T967" s="1423"/>
      <c r="U967" s="1423"/>
      <c r="V967" s="1423"/>
      <c r="W967" s="1423"/>
      <c r="X967" s="1423"/>
      <c r="Y967" s="1423"/>
      <c r="Z967" s="1423"/>
    </row>
    <row r="968" spans="1:26" ht="18.5">
      <c r="A968" s="1423"/>
      <c r="B968" s="1423"/>
      <c r="C968" s="1423"/>
      <c r="D968" s="1423"/>
      <c r="E968" s="1423"/>
      <c r="F968" s="1423"/>
      <c r="G968" s="1423"/>
      <c r="H968" s="1423"/>
      <c r="I968" s="1423"/>
      <c r="J968" s="1423"/>
      <c r="K968" s="1423"/>
      <c r="L968" s="1423"/>
      <c r="M968" s="1423"/>
      <c r="N968" s="1423"/>
      <c r="O968" s="1423"/>
      <c r="P968" s="1423"/>
      <c r="Q968" s="1423"/>
      <c r="R968" s="1423"/>
      <c r="S968" s="1423"/>
      <c r="T968" s="1423"/>
      <c r="U968" s="1423"/>
      <c r="V968" s="1423"/>
      <c r="W968" s="1423"/>
      <c r="X968" s="1423"/>
      <c r="Y968" s="1423"/>
      <c r="Z968" s="1423"/>
    </row>
    <row r="969" spans="1:26" ht="18.5">
      <c r="A969" s="1423"/>
      <c r="B969" s="1423"/>
      <c r="C969" s="1423"/>
      <c r="D969" s="1423"/>
      <c r="E969" s="1423"/>
      <c r="F969" s="1423"/>
      <c r="G969" s="1423"/>
      <c r="H969" s="1423"/>
      <c r="I969" s="1423"/>
      <c r="J969" s="1423"/>
      <c r="K969" s="1423"/>
      <c r="L969" s="1423"/>
      <c r="M969" s="1423"/>
      <c r="N969" s="1423"/>
      <c r="O969" s="1423"/>
      <c r="P969" s="1423"/>
      <c r="Q969" s="1423"/>
      <c r="R969" s="1423"/>
      <c r="S969" s="1423"/>
      <c r="T969" s="1423"/>
      <c r="U969" s="1423"/>
      <c r="V969" s="1423"/>
      <c r="W969" s="1423"/>
      <c r="X969" s="1423"/>
      <c r="Y969" s="1423"/>
      <c r="Z969" s="1423"/>
    </row>
    <row r="970" spans="1:26" ht="18.5">
      <c r="A970" s="1423"/>
      <c r="B970" s="1423"/>
      <c r="C970" s="1423"/>
      <c r="D970" s="1423"/>
      <c r="E970" s="1423"/>
      <c r="F970" s="1423"/>
      <c r="G970" s="1423"/>
      <c r="H970" s="1423"/>
      <c r="I970" s="1423"/>
      <c r="J970" s="1423"/>
      <c r="K970" s="1423"/>
      <c r="L970" s="1423"/>
      <c r="M970" s="1423"/>
      <c r="N970" s="1423"/>
      <c r="O970" s="1423"/>
      <c r="P970" s="1423"/>
      <c r="Q970" s="1423"/>
      <c r="R970" s="1423"/>
      <c r="S970" s="1423"/>
      <c r="T970" s="1423"/>
      <c r="U970" s="1423"/>
      <c r="V970" s="1423"/>
      <c r="W970" s="1423"/>
      <c r="X970" s="1423"/>
      <c r="Y970" s="1423"/>
      <c r="Z970" s="1423"/>
    </row>
    <row r="971" spans="1:26" ht="18.5">
      <c r="A971" s="1423"/>
      <c r="B971" s="1423"/>
      <c r="C971" s="1423"/>
      <c r="D971" s="1423"/>
      <c r="E971" s="1423"/>
      <c r="F971" s="1423"/>
      <c r="G971" s="1423"/>
      <c r="H971" s="1423"/>
      <c r="I971" s="1423"/>
      <c r="J971" s="1423"/>
      <c r="K971" s="1423"/>
      <c r="L971" s="1423"/>
      <c r="M971" s="1423"/>
      <c r="N971" s="1423"/>
      <c r="O971" s="1423"/>
      <c r="P971" s="1423"/>
      <c r="Q971" s="1423"/>
      <c r="R971" s="1423"/>
      <c r="S971" s="1423"/>
      <c r="T971" s="1423"/>
      <c r="U971" s="1423"/>
      <c r="V971" s="1423"/>
      <c r="W971" s="1423"/>
      <c r="X971" s="1423"/>
      <c r="Y971" s="1423"/>
      <c r="Z971" s="1423"/>
    </row>
    <row r="972" spans="1:26" ht="18.5">
      <c r="A972" s="1423"/>
      <c r="B972" s="1423"/>
      <c r="C972" s="1423"/>
      <c r="D972" s="1423"/>
      <c r="E972" s="1423"/>
      <c r="F972" s="1423"/>
      <c r="G972" s="1423"/>
      <c r="H972" s="1423"/>
      <c r="I972" s="1423"/>
      <c r="J972" s="1423"/>
      <c r="K972" s="1423"/>
      <c r="L972" s="1423"/>
      <c r="M972" s="1423"/>
      <c r="N972" s="1423"/>
      <c r="O972" s="1423"/>
      <c r="P972" s="1423"/>
      <c r="Q972" s="1423"/>
      <c r="R972" s="1423"/>
      <c r="S972" s="1423"/>
      <c r="T972" s="1423"/>
      <c r="U972" s="1423"/>
      <c r="V972" s="1423"/>
      <c r="W972" s="1423"/>
      <c r="X972" s="1423"/>
      <c r="Y972" s="1423"/>
      <c r="Z972" s="1423"/>
    </row>
    <row r="973" spans="1:26" ht="18.5">
      <c r="A973" s="1423"/>
      <c r="B973" s="1423"/>
      <c r="C973" s="1423"/>
      <c r="D973" s="1423"/>
      <c r="E973" s="1423"/>
      <c r="F973" s="1423"/>
      <c r="G973" s="1423"/>
      <c r="H973" s="1423"/>
      <c r="I973" s="1423"/>
      <c r="J973" s="1423"/>
      <c r="K973" s="1423"/>
      <c r="L973" s="1423"/>
      <c r="M973" s="1423"/>
      <c r="N973" s="1423"/>
      <c r="O973" s="1423"/>
      <c r="P973" s="1423"/>
      <c r="Q973" s="1423"/>
      <c r="R973" s="1423"/>
      <c r="S973" s="1423"/>
      <c r="T973" s="1423"/>
      <c r="U973" s="1423"/>
      <c r="V973" s="1423"/>
      <c r="W973" s="1423"/>
      <c r="X973" s="1423"/>
      <c r="Y973" s="1423"/>
      <c r="Z973" s="1423"/>
    </row>
    <row r="974" spans="1:26" ht="18.5">
      <c r="A974" s="1423"/>
      <c r="B974" s="1423"/>
      <c r="C974" s="1423"/>
      <c r="D974" s="1423"/>
      <c r="E974" s="1423"/>
      <c r="F974" s="1423"/>
      <c r="G974" s="1423"/>
      <c r="H974" s="1423"/>
      <c r="I974" s="1423"/>
      <c r="J974" s="1423"/>
      <c r="K974" s="1423"/>
      <c r="L974" s="1423"/>
      <c r="M974" s="1423"/>
      <c r="N974" s="1423"/>
      <c r="O974" s="1423"/>
      <c r="P974" s="1423"/>
      <c r="Q974" s="1423"/>
      <c r="R974" s="1423"/>
      <c r="S974" s="1423"/>
      <c r="T974" s="1423"/>
      <c r="U974" s="1423"/>
      <c r="V974" s="1423"/>
      <c r="W974" s="1423"/>
      <c r="X974" s="1423"/>
      <c r="Y974" s="1423"/>
      <c r="Z974" s="1423"/>
    </row>
    <row r="975" spans="1:26" ht="18.5">
      <c r="A975" s="1423"/>
      <c r="B975" s="1423"/>
      <c r="C975" s="1423"/>
      <c r="D975" s="1423"/>
      <c r="E975" s="1423"/>
      <c r="F975" s="1423"/>
      <c r="G975" s="1423"/>
      <c r="H975" s="1423"/>
      <c r="I975" s="1423"/>
      <c r="J975" s="1423"/>
      <c r="K975" s="1423"/>
      <c r="L975" s="1423"/>
      <c r="M975" s="1423"/>
      <c r="N975" s="1423"/>
      <c r="O975" s="1423"/>
      <c r="P975" s="1423"/>
      <c r="Q975" s="1423"/>
      <c r="R975" s="1423"/>
      <c r="S975" s="1423"/>
      <c r="T975" s="1423"/>
      <c r="U975" s="1423"/>
      <c r="V975" s="1423"/>
      <c r="W975" s="1423"/>
      <c r="X975" s="1423"/>
      <c r="Y975" s="1423"/>
      <c r="Z975" s="1423"/>
    </row>
    <row r="976" spans="1:26" ht="18.5">
      <c r="A976" s="1423"/>
      <c r="B976" s="1423"/>
      <c r="C976" s="1423"/>
      <c r="D976" s="1423"/>
      <c r="E976" s="1423"/>
      <c r="F976" s="1423"/>
      <c r="G976" s="1423"/>
      <c r="H976" s="1423"/>
      <c r="I976" s="1423"/>
      <c r="J976" s="1423"/>
      <c r="K976" s="1423"/>
      <c r="L976" s="1423"/>
      <c r="M976" s="1423"/>
      <c r="N976" s="1423"/>
      <c r="O976" s="1423"/>
      <c r="P976" s="1423"/>
      <c r="Q976" s="1423"/>
      <c r="R976" s="1423"/>
      <c r="S976" s="1423"/>
      <c r="T976" s="1423"/>
      <c r="U976" s="1423"/>
      <c r="V976" s="1423"/>
      <c r="W976" s="1423"/>
      <c r="X976" s="1423"/>
      <c r="Y976" s="1423"/>
      <c r="Z976" s="1423"/>
    </row>
    <row r="977" spans="1:26" ht="18.5">
      <c r="A977" s="1423"/>
      <c r="B977" s="1423"/>
      <c r="C977" s="1423"/>
      <c r="D977" s="1423"/>
      <c r="E977" s="1423"/>
      <c r="F977" s="1423"/>
      <c r="G977" s="1423"/>
      <c r="H977" s="1423"/>
      <c r="I977" s="1423"/>
      <c r="J977" s="1423"/>
      <c r="K977" s="1423"/>
      <c r="L977" s="1423"/>
      <c r="M977" s="1423"/>
      <c r="N977" s="1423"/>
      <c r="O977" s="1423"/>
      <c r="P977" s="1423"/>
      <c r="Q977" s="1423"/>
      <c r="R977" s="1423"/>
      <c r="S977" s="1423"/>
      <c r="T977" s="1423"/>
      <c r="U977" s="1423"/>
      <c r="V977" s="1423"/>
      <c r="W977" s="1423"/>
      <c r="X977" s="1423"/>
      <c r="Y977" s="1423"/>
      <c r="Z977" s="1423"/>
    </row>
    <row r="978" spans="1:26" ht="18.5">
      <c r="A978" s="1423"/>
      <c r="B978" s="1423"/>
      <c r="C978" s="1423"/>
      <c r="D978" s="1423"/>
      <c r="E978" s="1423"/>
      <c r="F978" s="1423"/>
      <c r="G978" s="1423"/>
      <c r="H978" s="1423"/>
      <c r="I978" s="1423"/>
      <c r="J978" s="1423"/>
      <c r="K978" s="1423"/>
      <c r="L978" s="1423"/>
      <c r="M978" s="1423"/>
      <c r="N978" s="1423"/>
      <c r="O978" s="1423"/>
      <c r="P978" s="1423"/>
      <c r="Q978" s="1423"/>
      <c r="R978" s="1423"/>
      <c r="S978" s="1423"/>
      <c r="T978" s="1423"/>
      <c r="U978" s="1423"/>
      <c r="V978" s="1423"/>
      <c r="W978" s="1423"/>
      <c r="X978" s="1423"/>
      <c r="Y978" s="1423"/>
      <c r="Z978" s="1423"/>
    </row>
    <row r="979" spans="1:26" ht="18.5">
      <c r="A979" s="1423"/>
      <c r="B979" s="1423"/>
      <c r="C979" s="1423"/>
      <c r="D979" s="1423"/>
      <c r="E979" s="1423"/>
      <c r="F979" s="1423"/>
      <c r="G979" s="1423"/>
      <c r="H979" s="1423"/>
      <c r="I979" s="1423"/>
      <c r="J979" s="1423"/>
      <c r="K979" s="1423"/>
      <c r="L979" s="1423"/>
      <c r="M979" s="1423"/>
      <c r="N979" s="1423"/>
      <c r="O979" s="1423"/>
      <c r="P979" s="1423"/>
      <c r="Q979" s="1423"/>
      <c r="R979" s="1423"/>
      <c r="S979" s="1423"/>
      <c r="T979" s="1423"/>
      <c r="U979" s="1423"/>
      <c r="V979" s="1423"/>
      <c r="W979" s="1423"/>
      <c r="X979" s="1423"/>
      <c r="Y979" s="1423"/>
      <c r="Z979" s="1423"/>
    </row>
    <row r="980" spans="1:26" ht="18.5">
      <c r="A980" s="1423"/>
      <c r="B980" s="1423"/>
      <c r="C980" s="1423"/>
      <c r="D980" s="1423"/>
      <c r="E980" s="1423"/>
      <c r="F980" s="1423"/>
      <c r="G980" s="1423"/>
      <c r="H980" s="1423"/>
      <c r="I980" s="1423"/>
      <c r="J980" s="1423"/>
      <c r="K980" s="1423"/>
      <c r="L980" s="1423"/>
      <c r="M980" s="1423"/>
      <c r="N980" s="1423"/>
      <c r="O980" s="1423"/>
      <c r="P980" s="1423"/>
      <c r="Q980" s="1423"/>
      <c r="R980" s="1423"/>
      <c r="S980" s="1423"/>
      <c r="T980" s="1423"/>
      <c r="U980" s="1423"/>
      <c r="V980" s="1423"/>
      <c r="W980" s="1423"/>
      <c r="X980" s="1423"/>
      <c r="Y980" s="1423"/>
      <c r="Z980" s="1423"/>
    </row>
    <row r="981" spans="1:26" ht="18.5">
      <c r="A981" s="1423"/>
      <c r="B981" s="1423"/>
      <c r="C981" s="1423"/>
      <c r="D981" s="1423"/>
      <c r="E981" s="1423"/>
      <c r="F981" s="1423"/>
      <c r="G981" s="1423"/>
      <c r="H981" s="1423"/>
      <c r="I981" s="1423"/>
      <c r="J981" s="1423"/>
      <c r="K981" s="1423"/>
      <c r="L981" s="1423"/>
      <c r="M981" s="1423"/>
      <c r="N981" s="1423"/>
      <c r="O981" s="1423"/>
      <c r="P981" s="1423"/>
      <c r="Q981" s="1423"/>
      <c r="R981" s="1423"/>
      <c r="S981" s="1423"/>
      <c r="T981" s="1423"/>
      <c r="U981" s="1423"/>
      <c r="V981" s="1423"/>
      <c r="W981" s="1423"/>
      <c r="X981" s="1423"/>
      <c r="Y981" s="1423"/>
      <c r="Z981" s="1423"/>
    </row>
    <row r="982" spans="1:26" ht="18.5">
      <c r="A982" s="1423"/>
      <c r="B982" s="1423"/>
      <c r="C982" s="1423"/>
      <c r="D982" s="1423"/>
      <c r="E982" s="1423"/>
      <c r="F982" s="1423"/>
      <c r="G982" s="1423"/>
      <c r="H982" s="1423"/>
      <c r="I982" s="1423"/>
      <c r="J982" s="1423"/>
      <c r="K982" s="1423"/>
      <c r="L982" s="1423"/>
      <c r="M982" s="1423"/>
      <c r="N982" s="1423"/>
      <c r="O982" s="1423"/>
      <c r="P982" s="1423"/>
      <c r="Q982" s="1423"/>
      <c r="R982" s="1423"/>
      <c r="S982" s="1423"/>
      <c r="T982" s="1423"/>
      <c r="U982" s="1423"/>
      <c r="V982" s="1423"/>
      <c r="W982" s="1423"/>
      <c r="X982" s="1423"/>
      <c r="Y982" s="1423"/>
      <c r="Z982" s="1423"/>
    </row>
    <row r="983" spans="1:26" ht="18.5">
      <c r="A983" s="1423"/>
      <c r="B983" s="1423"/>
      <c r="C983" s="1423"/>
      <c r="D983" s="1423"/>
      <c r="E983" s="1423"/>
      <c r="F983" s="1423"/>
      <c r="G983" s="1423"/>
      <c r="H983" s="1423"/>
      <c r="I983" s="1423"/>
      <c r="J983" s="1423"/>
      <c r="K983" s="1423"/>
      <c r="L983" s="1423"/>
      <c r="M983" s="1423"/>
      <c r="N983" s="1423"/>
      <c r="O983" s="1423"/>
      <c r="P983" s="1423"/>
      <c r="Q983" s="1423"/>
      <c r="R983" s="1423"/>
      <c r="S983" s="1423"/>
      <c r="T983" s="1423"/>
      <c r="U983" s="1423"/>
      <c r="V983" s="1423"/>
      <c r="W983" s="1423"/>
      <c r="X983" s="1423"/>
      <c r="Y983" s="1423"/>
      <c r="Z983" s="1423"/>
    </row>
    <row r="984" spans="1:26" ht="18.5">
      <c r="A984" s="1423"/>
      <c r="B984" s="1423"/>
      <c r="C984" s="1423"/>
      <c r="D984" s="1423"/>
      <c r="E984" s="1423"/>
      <c r="F984" s="1423"/>
      <c r="G984" s="1423"/>
      <c r="H984" s="1423"/>
      <c r="I984" s="1423"/>
      <c r="J984" s="1423"/>
      <c r="K984" s="1423"/>
      <c r="L984" s="1423"/>
      <c r="M984" s="1423"/>
      <c r="N984" s="1423"/>
      <c r="O984" s="1423"/>
      <c r="P984" s="1423"/>
      <c r="Q984" s="1423"/>
      <c r="R984" s="1423"/>
      <c r="S984" s="1423"/>
      <c r="T984" s="1423"/>
      <c r="U984" s="1423"/>
      <c r="V984" s="1423"/>
      <c r="W984" s="1423"/>
      <c r="X984" s="1423"/>
      <c r="Y984" s="1423"/>
      <c r="Z984" s="1423"/>
    </row>
    <row r="985" spans="1:26" ht="18.5">
      <c r="A985" s="1423"/>
      <c r="B985" s="1423"/>
      <c r="C985" s="1423"/>
      <c r="D985" s="1423"/>
      <c r="E985" s="1423"/>
      <c r="F985" s="1423"/>
      <c r="G985" s="1423"/>
      <c r="H985" s="1423"/>
      <c r="I985" s="1423"/>
      <c r="J985" s="1423"/>
      <c r="K985" s="1423"/>
      <c r="L985" s="1423"/>
      <c r="M985" s="1423"/>
      <c r="N985" s="1423"/>
      <c r="O985" s="1423"/>
      <c r="P985" s="1423"/>
      <c r="Q985" s="1423"/>
      <c r="R985" s="1423"/>
      <c r="S985" s="1423"/>
      <c r="T985" s="1423"/>
      <c r="U985" s="1423"/>
      <c r="V985" s="1423"/>
      <c r="W985" s="1423"/>
      <c r="X985" s="1423"/>
      <c r="Y985" s="1423"/>
      <c r="Z985" s="1423"/>
    </row>
    <row r="986" spans="1:26" ht="18.5">
      <c r="A986" s="1423"/>
      <c r="B986" s="1423"/>
      <c r="C986" s="1423"/>
      <c r="D986" s="1423"/>
      <c r="E986" s="1423"/>
      <c r="F986" s="1423"/>
      <c r="G986" s="1423"/>
      <c r="H986" s="1423"/>
      <c r="I986" s="1423"/>
      <c r="J986" s="1423"/>
      <c r="K986" s="1423"/>
      <c r="L986" s="1423"/>
      <c r="M986" s="1423"/>
      <c r="N986" s="1423"/>
      <c r="O986" s="1423"/>
      <c r="P986" s="1423"/>
      <c r="Q986" s="1423"/>
      <c r="R986" s="1423"/>
      <c r="S986" s="1423"/>
      <c r="T986" s="1423"/>
      <c r="U986" s="1423"/>
      <c r="V986" s="1423"/>
      <c r="W986" s="1423"/>
      <c r="X986" s="1423"/>
      <c r="Y986" s="1423"/>
      <c r="Z986" s="1423"/>
    </row>
    <row r="987" spans="1:26" ht="18.5">
      <c r="A987" s="1423"/>
      <c r="B987" s="1423"/>
      <c r="C987" s="1423"/>
      <c r="D987" s="1423"/>
      <c r="E987" s="1423"/>
      <c r="F987" s="1423"/>
      <c r="G987" s="1423"/>
      <c r="H987" s="1423"/>
      <c r="I987" s="1423"/>
      <c r="J987" s="1423"/>
      <c r="K987" s="1423"/>
      <c r="L987" s="1423"/>
      <c r="M987" s="1423"/>
      <c r="N987" s="1423"/>
      <c r="O987" s="1423"/>
      <c r="P987" s="1423"/>
      <c r="Q987" s="1423"/>
      <c r="R987" s="1423"/>
      <c r="S987" s="1423"/>
      <c r="T987" s="1423"/>
      <c r="U987" s="1423"/>
      <c r="V987" s="1423"/>
      <c r="W987" s="1423"/>
      <c r="X987" s="1423"/>
      <c r="Y987" s="1423"/>
      <c r="Z987" s="1423"/>
    </row>
    <row r="988" spans="1:26" ht="18.5">
      <c r="A988" s="1423"/>
      <c r="B988" s="1423"/>
      <c r="C988" s="1423"/>
      <c r="D988" s="1423"/>
      <c r="E988" s="1423"/>
      <c r="F988" s="1423"/>
      <c r="G988" s="1423"/>
      <c r="H988" s="1423"/>
      <c r="I988" s="1423"/>
      <c r="J988" s="1423"/>
      <c r="K988" s="1423"/>
      <c r="L988" s="1423"/>
      <c r="M988" s="1423"/>
      <c r="N988" s="1423"/>
      <c r="O988" s="1423"/>
      <c r="P988" s="1423"/>
      <c r="Q988" s="1423"/>
      <c r="R988" s="1423"/>
      <c r="S988" s="1423"/>
      <c r="T988" s="1423"/>
      <c r="U988" s="1423"/>
      <c r="V988" s="1423"/>
      <c r="W988" s="1423"/>
      <c r="X988" s="1423"/>
      <c r="Y988" s="1423"/>
      <c r="Z988" s="1423"/>
    </row>
    <row r="989" spans="1:26" ht="18.5">
      <c r="A989" s="1423"/>
      <c r="B989" s="1423"/>
      <c r="C989" s="1423"/>
      <c r="D989" s="1423"/>
      <c r="E989" s="1423"/>
      <c r="F989" s="1423"/>
      <c r="G989" s="1423"/>
      <c r="H989" s="1423"/>
      <c r="I989" s="1423"/>
      <c r="J989" s="1423"/>
      <c r="K989" s="1423"/>
      <c r="L989" s="1423"/>
      <c r="M989" s="1423"/>
      <c r="N989" s="1423"/>
      <c r="O989" s="1423"/>
      <c r="P989" s="1423"/>
      <c r="Q989" s="1423"/>
      <c r="R989" s="1423"/>
      <c r="S989" s="1423"/>
      <c r="T989" s="1423"/>
      <c r="U989" s="1423"/>
      <c r="V989" s="1423"/>
      <c r="W989" s="1423"/>
      <c r="X989" s="1423"/>
      <c r="Y989" s="1423"/>
      <c r="Z989" s="1423"/>
    </row>
    <row r="990" spans="1:26" ht="18.5">
      <c r="A990" s="1423"/>
      <c r="B990" s="1423"/>
      <c r="C990" s="1423"/>
      <c r="D990" s="1423"/>
      <c r="E990" s="1423"/>
      <c r="F990" s="1423"/>
      <c r="G990" s="1423"/>
      <c r="H990" s="1423"/>
      <c r="I990" s="1423"/>
      <c r="J990" s="1423"/>
      <c r="K990" s="1423"/>
      <c r="L990" s="1423"/>
      <c r="M990" s="1423"/>
      <c r="N990" s="1423"/>
      <c r="O990" s="1423"/>
      <c r="P990" s="1423"/>
      <c r="Q990" s="1423"/>
      <c r="R990" s="1423"/>
      <c r="S990" s="1423"/>
      <c r="T990" s="1423"/>
      <c r="U990" s="1423"/>
      <c r="V990" s="1423"/>
      <c r="W990" s="1423"/>
      <c r="X990" s="1423"/>
      <c r="Y990" s="1423"/>
      <c r="Z990" s="1423"/>
    </row>
    <row r="991" spans="1:26" ht="18.5">
      <c r="A991" s="1423"/>
      <c r="B991" s="1423"/>
      <c r="C991" s="1423"/>
      <c r="D991" s="1423"/>
      <c r="E991" s="1423"/>
      <c r="F991" s="1423"/>
      <c r="G991" s="1423"/>
      <c r="H991" s="1423"/>
      <c r="I991" s="1423"/>
      <c r="J991" s="1423"/>
      <c r="K991" s="1423"/>
      <c r="L991" s="1423"/>
      <c r="M991" s="1423"/>
      <c r="N991" s="1423"/>
      <c r="O991" s="1423"/>
      <c r="P991" s="1423"/>
      <c r="Q991" s="1423"/>
      <c r="R991" s="1423"/>
      <c r="S991" s="1423"/>
      <c r="T991" s="1423"/>
      <c r="U991" s="1423"/>
      <c r="V991" s="1423"/>
      <c r="W991" s="1423"/>
      <c r="X991" s="1423"/>
      <c r="Y991" s="1423"/>
      <c r="Z991" s="1423"/>
    </row>
    <row r="992" spans="1:26" ht="18.5">
      <c r="A992" s="1423"/>
      <c r="B992" s="1423"/>
      <c r="C992" s="1423"/>
      <c r="D992" s="1423"/>
      <c r="E992" s="1423"/>
      <c r="F992" s="1423"/>
      <c r="G992" s="1423"/>
      <c r="H992" s="1423"/>
      <c r="I992" s="1423"/>
      <c r="J992" s="1423"/>
      <c r="K992" s="1423"/>
      <c r="L992" s="1423"/>
      <c r="M992" s="1423"/>
      <c r="N992" s="1423"/>
      <c r="O992" s="1423"/>
      <c r="P992" s="1423"/>
      <c r="Q992" s="1423"/>
      <c r="R992" s="1423"/>
      <c r="S992" s="1423"/>
      <c r="T992" s="1423"/>
      <c r="U992" s="1423"/>
      <c r="V992" s="1423"/>
      <c r="W992" s="1423"/>
      <c r="X992" s="1423"/>
      <c r="Y992" s="1423"/>
      <c r="Z992" s="1423"/>
    </row>
    <row r="993" spans="1:26" ht="18.5">
      <c r="A993" s="1423"/>
      <c r="B993" s="1423"/>
      <c r="C993" s="1423"/>
      <c r="D993" s="1423"/>
      <c r="E993" s="1423"/>
      <c r="F993" s="1423"/>
      <c r="G993" s="1423"/>
      <c r="H993" s="1423"/>
      <c r="I993" s="1423"/>
      <c r="J993" s="1423"/>
      <c r="K993" s="1423"/>
      <c r="L993" s="1423"/>
      <c r="M993" s="1423"/>
      <c r="N993" s="1423"/>
      <c r="O993" s="1423"/>
      <c r="P993" s="1423"/>
      <c r="Q993" s="1423"/>
      <c r="R993" s="1423"/>
      <c r="S993" s="1423"/>
      <c r="T993" s="1423"/>
      <c r="U993" s="1423"/>
      <c r="V993" s="1423"/>
      <c r="W993" s="1423"/>
      <c r="X993" s="1423"/>
      <c r="Y993" s="1423"/>
      <c r="Z993" s="1423"/>
    </row>
    <row r="994" spans="1:26" ht="18.5">
      <c r="A994" s="1423"/>
      <c r="B994" s="1423"/>
      <c r="C994" s="1423"/>
      <c r="D994" s="1423"/>
      <c r="E994" s="1423"/>
      <c r="F994" s="1423"/>
      <c r="G994" s="1423"/>
      <c r="H994" s="1423"/>
      <c r="I994" s="1423"/>
      <c r="J994" s="1423"/>
      <c r="K994" s="1423"/>
      <c r="L994" s="1423"/>
      <c r="M994" s="1423"/>
      <c r="N994" s="1423"/>
      <c r="O994" s="1423"/>
      <c r="P994" s="1423"/>
      <c r="Q994" s="1423"/>
      <c r="R994" s="1423"/>
      <c r="S994" s="1423"/>
      <c r="T994" s="1423"/>
      <c r="U994" s="1423"/>
      <c r="V994" s="1423"/>
      <c r="W994" s="1423"/>
      <c r="X994" s="1423"/>
      <c r="Y994" s="1423"/>
      <c r="Z994" s="1423"/>
    </row>
    <row r="995" spans="1:26" ht="18.5">
      <c r="A995" s="1423"/>
      <c r="B995" s="1423"/>
      <c r="C995" s="1423"/>
      <c r="D995" s="1423"/>
      <c r="E995" s="1423"/>
      <c r="F995" s="1423"/>
      <c r="G995" s="1423"/>
      <c r="H995" s="1423"/>
      <c r="I995" s="1423"/>
      <c r="J995" s="1423"/>
      <c r="K995" s="1423"/>
      <c r="L995" s="1423"/>
      <c r="M995" s="1423"/>
      <c r="N995" s="1423"/>
      <c r="O995" s="1423"/>
      <c r="P995" s="1423"/>
      <c r="Q995" s="1423"/>
      <c r="R995" s="1423"/>
      <c r="S995" s="1423"/>
      <c r="T995" s="1423"/>
      <c r="U995" s="1423"/>
      <c r="V995" s="1423"/>
      <c r="W995" s="1423"/>
      <c r="X995" s="1423"/>
      <c r="Y995" s="1423"/>
      <c r="Z995" s="1423"/>
    </row>
    <row r="996" spans="1:26" ht="18.5">
      <c r="A996" s="1423"/>
      <c r="B996" s="1423"/>
      <c r="C996" s="1423"/>
      <c r="D996" s="1423"/>
      <c r="E996" s="1423"/>
      <c r="F996" s="1423"/>
      <c r="G996" s="1423"/>
      <c r="H996" s="1423"/>
      <c r="I996" s="1423"/>
      <c r="J996" s="1423"/>
      <c r="K996" s="1423"/>
      <c r="L996" s="1423"/>
      <c r="M996" s="1423"/>
      <c r="N996" s="1423"/>
      <c r="O996" s="1423"/>
      <c r="P996" s="1423"/>
      <c r="Q996" s="1423"/>
      <c r="R996" s="1423"/>
      <c r="S996" s="1423"/>
      <c r="T996" s="1423"/>
      <c r="U996" s="1423"/>
      <c r="V996" s="1423"/>
      <c r="W996" s="1423"/>
      <c r="X996" s="1423"/>
      <c r="Y996" s="1423"/>
      <c r="Z996" s="1423"/>
    </row>
    <row r="997" spans="1:26" ht="18.5">
      <c r="A997" s="1423"/>
      <c r="B997" s="1423"/>
      <c r="C997" s="1423"/>
      <c r="D997" s="1423"/>
      <c r="E997" s="1423"/>
      <c r="F997" s="1423"/>
      <c r="G997" s="1423"/>
      <c r="H997" s="1423"/>
      <c r="I997" s="1423"/>
      <c r="J997" s="1423"/>
      <c r="K997" s="1423"/>
      <c r="L997" s="1423"/>
      <c r="M997" s="1423"/>
      <c r="N997" s="1423"/>
      <c r="O997" s="1423"/>
      <c r="P997" s="1423"/>
      <c r="Q997" s="1423"/>
      <c r="R997" s="1423"/>
      <c r="S997" s="1423"/>
      <c r="T997" s="1423"/>
      <c r="U997" s="1423"/>
      <c r="V997" s="1423"/>
      <c r="W997" s="1423"/>
      <c r="X997" s="1423"/>
      <c r="Y997" s="1423"/>
      <c r="Z997" s="1423"/>
    </row>
    <row r="998" spans="1:26" ht="18.5">
      <c r="A998" s="1423"/>
      <c r="B998" s="1423"/>
      <c r="C998" s="1423"/>
      <c r="D998" s="1423"/>
      <c r="E998" s="1423"/>
      <c r="F998" s="1423"/>
      <c r="G998" s="1423"/>
      <c r="H998" s="1423"/>
      <c r="I998" s="1423"/>
      <c r="J998" s="1423"/>
      <c r="K998" s="1423"/>
      <c r="L998" s="1423"/>
      <c r="M998" s="1423"/>
      <c r="N998" s="1423"/>
      <c r="O998" s="1423"/>
      <c r="P998" s="1423"/>
      <c r="Q998" s="1423"/>
      <c r="R998" s="1423"/>
      <c r="S998" s="1423"/>
      <c r="T998" s="1423"/>
      <c r="U998" s="1423"/>
      <c r="V998" s="1423"/>
      <c r="W998" s="1423"/>
      <c r="X998" s="1423"/>
      <c r="Y998" s="1423"/>
      <c r="Z998" s="1423"/>
    </row>
    <row r="999" spans="1:26" ht="18.5">
      <c r="A999" s="1423"/>
      <c r="B999" s="1423"/>
      <c r="C999" s="1423"/>
      <c r="D999" s="1423"/>
      <c r="E999" s="1423"/>
      <c r="F999" s="1423"/>
      <c r="G999" s="1423"/>
      <c r="H999" s="1423"/>
      <c r="I999" s="1423"/>
      <c r="J999" s="1423"/>
      <c r="K999" s="1423"/>
      <c r="L999" s="1423"/>
      <c r="M999" s="1423"/>
      <c r="N999" s="1423"/>
      <c r="O999" s="1423"/>
      <c r="P999" s="1423"/>
      <c r="Q999" s="1423"/>
      <c r="R999" s="1423"/>
      <c r="S999" s="1423"/>
      <c r="T999" s="1423"/>
      <c r="U999" s="1423"/>
      <c r="V999" s="1423"/>
      <c r="W999" s="1423"/>
      <c r="X999" s="1423"/>
      <c r="Y999" s="1423"/>
      <c r="Z999" s="1423"/>
    </row>
    <row r="1000" spans="1:26" ht="18.5">
      <c r="A1000" s="1423"/>
      <c r="B1000" s="1423"/>
      <c r="C1000" s="1423"/>
      <c r="D1000" s="1423"/>
      <c r="E1000" s="1423"/>
      <c r="F1000" s="1423"/>
      <c r="G1000" s="1423"/>
      <c r="H1000" s="1423"/>
      <c r="I1000" s="1423"/>
      <c r="J1000" s="1423"/>
      <c r="K1000" s="1423"/>
      <c r="L1000" s="1423"/>
      <c r="M1000" s="1423"/>
      <c r="N1000" s="1423"/>
      <c r="O1000" s="1423"/>
      <c r="P1000" s="1423"/>
      <c r="Q1000" s="1423"/>
      <c r="R1000" s="1423"/>
      <c r="S1000" s="1423"/>
      <c r="T1000" s="1423"/>
      <c r="U1000" s="1423"/>
      <c r="V1000" s="1423"/>
      <c r="W1000" s="1423"/>
      <c r="X1000" s="1423"/>
      <c r="Y1000" s="1423"/>
      <c r="Z1000" s="1423"/>
    </row>
  </sheetData>
  <phoneticPr fontId="135"/>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03"/>
  <sheetViews>
    <sheetView workbookViewId="0">
      <pane ySplit="3" topLeftCell="A4" activePane="bottomLeft" state="frozen"/>
      <selection pane="bottomLeft" activeCell="B5" sqref="B5"/>
    </sheetView>
  </sheetViews>
  <sheetFormatPr defaultColWidth="12.6328125" defaultRowHeight="15" customHeight="1"/>
  <cols>
    <col min="1" max="10" width="7.6328125" customWidth="1"/>
    <col min="11" max="11" width="3.36328125" customWidth="1"/>
    <col min="12" max="13" width="7.6328125" customWidth="1"/>
    <col min="14" max="14" width="5.36328125" customWidth="1"/>
    <col min="15" max="15" width="6.08984375" customWidth="1"/>
    <col min="16" max="16" width="7.6328125" customWidth="1"/>
    <col min="17" max="18" width="6.453125" customWidth="1"/>
    <col min="19" max="20" width="7.6328125" customWidth="1"/>
    <col min="21" max="22" width="7.08984375" customWidth="1"/>
    <col min="23" max="23" width="7.6328125" customWidth="1"/>
    <col min="24" max="24" width="6.7265625" customWidth="1"/>
    <col min="25" max="25" width="7.08984375" customWidth="1"/>
    <col min="26" max="38" width="7.6328125" customWidth="1"/>
  </cols>
  <sheetData>
    <row r="1" spans="1:38" ht="18.75" customHeight="1">
      <c r="A1" s="595" t="s">
        <v>4759</v>
      </c>
      <c r="D1" s="595" t="s">
        <v>3577</v>
      </c>
      <c r="L1" s="595" t="s">
        <v>4759</v>
      </c>
      <c r="O1" s="595" t="s">
        <v>54</v>
      </c>
    </row>
    <row r="2" spans="1:38" ht="18.75" customHeight="1">
      <c r="A2" s="1431"/>
      <c r="B2" s="1693" t="s">
        <v>3646</v>
      </c>
      <c r="C2" s="1613"/>
      <c r="D2" s="1610"/>
      <c r="E2" s="1694" t="s">
        <v>4760</v>
      </c>
      <c r="F2" s="1613"/>
      <c r="G2" s="1610"/>
      <c r="H2" s="1695" t="s">
        <v>3142</v>
      </c>
      <c r="I2" s="1613"/>
      <c r="J2" s="1610"/>
      <c r="L2" s="1431"/>
      <c r="M2" s="1696" t="s">
        <v>3646</v>
      </c>
      <c r="N2" s="1613"/>
      <c r="O2" s="1613"/>
      <c r="P2" s="1613"/>
      <c r="Q2" s="1613"/>
      <c r="R2" s="1613"/>
      <c r="S2" s="1610"/>
      <c r="T2" s="1694" t="s">
        <v>4760</v>
      </c>
      <c r="U2" s="1613"/>
      <c r="V2" s="1613"/>
      <c r="W2" s="1613"/>
      <c r="X2" s="1613"/>
      <c r="Y2" s="1613"/>
      <c r="Z2" s="1610"/>
      <c r="AA2" s="1697" t="s">
        <v>3142</v>
      </c>
      <c r="AB2" s="1613"/>
      <c r="AC2" s="1613"/>
      <c r="AD2" s="1613"/>
      <c r="AE2" s="1613"/>
      <c r="AF2" s="1613"/>
      <c r="AG2" s="1610"/>
    </row>
    <row r="3" spans="1:38" ht="18.75" customHeight="1">
      <c r="A3" s="1432" t="s">
        <v>4761</v>
      </c>
      <c r="B3" s="1433" t="s">
        <v>261</v>
      </c>
      <c r="C3" s="1433" t="s">
        <v>60</v>
      </c>
      <c r="D3" s="1434" t="s">
        <v>4762</v>
      </c>
      <c r="E3" s="1435" t="s">
        <v>261</v>
      </c>
      <c r="F3" s="1435" t="s">
        <v>60</v>
      </c>
      <c r="G3" s="1436" t="s">
        <v>4763</v>
      </c>
      <c r="H3" s="1437" t="s">
        <v>261</v>
      </c>
      <c r="I3" s="1437" t="s">
        <v>60</v>
      </c>
      <c r="J3" s="1438" t="s">
        <v>4764</v>
      </c>
      <c r="K3" s="1439"/>
      <c r="L3" s="1432" t="s">
        <v>4761</v>
      </c>
      <c r="M3" s="1440" t="s">
        <v>261</v>
      </c>
      <c r="N3" s="1441" t="s">
        <v>55</v>
      </c>
      <c r="O3" s="1442" t="s">
        <v>611</v>
      </c>
      <c r="P3" s="1440" t="s">
        <v>60</v>
      </c>
      <c r="Q3" s="1441" t="s">
        <v>55</v>
      </c>
      <c r="R3" s="1442" t="s">
        <v>611</v>
      </c>
      <c r="S3" s="1440" t="s">
        <v>4762</v>
      </c>
      <c r="T3" s="1443" t="s">
        <v>261</v>
      </c>
      <c r="U3" s="1444" t="s">
        <v>55</v>
      </c>
      <c r="V3" s="1444" t="s">
        <v>611</v>
      </c>
      <c r="W3" s="1443" t="s">
        <v>60</v>
      </c>
      <c r="X3" s="1444" t="s">
        <v>55</v>
      </c>
      <c r="Y3" s="1444" t="s">
        <v>611</v>
      </c>
      <c r="Z3" s="1436" t="s">
        <v>4763</v>
      </c>
      <c r="AA3" s="1438" t="s">
        <v>261</v>
      </c>
      <c r="AB3" s="1445" t="s">
        <v>55</v>
      </c>
      <c r="AC3" s="1446" t="s">
        <v>611</v>
      </c>
      <c r="AD3" s="1438" t="s">
        <v>60</v>
      </c>
      <c r="AE3" s="1445" t="s">
        <v>55</v>
      </c>
      <c r="AF3" s="1446" t="s">
        <v>611</v>
      </c>
      <c r="AG3" s="1438" t="s">
        <v>4764</v>
      </c>
    </row>
    <row r="4" spans="1:38" ht="18.75" customHeight="1">
      <c r="A4" s="1447" t="s">
        <v>205</v>
      </c>
      <c r="B4" s="1448">
        <v>0</v>
      </c>
      <c r="C4" s="1448">
        <v>0</v>
      </c>
      <c r="D4" s="1449">
        <v>0</v>
      </c>
      <c r="E4" s="1450">
        <v>0</v>
      </c>
      <c r="F4" s="1450">
        <v>4</v>
      </c>
      <c r="G4" s="1451">
        <v>4</v>
      </c>
      <c r="H4" s="1452">
        <v>7</v>
      </c>
      <c r="I4" s="1452">
        <v>21</v>
      </c>
      <c r="J4" s="1453">
        <f t="shared" ref="J4:J44" si="0">H4+I4</f>
        <v>28</v>
      </c>
      <c r="L4" s="1447" t="s">
        <v>205</v>
      </c>
      <c r="M4" s="1454">
        <v>5</v>
      </c>
      <c r="N4" s="1455">
        <v>1</v>
      </c>
      <c r="O4" s="1455">
        <v>4</v>
      </c>
      <c r="P4" s="1454">
        <v>7</v>
      </c>
      <c r="Q4" s="1455">
        <v>3</v>
      </c>
      <c r="R4" s="1455">
        <v>4</v>
      </c>
      <c r="S4" s="1454">
        <f t="shared" ref="S4:S44" si="1">M4+P4</f>
        <v>12</v>
      </c>
      <c r="T4" s="1456">
        <v>1</v>
      </c>
      <c r="U4" s="1457">
        <v>1</v>
      </c>
      <c r="V4" s="1457"/>
      <c r="W4" s="1456">
        <v>0</v>
      </c>
      <c r="X4" s="1457"/>
      <c r="Y4" s="1457"/>
      <c r="Z4" s="1451">
        <f t="shared" ref="Z4:Z44" si="2">T4+W4</f>
        <v>1</v>
      </c>
      <c r="AA4" s="1453">
        <v>12</v>
      </c>
      <c r="AB4" s="1458">
        <v>6</v>
      </c>
      <c r="AC4" s="1458">
        <v>6</v>
      </c>
      <c r="AD4" s="1453">
        <v>39</v>
      </c>
      <c r="AE4" s="1458">
        <v>15</v>
      </c>
      <c r="AF4" s="1458">
        <v>24</v>
      </c>
      <c r="AG4" s="1453">
        <f t="shared" ref="AG4:AG44" si="3">AA4+AD4</f>
        <v>51</v>
      </c>
    </row>
    <row r="5" spans="1:38" ht="18.75" customHeight="1">
      <c r="A5" s="1447" t="s">
        <v>426</v>
      </c>
      <c r="B5" s="1448">
        <v>0</v>
      </c>
      <c r="C5" s="1448">
        <v>0</v>
      </c>
      <c r="D5" s="1449">
        <v>0</v>
      </c>
      <c r="E5" s="1450">
        <v>0</v>
      </c>
      <c r="F5" s="1450">
        <v>0</v>
      </c>
      <c r="G5" s="1451">
        <v>0</v>
      </c>
      <c r="H5" s="1452">
        <f t="shared" ref="H5:I5" si="4">H4+B5-E5</f>
        <v>7</v>
      </c>
      <c r="I5" s="1452">
        <f t="shared" si="4"/>
        <v>21</v>
      </c>
      <c r="J5" s="1453">
        <f t="shared" si="0"/>
        <v>28</v>
      </c>
      <c r="L5" s="1447" t="s">
        <v>426</v>
      </c>
      <c r="M5" s="1454">
        <v>0</v>
      </c>
      <c r="N5" s="1455"/>
      <c r="O5" s="1455"/>
      <c r="P5" s="1454">
        <v>1</v>
      </c>
      <c r="Q5" s="1455">
        <v>1</v>
      </c>
      <c r="R5" s="1455"/>
      <c r="S5" s="1454">
        <f t="shared" si="1"/>
        <v>1</v>
      </c>
      <c r="T5" s="1456">
        <v>0</v>
      </c>
      <c r="U5" s="1457"/>
      <c r="V5" s="1457"/>
      <c r="W5" s="1456">
        <v>0</v>
      </c>
      <c r="X5" s="1457"/>
      <c r="Y5" s="1457"/>
      <c r="Z5" s="1451">
        <f t="shared" si="2"/>
        <v>0</v>
      </c>
      <c r="AA5" s="1453">
        <f t="shared" ref="AA5:AF5" si="5">AA4+M5-T5</f>
        <v>12</v>
      </c>
      <c r="AB5" s="1458">
        <f t="shared" si="5"/>
        <v>6</v>
      </c>
      <c r="AC5" s="1458">
        <f t="shared" si="5"/>
        <v>6</v>
      </c>
      <c r="AD5" s="1453">
        <f t="shared" si="5"/>
        <v>40</v>
      </c>
      <c r="AE5" s="1458">
        <f t="shared" si="5"/>
        <v>16</v>
      </c>
      <c r="AF5" s="1458">
        <f t="shared" si="5"/>
        <v>24</v>
      </c>
      <c r="AG5" s="1453">
        <f t="shared" si="3"/>
        <v>52</v>
      </c>
    </row>
    <row r="6" spans="1:38" ht="18.75" customHeight="1">
      <c r="A6" s="1447" t="s">
        <v>4765</v>
      </c>
      <c r="B6" s="1448">
        <v>0</v>
      </c>
      <c r="C6" s="1448">
        <v>0</v>
      </c>
      <c r="D6" s="1449">
        <v>0</v>
      </c>
      <c r="E6" s="1450">
        <v>0</v>
      </c>
      <c r="F6" s="1450">
        <v>2</v>
      </c>
      <c r="G6" s="1451">
        <v>2</v>
      </c>
      <c r="H6" s="1452">
        <f t="shared" ref="H6:I6" si="6">H5+B6-E6</f>
        <v>7</v>
      </c>
      <c r="I6" s="1452">
        <f t="shared" si="6"/>
        <v>19</v>
      </c>
      <c r="J6" s="1453">
        <f t="shared" si="0"/>
        <v>26</v>
      </c>
      <c r="L6" s="1447" t="s">
        <v>4765</v>
      </c>
      <c r="M6" s="1454">
        <v>0</v>
      </c>
      <c r="N6" s="1455"/>
      <c r="O6" s="1455"/>
      <c r="P6" s="1454">
        <v>1</v>
      </c>
      <c r="Q6" s="1455">
        <v>1</v>
      </c>
      <c r="R6" s="1455"/>
      <c r="S6" s="1454">
        <f t="shared" si="1"/>
        <v>1</v>
      </c>
      <c r="T6" s="1456">
        <v>0</v>
      </c>
      <c r="U6" s="1457"/>
      <c r="V6" s="1457"/>
      <c r="W6" s="1456">
        <v>2</v>
      </c>
      <c r="X6" s="1457">
        <v>1</v>
      </c>
      <c r="Y6" s="1457">
        <v>1</v>
      </c>
      <c r="Z6" s="1451">
        <f t="shared" si="2"/>
        <v>2</v>
      </c>
      <c r="AA6" s="1453">
        <f t="shared" ref="AA6:AF6" si="7">AA5+M6-T6</f>
        <v>12</v>
      </c>
      <c r="AB6" s="1458">
        <f t="shared" si="7"/>
        <v>6</v>
      </c>
      <c r="AC6" s="1458">
        <f t="shared" si="7"/>
        <v>6</v>
      </c>
      <c r="AD6" s="1453">
        <f t="shared" si="7"/>
        <v>39</v>
      </c>
      <c r="AE6" s="1458">
        <f t="shared" si="7"/>
        <v>16</v>
      </c>
      <c r="AF6" s="1458">
        <f t="shared" si="7"/>
        <v>23</v>
      </c>
      <c r="AG6" s="1453">
        <f t="shared" si="3"/>
        <v>51</v>
      </c>
    </row>
    <row r="7" spans="1:38" ht="18.75" customHeight="1">
      <c r="A7" s="1447" t="s">
        <v>4766</v>
      </c>
      <c r="B7" s="1448">
        <v>0</v>
      </c>
      <c r="C7" s="1448">
        <v>0</v>
      </c>
      <c r="D7" s="1449">
        <v>0</v>
      </c>
      <c r="E7" s="1450">
        <v>0</v>
      </c>
      <c r="F7" s="1450">
        <v>0</v>
      </c>
      <c r="G7" s="1451">
        <v>0</v>
      </c>
      <c r="H7" s="1452">
        <f t="shared" ref="H7:I7" si="8">H6+B7-E7</f>
        <v>7</v>
      </c>
      <c r="I7" s="1452">
        <f t="shared" si="8"/>
        <v>19</v>
      </c>
      <c r="J7" s="1453">
        <f t="shared" si="0"/>
        <v>26</v>
      </c>
      <c r="L7" s="1447" t="s">
        <v>4766</v>
      </c>
      <c r="M7" s="1454">
        <v>9</v>
      </c>
      <c r="N7" s="1455"/>
      <c r="O7" s="1455">
        <v>9</v>
      </c>
      <c r="P7" s="1454">
        <v>0</v>
      </c>
      <c r="Q7" s="1455"/>
      <c r="R7" s="1455"/>
      <c r="S7" s="1454">
        <f t="shared" si="1"/>
        <v>9</v>
      </c>
      <c r="T7" s="1456">
        <v>0</v>
      </c>
      <c r="U7" s="1457"/>
      <c r="V7" s="1457"/>
      <c r="W7" s="1456">
        <v>1</v>
      </c>
      <c r="X7" s="1457"/>
      <c r="Y7" s="1457">
        <v>1</v>
      </c>
      <c r="Z7" s="1451">
        <f t="shared" si="2"/>
        <v>1</v>
      </c>
      <c r="AA7" s="1453">
        <f t="shared" ref="AA7:AF7" si="9">AA6+M7-T7</f>
        <v>21</v>
      </c>
      <c r="AB7" s="1458">
        <f t="shared" si="9"/>
        <v>6</v>
      </c>
      <c r="AC7" s="1458">
        <f t="shared" si="9"/>
        <v>15</v>
      </c>
      <c r="AD7" s="1453">
        <f t="shared" si="9"/>
        <v>38</v>
      </c>
      <c r="AE7" s="1458">
        <f t="shared" si="9"/>
        <v>16</v>
      </c>
      <c r="AF7" s="1458">
        <f t="shared" si="9"/>
        <v>22</v>
      </c>
      <c r="AG7" s="1453">
        <f t="shared" si="3"/>
        <v>59</v>
      </c>
    </row>
    <row r="8" spans="1:38" ht="18.75" customHeight="1">
      <c r="A8" s="1447" t="s">
        <v>4767</v>
      </c>
      <c r="B8" s="1448">
        <v>0</v>
      </c>
      <c r="C8" s="1448">
        <v>0</v>
      </c>
      <c r="D8" s="1449">
        <v>0</v>
      </c>
      <c r="E8" s="1450">
        <v>0</v>
      </c>
      <c r="F8" s="1450">
        <v>2</v>
      </c>
      <c r="G8" s="1451">
        <v>2</v>
      </c>
      <c r="H8" s="1452">
        <f t="shared" ref="H8:I8" si="10">H7+B8-E8</f>
        <v>7</v>
      </c>
      <c r="I8" s="1452">
        <f t="shared" si="10"/>
        <v>17</v>
      </c>
      <c r="J8" s="1453">
        <f t="shared" si="0"/>
        <v>24</v>
      </c>
      <c r="L8" s="1447" t="s">
        <v>4767</v>
      </c>
      <c r="M8" s="1454">
        <v>1</v>
      </c>
      <c r="N8" s="1455">
        <v>1</v>
      </c>
      <c r="O8" s="1455"/>
      <c r="P8" s="1454">
        <v>4</v>
      </c>
      <c r="Q8" s="1455"/>
      <c r="R8" s="1455">
        <v>4</v>
      </c>
      <c r="S8" s="1454">
        <f t="shared" si="1"/>
        <v>5</v>
      </c>
      <c r="T8" s="1456">
        <v>0</v>
      </c>
      <c r="U8" s="1457"/>
      <c r="V8" s="1457"/>
      <c r="W8" s="1456">
        <v>0</v>
      </c>
      <c r="X8" s="1457"/>
      <c r="Y8" s="1457"/>
      <c r="Z8" s="1451">
        <f t="shared" si="2"/>
        <v>0</v>
      </c>
      <c r="AA8" s="1453">
        <f t="shared" ref="AA8:AF8" si="11">AA7+M8-T8</f>
        <v>22</v>
      </c>
      <c r="AB8" s="1458">
        <f t="shared" si="11"/>
        <v>7</v>
      </c>
      <c r="AC8" s="1458">
        <f t="shared" si="11"/>
        <v>15</v>
      </c>
      <c r="AD8" s="1453">
        <f t="shared" si="11"/>
        <v>42</v>
      </c>
      <c r="AE8" s="1458">
        <f t="shared" si="11"/>
        <v>16</v>
      </c>
      <c r="AF8" s="1458">
        <f t="shared" si="11"/>
        <v>26</v>
      </c>
      <c r="AG8" s="1453">
        <f t="shared" si="3"/>
        <v>64</v>
      </c>
    </row>
    <row r="9" spans="1:38" ht="18.75" customHeight="1">
      <c r="A9" s="1447" t="s">
        <v>4768</v>
      </c>
      <c r="B9" s="1448">
        <v>0</v>
      </c>
      <c r="C9" s="1448">
        <v>6</v>
      </c>
      <c r="D9" s="1449">
        <v>6</v>
      </c>
      <c r="E9" s="1450">
        <v>0</v>
      </c>
      <c r="F9" s="1450">
        <v>0</v>
      </c>
      <c r="G9" s="1451">
        <v>0</v>
      </c>
      <c r="H9" s="1452">
        <f t="shared" ref="H9:I9" si="12">H8+B9-E9</f>
        <v>7</v>
      </c>
      <c r="I9" s="1452">
        <f t="shared" si="12"/>
        <v>23</v>
      </c>
      <c r="J9" s="1453">
        <f t="shared" si="0"/>
        <v>30</v>
      </c>
      <c r="L9" s="1447" t="s">
        <v>4768</v>
      </c>
      <c r="M9" s="1454">
        <v>0</v>
      </c>
      <c r="N9" s="1455"/>
      <c r="O9" s="1455"/>
      <c r="P9" s="1454">
        <v>9</v>
      </c>
      <c r="Q9" s="1455"/>
      <c r="R9" s="1455">
        <v>9</v>
      </c>
      <c r="S9" s="1454">
        <f t="shared" si="1"/>
        <v>9</v>
      </c>
      <c r="T9" s="1456">
        <v>1</v>
      </c>
      <c r="U9" s="1457">
        <v>1</v>
      </c>
      <c r="V9" s="1457"/>
      <c r="W9" s="1456">
        <v>0</v>
      </c>
      <c r="X9" s="1457"/>
      <c r="Y9" s="1457"/>
      <c r="Z9" s="1451">
        <f t="shared" si="2"/>
        <v>1</v>
      </c>
      <c r="AA9" s="1453">
        <f t="shared" ref="AA9:AF9" si="13">AA8+M9-T9</f>
        <v>21</v>
      </c>
      <c r="AB9" s="1458">
        <f t="shared" si="13"/>
        <v>6</v>
      </c>
      <c r="AC9" s="1458">
        <f t="shared" si="13"/>
        <v>15</v>
      </c>
      <c r="AD9" s="1453">
        <f t="shared" si="13"/>
        <v>51</v>
      </c>
      <c r="AE9" s="1458">
        <f t="shared" si="13"/>
        <v>16</v>
      </c>
      <c r="AF9" s="1458">
        <f t="shared" si="13"/>
        <v>35</v>
      </c>
      <c r="AG9" s="1453">
        <f t="shared" si="3"/>
        <v>72</v>
      </c>
    </row>
    <row r="10" spans="1:38" ht="18.75" customHeight="1">
      <c r="A10" s="1447" t="s">
        <v>4769</v>
      </c>
      <c r="B10" s="1448">
        <v>0</v>
      </c>
      <c r="C10" s="1448">
        <v>0</v>
      </c>
      <c r="D10" s="1449">
        <v>0</v>
      </c>
      <c r="E10" s="1450">
        <v>0</v>
      </c>
      <c r="F10" s="1450">
        <v>0</v>
      </c>
      <c r="G10" s="1451">
        <v>0</v>
      </c>
      <c r="H10" s="1452">
        <f t="shared" ref="H10:I10" si="14">H9+B10-E10</f>
        <v>7</v>
      </c>
      <c r="I10" s="1452">
        <f t="shared" si="14"/>
        <v>23</v>
      </c>
      <c r="J10" s="1453">
        <f t="shared" si="0"/>
        <v>30</v>
      </c>
      <c r="L10" s="1447" t="s">
        <v>4769</v>
      </c>
      <c r="M10" s="1454">
        <v>0</v>
      </c>
      <c r="N10" s="1455"/>
      <c r="O10" s="1455"/>
      <c r="P10" s="1454">
        <v>2</v>
      </c>
      <c r="Q10" s="1455">
        <v>1</v>
      </c>
      <c r="R10" s="1455">
        <v>1</v>
      </c>
      <c r="S10" s="1454">
        <f t="shared" si="1"/>
        <v>2</v>
      </c>
      <c r="T10" s="1456">
        <v>0</v>
      </c>
      <c r="U10" s="1457"/>
      <c r="V10" s="1457"/>
      <c r="W10" s="1456">
        <v>1</v>
      </c>
      <c r="X10" s="1457">
        <v>1</v>
      </c>
      <c r="Y10" s="1457"/>
      <c r="Z10" s="1451">
        <f t="shared" si="2"/>
        <v>1</v>
      </c>
      <c r="AA10" s="1453">
        <f t="shared" ref="AA10:AF10" si="15">AA9+M10-T10</f>
        <v>21</v>
      </c>
      <c r="AB10" s="1458">
        <f t="shared" si="15"/>
        <v>6</v>
      </c>
      <c r="AC10" s="1458">
        <f t="shared" si="15"/>
        <v>15</v>
      </c>
      <c r="AD10" s="1453">
        <f t="shared" si="15"/>
        <v>52</v>
      </c>
      <c r="AE10" s="1458">
        <f t="shared" si="15"/>
        <v>16</v>
      </c>
      <c r="AF10" s="1458">
        <f t="shared" si="15"/>
        <v>36</v>
      </c>
      <c r="AG10" s="1453">
        <f t="shared" si="3"/>
        <v>73</v>
      </c>
    </row>
    <row r="11" spans="1:38" ht="18.75" customHeight="1">
      <c r="A11" s="1447" t="s">
        <v>4770</v>
      </c>
      <c r="B11" s="1448">
        <v>1</v>
      </c>
      <c r="C11" s="1448">
        <v>2</v>
      </c>
      <c r="D11" s="1449">
        <f t="shared" ref="D11:D44" si="16">B11+C11</f>
        <v>3</v>
      </c>
      <c r="E11" s="1450">
        <v>0</v>
      </c>
      <c r="F11" s="1450">
        <v>0</v>
      </c>
      <c r="G11" s="1451">
        <f t="shared" ref="G11:G44" si="17">E11+F11</f>
        <v>0</v>
      </c>
      <c r="H11" s="1452">
        <f t="shared" ref="H11:I11" si="18">H10+B11-E11</f>
        <v>8</v>
      </c>
      <c r="I11" s="1452">
        <f t="shared" si="18"/>
        <v>25</v>
      </c>
      <c r="J11" s="1453">
        <f t="shared" si="0"/>
        <v>33</v>
      </c>
      <c r="L11" s="1459" t="s">
        <v>4770</v>
      </c>
      <c r="M11" s="1454">
        <v>0</v>
      </c>
      <c r="N11" s="1455"/>
      <c r="O11" s="1455"/>
      <c r="P11" s="1454">
        <v>0</v>
      </c>
      <c r="Q11" s="1455"/>
      <c r="R11" s="1455"/>
      <c r="S11" s="1454">
        <f t="shared" si="1"/>
        <v>0</v>
      </c>
      <c r="T11" s="1456">
        <v>0</v>
      </c>
      <c r="U11" s="1457"/>
      <c r="V11" s="1457"/>
      <c r="W11" s="1456">
        <v>1</v>
      </c>
      <c r="X11" s="1457">
        <v>1</v>
      </c>
      <c r="Y11" s="1457"/>
      <c r="Z11" s="1451">
        <f t="shared" si="2"/>
        <v>1</v>
      </c>
      <c r="AA11" s="1453">
        <f t="shared" ref="AA11:AF11" si="19">AA10+M11-T11</f>
        <v>21</v>
      </c>
      <c r="AB11" s="1458">
        <f t="shared" si="19"/>
        <v>6</v>
      </c>
      <c r="AC11" s="1458">
        <f t="shared" si="19"/>
        <v>15</v>
      </c>
      <c r="AD11" s="1453">
        <f t="shared" si="19"/>
        <v>51</v>
      </c>
      <c r="AE11" s="1458">
        <f t="shared" si="19"/>
        <v>15</v>
      </c>
      <c r="AF11" s="1458">
        <f t="shared" si="19"/>
        <v>36</v>
      </c>
      <c r="AG11" s="1453">
        <f t="shared" si="3"/>
        <v>72</v>
      </c>
    </row>
    <row r="12" spans="1:38" ht="18.75" customHeight="1">
      <c r="A12" s="1447" t="s">
        <v>4771</v>
      </c>
      <c r="B12" s="1448">
        <v>0</v>
      </c>
      <c r="C12" s="1448">
        <v>0</v>
      </c>
      <c r="D12" s="1449">
        <f t="shared" si="16"/>
        <v>0</v>
      </c>
      <c r="E12" s="1450">
        <v>0</v>
      </c>
      <c r="F12" s="1450">
        <v>1</v>
      </c>
      <c r="G12" s="1451">
        <f t="shared" si="17"/>
        <v>1</v>
      </c>
      <c r="H12" s="1452">
        <f t="shared" ref="H12:I12" si="20">H11+B12-E12</f>
        <v>8</v>
      </c>
      <c r="I12" s="1452">
        <f t="shared" si="20"/>
        <v>24</v>
      </c>
      <c r="J12" s="1453">
        <f t="shared" si="0"/>
        <v>32</v>
      </c>
      <c r="K12" s="1460"/>
      <c r="L12" s="1459" t="s">
        <v>4771</v>
      </c>
      <c r="M12" s="1454">
        <v>0</v>
      </c>
      <c r="N12" s="1455"/>
      <c r="O12" s="1455"/>
      <c r="P12" s="1454">
        <v>0</v>
      </c>
      <c r="Q12" s="1455"/>
      <c r="R12" s="1455"/>
      <c r="S12" s="1454">
        <f t="shared" si="1"/>
        <v>0</v>
      </c>
      <c r="T12" s="1456">
        <v>0</v>
      </c>
      <c r="U12" s="1457"/>
      <c r="V12" s="1457"/>
      <c r="W12" s="1456">
        <v>1</v>
      </c>
      <c r="X12" s="1457"/>
      <c r="Y12" s="1457">
        <v>1</v>
      </c>
      <c r="Z12" s="1451">
        <f t="shared" si="2"/>
        <v>1</v>
      </c>
      <c r="AA12" s="1453">
        <f t="shared" ref="AA12:AF12" si="21">AA11+M12-T12</f>
        <v>21</v>
      </c>
      <c r="AB12" s="1458">
        <f t="shared" si="21"/>
        <v>6</v>
      </c>
      <c r="AC12" s="1458">
        <f t="shared" si="21"/>
        <v>15</v>
      </c>
      <c r="AD12" s="1453">
        <f t="shared" si="21"/>
        <v>50</v>
      </c>
      <c r="AE12" s="1458">
        <f t="shared" si="21"/>
        <v>15</v>
      </c>
      <c r="AF12" s="1458">
        <f t="shared" si="21"/>
        <v>35</v>
      </c>
      <c r="AG12" s="1453">
        <f t="shared" si="3"/>
        <v>71</v>
      </c>
      <c r="AH12" s="1460"/>
      <c r="AI12" s="1460"/>
      <c r="AJ12" s="1460"/>
      <c r="AK12" s="1460"/>
      <c r="AL12" s="1460"/>
    </row>
    <row r="13" spans="1:38" ht="18.75" customHeight="1">
      <c r="A13" s="1447" t="s">
        <v>4772</v>
      </c>
      <c r="B13" s="1448">
        <v>0</v>
      </c>
      <c r="C13" s="1448">
        <v>0</v>
      </c>
      <c r="D13" s="1449">
        <f t="shared" si="16"/>
        <v>0</v>
      </c>
      <c r="E13" s="1450">
        <v>0</v>
      </c>
      <c r="F13" s="1450">
        <v>0</v>
      </c>
      <c r="G13" s="1451">
        <f t="shared" si="17"/>
        <v>0</v>
      </c>
      <c r="H13" s="1452">
        <f t="shared" ref="H13:I13" si="22">H12+B13-E13</f>
        <v>8</v>
      </c>
      <c r="I13" s="1452">
        <f t="shared" si="22"/>
        <v>24</v>
      </c>
      <c r="J13" s="1453">
        <f t="shared" si="0"/>
        <v>32</v>
      </c>
      <c r="K13" s="1460"/>
      <c r="L13" s="1459" t="s">
        <v>4772</v>
      </c>
      <c r="M13" s="1454">
        <v>0</v>
      </c>
      <c r="N13" s="1455"/>
      <c r="O13" s="1455"/>
      <c r="P13" s="1454">
        <v>14</v>
      </c>
      <c r="Q13" s="1455">
        <v>1</v>
      </c>
      <c r="R13" s="1455">
        <v>13</v>
      </c>
      <c r="S13" s="1454">
        <f t="shared" si="1"/>
        <v>14</v>
      </c>
      <c r="T13" s="1456">
        <v>0</v>
      </c>
      <c r="U13" s="1457"/>
      <c r="V13" s="1457"/>
      <c r="W13" s="1456">
        <v>0</v>
      </c>
      <c r="X13" s="1457"/>
      <c r="Y13" s="1457"/>
      <c r="Z13" s="1451">
        <f t="shared" si="2"/>
        <v>0</v>
      </c>
      <c r="AA13" s="1453">
        <f t="shared" ref="AA13:AF13" si="23">AA12+M13-T13</f>
        <v>21</v>
      </c>
      <c r="AB13" s="1458">
        <f t="shared" si="23"/>
        <v>6</v>
      </c>
      <c r="AC13" s="1458">
        <f t="shared" si="23"/>
        <v>15</v>
      </c>
      <c r="AD13" s="1453">
        <f t="shared" si="23"/>
        <v>64</v>
      </c>
      <c r="AE13" s="1458">
        <f t="shared" si="23"/>
        <v>16</v>
      </c>
      <c r="AF13" s="1458">
        <f t="shared" si="23"/>
        <v>48</v>
      </c>
      <c r="AG13" s="1453">
        <f t="shared" si="3"/>
        <v>85</v>
      </c>
      <c r="AH13" s="1460"/>
      <c r="AI13" s="1460"/>
      <c r="AJ13" s="1460"/>
      <c r="AK13" s="1460"/>
      <c r="AL13" s="1460"/>
    </row>
    <row r="14" spans="1:38" ht="18.75" customHeight="1">
      <c r="A14" s="1447" t="s">
        <v>118</v>
      </c>
      <c r="B14" s="1448">
        <v>0</v>
      </c>
      <c r="C14" s="1448">
        <v>0</v>
      </c>
      <c r="D14" s="1449">
        <f t="shared" si="16"/>
        <v>0</v>
      </c>
      <c r="E14" s="1450">
        <v>0</v>
      </c>
      <c r="F14" s="1450">
        <v>1</v>
      </c>
      <c r="G14" s="1451">
        <f t="shared" si="17"/>
        <v>1</v>
      </c>
      <c r="H14" s="1452">
        <f t="shared" ref="H14:I14" si="24">H13+B14-E14</f>
        <v>8</v>
      </c>
      <c r="I14" s="1452">
        <f t="shared" si="24"/>
        <v>23</v>
      </c>
      <c r="J14" s="1453">
        <f t="shared" si="0"/>
        <v>31</v>
      </c>
      <c r="K14" s="1460"/>
      <c r="L14" s="1459" t="s">
        <v>118</v>
      </c>
      <c r="M14" s="1454">
        <v>1</v>
      </c>
      <c r="N14" s="1455">
        <v>1</v>
      </c>
      <c r="O14" s="1455"/>
      <c r="P14" s="1454">
        <v>0</v>
      </c>
      <c r="Q14" s="1455"/>
      <c r="R14" s="1455"/>
      <c r="S14" s="1454">
        <f t="shared" si="1"/>
        <v>1</v>
      </c>
      <c r="T14" s="1456">
        <v>0</v>
      </c>
      <c r="U14" s="1457"/>
      <c r="V14" s="1457"/>
      <c r="W14" s="1456">
        <v>2</v>
      </c>
      <c r="X14" s="1457">
        <v>1</v>
      </c>
      <c r="Y14" s="1457">
        <v>1</v>
      </c>
      <c r="Z14" s="1451">
        <f t="shared" si="2"/>
        <v>2</v>
      </c>
      <c r="AA14" s="1453">
        <f t="shared" ref="AA14:AF14" si="25">AA13+M14-T14</f>
        <v>22</v>
      </c>
      <c r="AB14" s="1458">
        <f t="shared" si="25"/>
        <v>7</v>
      </c>
      <c r="AC14" s="1458">
        <f t="shared" si="25"/>
        <v>15</v>
      </c>
      <c r="AD14" s="1453">
        <f t="shared" si="25"/>
        <v>62</v>
      </c>
      <c r="AE14" s="1458">
        <f t="shared" si="25"/>
        <v>15</v>
      </c>
      <c r="AF14" s="1458">
        <f t="shared" si="25"/>
        <v>47</v>
      </c>
      <c r="AG14" s="1453">
        <f t="shared" si="3"/>
        <v>84</v>
      </c>
      <c r="AH14" s="1460"/>
      <c r="AI14" s="1460"/>
      <c r="AJ14" s="1460"/>
      <c r="AK14" s="1460"/>
      <c r="AL14" s="1460"/>
    </row>
    <row r="15" spans="1:38" ht="18.75" customHeight="1">
      <c r="A15" s="1447" t="s">
        <v>4773</v>
      </c>
      <c r="B15" s="1448">
        <v>0</v>
      </c>
      <c r="C15" s="1448">
        <v>0</v>
      </c>
      <c r="D15" s="1449">
        <f t="shared" si="16"/>
        <v>0</v>
      </c>
      <c r="E15" s="1450">
        <v>0</v>
      </c>
      <c r="F15" s="1450">
        <v>1</v>
      </c>
      <c r="G15" s="1451">
        <f t="shared" si="17"/>
        <v>1</v>
      </c>
      <c r="H15" s="1452">
        <f t="shared" ref="H15:I15" si="26">H14+B15-E15</f>
        <v>8</v>
      </c>
      <c r="I15" s="1452">
        <f t="shared" si="26"/>
        <v>22</v>
      </c>
      <c r="J15" s="1453">
        <f t="shared" si="0"/>
        <v>30</v>
      </c>
      <c r="K15" s="1460"/>
      <c r="L15" s="1459" t="s">
        <v>4773</v>
      </c>
      <c r="M15" s="1454">
        <v>0</v>
      </c>
      <c r="N15" s="1455"/>
      <c r="O15" s="1455"/>
      <c r="P15" s="1454">
        <v>0</v>
      </c>
      <c r="Q15" s="1455"/>
      <c r="R15" s="1455"/>
      <c r="S15" s="1454">
        <f t="shared" si="1"/>
        <v>0</v>
      </c>
      <c r="T15" s="1456">
        <v>0</v>
      </c>
      <c r="U15" s="1457"/>
      <c r="V15" s="1457"/>
      <c r="W15" s="1456">
        <v>2</v>
      </c>
      <c r="X15" s="1457">
        <v>1</v>
      </c>
      <c r="Y15" s="1457">
        <v>1</v>
      </c>
      <c r="Z15" s="1451">
        <f t="shared" si="2"/>
        <v>2</v>
      </c>
      <c r="AA15" s="1453">
        <f t="shared" ref="AA15:AF15" si="27">AA14+M15-T15</f>
        <v>22</v>
      </c>
      <c r="AB15" s="1458">
        <f t="shared" si="27"/>
        <v>7</v>
      </c>
      <c r="AC15" s="1458">
        <f t="shared" si="27"/>
        <v>15</v>
      </c>
      <c r="AD15" s="1453">
        <f t="shared" si="27"/>
        <v>60</v>
      </c>
      <c r="AE15" s="1458">
        <f t="shared" si="27"/>
        <v>14</v>
      </c>
      <c r="AF15" s="1458">
        <f t="shared" si="27"/>
        <v>46</v>
      </c>
      <c r="AG15" s="1453">
        <f t="shared" si="3"/>
        <v>82</v>
      </c>
      <c r="AH15" s="1460"/>
      <c r="AI15" s="1460"/>
      <c r="AJ15" s="1460"/>
      <c r="AK15" s="1460"/>
      <c r="AL15" s="1460"/>
    </row>
    <row r="16" spans="1:38" ht="18.75" customHeight="1">
      <c r="A16" s="1447" t="s">
        <v>4774</v>
      </c>
      <c r="B16" s="1448">
        <v>0</v>
      </c>
      <c r="C16" s="1448">
        <v>0</v>
      </c>
      <c r="D16" s="1449">
        <f t="shared" si="16"/>
        <v>0</v>
      </c>
      <c r="E16" s="1450">
        <v>0</v>
      </c>
      <c r="F16" s="1450">
        <v>0</v>
      </c>
      <c r="G16" s="1451">
        <f t="shared" si="17"/>
        <v>0</v>
      </c>
      <c r="H16" s="1452">
        <f t="shared" ref="H16:I16" si="28">H15+B16-E16</f>
        <v>8</v>
      </c>
      <c r="I16" s="1452">
        <f t="shared" si="28"/>
        <v>22</v>
      </c>
      <c r="J16" s="1453">
        <f t="shared" si="0"/>
        <v>30</v>
      </c>
      <c r="K16" s="1460"/>
      <c r="L16" s="1459" t="s">
        <v>4774</v>
      </c>
      <c r="M16" s="1454">
        <v>1</v>
      </c>
      <c r="N16" s="1455">
        <v>1</v>
      </c>
      <c r="O16" s="1455"/>
      <c r="P16" s="1454">
        <v>0</v>
      </c>
      <c r="Q16" s="1455"/>
      <c r="R16" s="1455"/>
      <c r="S16" s="1454">
        <f t="shared" si="1"/>
        <v>1</v>
      </c>
      <c r="T16" s="1456">
        <v>1</v>
      </c>
      <c r="U16" s="1457">
        <v>1</v>
      </c>
      <c r="V16" s="1457"/>
      <c r="W16" s="1456">
        <v>1</v>
      </c>
      <c r="X16" s="1457">
        <v>1</v>
      </c>
      <c r="Y16" s="1457"/>
      <c r="Z16" s="1451">
        <f t="shared" si="2"/>
        <v>2</v>
      </c>
      <c r="AA16" s="1453">
        <f t="shared" ref="AA16:AF16" si="29">AA15+M16-T16</f>
        <v>22</v>
      </c>
      <c r="AB16" s="1458">
        <f t="shared" si="29"/>
        <v>7</v>
      </c>
      <c r="AC16" s="1458">
        <f t="shared" si="29"/>
        <v>15</v>
      </c>
      <c r="AD16" s="1453">
        <f t="shared" si="29"/>
        <v>59</v>
      </c>
      <c r="AE16" s="1458">
        <f t="shared" si="29"/>
        <v>13</v>
      </c>
      <c r="AF16" s="1458">
        <f t="shared" si="29"/>
        <v>46</v>
      </c>
      <c r="AG16" s="1453">
        <f t="shared" si="3"/>
        <v>81</v>
      </c>
      <c r="AH16" s="1460"/>
      <c r="AI16" s="1460"/>
      <c r="AJ16" s="1460"/>
      <c r="AK16" s="1460"/>
      <c r="AL16" s="1460"/>
    </row>
    <row r="17" spans="1:38" ht="18.75" customHeight="1">
      <c r="A17" s="1447" t="s">
        <v>4775</v>
      </c>
      <c r="B17" s="1448">
        <v>0</v>
      </c>
      <c r="C17" s="1448">
        <v>0</v>
      </c>
      <c r="D17" s="1449">
        <f t="shared" si="16"/>
        <v>0</v>
      </c>
      <c r="E17" s="1450">
        <v>0</v>
      </c>
      <c r="F17" s="1450">
        <v>0</v>
      </c>
      <c r="G17" s="1451">
        <f t="shared" si="17"/>
        <v>0</v>
      </c>
      <c r="H17" s="1452">
        <f t="shared" ref="H17:I17" si="30">H16+B17-E17</f>
        <v>8</v>
      </c>
      <c r="I17" s="1452">
        <f t="shared" si="30"/>
        <v>22</v>
      </c>
      <c r="J17" s="1453">
        <f t="shared" si="0"/>
        <v>30</v>
      </c>
      <c r="K17" s="1460"/>
      <c r="L17" s="1459" t="s">
        <v>4775</v>
      </c>
      <c r="M17" s="1454">
        <v>1</v>
      </c>
      <c r="N17" s="1455">
        <v>1</v>
      </c>
      <c r="O17" s="1455"/>
      <c r="P17" s="1454">
        <v>0</v>
      </c>
      <c r="Q17" s="1455"/>
      <c r="R17" s="1455"/>
      <c r="S17" s="1454">
        <f t="shared" si="1"/>
        <v>1</v>
      </c>
      <c r="T17" s="1456">
        <v>1</v>
      </c>
      <c r="U17" s="1457">
        <v>1</v>
      </c>
      <c r="V17" s="1457"/>
      <c r="W17" s="1456">
        <v>1</v>
      </c>
      <c r="X17" s="1457"/>
      <c r="Y17" s="1457">
        <v>1</v>
      </c>
      <c r="Z17" s="1451">
        <f t="shared" si="2"/>
        <v>2</v>
      </c>
      <c r="AA17" s="1453">
        <f t="shared" ref="AA17:AF17" si="31">AA16+M17-T17</f>
        <v>22</v>
      </c>
      <c r="AB17" s="1458">
        <f t="shared" si="31"/>
        <v>7</v>
      </c>
      <c r="AC17" s="1458">
        <f t="shared" si="31"/>
        <v>15</v>
      </c>
      <c r="AD17" s="1453">
        <f t="shared" si="31"/>
        <v>58</v>
      </c>
      <c r="AE17" s="1458">
        <f t="shared" si="31"/>
        <v>13</v>
      </c>
      <c r="AF17" s="1458">
        <f t="shared" si="31"/>
        <v>45</v>
      </c>
      <c r="AG17" s="1453">
        <f t="shared" si="3"/>
        <v>80</v>
      </c>
      <c r="AH17" s="1460"/>
      <c r="AI17" s="1460"/>
      <c r="AJ17" s="1460"/>
      <c r="AK17" s="1460"/>
      <c r="AL17" s="1460"/>
    </row>
    <row r="18" spans="1:38" ht="18.75" customHeight="1">
      <c r="A18" s="1447" t="s">
        <v>4776</v>
      </c>
      <c r="B18" s="1448">
        <v>0</v>
      </c>
      <c r="C18" s="1448">
        <v>0</v>
      </c>
      <c r="D18" s="1449">
        <f t="shared" si="16"/>
        <v>0</v>
      </c>
      <c r="E18" s="1450">
        <v>0</v>
      </c>
      <c r="F18" s="1450">
        <v>0</v>
      </c>
      <c r="G18" s="1451">
        <f t="shared" si="17"/>
        <v>0</v>
      </c>
      <c r="H18" s="1452">
        <f t="shared" ref="H18:I18" si="32">H17+B18-E18</f>
        <v>8</v>
      </c>
      <c r="I18" s="1452">
        <f t="shared" si="32"/>
        <v>22</v>
      </c>
      <c r="J18" s="1453">
        <f t="shared" si="0"/>
        <v>30</v>
      </c>
      <c r="K18" s="1460"/>
      <c r="L18" s="1459" t="s">
        <v>4776</v>
      </c>
      <c r="M18" s="1454">
        <v>2</v>
      </c>
      <c r="N18" s="1455"/>
      <c r="O18" s="1455">
        <v>2</v>
      </c>
      <c r="P18" s="1454">
        <v>6</v>
      </c>
      <c r="Q18" s="1455">
        <v>3</v>
      </c>
      <c r="R18" s="1455">
        <v>3</v>
      </c>
      <c r="S18" s="1454">
        <f t="shared" si="1"/>
        <v>8</v>
      </c>
      <c r="T18" s="1456">
        <v>0</v>
      </c>
      <c r="U18" s="1457"/>
      <c r="V18" s="1457"/>
      <c r="W18" s="1456">
        <v>1</v>
      </c>
      <c r="X18" s="1457">
        <v>1</v>
      </c>
      <c r="Y18" s="1457"/>
      <c r="Z18" s="1451">
        <f t="shared" si="2"/>
        <v>1</v>
      </c>
      <c r="AA18" s="1453">
        <f t="shared" ref="AA18:AF18" si="33">AA17+M18-T18</f>
        <v>24</v>
      </c>
      <c r="AB18" s="1458">
        <f t="shared" si="33"/>
        <v>7</v>
      </c>
      <c r="AC18" s="1458">
        <f t="shared" si="33"/>
        <v>17</v>
      </c>
      <c r="AD18" s="1453">
        <f t="shared" si="33"/>
        <v>63</v>
      </c>
      <c r="AE18" s="1458">
        <f t="shared" si="33"/>
        <v>15</v>
      </c>
      <c r="AF18" s="1458">
        <f t="shared" si="33"/>
        <v>48</v>
      </c>
      <c r="AG18" s="1453">
        <f t="shared" si="3"/>
        <v>87</v>
      </c>
      <c r="AH18" s="1460"/>
      <c r="AI18" s="1460"/>
      <c r="AJ18" s="1460"/>
      <c r="AK18" s="1460"/>
      <c r="AL18" s="1460"/>
    </row>
    <row r="19" spans="1:38" ht="18.75" customHeight="1">
      <c r="A19" s="1447" t="s">
        <v>4777</v>
      </c>
      <c r="B19" s="1448">
        <v>0</v>
      </c>
      <c r="C19" s="1448">
        <v>0</v>
      </c>
      <c r="D19" s="1449">
        <f t="shared" si="16"/>
        <v>0</v>
      </c>
      <c r="E19" s="1450">
        <v>0</v>
      </c>
      <c r="F19" s="1450">
        <v>1</v>
      </c>
      <c r="G19" s="1451">
        <f t="shared" si="17"/>
        <v>1</v>
      </c>
      <c r="H19" s="1452">
        <f t="shared" ref="H19:I19" si="34">H18+B19-E19</f>
        <v>8</v>
      </c>
      <c r="I19" s="1452">
        <f t="shared" si="34"/>
        <v>21</v>
      </c>
      <c r="J19" s="1453">
        <f t="shared" si="0"/>
        <v>29</v>
      </c>
      <c r="K19" s="1460"/>
      <c r="L19" s="1459" t="s">
        <v>4777</v>
      </c>
      <c r="M19" s="1454">
        <v>0</v>
      </c>
      <c r="N19" s="1455"/>
      <c r="O19" s="1455"/>
      <c r="P19" s="1454">
        <v>1</v>
      </c>
      <c r="Q19" s="1455">
        <v>1</v>
      </c>
      <c r="R19" s="1455"/>
      <c r="S19" s="1454">
        <f t="shared" si="1"/>
        <v>1</v>
      </c>
      <c r="T19" s="1456">
        <v>1</v>
      </c>
      <c r="U19" s="1457">
        <v>1</v>
      </c>
      <c r="V19" s="1457"/>
      <c r="W19" s="1456">
        <v>0</v>
      </c>
      <c r="X19" s="1457"/>
      <c r="Y19" s="1457"/>
      <c r="Z19" s="1451">
        <f t="shared" si="2"/>
        <v>1</v>
      </c>
      <c r="AA19" s="1453">
        <f t="shared" ref="AA19:AF19" si="35">AA18+M19-T19</f>
        <v>23</v>
      </c>
      <c r="AB19" s="1458">
        <f t="shared" si="35"/>
        <v>6</v>
      </c>
      <c r="AC19" s="1458">
        <f t="shared" si="35"/>
        <v>17</v>
      </c>
      <c r="AD19" s="1453">
        <f t="shared" si="35"/>
        <v>64</v>
      </c>
      <c r="AE19" s="1458">
        <f t="shared" si="35"/>
        <v>16</v>
      </c>
      <c r="AF19" s="1458">
        <f t="shared" si="35"/>
        <v>48</v>
      </c>
      <c r="AG19" s="1453">
        <f t="shared" si="3"/>
        <v>87</v>
      </c>
      <c r="AH19" s="1460"/>
      <c r="AI19" s="1460"/>
      <c r="AJ19" s="1460"/>
      <c r="AK19" s="1460"/>
      <c r="AL19" s="1460"/>
    </row>
    <row r="20" spans="1:38" ht="18.75" customHeight="1">
      <c r="A20" s="1447" t="s">
        <v>4778</v>
      </c>
      <c r="B20" s="1448">
        <v>0</v>
      </c>
      <c r="C20" s="1448">
        <v>0</v>
      </c>
      <c r="D20" s="1449">
        <f t="shared" si="16"/>
        <v>0</v>
      </c>
      <c r="E20" s="1450">
        <v>0</v>
      </c>
      <c r="F20" s="1450">
        <v>0</v>
      </c>
      <c r="G20" s="1451">
        <f t="shared" si="17"/>
        <v>0</v>
      </c>
      <c r="H20" s="1452">
        <f t="shared" ref="H20:I20" si="36">H19+B20-E20</f>
        <v>8</v>
      </c>
      <c r="I20" s="1452">
        <f t="shared" si="36"/>
        <v>21</v>
      </c>
      <c r="J20" s="1453">
        <f t="shared" si="0"/>
        <v>29</v>
      </c>
      <c r="K20" s="1460"/>
      <c r="L20" s="1459" t="s">
        <v>4778</v>
      </c>
      <c r="M20" s="1454">
        <v>1</v>
      </c>
      <c r="N20" s="1455"/>
      <c r="O20" s="1455">
        <v>1</v>
      </c>
      <c r="P20" s="1454">
        <v>0</v>
      </c>
      <c r="Q20" s="1455"/>
      <c r="R20" s="1455"/>
      <c r="S20" s="1454">
        <f t="shared" si="1"/>
        <v>1</v>
      </c>
      <c r="T20" s="1456">
        <v>0</v>
      </c>
      <c r="U20" s="1457"/>
      <c r="V20" s="1457"/>
      <c r="W20" s="1456">
        <v>0</v>
      </c>
      <c r="X20" s="1457"/>
      <c r="Y20" s="1457"/>
      <c r="Z20" s="1451">
        <f t="shared" si="2"/>
        <v>0</v>
      </c>
      <c r="AA20" s="1453">
        <f t="shared" ref="AA20:AF20" si="37">AA19+M20-T20</f>
        <v>24</v>
      </c>
      <c r="AB20" s="1458">
        <f t="shared" si="37"/>
        <v>6</v>
      </c>
      <c r="AC20" s="1458">
        <f t="shared" si="37"/>
        <v>18</v>
      </c>
      <c r="AD20" s="1453">
        <f t="shared" si="37"/>
        <v>64</v>
      </c>
      <c r="AE20" s="1458">
        <f t="shared" si="37"/>
        <v>16</v>
      </c>
      <c r="AF20" s="1458">
        <f t="shared" si="37"/>
        <v>48</v>
      </c>
      <c r="AG20" s="1453">
        <f t="shared" si="3"/>
        <v>88</v>
      </c>
      <c r="AH20" s="1460"/>
      <c r="AI20" s="1460"/>
      <c r="AJ20" s="1460"/>
      <c r="AK20" s="1460"/>
      <c r="AL20" s="1460"/>
    </row>
    <row r="21" spans="1:38" ht="18.75" customHeight="1">
      <c r="A21" s="1447" t="s">
        <v>180</v>
      </c>
      <c r="B21" s="1448">
        <v>0</v>
      </c>
      <c r="C21" s="1448">
        <v>1</v>
      </c>
      <c r="D21" s="1449">
        <f t="shared" si="16"/>
        <v>1</v>
      </c>
      <c r="E21" s="1450">
        <v>0</v>
      </c>
      <c r="F21" s="1450">
        <v>0</v>
      </c>
      <c r="G21" s="1451">
        <f t="shared" si="17"/>
        <v>0</v>
      </c>
      <c r="H21" s="1452">
        <f t="shared" ref="H21:I21" si="38">H20+B21-E21</f>
        <v>8</v>
      </c>
      <c r="I21" s="1452">
        <f t="shared" si="38"/>
        <v>22</v>
      </c>
      <c r="J21" s="1453">
        <f t="shared" si="0"/>
        <v>30</v>
      </c>
      <c r="K21" s="1460"/>
      <c r="L21" s="1459" t="s">
        <v>180</v>
      </c>
      <c r="M21" s="1454">
        <v>0</v>
      </c>
      <c r="N21" s="1455"/>
      <c r="O21" s="1455"/>
      <c r="P21" s="1454">
        <v>0</v>
      </c>
      <c r="Q21" s="1455"/>
      <c r="R21" s="1455"/>
      <c r="S21" s="1454">
        <f t="shared" si="1"/>
        <v>0</v>
      </c>
      <c r="T21" s="1456">
        <v>1</v>
      </c>
      <c r="U21" s="1457">
        <v>1</v>
      </c>
      <c r="V21" s="1457"/>
      <c r="W21" s="1456">
        <v>0</v>
      </c>
      <c r="X21" s="1457"/>
      <c r="Y21" s="1457"/>
      <c r="Z21" s="1451">
        <f t="shared" si="2"/>
        <v>1</v>
      </c>
      <c r="AA21" s="1453">
        <f t="shared" ref="AA21:AF21" si="39">AA20+M21-T21</f>
        <v>23</v>
      </c>
      <c r="AB21" s="1458">
        <f t="shared" si="39"/>
        <v>5</v>
      </c>
      <c r="AC21" s="1458">
        <f t="shared" si="39"/>
        <v>18</v>
      </c>
      <c r="AD21" s="1453">
        <f t="shared" si="39"/>
        <v>64</v>
      </c>
      <c r="AE21" s="1458">
        <f t="shared" si="39"/>
        <v>16</v>
      </c>
      <c r="AF21" s="1458">
        <f t="shared" si="39"/>
        <v>48</v>
      </c>
      <c r="AG21" s="1453">
        <f t="shared" si="3"/>
        <v>87</v>
      </c>
      <c r="AH21" s="1460"/>
      <c r="AI21" s="1460"/>
      <c r="AJ21" s="1460"/>
      <c r="AK21" s="1460"/>
      <c r="AL21" s="1460"/>
    </row>
    <row r="22" spans="1:38" ht="18.75" customHeight="1">
      <c r="A22" s="1447" t="s">
        <v>4779</v>
      </c>
      <c r="B22" s="1448">
        <v>0</v>
      </c>
      <c r="C22" s="1448">
        <v>0</v>
      </c>
      <c r="D22" s="1449">
        <f t="shared" si="16"/>
        <v>0</v>
      </c>
      <c r="E22" s="1450">
        <v>0</v>
      </c>
      <c r="F22" s="1450">
        <v>0</v>
      </c>
      <c r="G22" s="1451">
        <f t="shared" si="17"/>
        <v>0</v>
      </c>
      <c r="H22" s="1452">
        <f t="shared" ref="H22:I22" si="40">H21+B22-E22</f>
        <v>8</v>
      </c>
      <c r="I22" s="1452">
        <f t="shared" si="40"/>
        <v>22</v>
      </c>
      <c r="J22" s="1453">
        <f t="shared" si="0"/>
        <v>30</v>
      </c>
      <c r="K22" s="1460"/>
      <c r="L22" s="1459" t="s">
        <v>4779</v>
      </c>
      <c r="M22" s="1454">
        <v>0</v>
      </c>
      <c r="N22" s="1455"/>
      <c r="O22" s="1455"/>
      <c r="P22" s="1454">
        <v>2</v>
      </c>
      <c r="Q22" s="1455">
        <v>2</v>
      </c>
      <c r="R22" s="1455"/>
      <c r="S22" s="1454">
        <f t="shared" si="1"/>
        <v>2</v>
      </c>
      <c r="T22" s="1456">
        <v>0</v>
      </c>
      <c r="U22" s="1457"/>
      <c r="V22" s="1457"/>
      <c r="W22" s="1456">
        <v>2</v>
      </c>
      <c r="X22" s="1457">
        <v>2</v>
      </c>
      <c r="Y22" s="1457"/>
      <c r="Z22" s="1451">
        <f t="shared" si="2"/>
        <v>2</v>
      </c>
      <c r="AA22" s="1453">
        <f t="shared" ref="AA22:AF22" si="41">AA21+M22-T22</f>
        <v>23</v>
      </c>
      <c r="AB22" s="1458">
        <f t="shared" si="41"/>
        <v>5</v>
      </c>
      <c r="AC22" s="1458">
        <f t="shared" si="41"/>
        <v>18</v>
      </c>
      <c r="AD22" s="1453">
        <f t="shared" si="41"/>
        <v>64</v>
      </c>
      <c r="AE22" s="1458">
        <f t="shared" si="41"/>
        <v>16</v>
      </c>
      <c r="AF22" s="1458">
        <f t="shared" si="41"/>
        <v>48</v>
      </c>
      <c r="AG22" s="1453">
        <f t="shared" si="3"/>
        <v>87</v>
      </c>
      <c r="AH22" s="1460"/>
      <c r="AI22" s="1460"/>
      <c r="AJ22" s="1460"/>
      <c r="AK22" s="1460"/>
      <c r="AL22" s="1460"/>
    </row>
    <row r="23" spans="1:38" ht="18.75" customHeight="1">
      <c r="A23" s="1447" t="s">
        <v>220</v>
      </c>
      <c r="B23" s="1448">
        <v>0</v>
      </c>
      <c r="C23" s="1448">
        <v>0</v>
      </c>
      <c r="D23" s="1449">
        <f t="shared" si="16"/>
        <v>0</v>
      </c>
      <c r="E23" s="1450">
        <v>0</v>
      </c>
      <c r="F23" s="1450">
        <v>0</v>
      </c>
      <c r="G23" s="1451">
        <f t="shared" si="17"/>
        <v>0</v>
      </c>
      <c r="H23" s="1452">
        <f t="shared" ref="H23:I23" si="42">H22+B23-E23</f>
        <v>8</v>
      </c>
      <c r="I23" s="1452">
        <f t="shared" si="42"/>
        <v>22</v>
      </c>
      <c r="J23" s="1453">
        <f t="shared" si="0"/>
        <v>30</v>
      </c>
      <c r="K23" s="1460"/>
      <c r="L23" s="1459" t="s">
        <v>220</v>
      </c>
      <c r="M23" s="1454">
        <v>2</v>
      </c>
      <c r="N23" s="1455">
        <v>1</v>
      </c>
      <c r="O23" s="1455">
        <v>1</v>
      </c>
      <c r="P23" s="1454">
        <v>0</v>
      </c>
      <c r="Q23" s="1455"/>
      <c r="R23" s="1455"/>
      <c r="S23" s="1454">
        <f t="shared" si="1"/>
        <v>2</v>
      </c>
      <c r="T23" s="1456">
        <v>0</v>
      </c>
      <c r="U23" s="1457"/>
      <c r="V23" s="1457"/>
      <c r="W23" s="1456">
        <v>3</v>
      </c>
      <c r="X23" s="1457">
        <v>3</v>
      </c>
      <c r="Y23" s="1457"/>
      <c r="Z23" s="1451">
        <f t="shared" si="2"/>
        <v>3</v>
      </c>
      <c r="AA23" s="1453">
        <f t="shared" ref="AA23:AF23" si="43">AA22+M23-T23</f>
        <v>25</v>
      </c>
      <c r="AB23" s="1458">
        <f t="shared" si="43"/>
        <v>6</v>
      </c>
      <c r="AC23" s="1458">
        <f t="shared" si="43"/>
        <v>19</v>
      </c>
      <c r="AD23" s="1453">
        <f t="shared" si="43"/>
        <v>61</v>
      </c>
      <c r="AE23" s="1458">
        <f t="shared" si="43"/>
        <v>13</v>
      </c>
      <c r="AF23" s="1458">
        <f t="shared" si="43"/>
        <v>48</v>
      </c>
      <c r="AG23" s="1453">
        <f t="shared" si="3"/>
        <v>86</v>
      </c>
      <c r="AH23" s="1460"/>
      <c r="AI23" s="1460"/>
      <c r="AJ23" s="1460"/>
      <c r="AK23" s="1460"/>
      <c r="AL23" s="1460"/>
    </row>
    <row r="24" spans="1:38" ht="18.75" customHeight="1">
      <c r="A24" s="1447" t="s">
        <v>256</v>
      </c>
      <c r="B24" s="1448">
        <v>0</v>
      </c>
      <c r="C24" s="1448">
        <v>0</v>
      </c>
      <c r="D24" s="1449">
        <f t="shared" si="16"/>
        <v>0</v>
      </c>
      <c r="E24" s="1450">
        <v>0</v>
      </c>
      <c r="F24" s="1450">
        <v>0</v>
      </c>
      <c r="G24" s="1451">
        <f t="shared" si="17"/>
        <v>0</v>
      </c>
      <c r="H24" s="1452">
        <f t="shared" ref="H24:I24" si="44">H23+B24-E24</f>
        <v>8</v>
      </c>
      <c r="I24" s="1452">
        <f t="shared" si="44"/>
        <v>22</v>
      </c>
      <c r="J24" s="1453">
        <f t="shared" si="0"/>
        <v>30</v>
      </c>
      <c r="K24" s="1460"/>
      <c r="L24" s="1459" t="s">
        <v>256</v>
      </c>
      <c r="M24" s="1454">
        <v>0</v>
      </c>
      <c r="N24" s="1455"/>
      <c r="O24" s="1455"/>
      <c r="P24" s="1454">
        <v>0</v>
      </c>
      <c r="Q24" s="1455"/>
      <c r="R24" s="1455"/>
      <c r="S24" s="1454">
        <f t="shared" si="1"/>
        <v>0</v>
      </c>
      <c r="T24" s="1456">
        <v>1</v>
      </c>
      <c r="U24" s="1457">
        <v>1</v>
      </c>
      <c r="V24" s="1457"/>
      <c r="W24" s="1456">
        <v>1</v>
      </c>
      <c r="X24" s="1457"/>
      <c r="Y24" s="1457">
        <v>1</v>
      </c>
      <c r="Z24" s="1451">
        <f t="shared" si="2"/>
        <v>2</v>
      </c>
      <c r="AA24" s="1453">
        <f t="shared" ref="AA24:AA44" si="45">AA23+M24-T24</f>
        <v>24</v>
      </c>
      <c r="AB24" s="1458">
        <f>AB23+N24-$U$24</f>
        <v>5</v>
      </c>
      <c r="AC24" s="1458">
        <f t="shared" ref="AC24:AF24" si="46">AC23+O24-V24</f>
        <v>19</v>
      </c>
      <c r="AD24" s="1453">
        <f t="shared" si="46"/>
        <v>60</v>
      </c>
      <c r="AE24" s="1458">
        <f t="shared" si="46"/>
        <v>13</v>
      </c>
      <c r="AF24" s="1458">
        <f t="shared" si="46"/>
        <v>47</v>
      </c>
      <c r="AG24" s="1453">
        <f t="shared" si="3"/>
        <v>84</v>
      </c>
      <c r="AH24" s="1460"/>
      <c r="AI24" s="1460"/>
      <c r="AJ24" s="1460"/>
      <c r="AK24" s="1460"/>
      <c r="AL24" s="1460"/>
    </row>
    <row r="25" spans="1:38" ht="18.75" customHeight="1">
      <c r="A25" s="1447" t="s">
        <v>4780</v>
      </c>
      <c r="B25" s="1448">
        <v>2</v>
      </c>
      <c r="C25" s="1448">
        <v>3</v>
      </c>
      <c r="D25" s="1449">
        <f t="shared" si="16"/>
        <v>5</v>
      </c>
      <c r="E25" s="1450">
        <v>0</v>
      </c>
      <c r="F25" s="1450">
        <v>1</v>
      </c>
      <c r="G25" s="1451">
        <f t="shared" si="17"/>
        <v>1</v>
      </c>
      <c r="H25" s="1452">
        <f t="shared" ref="H25:I25" si="47">H24+B25-E25</f>
        <v>10</v>
      </c>
      <c r="I25" s="1452">
        <f t="shared" si="47"/>
        <v>24</v>
      </c>
      <c r="J25" s="1453">
        <f t="shared" si="0"/>
        <v>34</v>
      </c>
      <c r="K25" s="1460"/>
      <c r="L25" s="1459" t="s">
        <v>4780</v>
      </c>
      <c r="M25" s="1454">
        <v>10</v>
      </c>
      <c r="N25" s="1455"/>
      <c r="O25" s="1455">
        <v>10</v>
      </c>
      <c r="P25" s="1454">
        <v>10</v>
      </c>
      <c r="Q25" s="1455"/>
      <c r="R25" s="1455">
        <v>10</v>
      </c>
      <c r="S25" s="1454">
        <f t="shared" si="1"/>
        <v>20</v>
      </c>
      <c r="T25" s="1456">
        <v>1</v>
      </c>
      <c r="U25" s="1457"/>
      <c r="V25" s="1461">
        <v>1</v>
      </c>
      <c r="W25" s="1456">
        <v>1</v>
      </c>
      <c r="X25" s="1457"/>
      <c r="Y25" s="1457">
        <v>1</v>
      </c>
      <c r="Z25" s="1451">
        <f t="shared" si="2"/>
        <v>2</v>
      </c>
      <c r="AA25" s="1453">
        <f t="shared" si="45"/>
        <v>33</v>
      </c>
      <c r="AB25" s="1458">
        <f>AB24+N25-$U$25</f>
        <v>5</v>
      </c>
      <c r="AC25" s="1458">
        <f t="shared" ref="AC25:AF25" si="48">AC24+O25-V25</f>
        <v>28</v>
      </c>
      <c r="AD25" s="1453">
        <f t="shared" si="48"/>
        <v>69</v>
      </c>
      <c r="AE25" s="1458">
        <f t="shared" si="48"/>
        <v>13</v>
      </c>
      <c r="AF25" s="1458">
        <f t="shared" si="48"/>
        <v>56</v>
      </c>
      <c r="AG25" s="1453">
        <f t="shared" si="3"/>
        <v>102</v>
      </c>
      <c r="AH25" s="1460"/>
      <c r="AI25" s="1460"/>
      <c r="AJ25" s="1460"/>
      <c r="AK25" s="1460"/>
      <c r="AL25" s="1460"/>
    </row>
    <row r="26" spans="1:38" ht="18.75" customHeight="1">
      <c r="A26" s="1447" t="s">
        <v>4781</v>
      </c>
      <c r="B26" s="1448">
        <v>0</v>
      </c>
      <c r="C26" s="1448">
        <v>0</v>
      </c>
      <c r="D26" s="1449">
        <f t="shared" si="16"/>
        <v>0</v>
      </c>
      <c r="E26" s="1450">
        <v>0</v>
      </c>
      <c r="F26" s="1450">
        <v>0</v>
      </c>
      <c r="G26" s="1451">
        <f t="shared" si="17"/>
        <v>0</v>
      </c>
      <c r="H26" s="1452">
        <f t="shared" ref="H26:I26" si="49">H25+B26-E26</f>
        <v>10</v>
      </c>
      <c r="I26" s="1452">
        <f t="shared" si="49"/>
        <v>24</v>
      </c>
      <c r="J26" s="1453">
        <f t="shared" si="0"/>
        <v>34</v>
      </c>
      <c r="K26" s="1460"/>
      <c r="L26" s="1447" t="s">
        <v>4781</v>
      </c>
      <c r="M26" s="1454">
        <v>0</v>
      </c>
      <c r="N26" s="1455"/>
      <c r="O26" s="1455"/>
      <c r="P26" s="1454">
        <v>0</v>
      </c>
      <c r="Q26" s="1455"/>
      <c r="R26" s="1455"/>
      <c r="S26" s="1454">
        <f t="shared" si="1"/>
        <v>0</v>
      </c>
      <c r="T26" s="1456">
        <v>0</v>
      </c>
      <c r="U26" s="1457"/>
      <c r="V26" s="1461"/>
      <c r="W26" s="1456">
        <v>1</v>
      </c>
      <c r="X26" s="1457">
        <v>1</v>
      </c>
      <c r="Y26" s="1457"/>
      <c r="Z26" s="1451">
        <f t="shared" si="2"/>
        <v>1</v>
      </c>
      <c r="AA26" s="1453">
        <f t="shared" si="45"/>
        <v>33</v>
      </c>
      <c r="AB26" s="1458">
        <f>AB25+N26-$U$26</f>
        <v>5</v>
      </c>
      <c r="AC26" s="1458">
        <f t="shared" ref="AC26:AF26" si="50">AC25+O26-V26</f>
        <v>28</v>
      </c>
      <c r="AD26" s="1453">
        <f t="shared" si="50"/>
        <v>68</v>
      </c>
      <c r="AE26" s="1458">
        <f t="shared" si="50"/>
        <v>12</v>
      </c>
      <c r="AF26" s="1458">
        <f t="shared" si="50"/>
        <v>56</v>
      </c>
      <c r="AG26" s="1453">
        <f t="shared" si="3"/>
        <v>101</v>
      </c>
      <c r="AH26" s="1460"/>
      <c r="AI26" s="1460"/>
      <c r="AJ26" s="1460"/>
      <c r="AK26" s="1460"/>
      <c r="AL26" s="1460"/>
    </row>
    <row r="27" spans="1:38" ht="18.75" customHeight="1">
      <c r="A27" s="1447" t="s">
        <v>4782</v>
      </c>
      <c r="B27" s="1448">
        <v>0</v>
      </c>
      <c r="C27" s="1448">
        <v>0</v>
      </c>
      <c r="D27" s="1449">
        <f t="shared" si="16"/>
        <v>0</v>
      </c>
      <c r="E27" s="1450">
        <v>0</v>
      </c>
      <c r="F27" s="1450">
        <v>1</v>
      </c>
      <c r="G27" s="1451">
        <f t="shared" si="17"/>
        <v>1</v>
      </c>
      <c r="H27" s="1452">
        <f t="shared" ref="H27:I27" si="51">H26+B27-E27</f>
        <v>10</v>
      </c>
      <c r="I27" s="1452">
        <f t="shared" si="51"/>
        <v>23</v>
      </c>
      <c r="J27" s="1453">
        <f t="shared" si="0"/>
        <v>33</v>
      </c>
      <c r="K27" s="1460"/>
      <c r="L27" s="1447" t="s">
        <v>4782</v>
      </c>
      <c r="M27" s="1454">
        <v>0</v>
      </c>
      <c r="N27" s="1455"/>
      <c r="O27" s="1455"/>
      <c r="P27" s="1454">
        <v>0</v>
      </c>
      <c r="Q27" s="1455"/>
      <c r="R27" s="1455"/>
      <c r="S27" s="1454">
        <f t="shared" si="1"/>
        <v>0</v>
      </c>
      <c r="T27" s="1456">
        <v>2</v>
      </c>
      <c r="U27" s="1457">
        <v>1</v>
      </c>
      <c r="V27" s="1461">
        <v>1</v>
      </c>
      <c r="W27" s="1456">
        <v>0</v>
      </c>
      <c r="X27" s="1457"/>
      <c r="Y27" s="1457"/>
      <c r="Z27" s="1451">
        <f t="shared" si="2"/>
        <v>2</v>
      </c>
      <c r="AA27" s="1453">
        <f t="shared" si="45"/>
        <v>31</v>
      </c>
      <c r="AB27" s="1458">
        <f>AB26+N27-$U$27</f>
        <v>4</v>
      </c>
      <c r="AC27" s="1458">
        <f t="shared" ref="AC27:AF27" si="52">AC26+O27-V27</f>
        <v>27</v>
      </c>
      <c r="AD27" s="1453">
        <f t="shared" si="52"/>
        <v>68</v>
      </c>
      <c r="AE27" s="1458">
        <f t="shared" si="52"/>
        <v>12</v>
      </c>
      <c r="AF27" s="1458">
        <f t="shared" si="52"/>
        <v>56</v>
      </c>
      <c r="AG27" s="1453">
        <f t="shared" si="3"/>
        <v>99</v>
      </c>
      <c r="AH27" s="1460"/>
      <c r="AI27" s="1460"/>
      <c r="AJ27" s="1460"/>
      <c r="AK27" s="1460"/>
      <c r="AL27" s="1460"/>
    </row>
    <row r="28" spans="1:38" ht="18.75" customHeight="1">
      <c r="A28" s="1447" t="s">
        <v>4783</v>
      </c>
      <c r="B28" s="1448">
        <v>2</v>
      </c>
      <c r="C28" s="1448">
        <v>0</v>
      </c>
      <c r="D28" s="1449">
        <f t="shared" si="16"/>
        <v>2</v>
      </c>
      <c r="E28" s="1450">
        <v>0</v>
      </c>
      <c r="F28" s="1450">
        <v>0</v>
      </c>
      <c r="G28" s="1451">
        <f t="shared" si="17"/>
        <v>0</v>
      </c>
      <c r="H28" s="1452">
        <f t="shared" ref="H28:I28" si="53">H27+B28-E28</f>
        <v>12</v>
      </c>
      <c r="I28" s="1452">
        <f t="shared" si="53"/>
        <v>23</v>
      </c>
      <c r="J28" s="1453">
        <f t="shared" si="0"/>
        <v>35</v>
      </c>
      <c r="K28" s="1460"/>
      <c r="L28" s="1447" t="s">
        <v>4783</v>
      </c>
      <c r="M28" s="1454">
        <v>0</v>
      </c>
      <c r="N28" s="1455"/>
      <c r="O28" s="1455"/>
      <c r="P28" s="1454">
        <v>0</v>
      </c>
      <c r="Q28" s="1455"/>
      <c r="R28" s="1455"/>
      <c r="S28" s="1454">
        <f t="shared" si="1"/>
        <v>0</v>
      </c>
      <c r="T28" s="1456">
        <v>1</v>
      </c>
      <c r="U28" s="1457"/>
      <c r="V28" s="1461">
        <v>1</v>
      </c>
      <c r="W28" s="1456">
        <v>6</v>
      </c>
      <c r="X28" s="1457"/>
      <c r="Y28" s="1457">
        <v>6</v>
      </c>
      <c r="Z28" s="1451">
        <f t="shared" si="2"/>
        <v>7</v>
      </c>
      <c r="AA28" s="1453">
        <f t="shared" si="45"/>
        <v>30</v>
      </c>
      <c r="AB28" s="1458">
        <f>AB27+N28-$U$28</f>
        <v>4</v>
      </c>
      <c r="AC28" s="1458">
        <f t="shared" ref="AC28:AF28" si="54">AC27+O28-V28</f>
        <v>26</v>
      </c>
      <c r="AD28" s="1453">
        <f t="shared" si="54"/>
        <v>62</v>
      </c>
      <c r="AE28" s="1458">
        <f t="shared" si="54"/>
        <v>12</v>
      </c>
      <c r="AF28" s="1458">
        <f t="shared" si="54"/>
        <v>50</v>
      </c>
      <c r="AG28" s="1453">
        <f t="shared" si="3"/>
        <v>92</v>
      </c>
      <c r="AH28" s="1460"/>
      <c r="AI28" s="1460"/>
      <c r="AJ28" s="1460"/>
      <c r="AK28" s="1460"/>
      <c r="AL28" s="1460"/>
    </row>
    <row r="29" spans="1:38" ht="18.75" customHeight="1">
      <c r="A29" s="1447" t="s">
        <v>4784</v>
      </c>
      <c r="B29" s="1448">
        <v>0</v>
      </c>
      <c r="C29" s="1448">
        <v>1</v>
      </c>
      <c r="D29" s="1449">
        <f t="shared" si="16"/>
        <v>1</v>
      </c>
      <c r="E29" s="1450">
        <v>0</v>
      </c>
      <c r="F29" s="1450">
        <v>0</v>
      </c>
      <c r="G29" s="1451">
        <f t="shared" si="17"/>
        <v>0</v>
      </c>
      <c r="H29" s="1452">
        <f t="shared" ref="H29:I29" si="55">H28+B29-E29</f>
        <v>12</v>
      </c>
      <c r="I29" s="1452">
        <f t="shared" si="55"/>
        <v>24</v>
      </c>
      <c r="J29" s="1453">
        <f t="shared" si="0"/>
        <v>36</v>
      </c>
      <c r="K29" s="1460"/>
      <c r="L29" s="1447" t="s">
        <v>4784</v>
      </c>
      <c r="M29" s="1454">
        <v>0</v>
      </c>
      <c r="N29" s="1455"/>
      <c r="O29" s="1455"/>
      <c r="P29" s="1454">
        <v>0</v>
      </c>
      <c r="Q29" s="1455"/>
      <c r="R29" s="1455"/>
      <c r="S29" s="1454">
        <f t="shared" si="1"/>
        <v>0</v>
      </c>
      <c r="T29" s="1456">
        <v>0</v>
      </c>
      <c r="U29" s="1457"/>
      <c r="V29" s="1461"/>
      <c r="W29" s="1456">
        <v>0</v>
      </c>
      <c r="X29" s="1457"/>
      <c r="Y29" s="1457"/>
      <c r="Z29" s="1451">
        <f t="shared" si="2"/>
        <v>0</v>
      </c>
      <c r="AA29" s="1453">
        <f t="shared" si="45"/>
        <v>30</v>
      </c>
      <c r="AB29" s="1458">
        <f>AB28+N29-$U$29</f>
        <v>4</v>
      </c>
      <c r="AC29" s="1458">
        <f t="shared" ref="AC29:AF29" si="56">AC28+O29-V29</f>
        <v>26</v>
      </c>
      <c r="AD29" s="1453">
        <f t="shared" si="56"/>
        <v>62</v>
      </c>
      <c r="AE29" s="1458">
        <f t="shared" si="56"/>
        <v>12</v>
      </c>
      <c r="AF29" s="1458">
        <f t="shared" si="56"/>
        <v>50</v>
      </c>
      <c r="AG29" s="1453">
        <f t="shared" si="3"/>
        <v>92</v>
      </c>
      <c r="AH29" s="1460"/>
      <c r="AI29" s="1460"/>
      <c r="AJ29" s="1460"/>
      <c r="AK29" s="1460"/>
      <c r="AL29" s="1460"/>
    </row>
    <row r="30" spans="1:38" ht="18.75" customHeight="1">
      <c r="A30" s="1447" t="s">
        <v>4785</v>
      </c>
      <c r="B30" s="1448">
        <v>0</v>
      </c>
      <c r="C30" s="1448">
        <v>0</v>
      </c>
      <c r="D30" s="1449">
        <f t="shared" si="16"/>
        <v>0</v>
      </c>
      <c r="E30" s="1450">
        <v>0</v>
      </c>
      <c r="F30" s="1450">
        <v>0</v>
      </c>
      <c r="G30" s="1451">
        <f t="shared" si="17"/>
        <v>0</v>
      </c>
      <c r="H30" s="1452">
        <f t="shared" ref="H30:I30" si="57">H29+B30-E30</f>
        <v>12</v>
      </c>
      <c r="I30" s="1452">
        <f t="shared" si="57"/>
        <v>24</v>
      </c>
      <c r="J30" s="1453">
        <f t="shared" si="0"/>
        <v>36</v>
      </c>
      <c r="K30" s="1460"/>
      <c r="L30" s="1447" t="s">
        <v>4785</v>
      </c>
      <c r="M30" s="1454">
        <v>0</v>
      </c>
      <c r="N30" s="1455"/>
      <c r="O30" s="1455"/>
      <c r="P30" s="1454">
        <v>2</v>
      </c>
      <c r="Q30" s="1455">
        <v>2</v>
      </c>
      <c r="R30" s="1455"/>
      <c r="S30" s="1454">
        <f t="shared" si="1"/>
        <v>2</v>
      </c>
      <c r="T30" s="1456">
        <v>0</v>
      </c>
      <c r="U30" s="1457"/>
      <c r="V30" s="1461"/>
      <c r="W30" s="1456">
        <v>5</v>
      </c>
      <c r="X30" s="1457"/>
      <c r="Y30" s="1457">
        <v>5</v>
      </c>
      <c r="Z30" s="1451">
        <f t="shared" si="2"/>
        <v>5</v>
      </c>
      <c r="AA30" s="1453">
        <f t="shared" si="45"/>
        <v>30</v>
      </c>
      <c r="AB30" s="1458">
        <f t="shared" ref="AB30:AF30" si="58">AB29+N30-U30</f>
        <v>4</v>
      </c>
      <c r="AC30" s="1458">
        <f t="shared" si="58"/>
        <v>26</v>
      </c>
      <c r="AD30" s="1453">
        <f t="shared" si="58"/>
        <v>59</v>
      </c>
      <c r="AE30" s="1458">
        <f t="shared" si="58"/>
        <v>14</v>
      </c>
      <c r="AF30" s="1458">
        <f t="shared" si="58"/>
        <v>45</v>
      </c>
      <c r="AG30" s="1453">
        <f t="shared" si="3"/>
        <v>89</v>
      </c>
      <c r="AH30" s="1460"/>
      <c r="AI30" s="1460"/>
      <c r="AJ30" s="1460"/>
      <c r="AK30" s="1460"/>
      <c r="AL30" s="1460"/>
    </row>
    <row r="31" spans="1:38" ht="18.75" customHeight="1">
      <c r="A31" s="1447" t="s">
        <v>1237</v>
      </c>
      <c r="B31" s="1448">
        <v>0</v>
      </c>
      <c r="C31" s="1448">
        <v>0</v>
      </c>
      <c r="D31" s="1449">
        <f t="shared" si="16"/>
        <v>0</v>
      </c>
      <c r="E31" s="1450">
        <v>0</v>
      </c>
      <c r="F31" s="1450">
        <v>1</v>
      </c>
      <c r="G31" s="1451">
        <f t="shared" si="17"/>
        <v>1</v>
      </c>
      <c r="H31" s="1452">
        <f t="shared" ref="H31:I31" si="59">H30+B31-E31</f>
        <v>12</v>
      </c>
      <c r="I31" s="1452">
        <f t="shared" si="59"/>
        <v>23</v>
      </c>
      <c r="J31" s="1453">
        <f t="shared" si="0"/>
        <v>35</v>
      </c>
      <c r="K31" s="1460"/>
      <c r="L31" s="1447" t="s">
        <v>1237</v>
      </c>
      <c r="M31" s="1454">
        <v>0</v>
      </c>
      <c r="N31" s="1455"/>
      <c r="O31" s="1455"/>
      <c r="P31" s="1454">
        <v>0</v>
      </c>
      <c r="Q31" s="1455"/>
      <c r="R31" s="1455"/>
      <c r="S31" s="1454">
        <f t="shared" si="1"/>
        <v>0</v>
      </c>
      <c r="T31" s="1456">
        <v>2</v>
      </c>
      <c r="U31" s="1457">
        <v>1</v>
      </c>
      <c r="V31" s="1461">
        <v>1</v>
      </c>
      <c r="W31" s="1456">
        <v>5</v>
      </c>
      <c r="X31" s="1457">
        <v>3</v>
      </c>
      <c r="Y31" s="1457">
        <v>2</v>
      </c>
      <c r="Z31" s="1451">
        <f t="shared" si="2"/>
        <v>7</v>
      </c>
      <c r="AA31" s="1453">
        <f t="shared" si="45"/>
        <v>28</v>
      </c>
      <c r="AB31" s="1458">
        <f t="shared" ref="AB31:AF31" si="60">AB30+N31-U31</f>
        <v>3</v>
      </c>
      <c r="AC31" s="1458">
        <f t="shared" si="60"/>
        <v>25</v>
      </c>
      <c r="AD31" s="1453">
        <f t="shared" si="60"/>
        <v>54</v>
      </c>
      <c r="AE31" s="1458">
        <f t="shared" si="60"/>
        <v>11</v>
      </c>
      <c r="AF31" s="1458">
        <f t="shared" si="60"/>
        <v>43</v>
      </c>
      <c r="AG31" s="1453">
        <f t="shared" si="3"/>
        <v>82</v>
      </c>
      <c r="AH31" s="1460"/>
      <c r="AI31" s="1460"/>
      <c r="AJ31" s="1460"/>
      <c r="AK31" s="1460"/>
      <c r="AL31" s="1460"/>
    </row>
    <row r="32" spans="1:38" ht="18.75" customHeight="1">
      <c r="A32" s="1447" t="s">
        <v>4786</v>
      </c>
      <c r="B32" s="1448">
        <v>2</v>
      </c>
      <c r="C32" s="1448">
        <v>0</v>
      </c>
      <c r="D32" s="1449">
        <f t="shared" si="16"/>
        <v>2</v>
      </c>
      <c r="E32" s="1450">
        <v>0</v>
      </c>
      <c r="F32" s="1450">
        <v>0</v>
      </c>
      <c r="G32" s="1451">
        <f t="shared" si="17"/>
        <v>0</v>
      </c>
      <c r="H32" s="1452">
        <f t="shared" ref="H32:I32" si="61">H31+B32-E32</f>
        <v>14</v>
      </c>
      <c r="I32" s="1452">
        <f t="shared" si="61"/>
        <v>23</v>
      </c>
      <c r="J32" s="1453">
        <f t="shared" si="0"/>
        <v>37</v>
      </c>
      <c r="K32" s="1460"/>
      <c r="L32" s="1447" t="s">
        <v>4786</v>
      </c>
      <c r="M32" s="1454">
        <v>0</v>
      </c>
      <c r="N32" s="1455"/>
      <c r="O32" s="1455"/>
      <c r="P32" s="1454">
        <v>0</v>
      </c>
      <c r="Q32" s="1455"/>
      <c r="R32" s="1455"/>
      <c r="S32" s="1454">
        <f t="shared" si="1"/>
        <v>0</v>
      </c>
      <c r="T32" s="1456">
        <v>0</v>
      </c>
      <c r="U32" s="1457"/>
      <c r="V32" s="1461"/>
      <c r="W32" s="1456">
        <v>1</v>
      </c>
      <c r="X32" s="1457"/>
      <c r="Y32" s="1457">
        <v>1</v>
      </c>
      <c r="Z32" s="1451">
        <f t="shared" si="2"/>
        <v>1</v>
      </c>
      <c r="AA32" s="1453">
        <f t="shared" si="45"/>
        <v>28</v>
      </c>
      <c r="AB32" s="1458">
        <f t="shared" ref="AB32:AF32" si="62">AB31+N32-U32</f>
        <v>3</v>
      </c>
      <c r="AC32" s="1458">
        <f t="shared" si="62"/>
        <v>25</v>
      </c>
      <c r="AD32" s="1453">
        <f t="shared" si="62"/>
        <v>53</v>
      </c>
      <c r="AE32" s="1458">
        <f t="shared" si="62"/>
        <v>11</v>
      </c>
      <c r="AF32" s="1458">
        <f t="shared" si="62"/>
        <v>42</v>
      </c>
      <c r="AG32" s="1453">
        <f t="shared" si="3"/>
        <v>81</v>
      </c>
    </row>
    <row r="33" spans="1:36" ht="18.75" customHeight="1">
      <c r="A33" s="1447" t="s">
        <v>4787</v>
      </c>
      <c r="B33" s="1448">
        <v>0</v>
      </c>
      <c r="C33" s="1448">
        <v>0</v>
      </c>
      <c r="D33" s="1449">
        <f t="shared" si="16"/>
        <v>0</v>
      </c>
      <c r="E33" s="1450">
        <v>0</v>
      </c>
      <c r="F33" s="1450">
        <v>1</v>
      </c>
      <c r="G33" s="1451">
        <f t="shared" si="17"/>
        <v>1</v>
      </c>
      <c r="H33" s="1452">
        <f t="shared" ref="H33:I33" si="63">H32+B33-E33</f>
        <v>14</v>
      </c>
      <c r="I33" s="1452">
        <f t="shared" si="63"/>
        <v>22</v>
      </c>
      <c r="J33" s="1453">
        <f t="shared" si="0"/>
        <v>36</v>
      </c>
      <c r="K33" s="1460"/>
      <c r="L33" s="1447" t="s">
        <v>4787</v>
      </c>
      <c r="M33" s="1454">
        <v>2</v>
      </c>
      <c r="N33" s="1455">
        <v>1</v>
      </c>
      <c r="O33" s="1455">
        <v>1</v>
      </c>
      <c r="P33" s="1454">
        <v>0</v>
      </c>
      <c r="Q33" s="1455"/>
      <c r="R33" s="1455"/>
      <c r="S33" s="1454">
        <f t="shared" si="1"/>
        <v>2</v>
      </c>
      <c r="T33" s="1456">
        <v>0</v>
      </c>
      <c r="U33" s="1457"/>
      <c r="V33" s="1461"/>
      <c r="W33" s="1456">
        <v>0</v>
      </c>
      <c r="X33" s="1457"/>
      <c r="Y33" s="1457"/>
      <c r="Z33" s="1451">
        <f t="shared" si="2"/>
        <v>0</v>
      </c>
      <c r="AA33" s="1453">
        <f t="shared" si="45"/>
        <v>30</v>
      </c>
      <c r="AB33" s="1458">
        <f t="shared" ref="AB33:AF33" si="64">AB32+N33-U33</f>
        <v>4</v>
      </c>
      <c r="AC33" s="1458">
        <f t="shared" si="64"/>
        <v>26</v>
      </c>
      <c r="AD33" s="1453">
        <f t="shared" si="64"/>
        <v>53</v>
      </c>
      <c r="AE33" s="1458">
        <f t="shared" si="64"/>
        <v>11</v>
      </c>
      <c r="AF33" s="1458">
        <f t="shared" si="64"/>
        <v>42</v>
      </c>
      <c r="AG33" s="1453">
        <f t="shared" si="3"/>
        <v>83</v>
      </c>
    </row>
    <row r="34" spans="1:36" ht="18.75" customHeight="1">
      <c r="A34" s="1447" t="s">
        <v>4788</v>
      </c>
      <c r="B34" s="1448">
        <v>0</v>
      </c>
      <c r="C34" s="1448">
        <v>0</v>
      </c>
      <c r="D34" s="1449">
        <f t="shared" si="16"/>
        <v>0</v>
      </c>
      <c r="E34" s="1450">
        <v>0</v>
      </c>
      <c r="F34" s="1450">
        <v>0</v>
      </c>
      <c r="G34" s="1451">
        <f t="shared" si="17"/>
        <v>0</v>
      </c>
      <c r="H34" s="1452">
        <f t="shared" ref="H34:I34" si="65">H33+B34-E34</f>
        <v>14</v>
      </c>
      <c r="I34" s="1452">
        <f t="shared" si="65"/>
        <v>22</v>
      </c>
      <c r="J34" s="1453">
        <f t="shared" si="0"/>
        <v>36</v>
      </c>
      <c r="K34" s="1460"/>
      <c r="L34" s="1447" t="s">
        <v>4788</v>
      </c>
      <c r="M34" s="1454">
        <v>1</v>
      </c>
      <c r="N34" s="1455"/>
      <c r="O34" s="1455">
        <v>1</v>
      </c>
      <c r="P34" s="1454">
        <v>1</v>
      </c>
      <c r="Q34" s="1455"/>
      <c r="R34" s="1455">
        <v>1</v>
      </c>
      <c r="S34" s="1454">
        <f t="shared" si="1"/>
        <v>2</v>
      </c>
      <c r="T34" s="1456">
        <v>1</v>
      </c>
      <c r="U34" s="1457"/>
      <c r="V34" s="1461">
        <v>1</v>
      </c>
      <c r="W34" s="1456">
        <v>0</v>
      </c>
      <c r="X34" s="1457"/>
      <c r="Y34" s="1457"/>
      <c r="Z34" s="1451">
        <f t="shared" si="2"/>
        <v>1</v>
      </c>
      <c r="AA34" s="1453">
        <f t="shared" si="45"/>
        <v>30</v>
      </c>
      <c r="AB34" s="1458">
        <f t="shared" ref="AB34:AF34" si="66">AB33+N34-U34</f>
        <v>4</v>
      </c>
      <c r="AC34" s="1458">
        <f t="shared" si="66"/>
        <v>26</v>
      </c>
      <c r="AD34" s="1453">
        <f t="shared" si="66"/>
        <v>54</v>
      </c>
      <c r="AE34" s="1458">
        <f t="shared" si="66"/>
        <v>11</v>
      </c>
      <c r="AF34" s="1458">
        <f t="shared" si="66"/>
        <v>43</v>
      </c>
      <c r="AG34" s="1453">
        <f t="shared" si="3"/>
        <v>84</v>
      </c>
    </row>
    <row r="35" spans="1:36" ht="18.75" customHeight="1">
      <c r="A35" s="1447" t="s">
        <v>4789</v>
      </c>
      <c r="B35" s="1448">
        <v>0</v>
      </c>
      <c r="C35" s="1448">
        <v>1</v>
      </c>
      <c r="D35" s="1449">
        <f t="shared" si="16"/>
        <v>1</v>
      </c>
      <c r="E35" s="1450">
        <v>0</v>
      </c>
      <c r="F35" s="1450">
        <v>0</v>
      </c>
      <c r="G35" s="1451">
        <f t="shared" si="17"/>
        <v>0</v>
      </c>
      <c r="H35" s="1452">
        <f t="shared" ref="H35:I35" si="67">H34+B35-E35</f>
        <v>14</v>
      </c>
      <c r="I35" s="1452">
        <f t="shared" si="67"/>
        <v>23</v>
      </c>
      <c r="J35" s="1453">
        <f t="shared" si="0"/>
        <v>37</v>
      </c>
      <c r="K35" s="1460"/>
      <c r="L35" s="1447" t="s">
        <v>4789</v>
      </c>
      <c r="M35" s="1454">
        <v>1</v>
      </c>
      <c r="N35" s="1455"/>
      <c r="O35" s="1455">
        <v>1</v>
      </c>
      <c r="P35" s="1454">
        <v>0</v>
      </c>
      <c r="Q35" s="1455"/>
      <c r="R35" s="1455"/>
      <c r="S35" s="1454">
        <f t="shared" si="1"/>
        <v>1</v>
      </c>
      <c r="T35" s="1456">
        <v>1</v>
      </c>
      <c r="U35" s="1457">
        <v>1</v>
      </c>
      <c r="V35" s="1461"/>
      <c r="W35" s="1456">
        <v>0</v>
      </c>
      <c r="X35" s="1457"/>
      <c r="Y35" s="1457"/>
      <c r="Z35" s="1451">
        <f t="shared" si="2"/>
        <v>1</v>
      </c>
      <c r="AA35" s="1453">
        <f t="shared" si="45"/>
        <v>30</v>
      </c>
      <c r="AB35" s="1458">
        <f t="shared" ref="AB35:AF35" si="68">AB34+N35-U35</f>
        <v>3</v>
      </c>
      <c r="AC35" s="1458">
        <f t="shared" si="68"/>
        <v>27</v>
      </c>
      <c r="AD35" s="1453">
        <f t="shared" si="68"/>
        <v>54</v>
      </c>
      <c r="AE35" s="1458">
        <f t="shared" si="68"/>
        <v>11</v>
      </c>
      <c r="AF35" s="1458">
        <f t="shared" si="68"/>
        <v>43</v>
      </c>
      <c r="AG35" s="1453">
        <f t="shared" si="3"/>
        <v>84</v>
      </c>
    </row>
    <row r="36" spans="1:36" ht="18.75" customHeight="1">
      <c r="A36" s="1447" t="s">
        <v>135</v>
      </c>
      <c r="B36" s="1448">
        <v>0</v>
      </c>
      <c r="C36" s="1448">
        <v>0</v>
      </c>
      <c r="D36" s="1449">
        <f t="shared" si="16"/>
        <v>0</v>
      </c>
      <c r="E36" s="1450">
        <v>1</v>
      </c>
      <c r="F36" s="1450">
        <v>0</v>
      </c>
      <c r="G36" s="1451">
        <f t="shared" si="17"/>
        <v>1</v>
      </c>
      <c r="H36" s="1452">
        <f t="shared" ref="H36:I36" si="69">H35+B36-E36</f>
        <v>13</v>
      </c>
      <c r="I36" s="1452">
        <f t="shared" si="69"/>
        <v>23</v>
      </c>
      <c r="J36" s="1453">
        <f t="shared" si="0"/>
        <v>36</v>
      </c>
      <c r="K36" s="1460"/>
      <c r="L36" s="1447" t="s">
        <v>135</v>
      </c>
      <c r="M36" s="1454">
        <v>0</v>
      </c>
      <c r="N36" s="1455"/>
      <c r="O36" s="1455"/>
      <c r="P36" s="1454">
        <v>13</v>
      </c>
      <c r="Q36" s="1455"/>
      <c r="R36" s="1455">
        <v>13</v>
      </c>
      <c r="S36" s="1454">
        <f t="shared" si="1"/>
        <v>13</v>
      </c>
      <c r="T36" s="1456">
        <v>0</v>
      </c>
      <c r="U36" s="1457"/>
      <c r="V36" s="1461"/>
      <c r="W36" s="1456">
        <v>1</v>
      </c>
      <c r="X36" s="1457">
        <v>1</v>
      </c>
      <c r="Y36" s="1457"/>
      <c r="Z36" s="1451">
        <f t="shared" si="2"/>
        <v>1</v>
      </c>
      <c r="AA36" s="1453">
        <f t="shared" si="45"/>
        <v>30</v>
      </c>
      <c r="AB36" s="1458">
        <f t="shared" ref="AB36:AF36" si="70">AB35+N36-U36</f>
        <v>3</v>
      </c>
      <c r="AC36" s="1458">
        <f t="shared" si="70"/>
        <v>27</v>
      </c>
      <c r="AD36" s="1453">
        <f t="shared" si="70"/>
        <v>66</v>
      </c>
      <c r="AE36" s="1458">
        <f t="shared" si="70"/>
        <v>10</v>
      </c>
      <c r="AF36" s="1458">
        <f t="shared" si="70"/>
        <v>56</v>
      </c>
      <c r="AG36" s="1453">
        <f t="shared" si="3"/>
        <v>96</v>
      </c>
    </row>
    <row r="37" spans="1:36" ht="18.75" customHeight="1">
      <c r="A37" s="1447" t="s">
        <v>4790</v>
      </c>
      <c r="B37" s="1448">
        <v>0</v>
      </c>
      <c r="C37" s="1448">
        <v>0</v>
      </c>
      <c r="D37" s="1449">
        <f t="shared" si="16"/>
        <v>0</v>
      </c>
      <c r="E37" s="1450">
        <v>0</v>
      </c>
      <c r="F37" s="1450">
        <v>0</v>
      </c>
      <c r="G37" s="1451">
        <f t="shared" si="17"/>
        <v>0</v>
      </c>
      <c r="H37" s="1452">
        <f t="shared" ref="H37:I37" si="71">H36+B37-E37</f>
        <v>13</v>
      </c>
      <c r="I37" s="1452">
        <f t="shared" si="71"/>
        <v>23</v>
      </c>
      <c r="J37" s="1453">
        <f t="shared" si="0"/>
        <v>36</v>
      </c>
      <c r="K37" s="1460"/>
      <c r="L37" s="1447" t="s">
        <v>4790</v>
      </c>
      <c r="M37" s="1454">
        <v>3</v>
      </c>
      <c r="N37" s="1455"/>
      <c r="O37" s="1455">
        <v>3</v>
      </c>
      <c r="P37" s="1454">
        <v>12</v>
      </c>
      <c r="Q37" s="1455"/>
      <c r="R37" s="1455">
        <v>12</v>
      </c>
      <c r="S37" s="1454">
        <f t="shared" si="1"/>
        <v>15</v>
      </c>
      <c r="T37" s="1456">
        <v>2</v>
      </c>
      <c r="U37" s="1457"/>
      <c r="V37" s="1461">
        <v>2</v>
      </c>
      <c r="W37" s="1456">
        <v>0</v>
      </c>
      <c r="X37" s="1457"/>
      <c r="Y37" s="1457"/>
      <c r="Z37" s="1451">
        <f t="shared" si="2"/>
        <v>2</v>
      </c>
      <c r="AA37" s="1453">
        <f t="shared" si="45"/>
        <v>31</v>
      </c>
      <c r="AB37" s="1458">
        <f t="shared" ref="AB37:AF37" si="72">AB36+N37-U37</f>
        <v>3</v>
      </c>
      <c r="AC37" s="1458">
        <f t="shared" si="72"/>
        <v>28</v>
      </c>
      <c r="AD37" s="1453">
        <f t="shared" si="72"/>
        <v>78</v>
      </c>
      <c r="AE37" s="1458">
        <f t="shared" si="72"/>
        <v>10</v>
      </c>
      <c r="AF37" s="1458">
        <f t="shared" si="72"/>
        <v>68</v>
      </c>
      <c r="AG37" s="1453">
        <f t="shared" si="3"/>
        <v>109</v>
      </c>
    </row>
    <row r="38" spans="1:36" ht="18.75" customHeight="1">
      <c r="A38" s="1447" t="s">
        <v>4791</v>
      </c>
      <c r="B38" s="1448">
        <v>0</v>
      </c>
      <c r="C38" s="1448">
        <v>1</v>
      </c>
      <c r="D38" s="1449">
        <f t="shared" si="16"/>
        <v>1</v>
      </c>
      <c r="E38" s="1450">
        <v>0</v>
      </c>
      <c r="F38" s="1450">
        <v>0</v>
      </c>
      <c r="G38" s="1451">
        <f t="shared" si="17"/>
        <v>0</v>
      </c>
      <c r="H38" s="1452">
        <f t="shared" ref="H38:I38" si="73">H37+B38-E38</f>
        <v>13</v>
      </c>
      <c r="I38" s="1452">
        <f t="shared" si="73"/>
        <v>24</v>
      </c>
      <c r="J38" s="1453">
        <f t="shared" si="0"/>
        <v>37</v>
      </c>
      <c r="K38" s="1460"/>
      <c r="L38" s="1447" t="s">
        <v>4791</v>
      </c>
      <c r="M38" s="1454">
        <v>0</v>
      </c>
      <c r="N38" s="1455"/>
      <c r="O38" s="1455"/>
      <c r="P38" s="1454">
        <v>0</v>
      </c>
      <c r="Q38" s="1455"/>
      <c r="R38" s="1455"/>
      <c r="S38" s="1454">
        <f t="shared" si="1"/>
        <v>0</v>
      </c>
      <c r="T38" s="1456">
        <v>1</v>
      </c>
      <c r="U38" s="1457">
        <v>1</v>
      </c>
      <c r="V38" s="1461"/>
      <c r="W38" s="1456">
        <v>0</v>
      </c>
      <c r="X38" s="1457"/>
      <c r="Y38" s="1457"/>
      <c r="Z38" s="1451">
        <f t="shared" si="2"/>
        <v>1</v>
      </c>
      <c r="AA38" s="1453">
        <f t="shared" si="45"/>
        <v>30</v>
      </c>
      <c r="AB38" s="1458">
        <f t="shared" ref="AB38:AF38" si="74">AB37+N38-U38</f>
        <v>2</v>
      </c>
      <c r="AC38" s="1458">
        <f t="shared" si="74"/>
        <v>28</v>
      </c>
      <c r="AD38" s="1453">
        <f t="shared" si="74"/>
        <v>78</v>
      </c>
      <c r="AE38" s="1458">
        <f t="shared" si="74"/>
        <v>10</v>
      </c>
      <c r="AF38" s="1458">
        <f t="shared" si="74"/>
        <v>68</v>
      </c>
      <c r="AG38" s="1453">
        <f t="shared" si="3"/>
        <v>108</v>
      </c>
    </row>
    <row r="39" spans="1:36" ht="18.75" customHeight="1">
      <c r="A39" s="1447" t="s">
        <v>4792</v>
      </c>
      <c r="B39" s="1448">
        <v>0</v>
      </c>
      <c r="C39" s="1448">
        <v>0</v>
      </c>
      <c r="D39" s="1449">
        <f t="shared" si="16"/>
        <v>0</v>
      </c>
      <c r="E39" s="1450">
        <v>0</v>
      </c>
      <c r="F39" s="1450">
        <v>0</v>
      </c>
      <c r="G39" s="1451">
        <f t="shared" si="17"/>
        <v>0</v>
      </c>
      <c r="H39" s="1452">
        <f t="shared" ref="H39:I39" si="75">H38+B39-E39</f>
        <v>13</v>
      </c>
      <c r="I39" s="1452">
        <f t="shared" si="75"/>
        <v>24</v>
      </c>
      <c r="J39" s="1453">
        <f t="shared" si="0"/>
        <v>37</v>
      </c>
      <c r="K39" s="1460"/>
      <c r="L39" s="1447" t="s">
        <v>4792</v>
      </c>
      <c r="M39" s="1454">
        <v>0</v>
      </c>
      <c r="N39" s="1455"/>
      <c r="O39" s="1455"/>
      <c r="P39" s="1454">
        <v>1</v>
      </c>
      <c r="Q39" s="1455"/>
      <c r="R39" s="1455">
        <v>1</v>
      </c>
      <c r="S39" s="1454">
        <f t="shared" si="1"/>
        <v>1</v>
      </c>
      <c r="T39" s="1456">
        <v>0</v>
      </c>
      <c r="U39" s="1457"/>
      <c r="V39" s="1461"/>
      <c r="W39" s="1456">
        <v>1</v>
      </c>
      <c r="X39" s="1457"/>
      <c r="Y39" s="1457">
        <v>1</v>
      </c>
      <c r="Z39" s="1451">
        <f t="shared" si="2"/>
        <v>1</v>
      </c>
      <c r="AA39" s="1453">
        <f t="shared" si="45"/>
        <v>30</v>
      </c>
      <c r="AB39" s="1458">
        <f t="shared" ref="AB39:AF39" si="76">AB38+N39-U39</f>
        <v>2</v>
      </c>
      <c r="AC39" s="1458">
        <f t="shared" si="76"/>
        <v>28</v>
      </c>
      <c r="AD39" s="1453">
        <f t="shared" si="76"/>
        <v>78</v>
      </c>
      <c r="AE39" s="1458">
        <f t="shared" si="76"/>
        <v>10</v>
      </c>
      <c r="AF39" s="1458">
        <f t="shared" si="76"/>
        <v>68</v>
      </c>
      <c r="AG39" s="1453">
        <f t="shared" si="3"/>
        <v>108</v>
      </c>
      <c r="AH39" s="1462"/>
      <c r="AI39" s="1462"/>
      <c r="AJ39" s="1462"/>
    </row>
    <row r="40" spans="1:36" ht="18.75" customHeight="1">
      <c r="A40" s="1447" t="s">
        <v>1433</v>
      </c>
      <c r="B40" s="1448">
        <v>0</v>
      </c>
      <c r="C40" s="1448">
        <v>0</v>
      </c>
      <c r="D40" s="1449">
        <f t="shared" si="16"/>
        <v>0</v>
      </c>
      <c r="E40" s="1450">
        <v>0</v>
      </c>
      <c r="F40" s="1450">
        <v>1</v>
      </c>
      <c r="G40" s="1451">
        <f t="shared" si="17"/>
        <v>1</v>
      </c>
      <c r="H40" s="1452">
        <f t="shared" ref="H40:I40" si="77">H39+B40-E40</f>
        <v>13</v>
      </c>
      <c r="I40" s="1452">
        <f t="shared" si="77"/>
        <v>23</v>
      </c>
      <c r="J40" s="1453">
        <f t="shared" si="0"/>
        <v>36</v>
      </c>
      <c r="K40" s="1460"/>
      <c r="L40" s="1447" t="s">
        <v>1433</v>
      </c>
      <c r="M40" s="1454">
        <v>0</v>
      </c>
      <c r="N40" s="1455"/>
      <c r="O40" s="1455"/>
      <c r="P40" s="1454">
        <v>0</v>
      </c>
      <c r="Q40" s="1455"/>
      <c r="R40" s="1455"/>
      <c r="S40" s="1454">
        <f t="shared" si="1"/>
        <v>0</v>
      </c>
      <c r="T40" s="1456">
        <v>0</v>
      </c>
      <c r="U40" s="1457"/>
      <c r="V40" s="1461"/>
      <c r="W40" s="1456">
        <v>0</v>
      </c>
      <c r="X40" s="1457"/>
      <c r="Y40" s="1457"/>
      <c r="Z40" s="1451">
        <f t="shared" si="2"/>
        <v>0</v>
      </c>
      <c r="AA40" s="1453">
        <f t="shared" si="45"/>
        <v>30</v>
      </c>
      <c r="AB40" s="1458">
        <f t="shared" ref="AB40:AF40" si="78">AB39+N40-U40</f>
        <v>2</v>
      </c>
      <c r="AC40" s="1458">
        <f t="shared" si="78"/>
        <v>28</v>
      </c>
      <c r="AD40" s="1453">
        <f t="shared" si="78"/>
        <v>78</v>
      </c>
      <c r="AE40" s="1458">
        <f t="shared" si="78"/>
        <v>10</v>
      </c>
      <c r="AF40" s="1458">
        <f t="shared" si="78"/>
        <v>68</v>
      </c>
      <c r="AG40" s="1453">
        <f t="shared" si="3"/>
        <v>108</v>
      </c>
    </row>
    <row r="41" spans="1:36" ht="18.75" customHeight="1">
      <c r="A41" s="1447" t="s">
        <v>4793</v>
      </c>
      <c r="B41" s="1448">
        <v>0</v>
      </c>
      <c r="C41" s="1448">
        <v>1</v>
      </c>
      <c r="D41" s="1449">
        <f t="shared" si="16"/>
        <v>1</v>
      </c>
      <c r="E41" s="1450">
        <v>0</v>
      </c>
      <c r="F41" s="1450">
        <v>0</v>
      </c>
      <c r="G41" s="1451">
        <f t="shared" si="17"/>
        <v>0</v>
      </c>
      <c r="H41" s="1452">
        <f t="shared" ref="H41:I41" si="79">H40+B41-E41</f>
        <v>13</v>
      </c>
      <c r="I41" s="1452">
        <f t="shared" si="79"/>
        <v>24</v>
      </c>
      <c r="J41" s="1453">
        <f t="shared" si="0"/>
        <v>37</v>
      </c>
      <c r="K41" s="1460"/>
      <c r="L41" s="1447" t="s">
        <v>4793</v>
      </c>
      <c r="M41" s="1454">
        <v>1</v>
      </c>
      <c r="N41" s="1455"/>
      <c r="O41" s="1455">
        <v>1</v>
      </c>
      <c r="P41" s="1454">
        <v>0</v>
      </c>
      <c r="Q41" s="1455"/>
      <c r="R41" s="1455"/>
      <c r="S41" s="1454">
        <f t="shared" si="1"/>
        <v>1</v>
      </c>
      <c r="T41" s="1456">
        <v>1</v>
      </c>
      <c r="U41" s="1457"/>
      <c r="V41" s="1461">
        <v>1</v>
      </c>
      <c r="W41" s="1456">
        <v>3</v>
      </c>
      <c r="X41" s="1457">
        <v>1</v>
      </c>
      <c r="Y41" s="1457">
        <v>2</v>
      </c>
      <c r="Z41" s="1451">
        <f t="shared" si="2"/>
        <v>4</v>
      </c>
      <c r="AA41" s="1453">
        <f t="shared" si="45"/>
        <v>30</v>
      </c>
      <c r="AB41" s="1458">
        <f t="shared" ref="AB41:AF41" si="80">AB40+N41-U41</f>
        <v>2</v>
      </c>
      <c r="AC41" s="1458">
        <f t="shared" si="80"/>
        <v>28</v>
      </c>
      <c r="AD41" s="1453">
        <f t="shared" si="80"/>
        <v>75</v>
      </c>
      <c r="AE41" s="1458">
        <f t="shared" si="80"/>
        <v>9</v>
      </c>
      <c r="AF41" s="1458">
        <f t="shared" si="80"/>
        <v>66</v>
      </c>
      <c r="AG41" s="1453">
        <f t="shared" si="3"/>
        <v>105</v>
      </c>
    </row>
    <row r="42" spans="1:36" ht="18.75" customHeight="1">
      <c r="A42" s="1447" t="s">
        <v>4794</v>
      </c>
      <c r="B42" s="1448">
        <v>0</v>
      </c>
      <c r="C42" s="1448">
        <v>0</v>
      </c>
      <c r="D42" s="1449">
        <f t="shared" si="16"/>
        <v>0</v>
      </c>
      <c r="E42" s="1450">
        <v>0</v>
      </c>
      <c r="F42" s="1450">
        <v>0</v>
      </c>
      <c r="G42" s="1451">
        <f t="shared" si="17"/>
        <v>0</v>
      </c>
      <c r="H42" s="1452">
        <f t="shared" ref="H42:I42" si="81">H41+B42-E42</f>
        <v>13</v>
      </c>
      <c r="I42" s="1452">
        <f t="shared" si="81"/>
        <v>24</v>
      </c>
      <c r="J42" s="1453">
        <f t="shared" si="0"/>
        <v>37</v>
      </c>
      <c r="K42" s="1460"/>
      <c r="L42" s="1447" t="s">
        <v>4794</v>
      </c>
      <c r="M42" s="1454">
        <v>0</v>
      </c>
      <c r="N42" s="1455"/>
      <c r="O42" s="1455"/>
      <c r="P42" s="1454">
        <v>0</v>
      </c>
      <c r="Q42" s="1455"/>
      <c r="R42" s="1455"/>
      <c r="S42" s="1454">
        <f t="shared" si="1"/>
        <v>0</v>
      </c>
      <c r="T42" s="1456">
        <v>0</v>
      </c>
      <c r="U42" s="1457">
        <v>0</v>
      </c>
      <c r="V42" s="1461">
        <v>0</v>
      </c>
      <c r="W42" s="1456">
        <v>2</v>
      </c>
      <c r="X42" s="1457">
        <v>1</v>
      </c>
      <c r="Y42" s="1457">
        <v>1</v>
      </c>
      <c r="Z42" s="1451">
        <f t="shared" si="2"/>
        <v>2</v>
      </c>
      <c r="AA42" s="1453">
        <f t="shared" si="45"/>
        <v>30</v>
      </c>
      <c r="AB42" s="1458">
        <f t="shared" ref="AB42:AF42" si="82">AB41+N42-U42</f>
        <v>2</v>
      </c>
      <c r="AC42" s="1458">
        <f t="shared" si="82"/>
        <v>28</v>
      </c>
      <c r="AD42" s="1453">
        <f t="shared" si="82"/>
        <v>73</v>
      </c>
      <c r="AE42" s="1458">
        <f t="shared" si="82"/>
        <v>8</v>
      </c>
      <c r="AF42" s="1458">
        <f t="shared" si="82"/>
        <v>65</v>
      </c>
      <c r="AG42" s="1453">
        <f t="shared" si="3"/>
        <v>103</v>
      </c>
    </row>
    <row r="43" spans="1:36" ht="18.75" customHeight="1">
      <c r="A43" s="1447" t="s">
        <v>4795</v>
      </c>
      <c r="B43" s="1448"/>
      <c r="C43" s="1448"/>
      <c r="D43" s="1449">
        <f t="shared" si="16"/>
        <v>0</v>
      </c>
      <c r="E43" s="1450"/>
      <c r="F43" s="1450"/>
      <c r="G43" s="1451">
        <f t="shared" si="17"/>
        <v>0</v>
      </c>
      <c r="H43" s="1452">
        <f t="shared" ref="H43:I43" si="83">H42+B43-E43</f>
        <v>13</v>
      </c>
      <c r="I43" s="1452">
        <f t="shared" si="83"/>
        <v>24</v>
      </c>
      <c r="J43" s="1453">
        <f t="shared" si="0"/>
        <v>37</v>
      </c>
      <c r="K43" s="1460"/>
      <c r="L43" s="1447" t="s">
        <v>4795</v>
      </c>
      <c r="M43" s="1454"/>
      <c r="N43" s="1455"/>
      <c r="O43" s="1455"/>
      <c r="P43" s="1454"/>
      <c r="Q43" s="1455"/>
      <c r="R43" s="1455"/>
      <c r="S43" s="1454">
        <f t="shared" si="1"/>
        <v>0</v>
      </c>
      <c r="T43" s="1456"/>
      <c r="U43" s="1457"/>
      <c r="V43" s="1461"/>
      <c r="W43" s="1456"/>
      <c r="X43" s="1457"/>
      <c r="Y43" s="1457"/>
      <c r="Z43" s="1451">
        <f t="shared" si="2"/>
        <v>0</v>
      </c>
      <c r="AA43" s="1453">
        <f t="shared" si="45"/>
        <v>30</v>
      </c>
      <c r="AB43" s="1458">
        <f t="shared" ref="AB43:AF43" si="84">AB42+N43-U43</f>
        <v>2</v>
      </c>
      <c r="AC43" s="1458">
        <f t="shared" si="84"/>
        <v>28</v>
      </c>
      <c r="AD43" s="1453">
        <f t="shared" si="84"/>
        <v>73</v>
      </c>
      <c r="AE43" s="1458">
        <f t="shared" si="84"/>
        <v>8</v>
      </c>
      <c r="AF43" s="1458">
        <f t="shared" si="84"/>
        <v>65</v>
      </c>
      <c r="AG43" s="1453">
        <f t="shared" si="3"/>
        <v>103</v>
      </c>
    </row>
    <row r="44" spans="1:36" ht="18.75" customHeight="1">
      <c r="A44" s="1447" t="s">
        <v>1351</v>
      </c>
      <c r="B44" s="1448"/>
      <c r="C44" s="1448"/>
      <c r="D44" s="1449">
        <f t="shared" si="16"/>
        <v>0</v>
      </c>
      <c r="E44" s="1450"/>
      <c r="F44" s="1450"/>
      <c r="G44" s="1451">
        <f t="shared" si="17"/>
        <v>0</v>
      </c>
      <c r="H44" s="1452">
        <f t="shared" ref="H44:I44" si="85">H43+B44-E44</f>
        <v>13</v>
      </c>
      <c r="I44" s="1452">
        <f t="shared" si="85"/>
        <v>24</v>
      </c>
      <c r="J44" s="1453">
        <f t="shared" si="0"/>
        <v>37</v>
      </c>
      <c r="K44" s="1460"/>
      <c r="L44" s="1447" t="s">
        <v>1351</v>
      </c>
      <c r="M44" s="1454"/>
      <c r="N44" s="1455"/>
      <c r="O44" s="1455"/>
      <c r="P44" s="1454"/>
      <c r="Q44" s="1455"/>
      <c r="R44" s="1455"/>
      <c r="S44" s="1454">
        <f t="shared" si="1"/>
        <v>0</v>
      </c>
      <c r="T44" s="1456"/>
      <c r="U44" s="1457"/>
      <c r="V44" s="1461"/>
      <c r="W44" s="1456"/>
      <c r="X44" s="1457"/>
      <c r="Y44" s="1457"/>
      <c r="Z44" s="1451">
        <f t="shared" si="2"/>
        <v>0</v>
      </c>
      <c r="AA44" s="1453">
        <f t="shared" si="45"/>
        <v>30</v>
      </c>
      <c r="AB44" s="1458">
        <f t="shared" ref="AB44:AF44" si="86">AB43+N44-U44</f>
        <v>2</v>
      </c>
      <c r="AC44" s="1458">
        <f t="shared" si="86"/>
        <v>28</v>
      </c>
      <c r="AD44" s="1453">
        <f t="shared" si="86"/>
        <v>73</v>
      </c>
      <c r="AE44" s="1458">
        <f t="shared" si="86"/>
        <v>8</v>
      </c>
      <c r="AF44" s="1458">
        <f t="shared" si="86"/>
        <v>65</v>
      </c>
      <c r="AG44" s="1453">
        <f t="shared" si="3"/>
        <v>103</v>
      </c>
    </row>
    <row r="45" spans="1:36" ht="18.75" customHeight="1">
      <c r="A45" s="1463" t="s">
        <v>4796</v>
      </c>
      <c r="B45" s="1464">
        <f t="shared" ref="B45:G45" si="87">SUM(B11:B44)</f>
        <v>7</v>
      </c>
      <c r="C45" s="1464">
        <f t="shared" si="87"/>
        <v>10</v>
      </c>
      <c r="D45" s="1464">
        <f t="shared" si="87"/>
        <v>17</v>
      </c>
      <c r="E45" s="1464">
        <f t="shared" si="87"/>
        <v>1</v>
      </c>
      <c r="F45" s="1464">
        <f t="shared" si="87"/>
        <v>9</v>
      </c>
      <c r="G45" s="1464">
        <f t="shared" si="87"/>
        <v>10</v>
      </c>
      <c r="H45" s="1465"/>
      <c r="I45" s="1465"/>
      <c r="J45" s="1465"/>
      <c r="L45" s="1463" t="s">
        <v>4796</v>
      </c>
      <c r="M45" s="1464">
        <f t="shared" ref="M45:Z45" si="88">SUM(M11:M44)</f>
        <v>26</v>
      </c>
      <c r="N45" s="1464">
        <f t="shared" si="88"/>
        <v>5</v>
      </c>
      <c r="O45" s="1464">
        <f t="shared" si="88"/>
        <v>21</v>
      </c>
      <c r="P45" s="1464">
        <f t="shared" si="88"/>
        <v>62</v>
      </c>
      <c r="Q45" s="1464">
        <f t="shared" si="88"/>
        <v>9</v>
      </c>
      <c r="R45" s="1464">
        <f t="shared" si="88"/>
        <v>53</v>
      </c>
      <c r="S45" s="1464">
        <f t="shared" si="88"/>
        <v>88</v>
      </c>
      <c r="T45" s="1464">
        <f t="shared" si="88"/>
        <v>17</v>
      </c>
      <c r="U45" s="1464">
        <f t="shared" si="88"/>
        <v>9</v>
      </c>
      <c r="V45" s="1464">
        <f t="shared" si="88"/>
        <v>8</v>
      </c>
      <c r="W45" s="1464">
        <f t="shared" si="88"/>
        <v>41</v>
      </c>
      <c r="X45" s="1464">
        <f t="shared" si="88"/>
        <v>17</v>
      </c>
      <c r="Y45" s="1464">
        <f t="shared" si="88"/>
        <v>24</v>
      </c>
      <c r="Z45" s="1464">
        <f t="shared" si="88"/>
        <v>58</v>
      </c>
    </row>
    <row r="46" spans="1:36" ht="18.75" customHeight="1">
      <c r="A46" s="1466"/>
    </row>
    <row r="47" spans="1:36" ht="18.75" customHeight="1"/>
    <row r="48" spans="1:36" ht="18.75" customHeight="1"/>
    <row r="49" spans="11:18" ht="18.75" customHeight="1"/>
    <row r="50" spans="11:18" ht="18.75" customHeight="1"/>
    <row r="51" spans="11:18" ht="18.75" customHeight="1"/>
    <row r="52" spans="11:18" ht="18.75" customHeight="1"/>
    <row r="53" spans="11:18" ht="18.75" customHeight="1"/>
    <row r="54" spans="11:18" ht="18.75" customHeight="1"/>
    <row r="55" spans="11:18" ht="18.75" customHeight="1">
      <c r="K55" s="1467"/>
      <c r="L55" s="1467"/>
      <c r="M55" s="1467"/>
      <c r="R55" s="1467"/>
    </row>
    <row r="56" spans="11:18" ht="18.75" customHeight="1">
      <c r="K56" s="1467"/>
      <c r="L56" s="1467"/>
      <c r="M56" s="1467"/>
      <c r="Q56" s="1468"/>
      <c r="R56" s="1467"/>
    </row>
    <row r="57" spans="11:18" ht="18.75" customHeight="1">
      <c r="K57" s="1467"/>
      <c r="M57" s="1467"/>
      <c r="R57" s="1467"/>
    </row>
    <row r="58" spans="11:18" ht="18.75" customHeight="1">
      <c r="K58" s="1467"/>
      <c r="L58" s="1467"/>
      <c r="M58" s="1467"/>
      <c r="R58" s="1467"/>
    </row>
    <row r="59" spans="11:18" ht="18.75" customHeight="1">
      <c r="K59" s="1467"/>
      <c r="L59" s="1467"/>
      <c r="M59" s="1467"/>
      <c r="N59" s="1467"/>
      <c r="O59" s="1467"/>
      <c r="P59" s="1467"/>
      <c r="Q59" s="1467"/>
      <c r="R59" s="1467"/>
    </row>
    <row r="60" spans="11:18" ht="18.75" customHeight="1"/>
    <row r="61" spans="11:18" ht="18.75" customHeight="1"/>
    <row r="62" spans="11:18" ht="18.75" customHeight="1"/>
    <row r="63" spans="11:18" ht="18.75" customHeight="1"/>
    <row r="64" spans="11:18"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sheetData>
  <mergeCells count="6">
    <mergeCell ref="AA2:AG2"/>
    <mergeCell ref="B2:D2"/>
    <mergeCell ref="E2:G2"/>
    <mergeCell ref="H2:J2"/>
    <mergeCell ref="M2:S2"/>
    <mergeCell ref="T2:Z2"/>
  </mergeCells>
  <phoneticPr fontId="135"/>
  <pageMargins left="0.25" right="0.25" top="0.75" bottom="0.75" header="0" footer="0"/>
  <pageSetup paperSize="9" scale="55"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Q355"/>
  <sheetViews>
    <sheetView workbookViewId="0">
      <selection activeCell="D24" sqref="D24"/>
    </sheetView>
  </sheetViews>
  <sheetFormatPr defaultColWidth="12.6328125" defaultRowHeight="15" customHeight="1"/>
  <sheetData>
    <row r="1" spans="1:17" ht="15" customHeight="1">
      <c r="A1" s="1439"/>
      <c r="B1" s="1698" t="s">
        <v>3446</v>
      </c>
      <c r="C1" s="1602"/>
      <c r="D1" s="1698" t="s">
        <v>3437</v>
      </c>
      <c r="E1" s="1602"/>
      <c r="G1" s="1469" t="s">
        <v>4761</v>
      </c>
      <c r="H1" s="1469" t="s">
        <v>3</v>
      </c>
      <c r="I1" s="1470" t="s">
        <v>4797</v>
      </c>
      <c r="J1" s="1470" t="s">
        <v>4798</v>
      </c>
      <c r="L1" s="1469" t="s">
        <v>4761</v>
      </c>
      <c r="M1" s="1469" t="s">
        <v>4799</v>
      </c>
      <c r="N1" s="1469" t="s">
        <v>3</v>
      </c>
      <c r="O1" s="1470" t="s">
        <v>4797</v>
      </c>
      <c r="P1" s="594" t="s">
        <v>4800</v>
      </c>
      <c r="Q1" s="1470" t="s">
        <v>4798</v>
      </c>
    </row>
    <row r="2" spans="1:17">
      <c r="A2" s="1432" t="s">
        <v>4761</v>
      </c>
      <c r="B2" s="1037" t="s">
        <v>55</v>
      </c>
      <c r="C2" s="1037" t="s">
        <v>611</v>
      </c>
      <c r="D2" s="1037" t="s">
        <v>55</v>
      </c>
      <c r="E2" s="1037" t="s">
        <v>611</v>
      </c>
      <c r="G2" s="1471">
        <v>44927</v>
      </c>
      <c r="H2" s="1469" t="s">
        <v>611</v>
      </c>
      <c r="I2" s="1469" t="s">
        <v>3437</v>
      </c>
      <c r="J2" s="1472">
        <v>24</v>
      </c>
      <c r="L2" s="1471">
        <v>45139</v>
      </c>
      <c r="M2" s="1448" t="s">
        <v>3577</v>
      </c>
      <c r="N2" s="1469" t="s">
        <v>55</v>
      </c>
      <c r="O2" s="1469" t="s">
        <v>3446</v>
      </c>
      <c r="P2" s="594" t="s">
        <v>3646</v>
      </c>
      <c r="Q2" s="1448">
        <v>1</v>
      </c>
    </row>
    <row r="3" spans="1:17">
      <c r="A3" s="1447" t="s">
        <v>205</v>
      </c>
      <c r="B3" s="595">
        <f>推移表!H4+推移表!AB4</f>
        <v>13</v>
      </c>
      <c r="C3" s="595">
        <f>推移表!AC4</f>
        <v>6</v>
      </c>
      <c r="D3" s="594">
        <f>推移表!I4+推移表!AE4</f>
        <v>36</v>
      </c>
      <c r="E3" s="594">
        <f>推移表!AF4</f>
        <v>24</v>
      </c>
      <c r="G3" s="1471">
        <v>44958</v>
      </c>
      <c r="H3" s="1469" t="s">
        <v>611</v>
      </c>
      <c r="I3" s="1469" t="s">
        <v>3437</v>
      </c>
      <c r="J3" s="1472">
        <v>24</v>
      </c>
      <c r="L3" s="1471">
        <v>45170</v>
      </c>
      <c r="M3" s="1448" t="s">
        <v>3577</v>
      </c>
      <c r="N3" s="1469" t="s">
        <v>55</v>
      </c>
      <c r="O3" s="1469" t="s">
        <v>3446</v>
      </c>
      <c r="P3" s="594" t="s">
        <v>3646</v>
      </c>
      <c r="Q3" s="1448">
        <v>0</v>
      </c>
    </row>
    <row r="4" spans="1:17">
      <c r="A4" s="1447" t="s">
        <v>426</v>
      </c>
      <c r="B4" s="595">
        <f>推移表!H5+推移表!AB5</f>
        <v>13</v>
      </c>
      <c r="C4" s="595">
        <f>推移表!AC5</f>
        <v>6</v>
      </c>
      <c r="D4" s="594">
        <f>推移表!I5+推移表!AE5</f>
        <v>37</v>
      </c>
      <c r="E4" s="594">
        <f>推移表!AF5</f>
        <v>24</v>
      </c>
      <c r="G4" s="1473">
        <v>44986</v>
      </c>
      <c r="H4" s="1469" t="s">
        <v>611</v>
      </c>
      <c r="I4" s="1469" t="s">
        <v>3437</v>
      </c>
      <c r="J4" s="1472">
        <v>23</v>
      </c>
      <c r="L4" s="1473">
        <v>45200</v>
      </c>
      <c r="M4" s="1448" t="s">
        <v>3577</v>
      </c>
      <c r="N4" s="1469" t="s">
        <v>55</v>
      </c>
      <c r="O4" s="1469" t="s">
        <v>3446</v>
      </c>
      <c r="P4" s="594" t="s">
        <v>3646</v>
      </c>
      <c r="Q4" s="1448">
        <v>0</v>
      </c>
    </row>
    <row r="5" spans="1:17">
      <c r="A5" s="1447" t="s">
        <v>4765</v>
      </c>
      <c r="B5" s="595">
        <f>推移表!H6+推移表!AB6</f>
        <v>13</v>
      </c>
      <c r="C5" s="595">
        <f>推移表!AC6</f>
        <v>6</v>
      </c>
      <c r="D5" s="594">
        <f>推移表!I6+推移表!AE6</f>
        <v>35</v>
      </c>
      <c r="E5" s="594">
        <f>推移表!AF6</f>
        <v>23</v>
      </c>
      <c r="G5" s="1473">
        <v>45017</v>
      </c>
      <c r="H5" s="1469" t="s">
        <v>611</v>
      </c>
      <c r="I5" s="1469" t="s">
        <v>3437</v>
      </c>
      <c r="J5" s="1472">
        <v>22</v>
      </c>
      <c r="L5" s="1473">
        <v>45231</v>
      </c>
      <c r="M5" s="1448" t="s">
        <v>3577</v>
      </c>
      <c r="N5" s="1469" t="s">
        <v>55</v>
      </c>
      <c r="O5" s="1469" t="s">
        <v>3446</v>
      </c>
      <c r="P5" s="594" t="s">
        <v>3646</v>
      </c>
      <c r="Q5" s="1448">
        <v>0</v>
      </c>
    </row>
    <row r="6" spans="1:17">
      <c r="A6" s="1447" t="s">
        <v>4766</v>
      </c>
      <c r="B6" s="595">
        <f>推移表!H7+推移表!AB7</f>
        <v>13</v>
      </c>
      <c r="C6" s="595">
        <f>推移表!AC7</f>
        <v>15</v>
      </c>
      <c r="D6" s="594">
        <f>推移表!I7+推移表!AE7</f>
        <v>35</v>
      </c>
      <c r="E6" s="594">
        <f>推移表!AF7</f>
        <v>22</v>
      </c>
      <c r="G6" s="1473">
        <v>45047</v>
      </c>
      <c r="H6" s="1469" t="s">
        <v>611</v>
      </c>
      <c r="I6" s="1469" t="s">
        <v>3437</v>
      </c>
      <c r="J6" s="1472">
        <v>26</v>
      </c>
      <c r="L6" s="1473">
        <v>45261</v>
      </c>
      <c r="M6" s="1448" t="s">
        <v>3577</v>
      </c>
      <c r="N6" s="1469" t="s">
        <v>55</v>
      </c>
      <c r="O6" s="1469" t="s">
        <v>3446</v>
      </c>
      <c r="P6" s="594" t="s">
        <v>3646</v>
      </c>
      <c r="Q6" s="1448">
        <v>0</v>
      </c>
    </row>
    <row r="7" spans="1:17">
      <c r="A7" s="1447" t="s">
        <v>4767</v>
      </c>
      <c r="B7" s="595">
        <f>推移表!H8+推移表!AB8</f>
        <v>14</v>
      </c>
      <c r="C7" s="595">
        <f>推移表!AC8</f>
        <v>15</v>
      </c>
      <c r="D7" s="594">
        <f>推移表!I8+推移表!AE8</f>
        <v>33</v>
      </c>
      <c r="E7" s="594">
        <f>推移表!AF8</f>
        <v>26</v>
      </c>
      <c r="G7" s="1471">
        <v>45078</v>
      </c>
      <c r="H7" s="1469" t="s">
        <v>611</v>
      </c>
      <c r="I7" s="1469" t="s">
        <v>3437</v>
      </c>
      <c r="J7" s="1472">
        <v>35</v>
      </c>
      <c r="L7" s="1471">
        <v>45292</v>
      </c>
      <c r="M7" s="1448" t="s">
        <v>3577</v>
      </c>
      <c r="N7" s="1469" t="s">
        <v>55</v>
      </c>
      <c r="O7" s="1469" t="s">
        <v>3446</v>
      </c>
      <c r="P7" s="594" t="s">
        <v>3646</v>
      </c>
      <c r="Q7" s="1448">
        <v>0</v>
      </c>
    </row>
    <row r="8" spans="1:17">
      <c r="A8" s="1447" t="s">
        <v>4768</v>
      </c>
      <c r="B8" s="595">
        <f>推移表!H9+推移表!AB9</f>
        <v>13</v>
      </c>
      <c r="C8" s="595">
        <f>推移表!AC9</f>
        <v>15</v>
      </c>
      <c r="D8" s="594">
        <f>推移表!I9+推移表!AE9</f>
        <v>39</v>
      </c>
      <c r="E8" s="594">
        <f>推移表!AF9</f>
        <v>35</v>
      </c>
      <c r="G8" s="1471">
        <v>45108</v>
      </c>
      <c r="H8" s="1469" t="s">
        <v>611</v>
      </c>
      <c r="I8" s="1469" t="s">
        <v>3437</v>
      </c>
      <c r="J8" s="1472">
        <v>36</v>
      </c>
      <c r="L8" s="1471">
        <v>45323</v>
      </c>
      <c r="M8" s="1448" t="s">
        <v>3577</v>
      </c>
      <c r="N8" s="1469" t="s">
        <v>55</v>
      </c>
      <c r="O8" s="1469" t="s">
        <v>3446</v>
      </c>
      <c r="P8" s="594" t="s">
        <v>3646</v>
      </c>
      <c r="Q8" s="1448">
        <v>0</v>
      </c>
    </row>
    <row r="9" spans="1:17">
      <c r="A9" s="1447" t="s">
        <v>4769</v>
      </c>
      <c r="B9" s="595">
        <f>推移表!H10+推移表!AB10</f>
        <v>13</v>
      </c>
      <c r="C9" s="595">
        <f>推移表!AC10</f>
        <v>15</v>
      </c>
      <c r="D9" s="594">
        <f>推移表!I10+推移表!AE10</f>
        <v>39</v>
      </c>
      <c r="E9" s="594">
        <f>推移表!AF10</f>
        <v>36</v>
      </c>
      <c r="G9" s="1471">
        <v>45139</v>
      </c>
      <c r="H9" s="1469" t="s">
        <v>611</v>
      </c>
      <c r="I9" s="1469" t="s">
        <v>3437</v>
      </c>
      <c r="J9" s="1472">
        <v>36</v>
      </c>
      <c r="L9" s="1471">
        <v>45352</v>
      </c>
      <c r="M9" s="1448" t="s">
        <v>3577</v>
      </c>
      <c r="N9" s="1469" t="s">
        <v>55</v>
      </c>
      <c r="O9" s="1469" t="s">
        <v>3446</v>
      </c>
      <c r="P9" s="594" t="s">
        <v>3646</v>
      </c>
      <c r="Q9" s="1448">
        <v>0</v>
      </c>
    </row>
    <row r="10" spans="1:17">
      <c r="A10" s="1447" t="s">
        <v>4770</v>
      </c>
      <c r="B10" s="595">
        <f>推移表!H11+推移表!AB11</f>
        <v>14</v>
      </c>
      <c r="C10" s="595">
        <f>推移表!AC11</f>
        <v>15</v>
      </c>
      <c r="D10" s="594">
        <f>推移表!I11+推移表!AE11</f>
        <v>40</v>
      </c>
      <c r="E10" s="594">
        <f>推移表!AF11</f>
        <v>36</v>
      </c>
      <c r="G10" s="1471">
        <v>45170</v>
      </c>
      <c r="H10" s="1469" t="s">
        <v>611</v>
      </c>
      <c r="I10" s="1469" t="s">
        <v>3437</v>
      </c>
      <c r="J10" s="1472">
        <v>35</v>
      </c>
      <c r="L10" s="1471">
        <v>45383</v>
      </c>
      <c r="M10" s="1448" t="s">
        <v>3577</v>
      </c>
      <c r="N10" s="1469" t="s">
        <v>55</v>
      </c>
      <c r="O10" s="1469" t="s">
        <v>3446</v>
      </c>
      <c r="P10" s="594" t="s">
        <v>3646</v>
      </c>
      <c r="Q10" s="1448">
        <v>0</v>
      </c>
    </row>
    <row r="11" spans="1:17">
      <c r="A11" s="1447" t="s">
        <v>4771</v>
      </c>
      <c r="B11" s="595">
        <f>推移表!H12+推移表!AB12</f>
        <v>14</v>
      </c>
      <c r="C11" s="595">
        <f>推移表!AC12</f>
        <v>15</v>
      </c>
      <c r="D11" s="594">
        <f>推移表!I12+推移表!AE12</f>
        <v>39</v>
      </c>
      <c r="E11" s="594">
        <f>推移表!AF12</f>
        <v>35</v>
      </c>
      <c r="G11" s="1471">
        <v>45200</v>
      </c>
      <c r="H11" s="1469" t="s">
        <v>611</v>
      </c>
      <c r="I11" s="1469" t="s">
        <v>3437</v>
      </c>
      <c r="J11" s="1472">
        <v>48</v>
      </c>
      <c r="L11" s="1471">
        <v>45413</v>
      </c>
      <c r="M11" s="1448" t="s">
        <v>3577</v>
      </c>
      <c r="N11" s="1469" t="s">
        <v>55</v>
      </c>
      <c r="O11" s="1469" t="s">
        <v>3446</v>
      </c>
      <c r="P11" s="594" t="s">
        <v>3646</v>
      </c>
      <c r="Q11" s="1448">
        <v>0</v>
      </c>
    </row>
    <row r="12" spans="1:17">
      <c r="A12" s="1447" t="s">
        <v>4772</v>
      </c>
      <c r="B12" s="595">
        <f>推移表!H13+推移表!AB13</f>
        <v>14</v>
      </c>
      <c r="C12" s="595">
        <f>推移表!AC13</f>
        <v>15</v>
      </c>
      <c r="D12" s="594">
        <f>推移表!I13+推移表!AE13</f>
        <v>40</v>
      </c>
      <c r="E12" s="594">
        <f>推移表!AF13</f>
        <v>48</v>
      </c>
      <c r="G12" s="1471">
        <v>45231</v>
      </c>
      <c r="H12" s="1469" t="s">
        <v>611</v>
      </c>
      <c r="I12" s="1469" t="s">
        <v>3437</v>
      </c>
      <c r="J12" s="1472">
        <v>47</v>
      </c>
      <c r="L12" s="1471">
        <v>45444</v>
      </c>
      <c r="M12" s="1448" t="s">
        <v>3577</v>
      </c>
      <c r="N12" s="1469" t="s">
        <v>55</v>
      </c>
      <c r="O12" s="1469" t="s">
        <v>3446</v>
      </c>
      <c r="P12" s="594" t="s">
        <v>3646</v>
      </c>
      <c r="Q12" s="1448">
        <v>0</v>
      </c>
    </row>
    <row r="13" spans="1:17">
      <c r="A13" s="1447" t="s">
        <v>118</v>
      </c>
      <c r="B13" s="595">
        <f>推移表!H14+推移表!AB14</f>
        <v>15</v>
      </c>
      <c r="C13" s="595">
        <f>推移表!AC14</f>
        <v>15</v>
      </c>
      <c r="D13" s="594">
        <f>推移表!I14+推移表!AE14</f>
        <v>38</v>
      </c>
      <c r="E13" s="594">
        <f>推移表!AF14</f>
        <v>47</v>
      </c>
      <c r="G13" s="1471">
        <v>45261</v>
      </c>
      <c r="H13" s="1469" t="s">
        <v>611</v>
      </c>
      <c r="I13" s="1469" t="s">
        <v>3437</v>
      </c>
      <c r="J13" s="1472">
        <v>46</v>
      </c>
      <c r="L13" s="1471">
        <v>45474</v>
      </c>
      <c r="M13" s="1448" t="s">
        <v>3577</v>
      </c>
      <c r="N13" s="1469" t="s">
        <v>55</v>
      </c>
      <c r="O13" s="1469" t="s">
        <v>3446</v>
      </c>
      <c r="P13" s="594" t="s">
        <v>3646</v>
      </c>
      <c r="Q13" s="1448">
        <v>0</v>
      </c>
    </row>
    <row r="14" spans="1:17">
      <c r="A14" s="1447" t="s">
        <v>4773</v>
      </c>
      <c r="B14" s="595">
        <f>推移表!H15+推移表!AB15</f>
        <v>15</v>
      </c>
      <c r="C14" s="595">
        <f>推移表!AC15</f>
        <v>15</v>
      </c>
      <c r="D14" s="594">
        <f>推移表!I15+推移表!AE15</f>
        <v>36</v>
      </c>
      <c r="E14" s="594">
        <f>推移表!AF15</f>
        <v>46</v>
      </c>
      <c r="G14" s="1471">
        <v>45292</v>
      </c>
      <c r="H14" s="1469" t="s">
        <v>611</v>
      </c>
      <c r="I14" s="1469" t="s">
        <v>3437</v>
      </c>
      <c r="J14" s="1472">
        <v>46</v>
      </c>
      <c r="L14" s="1471">
        <v>45505</v>
      </c>
      <c r="M14" s="1448" t="s">
        <v>3577</v>
      </c>
      <c r="N14" s="1469" t="s">
        <v>55</v>
      </c>
      <c r="O14" s="1469" t="s">
        <v>3446</v>
      </c>
      <c r="P14" s="594" t="s">
        <v>3646</v>
      </c>
      <c r="Q14" s="1448">
        <v>0</v>
      </c>
    </row>
    <row r="15" spans="1:17">
      <c r="A15" s="1447" t="s">
        <v>4774</v>
      </c>
      <c r="B15" s="595">
        <f>推移表!H16+推移表!AB16</f>
        <v>15</v>
      </c>
      <c r="C15" s="595">
        <f>推移表!AC16</f>
        <v>15</v>
      </c>
      <c r="D15" s="594">
        <f>推移表!I16+推移表!AE16</f>
        <v>35</v>
      </c>
      <c r="E15" s="594">
        <f>推移表!AF16</f>
        <v>46</v>
      </c>
      <c r="G15" s="1471">
        <v>45323</v>
      </c>
      <c r="H15" s="1469" t="s">
        <v>611</v>
      </c>
      <c r="I15" s="1469" t="s">
        <v>3437</v>
      </c>
      <c r="J15" s="1472">
        <v>45</v>
      </c>
      <c r="L15" s="1471">
        <v>45536</v>
      </c>
      <c r="M15" s="1448" t="s">
        <v>3577</v>
      </c>
      <c r="N15" s="1469" t="s">
        <v>55</v>
      </c>
      <c r="O15" s="1469" t="s">
        <v>3446</v>
      </c>
      <c r="P15" s="594" t="s">
        <v>3646</v>
      </c>
      <c r="Q15" s="1448">
        <v>0</v>
      </c>
    </row>
    <row r="16" spans="1:17">
      <c r="A16" s="1447" t="s">
        <v>4775</v>
      </c>
      <c r="B16" s="595">
        <f>推移表!H17+推移表!AB17</f>
        <v>15</v>
      </c>
      <c r="C16" s="595">
        <f>推移表!AC17</f>
        <v>15</v>
      </c>
      <c r="D16" s="594">
        <f>推移表!I17+推移表!AE17</f>
        <v>35</v>
      </c>
      <c r="E16" s="594">
        <f>推移表!AF17</f>
        <v>45</v>
      </c>
      <c r="G16" s="1473">
        <v>45352</v>
      </c>
      <c r="H16" s="1469" t="s">
        <v>611</v>
      </c>
      <c r="I16" s="1469" t="s">
        <v>3437</v>
      </c>
      <c r="J16" s="1472">
        <v>48</v>
      </c>
      <c r="L16" s="1473">
        <v>45566</v>
      </c>
      <c r="M16" s="1448" t="s">
        <v>3577</v>
      </c>
      <c r="N16" s="1469" t="s">
        <v>55</v>
      </c>
      <c r="O16" s="1469" t="s">
        <v>3446</v>
      </c>
      <c r="P16" s="594" t="s">
        <v>3646</v>
      </c>
      <c r="Q16" s="1448">
        <v>2</v>
      </c>
    </row>
    <row r="17" spans="1:17">
      <c r="A17" s="1447" t="s">
        <v>4776</v>
      </c>
      <c r="B17" s="595">
        <f>推移表!H18+推移表!AB18</f>
        <v>15</v>
      </c>
      <c r="C17" s="595">
        <f>推移表!AC18</f>
        <v>17</v>
      </c>
      <c r="D17" s="594">
        <f>推移表!I18+推移表!AE18</f>
        <v>37</v>
      </c>
      <c r="E17" s="594">
        <f>推移表!AF18</f>
        <v>48</v>
      </c>
      <c r="G17" s="1473">
        <v>45383</v>
      </c>
      <c r="H17" s="1469" t="s">
        <v>611</v>
      </c>
      <c r="I17" s="1469" t="s">
        <v>3437</v>
      </c>
      <c r="J17" s="1472">
        <v>48</v>
      </c>
      <c r="L17" s="1473">
        <v>45597</v>
      </c>
      <c r="M17" s="1448" t="s">
        <v>3577</v>
      </c>
      <c r="N17" s="1469" t="s">
        <v>55</v>
      </c>
      <c r="O17" s="1469" t="s">
        <v>3446</v>
      </c>
      <c r="P17" s="594" t="s">
        <v>3646</v>
      </c>
      <c r="Q17" s="1448">
        <v>0</v>
      </c>
    </row>
    <row r="18" spans="1:17">
      <c r="A18" s="1447" t="s">
        <v>4777</v>
      </c>
      <c r="B18" s="595">
        <f>推移表!H19+推移表!AB19</f>
        <v>14</v>
      </c>
      <c r="C18" s="595">
        <f>推移表!AC19</f>
        <v>17</v>
      </c>
      <c r="D18" s="594">
        <f>推移表!I19+推移表!AE19</f>
        <v>37</v>
      </c>
      <c r="E18" s="594">
        <f>推移表!AF19</f>
        <v>48</v>
      </c>
      <c r="G18" s="1473">
        <v>45413</v>
      </c>
      <c r="H18" s="1469" t="s">
        <v>611</v>
      </c>
      <c r="I18" s="1469" t="s">
        <v>3437</v>
      </c>
      <c r="J18" s="1472">
        <v>48</v>
      </c>
      <c r="L18" s="1473">
        <v>45627</v>
      </c>
      <c r="M18" s="1448" t="s">
        <v>3577</v>
      </c>
      <c r="N18" s="1469" t="s">
        <v>55</v>
      </c>
      <c r="O18" s="1469" t="s">
        <v>3446</v>
      </c>
      <c r="P18" s="594" t="s">
        <v>3646</v>
      </c>
      <c r="Q18" s="1448">
        <v>0</v>
      </c>
    </row>
    <row r="19" spans="1:17">
      <c r="A19" s="1447" t="s">
        <v>4778</v>
      </c>
      <c r="B19" s="595">
        <f>推移表!H20+推移表!AB20</f>
        <v>14</v>
      </c>
      <c r="C19" s="595">
        <f>推移表!AC20</f>
        <v>18</v>
      </c>
      <c r="D19" s="594">
        <f>推移表!I20+推移表!AE20</f>
        <v>37</v>
      </c>
      <c r="E19" s="594">
        <f>推移表!AF20</f>
        <v>48</v>
      </c>
      <c r="G19" s="1471">
        <v>45444</v>
      </c>
      <c r="H19" s="1469" t="s">
        <v>611</v>
      </c>
      <c r="I19" s="1469" t="s">
        <v>3437</v>
      </c>
      <c r="J19" s="1472">
        <v>48</v>
      </c>
      <c r="L19" s="1471">
        <v>45658</v>
      </c>
      <c r="M19" s="1448" t="s">
        <v>3577</v>
      </c>
      <c r="N19" s="1469" t="s">
        <v>55</v>
      </c>
      <c r="O19" s="1469" t="s">
        <v>3446</v>
      </c>
      <c r="P19" s="594" t="s">
        <v>3646</v>
      </c>
      <c r="Q19" s="1448">
        <v>2</v>
      </c>
    </row>
    <row r="20" spans="1:17">
      <c r="A20" s="1447" t="s">
        <v>180</v>
      </c>
      <c r="B20" s="595">
        <f>推移表!H21+推移表!AB21</f>
        <v>13</v>
      </c>
      <c r="C20" s="595">
        <f>推移表!AC21</f>
        <v>18</v>
      </c>
      <c r="D20" s="594">
        <f>推移表!I21+推移表!AE21</f>
        <v>38</v>
      </c>
      <c r="E20" s="594">
        <f>推移表!AF21</f>
        <v>48</v>
      </c>
      <c r="G20" s="1471">
        <v>45474</v>
      </c>
      <c r="H20" s="1469" t="s">
        <v>611</v>
      </c>
      <c r="I20" s="1469" t="s">
        <v>3437</v>
      </c>
      <c r="J20" s="1472">
        <v>48</v>
      </c>
      <c r="L20" s="1471">
        <v>45689</v>
      </c>
      <c r="M20" s="1448" t="s">
        <v>3577</v>
      </c>
      <c r="N20" s="1469" t="s">
        <v>55</v>
      </c>
      <c r="O20" s="1469" t="s">
        <v>3446</v>
      </c>
      <c r="P20" s="594" t="s">
        <v>3646</v>
      </c>
      <c r="Q20" s="1448">
        <v>0</v>
      </c>
    </row>
    <row r="21" spans="1:17">
      <c r="A21" s="1447" t="s">
        <v>4779</v>
      </c>
      <c r="B21" s="595">
        <f>推移表!H22+推移表!AB22</f>
        <v>13</v>
      </c>
      <c r="C21" s="595">
        <f>推移表!AC22</f>
        <v>18</v>
      </c>
      <c r="D21" s="594">
        <f>推移表!I22+推移表!AE22</f>
        <v>38</v>
      </c>
      <c r="E21" s="594">
        <f>推移表!AF22</f>
        <v>48</v>
      </c>
      <c r="G21" s="1471">
        <v>45505</v>
      </c>
      <c r="H21" s="1469" t="s">
        <v>611</v>
      </c>
      <c r="I21" s="1469" t="s">
        <v>3437</v>
      </c>
      <c r="J21" s="1472">
        <v>48</v>
      </c>
      <c r="L21" s="1471">
        <v>45717</v>
      </c>
      <c r="M21" s="1448" t="s">
        <v>3577</v>
      </c>
      <c r="N21" s="1469" t="s">
        <v>55</v>
      </c>
      <c r="O21" s="1469" t="s">
        <v>3446</v>
      </c>
      <c r="P21" s="594" t="s">
        <v>3646</v>
      </c>
      <c r="Q21" s="1448">
        <v>0</v>
      </c>
    </row>
    <row r="22" spans="1:17">
      <c r="A22" s="1447" t="s">
        <v>220</v>
      </c>
      <c r="B22" s="595">
        <f>推移表!H23+推移表!AB23</f>
        <v>14</v>
      </c>
      <c r="C22" s="595">
        <f>推移表!AC23</f>
        <v>19</v>
      </c>
      <c r="D22" s="594">
        <f>推移表!I23+推移表!AE23</f>
        <v>35</v>
      </c>
      <c r="E22" s="594">
        <f>推移表!AF23</f>
        <v>48</v>
      </c>
      <c r="G22" s="1471">
        <v>45536</v>
      </c>
      <c r="H22" s="1469" t="s">
        <v>611</v>
      </c>
      <c r="I22" s="1469" t="s">
        <v>3437</v>
      </c>
      <c r="J22" s="1472">
        <v>47</v>
      </c>
      <c r="L22" s="1471">
        <v>45748</v>
      </c>
      <c r="M22" s="1448" t="s">
        <v>3577</v>
      </c>
      <c r="N22" s="1469" t="s">
        <v>55</v>
      </c>
      <c r="O22" s="1469" t="s">
        <v>3446</v>
      </c>
      <c r="P22" s="594" t="s">
        <v>3646</v>
      </c>
      <c r="Q22" s="1448">
        <v>0</v>
      </c>
    </row>
    <row r="23" spans="1:17">
      <c r="A23" s="1447" t="s">
        <v>256</v>
      </c>
      <c r="B23" s="595">
        <f>推移表!H24+推移表!AB24</f>
        <v>13</v>
      </c>
      <c r="C23" s="595">
        <f>推移表!AC24</f>
        <v>19</v>
      </c>
      <c r="D23" s="594">
        <f>推移表!I24+推移表!AE24</f>
        <v>35</v>
      </c>
      <c r="E23" s="594">
        <f>推移表!AF24</f>
        <v>47</v>
      </c>
      <c r="G23" s="1471">
        <v>45566</v>
      </c>
      <c r="H23" s="1469" t="s">
        <v>611</v>
      </c>
      <c r="I23" s="1469" t="s">
        <v>3437</v>
      </c>
      <c r="J23" s="1472">
        <v>56</v>
      </c>
      <c r="L23" s="1471">
        <v>45778</v>
      </c>
      <c r="M23" s="1448" t="s">
        <v>3577</v>
      </c>
      <c r="N23" s="1469" t="s">
        <v>55</v>
      </c>
      <c r="O23" s="1469" t="s">
        <v>3446</v>
      </c>
      <c r="P23" s="594" t="s">
        <v>3646</v>
      </c>
      <c r="Q23" s="1448">
        <v>2</v>
      </c>
    </row>
    <row r="24" spans="1:17">
      <c r="A24" s="1447" t="s">
        <v>4780</v>
      </c>
      <c r="B24" s="595">
        <f>推移表!H25+推移表!AB25</f>
        <v>15</v>
      </c>
      <c r="C24" s="595">
        <f>推移表!AC25</f>
        <v>28</v>
      </c>
      <c r="D24" s="594">
        <f>推移表!I25+推移表!AE25</f>
        <v>37</v>
      </c>
      <c r="E24" s="594">
        <f>推移表!AF25</f>
        <v>56</v>
      </c>
      <c r="G24" s="1471">
        <v>45597</v>
      </c>
      <c r="H24" s="1469" t="s">
        <v>611</v>
      </c>
      <c r="I24" s="1469" t="s">
        <v>3437</v>
      </c>
      <c r="J24" s="1472">
        <v>56</v>
      </c>
      <c r="L24" s="1471">
        <v>45809</v>
      </c>
      <c r="M24" s="1448" t="s">
        <v>3577</v>
      </c>
      <c r="N24" s="1469" t="s">
        <v>55</v>
      </c>
      <c r="O24" s="1469" t="s">
        <v>3446</v>
      </c>
      <c r="P24" s="594" t="s">
        <v>3646</v>
      </c>
      <c r="Q24" s="1448">
        <v>0</v>
      </c>
    </row>
    <row r="25" spans="1:17">
      <c r="A25" s="1447" t="s">
        <v>4781</v>
      </c>
      <c r="B25" s="595">
        <f>推移表!H26+推移表!AB26</f>
        <v>15</v>
      </c>
      <c r="C25" s="595">
        <f>推移表!AC26</f>
        <v>28</v>
      </c>
      <c r="D25" s="594">
        <f>推移表!I26+推移表!AE26</f>
        <v>36</v>
      </c>
      <c r="E25" s="594">
        <f>推移表!AF26</f>
        <v>56</v>
      </c>
      <c r="G25" s="1471">
        <v>45627</v>
      </c>
      <c r="H25" s="1469" t="s">
        <v>611</v>
      </c>
      <c r="I25" s="1469" t="s">
        <v>3437</v>
      </c>
      <c r="J25" s="1472">
        <v>56</v>
      </c>
      <c r="L25" s="1471">
        <v>45839</v>
      </c>
      <c r="M25" s="1448" t="s">
        <v>3577</v>
      </c>
      <c r="N25" s="1469" t="s">
        <v>55</v>
      </c>
      <c r="O25" s="1469" t="s">
        <v>3446</v>
      </c>
      <c r="P25" s="594" t="s">
        <v>3646</v>
      </c>
      <c r="Q25" s="1448">
        <v>0</v>
      </c>
    </row>
    <row r="26" spans="1:17">
      <c r="A26" s="1447" t="s">
        <v>4782</v>
      </c>
      <c r="B26" s="595">
        <f>推移表!H27+推移表!AB27</f>
        <v>14</v>
      </c>
      <c r="C26" s="595">
        <f>推移表!AC27</f>
        <v>27</v>
      </c>
      <c r="D26" s="594">
        <f>推移表!I27+推移表!AE27</f>
        <v>35</v>
      </c>
      <c r="E26" s="594">
        <f>推移表!AF27</f>
        <v>56</v>
      </c>
      <c r="G26" s="1471">
        <v>45658</v>
      </c>
      <c r="H26" s="1469" t="s">
        <v>611</v>
      </c>
      <c r="I26" s="1469" t="s">
        <v>3437</v>
      </c>
      <c r="J26" s="1472">
        <v>50</v>
      </c>
      <c r="L26" s="1471">
        <v>45870</v>
      </c>
      <c r="M26" s="1448" t="s">
        <v>3577</v>
      </c>
      <c r="N26" s="1469" t="s">
        <v>55</v>
      </c>
      <c r="O26" s="1469" t="s">
        <v>3446</v>
      </c>
      <c r="P26" s="594" t="s">
        <v>3646</v>
      </c>
      <c r="Q26" s="1448">
        <v>0</v>
      </c>
    </row>
    <row r="27" spans="1:17">
      <c r="A27" s="1447" t="s">
        <v>4783</v>
      </c>
      <c r="B27" s="595">
        <f>推移表!H28+推移表!AB28</f>
        <v>16</v>
      </c>
      <c r="C27" s="595">
        <f>推移表!AC28</f>
        <v>26</v>
      </c>
      <c r="D27" s="594">
        <f>推移表!I28+推移表!AE28</f>
        <v>35</v>
      </c>
      <c r="E27" s="594">
        <f>推移表!AF28</f>
        <v>50</v>
      </c>
      <c r="G27" s="1471">
        <v>45689</v>
      </c>
      <c r="H27" s="1469" t="s">
        <v>611</v>
      </c>
      <c r="I27" s="1469" t="s">
        <v>3437</v>
      </c>
      <c r="J27" s="1472">
        <v>50</v>
      </c>
      <c r="L27" s="1471">
        <v>45901</v>
      </c>
      <c r="M27" s="1448" t="s">
        <v>3577</v>
      </c>
      <c r="N27" s="1469" t="s">
        <v>55</v>
      </c>
      <c r="O27" s="1469" t="s">
        <v>3446</v>
      </c>
      <c r="P27" s="594" t="s">
        <v>3646</v>
      </c>
      <c r="Q27" s="1448">
        <v>0</v>
      </c>
    </row>
    <row r="28" spans="1:17">
      <c r="A28" s="1447" t="s">
        <v>4784</v>
      </c>
      <c r="B28" s="595">
        <f>推移表!H29+推移表!AB29</f>
        <v>16</v>
      </c>
      <c r="C28" s="595">
        <f>推移表!AC29</f>
        <v>26</v>
      </c>
      <c r="D28" s="594">
        <f>推移表!I29+推移表!AE29</f>
        <v>36</v>
      </c>
      <c r="E28" s="594">
        <f>推移表!AF29</f>
        <v>50</v>
      </c>
      <c r="G28" s="1473">
        <v>45717</v>
      </c>
      <c r="H28" s="1469" t="s">
        <v>611</v>
      </c>
      <c r="I28" s="1469" t="s">
        <v>3437</v>
      </c>
      <c r="J28" s="1472">
        <v>45</v>
      </c>
      <c r="L28" s="1473">
        <v>45931</v>
      </c>
      <c r="M28" s="1448" t="s">
        <v>3577</v>
      </c>
      <c r="N28" s="1469" t="s">
        <v>55</v>
      </c>
      <c r="O28" s="1469" t="s">
        <v>3446</v>
      </c>
      <c r="P28" s="594" t="s">
        <v>3646</v>
      </c>
      <c r="Q28" s="1448">
        <v>0</v>
      </c>
    </row>
    <row r="29" spans="1:17">
      <c r="A29" s="1447" t="s">
        <v>4785</v>
      </c>
      <c r="B29" s="595">
        <f>推移表!H30+推移表!AB30</f>
        <v>16</v>
      </c>
      <c r="C29" s="595">
        <f>推移表!AC30</f>
        <v>26</v>
      </c>
      <c r="D29" s="594">
        <f>推移表!I30+推移表!AE30</f>
        <v>38</v>
      </c>
      <c r="E29" s="594">
        <f>推移表!AF30</f>
        <v>45</v>
      </c>
      <c r="G29" s="1473">
        <v>45748</v>
      </c>
      <c r="H29" s="1469" t="s">
        <v>611</v>
      </c>
      <c r="I29" s="1469" t="s">
        <v>3437</v>
      </c>
      <c r="J29" s="1472">
        <v>43</v>
      </c>
      <c r="L29" s="1473">
        <v>45962</v>
      </c>
      <c r="M29" s="1448" t="s">
        <v>3577</v>
      </c>
      <c r="N29" s="1469" t="s">
        <v>55</v>
      </c>
      <c r="O29" s="1469" t="s">
        <v>3446</v>
      </c>
      <c r="P29" s="594" t="s">
        <v>3646</v>
      </c>
      <c r="Q29" s="1448">
        <v>0</v>
      </c>
    </row>
    <row r="30" spans="1:17">
      <c r="A30" s="1447" t="s">
        <v>1237</v>
      </c>
      <c r="B30" s="595">
        <f>推移表!H31+推移表!AB31</f>
        <v>15</v>
      </c>
      <c r="C30" s="595">
        <f>推移表!AC31</f>
        <v>25</v>
      </c>
      <c r="D30" s="594">
        <f>推移表!I31+推移表!AE31</f>
        <v>34</v>
      </c>
      <c r="E30" s="594">
        <f>推移表!AF31</f>
        <v>43</v>
      </c>
      <c r="G30" s="1473">
        <v>45778</v>
      </c>
      <c r="H30" s="1469" t="s">
        <v>611</v>
      </c>
      <c r="I30" s="1469" t="s">
        <v>3437</v>
      </c>
      <c r="J30" s="1472">
        <v>42</v>
      </c>
      <c r="L30" s="1473">
        <v>45992</v>
      </c>
      <c r="M30" s="1448" t="s">
        <v>3577</v>
      </c>
      <c r="N30" s="1469" t="s">
        <v>55</v>
      </c>
      <c r="O30" s="1469" t="s">
        <v>3446</v>
      </c>
      <c r="P30" s="594" t="s">
        <v>3646</v>
      </c>
      <c r="Q30" s="1448">
        <v>0</v>
      </c>
    </row>
    <row r="31" spans="1:17">
      <c r="A31" s="1447" t="s">
        <v>4786</v>
      </c>
      <c r="B31" s="595">
        <f>推移表!H32+推移表!AB32</f>
        <v>17</v>
      </c>
      <c r="C31" s="595">
        <f>推移表!AC32</f>
        <v>25</v>
      </c>
      <c r="D31" s="594">
        <f>推移表!I32+推移表!AE32</f>
        <v>34</v>
      </c>
      <c r="E31" s="594">
        <f>推移表!AF32</f>
        <v>42</v>
      </c>
      <c r="G31" s="1471">
        <v>45809</v>
      </c>
      <c r="H31" s="1469" t="s">
        <v>611</v>
      </c>
      <c r="I31" s="1469" t="s">
        <v>3437</v>
      </c>
      <c r="J31" s="1474">
        <v>42</v>
      </c>
      <c r="L31" s="1471">
        <v>45139</v>
      </c>
      <c r="M31" s="1448" t="s">
        <v>3577</v>
      </c>
      <c r="N31" s="1469" t="s">
        <v>55</v>
      </c>
      <c r="O31" s="1469" t="s">
        <v>3437</v>
      </c>
      <c r="P31" s="594" t="s">
        <v>3646</v>
      </c>
      <c r="Q31" s="1448">
        <v>2</v>
      </c>
    </row>
    <row r="32" spans="1:17" ht="18">
      <c r="A32" s="1447" t="s">
        <v>4787</v>
      </c>
      <c r="B32" s="595">
        <f>推移表!H33+推移表!AB33</f>
        <v>18</v>
      </c>
      <c r="C32" s="595">
        <f>推移表!AC33</f>
        <v>26</v>
      </c>
      <c r="D32" s="594">
        <f>推移表!I33+推移表!AE33</f>
        <v>33</v>
      </c>
      <c r="E32" s="594">
        <f>推移表!AF33</f>
        <v>42</v>
      </c>
      <c r="G32" s="1471">
        <v>45839</v>
      </c>
      <c r="H32" s="1469" t="s">
        <v>611</v>
      </c>
      <c r="I32" s="1469" t="s">
        <v>3437</v>
      </c>
      <c r="J32" s="1474">
        <v>43</v>
      </c>
      <c r="L32" s="1471">
        <v>45170</v>
      </c>
      <c r="M32" s="1448" t="s">
        <v>3577</v>
      </c>
      <c r="N32" s="1469" t="s">
        <v>55</v>
      </c>
      <c r="O32" s="1469" t="s">
        <v>3437</v>
      </c>
      <c r="P32" s="594" t="s">
        <v>3646</v>
      </c>
      <c r="Q32" s="1448">
        <v>0</v>
      </c>
    </row>
    <row r="33" spans="1:17" ht="18">
      <c r="A33" s="1447" t="s">
        <v>4788</v>
      </c>
      <c r="B33" s="595">
        <f>推移表!H34+推移表!AB34</f>
        <v>18</v>
      </c>
      <c r="C33" s="595">
        <f>推移表!AC34</f>
        <v>26</v>
      </c>
      <c r="D33" s="594">
        <f>推移表!I34+推移表!AE34</f>
        <v>33</v>
      </c>
      <c r="E33" s="594">
        <f>推移表!AF34</f>
        <v>43</v>
      </c>
      <c r="G33" s="1473">
        <v>45870</v>
      </c>
      <c r="H33" s="1469" t="s">
        <v>611</v>
      </c>
      <c r="I33" s="1469" t="s">
        <v>3437</v>
      </c>
      <c r="J33" s="1474">
        <v>43</v>
      </c>
      <c r="L33" s="1473">
        <v>45200</v>
      </c>
      <c r="M33" s="1448" t="s">
        <v>3577</v>
      </c>
      <c r="N33" s="1469" t="s">
        <v>55</v>
      </c>
      <c r="O33" s="1469" t="s">
        <v>3437</v>
      </c>
      <c r="P33" s="594" t="s">
        <v>3646</v>
      </c>
      <c r="Q33" s="1448">
        <v>0</v>
      </c>
    </row>
    <row r="34" spans="1:17" ht="18">
      <c r="A34" s="1447" t="s">
        <v>4789</v>
      </c>
      <c r="B34" s="595">
        <f>推移表!H35+推移表!AB35</f>
        <v>17</v>
      </c>
      <c r="C34" s="595">
        <f>推移表!AC35</f>
        <v>27</v>
      </c>
      <c r="D34" s="594">
        <f>推移表!I35+推移表!AE35</f>
        <v>34</v>
      </c>
      <c r="E34" s="594">
        <f>推移表!AF35</f>
        <v>43</v>
      </c>
      <c r="G34" s="1473">
        <v>45901</v>
      </c>
      <c r="H34" s="1469" t="s">
        <v>611</v>
      </c>
      <c r="I34" s="1469" t="s">
        <v>3437</v>
      </c>
      <c r="J34" s="1474">
        <v>56</v>
      </c>
      <c r="L34" s="1473">
        <v>45231</v>
      </c>
      <c r="M34" s="1448" t="s">
        <v>3577</v>
      </c>
      <c r="N34" s="1469" t="s">
        <v>55</v>
      </c>
      <c r="O34" s="1469" t="s">
        <v>3437</v>
      </c>
      <c r="P34" s="594" t="s">
        <v>3646</v>
      </c>
      <c r="Q34" s="1448">
        <v>0</v>
      </c>
    </row>
    <row r="35" spans="1:17" ht="18">
      <c r="A35" s="1447" t="s">
        <v>135</v>
      </c>
      <c r="B35" s="595">
        <f>推移表!H36+推移表!AB36</f>
        <v>16</v>
      </c>
      <c r="C35" s="595">
        <f>推移表!AC36</f>
        <v>27</v>
      </c>
      <c r="D35" s="594">
        <f>推移表!I36+推移表!AE36</f>
        <v>33</v>
      </c>
      <c r="E35" s="594">
        <f>推移表!AF36</f>
        <v>56</v>
      </c>
      <c r="G35" s="1473">
        <v>45931</v>
      </c>
      <c r="H35" s="1469" t="s">
        <v>611</v>
      </c>
      <c r="I35" s="1469" t="s">
        <v>3437</v>
      </c>
      <c r="J35" s="1474">
        <v>68</v>
      </c>
      <c r="L35" s="1473">
        <v>45261</v>
      </c>
      <c r="M35" s="1448" t="s">
        <v>3577</v>
      </c>
      <c r="N35" s="1469" t="s">
        <v>55</v>
      </c>
      <c r="O35" s="1469" t="s">
        <v>3437</v>
      </c>
      <c r="P35" s="594" t="s">
        <v>3646</v>
      </c>
      <c r="Q35" s="1448">
        <v>0</v>
      </c>
    </row>
    <row r="36" spans="1:17" ht="18">
      <c r="A36" s="1447" t="s">
        <v>4790</v>
      </c>
      <c r="B36" s="595">
        <f>推移表!H37+推移表!AB37</f>
        <v>16</v>
      </c>
      <c r="C36" s="595">
        <f>推移表!AC37</f>
        <v>28</v>
      </c>
      <c r="D36" s="594">
        <f>推移表!I37+推移表!AE37</f>
        <v>33</v>
      </c>
      <c r="E36" s="594">
        <f>推移表!AF37</f>
        <v>68</v>
      </c>
      <c r="G36" s="1471">
        <v>45962</v>
      </c>
      <c r="H36" s="1469" t="s">
        <v>611</v>
      </c>
      <c r="I36" s="1469" t="s">
        <v>3437</v>
      </c>
      <c r="J36" s="1474">
        <v>68</v>
      </c>
      <c r="L36" s="1471">
        <v>45292</v>
      </c>
      <c r="M36" s="1448" t="s">
        <v>3577</v>
      </c>
      <c r="N36" s="1469" t="s">
        <v>55</v>
      </c>
      <c r="O36" s="1469" t="s">
        <v>3437</v>
      </c>
      <c r="P36" s="594" t="s">
        <v>3646</v>
      </c>
      <c r="Q36" s="1448">
        <v>0</v>
      </c>
    </row>
    <row r="37" spans="1:17" ht="18">
      <c r="A37" s="1447" t="s">
        <v>4791</v>
      </c>
      <c r="B37" s="595">
        <f>推移表!H38+推移表!AB38</f>
        <v>15</v>
      </c>
      <c r="C37" s="595">
        <f>推移表!AC38</f>
        <v>28</v>
      </c>
      <c r="D37" s="594">
        <f>推移表!I38+推移表!AE38</f>
        <v>34</v>
      </c>
      <c r="E37" s="594">
        <f>推移表!AF38</f>
        <v>68</v>
      </c>
      <c r="G37" s="1471">
        <v>45992</v>
      </c>
      <c r="H37" s="1469" t="s">
        <v>611</v>
      </c>
      <c r="I37" s="1469" t="s">
        <v>3437</v>
      </c>
      <c r="J37" s="1474">
        <v>68</v>
      </c>
      <c r="L37" s="1471">
        <v>45323</v>
      </c>
      <c r="M37" s="1448" t="s">
        <v>3577</v>
      </c>
      <c r="N37" s="1469" t="s">
        <v>55</v>
      </c>
      <c r="O37" s="1469" t="s">
        <v>3437</v>
      </c>
      <c r="P37" s="594" t="s">
        <v>3646</v>
      </c>
      <c r="Q37" s="1448">
        <v>0</v>
      </c>
    </row>
    <row r="38" spans="1:17" ht="18">
      <c r="A38" s="1447" t="s">
        <v>4792</v>
      </c>
      <c r="B38" s="595">
        <f>推移表!H39+推移表!AB39</f>
        <v>15</v>
      </c>
      <c r="C38" s="595">
        <f>推移表!AC39</f>
        <v>28</v>
      </c>
      <c r="D38" s="594">
        <f>推移表!I39+推移表!AE39</f>
        <v>34</v>
      </c>
      <c r="E38" s="594">
        <f>推移表!AF39</f>
        <v>68</v>
      </c>
      <c r="G38" s="1471">
        <v>44927</v>
      </c>
      <c r="H38" s="1469" t="s">
        <v>611</v>
      </c>
      <c r="I38" s="1469" t="s">
        <v>3446</v>
      </c>
      <c r="J38" s="1475">
        <v>6</v>
      </c>
      <c r="L38" s="1471">
        <v>45352</v>
      </c>
      <c r="M38" s="1448" t="s">
        <v>3577</v>
      </c>
      <c r="N38" s="1469" t="s">
        <v>55</v>
      </c>
      <c r="O38" s="1469" t="s">
        <v>3437</v>
      </c>
      <c r="P38" s="594" t="s">
        <v>3646</v>
      </c>
      <c r="Q38" s="1448">
        <v>0</v>
      </c>
    </row>
    <row r="39" spans="1:17" ht="18">
      <c r="A39" s="1476" t="s">
        <v>4783</v>
      </c>
      <c r="B39" s="594">
        <v>15</v>
      </c>
      <c r="C39" s="594">
        <v>28</v>
      </c>
      <c r="D39" s="594">
        <v>33</v>
      </c>
      <c r="E39" s="594">
        <v>68</v>
      </c>
      <c r="G39" s="1471">
        <v>44958</v>
      </c>
      <c r="H39" s="1469" t="s">
        <v>611</v>
      </c>
      <c r="I39" s="1469" t="s">
        <v>3446</v>
      </c>
      <c r="J39" s="1475">
        <v>6</v>
      </c>
      <c r="L39" s="1471">
        <v>45383</v>
      </c>
      <c r="M39" s="1448" t="s">
        <v>3577</v>
      </c>
      <c r="N39" s="1469" t="s">
        <v>55</v>
      </c>
      <c r="O39" s="1469" t="s">
        <v>3437</v>
      </c>
      <c r="P39" s="594" t="s">
        <v>3646</v>
      </c>
      <c r="Q39" s="1448">
        <v>0</v>
      </c>
    </row>
    <row r="40" spans="1:17" ht="18">
      <c r="A40" s="1476" t="s">
        <v>4784</v>
      </c>
      <c r="B40" s="594">
        <v>15</v>
      </c>
      <c r="C40" s="594">
        <v>28</v>
      </c>
      <c r="D40" s="594">
        <v>33</v>
      </c>
      <c r="E40" s="594">
        <v>66</v>
      </c>
      <c r="G40" s="1471">
        <v>44986</v>
      </c>
      <c r="H40" s="1469" t="s">
        <v>611</v>
      </c>
      <c r="I40" s="1469" t="s">
        <v>3446</v>
      </c>
      <c r="J40" s="1475">
        <v>6</v>
      </c>
      <c r="L40" s="1471">
        <v>45413</v>
      </c>
      <c r="M40" s="1448" t="s">
        <v>3577</v>
      </c>
      <c r="N40" s="1469" t="s">
        <v>55</v>
      </c>
      <c r="O40" s="1469" t="s">
        <v>3437</v>
      </c>
      <c r="P40" s="594" t="s">
        <v>3646</v>
      </c>
      <c r="Q40" s="1448">
        <v>0</v>
      </c>
    </row>
    <row r="41" spans="1:17" ht="18">
      <c r="A41" s="1476" t="s">
        <v>4785</v>
      </c>
      <c r="G41" s="1471">
        <v>45017</v>
      </c>
      <c r="H41" s="1469" t="s">
        <v>611</v>
      </c>
      <c r="I41" s="1469" t="s">
        <v>3446</v>
      </c>
      <c r="J41" s="1475">
        <v>15</v>
      </c>
      <c r="L41" s="1471">
        <v>45444</v>
      </c>
      <c r="M41" s="1448" t="s">
        <v>3577</v>
      </c>
      <c r="N41" s="1469" t="s">
        <v>55</v>
      </c>
      <c r="O41" s="1469" t="s">
        <v>3437</v>
      </c>
      <c r="P41" s="594" t="s">
        <v>3646</v>
      </c>
      <c r="Q41" s="1448">
        <v>1</v>
      </c>
    </row>
    <row r="42" spans="1:17" ht="18">
      <c r="A42" s="1476" t="s">
        <v>1237</v>
      </c>
      <c r="G42" s="1471">
        <v>45047</v>
      </c>
      <c r="H42" s="1469" t="s">
        <v>611</v>
      </c>
      <c r="I42" s="1469" t="s">
        <v>3446</v>
      </c>
      <c r="J42" s="1475">
        <v>15</v>
      </c>
      <c r="L42" s="1471">
        <v>45474</v>
      </c>
      <c r="M42" s="1448" t="s">
        <v>3577</v>
      </c>
      <c r="N42" s="1469" t="s">
        <v>55</v>
      </c>
      <c r="O42" s="1469" t="s">
        <v>3437</v>
      </c>
      <c r="P42" s="594" t="s">
        <v>3646</v>
      </c>
      <c r="Q42" s="1448">
        <v>0</v>
      </c>
    </row>
    <row r="43" spans="1:17" ht="18">
      <c r="G43" s="1471">
        <v>45078</v>
      </c>
      <c r="H43" s="1469" t="s">
        <v>611</v>
      </c>
      <c r="I43" s="1469" t="s">
        <v>3446</v>
      </c>
      <c r="J43" s="1475">
        <v>15</v>
      </c>
      <c r="L43" s="1471">
        <v>45505</v>
      </c>
      <c r="M43" s="1448" t="s">
        <v>3577</v>
      </c>
      <c r="N43" s="1469" t="s">
        <v>55</v>
      </c>
      <c r="O43" s="1469" t="s">
        <v>3437</v>
      </c>
      <c r="P43" s="594" t="s">
        <v>3646</v>
      </c>
      <c r="Q43" s="1448">
        <v>0</v>
      </c>
    </row>
    <row r="44" spans="1:17" ht="18">
      <c r="G44" s="1471">
        <v>45108</v>
      </c>
      <c r="H44" s="1469" t="s">
        <v>611</v>
      </c>
      <c r="I44" s="1469" t="s">
        <v>3446</v>
      </c>
      <c r="J44" s="1475">
        <v>15</v>
      </c>
      <c r="L44" s="1471">
        <v>45536</v>
      </c>
      <c r="M44" s="1448" t="s">
        <v>3577</v>
      </c>
      <c r="N44" s="1469" t="s">
        <v>55</v>
      </c>
      <c r="O44" s="1469" t="s">
        <v>3437</v>
      </c>
      <c r="P44" s="594" t="s">
        <v>3646</v>
      </c>
      <c r="Q44" s="1448">
        <v>0</v>
      </c>
    </row>
    <row r="45" spans="1:17" ht="18">
      <c r="G45" s="1473">
        <v>45139</v>
      </c>
      <c r="H45" s="1469" t="s">
        <v>611</v>
      </c>
      <c r="I45" s="1469" t="s">
        <v>3446</v>
      </c>
      <c r="J45" s="1475">
        <v>15</v>
      </c>
      <c r="L45" s="1473">
        <v>45566</v>
      </c>
      <c r="M45" s="1448" t="s">
        <v>3577</v>
      </c>
      <c r="N45" s="1469" t="s">
        <v>55</v>
      </c>
      <c r="O45" s="1469" t="s">
        <v>3437</v>
      </c>
      <c r="P45" s="594" t="s">
        <v>3646</v>
      </c>
      <c r="Q45" s="1448">
        <v>3</v>
      </c>
    </row>
    <row r="46" spans="1:17" ht="18">
      <c r="G46" s="1473">
        <v>45170</v>
      </c>
      <c r="H46" s="1469" t="s">
        <v>611</v>
      </c>
      <c r="I46" s="1469" t="s">
        <v>3446</v>
      </c>
      <c r="J46" s="1475">
        <v>15</v>
      </c>
      <c r="L46" s="1473">
        <v>45597</v>
      </c>
      <c r="M46" s="1448" t="s">
        <v>3577</v>
      </c>
      <c r="N46" s="1469" t="s">
        <v>55</v>
      </c>
      <c r="O46" s="1469" t="s">
        <v>3437</v>
      </c>
      <c r="P46" s="594" t="s">
        <v>3646</v>
      </c>
      <c r="Q46" s="1448">
        <v>0</v>
      </c>
    </row>
    <row r="47" spans="1:17" ht="18">
      <c r="G47" s="1473">
        <v>45200</v>
      </c>
      <c r="H47" s="1469" t="s">
        <v>611</v>
      </c>
      <c r="I47" s="1469" t="s">
        <v>3446</v>
      </c>
      <c r="J47" s="1475">
        <v>15</v>
      </c>
      <c r="L47" s="1473">
        <v>45627</v>
      </c>
      <c r="M47" s="1448" t="s">
        <v>3577</v>
      </c>
      <c r="N47" s="1469" t="s">
        <v>55</v>
      </c>
      <c r="O47" s="1469" t="s">
        <v>3437</v>
      </c>
      <c r="P47" s="594" t="s">
        <v>3646</v>
      </c>
      <c r="Q47" s="1448">
        <v>0</v>
      </c>
    </row>
    <row r="48" spans="1:17" ht="18">
      <c r="G48" s="1471">
        <v>45231</v>
      </c>
      <c r="H48" s="1469" t="s">
        <v>611</v>
      </c>
      <c r="I48" s="1469" t="s">
        <v>3446</v>
      </c>
      <c r="J48" s="1475">
        <v>15</v>
      </c>
      <c r="L48" s="1471">
        <v>45658</v>
      </c>
      <c r="M48" s="1448" t="s">
        <v>3577</v>
      </c>
      <c r="N48" s="1469" t="s">
        <v>55</v>
      </c>
      <c r="O48" s="1469" t="s">
        <v>3437</v>
      </c>
      <c r="P48" s="594" t="s">
        <v>3646</v>
      </c>
      <c r="Q48" s="1448">
        <v>0</v>
      </c>
    </row>
    <row r="49" spans="4:17" ht="18">
      <c r="G49" s="1471">
        <v>45261</v>
      </c>
      <c r="H49" s="1469" t="s">
        <v>611</v>
      </c>
      <c r="I49" s="1469" t="s">
        <v>3446</v>
      </c>
      <c r="J49" s="1475">
        <v>15</v>
      </c>
      <c r="L49" s="1471">
        <v>45689</v>
      </c>
      <c r="M49" s="1448" t="s">
        <v>3577</v>
      </c>
      <c r="N49" s="1469" t="s">
        <v>55</v>
      </c>
      <c r="O49" s="1469" t="s">
        <v>3437</v>
      </c>
      <c r="P49" s="594" t="s">
        <v>3646</v>
      </c>
      <c r="Q49" s="1448">
        <v>1</v>
      </c>
    </row>
    <row r="50" spans="4:17" ht="18">
      <c r="G50" s="1471">
        <v>45292</v>
      </c>
      <c r="H50" s="1469" t="s">
        <v>611</v>
      </c>
      <c r="I50" s="1469" t="s">
        <v>3446</v>
      </c>
      <c r="J50" s="1475">
        <v>15</v>
      </c>
      <c r="L50" s="1471">
        <v>45717</v>
      </c>
      <c r="M50" s="1448" t="s">
        <v>3577</v>
      </c>
      <c r="N50" s="1469" t="s">
        <v>55</v>
      </c>
      <c r="O50" s="1469" t="s">
        <v>3437</v>
      </c>
      <c r="P50" s="594" t="s">
        <v>3646</v>
      </c>
      <c r="Q50" s="1448">
        <v>0</v>
      </c>
    </row>
    <row r="51" spans="4:17" ht="18">
      <c r="G51" s="1471">
        <v>45323</v>
      </c>
      <c r="H51" s="1469" t="s">
        <v>611</v>
      </c>
      <c r="I51" s="1469" t="s">
        <v>3446</v>
      </c>
      <c r="J51" s="1475">
        <v>15</v>
      </c>
      <c r="L51" s="1471">
        <v>45748</v>
      </c>
      <c r="M51" s="1448" t="s">
        <v>3577</v>
      </c>
      <c r="N51" s="1469" t="s">
        <v>55</v>
      </c>
      <c r="O51" s="1469" t="s">
        <v>3437</v>
      </c>
      <c r="P51" s="594" t="s">
        <v>3646</v>
      </c>
      <c r="Q51" s="1448">
        <v>0</v>
      </c>
    </row>
    <row r="52" spans="4:17" ht="18">
      <c r="G52" s="1471">
        <v>45352</v>
      </c>
      <c r="H52" s="1469" t="s">
        <v>611</v>
      </c>
      <c r="I52" s="1469" t="s">
        <v>3446</v>
      </c>
      <c r="J52" s="1475">
        <v>17</v>
      </c>
      <c r="L52" s="1471">
        <v>45778</v>
      </c>
      <c r="M52" s="1448" t="s">
        <v>3577</v>
      </c>
      <c r="N52" s="1469" t="s">
        <v>55</v>
      </c>
      <c r="O52" s="1469" t="s">
        <v>3437</v>
      </c>
      <c r="P52" s="594" t="s">
        <v>3646</v>
      </c>
      <c r="Q52" s="1448">
        <v>0</v>
      </c>
    </row>
    <row r="53" spans="4:17" ht="18">
      <c r="G53" s="1471">
        <v>45383</v>
      </c>
      <c r="H53" s="1469" t="s">
        <v>611</v>
      </c>
      <c r="I53" s="1469" t="s">
        <v>3446</v>
      </c>
      <c r="J53" s="1475">
        <v>17</v>
      </c>
      <c r="L53" s="1471">
        <v>45809</v>
      </c>
      <c r="M53" s="1448" t="s">
        <v>3577</v>
      </c>
      <c r="N53" s="1469" t="s">
        <v>55</v>
      </c>
      <c r="O53" s="1469" t="s">
        <v>3437</v>
      </c>
      <c r="P53" s="594" t="s">
        <v>3646</v>
      </c>
      <c r="Q53" s="1448">
        <v>0</v>
      </c>
    </row>
    <row r="54" spans="4:17" ht="18">
      <c r="G54" s="1471">
        <v>45413</v>
      </c>
      <c r="H54" s="1469" t="s">
        <v>611</v>
      </c>
      <c r="I54" s="1469" t="s">
        <v>3446</v>
      </c>
      <c r="J54" s="1475">
        <v>18</v>
      </c>
      <c r="L54" s="1471">
        <v>45839</v>
      </c>
      <c r="M54" s="1448" t="s">
        <v>3577</v>
      </c>
      <c r="N54" s="1469" t="s">
        <v>55</v>
      </c>
      <c r="O54" s="1469" t="s">
        <v>3437</v>
      </c>
      <c r="P54" s="594" t="s">
        <v>3646</v>
      </c>
      <c r="Q54" s="1448">
        <v>0</v>
      </c>
    </row>
    <row r="55" spans="4:17" ht="18">
      <c r="G55" s="1471">
        <v>45444</v>
      </c>
      <c r="H55" s="1469" t="s">
        <v>611</v>
      </c>
      <c r="I55" s="1469" t="s">
        <v>3446</v>
      </c>
      <c r="J55" s="1475">
        <v>18</v>
      </c>
      <c r="L55" s="1471">
        <v>45870</v>
      </c>
      <c r="M55" s="1448" t="s">
        <v>3577</v>
      </c>
      <c r="N55" s="1469" t="s">
        <v>55</v>
      </c>
      <c r="O55" s="1469" t="s">
        <v>3437</v>
      </c>
      <c r="P55" s="594" t="s">
        <v>3646</v>
      </c>
      <c r="Q55" s="1448">
        <v>1</v>
      </c>
    </row>
    <row r="56" spans="4:17" ht="18">
      <c r="G56" s="1471">
        <v>45474</v>
      </c>
      <c r="H56" s="1469" t="s">
        <v>611</v>
      </c>
      <c r="I56" s="1469" t="s">
        <v>3446</v>
      </c>
      <c r="J56" s="1475">
        <v>18</v>
      </c>
      <c r="L56" s="1471">
        <v>45901</v>
      </c>
      <c r="M56" s="1448" t="s">
        <v>3577</v>
      </c>
      <c r="N56" s="1469" t="s">
        <v>55</v>
      </c>
      <c r="O56" s="1469" t="s">
        <v>3437</v>
      </c>
      <c r="P56" s="594" t="s">
        <v>3646</v>
      </c>
      <c r="Q56" s="1448">
        <v>0</v>
      </c>
    </row>
    <row r="57" spans="4:17" ht="18">
      <c r="G57" s="1473">
        <v>45505</v>
      </c>
      <c r="H57" s="1469" t="s">
        <v>611</v>
      </c>
      <c r="I57" s="1469" t="s">
        <v>3446</v>
      </c>
      <c r="J57" s="1475">
        <v>19</v>
      </c>
      <c r="L57" s="1473">
        <v>45931</v>
      </c>
      <c r="M57" s="1448" t="s">
        <v>3577</v>
      </c>
      <c r="N57" s="1469" t="s">
        <v>55</v>
      </c>
      <c r="O57" s="1469" t="s">
        <v>3437</v>
      </c>
      <c r="P57" s="594" t="s">
        <v>3646</v>
      </c>
      <c r="Q57" s="1448">
        <v>0</v>
      </c>
    </row>
    <row r="58" spans="4:17" ht="18">
      <c r="G58" s="1473">
        <v>45536</v>
      </c>
      <c r="H58" s="1469" t="s">
        <v>611</v>
      </c>
      <c r="I58" s="1469" t="s">
        <v>3446</v>
      </c>
      <c r="J58" s="1475">
        <v>19</v>
      </c>
      <c r="L58" s="1473">
        <v>45962</v>
      </c>
      <c r="M58" s="1448" t="s">
        <v>3577</v>
      </c>
      <c r="N58" s="1469" t="s">
        <v>55</v>
      </c>
      <c r="O58" s="1469" t="s">
        <v>3437</v>
      </c>
      <c r="P58" s="594" t="s">
        <v>3646</v>
      </c>
      <c r="Q58" s="1448">
        <v>1</v>
      </c>
    </row>
    <row r="59" spans="4:17" ht="18">
      <c r="G59" s="1473">
        <v>45566</v>
      </c>
      <c r="H59" s="1469" t="s">
        <v>611</v>
      </c>
      <c r="I59" s="1469" t="s">
        <v>3446</v>
      </c>
      <c r="J59" s="1475">
        <v>28</v>
      </c>
      <c r="L59" s="1473">
        <v>45992</v>
      </c>
      <c r="M59" s="1448" t="s">
        <v>3577</v>
      </c>
      <c r="N59" s="1469" t="s">
        <v>55</v>
      </c>
      <c r="O59" s="1469" t="s">
        <v>3437</v>
      </c>
      <c r="P59" s="594" t="s">
        <v>3646</v>
      </c>
      <c r="Q59" s="1448">
        <v>0</v>
      </c>
    </row>
    <row r="60" spans="4:17" ht="18">
      <c r="G60" s="1471">
        <v>45597</v>
      </c>
      <c r="H60" s="1469" t="s">
        <v>611</v>
      </c>
      <c r="I60" s="1469" t="s">
        <v>3446</v>
      </c>
      <c r="J60" s="1475">
        <v>28</v>
      </c>
      <c r="L60" s="1471">
        <v>45139</v>
      </c>
      <c r="M60" s="1448" t="s">
        <v>3577</v>
      </c>
      <c r="N60" s="1469" t="s">
        <v>55</v>
      </c>
      <c r="O60" s="1469" t="s">
        <v>3446</v>
      </c>
      <c r="P60" s="594" t="s">
        <v>4760</v>
      </c>
      <c r="Q60" s="1450">
        <v>0</v>
      </c>
    </row>
    <row r="61" spans="4:17" ht="18">
      <c r="G61" s="1471">
        <v>45627</v>
      </c>
      <c r="H61" s="1469" t="s">
        <v>611</v>
      </c>
      <c r="I61" s="1469" t="s">
        <v>3446</v>
      </c>
      <c r="J61" s="1475">
        <v>27</v>
      </c>
      <c r="L61" s="1471">
        <v>45170</v>
      </c>
      <c r="M61" s="1448" t="s">
        <v>3577</v>
      </c>
      <c r="N61" s="1469" t="s">
        <v>55</v>
      </c>
      <c r="O61" s="1469" t="s">
        <v>3446</v>
      </c>
      <c r="P61" s="594" t="s">
        <v>4760</v>
      </c>
      <c r="Q61" s="1450">
        <v>0</v>
      </c>
    </row>
    <row r="62" spans="4:17" ht="18">
      <c r="D62" s="1037"/>
      <c r="G62" s="1473">
        <v>45658</v>
      </c>
      <c r="H62" s="1469" t="s">
        <v>611</v>
      </c>
      <c r="I62" s="1469" t="s">
        <v>3446</v>
      </c>
      <c r="J62" s="1475">
        <v>26</v>
      </c>
      <c r="L62" s="1473">
        <v>45200</v>
      </c>
      <c r="M62" s="1448" t="s">
        <v>3577</v>
      </c>
      <c r="N62" s="1469" t="s">
        <v>55</v>
      </c>
      <c r="O62" s="1469" t="s">
        <v>3446</v>
      </c>
      <c r="P62" s="594" t="s">
        <v>4760</v>
      </c>
      <c r="Q62" s="1450">
        <v>0</v>
      </c>
    </row>
    <row r="63" spans="4:17" ht="18">
      <c r="D63" s="1037"/>
      <c r="G63" s="1473">
        <v>45689</v>
      </c>
      <c r="H63" s="1469" t="s">
        <v>611</v>
      </c>
      <c r="I63" s="1469" t="s">
        <v>3446</v>
      </c>
      <c r="J63" s="1475">
        <v>26</v>
      </c>
      <c r="L63" s="1473">
        <v>45231</v>
      </c>
      <c r="M63" s="1448" t="s">
        <v>3577</v>
      </c>
      <c r="N63" s="1469" t="s">
        <v>55</v>
      </c>
      <c r="O63" s="1469" t="s">
        <v>3446</v>
      </c>
      <c r="P63" s="594" t="s">
        <v>4760</v>
      </c>
      <c r="Q63" s="1450">
        <v>0</v>
      </c>
    </row>
    <row r="64" spans="4:17" ht="18">
      <c r="D64" s="1037"/>
      <c r="G64" s="1473">
        <v>45717</v>
      </c>
      <c r="H64" s="1469" t="s">
        <v>611</v>
      </c>
      <c r="I64" s="1469" t="s">
        <v>3446</v>
      </c>
      <c r="J64" s="1475">
        <v>26</v>
      </c>
      <c r="L64" s="1473">
        <v>45261</v>
      </c>
      <c r="M64" s="1448" t="s">
        <v>3577</v>
      </c>
      <c r="N64" s="1469" t="s">
        <v>55</v>
      </c>
      <c r="O64" s="1469" t="s">
        <v>3446</v>
      </c>
      <c r="P64" s="594" t="s">
        <v>4760</v>
      </c>
      <c r="Q64" s="1450">
        <v>0</v>
      </c>
    </row>
    <row r="65" spans="4:17" ht="18">
      <c r="D65" s="1037"/>
      <c r="G65" s="1471">
        <v>45748</v>
      </c>
      <c r="H65" s="1469" t="s">
        <v>611</v>
      </c>
      <c r="I65" s="1469" t="s">
        <v>3446</v>
      </c>
      <c r="J65" s="1475">
        <v>25</v>
      </c>
      <c r="L65" s="1471">
        <v>45292</v>
      </c>
      <c r="M65" s="1448" t="s">
        <v>3577</v>
      </c>
      <c r="N65" s="1469" t="s">
        <v>55</v>
      </c>
      <c r="O65" s="1469" t="s">
        <v>3446</v>
      </c>
      <c r="P65" s="594" t="s">
        <v>4760</v>
      </c>
      <c r="Q65" s="1450">
        <v>0</v>
      </c>
    </row>
    <row r="66" spans="4:17" ht="18">
      <c r="G66" s="1471">
        <v>45778</v>
      </c>
      <c r="H66" s="1469" t="s">
        <v>611</v>
      </c>
      <c r="I66" s="1469" t="s">
        <v>3446</v>
      </c>
      <c r="J66" s="1475">
        <v>25</v>
      </c>
      <c r="L66" s="1471">
        <v>45323</v>
      </c>
      <c r="M66" s="1448" t="s">
        <v>3577</v>
      </c>
      <c r="N66" s="1469" t="s">
        <v>55</v>
      </c>
      <c r="O66" s="1469" t="s">
        <v>3446</v>
      </c>
      <c r="P66" s="594" t="s">
        <v>4760</v>
      </c>
      <c r="Q66" s="1450">
        <v>0</v>
      </c>
    </row>
    <row r="67" spans="4:17" ht="18">
      <c r="G67" s="1471">
        <v>45809</v>
      </c>
      <c r="H67" s="1469" t="s">
        <v>611</v>
      </c>
      <c r="I67" s="1469" t="s">
        <v>3446</v>
      </c>
      <c r="J67" s="1475">
        <v>26</v>
      </c>
      <c r="L67" s="1471">
        <v>45352</v>
      </c>
      <c r="M67" s="1448" t="s">
        <v>3577</v>
      </c>
      <c r="N67" s="1469" t="s">
        <v>55</v>
      </c>
      <c r="O67" s="1469" t="s">
        <v>3446</v>
      </c>
      <c r="P67" s="594" t="s">
        <v>4760</v>
      </c>
      <c r="Q67" s="1450">
        <v>0</v>
      </c>
    </row>
    <row r="68" spans="4:17" ht="18">
      <c r="G68" s="1471">
        <v>45839</v>
      </c>
      <c r="H68" s="1469" t="s">
        <v>611</v>
      </c>
      <c r="I68" s="1469" t="s">
        <v>3446</v>
      </c>
      <c r="J68" s="1475">
        <v>26</v>
      </c>
      <c r="L68" s="1471">
        <v>45383</v>
      </c>
      <c r="M68" s="1448" t="s">
        <v>3577</v>
      </c>
      <c r="N68" s="1469" t="s">
        <v>55</v>
      </c>
      <c r="O68" s="1469" t="s">
        <v>3446</v>
      </c>
      <c r="P68" s="594" t="s">
        <v>4760</v>
      </c>
      <c r="Q68" s="1450">
        <v>0</v>
      </c>
    </row>
    <row r="69" spans="4:17" ht="18">
      <c r="G69" s="1471">
        <v>45870</v>
      </c>
      <c r="H69" s="1469" t="s">
        <v>611</v>
      </c>
      <c r="I69" s="1469" t="s">
        <v>3446</v>
      </c>
      <c r="J69" s="1475">
        <v>27</v>
      </c>
      <c r="L69" s="1471">
        <v>45413</v>
      </c>
      <c r="M69" s="1448" t="s">
        <v>3577</v>
      </c>
      <c r="N69" s="1469" t="s">
        <v>55</v>
      </c>
      <c r="O69" s="1469" t="s">
        <v>3446</v>
      </c>
      <c r="P69" s="594" t="s">
        <v>4760</v>
      </c>
      <c r="Q69" s="1450">
        <v>0</v>
      </c>
    </row>
    <row r="70" spans="4:17" ht="18">
      <c r="G70" s="1471">
        <v>45901</v>
      </c>
      <c r="H70" s="1469" t="s">
        <v>611</v>
      </c>
      <c r="I70" s="1469" t="s">
        <v>3446</v>
      </c>
      <c r="J70" s="1475">
        <v>27</v>
      </c>
      <c r="L70" s="1471">
        <v>45444</v>
      </c>
      <c r="M70" s="1448" t="s">
        <v>3577</v>
      </c>
      <c r="N70" s="1469" t="s">
        <v>55</v>
      </c>
      <c r="O70" s="1469" t="s">
        <v>3446</v>
      </c>
      <c r="P70" s="594" t="s">
        <v>4760</v>
      </c>
      <c r="Q70" s="1450">
        <v>0</v>
      </c>
    </row>
    <row r="71" spans="4:17" ht="18">
      <c r="G71" s="1471">
        <v>45931</v>
      </c>
      <c r="H71" s="1469" t="s">
        <v>611</v>
      </c>
      <c r="I71" s="1469" t="s">
        <v>3446</v>
      </c>
      <c r="J71" s="1475">
        <v>28</v>
      </c>
      <c r="L71" s="1471">
        <v>45474</v>
      </c>
      <c r="M71" s="1448" t="s">
        <v>3577</v>
      </c>
      <c r="N71" s="1469" t="s">
        <v>55</v>
      </c>
      <c r="O71" s="1469" t="s">
        <v>3446</v>
      </c>
      <c r="P71" s="594" t="s">
        <v>4760</v>
      </c>
      <c r="Q71" s="1450">
        <v>0</v>
      </c>
    </row>
    <row r="72" spans="4:17" ht="18">
      <c r="G72" s="1471">
        <v>45962</v>
      </c>
      <c r="H72" s="1469" t="s">
        <v>611</v>
      </c>
      <c r="I72" s="1469" t="s">
        <v>3446</v>
      </c>
      <c r="J72" s="1475">
        <v>28</v>
      </c>
      <c r="L72" s="1471">
        <v>45505</v>
      </c>
      <c r="M72" s="1448" t="s">
        <v>3577</v>
      </c>
      <c r="N72" s="1469" t="s">
        <v>55</v>
      </c>
      <c r="O72" s="1469" t="s">
        <v>3446</v>
      </c>
      <c r="P72" s="594" t="s">
        <v>4760</v>
      </c>
      <c r="Q72" s="1450">
        <v>0</v>
      </c>
    </row>
    <row r="73" spans="4:17" ht="18">
      <c r="G73" s="1471">
        <v>45992</v>
      </c>
      <c r="H73" s="1469" t="s">
        <v>611</v>
      </c>
      <c r="I73" s="1469" t="s">
        <v>3446</v>
      </c>
      <c r="J73" s="1475">
        <v>28</v>
      </c>
      <c r="L73" s="1471">
        <v>45536</v>
      </c>
      <c r="M73" s="1448" t="s">
        <v>3577</v>
      </c>
      <c r="N73" s="1469" t="s">
        <v>55</v>
      </c>
      <c r="O73" s="1469" t="s">
        <v>3446</v>
      </c>
      <c r="P73" s="594" t="s">
        <v>4760</v>
      </c>
      <c r="Q73" s="1450">
        <v>0</v>
      </c>
    </row>
    <row r="74" spans="4:17" ht="18">
      <c r="G74" s="1473">
        <v>44927</v>
      </c>
      <c r="H74" s="1469" t="s">
        <v>55</v>
      </c>
      <c r="I74" s="1469" t="s">
        <v>3437</v>
      </c>
      <c r="J74" s="1474">
        <v>36</v>
      </c>
      <c r="L74" s="1473">
        <v>45566</v>
      </c>
      <c r="M74" s="1448" t="s">
        <v>3577</v>
      </c>
      <c r="N74" s="1469" t="s">
        <v>55</v>
      </c>
      <c r="O74" s="1469" t="s">
        <v>3446</v>
      </c>
      <c r="P74" s="594" t="s">
        <v>4760</v>
      </c>
      <c r="Q74" s="1450">
        <v>0</v>
      </c>
    </row>
    <row r="75" spans="4:17" ht="18">
      <c r="G75" s="1473">
        <v>44958</v>
      </c>
      <c r="H75" s="1469" t="s">
        <v>55</v>
      </c>
      <c r="I75" s="1469" t="s">
        <v>3437</v>
      </c>
      <c r="J75" s="1474">
        <v>37</v>
      </c>
      <c r="L75" s="1473">
        <v>45597</v>
      </c>
      <c r="M75" s="1448" t="s">
        <v>3577</v>
      </c>
      <c r="N75" s="1469" t="s">
        <v>55</v>
      </c>
      <c r="O75" s="1469" t="s">
        <v>3446</v>
      </c>
      <c r="P75" s="594" t="s">
        <v>4760</v>
      </c>
      <c r="Q75" s="1450">
        <v>0</v>
      </c>
    </row>
    <row r="76" spans="4:17" ht="18">
      <c r="G76" s="1473">
        <v>44986</v>
      </c>
      <c r="H76" s="1469" t="s">
        <v>55</v>
      </c>
      <c r="I76" s="1469" t="s">
        <v>3437</v>
      </c>
      <c r="J76" s="1474">
        <v>35</v>
      </c>
      <c r="L76" s="1473">
        <v>45627</v>
      </c>
      <c r="M76" s="1448" t="s">
        <v>3577</v>
      </c>
      <c r="N76" s="1469" t="s">
        <v>55</v>
      </c>
      <c r="O76" s="1469" t="s">
        <v>3446</v>
      </c>
      <c r="P76" s="594" t="s">
        <v>4760</v>
      </c>
      <c r="Q76" s="1450">
        <v>0</v>
      </c>
    </row>
    <row r="77" spans="4:17" ht="18">
      <c r="G77" s="1471">
        <v>45017</v>
      </c>
      <c r="H77" s="1469" t="s">
        <v>55</v>
      </c>
      <c r="I77" s="1469" t="s">
        <v>3437</v>
      </c>
      <c r="J77" s="1474">
        <v>35</v>
      </c>
      <c r="L77" s="1471">
        <v>45658</v>
      </c>
      <c r="M77" s="1448" t="s">
        <v>3577</v>
      </c>
      <c r="N77" s="1469" t="s">
        <v>55</v>
      </c>
      <c r="O77" s="1469" t="s">
        <v>3446</v>
      </c>
      <c r="P77" s="594" t="s">
        <v>4760</v>
      </c>
      <c r="Q77" s="1450">
        <v>0</v>
      </c>
    </row>
    <row r="78" spans="4:17" ht="18">
      <c r="G78" s="1471">
        <v>45047</v>
      </c>
      <c r="H78" s="1469" t="s">
        <v>55</v>
      </c>
      <c r="I78" s="1469" t="s">
        <v>3437</v>
      </c>
      <c r="J78" s="1474">
        <v>33</v>
      </c>
      <c r="L78" s="1471">
        <v>45689</v>
      </c>
      <c r="M78" s="1448" t="s">
        <v>3577</v>
      </c>
      <c r="N78" s="1469" t="s">
        <v>55</v>
      </c>
      <c r="O78" s="1469" t="s">
        <v>3446</v>
      </c>
      <c r="P78" s="594" t="s">
        <v>4760</v>
      </c>
      <c r="Q78" s="1450">
        <v>0</v>
      </c>
    </row>
    <row r="79" spans="4:17" ht="18">
      <c r="G79" s="1471">
        <v>45078</v>
      </c>
      <c r="H79" s="1469" t="s">
        <v>55</v>
      </c>
      <c r="I79" s="1469" t="s">
        <v>3437</v>
      </c>
      <c r="J79" s="1474">
        <v>39</v>
      </c>
      <c r="L79" s="1471">
        <v>45717</v>
      </c>
      <c r="M79" s="1448" t="s">
        <v>3577</v>
      </c>
      <c r="N79" s="1469" t="s">
        <v>55</v>
      </c>
      <c r="O79" s="1469" t="s">
        <v>3446</v>
      </c>
      <c r="P79" s="594" t="s">
        <v>4760</v>
      </c>
      <c r="Q79" s="1450">
        <v>0</v>
      </c>
    </row>
    <row r="80" spans="4:17" ht="18">
      <c r="G80" s="1471">
        <v>45108</v>
      </c>
      <c r="H80" s="1469" t="s">
        <v>55</v>
      </c>
      <c r="I80" s="1469" t="s">
        <v>3437</v>
      </c>
      <c r="J80" s="1474">
        <v>39</v>
      </c>
      <c r="L80" s="1471">
        <v>45748</v>
      </c>
      <c r="M80" s="1448" t="s">
        <v>3577</v>
      </c>
      <c r="N80" s="1469" t="s">
        <v>55</v>
      </c>
      <c r="O80" s="1469" t="s">
        <v>3446</v>
      </c>
      <c r="P80" s="594" t="s">
        <v>4760</v>
      </c>
      <c r="Q80" s="1450">
        <v>0</v>
      </c>
    </row>
    <row r="81" spans="7:17" ht="18">
      <c r="G81" s="1471">
        <v>45139</v>
      </c>
      <c r="H81" s="1469" t="s">
        <v>55</v>
      </c>
      <c r="I81" s="1469" t="s">
        <v>3437</v>
      </c>
      <c r="J81" s="1474">
        <v>40</v>
      </c>
      <c r="L81" s="1471">
        <v>45778</v>
      </c>
      <c r="M81" s="1448" t="s">
        <v>3577</v>
      </c>
      <c r="N81" s="1469" t="s">
        <v>55</v>
      </c>
      <c r="O81" s="1469" t="s">
        <v>3446</v>
      </c>
      <c r="P81" s="594" t="s">
        <v>4760</v>
      </c>
      <c r="Q81" s="1450">
        <v>0</v>
      </c>
    </row>
    <row r="82" spans="7:17" ht="18">
      <c r="G82" s="1471">
        <v>45170</v>
      </c>
      <c r="H82" s="1469" t="s">
        <v>55</v>
      </c>
      <c r="I82" s="1469" t="s">
        <v>3437</v>
      </c>
      <c r="J82" s="1474">
        <v>39</v>
      </c>
      <c r="L82" s="1471">
        <v>45809</v>
      </c>
      <c r="M82" s="1448" t="s">
        <v>3577</v>
      </c>
      <c r="N82" s="1469" t="s">
        <v>55</v>
      </c>
      <c r="O82" s="1469" t="s">
        <v>3446</v>
      </c>
      <c r="P82" s="594" t="s">
        <v>4760</v>
      </c>
      <c r="Q82" s="1450">
        <v>0</v>
      </c>
    </row>
    <row r="83" spans="7:17" ht="18">
      <c r="G83" s="1471">
        <v>45200</v>
      </c>
      <c r="H83" s="1469" t="s">
        <v>55</v>
      </c>
      <c r="I83" s="1469" t="s">
        <v>3437</v>
      </c>
      <c r="J83" s="1474">
        <v>40</v>
      </c>
      <c r="L83" s="1471">
        <v>45839</v>
      </c>
      <c r="M83" s="1448" t="s">
        <v>3577</v>
      </c>
      <c r="N83" s="1469" t="s">
        <v>55</v>
      </c>
      <c r="O83" s="1469" t="s">
        <v>3446</v>
      </c>
      <c r="P83" s="594" t="s">
        <v>4760</v>
      </c>
      <c r="Q83" s="1450">
        <v>0</v>
      </c>
    </row>
    <row r="84" spans="7:17" ht="18">
      <c r="G84" s="1471">
        <v>45231</v>
      </c>
      <c r="H84" s="1469" t="s">
        <v>55</v>
      </c>
      <c r="I84" s="1469" t="s">
        <v>3437</v>
      </c>
      <c r="J84" s="1474">
        <v>38</v>
      </c>
      <c r="L84" s="1471">
        <v>45870</v>
      </c>
      <c r="M84" s="1448" t="s">
        <v>3577</v>
      </c>
      <c r="N84" s="1469" t="s">
        <v>55</v>
      </c>
      <c r="O84" s="1469" t="s">
        <v>3446</v>
      </c>
      <c r="P84" s="594" t="s">
        <v>4760</v>
      </c>
      <c r="Q84" s="1450">
        <v>0</v>
      </c>
    </row>
    <row r="85" spans="7:17" ht="18">
      <c r="G85" s="1471">
        <v>45261</v>
      </c>
      <c r="H85" s="1469" t="s">
        <v>55</v>
      </c>
      <c r="I85" s="1469" t="s">
        <v>3437</v>
      </c>
      <c r="J85" s="1474">
        <v>36</v>
      </c>
      <c r="L85" s="1471">
        <v>45901</v>
      </c>
      <c r="M85" s="1448" t="s">
        <v>3577</v>
      </c>
      <c r="N85" s="1469" t="s">
        <v>55</v>
      </c>
      <c r="O85" s="1469" t="s">
        <v>3446</v>
      </c>
      <c r="P85" s="594" t="s">
        <v>4760</v>
      </c>
      <c r="Q85" s="1450">
        <v>1</v>
      </c>
    </row>
    <row r="86" spans="7:17" ht="18">
      <c r="G86" s="1473">
        <v>45292</v>
      </c>
      <c r="H86" s="1469" t="s">
        <v>55</v>
      </c>
      <c r="I86" s="1469" t="s">
        <v>3437</v>
      </c>
      <c r="J86" s="1474">
        <v>35</v>
      </c>
      <c r="L86" s="1473">
        <v>45931</v>
      </c>
      <c r="M86" s="1448" t="s">
        <v>3577</v>
      </c>
      <c r="N86" s="1469" t="s">
        <v>55</v>
      </c>
      <c r="O86" s="1469" t="s">
        <v>3446</v>
      </c>
      <c r="P86" s="594" t="s">
        <v>4760</v>
      </c>
      <c r="Q86" s="1450">
        <v>0</v>
      </c>
    </row>
    <row r="87" spans="7:17" ht="18">
      <c r="G87" s="1473">
        <v>45323</v>
      </c>
      <c r="H87" s="1469" t="s">
        <v>55</v>
      </c>
      <c r="I87" s="1469" t="s">
        <v>3437</v>
      </c>
      <c r="J87" s="1474">
        <v>35</v>
      </c>
      <c r="L87" s="1473">
        <v>45962</v>
      </c>
      <c r="M87" s="1448" t="s">
        <v>3577</v>
      </c>
      <c r="N87" s="1469" t="s">
        <v>55</v>
      </c>
      <c r="O87" s="1469" t="s">
        <v>3446</v>
      </c>
      <c r="P87" s="594" t="s">
        <v>4760</v>
      </c>
      <c r="Q87" s="1450">
        <v>0</v>
      </c>
    </row>
    <row r="88" spans="7:17" ht="18">
      <c r="G88" s="1473">
        <v>45352</v>
      </c>
      <c r="H88" s="1469" t="s">
        <v>55</v>
      </c>
      <c r="I88" s="1469" t="s">
        <v>3437</v>
      </c>
      <c r="J88" s="1474">
        <v>37</v>
      </c>
      <c r="L88" s="1473">
        <v>45992</v>
      </c>
      <c r="M88" s="1448" t="s">
        <v>3577</v>
      </c>
      <c r="N88" s="1469" t="s">
        <v>55</v>
      </c>
      <c r="O88" s="1469" t="s">
        <v>3446</v>
      </c>
      <c r="P88" s="594" t="s">
        <v>4760</v>
      </c>
      <c r="Q88" s="1450">
        <v>0</v>
      </c>
    </row>
    <row r="89" spans="7:17" ht="18">
      <c r="G89" s="1471">
        <v>45383</v>
      </c>
      <c r="H89" s="1469" t="s">
        <v>55</v>
      </c>
      <c r="I89" s="1469" t="s">
        <v>3437</v>
      </c>
      <c r="J89" s="1474">
        <v>37</v>
      </c>
      <c r="L89" s="1471">
        <v>45139</v>
      </c>
      <c r="M89" s="1448" t="s">
        <v>3577</v>
      </c>
      <c r="N89" s="1469" t="s">
        <v>55</v>
      </c>
      <c r="O89" s="1469" t="s">
        <v>3437</v>
      </c>
      <c r="P89" s="594" t="s">
        <v>4760</v>
      </c>
      <c r="Q89" s="1450">
        <v>0</v>
      </c>
    </row>
    <row r="90" spans="7:17" ht="18">
      <c r="G90" s="1471">
        <v>45413</v>
      </c>
      <c r="H90" s="1469" t="s">
        <v>55</v>
      </c>
      <c r="I90" s="1469" t="s">
        <v>3437</v>
      </c>
      <c r="J90" s="1474">
        <v>37</v>
      </c>
      <c r="L90" s="1471">
        <v>45170</v>
      </c>
      <c r="M90" s="1448" t="s">
        <v>3577</v>
      </c>
      <c r="N90" s="1469" t="s">
        <v>55</v>
      </c>
      <c r="O90" s="1469" t="s">
        <v>3437</v>
      </c>
      <c r="P90" s="594" t="s">
        <v>4760</v>
      </c>
      <c r="Q90" s="1450">
        <v>1</v>
      </c>
    </row>
    <row r="91" spans="7:17" ht="18">
      <c r="G91" s="1473">
        <v>45444</v>
      </c>
      <c r="H91" s="1469" t="s">
        <v>55</v>
      </c>
      <c r="I91" s="1469" t="s">
        <v>3437</v>
      </c>
      <c r="J91" s="1474">
        <v>38</v>
      </c>
      <c r="L91" s="1473">
        <v>45200</v>
      </c>
      <c r="M91" s="1448" t="s">
        <v>3577</v>
      </c>
      <c r="N91" s="1469" t="s">
        <v>55</v>
      </c>
      <c r="O91" s="1469" t="s">
        <v>3437</v>
      </c>
      <c r="P91" s="594" t="s">
        <v>4760</v>
      </c>
      <c r="Q91" s="1450">
        <v>0</v>
      </c>
    </row>
    <row r="92" spans="7:17" ht="18">
      <c r="G92" s="1473">
        <v>45474</v>
      </c>
      <c r="H92" s="1469" t="s">
        <v>55</v>
      </c>
      <c r="I92" s="1469" t="s">
        <v>3437</v>
      </c>
      <c r="J92" s="1474">
        <v>38</v>
      </c>
      <c r="L92" s="1473">
        <v>45231</v>
      </c>
      <c r="M92" s="1448" t="s">
        <v>3577</v>
      </c>
      <c r="N92" s="1469" t="s">
        <v>55</v>
      </c>
      <c r="O92" s="1469" t="s">
        <v>3437</v>
      </c>
      <c r="P92" s="594" t="s">
        <v>4760</v>
      </c>
      <c r="Q92" s="1450">
        <v>1</v>
      </c>
    </row>
    <row r="93" spans="7:17" ht="18">
      <c r="G93" s="1473">
        <v>45505</v>
      </c>
      <c r="H93" s="1469" t="s">
        <v>55</v>
      </c>
      <c r="I93" s="1469" t="s">
        <v>3437</v>
      </c>
      <c r="J93" s="1474">
        <v>35</v>
      </c>
      <c r="L93" s="1473">
        <v>45261</v>
      </c>
      <c r="M93" s="1448" t="s">
        <v>3577</v>
      </c>
      <c r="N93" s="1469" t="s">
        <v>55</v>
      </c>
      <c r="O93" s="1469" t="s">
        <v>3437</v>
      </c>
      <c r="P93" s="594" t="s">
        <v>4760</v>
      </c>
      <c r="Q93" s="1450">
        <v>1</v>
      </c>
    </row>
    <row r="94" spans="7:17" ht="18">
      <c r="G94" s="1471">
        <v>45536</v>
      </c>
      <c r="H94" s="1469" t="s">
        <v>55</v>
      </c>
      <c r="I94" s="1469" t="s">
        <v>3437</v>
      </c>
      <c r="J94" s="1474">
        <v>35</v>
      </c>
      <c r="L94" s="1471">
        <v>45292</v>
      </c>
      <c r="M94" s="1448" t="s">
        <v>3577</v>
      </c>
      <c r="N94" s="1469" t="s">
        <v>55</v>
      </c>
      <c r="O94" s="1469" t="s">
        <v>3437</v>
      </c>
      <c r="P94" s="594" t="s">
        <v>4760</v>
      </c>
      <c r="Q94" s="1450">
        <v>0</v>
      </c>
    </row>
    <row r="95" spans="7:17" ht="18">
      <c r="G95" s="1471">
        <v>45566</v>
      </c>
      <c r="H95" s="1469" t="s">
        <v>55</v>
      </c>
      <c r="I95" s="1469" t="s">
        <v>3437</v>
      </c>
      <c r="J95" s="1474">
        <v>37</v>
      </c>
      <c r="L95" s="1471">
        <v>45323</v>
      </c>
      <c r="M95" s="1448" t="s">
        <v>3577</v>
      </c>
      <c r="N95" s="1469" t="s">
        <v>55</v>
      </c>
      <c r="O95" s="1469" t="s">
        <v>3437</v>
      </c>
      <c r="P95" s="594" t="s">
        <v>4760</v>
      </c>
      <c r="Q95" s="1450">
        <v>0</v>
      </c>
    </row>
    <row r="96" spans="7:17" ht="18">
      <c r="G96" s="1471">
        <v>45597</v>
      </c>
      <c r="H96" s="1469" t="s">
        <v>55</v>
      </c>
      <c r="I96" s="1469" t="s">
        <v>3437</v>
      </c>
      <c r="J96" s="1474">
        <v>36</v>
      </c>
      <c r="L96" s="1471">
        <v>45352</v>
      </c>
      <c r="M96" s="1448" t="s">
        <v>3577</v>
      </c>
      <c r="N96" s="1469" t="s">
        <v>55</v>
      </c>
      <c r="O96" s="1469" t="s">
        <v>3437</v>
      </c>
      <c r="P96" s="594" t="s">
        <v>4760</v>
      </c>
      <c r="Q96" s="1450">
        <v>0</v>
      </c>
    </row>
    <row r="97" spans="7:17" ht="18">
      <c r="G97" s="1471">
        <v>45627</v>
      </c>
      <c r="H97" s="1469" t="s">
        <v>55</v>
      </c>
      <c r="I97" s="1469" t="s">
        <v>3437</v>
      </c>
      <c r="J97" s="1474">
        <v>35</v>
      </c>
      <c r="L97" s="1471">
        <v>45383</v>
      </c>
      <c r="M97" s="1448" t="s">
        <v>3577</v>
      </c>
      <c r="N97" s="1469" t="s">
        <v>55</v>
      </c>
      <c r="O97" s="1469" t="s">
        <v>3437</v>
      </c>
      <c r="P97" s="594" t="s">
        <v>4760</v>
      </c>
      <c r="Q97" s="1450">
        <v>1</v>
      </c>
    </row>
    <row r="98" spans="7:17" ht="18">
      <c r="G98" s="1471">
        <v>45658</v>
      </c>
      <c r="H98" s="1469" t="s">
        <v>55</v>
      </c>
      <c r="I98" s="1469" t="s">
        <v>3437</v>
      </c>
      <c r="J98" s="1474">
        <v>35</v>
      </c>
      <c r="L98" s="1471">
        <v>45413</v>
      </c>
      <c r="M98" s="1448" t="s">
        <v>3577</v>
      </c>
      <c r="N98" s="1469" t="s">
        <v>55</v>
      </c>
      <c r="O98" s="1469" t="s">
        <v>3437</v>
      </c>
      <c r="P98" s="594" t="s">
        <v>4760</v>
      </c>
      <c r="Q98" s="1450">
        <v>0</v>
      </c>
    </row>
    <row r="99" spans="7:17" ht="18">
      <c r="G99" s="1471">
        <v>45689</v>
      </c>
      <c r="H99" s="1469" t="s">
        <v>55</v>
      </c>
      <c r="I99" s="1469" t="s">
        <v>3437</v>
      </c>
      <c r="J99" s="1474">
        <v>36</v>
      </c>
      <c r="L99" s="1471">
        <v>45444</v>
      </c>
      <c r="M99" s="1448" t="s">
        <v>3577</v>
      </c>
      <c r="N99" s="1469" t="s">
        <v>55</v>
      </c>
      <c r="O99" s="1469" t="s">
        <v>3437</v>
      </c>
      <c r="P99" s="594" t="s">
        <v>4760</v>
      </c>
      <c r="Q99" s="1450">
        <v>0</v>
      </c>
    </row>
    <row r="100" spans="7:17" ht="18">
      <c r="G100" s="1471">
        <v>45717</v>
      </c>
      <c r="H100" s="1469" t="s">
        <v>55</v>
      </c>
      <c r="I100" s="1469" t="s">
        <v>3437</v>
      </c>
      <c r="J100" s="1474">
        <v>38</v>
      </c>
      <c r="L100" s="1471">
        <v>45474</v>
      </c>
      <c r="M100" s="1448" t="s">
        <v>3577</v>
      </c>
      <c r="N100" s="1469" t="s">
        <v>55</v>
      </c>
      <c r="O100" s="1469" t="s">
        <v>3437</v>
      </c>
      <c r="P100" s="594" t="s">
        <v>4760</v>
      </c>
      <c r="Q100" s="1450">
        <v>0</v>
      </c>
    </row>
    <row r="101" spans="7:17" ht="18">
      <c r="G101" s="1471">
        <v>45748</v>
      </c>
      <c r="H101" s="1469" t="s">
        <v>55</v>
      </c>
      <c r="I101" s="1469" t="s">
        <v>3437</v>
      </c>
      <c r="J101" s="1474">
        <v>34</v>
      </c>
      <c r="L101" s="1471">
        <v>45505</v>
      </c>
      <c r="M101" s="1448" t="s">
        <v>3577</v>
      </c>
      <c r="N101" s="1469" t="s">
        <v>55</v>
      </c>
      <c r="O101" s="1469" t="s">
        <v>3437</v>
      </c>
      <c r="P101" s="594" t="s">
        <v>4760</v>
      </c>
      <c r="Q101" s="1450">
        <v>0</v>
      </c>
    </row>
    <row r="102" spans="7:17" ht="18">
      <c r="G102" s="1471">
        <v>45778</v>
      </c>
      <c r="H102" s="1469" t="s">
        <v>55</v>
      </c>
      <c r="I102" s="1469" t="s">
        <v>3437</v>
      </c>
      <c r="J102" s="1474">
        <v>34</v>
      </c>
      <c r="L102" s="1471">
        <v>45536</v>
      </c>
      <c r="M102" s="1448" t="s">
        <v>3577</v>
      </c>
      <c r="N102" s="1469" t="s">
        <v>55</v>
      </c>
      <c r="O102" s="1469" t="s">
        <v>3437</v>
      </c>
      <c r="P102" s="594" t="s">
        <v>4760</v>
      </c>
      <c r="Q102" s="1450">
        <v>0</v>
      </c>
    </row>
    <row r="103" spans="7:17" ht="18">
      <c r="G103" s="1473">
        <v>45809</v>
      </c>
      <c r="H103" s="1469" t="s">
        <v>55</v>
      </c>
      <c r="I103" s="1469" t="s">
        <v>3437</v>
      </c>
      <c r="J103" s="1474">
        <v>33</v>
      </c>
      <c r="L103" s="1473">
        <v>45566</v>
      </c>
      <c r="M103" s="1448" t="s">
        <v>3577</v>
      </c>
      <c r="N103" s="1469" t="s">
        <v>55</v>
      </c>
      <c r="O103" s="1469" t="s">
        <v>3437</v>
      </c>
      <c r="P103" s="594" t="s">
        <v>4760</v>
      </c>
      <c r="Q103" s="1450">
        <v>1</v>
      </c>
    </row>
    <row r="104" spans="7:17" ht="18">
      <c r="G104" s="1473">
        <v>45839</v>
      </c>
      <c r="H104" s="1469" t="s">
        <v>55</v>
      </c>
      <c r="I104" s="1469" t="s">
        <v>3437</v>
      </c>
      <c r="J104" s="1474">
        <v>33</v>
      </c>
      <c r="L104" s="1473">
        <v>45597</v>
      </c>
      <c r="M104" s="1448" t="s">
        <v>3577</v>
      </c>
      <c r="N104" s="1469" t="s">
        <v>55</v>
      </c>
      <c r="O104" s="1469" t="s">
        <v>3437</v>
      </c>
      <c r="P104" s="594" t="s">
        <v>4760</v>
      </c>
      <c r="Q104" s="1450">
        <v>0</v>
      </c>
    </row>
    <row r="105" spans="7:17" ht="18">
      <c r="G105" s="1473">
        <v>45870</v>
      </c>
      <c r="H105" s="1469" t="s">
        <v>55</v>
      </c>
      <c r="I105" s="1469" t="s">
        <v>3437</v>
      </c>
      <c r="J105" s="1474">
        <v>34</v>
      </c>
      <c r="L105" s="1473">
        <v>45627</v>
      </c>
      <c r="M105" s="1448" t="s">
        <v>3577</v>
      </c>
      <c r="N105" s="1469" t="s">
        <v>55</v>
      </c>
      <c r="O105" s="1469" t="s">
        <v>3437</v>
      </c>
      <c r="P105" s="594" t="s">
        <v>4760</v>
      </c>
      <c r="Q105" s="1450">
        <v>1</v>
      </c>
    </row>
    <row r="106" spans="7:17" ht="18">
      <c r="G106" s="1471">
        <v>45901</v>
      </c>
      <c r="H106" s="1469" t="s">
        <v>55</v>
      </c>
      <c r="I106" s="1469" t="s">
        <v>3437</v>
      </c>
      <c r="J106" s="1474">
        <v>33</v>
      </c>
      <c r="L106" s="1471">
        <v>45658</v>
      </c>
      <c r="M106" s="1448" t="s">
        <v>3577</v>
      </c>
      <c r="N106" s="1469" t="s">
        <v>55</v>
      </c>
      <c r="O106" s="1469" t="s">
        <v>3437</v>
      </c>
      <c r="P106" s="594" t="s">
        <v>4760</v>
      </c>
      <c r="Q106" s="1450">
        <v>0</v>
      </c>
    </row>
    <row r="107" spans="7:17" ht="18">
      <c r="G107" s="1471">
        <v>45931</v>
      </c>
      <c r="H107" s="1469" t="s">
        <v>55</v>
      </c>
      <c r="I107" s="1469" t="s">
        <v>3437</v>
      </c>
      <c r="J107" s="1474">
        <v>33</v>
      </c>
      <c r="L107" s="1471">
        <v>45689</v>
      </c>
      <c r="M107" s="1448" t="s">
        <v>3577</v>
      </c>
      <c r="N107" s="1469" t="s">
        <v>55</v>
      </c>
      <c r="O107" s="1469" t="s">
        <v>3437</v>
      </c>
      <c r="P107" s="594" t="s">
        <v>4760</v>
      </c>
      <c r="Q107" s="1450">
        <v>0</v>
      </c>
    </row>
    <row r="108" spans="7:17" ht="18">
      <c r="G108" s="1471">
        <v>45962</v>
      </c>
      <c r="H108" s="1469" t="s">
        <v>55</v>
      </c>
      <c r="I108" s="1469" t="s">
        <v>3437</v>
      </c>
      <c r="J108" s="1474">
        <v>34</v>
      </c>
      <c r="L108" s="1471">
        <v>45717</v>
      </c>
      <c r="M108" s="1448" t="s">
        <v>3577</v>
      </c>
      <c r="N108" s="1469" t="s">
        <v>55</v>
      </c>
      <c r="O108" s="1469" t="s">
        <v>3437</v>
      </c>
      <c r="P108" s="594" t="s">
        <v>4760</v>
      </c>
      <c r="Q108" s="1450">
        <v>0</v>
      </c>
    </row>
    <row r="109" spans="7:17" ht="18">
      <c r="G109" s="1471">
        <v>45992</v>
      </c>
      <c r="H109" s="1469" t="s">
        <v>55</v>
      </c>
      <c r="I109" s="1469" t="s">
        <v>3437</v>
      </c>
      <c r="J109" s="1474">
        <v>34</v>
      </c>
      <c r="L109" s="1471">
        <v>45748</v>
      </c>
      <c r="M109" s="1448" t="s">
        <v>3577</v>
      </c>
      <c r="N109" s="1469" t="s">
        <v>55</v>
      </c>
      <c r="O109" s="1469" t="s">
        <v>3437</v>
      </c>
      <c r="P109" s="594" t="s">
        <v>4760</v>
      </c>
      <c r="Q109" s="1450">
        <v>1</v>
      </c>
    </row>
    <row r="110" spans="7:17" ht="18">
      <c r="G110" s="1471">
        <v>44927</v>
      </c>
      <c r="H110" s="1469" t="s">
        <v>55</v>
      </c>
      <c r="I110" s="1469" t="s">
        <v>3446</v>
      </c>
      <c r="J110" s="1475">
        <v>13</v>
      </c>
      <c r="L110" s="1471">
        <v>45778</v>
      </c>
      <c r="M110" s="1448" t="s">
        <v>3577</v>
      </c>
      <c r="N110" s="1469" t="s">
        <v>55</v>
      </c>
      <c r="O110" s="1469" t="s">
        <v>3437</v>
      </c>
      <c r="P110" s="594" t="s">
        <v>4760</v>
      </c>
      <c r="Q110" s="1450">
        <v>0</v>
      </c>
    </row>
    <row r="111" spans="7:17" ht="18">
      <c r="G111" s="1471">
        <v>44958</v>
      </c>
      <c r="H111" s="1469" t="s">
        <v>55</v>
      </c>
      <c r="I111" s="1469" t="s">
        <v>3446</v>
      </c>
      <c r="J111" s="1475">
        <v>13</v>
      </c>
      <c r="L111" s="1471">
        <v>45809</v>
      </c>
      <c r="M111" s="1448" t="s">
        <v>3577</v>
      </c>
      <c r="N111" s="1469" t="s">
        <v>55</v>
      </c>
      <c r="O111" s="1469" t="s">
        <v>3437</v>
      </c>
      <c r="P111" s="594" t="s">
        <v>4760</v>
      </c>
      <c r="Q111" s="1450">
        <v>1</v>
      </c>
    </row>
    <row r="112" spans="7:17" ht="18">
      <c r="G112" s="1471">
        <v>44986</v>
      </c>
      <c r="H112" s="1469" t="s">
        <v>55</v>
      </c>
      <c r="I112" s="1469" t="s">
        <v>3446</v>
      </c>
      <c r="J112" s="1475">
        <v>13</v>
      </c>
      <c r="L112" s="1471">
        <v>45839</v>
      </c>
      <c r="M112" s="1448" t="s">
        <v>3577</v>
      </c>
      <c r="N112" s="1469" t="s">
        <v>55</v>
      </c>
      <c r="O112" s="1469" t="s">
        <v>3437</v>
      </c>
      <c r="P112" s="594" t="s">
        <v>4760</v>
      </c>
      <c r="Q112" s="1450">
        <v>0</v>
      </c>
    </row>
    <row r="113" spans="7:17" ht="18">
      <c r="G113" s="1471">
        <v>45017</v>
      </c>
      <c r="H113" s="1469" t="s">
        <v>55</v>
      </c>
      <c r="I113" s="1469" t="s">
        <v>3446</v>
      </c>
      <c r="J113" s="1475">
        <v>13</v>
      </c>
      <c r="L113" s="1471">
        <v>45870</v>
      </c>
      <c r="M113" s="1448" t="s">
        <v>3577</v>
      </c>
      <c r="N113" s="1469" t="s">
        <v>55</v>
      </c>
      <c r="O113" s="1469" t="s">
        <v>3437</v>
      </c>
      <c r="P113" s="594" t="s">
        <v>4760</v>
      </c>
      <c r="Q113" s="1450">
        <v>0</v>
      </c>
    </row>
    <row r="114" spans="7:17" ht="18">
      <c r="G114" s="1471">
        <v>45047</v>
      </c>
      <c r="H114" s="1469" t="s">
        <v>55</v>
      </c>
      <c r="I114" s="1469" t="s">
        <v>3446</v>
      </c>
      <c r="J114" s="1475">
        <v>14</v>
      </c>
      <c r="L114" s="1471">
        <v>45901</v>
      </c>
      <c r="M114" s="1448" t="s">
        <v>3577</v>
      </c>
      <c r="N114" s="1469" t="s">
        <v>55</v>
      </c>
      <c r="O114" s="1469" t="s">
        <v>3437</v>
      </c>
      <c r="P114" s="594" t="s">
        <v>4760</v>
      </c>
      <c r="Q114" s="1450">
        <v>0</v>
      </c>
    </row>
    <row r="115" spans="7:17" ht="18">
      <c r="G115" s="1473">
        <v>45078</v>
      </c>
      <c r="H115" s="1469" t="s">
        <v>55</v>
      </c>
      <c r="I115" s="1469" t="s">
        <v>3446</v>
      </c>
      <c r="J115" s="1475">
        <v>13</v>
      </c>
      <c r="L115" s="1473">
        <v>45931</v>
      </c>
      <c r="M115" s="1448" t="s">
        <v>3577</v>
      </c>
      <c r="N115" s="1469" t="s">
        <v>55</v>
      </c>
      <c r="O115" s="1469" t="s">
        <v>3437</v>
      </c>
      <c r="P115" s="594" t="s">
        <v>4760</v>
      </c>
      <c r="Q115" s="1450">
        <v>0</v>
      </c>
    </row>
    <row r="116" spans="7:17" ht="18">
      <c r="G116" s="1473">
        <v>45108</v>
      </c>
      <c r="H116" s="1469" t="s">
        <v>55</v>
      </c>
      <c r="I116" s="1469" t="s">
        <v>3446</v>
      </c>
      <c r="J116" s="1475">
        <v>13</v>
      </c>
      <c r="L116" s="1473">
        <v>45962</v>
      </c>
      <c r="M116" s="1448" t="s">
        <v>3577</v>
      </c>
      <c r="N116" s="1469" t="s">
        <v>55</v>
      </c>
      <c r="O116" s="1469" t="s">
        <v>3437</v>
      </c>
      <c r="P116" s="594" t="s">
        <v>4760</v>
      </c>
      <c r="Q116" s="1450">
        <v>0</v>
      </c>
    </row>
    <row r="117" spans="7:17" ht="18">
      <c r="G117" s="1473">
        <v>45139</v>
      </c>
      <c r="H117" s="1469" t="s">
        <v>55</v>
      </c>
      <c r="I117" s="1469" t="s">
        <v>3446</v>
      </c>
      <c r="J117" s="1475">
        <v>14</v>
      </c>
      <c r="L117" s="1473">
        <v>45992</v>
      </c>
      <c r="M117" s="1448" t="s">
        <v>3577</v>
      </c>
      <c r="N117" s="1469" t="s">
        <v>55</v>
      </c>
      <c r="O117" s="1469" t="s">
        <v>3437</v>
      </c>
      <c r="P117" s="594" t="s">
        <v>4760</v>
      </c>
      <c r="Q117" s="1450">
        <v>0</v>
      </c>
    </row>
    <row r="118" spans="7:17" ht="18">
      <c r="G118" s="1471">
        <v>45170</v>
      </c>
      <c r="H118" s="1469" t="s">
        <v>55</v>
      </c>
      <c r="I118" s="1469" t="s">
        <v>3446</v>
      </c>
      <c r="J118" s="1477">
        <v>14</v>
      </c>
      <c r="L118" s="1471">
        <v>45139</v>
      </c>
      <c r="M118" s="1448" t="s">
        <v>54</v>
      </c>
      <c r="N118" s="1469" t="s">
        <v>55</v>
      </c>
      <c r="O118" s="1469" t="s">
        <v>3446</v>
      </c>
      <c r="P118" s="594" t="s">
        <v>3646</v>
      </c>
      <c r="Q118" s="1455"/>
    </row>
    <row r="119" spans="7:17" ht="18">
      <c r="G119" s="1473">
        <v>45200</v>
      </c>
      <c r="H119" s="1469" t="s">
        <v>55</v>
      </c>
      <c r="I119" s="1469" t="s">
        <v>3446</v>
      </c>
      <c r="J119" s="1477">
        <v>14</v>
      </c>
      <c r="L119" s="1471">
        <v>45170</v>
      </c>
      <c r="M119" s="1448" t="s">
        <v>54</v>
      </c>
      <c r="N119" s="1469" t="s">
        <v>55</v>
      </c>
      <c r="O119" s="1469" t="s">
        <v>3446</v>
      </c>
      <c r="P119" s="594" t="s">
        <v>3646</v>
      </c>
      <c r="Q119" s="1455"/>
    </row>
    <row r="120" spans="7:17" ht="18">
      <c r="G120" s="1473">
        <v>45231</v>
      </c>
      <c r="H120" s="1469" t="s">
        <v>55</v>
      </c>
      <c r="I120" s="1469" t="s">
        <v>3446</v>
      </c>
      <c r="J120" s="1477">
        <v>15</v>
      </c>
      <c r="L120" s="1473">
        <v>45200</v>
      </c>
      <c r="M120" s="1448" t="s">
        <v>54</v>
      </c>
      <c r="N120" s="1469" t="s">
        <v>55</v>
      </c>
      <c r="O120" s="1469" t="s">
        <v>3446</v>
      </c>
      <c r="P120" s="594" t="s">
        <v>3646</v>
      </c>
      <c r="Q120" s="1455"/>
    </row>
    <row r="121" spans="7:17" ht="18">
      <c r="G121" s="1473">
        <v>45261</v>
      </c>
      <c r="H121" s="1469" t="s">
        <v>55</v>
      </c>
      <c r="I121" s="1469" t="s">
        <v>3446</v>
      </c>
      <c r="J121" s="1477">
        <v>15</v>
      </c>
      <c r="L121" s="1473">
        <v>45231</v>
      </c>
      <c r="M121" s="1448" t="s">
        <v>54</v>
      </c>
      <c r="N121" s="1469" t="s">
        <v>55</v>
      </c>
      <c r="O121" s="1469" t="s">
        <v>3446</v>
      </c>
      <c r="P121" s="594" t="s">
        <v>3646</v>
      </c>
      <c r="Q121" s="1455">
        <v>1</v>
      </c>
    </row>
    <row r="122" spans="7:17" ht="18">
      <c r="G122" s="1471">
        <v>45292</v>
      </c>
      <c r="H122" s="1469" t="s">
        <v>55</v>
      </c>
      <c r="I122" s="1469" t="s">
        <v>3446</v>
      </c>
      <c r="J122" s="1477">
        <v>15</v>
      </c>
      <c r="L122" s="1473">
        <v>45261</v>
      </c>
      <c r="M122" s="1448" t="s">
        <v>54</v>
      </c>
      <c r="N122" s="1469" t="s">
        <v>55</v>
      </c>
      <c r="O122" s="1469" t="s">
        <v>3446</v>
      </c>
      <c r="P122" s="594" t="s">
        <v>3646</v>
      </c>
      <c r="Q122" s="1455"/>
    </row>
    <row r="123" spans="7:17" ht="18">
      <c r="G123" s="1471">
        <v>45323</v>
      </c>
      <c r="H123" s="1469" t="s">
        <v>55</v>
      </c>
      <c r="I123" s="1469" t="s">
        <v>3446</v>
      </c>
      <c r="J123" s="1477">
        <v>15</v>
      </c>
      <c r="L123" s="1471">
        <v>45292</v>
      </c>
      <c r="M123" s="1448" t="s">
        <v>54</v>
      </c>
      <c r="N123" s="1469" t="s">
        <v>55</v>
      </c>
      <c r="O123" s="1469" t="s">
        <v>3446</v>
      </c>
      <c r="P123" s="594" t="s">
        <v>3646</v>
      </c>
      <c r="Q123" s="1455">
        <v>1</v>
      </c>
    </row>
    <row r="124" spans="7:17" ht="18">
      <c r="G124" s="1471">
        <v>45352</v>
      </c>
      <c r="H124" s="1469" t="s">
        <v>55</v>
      </c>
      <c r="I124" s="1469" t="s">
        <v>3446</v>
      </c>
      <c r="J124" s="1477">
        <v>15</v>
      </c>
      <c r="L124" s="1471">
        <v>45323</v>
      </c>
      <c r="M124" s="1448" t="s">
        <v>54</v>
      </c>
      <c r="N124" s="1469" t="s">
        <v>55</v>
      </c>
      <c r="O124" s="1469" t="s">
        <v>3446</v>
      </c>
      <c r="P124" s="594" t="s">
        <v>3646</v>
      </c>
      <c r="Q124" s="1455">
        <v>1</v>
      </c>
    </row>
    <row r="125" spans="7:17" ht="18">
      <c r="G125" s="1471">
        <v>45383</v>
      </c>
      <c r="H125" s="1469" t="s">
        <v>55</v>
      </c>
      <c r="I125" s="1469" t="s">
        <v>3446</v>
      </c>
      <c r="J125" s="1475">
        <v>14</v>
      </c>
      <c r="L125" s="1471">
        <v>45352</v>
      </c>
      <c r="M125" s="1448" t="s">
        <v>54</v>
      </c>
      <c r="N125" s="1469" t="s">
        <v>55</v>
      </c>
      <c r="O125" s="1469" t="s">
        <v>3446</v>
      </c>
      <c r="P125" s="594" t="s">
        <v>3646</v>
      </c>
      <c r="Q125" s="1455"/>
    </row>
    <row r="126" spans="7:17" ht="18">
      <c r="G126" s="1471">
        <v>45413</v>
      </c>
      <c r="H126" s="1469" t="s">
        <v>55</v>
      </c>
      <c r="I126" s="1469" t="s">
        <v>3446</v>
      </c>
      <c r="J126" s="1475">
        <v>14</v>
      </c>
      <c r="L126" s="1471">
        <v>45383</v>
      </c>
      <c r="M126" s="1448" t="s">
        <v>54</v>
      </c>
      <c r="N126" s="1469" t="s">
        <v>55</v>
      </c>
      <c r="O126" s="1469" t="s">
        <v>3446</v>
      </c>
      <c r="P126" s="594" t="s">
        <v>3646</v>
      </c>
      <c r="Q126" s="1455"/>
    </row>
    <row r="127" spans="7:17" ht="18">
      <c r="G127" s="1471">
        <v>45444</v>
      </c>
      <c r="H127" s="1469" t="s">
        <v>55</v>
      </c>
      <c r="I127" s="1469" t="s">
        <v>3446</v>
      </c>
      <c r="J127" s="1475">
        <v>13</v>
      </c>
      <c r="L127" s="1471">
        <v>45413</v>
      </c>
      <c r="M127" s="1448" t="s">
        <v>54</v>
      </c>
      <c r="N127" s="1469" t="s">
        <v>55</v>
      </c>
      <c r="O127" s="1469" t="s">
        <v>3446</v>
      </c>
      <c r="P127" s="594" t="s">
        <v>3646</v>
      </c>
      <c r="Q127" s="1455"/>
    </row>
    <row r="128" spans="7:17" ht="18">
      <c r="G128" s="1471">
        <v>45474</v>
      </c>
      <c r="H128" s="1469" t="s">
        <v>55</v>
      </c>
      <c r="I128" s="1469" t="s">
        <v>3446</v>
      </c>
      <c r="J128" s="1475">
        <v>13</v>
      </c>
      <c r="L128" s="1471">
        <v>45444</v>
      </c>
      <c r="M128" s="1448" t="s">
        <v>54</v>
      </c>
      <c r="N128" s="1469" t="s">
        <v>55</v>
      </c>
      <c r="O128" s="1469" t="s">
        <v>3446</v>
      </c>
      <c r="P128" s="594" t="s">
        <v>3646</v>
      </c>
      <c r="Q128" s="1455"/>
    </row>
    <row r="129" spans="7:17" ht="18">
      <c r="G129" s="1471">
        <v>45505</v>
      </c>
      <c r="H129" s="1469" t="s">
        <v>55</v>
      </c>
      <c r="I129" s="1469" t="s">
        <v>3446</v>
      </c>
      <c r="J129" s="1475">
        <v>14</v>
      </c>
      <c r="L129" s="1471">
        <v>45474</v>
      </c>
      <c r="M129" s="1448" t="s">
        <v>54</v>
      </c>
      <c r="N129" s="1469" t="s">
        <v>55</v>
      </c>
      <c r="O129" s="1469" t="s">
        <v>3446</v>
      </c>
      <c r="P129" s="594" t="s">
        <v>3646</v>
      </c>
      <c r="Q129" s="1455"/>
    </row>
    <row r="130" spans="7:17" ht="18">
      <c r="G130" s="1471">
        <v>45536</v>
      </c>
      <c r="H130" s="1469" t="s">
        <v>55</v>
      </c>
      <c r="I130" s="1469" t="s">
        <v>3446</v>
      </c>
      <c r="J130" s="1475">
        <v>13</v>
      </c>
      <c r="L130" s="1471">
        <v>45505</v>
      </c>
      <c r="M130" s="1448" t="s">
        <v>54</v>
      </c>
      <c r="N130" s="1469" t="s">
        <v>55</v>
      </c>
      <c r="O130" s="1469" t="s">
        <v>3446</v>
      </c>
      <c r="P130" s="594" t="s">
        <v>3646</v>
      </c>
      <c r="Q130" s="1455">
        <v>1</v>
      </c>
    </row>
    <row r="131" spans="7:17" ht="18">
      <c r="G131" s="1473">
        <v>45566</v>
      </c>
      <c r="H131" s="1469" t="s">
        <v>55</v>
      </c>
      <c r="I131" s="1469" t="s">
        <v>3446</v>
      </c>
      <c r="J131" s="1475">
        <v>15</v>
      </c>
      <c r="L131" s="1471">
        <v>45536</v>
      </c>
      <c r="M131" s="1448" t="s">
        <v>54</v>
      </c>
      <c r="N131" s="1469" t="s">
        <v>55</v>
      </c>
      <c r="O131" s="1469" t="s">
        <v>3446</v>
      </c>
      <c r="P131" s="594" t="s">
        <v>3646</v>
      </c>
      <c r="Q131" s="1455"/>
    </row>
    <row r="132" spans="7:17" ht="18">
      <c r="G132" s="1473">
        <v>45597</v>
      </c>
      <c r="H132" s="1469" t="s">
        <v>55</v>
      </c>
      <c r="I132" s="1469" t="s">
        <v>3446</v>
      </c>
      <c r="J132" s="1475">
        <v>15</v>
      </c>
      <c r="L132" s="1473">
        <v>45566</v>
      </c>
      <c r="M132" s="1448" t="s">
        <v>54</v>
      </c>
      <c r="N132" s="1469" t="s">
        <v>55</v>
      </c>
      <c r="O132" s="1469" t="s">
        <v>3446</v>
      </c>
      <c r="P132" s="594" t="s">
        <v>3646</v>
      </c>
      <c r="Q132" s="1455"/>
    </row>
    <row r="133" spans="7:17" ht="18">
      <c r="G133" s="1473">
        <v>45627</v>
      </c>
      <c r="H133" s="1469" t="s">
        <v>55</v>
      </c>
      <c r="I133" s="1469" t="s">
        <v>3446</v>
      </c>
      <c r="J133" s="1475">
        <v>14</v>
      </c>
      <c r="L133" s="1473">
        <v>45597</v>
      </c>
      <c r="M133" s="1448" t="s">
        <v>54</v>
      </c>
      <c r="N133" s="1469" t="s">
        <v>55</v>
      </c>
      <c r="O133" s="1469" t="s">
        <v>3446</v>
      </c>
      <c r="P133" s="594" t="s">
        <v>3646</v>
      </c>
      <c r="Q133" s="1455"/>
    </row>
    <row r="134" spans="7:17" ht="18">
      <c r="G134" s="1471">
        <v>45658</v>
      </c>
      <c r="H134" s="1469" t="s">
        <v>55</v>
      </c>
      <c r="I134" s="1469" t="s">
        <v>3446</v>
      </c>
      <c r="J134" s="1475">
        <v>16</v>
      </c>
      <c r="L134" s="1473">
        <v>45627</v>
      </c>
      <c r="M134" s="1448" t="s">
        <v>54</v>
      </c>
      <c r="N134" s="1469" t="s">
        <v>55</v>
      </c>
      <c r="O134" s="1469" t="s">
        <v>3446</v>
      </c>
      <c r="P134" s="594" t="s">
        <v>3646</v>
      </c>
      <c r="Q134" s="1455"/>
    </row>
    <row r="135" spans="7:17" ht="18">
      <c r="G135" s="1471">
        <v>45689</v>
      </c>
      <c r="H135" s="1469" t="s">
        <v>55</v>
      </c>
      <c r="I135" s="1469" t="s">
        <v>3446</v>
      </c>
      <c r="J135" s="1475">
        <v>16</v>
      </c>
      <c r="L135" s="1471">
        <v>45658</v>
      </c>
      <c r="M135" s="1448" t="s">
        <v>54</v>
      </c>
      <c r="N135" s="1469" t="s">
        <v>55</v>
      </c>
      <c r="O135" s="1469" t="s">
        <v>3446</v>
      </c>
      <c r="P135" s="594" t="s">
        <v>3646</v>
      </c>
      <c r="Q135" s="1455"/>
    </row>
    <row r="136" spans="7:17" ht="18">
      <c r="G136" s="1471">
        <v>45717</v>
      </c>
      <c r="H136" s="1469" t="s">
        <v>55</v>
      </c>
      <c r="I136" s="1469" t="s">
        <v>3446</v>
      </c>
      <c r="J136" s="1475">
        <v>16</v>
      </c>
      <c r="L136" s="1471">
        <v>45689</v>
      </c>
      <c r="M136" s="1448" t="s">
        <v>54</v>
      </c>
      <c r="N136" s="1469" t="s">
        <v>55</v>
      </c>
      <c r="O136" s="1469" t="s">
        <v>3446</v>
      </c>
      <c r="P136" s="594" t="s">
        <v>3646</v>
      </c>
      <c r="Q136" s="1455"/>
    </row>
    <row r="137" spans="7:17" ht="18">
      <c r="G137" s="1471">
        <v>45748</v>
      </c>
      <c r="H137" s="1469" t="s">
        <v>55</v>
      </c>
      <c r="I137" s="1469" t="s">
        <v>3446</v>
      </c>
      <c r="J137" s="1475">
        <v>15</v>
      </c>
      <c r="L137" s="1471">
        <v>45717</v>
      </c>
      <c r="M137" s="1448" t="s">
        <v>54</v>
      </c>
      <c r="N137" s="1469" t="s">
        <v>55</v>
      </c>
      <c r="O137" s="1469" t="s">
        <v>3446</v>
      </c>
      <c r="P137" s="594" t="s">
        <v>3646</v>
      </c>
      <c r="Q137" s="1455"/>
    </row>
    <row r="138" spans="7:17" ht="18">
      <c r="G138" s="1471">
        <v>45778</v>
      </c>
      <c r="H138" s="1469" t="s">
        <v>55</v>
      </c>
      <c r="I138" s="1469" t="s">
        <v>3446</v>
      </c>
      <c r="J138" s="1475">
        <v>17</v>
      </c>
      <c r="L138" s="1471">
        <v>45748</v>
      </c>
      <c r="M138" s="1448" t="s">
        <v>54</v>
      </c>
      <c r="N138" s="1469" t="s">
        <v>55</v>
      </c>
      <c r="O138" s="1469" t="s">
        <v>3446</v>
      </c>
      <c r="P138" s="594" t="s">
        <v>3646</v>
      </c>
      <c r="Q138" s="1455"/>
    </row>
    <row r="139" spans="7:17" ht="18">
      <c r="G139" s="1471">
        <v>45809</v>
      </c>
      <c r="H139" s="1469" t="s">
        <v>55</v>
      </c>
      <c r="I139" s="1469" t="s">
        <v>3446</v>
      </c>
      <c r="J139" s="1475">
        <v>18</v>
      </c>
      <c r="L139" s="1471">
        <v>45778</v>
      </c>
      <c r="M139" s="1448" t="s">
        <v>54</v>
      </c>
      <c r="N139" s="1469" t="s">
        <v>55</v>
      </c>
      <c r="O139" s="1469" t="s">
        <v>3446</v>
      </c>
      <c r="P139" s="594" t="s">
        <v>3646</v>
      </c>
      <c r="Q139" s="1455"/>
    </row>
    <row r="140" spans="7:17" ht="18">
      <c r="G140" s="1471">
        <v>45839</v>
      </c>
      <c r="H140" s="1469" t="s">
        <v>55</v>
      </c>
      <c r="I140" s="1469" t="s">
        <v>3446</v>
      </c>
      <c r="J140" s="1475">
        <v>18</v>
      </c>
      <c r="L140" s="1471">
        <v>45809</v>
      </c>
      <c r="M140" s="1448" t="s">
        <v>54</v>
      </c>
      <c r="N140" s="1469" t="s">
        <v>55</v>
      </c>
      <c r="O140" s="1469" t="s">
        <v>3446</v>
      </c>
      <c r="P140" s="594" t="s">
        <v>3646</v>
      </c>
      <c r="Q140" s="1455">
        <v>1</v>
      </c>
    </row>
    <row r="141" spans="7:17" ht="18">
      <c r="G141" s="1471">
        <v>45870</v>
      </c>
      <c r="H141" s="1469" t="s">
        <v>55</v>
      </c>
      <c r="I141" s="1469" t="s">
        <v>3446</v>
      </c>
      <c r="J141" s="1475">
        <v>17</v>
      </c>
      <c r="L141" s="1471">
        <v>45839</v>
      </c>
      <c r="M141" s="1448" t="s">
        <v>54</v>
      </c>
      <c r="N141" s="1469" t="s">
        <v>55</v>
      </c>
      <c r="O141" s="1469" t="s">
        <v>3446</v>
      </c>
      <c r="P141" s="594" t="s">
        <v>3646</v>
      </c>
      <c r="Q141" s="1455"/>
    </row>
    <row r="142" spans="7:17" ht="18">
      <c r="G142" s="1471">
        <v>45901</v>
      </c>
      <c r="H142" s="1469" t="s">
        <v>55</v>
      </c>
      <c r="I142" s="1469" t="s">
        <v>3446</v>
      </c>
      <c r="J142" s="1475">
        <v>16</v>
      </c>
      <c r="L142" s="1471">
        <v>45870</v>
      </c>
      <c r="M142" s="1448" t="s">
        <v>54</v>
      </c>
      <c r="N142" s="1469" t="s">
        <v>55</v>
      </c>
      <c r="O142" s="1469" t="s">
        <v>3446</v>
      </c>
      <c r="P142" s="594" t="s">
        <v>3646</v>
      </c>
      <c r="Q142" s="1455"/>
    </row>
    <row r="143" spans="7:17" ht="18">
      <c r="G143" s="1473">
        <v>45931</v>
      </c>
      <c r="H143" s="1469" t="s">
        <v>55</v>
      </c>
      <c r="I143" s="1469" t="s">
        <v>3446</v>
      </c>
      <c r="J143" s="1475">
        <v>16</v>
      </c>
      <c r="L143" s="1471">
        <v>45901</v>
      </c>
      <c r="M143" s="1448" t="s">
        <v>54</v>
      </c>
      <c r="N143" s="1469" t="s">
        <v>55</v>
      </c>
      <c r="O143" s="1469" t="s">
        <v>3446</v>
      </c>
      <c r="P143" s="594" t="s">
        <v>3646</v>
      </c>
      <c r="Q143" s="1455"/>
    </row>
    <row r="144" spans="7:17" ht="18">
      <c r="G144" s="1473">
        <v>45962</v>
      </c>
      <c r="H144" s="1469" t="s">
        <v>55</v>
      </c>
      <c r="I144" s="1469" t="s">
        <v>3446</v>
      </c>
      <c r="J144" s="1475">
        <v>15</v>
      </c>
      <c r="L144" s="1473">
        <v>45931</v>
      </c>
      <c r="M144" s="1448" t="s">
        <v>54</v>
      </c>
      <c r="N144" s="1469" t="s">
        <v>55</v>
      </c>
      <c r="O144" s="1469" t="s">
        <v>3446</v>
      </c>
      <c r="P144" s="594" t="s">
        <v>3646</v>
      </c>
      <c r="Q144" s="1455"/>
    </row>
    <row r="145" spans="7:17" ht="18">
      <c r="G145" s="1473">
        <v>45992</v>
      </c>
      <c r="H145" s="1469" t="s">
        <v>55</v>
      </c>
      <c r="I145" s="1469" t="s">
        <v>3446</v>
      </c>
      <c r="J145" s="1475">
        <v>15</v>
      </c>
      <c r="L145" s="1473">
        <v>45962</v>
      </c>
      <c r="M145" s="1448" t="s">
        <v>54</v>
      </c>
      <c r="N145" s="1469" t="s">
        <v>55</v>
      </c>
      <c r="O145" s="1469" t="s">
        <v>3446</v>
      </c>
      <c r="P145" s="594" t="s">
        <v>3646</v>
      </c>
      <c r="Q145" s="1455"/>
    </row>
    <row r="146" spans="7:17" ht="18">
      <c r="G146" s="1476" t="s">
        <v>4783</v>
      </c>
      <c r="H146" s="1037" t="s">
        <v>55</v>
      </c>
      <c r="I146" s="1469" t="s">
        <v>3446</v>
      </c>
      <c r="J146" s="594">
        <v>15</v>
      </c>
      <c r="L146" s="1473">
        <v>45992</v>
      </c>
      <c r="M146" s="1448" t="s">
        <v>54</v>
      </c>
      <c r="N146" s="1469" t="s">
        <v>55</v>
      </c>
      <c r="O146" s="1469" t="s">
        <v>3446</v>
      </c>
      <c r="P146" s="594" t="s">
        <v>3646</v>
      </c>
      <c r="Q146" s="1455"/>
    </row>
    <row r="147" spans="7:17" ht="18">
      <c r="G147" s="1476" t="s">
        <v>4783</v>
      </c>
      <c r="H147" s="1037" t="s">
        <v>611</v>
      </c>
      <c r="I147" s="1469" t="s">
        <v>3446</v>
      </c>
      <c r="J147" s="594">
        <v>28</v>
      </c>
      <c r="L147" s="1471">
        <v>45139</v>
      </c>
      <c r="M147" s="1448" t="s">
        <v>54</v>
      </c>
      <c r="N147" s="1469" t="s">
        <v>55</v>
      </c>
      <c r="O147" s="1469" t="s">
        <v>3437</v>
      </c>
      <c r="P147" s="594" t="s">
        <v>3646</v>
      </c>
      <c r="Q147" s="1455"/>
    </row>
    <row r="148" spans="7:17" ht="18">
      <c r="G148" s="1476" t="s">
        <v>4783</v>
      </c>
      <c r="H148" s="1037" t="s">
        <v>55</v>
      </c>
      <c r="I148" s="1469" t="s">
        <v>3437</v>
      </c>
      <c r="J148" s="594">
        <v>33</v>
      </c>
      <c r="L148" s="1471">
        <v>45170</v>
      </c>
      <c r="M148" s="1448" t="s">
        <v>54</v>
      </c>
      <c r="N148" s="1469" t="s">
        <v>55</v>
      </c>
      <c r="O148" s="1469" t="s">
        <v>3437</v>
      </c>
      <c r="P148" s="594" t="s">
        <v>3646</v>
      </c>
      <c r="Q148" s="1455"/>
    </row>
    <row r="149" spans="7:17" ht="18">
      <c r="G149" s="1476" t="s">
        <v>4783</v>
      </c>
      <c r="H149" s="1037" t="s">
        <v>611</v>
      </c>
      <c r="I149" s="1469" t="s">
        <v>3437</v>
      </c>
      <c r="J149" s="594">
        <v>68</v>
      </c>
      <c r="L149" s="1473">
        <v>45200</v>
      </c>
      <c r="M149" s="1448" t="s">
        <v>54</v>
      </c>
      <c r="N149" s="1469" t="s">
        <v>55</v>
      </c>
      <c r="O149" s="1469" t="s">
        <v>3437</v>
      </c>
      <c r="P149" s="594" t="s">
        <v>3646</v>
      </c>
      <c r="Q149" s="1455">
        <v>1</v>
      </c>
    </row>
    <row r="150" spans="7:17" ht="18">
      <c r="G150" s="1476" t="s">
        <v>4784</v>
      </c>
      <c r="H150" s="1037" t="s">
        <v>55</v>
      </c>
      <c r="I150" s="1469" t="s">
        <v>3446</v>
      </c>
      <c r="J150" s="594">
        <v>15</v>
      </c>
      <c r="L150" s="1473">
        <v>45231</v>
      </c>
      <c r="M150" s="1448" t="s">
        <v>54</v>
      </c>
      <c r="N150" s="1469" t="s">
        <v>55</v>
      </c>
      <c r="O150" s="1469" t="s">
        <v>3437</v>
      </c>
      <c r="P150" s="594" t="s">
        <v>3646</v>
      </c>
      <c r="Q150" s="1455"/>
    </row>
    <row r="151" spans="7:17" ht="18">
      <c r="G151" s="1476" t="s">
        <v>4784</v>
      </c>
      <c r="H151" s="1037" t="s">
        <v>611</v>
      </c>
      <c r="I151" s="1469" t="s">
        <v>3446</v>
      </c>
      <c r="J151" s="594">
        <v>28</v>
      </c>
      <c r="L151" s="1473">
        <v>45261</v>
      </c>
      <c r="M151" s="1448" t="s">
        <v>54</v>
      </c>
      <c r="N151" s="1469" t="s">
        <v>55</v>
      </c>
      <c r="O151" s="1469" t="s">
        <v>3437</v>
      </c>
      <c r="P151" s="594" t="s">
        <v>3646</v>
      </c>
      <c r="Q151" s="1455"/>
    </row>
    <row r="152" spans="7:17" ht="18">
      <c r="G152" s="1476" t="s">
        <v>4784</v>
      </c>
      <c r="H152" s="1037" t="s">
        <v>55</v>
      </c>
      <c r="I152" s="1469" t="s">
        <v>3437</v>
      </c>
      <c r="J152" s="594">
        <v>33</v>
      </c>
      <c r="L152" s="1471">
        <v>45292</v>
      </c>
      <c r="M152" s="1448" t="s">
        <v>54</v>
      </c>
      <c r="N152" s="1469" t="s">
        <v>55</v>
      </c>
      <c r="O152" s="1469" t="s">
        <v>3437</v>
      </c>
      <c r="P152" s="594" t="s">
        <v>3646</v>
      </c>
      <c r="Q152" s="1455"/>
    </row>
    <row r="153" spans="7:17" ht="18">
      <c r="G153" s="1476" t="s">
        <v>4784</v>
      </c>
      <c r="H153" s="1037" t="s">
        <v>611</v>
      </c>
      <c r="I153" s="1469" t="s">
        <v>3437</v>
      </c>
      <c r="J153" s="594">
        <v>66</v>
      </c>
      <c r="L153" s="1471">
        <v>45323</v>
      </c>
      <c r="M153" s="1448" t="s">
        <v>54</v>
      </c>
      <c r="N153" s="1469" t="s">
        <v>55</v>
      </c>
      <c r="O153" s="1469" t="s">
        <v>3437</v>
      </c>
      <c r="P153" s="594" t="s">
        <v>3646</v>
      </c>
      <c r="Q153" s="1455"/>
    </row>
    <row r="154" spans="7:17" ht="18">
      <c r="L154" s="1471">
        <v>45352</v>
      </c>
      <c r="M154" s="1448" t="s">
        <v>54</v>
      </c>
      <c r="N154" s="1469" t="s">
        <v>55</v>
      </c>
      <c r="O154" s="1469" t="s">
        <v>3437</v>
      </c>
      <c r="P154" s="594" t="s">
        <v>3646</v>
      </c>
      <c r="Q154" s="1455">
        <v>3</v>
      </c>
    </row>
    <row r="155" spans="7:17" ht="18">
      <c r="L155" s="1471">
        <v>45383</v>
      </c>
      <c r="M155" s="1448" t="s">
        <v>54</v>
      </c>
      <c r="N155" s="1469" t="s">
        <v>55</v>
      </c>
      <c r="O155" s="1469" t="s">
        <v>3437</v>
      </c>
      <c r="P155" s="594" t="s">
        <v>3646</v>
      </c>
      <c r="Q155" s="1455">
        <v>1</v>
      </c>
    </row>
    <row r="156" spans="7:17" ht="18">
      <c r="L156" s="1471">
        <v>45413</v>
      </c>
      <c r="M156" s="1448" t="s">
        <v>54</v>
      </c>
      <c r="N156" s="1469" t="s">
        <v>55</v>
      </c>
      <c r="O156" s="1469" t="s">
        <v>3437</v>
      </c>
      <c r="P156" s="594" t="s">
        <v>3646</v>
      </c>
      <c r="Q156" s="1455"/>
    </row>
    <row r="157" spans="7:17" ht="18">
      <c r="L157" s="1471">
        <v>45444</v>
      </c>
      <c r="M157" s="1448" t="s">
        <v>54</v>
      </c>
      <c r="N157" s="1469" t="s">
        <v>55</v>
      </c>
      <c r="O157" s="1469" t="s">
        <v>3437</v>
      </c>
      <c r="P157" s="594" t="s">
        <v>3646</v>
      </c>
      <c r="Q157" s="1455"/>
    </row>
    <row r="158" spans="7:17" ht="18">
      <c r="L158" s="1471">
        <v>45474</v>
      </c>
      <c r="M158" s="1448" t="s">
        <v>54</v>
      </c>
      <c r="N158" s="1469" t="s">
        <v>55</v>
      </c>
      <c r="O158" s="1469" t="s">
        <v>3437</v>
      </c>
      <c r="P158" s="594" t="s">
        <v>3646</v>
      </c>
      <c r="Q158" s="1455">
        <v>2</v>
      </c>
    </row>
    <row r="159" spans="7:17" ht="18">
      <c r="L159" s="1471">
        <v>45505</v>
      </c>
      <c r="M159" s="1448" t="s">
        <v>54</v>
      </c>
      <c r="N159" s="1469" t="s">
        <v>55</v>
      </c>
      <c r="O159" s="1469" t="s">
        <v>3437</v>
      </c>
      <c r="P159" s="594" t="s">
        <v>3646</v>
      </c>
      <c r="Q159" s="1455"/>
    </row>
    <row r="160" spans="7:17" ht="18">
      <c r="L160" s="1471">
        <v>45536</v>
      </c>
      <c r="M160" s="1448" t="s">
        <v>54</v>
      </c>
      <c r="N160" s="1469" t="s">
        <v>55</v>
      </c>
      <c r="O160" s="1469" t="s">
        <v>3437</v>
      </c>
      <c r="P160" s="594" t="s">
        <v>3646</v>
      </c>
      <c r="Q160" s="1455"/>
    </row>
    <row r="161" spans="12:17" ht="18">
      <c r="L161" s="1473">
        <v>45566</v>
      </c>
      <c r="M161" s="1448" t="s">
        <v>54</v>
      </c>
      <c r="N161" s="1469" t="s">
        <v>55</v>
      </c>
      <c r="O161" s="1469" t="s">
        <v>3437</v>
      </c>
      <c r="P161" s="594" t="s">
        <v>3646</v>
      </c>
      <c r="Q161" s="1455"/>
    </row>
    <row r="162" spans="12:17" ht="18">
      <c r="L162" s="1473">
        <v>45597</v>
      </c>
      <c r="M162" s="1448" t="s">
        <v>54</v>
      </c>
      <c r="N162" s="1469" t="s">
        <v>55</v>
      </c>
      <c r="O162" s="1469" t="s">
        <v>3437</v>
      </c>
      <c r="P162" s="594" t="s">
        <v>3646</v>
      </c>
      <c r="Q162" s="1455"/>
    </row>
    <row r="163" spans="12:17" ht="18">
      <c r="L163" s="1473">
        <v>45627</v>
      </c>
      <c r="M163" s="1448" t="s">
        <v>54</v>
      </c>
      <c r="N163" s="1469" t="s">
        <v>55</v>
      </c>
      <c r="O163" s="1469" t="s">
        <v>3437</v>
      </c>
      <c r="P163" s="594" t="s">
        <v>3646</v>
      </c>
      <c r="Q163" s="1455"/>
    </row>
    <row r="164" spans="12:17" ht="18">
      <c r="L164" s="1471">
        <v>45658</v>
      </c>
      <c r="M164" s="1448" t="s">
        <v>54</v>
      </c>
      <c r="N164" s="1469" t="s">
        <v>55</v>
      </c>
      <c r="O164" s="1469" t="s">
        <v>3437</v>
      </c>
      <c r="P164" s="594" t="s">
        <v>3646</v>
      </c>
      <c r="Q164" s="1455"/>
    </row>
    <row r="165" spans="12:17" ht="18">
      <c r="L165" s="1471">
        <v>45689</v>
      </c>
      <c r="M165" s="1448" t="s">
        <v>54</v>
      </c>
      <c r="N165" s="1469" t="s">
        <v>55</v>
      </c>
      <c r="O165" s="1469" t="s">
        <v>3437</v>
      </c>
      <c r="P165" s="594" t="s">
        <v>3646</v>
      </c>
      <c r="Q165" s="1455"/>
    </row>
    <row r="166" spans="12:17" ht="18">
      <c r="L166" s="1471">
        <v>45717</v>
      </c>
      <c r="M166" s="1448" t="s">
        <v>54</v>
      </c>
      <c r="N166" s="1469" t="s">
        <v>55</v>
      </c>
      <c r="O166" s="1469" t="s">
        <v>3437</v>
      </c>
      <c r="P166" s="594" t="s">
        <v>3646</v>
      </c>
      <c r="Q166" s="1455">
        <v>2</v>
      </c>
    </row>
    <row r="167" spans="12:17" ht="18">
      <c r="L167" s="1471">
        <v>45748</v>
      </c>
      <c r="M167" s="1448" t="s">
        <v>54</v>
      </c>
      <c r="N167" s="1469" t="s">
        <v>55</v>
      </c>
      <c r="O167" s="1469" t="s">
        <v>3437</v>
      </c>
      <c r="P167" s="594" t="s">
        <v>3646</v>
      </c>
      <c r="Q167" s="1455"/>
    </row>
    <row r="168" spans="12:17" ht="18">
      <c r="L168" s="1471">
        <v>45778</v>
      </c>
      <c r="M168" s="1448" t="s">
        <v>54</v>
      </c>
      <c r="N168" s="1469" t="s">
        <v>55</v>
      </c>
      <c r="O168" s="1469" t="s">
        <v>3437</v>
      </c>
      <c r="P168" s="594" t="s">
        <v>3646</v>
      </c>
      <c r="Q168" s="1455"/>
    </row>
    <row r="169" spans="12:17" ht="18">
      <c r="L169" s="1471">
        <v>45809</v>
      </c>
      <c r="M169" s="1448" t="s">
        <v>54</v>
      </c>
      <c r="N169" s="1469" t="s">
        <v>55</v>
      </c>
      <c r="O169" s="1469" t="s">
        <v>3437</v>
      </c>
      <c r="P169" s="594" t="s">
        <v>3646</v>
      </c>
      <c r="Q169" s="1455"/>
    </row>
    <row r="170" spans="12:17" ht="18">
      <c r="L170" s="1471">
        <v>45839</v>
      </c>
      <c r="M170" s="1448" t="s">
        <v>54</v>
      </c>
      <c r="N170" s="1469" t="s">
        <v>55</v>
      </c>
      <c r="O170" s="1469" t="s">
        <v>3437</v>
      </c>
      <c r="P170" s="594" t="s">
        <v>3646</v>
      </c>
      <c r="Q170" s="1455"/>
    </row>
    <row r="171" spans="12:17" ht="18">
      <c r="L171" s="1471">
        <v>45870</v>
      </c>
      <c r="M171" s="1448" t="s">
        <v>54</v>
      </c>
      <c r="N171" s="1469" t="s">
        <v>55</v>
      </c>
      <c r="O171" s="1469" t="s">
        <v>3437</v>
      </c>
      <c r="P171" s="594" t="s">
        <v>3646</v>
      </c>
      <c r="Q171" s="1455"/>
    </row>
    <row r="172" spans="12:17" ht="18">
      <c r="L172" s="1471">
        <v>45901</v>
      </c>
      <c r="M172" s="1448" t="s">
        <v>54</v>
      </c>
      <c r="N172" s="1469" t="s">
        <v>55</v>
      </c>
      <c r="O172" s="1469" t="s">
        <v>3437</v>
      </c>
      <c r="P172" s="594" t="s">
        <v>3646</v>
      </c>
      <c r="Q172" s="1455"/>
    </row>
    <row r="173" spans="12:17" ht="18">
      <c r="L173" s="1473">
        <v>45931</v>
      </c>
      <c r="M173" s="1448" t="s">
        <v>54</v>
      </c>
      <c r="N173" s="1469" t="s">
        <v>55</v>
      </c>
      <c r="O173" s="1469" t="s">
        <v>3437</v>
      </c>
      <c r="P173" s="594" t="s">
        <v>3646</v>
      </c>
      <c r="Q173" s="1455"/>
    </row>
    <row r="174" spans="12:17" ht="18">
      <c r="L174" s="1473">
        <v>45962</v>
      </c>
      <c r="M174" s="1448" t="s">
        <v>54</v>
      </c>
      <c r="N174" s="1469" t="s">
        <v>55</v>
      </c>
      <c r="O174" s="1469" t="s">
        <v>3437</v>
      </c>
      <c r="P174" s="594" t="s">
        <v>3646</v>
      </c>
      <c r="Q174" s="1455"/>
    </row>
    <row r="175" spans="12:17" ht="18">
      <c r="L175" s="1473">
        <v>45992</v>
      </c>
      <c r="M175" s="1448" t="s">
        <v>54</v>
      </c>
      <c r="N175" s="1469" t="s">
        <v>55</v>
      </c>
      <c r="O175" s="1469" t="s">
        <v>3437</v>
      </c>
      <c r="P175" s="594" t="s">
        <v>3646</v>
      </c>
      <c r="Q175" s="1455"/>
    </row>
    <row r="176" spans="12:17" ht="18">
      <c r="L176" s="1471">
        <v>45139</v>
      </c>
      <c r="M176" s="1448" t="s">
        <v>54</v>
      </c>
      <c r="N176" s="1469" t="s">
        <v>55</v>
      </c>
      <c r="O176" s="1469" t="s">
        <v>3446</v>
      </c>
      <c r="P176" s="594" t="s">
        <v>4760</v>
      </c>
      <c r="Q176" s="1457"/>
    </row>
    <row r="177" spans="12:17" ht="18">
      <c r="L177" s="1471">
        <v>45170</v>
      </c>
      <c r="M177" s="1448" t="s">
        <v>54</v>
      </c>
      <c r="N177" s="1469" t="s">
        <v>55</v>
      </c>
      <c r="O177" s="1469" t="s">
        <v>3446</v>
      </c>
      <c r="P177" s="594" t="s">
        <v>4760</v>
      </c>
      <c r="Q177" s="1457"/>
    </row>
    <row r="178" spans="12:17" ht="18">
      <c r="L178" s="1473">
        <v>45200</v>
      </c>
      <c r="M178" s="1448" t="s">
        <v>54</v>
      </c>
      <c r="N178" s="1469" t="s">
        <v>55</v>
      </c>
      <c r="O178" s="1469" t="s">
        <v>3446</v>
      </c>
      <c r="P178" s="594" t="s">
        <v>4760</v>
      </c>
      <c r="Q178" s="1457"/>
    </row>
    <row r="179" spans="12:17" ht="18">
      <c r="L179" s="1473">
        <v>45231</v>
      </c>
      <c r="M179" s="1448" t="s">
        <v>54</v>
      </c>
      <c r="N179" s="1469" t="s">
        <v>55</v>
      </c>
      <c r="O179" s="1469" t="s">
        <v>3446</v>
      </c>
      <c r="P179" s="594" t="s">
        <v>4760</v>
      </c>
      <c r="Q179" s="1457"/>
    </row>
    <row r="180" spans="12:17" ht="18">
      <c r="L180" s="1473">
        <v>45261</v>
      </c>
      <c r="M180" s="1448" t="s">
        <v>54</v>
      </c>
      <c r="N180" s="1469" t="s">
        <v>55</v>
      </c>
      <c r="O180" s="1469" t="s">
        <v>3446</v>
      </c>
      <c r="P180" s="594" t="s">
        <v>4760</v>
      </c>
      <c r="Q180" s="1457"/>
    </row>
    <row r="181" spans="12:17" ht="18">
      <c r="L181" s="1471">
        <v>45292</v>
      </c>
      <c r="M181" s="1448" t="s">
        <v>54</v>
      </c>
      <c r="N181" s="1469" t="s">
        <v>55</v>
      </c>
      <c r="O181" s="1469" t="s">
        <v>3446</v>
      </c>
      <c r="P181" s="594" t="s">
        <v>4760</v>
      </c>
      <c r="Q181" s="1457">
        <v>1</v>
      </c>
    </row>
    <row r="182" spans="12:17" ht="18">
      <c r="L182" s="1471">
        <v>45323</v>
      </c>
      <c r="M182" s="1448" t="s">
        <v>54</v>
      </c>
      <c r="N182" s="1469" t="s">
        <v>55</v>
      </c>
      <c r="O182" s="1469" t="s">
        <v>3446</v>
      </c>
      <c r="P182" s="594" t="s">
        <v>4760</v>
      </c>
      <c r="Q182" s="1457">
        <v>1</v>
      </c>
    </row>
    <row r="183" spans="12:17" ht="18">
      <c r="L183" s="1471">
        <v>45352</v>
      </c>
      <c r="M183" s="1448" t="s">
        <v>54</v>
      </c>
      <c r="N183" s="1469" t="s">
        <v>55</v>
      </c>
      <c r="O183" s="1469" t="s">
        <v>3446</v>
      </c>
      <c r="P183" s="594" t="s">
        <v>4760</v>
      </c>
      <c r="Q183" s="1457"/>
    </row>
    <row r="184" spans="12:17" ht="18">
      <c r="L184" s="1471">
        <v>45383</v>
      </c>
      <c r="M184" s="1448" t="s">
        <v>54</v>
      </c>
      <c r="N184" s="1469" t="s">
        <v>55</v>
      </c>
      <c r="O184" s="1469" t="s">
        <v>3446</v>
      </c>
      <c r="P184" s="594" t="s">
        <v>4760</v>
      </c>
      <c r="Q184" s="1457">
        <v>1</v>
      </c>
    </row>
    <row r="185" spans="12:17" ht="18">
      <c r="L185" s="1471">
        <v>45413</v>
      </c>
      <c r="M185" s="1448" t="s">
        <v>54</v>
      </c>
      <c r="N185" s="1469" t="s">
        <v>55</v>
      </c>
      <c r="O185" s="1469" t="s">
        <v>3446</v>
      </c>
      <c r="P185" s="594" t="s">
        <v>4760</v>
      </c>
      <c r="Q185" s="1457"/>
    </row>
    <row r="186" spans="12:17" ht="18">
      <c r="L186" s="1471">
        <v>45444</v>
      </c>
      <c r="M186" s="1448" t="s">
        <v>54</v>
      </c>
      <c r="N186" s="1469" t="s">
        <v>55</v>
      </c>
      <c r="O186" s="1469" t="s">
        <v>3446</v>
      </c>
      <c r="P186" s="594" t="s">
        <v>4760</v>
      </c>
      <c r="Q186" s="1457">
        <v>1</v>
      </c>
    </row>
    <row r="187" spans="12:17" ht="18">
      <c r="L187" s="1471">
        <v>45474</v>
      </c>
      <c r="M187" s="1448" t="s">
        <v>54</v>
      </c>
      <c r="N187" s="1469" t="s">
        <v>55</v>
      </c>
      <c r="O187" s="1469" t="s">
        <v>3446</v>
      </c>
      <c r="P187" s="594" t="s">
        <v>4760</v>
      </c>
      <c r="Q187" s="1457"/>
    </row>
    <row r="188" spans="12:17" ht="18">
      <c r="L188" s="1471">
        <v>45505</v>
      </c>
      <c r="M188" s="1448" t="s">
        <v>54</v>
      </c>
      <c r="N188" s="1469" t="s">
        <v>55</v>
      </c>
      <c r="O188" s="1469" t="s">
        <v>3446</v>
      </c>
      <c r="P188" s="594" t="s">
        <v>4760</v>
      </c>
      <c r="Q188" s="1457"/>
    </row>
    <row r="189" spans="12:17" ht="18">
      <c r="L189" s="1471">
        <v>45536</v>
      </c>
      <c r="M189" s="1448" t="s">
        <v>54</v>
      </c>
      <c r="N189" s="1469" t="s">
        <v>55</v>
      </c>
      <c r="O189" s="1469" t="s">
        <v>3446</v>
      </c>
      <c r="P189" s="594" t="s">
        <v>4760</v>
      </c>
      <c r="Q189" s="1457">
        <v>1</v>
      </c>
    </row>
    <row r="190" spans="12:17" ht="18">
      <c r="L190" s="1473">
        <v>45566</v>
      </c>
      <c r="M190" s="1448" t="s">
        <v>54</v>
      </c>
      <c r="N190" s="1469" t="s">
        <v>55</v>
      </c>
      <c r="O190" s="1469" t="s">
        <v>3446</v>
      </c>
      <c r="P190" s="594" t="s">
        <v>4760</v>
      </c>
      <c r="Q190" s="1457"/>
    </row>
    <row r="191" spans="12:17" ht="18">
      <c r="L191" s="1473">
        <v>45597</v>
      </c>
      <c r="M191" s="1448" t="s">
        <v>54</v>
      </c>
      <c r="N191" s="1469" t="s">
        <v>55</v>
      </c>
      <c r="O191" s="1469" t="s">
        <v>3446</v>
      </c>
      <c r="P191" s="594" t="s">
        <v>4760</v>
      </c>
      <c r="Q191" s="1457"/>
    </row>
    <row r="192" spans="12:17" ht="18">
      <c r="L192" s="1473">
        <v>45627</v>
      </c>
      <c r="M192" s="1448" t="s">
        <v>54</v>
      </c>
      <c r="N192" s="1469" t="s">
        <v>55</v>
      </c>
      <c r="O192" s="1469" t="s">
        <v>3446</v>
      </c>
      <c r="P192" s="594" t="s">
        <v>4760</v>
      </c>
      <c r="Q192" s="1457">
        <v>1</v>
      </c>
    </row>
    <row r="193" spans="12:17" ht="18">
      <c r="L193" s="1471">
        <v>45658</v>
      </c>
      <c r="M193" s="1448" t="s">
        <v>54</v>
      </c>
      <c r="N193" s="1469" t="s">
        <v>55</v>
      </c>
      <c r="O193" s="1469" t="s">
        <v>3446</v>
      </c>
      <c r="P193" s="594" t="s">
        <v>4760</v>
      </c>
      <c r="Q193" s="1457"/>
    </row>
    <row r="194" spans="12:17" ht="18">
      <c r="L194" s="1471">
        <v>45689</v>
      </c>
      <c r="M194" s="1448" t="s">
        <v>54</v>
      </c>
      <c r="N194" s="1469" t="s">
        <v>55</v>
      </c>
      <c r="O194" s="1469" t="s">
        <v>3446</v>
      </c>
      <c r="P194" s="594" t="s">
        <v>4760</v>
      </c>
      <c r="Q194" s="1457"/>
    </row>
    <row r="195" spans="12:17" ht="18">
      <c r="L195" s="1471">
        <v>45717</v>
      </c>
      <c r="M195" s="1448" t="s">
        <v>54</v>
      </c>
      <c r="N195" s="1469" t="s">
        <v>55</v>
      </c>
      <c r="O195" s="1469" t="s">
        <v>3446</v>
      </c>
      <c r="P195" s="594" t="s">
        <v>4760</v>
      </c>
      <c r="Q195" s="1457"/>
    </row>
    <row r="196" spans="12:17" ht="18">
      <c r="L196" s="1471">
        <v>45748</v>
      </c>
      <c r="M196" s="1448" t="s">
        <v>54</v>
      </c>
      <c r="N196" s="1469" t="s">
        <v>55</v>
      </c>
      <c r="O196" s="1469" t="s">
        <v>3446</v>
      </c>
      <c r="P196" s="594" t="s">
        <v>4760</v>
      </c>
      <c r="Q196" s="1457">
        <v>1</v>
      </c>
    </row>
    <row r="197" spans="12:17" ht="18">
      <c r="L197" s="1471">
        <v>45778</v>
      </c>
      <c r="M197" s="1448" t="s">
        <v>54</v>
      </c>
      <c r="N197" s="1469" t="s">
        <v>55</v>
      </c>
      <c r="O197" s="1469" t="s">
        <v>3446</v>
      </c>
      <c r="P197" s="594" t="s">
        <v>4760</v>
      </c>
      <c r="Q197" s="1457"/>
    </row>
    <row r="198" spans="12:17" ht="18">
      <c r="L198" s="1471">
        <v>45809</v>
      </c>
      <c r="M198" s="1448" t="s">
        <v>54</v>
      </c>
      <c r="N198" s="1469" t="s">
        <v>55</v>
      </c>
      <c r="O198" s="1469" t="s">
        <v>3446</v>
      </c>
      <c r="P198" s="594" t="s">
        <v>4760</v>
      </c>
      <c r="Q198" s="1457"/>
    </row>
    <row r="199" spans="12:17" ht="18">
      <c r="L199" s="1471">
        <v>45839</v>
      </c>
      <c r="M199" s="1448" t="s">
        <v>54</v>
      </c>
      <c r="N199" s="1469" t="s">
        <v>55</v>
      </c>
      <c r="O199" s="1469" t="s">
        <v>3446</v>
      </c>
      <c r="P199" s="594" t="s">
        <v>4760</v>
      </c>
      <c r="Q199" s="1457"/>
    </row>
    <row r="200" spans="12:17" ht="18">
      <c r="L200" s="1471">
        <v>45870</v>
      </c>
      <c r="M200" s="1448" t="s">
        <v>54</v>
      </c>
      <c r="N200" s="1469" t="s">
        <v>55</v>
      </c>
      <c r="O200" s="1469" t="s">
        <v>3446</v>
      </c>
      <c r="P200" s="594" t="s">
        <v>4760</v>
      </c>
      <c r="Q200" s="1457">
        <v>1</v>
      </c>
    </row>
    <row r="201" spans="12:17" ht="18">
      <c r="L201" s="1471">
        <v>45901</v>
      </c>
      <c r="M201" s="1448" t="s">
        <v>54</v>
      </c>
      <c r="N201" s="1469" t="s">
        <v>55</v>
      </c>
      <c r="O201" s="1469" t="s">
        <v>3446</v>
      </c>
      <c r="P201" s="594" t="s">
        <v>4760</v>
      </c>
      <c r="Q201" s="1457"/>
    </row>
    <row r="202" spans="12:17" ht="18">
      <c r="L202" s="1473">
        <v>45931</v>
      </c>
      <c r="M202" s="1448" t="s">
        <v>54</v>
      </c>
      <c r="N202" s="1469" t="s">
        <v>55</v>
      </c>
      <c r="O202" s="1469" t="s">
        <v>3446</v>
      </c>
      <c r="P202" s="594" t="s">
        <v>4760</v>
      </c>
      <c r="Q202" s="1457"/>
    </row>
    <row r="203" spans="12:17" ht="18">
      <c r="L203" s="1473">
        <v>45962</v>
      </c>
      <c r="M203" s="1448" t="s">
        <v>54</v>
      </c>
      <c r="N203" s="1469" t="s">
        <v>55</v>
      </c>
      <c r="O203" s="1469" t="s">
        <v>3446</v>
      </c>
      <c r="P203" s="594" t="s">
        <v>4760</v>
      </c>
      <c r="Q203" s="1457">
        <v>1</v>
      </c>
    </row>
    <row r="204" spans="12:17" ht="18">
      <c r="L204" s="1473">
        <v>45992</v>
      </c>
      <c r="M204" s="1448" t="s">
        <v>54</v>
      </c>
      <c r="N204" s="1469" t="s">
        <v>55</v>
      </c>
      <c r="O204" s="1469" t="s">
        <v>3446</v>
      </c>
      <c r="P204" s="594" t="s">
        <v>4760</v>
      </c>
      <c r="Q204" s="1457"/>
    </row>
    <row r="205" spans="12:17" ht="18">
      <c r="L205" s="1471">
        <v>45139</v>
      </c>
      <c r="M205" s="1448" t="s">
        <v>54</v>
      </c>
      <c r="N205" s="1469" t="s">
        <v>55</v>
      </c>
      <c r="O205" s="1469" t="s">
        <v>3437</v>
      </c>
      <c r="P205" s="594" t="s">
        <v>4760</v>
      </c>
      <c r="Q205" s="1457">
        <v>1</v>
      </c>
    </row>
    <row r="206" spans="12:17" ht="18">
      <c r="L206" s="1471">
        <v>45170</v>
      </c>
      <c r="M206" s="1448" t="s">
        <v>54</v>
      </c>
      <c r="N206" s="1469" t="s">
        <v>55</v>
      </c>
      <c r="O206" s="1469" t="s">
        <v>3437</v>
      </c>
      <c r="P206" s="594" t="s">
        <v>4760</v>
      </c>
      <c r="Q206" s="1457"/>
    </row>
    <row r="207" spans="12:17" ht="18">
      <c r="L207" s="1473">
        <v>45200</v>
      </c>
      <c r="M207" s="1448" t="s">
        <v>54</v>
      </c>
      <c r="N207" s="1469" t="s">
        <v>55</v>
      </c>
      <c r="O207" s="1469" t="s">
        <v>3437</v>
      </c>
      <c r="P207" s="594" t="s">
        <v>4760</v>
      </c>
      <c r="Q207" s="1457"/>
    </row>
    <row r="208" spans="12:17" ht="18">
      <c r="L208" s="1473">
        <v>45231</v>
      </c>
      <c r="M208" s="1448" t="s">
        <v>54</v>
      </c>
      <c r="N208" s="1469" t="s">
        <v>55</v>
      </c>
      <c r="O208" s="1469" t="s">
        <v>3437</v>
      </c>
      <c r="P208" s="594" t="s">
        <v>4760</v>
      </c>
      <c r="Q208" s="1457">
        <v>1</v>
      </c>
    </row>
    <row r="209" spans="12:17" ht="18">
      <c r="L209" s="1473">
        <v>45261</v>
      </c>
      <c r="M209" s="1448" t="s">
        <v>54</v>
      </c>
      <c r="N209" s="1469" t="s">
        <v>55</v>
      </c>
      <c r="O209" s="1469" t="s">
        <v>3437</v>
      </c>
      <c r="P209" s="594" t="s">
        <v>4760</v>
      </c>
      <c r="Q209" s="1457">
        <v>1</v>
      </c>
    </row>
    <row r="210" spans="12:17" ht="18">
      <c r="L210" s="1471">
        <v>45292</v>
      </c>
      <c r="M210" s="1448" t="s">
        <v>54</v>
      </c>
      <c r="N210" s="1469" t="s">
        <v>55</v>
      </c>
      <c r="O210" s="1469" t="s">
        <v>3437</v>
      </c>
      <c r="P210" s="594" t="s">
        <v>4760</v>
      </c>
      <c r="Q210" s="1457">
        <v>1</v>
      </c>
    </row>
    <row r="211" spans="12:17" ht="18">
      <c r="L211" s="1471">
        <v>45323</v>
      </c>
      <c r="M211" s="1448" t="s">
        <v>54</v>
      </c>
      <c r="N211" s="1469" t="s">
        <v>55</v>
      </c>
      <c r="O211" s="1469" t="s">
        <v>3437</v>
      </c>
      <c r="P211" s="594" t="s">
        <v>4760</v>
      </c>
      <c r="Q211" s="1457"/>
    </row>
    <row r="212" spans="12:17" ht="18">
      <c r="L212" s="1471">
        <v>45352</v>
      </c>
      <c r="M212" s="1448" t="s">
        <v>54</v>
      </c>
      <c r="N212" s="1469" t="s">
        <v>55</v>
      </c>
      <c r="O212" s="1469" t="s">
        <v>3437</v>
      </c>
      <c r="P212" s="594" t="s">
        <v>4760</v>
      </c>
      <c r="Q212" s="1457">
        <v>1</v>
      </c>
    </row>
    <row r="213" spans="12:17" ht="18">
      <c r="L213" s="1471">
        <v>45383</v>
      </c>
      <c r="M213" s="1448" t="s">
        <v>54</v>
      </c>
      <c r="N213" s="1469" t="s">
        <v>55</v>
      </c>
      <c r="O213" s="1469" t="s">
        <v>3437</v>
      </c>
      <c r="P213" s="594" t="s">
        <v>4760</v>
      </c>
      <c r="Q213" s="1457"/>
    </row>
    <row r="214" spans="12:17" ht="18">
      <c r="L214" s="1471">
        <v>45413</v>
      </c>
      <c r="M214" s="1448" t="s">
        <v>54</v>
      </c>
      <c r="N214" s="1469" t="s">
        <v>55</v>
      </c>
      <c r="O214" s="1469" t="s">
        <v>3437</v>
      </c>
      <c r="P214" s="594" t="s">
        <v>4760</v>
      </c>
      <c r="Q214" s="1457"/>
    </row>
    <row r="215" spans="12:17" ht="18">
      <c r="L215" s="1471">
        <v>45444</v>
      </c>
      <c r="M215" s="1448" t="s">
        <v>54</v>
      </c>
      <c r="N215" s="1469" t="s">
        <v>55</v>
      </c>
      <c r="O215" s="1469" t="s">
        <v>3437</v>
      </c>
      <c r="P215" s="594" t="s">
        <v>4760</v>
      </c>
      <c r="Q215" s="1457"/>
    </row>
    <row r="216" spans="12:17" ht="18">
      <c r="L216" s="1471">
        <v>45474</v>
      </c>
      <c r="M216" s="1448" t="s">
        <v>54</v>
      </c>
      <c r="N216" s="1469" t="s">
        <v>55</v>
      </c>
      <c r="O216" s="1469" t="s">
        <v>3437</v>
      </c>
      <c r="P216" s="594" t="s">
        <v>4760</v>
      </c>
      <c r="Q216" s="1457">
        <v>2</v>
      </c>
    </row>
    <row r="217" spans="12:17" ht="18">
      <c r="L217" s="1471">
        <v>45505</v>
      </c>
      <c r="M217" s="1448" t="s">
        <v>54</v>
      </c>
      <c r="N217" s="1469" t="s">
        <v>55</v>
      </c>
      <c r="O217" s="1469" t="s">
        <v>3437</v>
      </c>
      <c r="P217" s="594" t="s">
        <v>4760</v>
      </c>
      <c r="Q217" s="1457">
        <v>3</v>
      </c>
    </row>
    <row r="218" spans="12:17" ht="18">
      <c r="L218" s="1471">
        <v>45536</v>
      </c>
      <c r="M218" s="1448" t="s">
        <v>54</v>
      </c>
      <c r="N218" s="1469" t="s">
        <v>55</v>
      </c>
      <c r="O218" s="1469" t="s">
        <v>3437</v>
      </c>
      <c r="P218" s="594" t="s">
        <v>4760</v>
      </c>
      <c r="Q218" s="1457"/>
    </row>
    <row r="219" spans="12:17" ht="18">
      <c r="L219" s="1473">
        <v>45566</v>
      </c>
      <c r="M219" s="1448" t="s">
        <v>54</v>
      </c>
      <c r="N219" s="1469" t="s">
        <v>55</v>
      </c>
      <c r="O219" s="1469" t="s">
        <v>3437</v>
      </c>
      <c r="P219" s="594" t="s">
        <v>4760</v>
      </c>
      <c r="Q219" s="1457"/>
    </row>
    <row r="220" spans="12:17" ht="18">
      <c r="L220" s="1473">
        <v>45597</v>
      </c>
      <c r="M220" s="1448" t="s">
        <v>54</v>
      </c>
      <c r="N220" s="1469" t="s">
        <v>55</v>
      </c>
      <c r="O220" s="1469" t="s">
        <v>3437</v>
      </c>
      <c r="P220" s="594" t="s">
        <v>4760</v>
      </c>
      <c r="Q220" s="1457">
        <v>1</v>
      </c>
    </row>
    <row r="221" spans="12:17" ht="18">
      <c r="L221" s="1473">
        <v>45627</v>
      </c>
      <c r="M221" s="1448" t="s">
        <v>54</v>
      </c>
      <c r="N221" s="1469" t="s">
        <v>55</v>
      </c>
      <c r="O221" s="1469" t="s">
        <v>3437</v>
      </c>
      <c r="P221" s="594" t="s">
        <v>4760</v>
      </c>
      <c r="Q221" s="1457"/>
    </row>
    <row r="222" spans="12:17" ht="18">
      <c r="L222" s="1471">
        <v>45658</v>
      </c>
      <c r="M222" s="1448" t="s">
        <v>54</v>
      </c>
      <c r="N222" s="1469" t="s">
        <v>55</v>
      </c>
      <c r="O222" s="1469" t="s">
        <v>3437</v>
      </c>
      <c r="P222" s="594" t="s">
        <v>4760</v>
      </c>
      <c r="Q222" s="1457"/>
    </row>
    <row r="223" spans="12:17" ht="18">
      <c r="L223" s="1471">
        <v>45689</v>
      </c>
      <c r="M223" s="1448" t="s">
        <v>54</v>
      </c>
      <c r="N223" s="1469" t="s">
        <v>55</v>
      </c>
      <c r="O223" s="1469" t="s">
        <v>3437</v>
      </c>
      <c r="P223" s="594" t="s">
        <v>4760</v>
      </c>
      <c r="Q223" s="1457"/>
    </row>
    <row r="224" spans="12:17" ht="18">
      <c r="L224" s="1471">
        <v>45717</v>
      </c>
      <c r="M224" s="1448" t="s">
        <v>54</v>
      </c>
      <c r="N224" s="1469" t="s">
        <v>55</v>
      </c>
      <c r="O224" s="1469" t="s">
        <v>3437</v>
      </c>
      <c r="P224" s="594" t="s">
        <v>4760</v>
      </c>
      <c r="Q224" s="1457"/>
    </row>
    <row r="225" spans="12:17" ht="18">
      <c r="L225" s="1471">
        <v>45748</v>
      </c>
      <c r="M225" s="1448" t="s">
        <v>54</v>
      </c>
      <c r="N225" s="1469" t="s">
        <v>55</v>
      </c>
      <c r="O225" s="1469" t="s">
        <v>3437</v>
      </c>
      <c r="P225" s="594" t="s">
        <v>4760</v>
      </c>
      <c r="Q225" s="1457">
        <v>3</v>
      </c>
    </row>
    <row r="226" spans="12:17" ht="18">
      <c r="L226" s="1471">
        <v>45778</v>
      </c>
      <c r="M226" s="1448" t="s">
        <v>54</v>
      </c>
      <c r="N226" s="1469" t="s">
        <v>55</v>
      </c>
      <c r="O226" s="1469" t="s">
        <v>3437</v>
      </c>
      <c r="P226" s="594" t="s">
        <v>4760</v>
      </c>
      <c r="Q226" s="1457"/>
    </row>
    <row r="227" spans="12:17" ht="18">
      <c r="L227" s="1471">
        <v>45809</v>
      </c>
      <c r="M227" s="1448" t="s">
        <v>54</v>
      </c>
      <c r="N227" s="1469" t="s">
        <v>55</v>
      </c>
      <c r="O227" s="1469" t="s">
        <v>3437</v>
      </c>
      <c r="P227" s="594" t="s">
        <v>4760</v>
      </c>
      <c r="Q227" s="1457"/>
    </row>
    <row r="228" spans="12:17" ht="18">
      <c r="L228" s="1471">
        <v>45839</v>
      </c>
      <c r="M228" s="1448" t="s">
        <v>54</v>
      </c>
      <c r="N228" s="1469" t="s">
        <v>55</v>
      </c>
      <c r="O228" s="1469" t="s">
        <v>3437</v>
      </c>
      <c r="P228" s="594" t="s">
        <v>4760</v>
      </c>
      <c r="Q228" s="1457"/>
    </row>
    <row r="229" spans="12:17" ht="18">
      <c r="L229" s="1471">
        <v>45870</v>
      </c>
      <c r="M229" s="1448" t="s">
        <v>54</v>
      </c>
      <c r="N229" s="1469" t="s">
        <v>55</v>
      </c>
      <c r="O229" s="1469" t="s">
        <v>3437</v>
      </c>
      <c r="P229" s="594" t="s">
        <v>4760</v>
      </c>
      <c r="Q229" s="1457"/>
    </row>
    <row r="230" spans="12:17" ht="18">
      <c r="L230" s="1471">
        <v>45901</v>
      </c>
      <c r="M230" s="1448" t="s">
        <v>54</v>
      </c>
      <c r="N230" s="1469" t="s">
        <v>55</v>
      </c>
      <c r="O230" s="1469" t="s">
        <v>3437</v>
      </c>
      <c r="P230" s="594" t="s">
        <v>4760</v>
      </c>
      <c r="Q230" s="1457">
        <v>1</v>
      </c>
    </row>
    <row r="231" spans="12:17" ht="18">
      <c r="L231" s="1473">
        <v>45931</v>
      </c>
      <c r="M231" s="1448" t="s">
        <v>54</v>
      </c>
      <c r="N231" s="1469" t="s">
        <v>55</v>
      </c>
      <c r="O231" s="1469" t="s">
        <v>3437</v>
      </c>
      <c r="P231" s="594" t="s">
        <v>4760</v>
      </c>
      <c r="Q231" s="1457"/>
    </row>
    <row r="232" spans="12:17" ht="18">
      <c r="L232" s="1473">
        <v>45962</v>
      </c>
      <c r="M232" s="1448" t="s">
        <v>54</v>
      </c>
      <c r="N232" s="1469" t="s">
        <v>55</v>
      </c>
      <c r="O232" s="1469" t="s">
        <v>3437</v>
      </c>
      <c r="P232" s="594" t="s">
        <v>4760</v>
      </c>
      <c r="Q232" s="1457"/>
    </row>
    <row r="233" spans="12:17" ht="18">
      <c r="L233" s="1473">
        <v>45992</v>
      </c>
      <c r="M233" s="1448" t="s">
        <v>54</v>
      </c>
      <c r="N233" s="1469" t="s">
        <v>55</v>
      </c>
      <c r="O233" s="1469" t="s">
        <v>3437</v>
      </c>
      <c r="P233" s="594" t="s">
        <v>4760</v>
      </c>
      <c r="Q233" s="1457"/>
    </row>
    <row r="234" spans="12:17" ht="18">
      <c r="L234" s="1471">
        <v>45139</v>
      </c>
      <c r="M234" s="1448" t="s">
        <v>54</v>
      </c>
      <c r="N234" s="1469" t="s">
        <v>611</v>
      </c>
      <c r="O234" s="1469" t="s">
        <v>3446</v>
      </c>
      <c r="P234" s="594" t="s">
        <v>3646</v>
      </c>
      <c r="Q234" s="1455"/>
    </row>
    <row r="235" spans="12:17" ht="18">
      <c r="L235" s="1471">
        <v>45170</v>
      </c>
      <c r="M235" s="1448" t="s">
        <v>54</v>
      </c>
      <c r="N235" s="1469" t="s">
        <v>611</v>
      </c>
      <c r="O235" s="1469" t="s">
        <v>3446</v>
      </c>
      <c r="P235" s="594" t="s">
        <v>3646</v>
      </c>
      <c r="Q235" s="1455"/>
    </row>
    <row r="236" spans="12:17" ht="18">
      <c r="L236" s="1473">
        <v>45200</v>
      </c>
      <c r="M236" s="1448" t="s">
        <v>54</v>
      </c>
      <c r="N236" s="1469" t="s">
        <v>611</v>
      </c>
      <c r="O236" s="1469" t="s">
        <v>3446</v>
      </c>
      <c r="P236" s="594" t="s">
        <v>3646</v>
      </c>
      <c r="Q236" s="1455"/>
    </row>
    <row r="237" spans="12:17" ht="18">
      <c r="L237" s="1473">
        <v>45231</v>
      </c>
      <c r="M237" s="1448" t="s">
        <v>54</v>
      </c>
      <c r="N237" s="1469" t="s">
        <v>611</v>
      </c>
      <c r="O237" s="1469" t="s">
        <v>3446</v>
      </c>
      <c r="P237" s="594" t="s">
        <v>3646</v>
      </c>
      <c r="Q237" s="1455"/>
    </row>
    <row r="238" spans="12:17" ht="18">
      <c r="L238" s="1473">
        <v>45261</v>
      </c>
      <c r="M238" s="1448" t="s">
        <v>54</v>
      </c>
      <c r="N238" s="1469" t="s">
        <v>611</v>
      </c>
      <c r="O238" s="1469" t="s">
        <v>3446</v>
      </c>
      <c r="P238" s="594" t="s">
        <v>3646</v>
      </c>
      <c r="Q238" s="1455"/>
    </row>
    <row r="239" spans="12:17" ht="18">
      <c r="L239" s="1471">
        <v>45292</v>
      </c>
      <c r="M239" s="1448" t="s">
        <v>54</v>
      </c>
      <c r="N239" s="1469" t="s">
        <v>611</v>
      </c>
      <c r="O239" s="1469" t="s">
        <v>3446</v>
      </c>
      <c r="P239" s="594" t="s">
        <v>3646</v>
      </c>
      <c r="Q239" s="1455"/>
    </row>
    <row r="240" spans="12:17" ht="18">
      <c r="L240" s="1471">
        <v>45323</v>
      </c>
      <c r="M240" s="1448" t="s">
        <v>54</v>
      </c>
      <c r="N240" s="1469" t="s">
        <v>611</v>
      </c>
      <c r="O240" s="1469" t="s">
        <v>3446</v>
      </c>
      <c r="P240" s="594" t="s">
        <v>3646</v>
      </c>
      <c r="Q240" s="1455"/>
    </row>
    <row r="241" spans="12:17" ht="18">
      <c r="L241" s="1471">
        <v>45352</v>
      </c>
      <c r="M241" s="1448" t="s">
        <v>54</v>
      </c>
      <c r="N241" s="1469" t="s">
        <v>611</v>
      </c>
      <c r="O241" s="1469" t="s">
        <v>3446</v>
      </c>
      <c r="P241" s="594" t="s">
        <v>3646</v>
      </c>
      <c r="Q241" s="1455">
        <v>2</v>
      </c>
    </row>
    <row r="242" spans="12:17" ht="18">
      <c r="L242" s="1471">
        <v>45383</v>
      </c>
      <c r="M242" s="1448" t="s">
        <v>54</v>
      </c>
      <c r="N242" s="1469" t="s">
        <v>611</v>
      </c>
      <c r="O242" s="1469" t="s">
        <v>3446</v>
      </c>
      <c r="P242" s="594" t="s">
        <v>3646</v>
      </c>
      <c r="Q242" s="1455"/>
    </row>
    <row r="243" spans="12:17" ht="18">
      <c r="L243" s="1471">
        <v>45413</v>
      </c>
      <c r="M243" s="1448" t="s">
        <v>54</v>
      </c>
      <c r="N243" s="1469" t="s">
        <v>611</v>
      </c>
      <c r="O243" s="1469" t="s">
        <v>3446</v>
      </c>
      <c r="P243" s="594" t="s">
        <v>3646</v>
      </c>
      <c r="Q243" s="1455">
        <v>1</v>
      </c>
    </row>
    <row r="244" spans="12:17" ht="18">
      <c r="L244" s="1471">
        <v>45444</v>
      </c>
      <c r="M244" s="1448" t="s">
        <v>54</v>
      </c>
      <c r="N244" s="1469" t="s">
        <v>611</v>
      </c>
      <c r="O244" s="1469" t="s">
        <v>3446</v>
      </c>
      <c r="P244" s="594" t="s">
        <v>3646</v>
      </c>
      <c r="Q244" s="1455"/>
    </row>
    <row r="245" spans="12:17" ht="18">
      <c r="L245" s="1471">
        <v>45474</v>
      </c>
      <c r="M245" s="1448" t="s">
        <v>54</v>
      </c>
      <c r="N245" s="1469" t="s">
        <v>611</v>
      </c>
      <c r="O245" s="1469" t="s">
        <v>3446</v>
      </c>
      <c r="P245" s="594" t="s">
        <v>3646</v>
      </c>
      <c r="Q245" s="1455"/>
    </row>
    <row r="246" spans="12:17" ht="18">
      <c r="L246" s="1471">
        <v>45505</v>
      </c>
      <c r="M246" s="1448" t="s">
        <v>54</v>
      </c>
      <c r="N246" s="1469" t="s">
        <v>611</v>
      </c>
      <c r="O246" s="1469" t="s">
        <v>3446</v>
      </c>
      <c r="P246" s="594" t="s">
        <v>3646</v>
      </c>
      <c r="Q246" s="1455">
        <v>1</v>
      </c>
    </row>
    <row r="247" spans="12:17" ht="18">
      <c r="L247" s="1471">
        <v>45536</v>
      </c>
      <c r="M247" s="1448" t="s">
        <v>54</v>
      </c>
      <c r="N247" s="1469" t="s">
        <v>611</v>
      </c>
      <c r="O247" s="1469" t="s">
        <v>3446</v>
      </c>
      <c r="P247" s="594" t="s">
        <v>3646</v>
      </c>
      <c r="Q247" s="1455"/>
    </row>
    <row r="248" spans="12:17" ht="18">
      <c r="L248" s="1473">
        <v>45566</v>
      </c>
      <c r="M248" s="1448" t="s">
        <v>54</v>
      </c>
      <c r="N248" s="1469" t="s">
        <v>611</v>
      </c>
      <c r="O248" s="1469" t="s">
        <v>3446</v>
      </c>
      <c r="P248" s="594" t="s">
        <v>3646</v>
      </c>
      <c r="Q248" s="1455">
        <v>10</v>
      </c>
    </row>
    <row r="249" spans="12:17" ht="18">
      <c r="L249" s="1473">
        <v>45597</v>
      </c>
      <c r="M249" s="1448" t="s">
        <v>54</v>
      </c>
      <c r="N249" s="1469" t="s">
        <v>611</v>
      </c>
      <c r="O249" s="1469" t="s">
        <v>3446</v>
      </c>
      <c r="P249" s="594" t="s">
        <v>3646</v>
      </c>
      <c r="Q249" s="1455"/>
    </row>
    <row r="250" spans="12:17" ht="18">
      <c r="L250" s="1473">
        <v>45627</v>
      </c>
      <c r="M250" s="1448" t="s">
        <v>54</v>
      </c>
      <c r="N250" s="1469" t="s">
        <v>611</v>
      </c>
      <c r="O250" s="1469" t="s">
        <v>3446</v>
      </c>
      <c r="P250" s="594" t="s">
        <v>3646</v>
      </c>
      <c r="Q250" s="1455"/>
    </row>
    <row r="251" spans="12:17" ht="18">
      <c r="L251" s="1471">
        <v>45658</v>
      </c>
      <c r="M251" s="1448" t="s">
        <v>54</v>
      </c>
      <c r="N251" s="1469" t="s">
        <v>611</v>
      </c>
      <c r="O251" s="1469" t="s">
        <v>3446</v>
      </c>
      <c r="P251" s="594" t="s">
        <v>3646</v>
      </c>
      <c r="Q251" s="1455"/>
    </row>
    <row r="252" spans="12:17" ht="18">
      <c r="L252" s="1471">
        <v>45689</v>
      </c>
      <c r="M252" s="1448" t="s">
        <v>54</v>
      </c>
      <c r="N252" s="1469" t="s">
        <v>611</v>
      </c>
      <c r="O252" s="1469" t="s">
        <v>3446</v>
      </c>
      <c r="P252" s="594" t="s">
        <v>3646</v>
      </c>
      <c r="Q252" s="1455"/>
    </row>
    <row r="253" spans="12:17" ht="18">
      <c r="L253" s="1471">
        <v>45717</v>
      </c>
      <c r="M253" s="1448" t="s">
        <v>54</v>
      </c>
      <c r="N253" s="1469" t="s">
        <v>611</v>
      </c>
      <c r="O253" s="1469" t="s">
        <v>3446</v>
      </c>
      <c r="P253" s="594" t="s">
        <v>3646</v>
      </c>
      <c r="Q253" s="1455"/>
    </row>
    <row r="254" spans="12:17" ht="18">
      <c r="L254" s="1471">
        <v>45748</v>
      </c>
      <c r="M254" s="1448" t="s">
        <v>54</v>
      </c>
      <c r="N254" s="1469" t="s">
        <v>611</v>
      </c>
      <c r="O254" s="1469" t="s">
        <v>3446</v>
      </c>
      <c r="P254" s="594" t="s">
        <v>3646</v>
      </c>
      <c r="Q254" s="1455"/>
    </row>
    <row r="255" spans="12:17" ht="18">
      <c r="L255" s="1471">
        <v>45778</v>
      </c>
      <c r="M255" s="1448" t="s">
        <v>54</v>
      </c>
      <c r="N255" s="1469" t="s">
        <v>611</v>
      </c>
      <c r="O255" s="1469" t="s">
        <v>3446</v>
      </c>
      <c r="P255" s="594" t="s">
        <v>3646</v>
      </c>
      <c r="Q255" s="1455"/>
    </row>
    <row r="256" spans="12:17" ht="18">
      <c r="L256" s="1471">
        <v>45809</v>
      </c>
      <c r="M256" s="1448" t="s">
        <v>54</v>
      </c>
      <c r="N256" s="1469" t="s">
        <v>611</v>
      </c>
      <c r="O256" s="1469" t="s">
        <v>3446</v>
      </c>
      <c r="P256" s="594" t="s">
        <v>3646</v>
      </c>
      <c r="Q256" s="1455">
        <v>1</v>
      </c>
    </row>
    <row r="257" spans="12:17" ht="18">
      <c r="L257" s="1471">
        <v>45839</v>
      </c>
      <c r="M257" s="1448" t="s">
        <v>54</v>
      </c>
      <c r="N257" s="1469" t="s">
        <v>611</v>
      </c>
      <c r="O257" s="1469" t="s">
        <v>3446</v>
      </c>
      <c r="P257" s="594" t="s">
        <v>3646</v>
      </c>
      <c r="Q257" s="1455">
        <v>1</v>
      </c>
    </row>
    <row r="258" spans="12:17" ht="18">
      <c r="L258" s="1471">
        <v>45870</v>
      </c>
      <c r="M258" s="1448" t="s">
        <v>54</v>
      </c>
      <c r="N258" s="1469" t="s">
        <v>611</v>
      </c>
      <c r="O258" s="1469" t="s">
        <v>3446</v>
      </c>
      <c r="P258" s="594" t="s">
        <v>3646</v>
      </c>
      <c r="Q258" s="1455">
        <v>1</v>
      </c>
    </row>
    <row r="259" spans="12:17" ht="18">
      <c r="L259" s="1471">
        <v>45901</v>
      </c>
      <c r="M259" s="1448" t="s">
        <v>54</v>
      </c>
      <c r="N259" s="1469" t="s">
        <v>611</v>
      </c>
      <c r="O259" s="1469" t="s">
        <v>3446</v>
      </c>
      <c r="P259" s="594" t="s">
        <v>3646</v>
      </c>
      <c r="Q259" s="1455"/>
    </row>
    <row r="260" spans="12:17" ht="18">
      <c r="L260" s="1473">
        <v>45931</v>
      </c>
      <c r="M260" s="1448" t="s">
        <v>54</v>
      </c>
      <c r="N260" s="1469" t="s">
        <v>611</v>
      </c>
      <c r="O260" s="1469" t="s">
        <v>3446</v>
      </c>
      <c r="P260" s="594" t="s">
        <v>3646</v>
      </c>
      <c r="Q260" s="1455">
        <v>3</v>
      </c>
    </row>
    <row r="261" spans="12:17" ht="18">
      <c r="L261" s="1473">
        <v>45962</v>
      </c>
      <c r="M261" s="1448" t="s">
        <v>54</v>
      </c>
      <c r="N261" s="1469" t="s">
        <v>611</v>
      </c>
      <c r="O261" s="1469" t="s">
        <v>3446</v>
      </c>
      <c r="P261" s="594" t="s">
        <v>3646</v>
      </c>
      <c r="Q261" s="1455"/>
    </row>
    <row r="262" spans="12:17" ht="18">
      <c r="L262" s="1473">
        <v>45992</v>
      </c>
      <c r="M262" s="1448" t="s">
        <v>54</v>
      </c>
      <c r="N262" s="1469" t="s">
        <v>611</v>
      </c>
      <c r="O262" s="1469" t="s">
        <v>3446</v>
      </c>
      <c r="P262" s="594" t="s">
        <v>3646</v>
      </c>
      <c r="Q262" s="1455"/>
    </row>
    <row r="263" spans="12:17" ht="18">
      <c r="L263" s="1471">
        <v>45139</v>
      </c>
      <c r="M263" s="1448" t="s">
        <v>54</v>
      </c>
      <c r="N263" s="1469" t="s">
        <v>611</v>
      </c>
      <c r="O263" s="1469" t="s">
        <v>3437</v>
      </c>
      <c r="P263" s="594" t="s">
        <v>3646</v>
      </c>
      <c r="Q263" s="1455"/>
    </row>
    <row r="264" spans="12:17" ht="18">
      <c r="L264" s="1471">
        <v>45170</v>
      </c>
      <c r="M264" s="1448" t="s">
        <v>54</v>
      </c>
      <c r="N264" s="1469" t="s">
        <v>611</v>
      </c>
      <c r="O264" s="1469" t="s">
        <v>3437</v>
      </c>
      <c r="P264" s="594" t="s">
        <v>3646</v>
      </c>
      <c r="Q264" s="1455"/>
    </row>
    <row r="265" spans="12:17" ht="18">
      <c r="L265" s="1473">
        <v>45200</v>
      </c>
      <c r="M265" s="1448" t="s">
        <v>54</v>
      </c>
      <c r="N265" s="1469" t="s">
        <v>611</v>
      </c>
      <c r="O265" s="1469" t="s">
        <v>3437</v>
      </c>
      <c r="P265" s="594" t="s">
        <v>3646</v>
      </c>
      <c r="Q265" s="1455">
        <v>13</v>
      </c>
    </row>
    <row r="266" spans="12:17" ht="18">
      <c r="L266" s="1473">
        <v>45231</v>
      </c>
      <c r="M266" s="1448" t="s">
        <v>54</v>
      </c>
      <c r="N266" s="1469" t="s">
        <v>611</v>
      </c>
      <c r="O266" s="1469" t="s">
        <v>3437</v>
      </c>
      <c r="P266" s="594" t="s">
        <v>3646</v>
      </c>
      <c r="Q266" s="1455"/>
    </row>
    <row r="267" spans="12:17" ht="18">
      <c r="L267" s="1473">
        <v>45261</v>
      </c>
      <c r="M267" s="1448" t="s">
        <v>54</v>
      </c>
      <c r="N267" s="1469" t="s">
        <v>611</v>
      </c>
      <c r="O267" s="1469" t="s">
        <v>3437</v>
      </c>
      <c r="P267" s="594" t="s">
        <v>3646</v>
      </c>
      <c r="Q267" s="1455"/>
    </row>
    <row r="268" spans="12:17" ht="18">
      <c r="L268" s="1471">
        <v>45292</v>
      </c>
      <c r="M268" s="1448" t="s">
        <v>54</v>
      </c>
      <c r="N268" s="1469" t="s">
        <v>611</v>
      </c>
      <c r="O268" s="1469" t="s">
        <v>3437</v>
      </c>
      <c r="P268" s="594" t="s">
        <v>3646</v>
      </c>
      <c r="Q268" s="1455"/>
    </row>
    <row r="269" spans="12:17" ht="18">
      <c r="L269" s="1471">
        <v>45323</v>
      </c>
      <c r="M269" s="1448" t="s">
        <v>54</v>
      </c>
      <c r="N269" s="1469" t="s">
        <v>611</v>
      </c>
      <c r="O269" s="1469" t="s">
        <v>3437</v>
      </c>
      <c r="P269" s="594" t="s">
        <v>3646</v>
      </c>
      <c r="Q269" s="1455"/>
    </row>
    <row r="270" spans="12:17" ht="18">
      <c r="L270" s="1471">
        <v>45352</v>
      </c>
      <c r="M270" s="1448" t="s">
        <v>54</v>
      </c>
      <c r="N270" s="1469" t="s">
        <v>611</v>
      </c>
      <c r="O270" s="1469" t="s">
        <v>3437</v>
      </c>
      <c r="P270" s="594" t="s">
        <v>3646</v>
      </c>
      <c r="Q270" s="1455">
        <v>3</v>
      </c>
    </row>
    <row r="271" spans="12:17" ht="18">
      <c r="L271" s="1471">
        <v>45383</v>
      </c>
      <c r="M271" s="1448" t="s">
        <v>54</v>
      </c>
      <c r="N271" s="1469" t="s">
        <v>611</v>
      </c>
      <c r="O271" s="1469" t="s">
        <v>3437</v>
      </c>
      <c r="P271" s="594" t="s">
        <v>3646</v>
      </c>
      <c r="Q271" s="1455"/>
    </row>
    <row r="272" spans="12:17" ht="18">
      <c r="L272" s="1471">
        <v>45413</v>
      </c>
      <c r="M272" s="1448" t="s">
        <v>54</v>
      </c>
      <c r="N272" s="1469" t="s">
        <v>611</v>
      </c>
      <c r="O272" s="1469" t="s">
        <v>3437</v>
      </c>
      <c r="P272" s="594" t="s">
        <v>3646</v>
      </c>
      <c r="Q272" s="1455"/>
    </row>
    <row r="273" spans="12:17" ht="18">
      <c r="L273" s="1471">
        <v>45444</v>
      </c>
      <c r="M273" s="1448" t="s">
        <v>54</v>
      </c>
      <c r="N273" s="1469" t="s">
        <v>611</v>
      </c>
      <c r="O273" s="1469" t="s">
        <v>3437</v>
      </c>
      <c r="P273" s="594" t="s">
        <v>3646</v>
      </c>
      <c r="Q273" s="1455"/>
    </row>
    <row r="274" spans="12:17" ht="18">
      <c r="L274" s="1471">
        <v>45474</v>
      </c>
      <c r="M274" s="1448" t="s">
        <v>54</v>
      </c>
      <c r="N274" s="1469" t="s">
        <v>611</v>
      </c>
      <c r="O274" s="1469" t="s">
        <v>3437</v>
      </c>
      <c r="P274" s="594" t="s">
        <v>3646</v>
      </c>
      <c r="Q274" s="1455"/>
    </row>
    <row r="275" spans="12:17" ht="18">
      <c r="L275" s="1471">
        <v>45505</v>
      </c>
      <c r="M275" s="1448" t="s">
        <v>54</v>
      </c>
      <c r="N275" s="1469" t="s">
        <v>611</v>
      </c>
      <c r="O275" s="1469" t="s">
        <v>3437</v>
      </c>
      <c r="P275" s="594" t="s">
        <v>3646</v>
      </c>
      <c r="Q275" s="1455"/>
    </row>
    <row r="276" spans="12:17" ht="18">
      <c r="L276" s="1471">
        <v>45536</v>
      </c>
      <c r="M276" s="1448" t="s">
        <v>54</v>
      </c>
      <c r="N276" s="1469" t="s">
        <v>611</v>
      </c>
      <c r="O276" s="1469" t="s">
        <v>3437</v>
      </c>
      <c r="P276" s="594" t="s">
        <v>3646</v>
      </c>
      <c r="Q276" s="1455"/>
    </row>
    <row r="277" spans="12:17" ht="18">
      <c r="L277" s="1473">
        <v>45566</v>
      </c>
      <c r="M277" s="1448" t="s">
        <v>54</v>
      </c>
      <c r="N277" s="1469" t="s">
        <v>611</v>
      </c>
      <c r="O277" s="1469" t="s">
        <v>3437</v>
      </c>
      <c r="P277" s="594" t="s">
        <v>3646</v>
      </c>
      <c r="Q277" s="1455">
        <v>10</v>
      </c>
    </row>
    <row r="278" spans="12:17" ht="18">
      <c r="L278" s="1473">
        <v>45597</v>
      </c>
      <c r="M278" s="1448" t="s">
        <v>54</v>
      </c>
      <c r="N278" s="1469" t="s">
        <v>611</v>
      </c>
      <c r="O278" s="1469" t="s">
        <v>3437</v>
      </c>
      <c r="P278" s="594" t="s">
        <v>3646</v>
      </c>
      <c r="Q278" s="1455"/>
    </row>
    <row r="279" spans="12:17" ht="18">
      <c r="L279" s="1473">
        <v>45627</v>
      </c>
      <c r="M279" s="1448" t="s">
        <v>54</v>
      </c>
      <c r="N279" s="1469" t="s">
        <v>611</v>
      </c>
      <c r="O279" s="1469" t="s">
        <v>3437</v>
      </c>
      <c r="P279" s="594" t="s">
        <v>3646</v>
      </c>
      <c r="Q279" s="1455"/>
    </row>
    <row r="280" spans="12:17" ht="18">
      <c r="L280" s="1471">
        <v>45658</v>
      </c>
      <c r="M280" s="1448" t="s">
        <v>54</v>
      </c>
      <c r="N280" s="1469" t="s">
        <v>611</v>
      </c>
      <c r="O280" s="1469" t="s">
        <v>3437</v>
      </c>
      <c r="P280" s="594" t="s">
        <v>3646</v>
      </c>
      <c r="Q280" s="1455"/>
    </row>
    <row r="281" spans="12:17" ht="18">
      <c r="L281" s="1471">
        <v>45689</v>
      </c>
      <c r="M281" s="1448" t="s">
        <v>54</v>
      </c>
      <c r="N281" s="1469" t="s">
        <v>611</v>
      </c>
      <c r="O281" s="1469" t="s">
        <v>3437</v>
      </c>
      <c r="P281" s="594" t="s">
        <v>3646</v>
      </c>
      <c r="Q281" s="1455"/>
    </row>
    <row r="282" spans="12:17" ht="18">
      <c r="L282" s="1471">
        <v>45717</v>
      </c>
      <c r="M282" s="1448" t="s">
        <v>54</v>
      </c>
      <c r="N282" s="1469" t="s">
        <v>611</v>
      </c>
      <c r="O282" s="1469" t="s">
        <v>3437</v>
      </c>
      <c r="P282" s="594" t="s">
        <v>3646</v>
      </c>
      <c r="Q282" s="1455"/>
    </row>
    <row r="283" spans="12:17" ht="18">
      <c r="L283" s="1471">
        <v>45748</v>
      </c>
      <c r="M283" s="1448" t="s">
        <v>54</v>
      </c>
      <c r="N283" s="1469" t="s">
        <v>611</v>
      </c>
      <c r="O283" s="1469" t="s">
        <v>3437</v>
      </c>
      <c r="P283" s="594" t="s">
        <v>3646</v>
      </c>
      <c r="Q283" s="1455"/>
    </row>
    <row r="284" spans="12:17" ht="18">
      <c r="L284" s="1471">
        <v>45778</v>
      </c>
      <c r="M284" s="1448" t="s">
        <v>54</v>
      </c>
      <c r="N284" s="1469" t="s">
        <v>611</v>
      </c>
      <c r="O284" s="1469" t="s">
        <v>3437</v>
      </c>
      <c r="P284" s="594" t="s">
        <v>3646</v>
      </c>
      <c r="Q284" s="1455"/>
    </row>
    <row r="285" spans="12:17" ht="18">
      <c r="L285" s="1471">
        <v>45809</v>
      </c>
      <c r="M285" s="1448" t="s">
        <v>54</v>
      </c>
      <c r="N285" s="1469" t="s">
        <v>611</v>
      </c>
      <c r="O285" s="1469" t="s">
        <v>3437</v>
      </c>
      <c r="P285" s="594" t="s">
        <v>3646</v>
      </c>
      <c r="Q285" s="1455"/>
    </row>
    <row r="286" spans="12:17" ht="18">
      <c r="L286" s="1471">
        <v>45839</v>
      </c>
      <c r="M286" s="1448" t="s">
        <v>54</v>
      </c>
      <c r="N286" s="1469" t="s">
        <v>611</v>
      </c>
      <c r="O286" s="1469" t="s">
        <v>3437</v>
      </c>
      <c r="P286" s="594" t="s">
        <v>3646</v>
      </c>
      <c r="Q286" s="1455">
        <v>1</v>
      </c>
    </row>
    <row r="287" spans="12:17" ht="18">
      <c r="L287" s="1471">
        <v>45870</v>
      </c>
      <c r="M287" s="1448" t="s">
        <v>54</v>
      </c>
      <c r="N287" s="1469" t="s">
        <v>611</v>
      </c>
      <c r="O287" s="1469" t="s">
        <v>3437</v>
      </c>
      <c r="P287" s="594" t="s">
        <v>3646</v>
      </c>
      <c r="Q287" s="1455"/>
    </row>
    <row r="288" spans="12:17" ht="18">
      <c r="L288" s="1471">
        <v>45901</v>
      </c>
      <c r="M288" s="1448" t="s">
        <v>54</v>
      </c>
      <c r="N288" s="1469" t="s">
        <v>611</v>
      </c>
      <c r="O288" s="1469" t="s">
        <v>3437</v>
      </c>
      <c r="P288" s="594" t="s">
        <v>3646</v>
      </c>
      <c r="Q288" s="1455">
        <v>13</v>
      </c>
    </row>
    <row r="289" spans="12:17" ht="18">
      <c r="L289" s="1473">
        <v>45931</v>
      </c>
      <c r="M289" s="1448" t="s">
        <v>54</v>
      </c>
      <c r="N289" s="1469" t="s">
        <v>611</v>
      </c>
      <c r="O289" s="1469" t="s">
        <v>3437</v>
      </c>
      <c r="P289" s="594" t="s">
        <v>3646</v>
      </c>
      <c r="Q289" s="1455">
        <v>12</v>
      </c>
    </row>
    <row r="290" spans="12:17" ht="18">
      <c r="L290" s="1473">
        <v>45962</v>
      </c>
      <c r="M290" s="1448" t="s">
        <v>54</v>
      </c>
      <c r="N290" s="1469" t="s">
        <v>611</v>
      </c>
      <c r="O290" s="1469" t="s">
        <v>3437</v>
      </c>
      <c r="P290" s="594" t="s">
        <v>3646</v>
      </c>
      <c r="Q290" s="1455"/>
    </row>
    <row r="291" spans="12:17" ht="18">
      <c r="L291" s="1473">
        <v>45992</v>
      </c>
      <c r="M291" s="1448" t="s">
        <v>54</v>
      </c>
      <c r="N291" s="1469" t="s">
        <v>611</v>
      </c>
      <c r="O291" s="1469" t="s">
        <v>3437</v>
      </c>
      <c r="P291" s="594" t="s">
        <v>3646</v>
      </c>
      <c r="Q291" s="1455">
        <v>1</v>
      </c>
    </row>
    <row r="292" spans="12:17" ht="18">
      <c r="L292" s="1471">
        <v>45139</v>
      </c>
      <c r="M292" s="1448" t="s">
        <v>54</v>
      </c>
      <c r="N292" s="1469" t="s">
        <v>611</v>
      </c>
      <c r="O292" s="1469" t="s">
        <v>3446</v>
      </c>
      <c r="P292" s="594" t="s">
        <v>4760</v>
      </c>
      <c r="Q292" s="1457"/>
    </row>
    <row r="293" spans="12:17" ht="18">
      <c r="L293" s="1471">
        <v>45170</v>
      </c>
      <c r="M293" s="1448" t="s">
        <v>54</v>
      </c>
      <c r="N293" s="1469" t="s">
        <v>611</v>
      </c>
      <c r="O293" s="1469" t="s">
        <v>3446</v>
      </c>
      <c r="P293" s="594" t="s">
        <v>4760</v>
      </c>
      <c r="Q293" s="1457"/>
    </row>
    <row r="294" spans="12:17" ht="18">
      <c r="L294" s="1473">
        <v>45200</v>
      </c>
      <c r="M294" s="1448" t="s">
        <v>54</v>
      </c>
      <c r="N294" s="1469" t="s">
        <v>611</v>
      </c>
      <c r="O294" s="1469" t="s">
        <v>3446</v>
      </c>
      <c r="P294" s="594" t="s">
        <v>4760</v>
      </c>
      <c r="Q294" s="1457"/>
    </row>
    <row r="295" spans="12:17" ht="18">
      <c r="L295" s="1473">
        <v>45231</v>
      </c>
      <c r="M295" s="1448" t="s">
        <v>54</v>
      </c>
      <c r="N295" s="1469" t="s">
        <v>611</v>
      </c>
      <c r="O295" s="1469" t="s">
        <v>3446</v>
      </c>
      <c r="P295" s="594" t="s">
        <v>4760</v>
      </c>
      <c r="Q295" s="1457"/>
    </row>
    <row r="296" spans="12:17" ht="18">
      <c r="L296" s="1473">
        <v>45261</v>
      </c>
      <c r="M296" s="1448" t="s">
        <v>54</v>
      </c>
      <c r="N296" s="1469" t="s">
        <v>611</v>
      </c>
      <c r="O296" s="1469" t="s">
        <v>3446</v>
      </c>
      <c r="P296" s="594" t="s">
        <v>4760</v>
      </c>
      <c r="Q296" s="1457"/>
    </row>
    <row r="297" spans="12:17" ht="18">
      <c r="L297" s="1471">
        <v>45292</v>
      </c>
      <c r="M297" s="1448" t="s">
        <v>54</v>
      </c>
      <c r="N297" s="1469" t="s">
        <v>611</v>
      </c>
      <c r="O297" s="1469" t="s">
        <v>3446</v>
      </c>
      <c r="P297" s="594" t="s">
        <v>4760</v>
      </c>
      <c r="Q297" s="1457"/>
    </row>
    <row r="298" spans="12:17" ht="18">
      <c r="L298" s="1471">
        <v>45323</v>
      </c>
      <c r="M298" s="1448" t="s">
        <v>54</v>
      </c>
      <c r="N298" s="1469" t="s">
        <v>611</v>
      </c>
      <c r="O298" s="1469" t="s">
        <v>3446</v>
      </c>
      <c r="P298" s="594" t="s">
        <v>4760</v>
      </c>
      <c r="Q298" s="1457"/>
    </row>
    <row r="299" spans="12:17" ht="18">
      <c r="L299" s="1471">
        <v>45352</v>
      </c>
      <c r="M299" s="1448" t="s">
        <v>54</v>
      </c>
      <c r="N299" s="1469" t="s">
        <v>611</v>
      </c>
      <c r="O299" s="1469" t="s">
        <v>3446</v>
      </c>
      <c r="P299" s="594" t="s">
        <v>4760</v>
      </c>
      <c r="Q299" s="1457"/>
    </row>
    <row r="300" spans="12:17" ht="18">
      <c r="L300" s="1471">
        <v>45383</v>
      </c>
      <c r="M300" s="1448" t="s">
        <v>54</v>
      </c>
      <c r="N300" s="1469" t="s">
        <v>611</v>
      </c>
      <c r="O300" s="1469" t="s">
        <v>3446</v>
      </c>
      <c r="P300" s="594" t="s">
        <v>4760</v>
      </c>
      <c r="Q300" s="1457"/>
    </row>
    <row r="301" spans="12:17" ht="18">
      <c r="L301" s="1471">
        <v>45413</v>
      </c>
      <c r="M301" s="1448" t="s">
        <v>54</v>
      </c>
      <c r="N301" s="1469" t="s">
        <v>611</v>
      </c>
      <c r="O301" s="1469" t="s">
        <v>3446</v>
      </c>
      <c r="P301" s="594" t="s">
        <v>4760</v>
      </c>
      <c r="Q301" s="1457"/>
    </row>
    <row r="302" spans="12:17" ht="18">
      <c r="L302" s="1471">
        <v>45444</v>
      </c>
      <c r="M302" s="1448" t="s">
        <v>54</v>
      </c>
      <c r="N302" s="1469" t="s">
        <v>611</v>
      </c>
      <c r="O302" s="1469" t="s">
        <v>3446</v>
      </c>
      <c r="P302" s="594" t="s">
        <v>4760</v>
      </c>
      <c r="Q302" s="1457"/>
    </row>
    <row r="303" spans="12:17" ht="18">
      <c r="L303" s="1471">
        <v>45474</v>
      </c>
      <c r="M303" s="1448" t="s">
        <v>54</v>
      </c>
      <c r="N303" s="1469" t="s">
        <v>611</v>
      </c>
      <c r="O303" s="1469" t="s">
        <v>3446</v>
      </c>
      <c r="P303" s="594" t="s">
        <v>4760</v>
      </c>
      <c r="Q303" s="1457"/>
    </row>
    <row r="304" spans="12:17" ht="18">
      <c r="L304" s="1471">
        <v>45505</v>
      </c>
      <c r="M304" s="1448" t="s">
        <v>54</v>
      </c>
      <c r="N304" s="1469" t="s">
        <v>611</v>
      </c>
      <c r="O304" s="1469" t="s">
        <v>3446</v>
      </c>
      <c r="P304" s="594" t="s">
        <v>4760</v>
      </c>
      <c r="Q304" s="1457"/>
    </row>
    <row r="305" spans="12:17" ht="18">
      <c r="L305" s="1471">
        <v>45536</v>
      </c>
      <c r="M305" s="1448" t="s">
        <v>54</v>
      </c>
      <c r="N305" s="1469" t="s">
        <v>611</v>
      </c>
      <c r="O305" s="1469" t="s">
        <v>3446</v>
      </c>
      <c r="P305" s="594" t="s">
        <v>4760</v>
      </c>
      <c r="Q305" s="1457"/>
    </row>
    <row r="306" spans="12:17" ht="18">
      <c r="L306" s="1473">
        <v>45566</v>
      </c>
      <c r="M306" s="1448" t="s">
        <v>54</v>
      </c>
      <c r="N306" s="1469" t="s">
        <v>611</v>
      </c>
      <c r="O306" s="1469" t="s">
        <v>3446</v>
      </c>
      <c r="P306" s="594" t="s">
        <v>4760</v>
      </c>
      <c r="Q306" s="1461">
        <v>1</v>
      </c>
    </row>
    <row r="307" spans="12:17" ht="18">
      <c r="L307" s="1473">
        <v>45597</v>
      </c>
      <c r="M307" s="1448" t="s">
        <v>54</v>
      </c>
      <c r="N307" s="1469" t="s">
        <v>611</v>
      </c>
      <c r="O307" s="1469" t="s">
        <v>3446</v>
      </c>
      <c r="P307" s="594" t="s">
        <v>4760</v>
      </c>
      <c r="Q307" s="1461"/>
    </row>
    <row r="308" spans="12:17" ht="18">
      <c r="L308" s="1473">
        <v>45627</v>
      </c>
      <c r="M308" s="1448" t="s">
        <v>54</v>
      </c>
      <c r="N308" s="1469" t="s">
        <v>611</v>
      </c>
      <c r="O308" s="1469" t="s">
        <v>3446</v>
      </c>
      <c r="P308" s="594" t="s">
        <v>4760</v>
      </c>
      <c r="Q308" s="1461">
        <v>1</v>
      </c>
    </row>
    <row r="309" spans="12:17" ht="18">
      <c r="L309" s="1471">
        <v>45658</v>
      </c>
      <c r="M309" s="1448" t="s">
        <v>54</v>
      </c>
      <c r="N309" s="1469" t="s">
        <v>611</v>
      </c>
      <c r="O309" s="1469" t="s">
        <v>3446</v>
      </c>
      <c r="P309" s="594" t="s">
        <v>4760</v>
      </c>
      <c r="Q309" s="1461">
        <v>1</v>
      </c>
    </row>
    <row r="310" spans="12:17" ht="18">
      <c r="L310" s="1471">
        <v>45689</v>
      </c>
      <c r="M310" s="1448" t="s">
        <v>54</v>
      </c>
      <c r="N310" s="1469" t="s">
        <v>611</v>
      </c>
      <c r="O310" s="1469" t="s">
        <v>3446</v>
      </c>
      <c r="P310" s="594" t="s">
        <v>4760</v>
      </c>
      <c r="Q310" s="1461"/>
    </row>
    <row r="311" spans="12:17" ht="18">
      <c r="L311" s="1471">
        <v>45717</v>
      </c>
      <c r="M311" s="1448" t="s">
        <v>54</v>
      </c>
      <c r="N311" s="1469" t="s">
        <v>611</v>
      </c>
      <c r="O311" s="1469" t="s">
        <v>3446</v>
      </c>
      <c r="P311" s="594" t="s">
        <v>4760</v>
      </c>
      <c r="Q311" s="1461"/>
    </row>
    <row r="312" spans="12:17" ht="18">
      <c r="L312" s="1471">
        <v>45748</v>
      </c>
      <c r="M312" s="1448" t="s">
        <v>54</v>
      </c>
      <c r="N312" s="1469" t="s">
        <v>611</v>
      </c>
      <c r="O312" s="1469" t="s">
        <v>3446</v>
      </c>
      <c r="P312" s="594" t="s">
        <v>4760</v>
      </c>
      <c r="Q312" s="1461">
        <v>1</v>
      </c>
    </row>
    <row r="313" spans="12:17" ht="18">
      <c r="L313" s="1471">
        <v>45778</v>
      </c>
      <c r="M313" s="1448" t="s">
        <v>54</v>
      </c>
      <c r="N313" s="1469" t="s">
        <v>611</v>
      </c>
      <c r="O313" s="1469" t="s">
        <v>3446</v>
      </c>
      <c r="P313" s="594" t="s">
        <v>4760</v>
      </c>
      <c r="Q313" s="1461"/>
    </row>
    <row r="314" spans="12:17" ht="18">
      <c r="L314" s="1471">
        <v>45809</v>
      </c>
      <c r="M314" s="1448" t="s">
        <v>54</v>
      </c>
      <c r="N314" s="1469" t="s">
        <v>611</v>
      </c>
      <c r="O314" s="1469" t="s">
        <v>3446</v>
      </c>
      <c r="P314" s="594" t="s">
        <v>4760</v>
      </c>
      <c r="Q314" s="1461"/>
    </row>
    <row r="315" spans="12:17" ht="18">
      <c r="L315" s="1471">
        <v>45839</v>
      </c>
      <c r="M315" s="1448" t="s">
        <v>54</v>
      </c>
      <c r="N315" s="1469" t="s">
        <v>611</v>
      </c>
      <c r="O315" s="1469" t="s">
        <v>3446</v>
      </c>
      <c r="P315" s="594" t="s">
        <v>4760</v>
      </c>
      <c r="Q315" s="1461">
        <v>1</v>
      </c>
    </row>
    <row r="316" spans="12:17" ht="18">
      <c r="L316" s="1471">
        <v>45870</v>
      </c>
      <c r="M316" s="1448" t="s">
        <v>54</v>
      </c>
      <c r="N316" s="1469" t="s">
        <v>611</v>
      </c>
      <c r="O316" s="1469" t="s">
        <v>3446</v>
      </c>
      <c r="P316" s="594" t="s">
        <v>4760</v>
      </c>
      <c r="Q316" s="1461"/>
    </row>
    <row r="317" spans="12:17" ht="18">
      <c r="L317" s="1471">
        <v>45901</v>
      </c>
      <c r="M317" s="1448" t="s">
        <v>54</v>
      </c>
      <c r="N317" s="1469" t="s">
        <v>611</v>
      </c>
      <c r="O317" s="1469" t="s">
        <v>3446</v>
      </c>
      <c r="P317" s="594" t="s">
        <v>4760</v>
      </c>
      <c r="Q317" s="1461"/>
    </row>
    <row r="318" spans="12:17" ht="18">
      <c r="L318" s="1473">
        <v>45931</v>
      </c>
      <c r="M318" s="1448" t="s">
        <v>54</v>
      </c>
      <c r="N318" s="1469" t="s">
        <v>611</v>
      </c>
      <c r="O318" s="1469" t="s">
        <v>3446</v>
      </c>
      <c r="P318" s="594" t="s">
        <v>4760</v>
      </c>
      <c r="Q318" s="1461">
        <v>2</v>
      </c>
    </row>
    <row r="319" spans="12:17" ht="18">
      <c r="L319" s="1473">
        <v>45962</v>
      </c>
      <c r="M319" s="1448" t="s">
        <v>54</v>
      </c>
      <c r="N319" s="1469" t="s">
        <v>611</v>
      </c>
      <c r="O319" s="1469" t="s">
        <v>3446</v>
      </c>
      <c r="P319" s="594" t="s">
        <v>4760</v>
      </c>
      <c r="Q319" s="1461"/>
    </row>
    <row r="320" spans="12:17" ht="18">
      <c r="L320" s="1473">
        <v>45992</v>
      </c>
      <c r="M320" s="1448" t="s">
        <v>54</v>
      </c>
      <c r="N320" s="1469" t="s">
        <v>611</v>
      </c>
      <c r="O320" s="1469" t="s">
        <v>3446</v>
      </c>
      <c r="P320" s="594" t="s">
        <v>4760</v>
      </c>
      <c r="Q320" s="1461"/>
    </row>
    <row r="321" spans="12:17" ht="18">
      <c r="L321" s="1471">
        <v>45139</v>
      </c>
      <c r="M321" s="1448" t="s">
        <v>54</v>
      </c>
      <c r="N321" s="1469" t="s">
        <v>611</v>
      </c>
      <c r="O321" s="1469" t="s">
        <v>3437</v>
      </c>
      <c r="P321" s="594" t="s">
        <v>4760</v>
      </c>
      <c r="Q321" s="1457"/>
    </row>
    <row r="322" spans="12:17" ht="18">
      <c r="L322" s="1471">
        <v>45170</v>
      </c>
      <c r="M322" s="1448" t="s">
        <v>54</v>
      </c>
      <c r="N322" s="1469" t="s">
        <v>611</v>
      </c>
      <c r="O322" s="1469" t="s">
        <v>3437</v>
      </c>
      <c r="P322" s="594" t="s">
        <v>4760</v>
      </c>
      <c r="Q322" s="1457">
        <v>1</v>
      </c>
    </row>
    <row r="323" spans="12:17" ht="18">
      <c r="L323" s="1473">
        <v>45200</v>
      </c>
      <c r="M323" s="1448" t="s">
        <v>54</v>
      </c>
      <c r="N323" s="1469" t="s">
        <v>611</v>
      </c>
      <c r="O323" s="1469" t="s">
        <v>3437</v>
      </c>
      <c r="P323" s="594" t="s">
        <v>4760</v>
      </c>
      <c r="Q323" s="1457"/>
    </row>
    <row r="324" spans="12:17" ht="18">
      <c r="L324" s="1473">
        <v>45231</v>
      </c>
      <c r="M324" s="1448" t="s">
        <v>54</v>
      </c>
      <c r="N324" s="1469" t="s">
        <v>611</v>
      </c>
      <c r="O324" s="1469" t="s">
        <v>3437</v>
      </c>
      <c r="P324" s="594" t="s">
        <v>4760</v>
      </c>
      <c r="Q324" s="1457">
        <v>1</v>
      </c>
    </row>
    <row r="325" spans="12:17" ht="18">
      <c r="L325" s="1473">
        <v>45261</v>
      </c>
      <c r="M325" s="1448" t="s">
        <v>54</v>
      </c>
      <c r="N325" s="1469" t="s">
        <v>611</v>
      </c>
      <c r="O325" s="1469" t="s">
        <v>3437</v>
      </c>
      <c r="P325" s="594" t="s">
        <v>4760</v>
      </c>
      <c r="Q325" s="1457">
        <v>1</v>
      </c>
    </row>
    <row r="326" spans="12:17" ht="18">
      <c r="L326" s="1471">
        <v>45292</v>
      </c>
      <c r="M326" s="1448" t="s">
        <v>54</v>
      </c>
      <c r="N326" s="1469" t="s">
        <v>611</v>
      </c>
      <c r="O326" s="1469" t="s">
        <v>3437</v>
      </c>
      <c r="P326" s="594" t="s">
        <v>4760</v>
      </c>
      <c r="Q326" s="1457"/>
    </row>
    <row r="327" spans="12:17" ht="18">
      <c r="L327" s="1471">
        <v>45323</v>
      </c>
      <c r="M327" s="1448" t="s">
        <v>54</v>
      </c>
      <c r="N327" s="1469" t="s">
        <v>611</v>
      </c>
      <c r="O327" s="1469" t="s">
        <v>3437</v>
      </c>
      <c r="P327" s="594" t="s">
        <v>4760</v>
      </c>
      <c r="Q327" s="1457">
        <v>1</v>
      </c>
    </row>
    <row r="328" spans="12:17" ht="18">
      <c r="L328" s="1471">
        <v>45352</v>
      </c>
      <c r="M328" s="1448" t="s">
        <v>54</v>
      </c>
      <c r="N328" s="1469" t="s">
        <v>611</v>
      </c>
      <c r="O328" s="1469" t="s">
        <v>3437</v>
      </c>
      <c r="P328" s="594" t="s">
        <v>4760</v>
      </c>
      <c r="Q328" s="1457"/>
    </row>
    <row r="329" spans="12:17" ht="18">
      <c r="L329" s="1471">
        <v>45383</v>
      </c>
      <c r="M329" s="1448" t="s">
        <v>54</v>
      </c>
      <c r="N329" s="1469" t="s">
        <v>611</v>
      </c>
      <c r="O329" s="1469" t="s">
        <v>3437</v>
      </c>
      <c r="P329" s="594" t="s">
        <v>4760</v>
      </c>
      <c r="Q329" s="1457"/>
    </row>
    <row r="330" spans="12:17" ht="18">
      <c r="L330" s="1471">
        <v>45413</v>
      </c>
      <c r="M330" s="1448" t="s">
        <v>54</v>
      </c>
      <c r="N330" s="1469" t="s">
        <v>611</v>
      </c>
      <c r="O330" s="1469" t="s">
        <v>3437</v>
      </c>
      <c r="P330" s="594" t="s">
        <v>4760</v>
      </c>
      <c r="Q330" s="1457"/>
    </row>
    <row r="331" spans="12:17" ht="18">
      <c r="L331" s="1471">
        <v>45444</v>
      </c>
      <c r="M331" s="1448" t="s">
        <v>54</v>
      </c>
      <c r="N331" s="1469" t="s">
        <v>611</v>
      </c>
      <c r="O331" s="1469" t="s">
        <v>3437</v>
      </c>
      <c r="P331" s="594" t="s">
        <v>4760</v>
      </c>
      <c r="Q331" s="1457"/>
    </row>
    <row r="332" spans="12:17" ht="18">
      <c r="L332" s="1471">
        <v>45474</v>
      </c>
      <c r="M332" s="1448" t="s">
        <v>54</v>
      </c>
      <c r="N332" s="1469" t="s">
        <v>611</v>
      </c>
      <c r="O332" s="1469" t="s">
        <v>3437</v>
      </c>
      <c r="P332" s="594" t="s">
        <v>4760</v>
      </c>
      <c r="Q332" s="1457"/>
    </row>
    <row r="333" spans="12:17" ht="18">
      <c r="L333" s="1471">
        <v>45505</v>
      </c>
      <c r="M333" s="1448" t="s">
        <v>54</v>
      </c>
      <c r="N333" s="1469" t="s">
        <v>611</v>
      </c>
      <c r="O333" s="1469" t="s">
        <v>3437</v>
      </c>
      <c r="P333" s="594" t="s">
        <v>4760</v>
      </c>
      <c r="Q333" s="1457"/>
    </row>
    <row r="334" spans="12:17" ht="18">
      <c r="L334" s="1471">
        <v>45536</v>
      </c>
      <c r="M334" s="1448" t="s">
        <v>54</v>
      </c>
      <c r="N334" s="1469" t="s">
        <v>611</v>
      </c>
      <c r="O334" s="1469" t="s">
        <v>3437</v>
      </c>
      <c r="P334" s="594" t="s">
        <v>4760</v>
      </c>
      <c r="Q334" s="1457">
        <v>1</v>
      </c>
    </row>
    <row r="335" spans="12:17" ht="18">
      <c r="L335" s="1473">
        <v>45566</v>
      </c>
      <c r="M335" s="1448" t="s">
        <v>54</v>
      </c>
      <c r="N335" s="1469" t="s">
        <v>611</v>
      </c>
      <c r="O335" s="1469" t="s">
        <v>3437</v>
      </c>
      <c r="P335" s="594" t="s">
        <v>4760</v>
      </c>
      <c r="Q335" s="1457">
        <v>1</v>
      </c>
    </row>
    <row r="336" spans="12:17" ht="18">
      <c r="L336" s="1473">
        <v>45597</v>
      </c>
      <c r="M336" s="1448" t="s">
        <v>54</v>
      </c>
      <c r="N336" s="1469" t="s">
        <v>611</v>
      </c>
      <c r="O336" s="1469" t="s">
        <v>3437</v>
      </c>
      <c r="P336" s="594" t="s">
        <v>4760</v>
      </c>
      <c r="Q336" s="1457"/>
    </row>
    <row r="337" spans="12:17" ht="18">
      <c r="L337" s="1473">
        <v>45627</v>
      </c>
      <c r="M337" s="1448" t="s">
        <v>54</v>
      </c>
      <c r="N337" s="1469" t="s">
        <v>611</v>
      </c>
      <c r="O337" s="1469" t="s">
        <v>3437</v>
      </c>
      <c r="P337" s="594" t="s">
        <v>4760</v>
      </c>
      <c r="Q337" s="1457"/>
    </row>
    <row r="338" spans="12:17" ht="18">
      <c r="L338" s="1471">
        <v>45658</v>
      </c>
      <c r="M338" s="1448" t="s">
        <v>54</v>
      </c>
      <c r="N338" s="1469" t="s">
        <v>611</v>
      </c>
      <c r="O338" s="1469" t="s">
        <v>3437</v>
      </c>
      <c r="P338" s="594" t="s">
        <v>4760</v>
      </c>
      <c r="Q338" s="1457">
        <v>6</v>
      </c>
    </row>
    <row r="339" spans="12:17" ht="18">
      <c r="L339" s="1471">
        <v>45689</v>
      </c>
      <c r="M339" s="1448" t="s">
        <v>54</v>
      </c>
      <c r="N339" s="1469" t="s">
        <v>611</v>
      </c>
      <c r="O339" s="1469" t="s">
        <v>3437</v>
      </c>
      <c r="P339" s="594" t="s">
        <v>4760</v>
      </c>
      <c r="Q339" s="1457"/>
    </row>
    <row r="340" spans="12:17" ht="18">
      <c r="L340" s="1471">
        <v>45717</v>
      </c>
      <c r="M340" s="1448" t="s">
        <v>54</v>
      </c>
      <c r="N340" s="1469" t="s">
        <v>611</v>
      </c>
      <c r="O340" s="1469" t="s">
        <v>3437</v>
      </c>
      <c r="P340" s="594" t="s">
        <v>4760</v>
      </c>
      <c r="Q340" s="1457">
        <v>5</v>
      </c>
    </row>
    <row r="341" spans="12:17" ht="18">
      <c r="L341" s="1471">
        <v>45748</v>
      </c>
      <c r="M341" s="1448" t="s">
        <v>54</v>
      </c>
      <c r="N341" s="1469" t="s">
        <v>611</v>
      </c>
      <c r="O341" s="1469" t="s">
        <v>3437</v>
      </c>
      <c r="P341" s="594" t="s">
        <v>4760</v>
      </c>
      <c r="Q341" s="1457">
        <v>2</v>
      </c>
    </row>
    <row r="342" spans="12:17" ht="18">
      <c r="L342" s="1471">
        <v>45778</v>
      </c>
      <c r="M342" s="1448" t="s">
        <v>54</v>
      </c>
      <c r="N342" s="1469" t="s">
        <v>611</v>
      </c>
      <c r="O342" s="1469" t="s">
        <v>3437</v>
      </c>
      <c r="P342" s="594" t="s">
        <v>4760</v>
      </c>
      <c r="Q342" s="1457">
        <v>1</v>
      </c>
    </row>
    <row r="343" spans="12:17" ht="18">
      <c r="L343" s="1471">
        <v>45809</v>
      </c>
      <c r="M343" s="1448" t="s">
        <v>54</v>
      </c>
      <c r="N343" s="1469" t="s">
        <v>611</v>
      </c>
      <c r="O343" s="1469" t="s">
        <v>3437</v>
      </c>
      <c r="P343" s="594" t="s">
        <v>4760</v>
      </c>
      <c r="Q343" s="1457"/>
    </row>
    <row r="344" spans="12:17" ht="18">
      <c r="L344" s="1471">
        <v>45839</v>
      </c>
      <c r="M344" s="1448" t="s">
        <v>54</v>
      </c>
      <c r="N344" s="1469" t="s">
        <v>611</v>
      </c>
      <c r="O344" s="1469" t="s">
        <v>3437</v>
      </c>
      <c r="P344" s="594" t="s">
        <v>4760</v>
      </c>
      <c r="Q344" s="1457"/>
    </row>
    <row r="345" spans="12:17" ht="18">
      <c r="L345" s="1471">
        <v>45870</v>
      </c>
      <c r="M345" s="1448" t="s">
        <v>54</v>
      </c>
      <c r="N345" s="1469" t="s">
        <v>611</v>
      </c>
      <c r="O345" s="1469" t="s">
        <v>3437</v>
      </c>
      <c r="P345" s="594" t="s">
        <v>4760</v>
      </c>
      <c r="Q345" s="1457"/>
    </row>
    <row r="346" spans="12:17" ht="18">
      <c r="L346" s="1471">
        <v>45901</v>
      </c>
      <c r="M346" s="1448" t="s">
        <v>54</v>
      </c>
      <c r="N346" s="1469" t="s">
        <v>611</v>
      </c>
      <c r="O346" s="1469" t="s">
        <v>3437</v>
      </c>
      <c r="P346" s="594" t="s">
        <v>4760</v>
      </c>
      <c r="Q346" s="1457"/>
    </row>
    <row r="347" spans="12:17" ht="18">
      <c r="L347" s="1473">
        <v>45931</v>
      </c>
      <c r="M347" s="1448" t="s">
        <v>54</v>
      </c>
      <c r="N347" s="1469" t="s">
        <v>611</v>
      </c>
      <c r="O347" s="1469" t="s">
        <v>3437</v>
      </c>
      <c r="P347" s="594" t="s">
        <v>4760</v>
      </c>
      <c r="Q347" s="1457"/>
    </row>
    <row r="348" spans="12:17" ht="18">
      <c r="L348" s="1473">
        <v>45962</v>
      </c>
      <c r="M348" s="1448" t="s">
        <v>54</v>
      </c>
      <c r="N348" s="1469" t="s">
        <v>611</v>
      </c>
      <c r="O348" s="1469" t="s">
        <v>3437</v>
      </c>
      <c r="P348" s="594" t="s">
        <v>4760</v>
      </c>
      <c r="Q348" s="1457"/>
    </row>
    <row r="349" spans="12:17" ht="18">
      <c r="L349" s="1473">
        <v>45992</v>
      </c>
      <c r="M349" s="1448" t="s">
        <v>54</v>
      </c>
      <c r="N349" s="1469" t="s">
        <v>611</v>
      </c>
      <c r="O349" s="1469" t="s">
        <v>3437</v>
      </c>
      <c r="P349" s="594" t="s">
        <v>4760</v>
      </c>
      <c r="Q349" s="1457">
        <v>1</v>
      </c>
    </row>
    <row r="350" spans="12:17" ht="18">
      <c r="L350" s="1447" t="s">
        <v>1433</v>
      </c>
      <c r="M350" s="1448" t="s">
        <v>3577</v>
      </c>
      <c r="N350" s="1469" t="s">
        <v>55</v>
      </c>
      <c r="O350" s="1469" t="s">
        <v>3437</v>
      </c>
      <c r="P350" s="594" t="s">
        <v>4760</v>
      </c>
      <c r="Q350" s="594">
        <v>1</v>
      </c>
    </row>
    <row r="351" spans="12:17" ht="18">
      <c r="L351" s="1447" t="s">
        <v>4793</v>
      </c>
      <c r="M351" s="1448" t="s">
        <v>3577</v>
      </c>
      <c r="N351" s="1469" t="s">
        <v>55</v>
      </c>
      <c r="O351" s="1469" t="s">
        <v>3437</v>
      </c>
      <c r="P351" s="594" t="s">
        <v>3646</v>
      </c>
      <c r="Q351" s="594">
        <v>1</v>
      </c>
    </row>
    <row r="352" spans="12:17" ht="18">
      <c r="L352" s="1447" t="s">
        <v>4793</v>
      </c>
      <c r="M352" s="1448" t="s">
        <v>54</v>
      </c>
      <c r="N352" s="1469" t="s">
        <v>611</v>
      </c>
      <c r="O352" s="1469" t="s">
        <v>3446</v>
      </c>
      <c r="P352" s="594" t="s">
        <v>3646</v>
      </c>
      <c r="Q352" s="594">
        <v>1</v>
      </c>
    </row>
    <row r="353" spans="12:17" ht="18">
      <c r="L353" s="1447" t="s">
        <v>4793</v>
      </c>
      <c r="M353" s="1448" t="s">
        <v>54</v>
      </c>
      <c r="N353" s="1469" t="s">
        <v>611</v>
      </c>
      <c r="O353" s="1469" t="s">
        <v>3446</v>
      </c>
      <c r="P353" s="594" t="s">
        <v>4760</v>
      </c>
      <c r="Q353" s="594">
        <v>1</v>
      </c>
    </row>
    <row r="354" spans="12:17" ht="18">
      <c r="L354" s="1447" t="s">
        <v>4793</v>
      </c>
      <c r="M354" s="1448" t="s">
        <v>54</v>
      </c>
      <c r="N354" s="1469" t="s">
        <v>55</v>
      </c>
      <c r="O354" s="1469" t="s">
        <v>3437</v>
      </c>
      <c r="P354" s="594" t="s">
        <v>4760</v>
      </c>
      <c r="Q354" s="594">
        <v>1</v>
      </c>
    </row>
    <row r="355" spans="12:17" ht="18">
      <c r="L355" s="1447" t="s">
        <v>4793</v>
      </c>
      <c r="M355" s="1448" t="s">
        <v>54</v>
      </c>
      <c r="N355" s="1469" t="s">
        <v>611</v>
      </c>
      <c r="O355" s="1469" t="s">
        <v>3437</v>
      </c>
      <c r="P355" s="594" t="s">
        <v>4760</v>
      </c>
      <c r="Q355" s="594">
        <v>2</v>
      </c>
    </row>
  </sheetData>
  <mergeCells count="2">
    <mergeCell ref="B1:C1"/>
    <mergeCell ref="D1:E1"/>
  </mergeCells>
  <phoneticPr fontId="135"/>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J35"/>
  <sheetViews>
    <sheetView workbookViewId="0"/>
  </sheetViews>
  <sheetFormatPr defaultColWidth="12.6328125" defaultRowHeight="15" customHeight="1"/>
  <cols>
    <col min="1" max="1" width="6.36328125" customWidth="1"/>
    <col min="2" max="2" width="19" customWidth="1"/>
    <col min="3" max="3" width="29.36328125" customWidth="1"/>
    <col min="5" max="5" width="23" customWidth="1"/>
    <col min="7" max="7" width="38.6328125" customWidth="1"/>
    <col min="9" max="9" width="7.7265625" customWidth="1"/>
  </cols>
  <sheetData>
    <row r="1" spans="1:10" ht="15" customHeight="1">
      <c r="A1" s="1375"/>
      <c r="B1" s="1375"/>
      <c r="C1" s="1375"/>
      <c r="D1" s="1375"/>
      <c r="E1" s="1375"/>
      <c r="F1" s="1375"/>
      <c r="G1" s="1708" t="s">
        <v>4801</v>
      </c>
      <c r="H1" s="1602"/>
      <c r="I1" s="1375"/>
      <c r="J1" s="1375"/>
    </row>
    <row r="2" spans="1:10" ht="15" customHeight="1">
      <c r="A2" s="1375"/>
      <c r="B2" s="1375"/>
      <c r="C2" s="1709" t="s">
        <v>4802</v>
      </c>
      <c r="D2" s="1602"/>
      <c r="E2" s="1602"/>
      <c r="F2" s="1602"/>
      <c r="G2" s="1375"/>
      <c r="H2" s="1375"/>
      <c r="I2" s="1375"/>
      <c r="J2" s="1375" t="s">
        <v>4803</v>
      </c>
    </row>
    <row r="3" spans="1:10" ht="15" customHeight="1">
      <c r="A3" s="1375"/>
      <c r="B3" s="1375"/>
      <c r="C3" s="1375"/>
      <c r="D3" s="1375"/>
      <c r="E3" s="1375"/>
      <c r="F3" s="1375"/>
      <c r="G3" s="1375"/>
      <c r="H3" s="1375"/>
      <c r="I3" s="1375"/>
      <c r="J3" s="1375" t="s">
        <v>4804</v>
      </c>
    </row>
    <row r="4" spans="1:10" ht="15" customHeight="1">
      <c r="A4" s="1478"/>
      <c r="B4" s="1699" t="s">
        <v>4805</v>
      </c>
      <c r="C4" s="1710" t="s">
        <v>4806</v>
      </c>
      <c r="D4" s="1610"/>
      <c r="E4" s="1710" t="s">
        <v>4807</v>
      </c>
      <c r="F4" s="1610"/>
      <c r="G4" s="1710" t="s">
        <v>4808</v>
      </c>
      <c r="H4" s="1610"/>
      <c r="I4" s="1375"/>
      <c r="J4" s="1375"/>
    </row>
    <row r="5" spans="1:10" ht="15" customHeight="1">
      <c r="A5" s="1479"/>
      <c r="B5" s="1700"/>
      <c r="C5" s="1480" t="s">
        <v>4809</v>
      </c>
      <c r="D5" s="1480" t="s">
        <v>4810</v>
      </c>
      <c r="E5" s="1480" t="s">
        <v>4811</v>
      </c>
      <c r="F5" s="1480" t="s">
        <v>4810</v>
      </c>
      <c r="G5" s="1480" t="s">
        <v>4812</v>
      </c>
      <c r="H5" s="1480" t="s">
        <v>4810</v>
      </c>
      <c r="I5" s="1375"/>
      <c r="J5" s="1375"/>
    </row>
    <row r="6" spans="1:10" ht="15" customHeight="1">
      <c r="A6" s="1702" t="s">
        <v>2228</v>
      </c>
      <c r="B6" s="1712" t="s">
        <v>4813</v>
      </c>
      <c r="C6" s="1481" t="s">
        <v>4814</v>
      </c>
      <c r="D6" s="1481" t="s">
        <v>4815</v>
      </c>
      <c r="E6" s="1482"/>
      <c r="F6" s="1482"/>
      <c r="G6" s="1482"/>
      <c r="H6" s="1482"/>
      <c r="I6" s="1375"/>
      <c r="J6" s="1375"/>
    </row>
    <row r="7" spans="1:10" ht="15" customHeight="1">
      <c r="A7" s="1703"/>
      <c r="B7" s="1700"/>
      <c r="C7" s="1483"/>
      <c r="D7" s="1483"/>
      <c r="E7" s="1483"/>
      <c r="F7" s="1483"/>
      <c r="G7" s="1483"/>
      <c r="H7" s="1483"/>
      <c r="I7" s="1375"/>
      <c r="J7" s="1375"/>
    </row>
    <row r="8" spans="1:10" ht="15" customHeight="1">
      <c r="A8" s="1703"/>
      <c r="B8" s="1704" t="s">
        <v>4816</v>
      </c>
      <c r="C8" s="1484" t="s">
        <v>4817</v>
      </c>
      <c r="D8" s="1484" t="s">
        <v>4818</v>
      </c>
      <c r="E8" s="1485" t="s">
        <v>4819</v>
      </c>
      <c r="F8" s="1486" t="s">
        <v>4820</v>
      </c>
      <c r="G8" s="1484" t="s">
        <v>4821</v>
      </c>
      <c r="H8" s="1487" t="s">
        <v>4822</v>
      </c>
      <c r="I8" s="1488"/>
      <c r="J8" s="1375"/>
    </row>
    <row r="9" spans="1:10" ht="15" customHeight="1">
      <c r="A9" s="1703"/>
      <c r="B9" s="1700"/>
      <c r="C9" s="1489"/>
      <c r="D9" s="1489"/>
      <c r="E9" s="1490" t="s">
        <v>4823</v>
      </c>
      <c r="F9" s="1491"/>
      <c r="G9" s="1489"/>
      <c r="H9" s="1489"/>
      <c r="I9" s="1375"/>
      <c r="J9" s="1375"/>
    </row>
    <row r="10" spans="1:10" ht="15" customHeight="1">
      <c r="A10" s="1703"/>
      <c r="B10" s="1704" t="s">
        <v>4824</v>
      </c>
      <c r="C10" s="1484" t="s">
        <v>4817</v>
      </c>
      <c r="D10" s="1484" t="s">
        <v>4818</v>
      </c>
      <c r="E10" s="1492"/>
      <c r="F10" s="1492"/>
      <c r="G10" s="1493" t="s">
        <v>4825</v>
      </c>
      <c r="H10" s="1493" t="s">
        <v>4826</v>
      </c>
      <c r="I10" s="1375"/>
      <c r="J10" s="1375"/>
    </row>
    <row r="11" spans="1:10" ht="15" customHeight="1">
      <c r="A11" s="1703"/>
      <c r="B11" s="1700"/>
      <c r="C11" s="1489"/>
      <c r="D11" s="1489"/>
      <c r="E11" s="1480"/>
      <c r="F11" s="1480"/>
      <c r="G11" s="1480"/>
      <c r="H11" s="1480"/>
      <c r="I11" s="1375"/>
      <c r="J11" s="1375"/>
    </row>
    <row r="12" spans="1:10" ht="15" customHeight="1">
      <c r="A12" s="1703"/>
      <c r="B12" s="1712" t="s">
        <v>4827</v>
      </c>
      <c r="C12" s="1482"/>
      <c r="D12" s="1482"/>
      <c r="E12" s="1481" t="s">
        <v>4828</v>
      </c>
      <c r="F12" s="1481" t="s">
        <v>4829</v>
      </c>
      <c r="G12" s="1482"/>
      <c r="H12" s="1482"/>
      <c r="I12" s="1375"/>
      <c r="J12" s="1375"/>
    </row>
    <row r="13" spans="1:10" ht="15" customHeight="1">
      <c r="A13" s="1703"/>
      <c r="B13" s="1700"/>
      <c r="C13" s="1483"/>
      <c r="D13" s="1483"/>
      <c r="E13" s="1483"/>
      <c r="F13" s="1483"/>
      <c r="G13" s="1483"/>
      <c r="H13" s="1483"/>
      <c r="I13" s="1375"/>
      <c r="J13" s="1375"/>
    </row>
    <row r="14" spans="1:10" ht="15" customHeight="1">
      <c r="A14" s="1703"/>
      <c r="B14" s="1713" t="s">
        <v>4830</v>
      </c>
      <c r="C14" s="1711"/>
      <c r="D14" s="1711"/>
      <c r="E14" s="1711"/>
      <c r="F14" s="1711"/>
      <c r="G14" s="1494" t="s">
        <v>4831</v>
      </c>
      <c r="H14" s="1481" t="s">
        <v>4832</v>
      </c>
      <c r="I14" s="1375"/>
      <c r="J14" s="1375"/>
    </row>
    <row r="15" spans="1:10" ht="15" customHeight="1">
      <c r="A15" s="1703"/>
      <c r="B15" s="1700"/>
      <c r="C15" s="1700"/>
      <c r="D15" s="1700"/>
      <c r="E15" s="1700"/>
      <c r="F15" s="1700"/>
      <c r="G15" s="1495"/>
      <c r="H15" s="1495"/>
      <c r="I15" s="1375"/>
      <c r="J15" s="1375"/>
    </row>
    <row r="16" spans="1:10" ht="15" customHeight="1">
      <c r="A16" s="1703"/>
      <c r="B16" s="1701" t="s">
        <v>4833</v>
      </c>
      <c r="C16" s="1714"/>
      <c r="D16" s="1714"/>
      <c r="E16" s="1714"/>
      <c r="F16" s="1714"/>
      <c r="G16" s="1484" t="s">
        <v>4834</v>
      </c>
      <c r="H16" s="1484" t="s">
        <v>4835</v>
      </c>
      <c r="I16" s="1375"/>
      <c r="J16" s="1375"/>
    </row>
    <row r="17" spans="1:10" ht="15" customHeight="1">
      <c r="A17" s="1703"/>
      <c r="B17" s="1700"/>
      <c r="C17" s="1700"/>
      <c r="D17" s="1700"/>
      <c r="E17" s="1700"/>
      <c r="F17" s="1700"/>
      <c r="G17" s="1489"/>
      <c r="H17" s="1489"/>
      <c r="I17" s="1375"/>
      <c r="J17" s="1375"/>
    </row>
    <row r="18" spans="1:10" ht="15" customHeight="1">
      <c r="A18" s="1703"/>
      <c r="B18" s="1715" t="s">
        <v>4836</v>
      </c>
      <c r="C18" s="1705"/>
      <c r="D18" s="1705"/>
      <c r="E18" s="1705"/>
      <c r="F18" s="1705"/>
      <c r="G18" s="1496" t="s">
        <v>4834</v>
      </c>
      <c r="H18" s="1496" t="s">
        <v>4835</v>
      </c>
      <c r="I18" s="1375"/>
      <c r="J18" s="1375"/>
    </row>
    <row r="19" spans="1:10" ht="15" customHeight="1">
      <c r="A19" s="1700"/>
      <c r="B19" s="1700"/>
      <c r="C19" s="1700"/>
      <c r="D19" s="1700"/>
      <c r="E19" s="1700"/>
      <c r="F19" s="1700"/>
      <c r="G19" s="1497"/>
      <c r="H19" s="1497"/>
      <c r="I19" s="1375"/>
      <c r="J19" s="1375"/>
    </row>
    <row r="20" spans="1:10" ht="15" customHeight="1">
      <c r="A20" s="1702" t="s">
        <v>4837</v>
      </c>
      <c r="B20" s="1701" t="s">
        <v>4838</v>
      </c>
      <c r="C20" s="1481" t="s">
        <v>4814</v>
      </c>
      <c r="D20" s="1481" t="s">
        <v>4815</v>
      </c>
      <c r="E20" s="1481" t="s">
        <v>4839</v>
      </c>
      <c r="F20" s="1481" t="s">
        <v>4840</v>
      </c>
      <c r="G20" s="1484" t="s">
        <v>4821</v>
      </c>
      <c r="H20" s="1487" t="s">
        <v>4822</v>
      </c>
      <c r="I20" s="1375"/>
      <c r="J20" s="1375"/>
    </row>
    <row r="21" spans="1:10" ht="15" customHeight="1">
      <c r="A21" s="1703"/>
      <c r="B21" s="1700"/>
      <c r="C21" s="1483"/>
      <c r="D21" s="1483"/>
      <c r="E21" s="1483"/>
      <c r="F21" s="1483"/>
      <c r="G21" s="1489"/>
      <c r="H21" s="1489"/>
      <c r="I21" s="1375"/>
      <c r="J21" s="1375"/>
    </row>
    <row r="22" spans="1:10" ht="15" customHeight="1">
      <c r="A22" s="1703"/>
      <c r="B22" s="1701" t="s">
        <v>4841</v>
      </c>
      <c r="C22" s="1492"/>
      <c r="D22" s="1492"/>
      <c r="E22" s="1492"/>
      <c r="F22" s="1492"/>
      <c r="G22" s="1492"/>
      <c r="H22" s="1492"/>
      <c r="I22" s="1375"/>
      <c r="J22" s="1375"/>
    </row>
    <row r="23" spans="1:10" ht="15" customHeight="1">
      <c r="A23" s="1703"/>
      <c r="B23" s="1700"/>
      <c r="C23" s="1480"/>
      <c r="D23" s="1480"/>
      <c r="E23" s="1480"/>
      <c r="F23" s="1480"/>
      <c r="G23" s="1480"/>
      <c r="H23" s="1480"/>
      <c r="I23" s="1375"/>
      <c r="J23" s="1375"/>
    </row>
    <row r="24" spans="1:10" ht="15" customHeight="1">
      <c r="A24" s="1703"/>
      <c r="B24" s="1704" t="s">
        <v>4842</v>
      </c>
      <c r="C24" s="1484" t="s">
        <v>4817</v>
      </c>
      <c r="D24" s="1484" t="s">
        <v>4818</v>
      </c>
      <c r="E24" s="1485" t="s">
        <v>4843</v>
      </c>
      <c r="F24" s="1485" t="s">
        <v>4844</v>
      </c>
      <c r="G24" s="1484" t="s">
        <v>4834</v>
      </c>
      <c r="H24" s="1484" t="s">
        <v>4835</v>
      </c>
      <c r="I24" s="1375"/>
      <c r="J24" s="1375"/>
    </row>
    <row r="25" spans="1:10" ht="15" customHeight="1">
      <c r="A25" s="1700"/>
      <c r="B25" s="1700"/>
      <c r="C25" s="1489"/>
      <c r="D25" s="1489"/>
      <c r="E25" s="1490"/>
      <c r="F25" s="1491"/>
      <c r="G25" s="1489"/>
      <c r="H25" s="1489"/>
      <c r="I25" s="1375"/>
      <c r="J25" s="1375"/>
    </row>
    <row r="26" spans="1:10" ht="15" customHeight="1">
      <c r="A26" s="1375"/>
      <c r="B26" s="1375"/>
      <c r="C26" s="1375"/>
      <c r="D26" s="1375"/>
      <c r="E26" s="1375"/>
      <c r="F26" s="1706" t="s">
        <v>4845</v>
      </c>
      <c r="G26" s="1606"/>
      <c r="H26" s="1606"/>
      <c r="I26" s="1375"/>
      <c r="J26" s="1375"/>
    </row>
    <row r="27" spans="1:10" ht="15" customHeight="1">
      <c r="A27" s="1375"/>
      <c r="B27" s="1707" t="s">
        <v>4846</v>
      </c>
      <c r="C27" s="1602"/>
      <c r="D27" s="1602"/>
      <c r="E27" s="1375"/>
      <c r="F27" s="1375"/>
      <c r="G27" s="1375"/>
      <c r="H27" s="1375"/>
      <c r="I27" s="1375"/>
      <c r="J27" s="1375" t="s">
        <v>4847</v>
      </c>
    </row>
    <row r="28" spans="1:10" ht="15" customHeight="1">
      <c r="A28" s="1375"/>
      <c r="B28" s="1708" t="s">
        <v>4848</v>
      </c>
      <c r="C28" s="1602"/>
      <c r="D28" s="1602"/>
      <c r="E28" s="1602"/>
      <c r="F28" s="1602"/>
      <c r="G28" s="1602"/>
      <c r="H28" s="1375"/>
      <c r="I28" s="1375"/>
      <c r="J28" s="1375" t="s">
        <v>4849</v>
      </c>
    </row>
    <row r="29" spans="1:10" ht="15" customHeight="1">
      <c r="A29" s="1375"/>
      <c r="B29" s="1375"/>
      <c r="C29" s="1375"/>
      <c r="D29" s="1375"/>
      <c r="E29" s="1375"/>
      <c r="F29" s="1375"/>
      <c r="G29" s="1375"/>
      <c r="H29" s="1375"/>
      <c r="I29" s="1375"/>
      <c r="J29" s="1375" t="s">
        <v>4850</v>
      </c>
    </row>
    <row r="30" spans="1:10" ht="15" customHeight="1">
      <c r="A30" s="1375"/>
      <c r="B30" s="1498" t="s">
        <v>4851</v>
      </c>
      <c r="C30" s="1375"/>
      <c r="D30" s="1375"/>
      <c r="E30" s="1375" t="s">
        <v>4852</v>
      </c>
      <c r="F30" s="1375"/>
      <c r="G30" s="1375"/>
      <c r="H30" s="1375"/>
      <c r="I30" s="1375"/>
      <c r="J30" s="1375"/>
    </row>
    <row r="31" spans="1:10" ht="15" customHeight="1">
      <c r="A31" s="1375"/>
      <c r="B31" s="1708" t="s">
        <v>4853</v>
      </c>
      <c r="C31" s="1602"/>
      <c r="D31" s="1602"/>
      <c r="E31" s="1375" t="s">
        <v>4854</v>
      </c>
      <c r="F31" s="1375"/>
      <c r="G31" s="1375"/>
      <c r="H31" s="1375"/>
      <c r="I31" s="1375"/>
      <c r="J31" s="1375" t="s">
        <v>4855</v>
      </c>
    </row>
    <row r="32" spans="1:10" ht="18">
      <c r="A32" s="1375"/>
      <c r="B32" s="1375"/>
      <c r="C32" s="1375"/>
      <c r="D32" s="1375"/>
      <c r="E32" s="594" t="s">
        <v>4856</v>
      </c>
      <c r="F32" s="1375"/>
      <c r="G32" s="1375"/>
      <c r="H32" s="1375"/>
      <c r="I32" s="1375"/>
      <c r="J32" s="1375"/>
    </row>
    <row r="33" spans="1:9" ht="18">
      <c r="A33" s="1375"/>
      <c r="B33" s="1375"/>
      <c r="C33" s="1375"/>
      <c r="D33" s="1375"/>
      <c r="E33" s="594" t="s">
        <v>4857</v>
      </c>
      <c r="F33" s="1375"/>
      <c r="G33" s="1375"/>
      <c r="H33" s="1375"/>
      <c r="I33" s="1375"/>
    </row>
    <row r="34" spans="1:9" ht="18">
      <c r="A34" s="1375"/>
      <c r="B34" s="1375"/>
      <c r="C34" s="1375"/>
      <c r="D34" s="1375"/>
      <c r="E34" s="594" t="s">
        <v>4858</v>
      </c>
      <c r="F34" s="1375"/>
      <c r="G34" s="1375"/>
      <c r="H34" s="1375"/>
      <c r="I34" s="1375"/>
    </row>
    <row r="35" spans="1:9" ht="14.5">
      <c r="E35" s="594" t="s">
        <v>4859</v>
      </c>
    </row>
  </sheetData>
  <mergeCells count="34">
    <mergeCell ref="C16:C17"/>
    <mergeCell ref="D16:D17"/>
    <mergeCell ref="E16:E17"/>
    <mergeCell ref="F16:F17"/>
    <mergeCell ref="B18:B19"/>
    <mergeCell ref="C18:C19"/>
    <mergeCell ref="B31:D31"/>
    <mergeCell ref="G1:H1"/>
    <mergeCell ref="C2:F2"/>
    <mergeCell ref="C4:D4"/>
    <mergeCell ref="E4:F4"/>
    <mergeCell ref="G4:H4"/>
    <mergeCell ref="F14:F15"/>
    <mergeCell ref="F18:F19"/>
    <mergeCell ref="B6:B7"/>
    <mergeCell ref="B8:B9"/>
    <mergeCell ref="B10:B11"/>
    <mergeCell ref="B12:B13"/>
    <mergeCell ref="B14:B15"/>
    <mergeCell ref="C14:C15"/>
    <mergeCell ref="D14:D15"/>
    <mergeCell ref="E14:E15"/>
    <mergeCell ref="D18:D19"/>
    <mergeCell ref="E18:E19"/>
    <mergeCell ref="F26:H26"/>
    <mergeCell ref="B27:D27"/>
    <mergeCell ref="B28:G28"/>
    <mergeCell ref="B4:B5"/>
    <mergeCell ref="B16:B17"/>
    <mergeCell ref="A20:A25"/>
    <mergeCell ref="B20:B21"/>
    <mergeCell ref="B22:B23"/>
    <mergeCell ref="B24:B25"/>
    <mergeCell ref="A6:A19"/>
  </mergeCells>
  <phoneticPr fontId="135"/>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L1004"/>
  <sheetViews>
    <sheetView workbookViewId="0"/>
  </sheetViews>
  <sheetFormatPr defaultColWidth="12.6328125" defaultRowHeight="15" customHeight="1"/>
  <cols>
    <col min="3" max="3" width="41.7265625" customWidth="1"/>
    <col min="7" max="7" width="17.08984375" customWidth="1"/>
    <col min="8" max="8" width="27.08984375" customWidth="1"/>
  </cols>
  <sheetData>
    <row r="1" spans="1:11">
      <c r="A1" s="594" t="s">
        <v>4860</v>
      </c>
      <c r="B1" s="594" t="s">
        <v>4799</v>
      </c>
      <c r="C1" s="594" t="s">
        <v>4861</v>
      </c>
      <c r="D1" s="594" t="s">
        <v>3132</v>
      </c>
      <c r="E1" s="594" t="s">
        <v>4862</v>
      </c>
      <c r="F1" s="594" t="s">
        <v>4863</v>
      </c>
      <c r="G1" s="594" t="s">
        <v>4864</v>
      </c>
      <c r="H1" s="594" t="s">
        <v>4865</v>
      </c>
      <c r="I1" s="594" t="s">
        <v>4866</v>
      </c>
      <c r="J1" s="594" t="s">
        <v>4867</v>
      </c>
      <c r="K1" s="594" t="s">
        <v>4868</v>
      </c>
    </row>
    <row r="2" spans="1:11">
      <c r="A2" s="1499">
        <v>45552</v>
      </c>
      <c r="B2" s="594" t="s">
        <v>3577</v>
      </c>
      <c r="C2" s="594" t="s">
        <v>2596</v>
      </c>
      <c r="D2" s="594" t="s">
        <v>4438</v>
      </c>
      <c r="E2" s="594" t="s">
        <v>4869</v>
      </c>
      <c r="F2" s="594"/>
      <c r="G2" s="594"/>
      <c r="H2" s="594" t="s">
        <v>4870</v>
      </c>
      <c r="I2" s="1261">
        <v>4378</v>
      </c>
      <c r="K2" s="600"/>
    </row>
    <row r="3" spans="1:11">
      <c r="A3" s="1499">
        <v>45575</v>
      </c>
      <c r="B3" s="594" t="s">
        <v>3577</v>
      </c>
      <c r="C3" s="594" t="s">
        <v>4871</v>
      </c>
      <c r="D3" s="594" t="s">
        <v>4438</v>
      </c>
      <c r="E3" s="594" t="s">
        <v>4872</v>
      </c>
      <c r="F3" s="594" t="s">
        <v>4873</v>
      </c>
      <c r="G3" s="594" t="s">
        <v>4874</v>
      </c>
      <c r="H3" s="594" t="s">
        <v>4875</v>
      </c>
      <c r="J3" s="594" t="s">
        <v>3414</v>
      </c>
      <c r="K3" s="1499">
        <v>47401</v>
      </c>
    </row>
    <row r="4" spans="1:11">
      <c r="A4" s="1499">
        <v>45575</v>
      </c>
      <c r="B4" s="594" t="s">
        <v>3577</v>
      </c>
      <c r="C4" s="594" t="s">
        <v>4871</v>
      </c>
      <c r="D4" s="594" t="s">
        <v>4438</v>
      </c>
      <c r="E4" s="594" t="s">
        <v>4876</v>
      </c>
      <c r="F4" s="594" t="s">
        <v>4877</v>
      </c>
      <c r="G4" s="594" t="s">
        <v>4878</v>
      </c>
      <c r="H4" s="594" t="s">
        <v>4879</v>
      </c>
      <c r="J4" s="594" t="s">
        <v>4880</v>
      </c>
      <c r="K4" s="1499">
        <v>45940</v>
      </c>
    </row>
    <row r="5" spans="1:11">
      <c r="A5" s="1499">
        <v>45575</v>
      </c>
      <c r="B5" s="594" t="s">
        <v>3577</v>
      </c>
      <c r="C5" s="594" t="s">
        <v>4871</v>
      </c>
      <c r="D5" s="594" t="s">
        <v>4438</v>
      </c>
      <c r="E5" s="594" t="s">
        <v>4881</v>
      </c>
      <c r="F5" s="594" t="s">
        <v>4882</v>
      </c>
      <c r="G5" s="594"/>
      <c r="H5" s="594" t="s">
        <v>4879</v>
      </c>
      <c r="J5" s="594" t="s">
        <v>4880</v>
      </c>
      <c r="K5" s="1499">
        <v>45940</v>
      </c>
    </row>
    <row r="6" spans="1:11">
      <c r="A6" s="1499">
        <v>45575</v>
      </c>
      <c r="B6" s="594" t="s">
        <v>3577</v>
      </c>
      <c r="C6" s="594" t="s">
        <v>4871</v>
      </c>
      <c r="D6" s="594" t="s">
        <v>4438</v>
      </c>
      <c r="E6" s="594" t="s">
        <v>4883</v>
      </c>
      <c r="F6" s="594" t="s">
        <v>4884</v>
      </c>
      <c r="G6" s="594" t="s">
        <v>4885</v>
      </c>
      <c r="H6" s="594" t="s">
        <v>4879</v>
      </c>
      <c r="J6" s="594" t="s">
        <v>4880</v>
      </c>
      <c r="K6" s="1499">
        <v>45940</v>
      </c>
    </row>
    <row r="7" spans="1:11">
      <c r="A7" s="1499">
        <v>45575</v>
      </c>
      <c r="B7" s="594" t="s">
        <v>3577</v>
      </c>
      <c r="C7" s="594" t="s">
        <v>4871</v>
      </c>
      <c r="D7" s="594" t="s">
        <v>4438</v>
      </c>
      <c r="E7" s="594" t="s">
        <v>4886</v>
      </c>
      <c r="F7" s="594" t="s">
        <v>4884</v>
      </c>
      <c r="G7" s="594" t="s">
        <v>4887</v>
      </c>
      <c r="H7" s="594" t="s">
        <v>4879</v>
      </c>
      <c r="J7" s="594" t="s">
        <v>4880</v>
      </c>
      <c r="K7" s="1499">
        <v>45940</v>
      </c>
    </row>
    <row r="8" spans="1:11">
      <c r="A8" s="1499">
        <v>45555</v>
      </c>
      <c r="B8" s="594" t="s">
        <v>54</v>
      </c>
      <c r="C8" s="594" t="s">
        <v>4888</v>
      </c>
      <c r="D8" s="594" t="s">
        <v>4438</v>
      </c>
      <c r="E8" s="594" t="s">
        <v>4889</v>
      </c>
      <c r="F8" s="594" t="s">
        <v>4890</v>
      </c>
      <c r="G8" s="594" t="s">
        <v>4891</v>
      </c>
      <c r="H8" s="594" t="s">
        <v>4879</v>
      </c>
      <c r="J8" s="594" t="s">
        <v>4880</v>
      </c>
      <c r="K8" s="1499">
        <v>45920</v>
      </c>
    </row>
    <row r="9" spans="1:11">
      <c r="A9" s="1499">
        <v>45555</v>
      </c>
      <c r="B9" s="594" t="s">
        <v>54</v>
      </c>
      <c r="C9" s="594" t="s">
        <v>4888</v>
      </c>
      <c r="D9" s="594" t="s">
        <v>4438</v>
      </c>
      <c r="E9" s="594" t="s">
        <v>4889</v>
      </c>
      <c r="F9" s="594" t="s">
        <v>4890</v>
      </c>
      <c r="G9" s="594" t="s">
        <v>4891</v>
      </c>
      <c r="H9" s="594" t="s">
        <v>4879</v>
      </c>
      <c r="J9" s="594" t="s">
        <v>4880</v>
      </c>
      <c r="K9" s="1499">
        <v>45920</v>
      </c>
    </row>
    <row r="10" spans="1:11">
      <c r="A10" s="1499">
        <v>45555</v>
      </c>
      <c r="B10" s="594" t="s">
        <v>54</v>
      </c>
      <c r="C10" s="594" t="s">
        <v>4888</v>
      </c>
      <c r="D10" s="594" t="s">
        <v>4438</v>
      </c>
      <c r="E10" s="594" t="s">
        <v>4883</v>
      </c>
      <c r="F10" s="594" t="s">
        <v>4884</v>
      </c>
      <c r="G10" s="594" t="s">
        <v>4885</v>
      </c>
      <c r="H10" s="594" t="s">
        <v>4879</v>
      </c>
      <c r="J10" s="594" t="s">
        <v>4880</v>
      </c>
      <c r="K10" s="1499">
        <v>45920</v>
      </c>
    </row>
    <row r="11" spans="1:11">
      <c r="A11" s="1499">
        <v>45555</v>
      </c>
      <c r="B11" s="594" t="s">
        <v>54</v>
      </c>
      <c r="C11" s="594" t="s">
        <v>4888</v>
      </c>
      <c r="D11" s="594" t="s">
        <v>4438</v>
      </c>
      <c r="E11" s="594" t="s">
        <v>4883</v>
      </c>
      <c r="F11" s="594" t="s">
        <v>4884</v>
      </c>
      <c r="G11" s="594" t="s">
        <v>4885</v>
      </c>
      <c r="H11" s="594" t="s">
        <v>4879</v>
      </c>
      <c r="J11" s="594" t="s">
        <v>4880</v>
      </c>
      <c r="K11" s="1499">
        <v>45920</v>
      </c>
    </row>
    <row r="12" spans="1:11">
      <c r="A12" s="1499">
        <v>45555</v>
      </c>
      <c r="B12" s="594" t="s">
        <v>54</v>
      </c>
      <c r="C12" s="594" t="s">
        <v>4888</v>
      </c>
      <c r="D12" s="594" t="s">
        <v>4438</v>
      </c>
      <c r="E12" s="594" t="s">
        <v>4883</v>
      </c>
      <c r="F12" s="594" t="s">
        <v>4884</v>
      </c>
      <c r="G12" s="594" t="s">
        <v>4885</v>
      </c>
      <c r="H12" s="594" t="s">
        <v>4879</v>
      </c>
      <c r="J12" s="594" t="s">
        <v>4880</v>
      </c>
      <c r="K12" s="1499">
        <v>45920</v>
      </c>
    </row>
    <row r="13" spans="1:11">
      <c r="A13" s="1499">
        <v>45555</v>
      </c>
      <c r="B13" s="594" t="s">
        <v>54</v>
      </c>
      <c r="C13" s="594" t="s">
        <v>4888</v>
      </c>
      <c r="D13" s="594" t="s">
        <v>4438</v>
      </c>
      <c r="E13" s="594" t="s">
        <v>4886</v>
      </c>
      <c r="F13" s="594" t="s">
        <v>4884</v>
      </c>
      <c r="G13" s="594" t="s">
        <v>4887</v>
      </c>
      <c r="H13" s="594" t="s">
        <v>4879</v>
      </c>
      <c r="J13" s="594" t="s">
        <v>4880</v>
      </c>
      <c r="K13" s="1499">
        <v>45920</v>
      </c>
    </row>
    <row r="14" spans="1:11">
      <c r="A14" s="1499">
        <v>45555</v>
      </c>
      <c r="B14" s="594" t="s">
        <v>54</v>
      </c>
      <c r="C14" s="594" t="s">
        <v>4888</v>
      </c>
      <c r="D14" s="594" t="s">
        <v>4438</v>
      </c>
      <c r="E14" s="594" t="s">
        <v>4886</v>
      </c>
      <c r="F14" s="594" t="s">
        <v>4884</v>
      </c>
      <c r="G14" s="594" t="s">
        <v>4887</v>
      </c>
      <c r="H14" s="594" t="s">
        <v>4879</v>
      </c>
      <c r="J14" s="594" t="s">
        <v>4880</v>
      </c>
      <c r="K14" s="1499">
        <v>45920</v>
      </c>
    </row>
    <row r="15" spans="1:11">
      <c r="A15" s="1499">
        <v>45555</v>
      </c>
      <c r="B15" s="594" t="s">
        <v>54</v>
      </c>
      <c r="C15" s="594" t="s">
        <v>4888</v>
      </c>
      <c r="D15" s="594" t="s">
        <v>4438</v>
      </c>
      <c r="E15" s="594" t="s">
        <v>4886</v>
      </c>
      <c r="F15" s="594" t="s">
        <v>4884</v>
      </c>
      <c r="G15" s="594" t="s">
        <v>4887</v>
      </c>
      <c r="H15" s="594" t="s">
        <v>4879</v>
      </c>
      <c r="J15" s="594" t="s">
        <v>4880</v>
      </c>
      <c r="K15" s="1499">
        <v>45920</v>
      </c>
    </row>
    <row r="16" spans="1:11">
      <c r="A16" s="1499">
        <v>45555</v>
      </c>
      <c r="B16" s="594" t="s">
        <v>54</v>
      </c>
      <c r="C16" s="594" t="s">
        <v>4888</v>
      </c>
      <c r="D16" s="594" t="s">
        <v>4438</v>
      </c>
      <c r="E16" s="594" t="s">
        <v>4881</v>
      </c>
      <c r="F16" s="594" t="s">
        <v>4882</v>
      </c>
      <c r="G16" s="594"/>
      <c r="H16" s="594" t="s">
        <v>4879</v>
      </c>
      <c r="J16" s="594" t="s">
        <v>4880</v>
      </c>
      <c r="K16" s="1499">
        <v>45920</v>
      </c>
    </row>
    <row r="17" spans="1:11">
      <c r="A17" s="1499">
        <v>45555</v>
      </c>
      <c r="B17" s="594" t="s">
        <v>54</v>
      </c>
      <c r="C17" s="594" t="s">
        <v>4888</v>
      </c>
      <c r="D17" s="594" t="s">
        <v>4438</v>
      </c>
      <c r="E17" s="594" t="s">
        <v>4881</v>
      </c>
      <c r="F17" s="594" t="s">
        <v>4882</v>
      </c>
      <c r="G17" s="594"/>
      <c r="H17" s="594" t="s">
        <v>4879</v>
      </c>
      <c r="J17" s="594" t="s">
        <v>4880</v>
      </c>
      <c r="K17" s="1499">
        <v>45920</v>
      </c>
    </row>
    <row r="18" spans="1:11">
      <c r="A18" s="1499">
        <v>45555</v>
      </c>
      <c r="B18" s="594" t="s">
        <v>54</v>
      </c>
      <c r="C18" s="594" t="s">
        <v>4888</v>
      </c>
      <c r="D18" s="594" t="s">
        <v>4438</v>
      </c>
      <c r="E18" s="594" t="s">
        <v>4876</v>
      </c>
      <c r="F18" s="594" t="s">
        <v>4877</v>
      </c>
      <c r="G18" s="594" t="s">
        <v>4878</v>
      </c>
      <c r="H18" s="594" t="s">
        <v>4879</v>
      </c>
      <c r="J18" s="594" t="s">
        <v>4880</v>
      </c>
      <c r="K18" s="1499">
        <v>45920</v>
      </c>
    </row>
    <row r="19" spans="1:11">
      <c r="A19" s="1499">
        <v>45555</v>
      </c>
      <c r="B19" s="594" t="s">
        <v>54</v>
      </c>
      <c r="C19" s="594" t="s">
        <v>4888</v>
      </c>
      <c r="D19" s="594" t="s">
        <v>4438</v>
      </c>
      <c r="E19" s="594" t="s">
        <v>4876</v>
      </c>
      <c r="F19" s="594" t="s">
        <v>4877</v>
      </c>
      <c r="G19" s="594" t="s">
        <v>4878</v>
      </c>
      <c r="H19" s="594" t="s">
        <v>4879</v>
      </c>
      <c r="J19" s="594" t="s">
        <v>4880</v>
      </c>
      <c r="K19" s="1499">
        <v>45920</v>
      </c>
    </row>
    <row r="20" spans="1:11">
      <c r="A20" s="1499">
        <v>45555</v>
      </c>
      <c r="B20" s="594" t="s">
        <v>54</v>
      </c>
      <c r="C20" s="594" t="s">
        <v>4888</v>
      </c>
      <c r="D20" s="594" t="s">
        <v>4438</v>
      </c>
      <c r="E20" s="594" t="s">
        <v>4872</v>
      </c>
      <c r="F20" s="594" t="s">
        <v>4892</v>
      </c>
      <c r="G20" s="594" t="s">
        <v>4893</v>
      </c>
      <c r="H20" s="594" t="s">
        <v>4894</v>
      </c>
      <c r="J20" s="594" t="s">
        <v>3414</v>
      </c>
      <c r="K20" s="1499">
        <v>47391</v>
      </c>
    </row>
    <row r="21" spans="1:11">
      <c r="A21" s="1499">
        <v>45555</v>
      </c>
      <c r="B21" s="594" t="s">
        <v>54</v>
      </c>
      <c r="C21" s="594" t="s">
        <v>4888</v>
      </c>
      <c r="D21" s="594" t="s">
        <v>4438</v>
      </c>
      <c r="E21" s="907" t="s">
        <v>4872</v>
      </c>
      <c r="F21" s="907" t="s">
        <v>4892</v>
      </c>
      <c r="G21" s="594" t="s">
        <v>4893</v>
      </c>
      <c r="H21" s="594" t="s">
        <v>4894</v>
      </c>
      <c r="J21" s="594" t="s">
        <v>3414</v>
      </c>
      <c r="K21" s="1499">
        <v>47391</v>
      </c>
    </row>
    <row r="22" spans="1:11">
      <c r="A22" s="1499">
        <v>45555</v>
      </c>
      <c r="B22" s="594" t="s">
        <v>54</v>
      </c>
      <c r="C22" s="594" t="s">
        <v>4888</v>
      </c>
      <c r="D22" s="594" t="s">
        <v>4438</v>
      </c>
      <c r="E22" s="594" t="s">
        <v>4895</v>
      </c>
      <c r="F22" s="594" t="s">
        <v>4896</v>
      </c>
      <c r="G22" s="594" t="s">
        <v>4897</v>
      </c>
      <c r="H22" s="594" t="s">
        <v>4894</v>
      </c>
      <c r="J22" s="594" t="s">
        <v>3414</v>
      </c>
      <c r="K22" s="1499">
        <v>47391</v>
      </c>
    </row>
    <row r="23" spans="1:11">
      <c r="A23" s="1499">
        <v>45555</v>
      </c>
      <c r="B23" s="594" t="s">
        <v>54</v>
      </c>
      <c r="C23" s="594" t="s">
        <v>4888</v>
      </c>
      <c r="D23" s="594" t="s">
        <v>4438</v>
      </c>
      <c r="E23" s="594" t="s">
        <v>4895</v>
      </c>
      <c r="F23" s="594" t="s">
        <v>4896</v>
      </c>
      <c r="G23" s="594" t="s">
        <v>4897</v>
      </c>
      <c r="H23" s="594" t="s">
        <v>4894</v>
      </c>
      <c r="J23" s="594" t="s">
        <v>3414</v>
      </c>
      <c r="K23" s="1499">
        <v>47391</v>
      </c>
    </row>
    <row r="24" spans="1:11">
      <c r="A24" s="1499">
        <v>45596</v>
      </c>
      <c r="B24" s="594" t="s">
        <v>54</v>
      </c>
      <c r="C24" s="594" t="s">
        <v>4898</v>
      </c>
      <c r="D24" s="594" t="s">
        <v>4438</v>
      </c>
      <c r="E24" s="594" t="s">
        <v>4886</v>
      </c>
      <c r="F24" s="594" t="s">
        <v>4884</v>
      </c>
      <c r="G24" s="594" t="s">
        <v>4887</v>
      </c>
      <c r="H24" s="594" t="s">
        <v>4879</v>
      </c>
      <c r="J24" s="594" t="s">
        <v>4880</v>
      </c>
      <c r="K24" s="1499">
        <v>45961</v>
      </c>
    </row>
    <row r="25" spans="1:11">
      <c r="A25" s="1499">
        <v>45598</v>
      </c>
      <c r="B25" s="594" t="s">
        <v>54</v>
      </c>
      <c r="C25" s="594" t="s">
        <v>4899</v>
      </c>
      <c r="D25" s="594" t="s">
        <v>4438</v>
      </c>
      <c r="E25" s="594" t="s">
        <v>4881</v>
      </c>
      <c r="F25" s="594" t="s">
        <v>4882</v>
      </c>
      <c r="H25" s="594" t="s">
        <v>4879</v>
      </c>
      <c r="J25" s="594" t="s">
        <v>4880</v>
      </c>
      <c r="K25" s="1499">
        <v>45963</v>
      </c>
    </row>
    <row r="26" spans="1:11">
      <c r="A26" s="1499">
        <v>45601</v>
      </c>
      <c r="B26" s="594" t="s">
        <v>54</v>
      </c>
      <c r="C26" s="594" t="s">
        <v>4888</v>
      </c>
      <c r="D26" s="594" t="s">
        <v>4438</v>
      </c>
      <c r="E26" s="594" t="s">
        <v>4900</v>
      </c>
      <c r="H26" s="594" t="s">
        <v>4879</v>
      </c>
      <c r="J26" s="594" t="s">
        <v>4880</v>
      </c>
      <c r="K26" s="1499">
        <v>45966</v>
      </c>
    </row>
    <row r="27" spans="1:11">
      <c r="A27" s="1499">
        <v>45601</v>
      </c>
      <c r="B27" s="594" t="s">
        <v>54</v>
      </c>
      <c r="C27" s="594" t="s">
        <v>4888</v>
      </c>
      <c r="D27" s="594" t="s">
        <v>4438</v>
      </c>
      <c r="E27" s="594" t="s">
        <v>4900</v>
      </c>
      <c r="H27" s="594" t="s">
        <v>4879</v>
      </c>
      <c r="J27" s="594" t="s">
        <v>4880</v>
      </c>
      <c r="K27" s="1499">
        <v>45966</v>
      </c>
    </row>
    <row r="28" spans="1:11">
      <c r="A28" s="600"/>
      <c r="K28" s="600"/>
    </row>
    <row r="29" spans="1:11">
      <c r="A29" s="1499">
        <v>45703</v>
      </c>
      <c r="B29" s="594" t="s">
        <v>3577</v>
      </c>
      <c r="C29" s="594" t="s">
        <v>2358</v>
      </c>
      <c r="D29" s="594" t="s">
        <v>4438</v>
      </c>
      <c r="E29" s="594" t="s">
        <v>4881</v>
      </c>
      <c r="F29" s="594" t="s">
        <v>4882</v>
      </c>
      <c r="H29" s="594" t="s">
        <v>4879</v>
      </c>
      <c r="J29" s="594" t="s">
        <v>4880</v>
      </c>
      <c r="K29" s="1499">
        <v>46068</v>
      </c>
    </row>
    <row r="30" spans="1:11">
      <c r="A30" s="1499">
        <v>45703</v>
      </c>
      <c r="B30" s="594" t="s">
        <v>3577</v>
      </c>
      <c r="C30" s="594" t="s">
        <v>2358</v>
      </c>
      <c r="D30" s="594" t="s">
        <v>4438</v>
      </c>
      <c r="E30" s="594" t="s">
        <v>4883</v>
      </c>
      <c r="F30" s="594" t="s">
        <v>4884</v>
      </c>
      <c r="G30" s="594" t="s">
        <v>4885</v>
      </c>
      <c r="H30" s="594" t="s">
        <v>4879</v>
      </c>
      <c r="J30" s="594" t="s">
        <v>4880</v>
      </c>
      <c r="K30" s="1499">
        <v>46068</v>
      </c>
    </row>
    <row r="31" spans="1:11">
      <c r="A31" s="1499">
        <v>45703</v>
      </c>
      <c r="B31" s="594" t="s">
        <v>3577</v>
      </c>
      <c r="C31" s="594" t="s">
        <v>2358</v>
      </c>
      <c r="D31" s="594" t="s">
        <v>4438</v>
      </c>
      <c r="E31" s="594" t="s">
        <v>4876</v>
      </c>
      <c r="F31" s="594" t="s">
        <v>4877</v>
      </c>
      <c r="G31" s="594" t="s">
        <v>4878</v>
      </c>
      <c r="H31" s="594" t="s">
        <v>4879</v>
      </c>
      <c r="J31" s="594" t="s">
        <v>4880</v>
      </c>
      <c r="K31" s="1499">
        <v>46068</v>
      </c>
    </row>
    <row r="32" spans="1:11">
      <c r="A32" s="1379" t="s">
        <v>4901</v>
      </c>
      <c r="B32" s="594" t="s">
        <v>3577</v>
      </c>
      <c r="C32" s="594" t="s">
        <v>2358</v>
      </c>
      <c r="D32" s="594" t="s">
        <v>4438</v>
      </c>
      <c r="E32" s="594" t="s">
        <v>4902</v>
      </c>
      <c r="F32" s="594" t="s">
        <v>4903</v>
      </c>
      <c r="G32" s="594"/>
      <c r="H32" s="594"/>
      <c r="J32" s="594" t="s">
        <v>4880</v>
      </c>
      <c r="K32" s="1500"/>
    </row>
    <row r="33" spans="1:12">
      <c r="A33" s="1499">
        <v>45775</v>
      </c>
      <c r="B33" s="594" t="s">
        <v>3577</v>
      </c>
      <c r="C33" s="594" t="s">
        <v>2633</v>
      </c>
      <c r="D33" s="594" t="s">
        <v>4438</v>
      </c>
      <c r="E33" s="594" t="s">
        <v>4895</v>
      </c>
      <c r="F33" s="594" t="s">
        <v>4904</v>
      </c>
      <c r="G33" s="594" t="s">
        <v>4905</v>
      </c>
      <c r="H33" s="594" t="s">
        <v>4906</v>
      </c>
      <c r="J33" s="594" t="s">
        <v>4880</v>
      </c>
      <c r="K33" s="1499">
        <v>46140</v>
      </c>
    </row>
    <row r="34" spans="1:12">
      <c r="A34" s="1499">
        <v>45833</v>
      </c>
      <c r="B34" s="594" t="s">
        <v>3577</v>
      </c>
      <c r="C34" s="594" t="s">
        <v>2633</v>
      </c>
      <c r="D34" s="594" t="s">
        <v>4438</v>
      </c>
      <c r="E34" s="594" t="s">
        <v>4902</v>
      </c>
      <c r="F34" s="594" t="s">
        <v>4903</v>
      </c>
      <c r="G34" s="594" t="s">
        <v>4878</v>
      </c>
      <c r="H34" s="594"/>
      <c r="J34" s="594" t="s">
        <v>4880</v>
      </c>
      <c r="K34" s="1499">
        <v>46198</v>
      </c>
    </row>
    <row r="35" spans="1:12">
      <c r="A35" s="594" t="s">
        <v>4907</v>
      </c>
      <c r="B35" s="594" t="s">
        <v>3577</v>
      </c>
      <c r="C35" s="594" t="s">
        <v>2633</v>
      </c>
      <c r="D35" s="594" t="s">
        <v>4438</v>
      </c>
      <c r="E35" s="594" t="s">
        <v>4876</v>
      </c>
      <c r="F35" s="594" t="s">
        <v>4877</v>
      </c>
      <c r="G35" s="594"/>
      <c r="H35" s="594" t="s">
        <v>4879</v>
      </c>
      <c r="J35" s="594" t="s">
        <v>4880</v>
      </c>
      <c r="K35" s="594" t="s">
        <v>4908</v>
      </c>
    </row>
    <row r="36" spans="1:12">
      <c r="A36" s="594" t="s">
        <v>4907</v>
      </c>
      <c r="B36" s="594" t="s">
        <v>3577</v>
      </c>
      <c r="C36" s="594" t="s">
        <v>2633</v>
      </c>
      <c r="D36" s="594" t="s">
        <v>4438</v>
      </c>
      <c r="E36" s="594" t="s">
        <v>4883</v>
      </c>
      <c r="F36" s="594" t="s">
        <v>4884</v>
      </c>
      <c r="G36" s="594" t="s">
        <v>4885</v>
      </c>
      <c r="H36" s="594" t="s">
        <v>4879</v>
      </c>
      <c r="J36" s="594" t="s">
        <v>4880</v>
      </c>
      <c r="K36" s="594" t="s">
        <v>4908</v>
      </c>
    </row>
    <row r="37" spans="1:12">
      <c r="A37" s="594" t="s">
        <v>4907</v>
      </c>
      <c r="B37" s="594" t="s">
        <v>3577</v>
      </c>
      <c r="C37" s="594" t="s">
        <v>2633</v>
      </c>
      <c r="D37" s="594" t="s">
        <v>4438</v>
      </c>
      <c r="E37" s="594" t="s">
        <v>4886</v>
      </c>
      <c r="F37" s="594" t="s">
        <v>4884</v>
      </c>
      <c r="G37" s="594" t="s">
        <v>4909</v>
      </c>
      <c r="H37" s="594" t="s">
        <v>4879</v>
      </c>
      <c r="J37" s="594" t="s">
        <v>4880</v>
      </c>
      <c r="K37" s="594" t="s">
        <v>4908</v>
      </c>
    </row>
    <row r="38" spans="1:12">
      <c r="A38" s="594" t="s">
        <v>4907</v>
      </c>
      <c r="B38" s="594" t="s">
        <v>3577</v>
      </c>
      <c r="C38" s="594" t="s">
        <v>2633</v>
      </c>
      <c r="D38" s="594" t="s">
        <v>4438</v>
      </c>
      <c r="E38" s="594" t="s">
        <v>4881</v>
      </c>
      <c r="F38" s="594" t="s">
        <v>4882</v>
      </c>
      <c r="G38" s="594"/>
      <c r="H38" s="594" t="s">
        <v>4879</v>
      </c>
      <c r="J38" s="594" t="s">
        <v>4880</v>
      </c>
      <c r="K38" s="594" t="s">
        <v>4908</v>
      </c>
    </row>
    <row r="39" spans="1:12">
      <c r="A39" s="1499">
        <v>45960</v>
      </c>
      <c r="B39" s="594" t="s">
        <v>3577</v>
      </c>
      <c r="C39" s="594" t="s">
        <v>2358</v>
      </c>
      <c r="D39" s="594" t="s">
        <v>4438</v>
      </c>
      <c r="E39" s="594" t="s">
        <v>4910</v>
      </c>
      <c r="F39" s="594" t="s">
        <v>4911</v>
      </c>
      <c r="G39" s="594" t="s">
        <v>4912</v>
      </c>
      <c r="H39" s="594" t="s">
        <v>4913</v>
      </c>
      <c r="J39" s="594" t="s">
        <v>3414</v>
      </c>
      <c r="K39" s="1499">
        <v>47785</v>
      </c>
    </row>
    <row r="40" spans="1:12">
      <c r="A40" s="1501">
        <v>45973</v>
      </c>
      <c r="B40" s="594" t="s">
        <v>3577</v>
      </c>
      <c r="C40" s="594" t="s">
        <v>2358</v>
      </c>
      <c r="D40" s="594" t="s">
        <v>4914</v>
      </c>
      <c r="E40" s="594" t="s">
        <v>4915</v>
      </c>
      <c r="H40" s="594" t="s">
        <v>4879</v>
      </c>
      <c r="K40" s="600"/>
      <c r="L40" s="594" t="s">
        <v>4916</v>
      </c>
    </row>
    <row r="41" spans="1:12">
      <c r="A41" s="600"/>
      <c r="K41" s="600"/>
    </row>
    <row r="42" spans="1:12">
      <c r="A42" s="600"/>
      <c r="K42" s="600"/>
    </row>
    <row r="43" spans="1:12">
      <c r="A43" s="600"/>
      <c r="K43" s="600"/>
    </row>
    <row r="44" spans="1:12">
      <c r="A44" s="600"/>
      <c r="K44" s="600"/>
    </row>
    <row r="45" spans="1:12">
      <c r="A45" s="600"/>
      <c r="K45" s="600"/>
    </row>
    <row r="46" spans="1:12">
      <c r="A46" s="600"/>
      <c r="K46" s="600"/>
    </row>
    <row r="47" spans="1:12">
      <c r="A47" s="600"/>
      <c r="K47" s="600"/>
    </row>
    <row r="48" spans="1:12">
      <c r="A48" s="600"/>
      <c r="K48" s="600"/>
    </row>
    <row r="49" spans="1:11">
      <c r="A49" s="600"/>
      <c r="K49" s="600"/>
    </row>
    <row r="50" spans="1:11">
      <c r="A50" s="600"/>
      <c r="K50" s="600"/>
    </row>
    <row r="51" spans="1:11">
      <c r="A51" s="600"/>
      <c r="K51" s="600"/>
    </row>
    <row r="52" spans="1:11">
      <c r="A52" s="600"/>
      <c r="K52" s="600"/>
    </row>
    <row r="53" spans="1:11">
      <c r="A53" s="600"/>
      <c r="F53" s="594" t="s">
        <v>4917</v>
      </c>
      <c r="K53" s="600"/>
    </row>
    <row r="54" spans="1:11">
      <c r="A54" s="600"/>
      <c r="H54" s="594" t="s">
        <v>4918</v>
      </c>
      <c r="K54" s="600"/>
    </row>
    <row r="55" spans="1:11">
      <c r="A55" s="600"/>
      <c r="K55" s="600"/>
    </row>
    <row r="56" spans="1:11">
      <c r="A56" s="600"/>
      <c r="K56" s="600"/>
    </row>
    <row r="57" spans="1:11">
      <c r="A57" s="600"/>
      <c r="K57" s="600"/>
    </row>
    <row r="58" spans="1:11">
      <c r="A58" s="600"/>
      <c r="K58" s="600"/>
    </row>
    <row r="59" spans="1:11">
      <c r="A59" s="600"/>
      <c r="K59" s="600"/>
    </row>
    <row r="60" spans="1:11">
      <c r="A60" s="600"/>
      <c r="K60" s="600"/>
    </row>
    <row r="61" spans="1:11">
      <c r="A61" s="600"/>
      <c r="K61" s="600"/>
    </row>
    <row r="62" spans="1:11">
      <c r="A62" s="600"/>
      <c r="K62" s="600"/>
    </row>
    <row r="63" spans="1:11">
      <c r="A63" s="600"/>
      <c r="K63" s="600"/>
    </row>
    <row r="64" spans="1:11">
      <c r="A64" s="600"/>
      <c r="K64" s="600"/>
    </row>
    <row r="65" spans="1:11">
      <c r="A65" s="600"/>
      <c r="K65" s="600"/>
    </row>
    <row r="66" spans="1:11">
      <c r="A66" s="600"/>
      <c r="K66" s="600"/>
    </row>
    <row r="67" spans="1:11">
      <c r="A67" s="600"/>
      <c r="K67" s="600"/>
    </row>
    <row r="68" spans="1:11">
      <c r="A68" s="600"/>
      <c r="K68" s="600"/>
    </row>
    <row r="69" spans="1:11">
      <c r="A69" s="600"/>
      <c r="K69" s="600"/>
    </row>
    <row r="70" spans="1:11">
      <c r="A70" s="600"/>
      <c r="K70" s="600"/>
    </row>
    <row r="71" spans="1:11">
      <c r="A71" s="600"/>
      <c r="K71" s="600"/>
    </row>
    <row r="72" spans="1:11">
      <c r="A72" s="600"/>
      <c r="K72" s="600"/>
    </row>
    <row r="73" spans="1:11">
      <c r="A73" s="600"/>
      <c r="K73" s="600"/>
    </row>
    <row r="74" spans="1:11">
      <c r="A74" s="600"/>
      <c r="K74" s="600"/>
    </row>
    <row r="75" spans="1:11">
      <c r="A75" s="600"/>
      <c r="K75" s="600"/>
    </row>
    <row r="76" spans="1:11">
      <c r="A76" s="600"/>
      <c r="K76" s="600"/>
    </row>
    <row r="77" spans="1:11">
      <c r="A77" s="600"/>
      <c r="K77" s="600"/>
    </row>
    <row r="78" spans="1:11">
      <c r="A78" s="600"/>
      <c r="K78" s="600"/>
    </row>
    <row r="79" spans="1:11">
      <c r="A79" s="600"/>
      <c r="K79" s="600"/>
    </row>
    <row r="80" spans="1:11">
      <c r="A80" s="600"/>
      <c r="K80" s="600"/>
    </row>
    <row r="81" spans="1:11">
      <c r="A81" s="600"/>
      <c r="K81" s="600"/>
    </row>
    <row r="82" spans="1:11">
      <c r="A82" s="600"/>
      <c r="K82" s="600"/>
    </row>
    <row r="83" spans="1:11">
      <c r="A83" s="600"/>
      <c r="K83" s="600"/>
    </row>
    <row r="84" spans="1:11">
      <c r="A84" s="600"/>
      <c r="K84" s="600"/>
    </row>
    <row r="85" spans="1:11">
      <c r="A85" s="600"/>
      <c r="K85" s="600"/>
    </row>
    <row r="86" spans="1:11">
      <c r="A86" s="600"/>
      <c r="K86" s="600"/>
    </row>
    <row r="87" spans="1:11">
      <c r="A87" s="600"/>
      <c r="K87" s="600"/>
    </row>
    <row r="88" spans="1:11">
      <c r="A88" s="600"/>
      <c r="K88" s="600"/>
    </row>
    <row r="89" spans="1:11">
      <c r="A89" s="600"/>
      <c r="K89" s="600"/>
    </row>
    <row r="90" spans="1:11">
      <c r="A90" s="600"/>
      <c r="K90" s="600"/>
    </row>
    <row r="91" spans="1:11">
      <c r="A91" s="600"/>
      <c r="K91" s="600"/>
    </row>
    <row r="92" spans="1:11">
      <c r="A92" s="600"/>
      <c r="K92" s="600"/>
    </row>
    <row r="93" spans="1:11">
      <c r="A93" s="600"/>
      <c r="K93" s="600"/>
    </row>
    <row r="94" spans="1:11">
      <c r="A94" s="600"/>
      <c r="K94" s="600"/>
    </row>
    <row r="95" spans="1:11">
      <c r="A95" s="600"/>
      <c r="K95" s="600"/>
    </row>
    <row r="96" spans="1:11">
      <c r="A96" s="600"/>
      <c r="K96" s="600"/>
    </row>
    <row r="97" spans="1:11">
      <c r="A97" s="600"/>
      <c r="K97" s="600"/>
    </row>
    <row r="98" spans="1:11">
      <c r="A98" s="600"/>
      <c r="K98" s="600"/>
    </row>
    <row r="99" spans="1:11">
      <c r="A99" s="600"/>
      <c r="K99" s="600"/>
    </row>
    <row r="100" spans="1:11">
      <c r="A100" s="600"/>
      <c r="K100" s="600"/>
    </row>
    <row r="101" spans="1:11">
      <c r="A101" s="600"/>
      <c r="K101" s="600"/>
    </row>
    <row r="102" spans="1:11">
      <c r="A102" s="600"/>
      <c r="K102" s="600"/>
    </row>
    <row r="103" spans="1:11">
      <c r="A103" s="600"/>
      <c r="K103" s="600"/>
    </row>
    <row r="104" spans="1:11">
      <c r="A104" s="600"/>
      <c r="K104" s="600"/>
    </row>
    <row r="105" spans="1:11">
      <c r="A105" s="600"/>
      <c r="K105" s="600"/>
    </row>
    <row r="106" spans="1:11">
      <c r="A106" s="600"/>
      <c r="K106" s="600"/>
    </row>
    <row r="107" spans="1:11">
      <c r="A107" s="600"/>
      <c r="K107" s="600"/>
    </row>
    <row r="108" spans="1:11">
      <c r="A108" s="600"/>
      <c r="K108" s="600"/>
    </row>
    <row r="109" spans="1:11">
      <c r="A109" s="600"/>
      <c r="K109" s="600"/>
    </row>
    <row r="110" spans="1:11">
      <c r="A110" s="600"/>
      <c r="K110" s="600"/>
    </row>
    <row r="111" spans="1:11">
      <c r="A111" s="600"/>
      <c r="K111" s="600"/>
    </row>
    <row r="112" spans="1:11">
      <c r="A112" s="600"/>
      <c r="K112" s="600"/>
    </row>
    <row r="113" spans="1:11">
      <c r="A113" s="600"/>
      <c r="K113" s="600"/>
    </row>
    <row r="114" spans="1:11">
      <c r="A114" s="600"/>
      <c r="K114" s="600"/>
    </row>
    <row r="115" spans="1:11">
      <c r="A115" s="600"/>
      <c r="K115" s="600"/>
    </row>
    <row r="116" spans="1:11">
      <c r="A116" s="600"/>
      <c r="K116" s="600"/>
    </row>
    <row r="117" spans="1:11">
      <c r="A117" s="600"/>
      <c r="K117" s="600"/>
    </row>
    <row r="118" spans="1:11">
      <c r="A118" s="600"/>
      <c r="K118" s="600"/>
    </row>
    <row r="119" spans="1:11">
      <c r="A119" s="600"/>
      <c r="K119" s="600"/>
    </row>
    <row r="120" spans="1:11">
      <c r="A120" s="600"/>
      <c r="K120" s="600"/>
    </row>
    <row r="121" spans="1:11">
      <c r="A121" s="600"/>
      <c r="K121" s="600"/>
    </row>
    <row r="122" spans="1:11">
      <c r="A122" s="600"/>
      <c r="K122" s="600"/>
    </row>
    <row r="123" spans="1:11">
      <c r="A123" s="600"/>
      <c r="K123" s="600"/>
    </row>
    <row r="124" spans="1:11">
      <c r="A124" s="600"/>
      <c r="K124" s="600"/>
    </row>
    <row r="125" spans="1:11">
      <c r="A125" s="600"/>
      <c r="K125" s="600"/>
    </row>
    <row r="126" spans="1:11">
      <c r="A126" s="600"/>
      <c r="K126" s="600"/>
    </row>
    <row r="127" spans="1:11">
      <c r="A127" s="600"/>
      <c r="K127" s="600"/>
    </row>
    <row r="128" spans="1:11">
      <c r="A128" s="600"/>
      <c r="K128" s="600"/>
    </row>
    <row r="129" spans="1:11">
      <c r="A129" s="600"/>
      <c r="K129" s="600"/>
    </row>
    <row r="130" spans="1:11">
      <c r="A130" s="600"/>
      <c r="K130" s="600"/>
    </row>
    <row r="131" spans="1:11">
      <c r="A131" s="600"/>
      <c r="K131" s="600"/>
    </row>
    <row r="132" spans="1:11">
      <c r="A132" s="600"/>
      <c r="K132" s="600"/>
    </row>
    <row r="133" spans="1:11">
      <c r="A133" s="600"/>
      <c r="K133" s="600"/>
    </row>
    <row r="134" spans="1:11">
      <c r="A134" s="600"/>
      <c r="K134" s="600"/>
    </row>
    <row r="135" spans="1:11">
      <c r="A135" s="600"/>
      <c r="K135" s="600"/>
    </row>
    <row r="136" spans="1:11">
      <c r="A136" s="600"/>
      <c r="K136" s="600"/>
    </row>
    <row r="137" spans="1:11">
      <c r="A137" s="600"/>
      <c r="K137" s="600"/>
    </row>
    <row r="138" spans="1:11">
      <c r="A138" s="600"/>
      <c r="K138" s="600"/>
    </row>
    <row r="139" spans="1:11">
      <c r="A139" s="600"/>
      <c r="K139" s="600"/>
    </row>
    <row r="140" spans="1:11">
      <c r="A140" s="600"/>
      <c r="K140" s="600"/>
    </row>
    <row r="141" spans="1:11">
      <c r="A141" s="600"/>
      <c r="K141" s="600"/>
    </row>
    <row r="142" spans="1:11">
      <c r="A142" s="600"/>
      <c r="K142" s="600"/>
    </row>
    <row r="143" spans="1:11">
      <c r="A143" s="600"/>
      <c r="K143" s="600"/>
    </row>
    <row r="144" spans="1:11">
      <c r="A144" s="600"/>
      <c r="K144" s="600"/>
    </row>
    <row r="145" spans="1:11">
      <c r="A145" s="600"/>
      <c r="K145" s="600"/>
    </row>
    <row r="146" spans="1:11">
      <c r="A146" s="600"/>
      <c r="K146" s="600"/>
    </row>
    <row r="147" spans="1:11">
      <c r="A147" s="600"/>
      <c r="K147" s="600"/>
    </row>
    <row r="148" spans="1:11">
      <c r="A148" s="600"/>
      <c r="K148" s="600"/>
    </row>
    <row r="149" spans="1:11">
      <c r="A149" s="600"/>
      <c r="K149" s="600"/>
    </row>
    <row r="150" spans="1:11">
      <c r="A150" s="600"/>
      <c r="K150" s="600"/>
    </row>
    <row r="151" spans="1:11">
      <c r="A151" s="600"/>
      <c r="K151" s="600"/>
    </row>
    <row r="152" spans="1:11">
      <c r="A152" s="600"/>
      <c r="K152" s="600"/>
    </row>
    <row r="153" spans="1:11">
      <c r="A153" s="600"/>
      <c r="K153" s="600"/>
    </row>
    <row r="154" spans="1:11">
      <c r="A154" s="600"/>
      <c r="K154" s="600"/>
    </row>
    <row r="155" spans="1:11">
      <c r="A155" s="600"/>
      <c r="K155" s="600"/>
    </row>
    <row r="156" spans="1:11">
      <c r="A156" s="600"/>
      <c r="K156" s="600"/>
    </row>
    <row r="157" spans="1:11">
      <c r="A157" s="600"/>
      <c r="K157" s="600"/>
    </row>
    <row r="158" spans="1:11">
      <c r="A158" s="600"/>
      <c r="K158" s="600"/>
    </row>
    <row r="159" spans="1:11">
      <c r="A159" s="600"/>
      <c r="K159" s="600"/>
    </row>
    <row r="160" spans="1:11">
      <c r="A160" s="600"/>
      <c r="K160" s="600"/>
    </row>
    <row r="161" spans="1:11">
      <c r="A161" s="600"/>
      <c r="K161" s="600"/>
    </row>
    <row r="162" spans="1:11">
      <c r="A162" s="600"/>
      <c r="K162" s="600"/>
    </row>
    <row r="163" spans="1:11">
      <c r="A163" s="600"/>
      <c r="K163" s="600"/>
    </row>
    <row r="164" spans="1:11">
      <c r="A164" s="600"/>
      <c r="K164" s="600"/>
    </row>
    <row r="165" spans="1:11">
      <c r="A165" s="600"/>
      <c r="K165" s="600"/>
    </row>
    <row r="166" spans="1:11">
      <c r="A166" s="600"/>
      <c r="K166" s="600"/>
    </row>
    <row r="167" spans="1:11">
      <c r="A167" s="600"/>
      <c r="K167" s="600"/>
    </row>
    <row r="168" spans="1:11">
      <c r="A168" s="600"/>
      <c r="K168" s="600"/>
    </row>
    <row r="169" spans="1:11">
      <c r="A169" s="600"/>
      <c r="K169" s="600"/>
    </row>
    <row r="170" spans="1:11">
      <c r="A170" s="600"/>
      <c r="K170" s="600"/>
    </row>
    <row r="171" spans="1:11">
      <c r="A171" s="600"/>
      <c r="K171" s="600"/>
    </row>
    <row r="172" spans="1:11">
      <c r="A172" s="600"/>
      <c r="K172" s="600"/>
    </row>
    <row r="173" spans="1:11">
      <c r="A173" s="600"/>
      <c r="K173" s="600"/>
    </row>
    <row r="174" spans="1:11">
      <c r="A174" s="600"/>
      <c r="K174" s="600"/>
    </row>
    <row r="175" spans="1:11">
      <c r="A175" s="600"/>
      <c r="K175" s="600"/>
    </row>
    <row r="176" spans="1:11">
      <c r="A176" s="600"/>
      <c r="K176" s="600"/>
    </row>
    <row r="177" spans="1:11">
      <c r="A177" s="600"/>
      <c r="K177" s="600"/>
    </row>
    <row r="178" spans="1:11">
      <c r="A178" s="600"/>
      <c r="K178" s="600"/>
    </row>
    <row r="179" spans="1:11">
      <c r="A179" s="600"/>
      <c r="K179" s="600"/>
    </row>
    <row r="180" spans="1:11">
      <c r="A180" s="600"/>
      <c r="K180" s="600"/>
    </row>
    <row r="181" spans="1:11">
      <c r="A181" s="600"/>
      <c r="K181" s="600"/>
    </row>
    <row r="182" spans="1:11">
      <c r="A182" s="600"/>
      <c r="K182" s="600"/>
    </row>
    <row r="183" spans="1:11">
      <c r="A183" s="600"/>
      <c r="K183" s="600"/>
    </row>
    <row r="184" spans="1:11">
      <c r="A184" s="600"/>
      <c r="K184" s="600"/>
    </row>
    <row r="185" spans="1:11">
      <c r="A185" s="600"/>
      <c r="K185" s="600"/>
    </row>
    <row r="186" spans="1:11">
      <c r="A186" s="600"/>
      <c r="K186" s="600"/>
    </row>
    <row r="187" spans="1:11">
      <c r="A187" s="600"/>
      <c r="K187" s="600"/>
    </row>
    <row r="188" spans="1:11">
      <c r="A188" s="600"/>
      <c r="K188" s="600"/>
    </row>
    <row r="189" spans="1:11">
      <c r="A189" s="600"/>
      <c r="K189" s="600"/>
    </row>
    <row r="190" spans="1:11">
      <c r="A190" s="600"/>
      <c r="K190" s="600"/>
    </row>
    <row r="191" spans="1:11">
      <c r="A191" s="600"/>
      <c r="K191" s="600"/>
    </row>
    <row r="192" spans="1:11">
      <c r="A192" s="600"/>
      <c r="K192" s="600"/>
    </row>
    <row r="193" spans="1:11">
      <c r="A193" s="600"/>
      <c r="K193" s="600"/>
    </row>
    <row r="194" spans="1:11">
      <c r="A194" s="600"/>
      <c r="K194" s="600"/>
    </row>
    <row r="195" spans="1:11">
      <c r="A195" s="600"/>
      <c r="K195" s="600"/>
    </row>
    <row r="196" spans="1:11">
      <c r="A196" s="600"/>
      <c r="K196" s="600"/>
    </row>
    <row r="197" spans="1:11">
      <c r="A197" s="600"/>
      <c r="K197" s="600"/>
    </row>
    <row r="198" spans="1:11">
      <c r="A198" s="600"/>
      <c r="K198" s="600"/>
    </row>
    <row r="199" spans="1:11">
      <c r="A199" s="600"/>
      <c r="K199" s="600"/>
    </row>
    <row r="200" spans="1:11">
      <c r="A200" s="600"/>
      <c r="K200" s="600"/>
    </row>
    <row r="201" spans="1:11">
      <c r="A201" s="600"/>
      <c r="K201" s="600"/>
    </row>
    <row r="202" spans="1:11">
      <c r="A202" s="600"/>
      <c r="K202" s="600"/>
    </row>
    <row r="203" spans="1:11">
      <c r="A203" s="600"/>
      <c r="K203" s="600"/>
    </row>
    <row r="204" spans="1:11">
      <c r="A204" s="600"/>
      <c r="K204" s="600"/>
    </row>
    <row r="205" spans="1:11">
      <c r="A205" s="600"/>
      <c r="K205" s="600"/>
    </row>
    <row r="206" spans="1:11">
      <c r="A206" s="600"/>
      <c r="K206" s="600"/>
    </row>
    <row r="207" spans="1:11">
      <c r="A207" s="600"/>
      <c r="K207" s="600"/>
    </row>
    <row r="208" spans="1:11">
      <c r="A208" s="600"/>
      <c r="K208" s="600"/>
    </row>
    <row r="209" spans="1:11">
      <c r="A209" s="600"/>
      <c r="K209" s="600"/>
    </row>
    <row r="210" spans="1:11">
      <c r="A210" s="600"/>
      <c r="K210" s="600"/>
    </row>
    <row r="211" spans="1:11">
      <c r="A211" s="600"/>
      <c r="K211" s="600"/>
    </row>
    <row r="212" spans="1:11">
      <c r="A212" s="600"/>
      <c r="K212" s="600"/>
    </row>
    <row r="213" spans="1:11">
      <c r="A213" s="600"/>
      <c r="K213" s="600"/>
    </row>
    <row r="214" spans="1:11">
      <c r="A214" s="600"/>
      <c r="K214" s="600"/>
    </row>
    <row r="215" spans="1:11">
      <c r="A215" s="600"/>
      <c r="K215" s="600"/>
    </row>
    <row r="216" spans="1:11">
      <c r="A216" s="600"/>
      <c r="K216" s="600"/>
    </row>
    <row r="217" spans="1:11">
      <c r="A217" s="600"/>
      <c r="K217" s="600"/>
    </row>
    <row r="218" spans="1:11">
      <c r="A218" s="600"/>
      <c r="K218" s="600"/>
    </row>
    <row r="219" spans="1:11">
      <c r="A219" s="600"/>
      <c r="K219" s="600"/>
    </row>
    <row r="220" spans="1:11">
      <c r="A220" s="600"/>
      <c r="K220" s="600"/>
    </row>
    <row r="221" spans="1:11">
      <c r="A221" s="600"/>
      <c r="K221" s="600"/>
    </row>
    <row r="222" spans="1:11">
      <c r="A222" s="600"/>
      <c r="K222" s="600"/>
    </row>
    <row r="223" spans="1:11">
      <c r="A223" s="600"/>
      <c r="K223" s="600"/>
    </row>
    <row r="224" spans="1:11">
      <c r="A224" s="600"/>
      <c r="K224" s="600"/>
    </row>
    <row r="225" spans="1:11">
      <c r="A225" s="600"/>
      <c r="K225" s="600"/>
    </row>
    <row r="226" spans="1:11">
      <c r="A226" s="600"/>
      <c r="K226" s="600"/>
    </row>
    <row r="227" spans="1:11">
      <c r="A227" s="600"/>
      <c r="K227" s="600"/>
    </row>
    <row r="228" spans="1:11">
      <c r="A228" s="600"/>
      <c r="K228" s="600"/>
    </row>
    <row r="229" spans="1:11">
      <c r="A229" s="600"/>
      <c r="K229" s="600"/>
    </row>
    <row r="230" spans="1:11">
      <c r="A230" s="600"/>
      <c r="K230" s="600"/>
    </row>
    <row r="231" spans="1:11">
      <c r="A231" s="600"/>
      <c r="K231" s="600"/>
    </row>
    <row r="232" spans="1:11">
      <c r="A232" s="600"/>
      <c r="K232" s="600"/>
    </row>
    <row r="233" spans="1:11">
      <c r="A233" s="600"/>
      <c r="K233" s="600"/>
    </row>
    <row r="234" spans="1:11">
      <c r="A234" s="600"/>
      <c r="K234" s="600"/>
    </row>
    <row r="235" spans="1:11">
      <c r="A235" s="600"/>
      <c r="K235" s="600"/>
    </row>
    <row r="236" spans="1:11">
      <c r="A236" s="600"/>
      <c r="K236" s="600"/>
    </row>
    <row r="237" spans="1:11">
      <c r="A237" s="600"/>
      <c r="K237" s="600"/>
    </row>
    <row r="238" spans="1:11">
      <c r="A238" s="600"/>
      <c r="K238" s="600"/>
    </row>
    <row r="239" spans="1:11">
      <c r="A239" s="600"/>
      <c r="K239" s="600"/>
    </row>
    <row r="240" spans="1:11">
      <c r="A240" s="600"/>
      <c r="K240" s="600"/>
    </row>
    <row r="241" spans="1:11">
      <c r="A241" s="600"/>
      <c r="K241" s="600"/>
    </row>
    <row r="242" spans="1:11">
      <c r="A242" s="600"/>
      <c r="K242" s="600"/>
    </row>
    <row r="243" spans="1:11">
      <c r="A243" s="600"/>
      <c r="K243" s="600"/>
    </row>
    <row r="244" spans="1:11">
      <c r="A244" s="600"/>
      <c r="K244" s="600"/>
    </row>
    <row r="245" spans="1:11">
      <c r="A245" s="600"/>
      <c r="K245" s="600"/>
    </row>
    <row r="246" spans="1:11">
      <c r="A246" s="600"/>
      <c r="K246" s="600"/>
    </row>
    <row r="247" spans="1:11">
      <c r="A247" s="600"/>
      <c r="K247" s="600"/>
    </row>
    <row r="248" spans="1:11">
      <c r="A248" s="600"/>
      <c r="K248" s="600"/>
    </row>
    <row r="249" spans="1:11">
      <c r="A249" s="600"/>
      <c r="K249" s="600"/>
    </row>
    <row r="250" spans="1:11">
      <c r="A250" s="600"/>
      <c r="K250" s="600"/>
    </row>
    <row r="251" spans="1:11">
      <c r="A251" s="600"/>
      <c r="K251" s="600"/>
    </row>
    <row r="252" spans="1:11">
      <c r="A252" s="600"/>
      <c r="K252" s="600"/>
    </row>
    <row r="253" spans="1:11">
      <c r="A253" s="600"/>
      <c r="K253" s="600"/>
    </row>
    <row r="254" spans="1:11">
      <c r="A254" s="600"/>
      <c r="K254" s="600"/>
    </row>
    <row r="255" spans="1:11">
      <c r="A255" s="600"/>
      <c r="K255" s="600"/>
    </row>
    <row r="256" spans="1:11">
      <c r="A256" s="600"/>
      <c r="K256" s="600"/>
    </row>
    <row r="257" spans="1:11">
      <c r="A257" s="600"/>
      <c r="K257" s="600"/>
    </row>
    <row r="258" spans="1:11">
      <c r="A258" s="600"/>
      <c r="K258" s="600"/>
    </row>
    <row r="259" spans="1:11">
      <c r="A259" s="600"/>
      <c r="K259" s="600"/>
    </row>
    <row r="260" spans="1:11">
      <c r="A260" s="600"/>
      <c r="K260" s="600"/>
    </row>
    <row r="261" spans="1:11">
      <c r="A261" s="600"/>
      <c r="K261" s="600"/>
    </row>
    <row r="262" spans="1:11">
      <c r="A262" s="600"/>
      <c r="K262" s="600"/>
    </row>
    <row r="263" spans="1:11">
      <c r="A263" s="600"/>
      <c r="K263" s="600"/>
    </row>
    <row r="264" spans="1:11">
      <c r="A264" s="600"/>
      <c r="K264" s="600"/>
    </row>
    <row r="265" spans="1:11">
      <c r="A265" s="600"/>
      <c r="K265" s="600"/>
    </row>
    <row r="266" spans="1:11">
      <c r="A266" s="600"/>
      <c r="K266" s="600"/>
    </row>
    <row r="267" spans="1:11">
      <c r="A267" s="600"/>
      <c r="K267" s="600"/>
    </row>
    <row r="268" spans="1:11">
      <c r="A268" s="600"/>
      <c r="K268" s="600"/>
    </row>
    <row r="269" spans="1:11">
      <c r="A269" s="600"/>
      <c r="K269" s="600"/>
    </row>
    <row r="270" spans="1:11">
      <c r="A270" s="600"/>
      <c r="K270" s="600"/>
    </row>
    <row r="271" spans="1:11">
      <c r="A271" s="600"/>
      <c r="K271" s="600"/>
    </row>
    <row r="272" spans="1:11">
      <c r="A272" s="600"/>
      <c r="K272" s="600"/>
    </row>
    <row r="273" spans="1:11">
      <c r="A273" s="600"/>
      <c r="K273" s="600"/>
    </row>
    <row r="274" spans="1:11">
      <c r="A274" s="600"/>
      <c r="K274" s="600"/>
    </row>
    <row r="275" spans="1:11">
      <c r="A275" s="600"/>
      <c r="K275" s="600"/>
    </row>
    <row r="276" spans="1:11">
      <c r="A276" s="600"/>
      <c r="K276" s="600"/>
    </row>
    <row r="277" spans="1:11">
      <c r="A277" s="600"/>
      <c r="K277" s="600"/>
    </row>
    <row r="278" spans="1:11">
      <c r="A278" s="600"/>
      <c r="K278" s="600"/>
    </row>
    <row r="279" spans="1:11">
      <c r="A279" s="600"/>
      <c r="K279" s="600"/>
    </row>
    <row r="280" spans="1:11">
      <c r="A280" s="600"/>
      <c r="K280" s="600"/>
    </row>
    <row r="281" spans="1:11">
      <c r="A281" s="600"/>
      <c r="K281" s="600"/>
    </row>
    <row r="282" spans="1:11">
      <c r="A282" s="600"/>
      <c r="K282" s="600"/>
    </row>
    <row r="283" spans="1:11">
      <c r="A283" s="600"/>
      <c r="K283" s="600"/>
    </row>
    <row r="284" spans="1:11">
      <c r="A284" s="600"/>
      <c r="K284" s="600"/>
    </row>
    <row r="285" spans="1:11">
      <c r="A285" s="600"/>
      <c r="K285" s="600"/>
    </row>
    <row r="286" spans="1:11">
      <c r="A286" s="600"/>
      <c r="K286" s="600"/>
    </row>
    <row r="287" spans="1:11">
      <c r="A287" s="600"/>
      <c r="K287" s="600"/>
    </row>
    <row r="288" spans="1:11">
      <c r="A288" s="600"/>
      <c r="K288" s="600"/>
    </row>
    <row r="289" spans="1:11">
      <c r="A289" s="600"/>
      <c r="K289" s="600"/>
    </row>
    <row r="290" spans="1:11">
      <c r="A290" s="600"/>
      <c r="K290" s="600"/>
    </row>
    <row r="291" spans="1:11">
      <c r="A291" s="600"/>
      <c r="K291" s="600"/>
    </row>
    <row r="292" spans="1:11">
      <c r="A292" s="600"/>
      <c r="K292" s="600"/>
    </row>
    <row r="293" spans="1:11">
      <c r="A293" s="600"/>
      <c r="K293" s="600"/>
    </row>
    <row r="294" spans="1:11">
      <c r="A294" s="600"/>
      <c r="K294" s="600"/>
    </row>
    <row r="295" spans="1:11">
      <c r="A295" s="600"/>
      <c r="K295" s="600"/>
    </row>
    <row r="296" spans="1:11">
      <c r="A296" s="600"/>
      <c r="K296" s="600"/>
    </row>
    <row r="297" spans="1:11">
      <c r="A297" s="600"/>
      <c r="K297" s="600"/>
    </row>
    <row r="298" spans="1:11">
      <c r="A298" s="600"/>
      <c r="K298" s="600"/>
    </row>
    <row r="299" spans="1:11">
      <c r="A299" s="600"/>
      <c r="K299" s="600"/>
    </row>
    <row r="300" spans="1:11">
      <c r="A300" s="600"/>
      <c r="K300" s="600"/>
    </row>
    <row r="301" spans="1:11">
      <c r="A301" s="600"/>
      <c r="K301" s="600"/>
    </row>
    <row r="302" spans="1:11">
      <c r="A302" s="600"/>
      <c r="K302" s="600"/>
    </row>
    <row r="303" spans="1:11">
      <c r="A303" s="600"/>
      <c r="K303" s="600"/>
    </row>
    <row r="304" spans="1:11">
      <c r="A304" s="600"/>
      <c r="K304" s="600"/>
    </row>
    <row r="305" spans="1:11">
      <c r="A305" s="600"/>
      <c r="K305" s="600"/>
    </row>
    <row r="306" spans="1:11">
      <c r="A306" s="600"/>
      <c r="K306" s="600"/>
    </row>
    <row r="307" spans="1:11">
      <c r="A307" s="600"/>
      <c r="K307" s="600"/>
    </row>
    <row r="308" spans="1:11">
      <c r="A308" s="600"/>
      <c r="K308" s="600"/>
    </row>
    <row r="309" spans="1:11">
      <c r="A309" s="600"/>
      <c r="K309" s="600"/>
    </row>
    <row r="310" spans="1:11">
      <c r="A310" s="600"/>
      <c r="K310" s="600"/>
    </row>
    <row r="311" spans="1:11">
      <c r="A311" s="600"/>
      <c r="K311" s="600"/>
    </row>
    <row r="312" spans="1:11">
      <c r="A312" s="600"/>
      <c r="K312" s="600"/>
    </row>
    <row r="313" spans="1:11">
      <c r="A313" s="600"/>
      <c r="K313" s="600"/>
    </row>
    <row r="314" spans="1:11">
      <c r="A314" s="600"/>
      <c r="K314" s="600"/>
    </row>
    <row r="315" spans="1:11">
      <c r="A315" s="600"/>
      <c r="K315" s="600"/>
    </row>
    <row r="316" spans="1:11">
      <c r="A316" s="600"/>
      <c r="K316" s="600"/>
    </row>
    <row r="317" spans="1:11">
      <c r="A317" s="600"/>
      <c r="K317" s="600"/>
    </row>
    <row r="318" spans="1:11">
      <c r="A318" s="600"/>
      <c r="K318" s="600"/>
    </row>
    <row r="319" spans="1:11">
      <c r="A319" s="600"/>
      <c r="K319" s="600"/>
    </row>
    <row r="320" spans="1:11">
      <c r="A320" s="600"/>
      <c r="K320" s="600"/>
    </row>
    <row r="321" spans="1:11">
      <c r="A321" s="600"/>
      <c r="K321" s="600"/>
    </row>
    <row r="322" spans="1:11">
      <c r="A322" s="600"/>
      <c r="K322" s="600"/>
    </row>
    <row r="323" spans="1:11">
      <c r="A323" s="600"/>
      <c r="K323" s="600"/>
    </row>
    <row r="324" spans="1:11">
      <c r="A324" s="600"/>
      <c r="K324" s="600"/>
    </row>
    <row r="325" spans="1:11">
      <c r="A325" s="600"/>
      <c r="K325" s="600"/>
    </row>
    <row r="326" spans="1:11">
      <c r="A326" s="600"/>
      <c r="K326" s="600"/>
    </row>
    <row r="327" spans="1:11">
      <c r="A327" s="600"/>
      <c r="K327" s="600"/>
    </row>
    <row r="328" spans="1:11">
      <c r="A328" s="600"/>
      <c r="K328" s="600"/>
    </row>
    <row r="329" spans="1:11">
      <c r="A329" s="600"/>
      <c r="K329" s="600"/>
    </row>
    <row r="330" spans="1:11">
      <c r="A330" s="600"/>
      <c r="K330" s="600"/>
    </row>
    <row r="331" spans="1:11">
      <c r="A331" s="600"/>
      <c r="K331" s="600"/>
    </row>
    <row r="332" spans="1:11">
      <c r="A332" s="600"/>
      <c r="K332" s="600"/>
    </row>
    <row r="333" spans="1:11">
      <c r="A333" s="600"/>
      <c r="K333" s="600"/>
    </row>
    <row r="334" spans="1:11">
      <c r="A334" s="600"/>
      <c r="K334" s="600"/>
    </row>
    <row r="335" spans="1:11">
      <c r="A335" s="600"/>
      <c r="K335" s="600"/>
    </row>
    <row r="336" spans="1:11">
      <c r="A336" s="600"/>
      <c r="K336" s="600"/>
    </row>
    <row r="337" spans="1:11">
      <c r="A337" s="600"/>
      <c r="K337" s="600"/>
    </row>
    <row r="338" spans="1:11">
      <c r="A338" s="600"/>
      <c r="K338" s="600"/>
    </row>
    <row r="339" spans="1:11">
      <c r="A339" s="600"/>
      <c r="K339" s="600"/>
    </row>
    <row r="340" spans="1:11">
      <c r="A340" s="600"/>
      <c r="K340" s="600"/>
    </row>
    <row r="341" spans="1:11">
      <c r="A341" s="600"/>
      <c r="K341" s="600"/>
    </row>
    <row r="342" spans="1:11">
      <c r="A342" s="600"/>
      <c r="K342" s="600"/>
    </row>
    <row r="343" spans="1:11">
      <c r="A343" s="600"/>
      <c r="K343" s="600"/>
    </row>
    <row r="344" spans="1:11">
      <c r="A344" s="600"/>
      <c r="K344" s="600"/>
    </row>
    <row r="345" spans="1:11">
      <c r="A345" s="600"/>
      <c r="K345" s="600"/>
    </row>
    <row r="346" spans="1:11">
      <c r="A346" s="600"/>
      <c r="K346" s="600"/>
    </row>
    <row r="347" spans="1:11">
      <c r="A347" s="600"/>
      <c r="K347" s="600"/>
    </row>
    <row r="348" spans="1:11">
      <c r="A348" s="600"/>
      <c r="K348" s="600"/>
    </row>
    <row r="349" spans="1:11">
      <c r="A349" s="600"/>
      <c r="K349" s="600"/>
    </row>
    <row r="350" spans="1:11">
      <c r="A350" s="600"/>
      <c r="K350" s="600"/>
    </row>
    <row r="351" spans="1:11">
      <c r="A351" s="600"/>
      <c r="K351" s="600"/>
    </row>
    <row r="352" spans="1:11">
      <c r="A352" s="600"/>
      <c r="K352" s="600"/>
    </row>
    <row r="353" spans="1:11">
      <c r="A353" s="600"/>
      <c r="K353" s="600"/>
    </row>
    <row r="354" spans="1:11">
      <c r="A354" s="600"/>
      <c r="K354" s="600"/>
    </row>
    <row r="355" spans="1:11">
      <c r="A355" s="600"/>
      <c r="K355" s="600"/>
    </row>
    <row r="356" spans="1:11">
      <c r="A356" s="600"/>
      <c r="K356" s="600"/>
    </row>
    <row r="357" spans="1:11">
      <c r="A357" s="600"/>
      <c r="K357" s="600"/>
    </row>
    <row r="358" spans="1:11">
      <c r="A358" s="600"/>
      <c r="K358" s="600"/>
    </row>
    <row r="359" spans="1:11">
      <c r="A359" s="600"/>
      <c r="K359" s="600"/>
    </row>
    <row r="360" spans="1:11">
      <c r="A360" s="600"/>
      <c r="K360" s="600"/>
    </row>
    <row r="361" spans="1:11">
      <c r="A361" s="600"/>
      <c r="K361" s="600"/>
    </row>
    <row r="362" spans="1:11">
      <c r="A362" s="600"/>
      <c r="K362" s="600"/>
    </row>
    <row r="363" spans="1:11">
      <c r="A363" s="600"/>
      <c r="K363" s="600"/>
    </row>
    <row r="364" spans="1:11">
      <c r="A364" s="600"/>
      <c r="K364" s="600"/>
    </row>
    <row r="365" spans="1:11">
      <c r="A365" s="600"/>
      <c r="K365" s="600"/>
    </row>
    <row r="366" spans="1:11">
      <c r="A366" s="600"/>
      <c r="K366" s="600"/>
    </row>
    <row r="367" spans="1:11">
      <c r="A367" s="600"/>
      <c r="K367" s="600"/>
    </row>
    <row r="368" spans="1:11">
      <c r="A368" s="600"/>
      <c r="K368" s="600"/>
    </row>
    <row r="369" spans="1:11">
      <c r="A369" s="600"/>
      <c r="K369" s="600"/>
    </row>
    <row r="370" spans="1:11">
      <c r="A370" s="600"/>
      <c r="K370" s="600"/>
    </row>
    <row r="371" spans="1:11">
      <c r="A371" s="600"/>
      <c r="K371" s="600"/>
    </row>
    <row r="372" spans="1:11">
      <c r="A372" s="600"/>
      <c r="K372" s="600"/>
    </row>
    <row r="373" spans="1:11">
      <c r="A373" s="600"/>
      <c r="K373" s="600"/>
    </row>
    <row r="374" spans="1:11">
      <c r="A374" s="600"/>
      <c r="K374" s="600"/>
    </row>
    <row r="375" spans="1:11">
      <c r="A375" s="600"/>
      <c r="K375" s="600"/>
    </row>
    <row r="376" spans="1:11">
      <c r="A376" s="600"/>
      <c r="K376" s="600"/>
    </row>
    <row r="377" spans="1:11">
      <c r="A377" s="600"/>
      <c r="K377" s="600"/>
    </row>
    <row r="378" spans="1:11">
      <c r="A378" s="600"/>
      <c r="K378" s="600"/>
    </row>
    <row r="379" spans="1:11">
      <c r="A379" s="600"/>
      <c r="K379" s="600"/>
    </row>
    <row r="380" spans="1:11">
      <c r="A380" s="600"/>
      <c r="K380" s="600"/>
    </row>
    <row r="381" spans="1:11">
      <c r="A381" s="600"/>
      <c r="K381" s="600"/>
    </row>
    <row r="382" spans="1:11">
      <c r="A382" s="600"/>
      <c r="K382" s="600"/>
    </row>
    <row r="383" spans="1:11">
      <c r="A383" s="600"/>
      <c r="K383" s="600"/>
    </row>
    <row r="384" spans="1:11">
      <c r="A384" s="600"/>
      <c r="K384" s="600"/>
    </row>
    <row r="385" spans="1:11">
      <c r="A385" s="600"/>
      <c r="K385" s="600"/>
    </row>
    <row r="386" spans="1:11">
      <c r="A386" s="600"/>
      <c r="K386" s="600"/>
    </row>
    <row r="387" spans="1:11">
      <c r="A387" s="600"/>
      <c r="K387" s="600"/>
    </row>
    <row r="388" spans="1:11">
      <c r="A388" s="600"/>
      <c r="K388" s="600"/>
    </row>
    <row r="389" spans="1:11">
      <c r="A389" s="600"/>
      <c r="K389" s="600"/>
    </row>
    <row r="390" spans="1:11">
      <c r="A390" s="600"/>
      <c r="K390" s="600"/>
    </row>
    <row r="391" spans="1:11">
      <c r="A391" s="600"/>
      <c r="K391" s="600"/>
    </row>
    <row r="392" spans="1:11">
      <c r="A392" s="600"/>
      <c r="K392" s="600"/>
    </row>
    <row r="393" spans="1:11">
      <c r="A393" s="600"/>
      <c r="K393" s="600"/>
    </row>
    <row r="394" spans="1:11">
      <c r="A394" s="600"/>
      <c r="K394" s="600"/>
    </row>
    <row r="395" spans="1:11">
      <c r="A395" s="600"/>
      <c r="K395" s="600"/>
    </row>
    <row r="396" spans="1:11">
      <c r="A396" s="600"/>
      <c r="K396" s="600"/>
    </row>
    <row r="397" spans="1:11">
      <c r="A397" s="600"/>
      <c r="K397" s="600"/>
    </row>
    <row r="398" spans="1:11">
      <c r="A398" s="600"/>
      <c r="K398" s="600"/>
    </row>
    <row r="399" spans="1:11">
      <c r="A399" s="600"/>
      <c r="K399" s="600"/>
    </row>
    <row r="400" spans="1:11">
      <c r="A400" s="600"/>
      <c r="K400" s="600"/>
    </row>
    <row r="401" spans="1:11">
      <c r="A401" s="600"/>
      <c r="K401" s="600"/>
    </row>
    <row r="402" spans="1:11">
      <c r="A402" s="600"/>
      <c r="K402" s="600"/>
    </row>
    <row r="403" spans="1:11">
      <c r="A403" s="600"/>
      <c r="K403" s="600"/>
    </row>
    <row r="404" spans="1:11">
      <c r="A404" s="600"/>
      <c r="K404" s="600"/>
    </row>
    <row r="405" spans="1:11">
      <c r="A405" s="600"/>
      <c r="K405" s="600"/>
    </row>
    <row r="406" spans="1:11">
      <c r="A406" s="600"/>
      <c r="K406" s="600"/>
    </row>
    <row r="407" spans="1:11">
      <c r="A407" s="600"/>
      <c r="K407" s="600"/>
    </row>
    <row r="408" spans="1:11">
      <c r="A408" s="600"/>
      <c r="K408" s="600"/>
    </row>
    <row r="409" spans="1:11">
      <c r="A409" s="600"/>
      <c r="K409" s="600"/>
    </row>
    <row r="410" spans="1:11">
      <c r="A410" s="600"/>
      <c r="K410" s="600"/>
    </row>
    <row r="411" spans="1:11">
      <c r="A411" s="600"/>
      <c r="K411" s="600"/>
    </row>
    <row r="412" spans="1:11">
      <c r="A412" s="600"/>
      <c r="K412" s="600"/>
    </row>
    <row r="413" spans="1:11">
      <c r="A413" s="600"/>
      <c r="K413" s="600"/>
    </row>
    <row r="414" spans="1:11">
      <c r="A414" s="600"/>
      <c r="K414" s="600"/>
    </row>
    <row r="415" spans="1:11">
      <c r="A415" s="600"/>
      <c r="K415" s="600"/>
    </row>
    <row r="416" spans="1:11">
      <c r="A416" s="600"/>
      <c r="K416" s="600"/>
    </row>
    <row r="417" spans="1:11">
      <c r="A417" s="600"/>
      <c r="K417" s="600"/>
    </row>
    <row r="418" spans="1:11">
      <c r="A418" s="600"/>
      <c r="K418" s="600"/>
    </row>
    <row r="419" spans="1:11">
      <c r="A419" s="600"/>
      <c r="K419" s="600"/>
    </row>
    <row r="420" spans="1:11">
      <c r="A420" s="600"/>
      <c r="K420" s="600"/>
    </row>
    <row r="421" spans="1:11">
      <c r="A421" s="600"/>
      <c r="K421" s="600"/>
    </row>
    <row r="422" spans="1:11">
      <c r="A422" s="600"/>
      <c r="K422" s="600"/>
    </row>
    <row r="423" spans="1:11">
      <c r="A423" s="600"/>
      <c r="K423" s="600"/>
    </row>
    <row r="424" spans="1:11">
      <c r="A424" s="600"/>
      <c r="K424" s="600"/>
    </row>
    <row r="425" spans="1:11">
      <c r="A425" s="600"/>
      <c r="K425" s="600"/>
    </row>
    <row r="426" spans="1:11">
      <c r="A426" s="600"/>
      <c r="K426" s="600"/>
    </row>
    <row r="427" spans="1:11">
      <c r="A427" s="600"/>
      <c r="K427" s="600"/>
    </row>
    <row r="428" spans="1:11">
      <c r="A428" s="600"/>
      <c r="K428" s="600"/>
    </row>
    <row r="429" spans="1:11">
      <c r="A429" s="600"/>
      <c r="K429" s="600"/>
    </row>
    <row r="430" spans="1:11">
      <c r="A430" s="600"/>
      <c r="K430" s="600"/>
    </row>
    <row r="431" spans="1:11">
      <c r="A431" s="600"/>
      <c r="K431" s="600"/>
    </row>
    <row r="432" spans="1:11">
      <c r="A432" s="600"/>
      <c r="K432" s="600"/>
    </row>
    <row r="433" spans="1:11">
      <c r="A433" s="600"/>
      <c r="K433" s="600"/>
    </row>
    <row r="434" spans="1:11">
      <c r="A434" s="600"/>
      <c r="K434" s="600"/>
    </row>
    <row r="435" spans="1:11">
      <c r="A435" s="600"/>
      <c r="K435" s="600"/>
    </row>
    <row r="436" spans="1:11">
      <c r="A436" s="600"/>
      <c r="K436" s="600"/>
    </row>
    <row r="437" spans="1:11">
      <c r="A437" s="600"/>
      <c r="K437" s="600"/>
    </row>
    <row r="438" spans="1:11">
      <c r="A438" s="600"/>
      <c r="K438" s="600"/>
    </row>
    <row r="439" spans="1:11">
      <c r="A439" s="600"/>
      <c r="K439" s="600"/>
    </row>
    <row r="440" spans="1:11">
      <c r="A440" s="600"/>
      <c r="K440" s="600"/>
    </row>
    <row r="441" spans="1:11">
      <c r="A441" s="600"/>
      <c r="K441" s="600"/>
    </row>
    <row r="442" spans="1:11">
      <c r="A442" s="600"/>
      <c r="K442" s="600"/>
    </row>
    <row r="443" spans="1:11">
      <c r="A443" s="600"/>
      <c r="K443" s="600"/>
    </row>
    <row r="444" spans="1:11">
      <c r="A444" s="600"/>
      <c r="K444" s="600"/>
    </row>
    <row r="445" spans="1:11">
      <c r="A445" s="600"/>
      <c r="K445" s="600"/>
    </row>
    <row r="446" spans="1:11">
      <c r="A446" s="600"/>
      <c r="K446" s="600"/>
    </row>
    <row r="447" spans="1:11">
      <c r="A447" s="600"/>
      <c r="K447" s="600"/>
    </row>
    <row r="448" spans="1:11">
      <c r="A448" s="600"/>
      <c r="K448" s="600"/>
    </row>
    <row r="449" spans="1:11">
      <c r="A449" s="600"/>
      <c r="K449" s="600"/>
    </row>
    <row r="450" spans="1:11">
      <c r="A450" s="600"/>
      <c r="K450" s="600"/>
    </row>
    <row r="451" spans="1:11">
      <c r="A451" s="600"/>
      <c r="K451" s="600"/>
    </row>
    <row r="452" spans="1:11">
      <c r="A452" s="600"/>
      <c r="K452" s="600"/>
    </row>
    <row r="453" spans="1:11">
      <c r="A453" s="600"/>
      <c r="K453" s="600"/>
    </row>
    <row r="454" spans="1:11">
      <c r="A454" s="600"/>
      <c r="K454" s="600"/>
    </row>
    <row r="455" spans="1:11">
      <c r="A455" s="600"/>
      <c r="K455" s="600"/>
    </row>
    <row r="456" spans="1:11">
      <c r="A456" s="600"/>
      <c r="K456" s="600"/>
    </row>
    <row r="457" spans="1:11">
      <c r="A457" s="600"/>
      <c r="K457" s="600"/>
    </row>
    <row r="458" spans="1:11">
      <c r="A458" s="600"/>
      <c r="K458" s="600"/>
    </row>
    <row r="459" spans="1:11">
      <c r="A459" s="600"/>
      <c r="K459" s="600"/>
    </row>
    <row r="460" spans="1:11">
      <c r="A460" s="600"/>
      <c r="K460" s="600"/>
    </row>
    <row r="461" spans="1:11">
      <c r="A461" s="600"/>
      <c r="K461" s="600"/>
    </row>
    <row r="462" spans="1:11">
      <c r="A462" s="600"/>
      <c r="K462" s="600"/>
    </row>
    <row r="463" spans="1:11">
      <c r="A463" s="600"/>
      <c r="K463" s="600"/>
    </row>
    <row r="464" spans="1:11">
      <c r="A464" s="600"/>
      <c r="K464" s="600"/>
    </row>
    <row r="465" spans="1:11">
      <c r="A465" s="600"/>
      <c r="K465" s="600"/>
    </row>
    <row r="466" spans="1:11">
      <c r="A466" s="600"/>
      <c r="K466" s="600"/>
    </row>
    <row r="467" spans="1:11">
      <c r="A467" s="600"/>
      <c r="K467" s="600"/>
    </row>
    <row r="468" spans="1:11">
      <c r="A468" s="600"/>
      <c r="K468" s="600"/>
    </row>
    <row r="469" spans="1:11">
      <c r="A469" s="600"/>
      <c r="K469" s="600"/>
    </row>
    <row r="470" spans="1:11">
      <c r="A470" s="600"/>
      <c r="K470" s="600"/>
    </row>
    <row r="471" spans="1:11">
      <c r="A471" s="600"/>
      <c r="K471" s="600"/>
    </row>
    <row r="472" spans="1:11">
      <c r="A472" s="600"/>
      <c r="K472" s="600"/>
    </row>
    <row r="473" spans="1:11">
      <c r="A473" s="600"/>
      <c r="K473" s="600"/>
    </row>
    <row r="474" spans="1:11">
      <c r="A474" s="600"/>
      <c r="K474" s="600"/>
    </row>
    <row r="475" spans="1:11">
      <c r="A475" s="600"/>
      <c r="K475" s="600"/>
    </row>
    <row r="476" spans="1:11">
      <c r="A476" s="600"/>
      <c r="K476" s="600"/>
    </row>
    <row r="477" spans="1:11">
      <c r="A477" s="600"/>
      <c r="K477" s="600"/>
    </row>
    <row r="478" spans="1:11">
      <c r="A478" s="600"/>
      <c r="K478" s="600"/>
    </row>
    <row r="479" spans="1:11">
      <c r="A479" s="600"/>
      <c r="K479" s="600"/>
    </row>
    <row r="480" spans="1:11">
      <c r="A480" s="600"/>
      <c r="K480" s="600"/>
    </row>
    <row r="481" spans="1:11">
      <c r="A481" s="600"/>
      <c r="K481" s="600"/>
    </row>
    <row r="482" spans="1:11">
      <c r="A482" s="600"/>
      <c r="K482" s="600"/>
    </row>
    <row r="483" spans="1:11">
      <c r="A483" s="600"/>
      <c r="K483" s="600"/>
    </row>
    <row r="484" spans="1:11">
      <c r="A484" s="600"/>
      <c r="K484" s="600"/>
    </row>
    <row r="485" spans="1:11">
      <c r="A485" s="600"/>
      <c r="K485" s="600"/>
    </row>
    <row r="486" spans="1:11">
      <c r="A486" s="600"/>
      <c r="K486" s="600"/>
    </row>
    <row r="487" spans="1:11">
      <c r="A487" s="600"/>
      <c r="K487" s="600"/>
    </row>
    <row r="488" spans="1:11">
      <c r="A488" s="600"/>
      <c r="K488" s="600"/>
    </row>
    <row r="489" spans="1:11">
      <c r="A489" s="600"/>
      <c r="K489" s="600"/>
    </row>
    <row r="490" spans="1:11">
      <c r="A490" s="600"/>
      <c r="K490" s="600"/>
    </row>
    <row r="491" spans="1:11">
      <c r="A491" s="600"/>
      <c r="K491" s="600"/>
    </row>
    <row r="492" spans="1:11">
      <c r="A492" s="600"/>
      <c r="K492" s="600"/>
    </row>
    <row r="493" spans="1:11">
      <c r="A493" s="600"/>
      <c r="K493" s="600"/>
    </row>
    <row r="494" spans="1:11">
      <c r="A494" s="600"/>
      <c r="K494" s="600"/>
    </row>
    <row r="495" spans="1:11">
      <c r="A495" s="600"/>
      <c r="K495" s="600"/>
    </row>
    <row r="496" spans="1:11">
      <c r="A496" s="600"/>
      <c r="K496" s="600"/>
    </row>
    <row r="497" spans="1:11">
      <c r="A497" s="600"/>
      <c r="K497" s="600"/>
    </row>
    <row r="498" spans="1:11">
      <c r="A498" s="600"/>
      <c r="K498" s="600"/>
    </row>
    <row r="499" spans="1:11">
      <c r="A499" s="600"/>
      <c r="K499" s="600"/>
    </row>
    <row r="500" spans="1:11">
      <c r="A500" s="600"/>
      <c r="K500" s="600"/>
    </row>
    <row r="501" spans="1:11">
      <c r="A501" s="600"/>
      <c r="K501" s="600"/>
    </row>
    <row r="502" spans="1:11">
      <c r="A502" s="600"/>
      <c r="K502" s="600"/>
    </row>
    <row r="503" spans="1:11">
      <c r="A503" s="600"/>
      <c r="K503" s="600"/>
    </row>
    <row r="504" spans="1:11">
      <c r="A504" s="600"/>
      <c r="K504" s="600"/>
    </row>
    <row r="505" spans="1:11">
      <c r="A505" s="600"/>
      <c r="K505" s="600"/>
    </row>
    <row r="506" spans="1:11">
      <c r="A506" s="600"/>
      <c r="K506" s="600"/>
    </row>
    <row r="507" spans="1:11">
      <c r="A507" s="600"/>
      <c r="K507" s="600"/>
    </row>
    <row r="508" spans="1:11">
      <c r="A508" s="600"/>
      <c r="K508" s="600"/>
    </row>
    <row r="509" spans="1:11">
      <c r="A509" s="600"/>
      <c r="K509" s="600"/>
    </row>
    <row r="510" spans="1:11">
      <c r="A510" s="600"/>
      <c r="K510" s="600"/>
    </row>
    <row r="511" spans="1:11">
      <c r="A511" s="600"/>
      <c r="K511" s="600"/>
    </row>
    <row r="512" spans="1:11">
      <c r="A512" s="600"/>
      <c r="K512" s="600"/>
    </row>
    <row r="513" spans="1:11">
      <c r="A513" s="600"/>
      <c r="K513" s="600"/>
    </row>
    <row r="514" spans="1:11">
      <c r="A514" s="600"/>
      <c r="K514" s="600"/>
    </row>
    <row r="515" spans="1:11">
      <c r="A515" s="600"/>
      <c r="K515" s="600"/>
    </row>
    <row r="516" spans="1:11">
      <c r="A516" s="600"/>
      <c r="K516" s="600"/>
    </row>
    <row r="517" spans="1:11">
      <c r="A517" s="600"/>
      <c r="K517" s="600"/>
    </row>
    <row r="518" spans="1:11">
      <c r="A518" s="600"/>
      <c r="K518" s="600"/>
    </row>
    <row r="519" spans="1:11">
      <c r="A519" s="600"/>
      <c r="K519" s="600"/>
    </row>
    <row r="520" spans="1:11">
      <c r="A520" s="600"/>
      <c r="K520" s="600"/>
    </row>
    <row r="521" spans="1:11">
      <c r="A521" s="600"/>
      <c r="K521" s="600"/>
    </row>
    <row r="522" spans="1:11">
      <c r="A522" s="600"/>
      <c r="K522" s="600"/>
    </row>
    <row r="523" spans="1:11">
      <c r="A523" s="600"/>
      <c r="K523" s="600"/>
    </row>
    <row r="524" spans="1:11">
      <c r="A524" s="600"/>
      <c r="K524" s="600"/>
    </row>
    <row r="525" spans="1:11">
      <c r="A525" s="600"/>
      <c r="K525" s="600"/>
    </row>
    <row r="526" spans="1:11">
      <c r="A526" s="600"/>
      <c r="K526" s="600"/>
    </row>
    <row r="527" spans="1:11">
      <c r="A527" s="600"/>
      <c r="K527" s="600"/>
    </row>
    <row r="528" spans="1:11">
      <c r="A528" s="600"/>
      <c r="K528" s="600"/>
    </row>
    <row r="529" spans="1:11">
      <c r="A529" s="600"/>
      <c r="K529" s="600"/>
    </row>
    <row r="530" spans="1:11">
      <c r="A530" s="600"/>
      <c r="K530" s="600"/>
    </row>
    <row r="531" spans="1:11">
      <c r="A531" s="600"/>
      <c r="K531" s="600"/>
    </row>
    <row r="532" spans="1:11">
      <c r="A532" s="600"/>
      <c r="K532" s="600"/>
    </row>
    <row r="533" spans="1:11">
      <c r="A533" s="600"/>
      <c r="K533" s="600"/>
    </row>
    <row r="534" spans="1:11">
      <c r="A534" s="600"/>
      <c r="K534" s="600"/>
    </row>
    <row r="535" spans="1:11">
      <c r="A535" s="600"/>
      <c r="K535" s="600"/>
    </row>
    <row r="536" spans="1:11">
      <c r="A536" s="600"/>
      <c r="K536" s="600"/>
    </row>
    <row r="537" spans="1:11">
      <c r="A537" s="600"/>
      <c r="K537" s="600"/>
    </row>
    <row r="538" spans="1:11">
      <c r="A538" s="600"/>
      <c r="K538" s="600"/>
    </row>
    <row r="539" spans="1:11">
      <c r="A539" s="600"/>
      <c r="K539" s="600"/>
    </row>
    <row r="540" spans="1:11">
      <c r="A540" s="600"/>
      <c r="K540" s="600"/>
    </row>
    <row r="541" spans="1:11">
      <c r="A541" s="600"/>
      <c r="K541" s="600"/>
    </row>
    <row r="542" spans="1:11">
      <c r="A542" s="600"/>
      <c r="K542" s="600"/>
    </row>
    <row r="543" spans="1:11">
      <c r="A543" s="600"/>
      <c r="K543" s="600"/>
    </row>
    <row r="544" spans="1:11">
      <c r="A544" s="600"/>
      <c r="K544" s="600"/>
    </row>
    <row r="545" spans="1:11">
      <c r="A545" s="600"/>
      <c r="K545" s="600"/>
    </row>
    <row r="546" spans="1:11">
      <c r="A546" s="600"/>
      <c r="K546" s="600"/>
    </row>
    <row r="547" spans="1:11">
      <c r="A547" s="600"/>
      <c r="K547" s="600"/>
    </row>
    <row r="548" spans="1:11">
      <c r="A548" s="600"/>
      <c r="K548" s="600"/>
    </row>
    <row r="549" spans="1:11">
      <c r="A549" s="600"/>
      <c r="K549" s="600"/>
    </row>
    <row r="550" spans="1:11">
      <c r="A550" s="600"/>
      <c r="K550" s="600"/>
    </row>
    <row r="551" spans="1:11">
      <c r="A551" s="600"/>
      <c r="K551" s="600"/>
    </row>
    <row r="552" spans="1:11">
      <c r="A552" s="600"/>
      <c r="K552" s="600"/>
    </row>
    <row r="553" spans="1:11">
      <c r="A553" s="600"/>
      <c r="K553" s="600"/>
    </row>
    <row r="554" spans="1:11">
      <c r="A554" s="600"/>
      <c r="K554" s="600"/>
    </row>
    <row r="555" spans="1:11">
      <c r="A555" s="600"/>
      <c r="K555" s="600"/>
    </row>
    <row r="556" spans="1:11">
      <c r="A556" s="600"/>
      <c r="K556" s="600"/>
    </row>
    <row r="557" spans="1:11">
      <c r="A557" s="600"/>
      <c r="K557" s="600"/>
    </row>
    <row r="558" spans="1:11">
      <c r="A558" s="600"/>
      <c r="K558" s="600"/>
    </row>
    <row r="559" spans="1:11">
      <c r="A559" s="600"/>
      <c r="K559" s="600"/>
    </row>
    <row r="560" spans="1:11">
      <c r="A560" s="600"/>
      <c r="K560" s="600"/>
    </row>
    <row r="561" spans="1:11">
      <c r="A561" s="600"/>
      <c r="K561" s="600"/>
    </row>
    <row r="562" spans="1:11">
      <c r="A562" s="600"/>
      <c r="K562" s="600"/>
    </row>
    <row r="563" spans="1:11">
      <c r="A563" s="600"/>
      <c r="K563" s="600"/>
    </row>
    <row r="564" spans="1:11">
      <c r="A564" s="600"/>
      <c r="K564" s="600"/>
    </row>
    <row r="565" spans="1:11">
      <c r="A565" s="600"/>
      <c r="K565" s="600"/>
    </row>
    <row r="566" spans="1:11">
      <c r="A566" s="600"/>
      <c r="K566" s="600"/>
    </row>
    <row r="567" spans="1:11">
      <c r="A567" s="600"/>
      <c r="K567" s="600"/>
    </row>
    <row r="568" spans="1:11">
      <c r="A568" s="600"/>
      <c r="K568" s="600"/>
    </row>
    <row r="569" spans="1:11">
      <c r="A569" s="600"/>
      <c r="K569" s="600"/>
    </row>
    <row r="570" spans="1:11">
      <c r="A570" s="600"/>
      <c r="K570" s="600"/>
    </row>
    <row r="571" spans="1:11">
      <c r="A571" s="600"/>
      <c r="K571" s="600"/>
    </row>
    <row r="572" spans="1:11">
      <c r="A572" s="600"/>
      <c r="K572" s="600"/>
    </row>
    <row r="573" spans="1:11">
      <c r="A573" s="600"/>
      <c r="K573" s="600"/>
    </row>
    <row r="574" spans="1:11">
      <c r="A574" s="600"/>
      <c r="K574" s="600"/>
    </row>
    <row r="575" spans="1:11">
      <c r="A575" s="600"/>
      <c r="K575" s="600"/>
    </row>
    <row r="576" spans="1:11">
      <c r="A576" s="600"/>
      <c r="K576" s="600"/>
    </row>
    <row r="577" spans="1:11">
      <c r="A577" s="600"/>
      <c r="K577" s="600"/>
    </row>
    <row r="578" spans="1:11">
      <c r="A578" s="600"/>
      <c r="K578" s="600"/>
    </row>
    <row r="579" spans="1:11">
      <c r="A579" s="600"/>
      <c r="K579" s="600"/>
    </row>
    <row r="580" spans="1:11">
      <c r="A580" s="600"/>
      <c r="K580" s="600"/>
    </row>
    <row r="581" spans="1:11">
      <c r="A581" s="600"/>
      <c r="K581" s="600"/>
    </row>
    <row r="582" spans="1:11">
      <c r="A582" s="600"/>
      <c r="K582" s="600"/>
    </row>
    <row r="583" spans="1:11">
      <c r="A583" s="600"/>
      <c r="K583" s="600"/>
    </row>
    <row r="584" spans="1:11">
      <c r="A584" s="600"/>
      <c r="K584" s="600"/>
    </row>
    <row r="585" spans="1:11">
      <c r="A585" s="600"/>
      <c r="K585" s="600"/>
    </row>
    <row r="586" spans="1:11">
      <c r="A586" s="600"/>
      <c r="K586" s="600"/>
    </row>
    <row r="587" spans="1:11">
      <c r="A587" s="600"/>
      <c r="K587" s="600"/>
    </row>
    <row r="588" spans="1:11">
      <c r="A588" s="600"/>
      <c r="K588" s="600"/>
    </row>
    <row r="589" spans="1:11">
      <c r="A589" s="600"/>
      <c r="K589" s="600"/>
    </row>
    <row r="590" spans="1:11">
      <c r="A590" s="600"/>
      <c r="K590" s="600"/>
    </row>
    <row r="591" spans="1:11">
      <c r="A591" s="600"/>
      <c r="K591" s="600"/>
    </row>
    <row r="592" spans="1:11">
      <c r="A592" s="600"/>
      <c r="K592" s="600"/>
    </row>
    <row r="593" spans="1:11">
      <c r="A593" s="600"/>
      <c r="K593" s="600"/>
    </row>
    <row r="594" spans="1:11">
      <c r="A594" s="600"/>
      <c r="K594" s="600"/>
    </row>
    <row r="595" spans="1:11">
      <c r="A595" s="600"/>
      <c r="K595" s="600"/>
    </row>
    <row r="596" spans="1:11">
      <c r="A596" s="600"/>
      <c r="K596" s="600"/>
    </row>
    <row r="597" spans="1:11">
      <c r="A597" s="600"/>
      <c r="K597" s="600"/>
    </row>
    <row r="598" spans="1:11">
      <c r="A598" s="600"/>
      <c r="K598" s="600"/>
    </row>
    <row r="599" spans="1:11">
      <c r="A599" s="600"/>
      <c r="K599" s="600"/>
    </row>
    <row r="600" spans="1:11">
      <c r="A600" s="600"/>
      <c r="K600" s="600"/>
    </row>
    <row r="601" spans="1:11">
      <c r="A601" s="600"/>
      <c r="K601" s="600"/>
    </row>
    <row r="602" spans="1:11">
      <c r="A602" s="600"/>
      <c r="K602" s="600"/>
    </row>
    <row r="603" spans="1:11">
      <c r="A603" s="600"/>
      <c r="K603" s="600"/>
    </row>
    <row r="604" spans="1:11">
      <c r="A604" s="600"/>
      <c r="K604" s="600"/>
    </row>
    <row r="605" spans="1:11">
      <c r="A605" s="600"/>
      <c r="K605" s="600"/>
    </row>
    <row r="606" spans="1:11">
      <c r="A606" s="600"/>
      <c r="K606" s="600"/>
    </row>
    <row r="607" spans="1:11">
      <c r="A607" s="600"/>
      <c r="K607" s="600"/>
    </row>
    <row r="608" spans="1:11">
      <c r="A608" s="600"/>
      <c r="K608" s="600"/>
    </row>
    <row r="609" spans="1:11">
      <c r="A609" s="600"/>
      <c r="K609" s="600"/>
    </row>
    <row r="610" spans="1:11">
      <c r="A610" s="600"/>
      <c r="K610" s="600"/>
    </row>
    <row r="611" spans="1:11">
      <c r="A611" s="600"/>
      <c r="K611" s="600"/>
    </row>
    <row r="612" spans="1:11">
      <c r="A612" s="600"/>
      <c r="K612" s="600"/>
    </row>
    <row r="613" spans="1:11">
      <c r="A613" s="600"/>
      <c r="K613" s="600"/>
    </row>
    <row r="614" spans="1:11">
      <c r="A614" s="600"/>
      <c r="K614" s="600"/>
    </row>
    <row r="615" spans="1:11">
      <c r="A615" s="600"/>
      <c r="K615" s="600"/>
    </row>
    <row r="616" spans="1:11">
      <c r="A616" s="600"/>
      <c r="K616" s="600"/>
    </row>
    <row r="617" spans="1:11">
      <c r="A617" s="600"/>
      <c r="K617" s="600"/>
    </row>
    <row r="618" spans="1:11">
      <c r="A618" s="600"/>
      <c r="K618" s="600"/>
    </row>
    <row r="619" spans="1:11">
      <c r="A619" s="600"/>
      <c r="K619" s="600"/>
    </row>
    <row r="620" spans="1:11">
      <c r="A620" s="600"/>
      <c r="K620" s="600"/>
    </row>
    <row r="621" spans="1:11">
      <c r="A621" s="600"/>
      <c r="K621" s="600"/>
    </row>
    <row r="622" spans="1:11">
      <c r="A622" s="600"/>
      <c r="K622" s="600"/>
    </row>
    <row r="623" spans="1:11">
      <c r="A623" s="600"/>
      <c r="K623" s="600"/>
    </row>
    <row r="624" spans="1:11">
      <c r="A624" s="600"/>
      <c r="K624" s="600"/>
    </row>
    <row r="625" spans="1:11">
      <c r="A625" s="600"/>
      <c r="K625" s="600"/>
    </row>
    <row r="626" spans="1:11">
      <c r="A626" s="600"/>
      <c r="K626" s="600"/>
    </row>
    <row r="627" spans="1:11">
      <c r="A627" s="600"/>
      <c r="K627" s="600"/>
    </row>
    <row r="628" spans="1:11">
      <c r="A628" s="600"/>
      <c r="K628" s="600"/>
    </row>
    <row r="629" spans="1:11">
      <c r="A629" s="600"/>
      <c r="K629" s="600"/>
    </row>
    <row r="630" spans="1:11">
      <c r="A630" s="600"/>
      <c r="K630" s="600"/>
    </row>
    <row r="631" spans="1:11">
      <c r="A631" s="600"/>
      <c r="K631" s="600"/>
    </row>
    <row r="632" spans="1:11">
      <c r="A632" s="600"/>
      <c r="K632" s="600"/>
    </row>
    <row r="633" spans="1:11">
      <c r="A633" s="600"/>
      <c r="K633" s="600"/>
    </row>
    <row r="634" spans="1:11">
      <c r="A634" s="600"/>
      <c r="K634" s="600"/>
    </row>
    <row r="635" spans="1:11">
      <c r="A635" s="600"/>
      <c r="K635" s="600"/>
    </row>
    <row r="636" spans="1:11">
      <c r="A636" s="600"/>
      <c r="K636" s="600"/>
    </row>
    <row r="637" spans="1:11">
      <c r="A637" s="600"/>
      <c r="K637" s="600"/>
    </row>
    <row r="638" spans="1:11">
      <c r="A638" s="600"/>
      <c r="K638" s="600"/>
    </row>
    <row r="639" spans="1:11">
      <c r="A639" s="600"/>
      <c r="K639" s="600"/>
    </row>
    <row r="640" spans="1:11">
      <c r="A640" s="600"/>
      <c r="K640" s="600"/>
    </row>
    <row r="641" spans="1:11">
      <c r="A641" s="600"/>
      <c r="K641" s="600"/>
    </row>
    <row r="642" spans="1:11">
      <c r="A642" s="600"/>
      <c r="K642" s="600"/>
    </row>
    <row r="643" spans="1:11">
      <c r="A643" s="600"/>
      <c r="K643" s="600"/>
    </row>
    <row r="644" spans="1:11">
      <c r="A644" s="600"/>
      <c r="K644" s="600"/>
    </row>
    <row r="645" spans="1:11">
      <c r="A645" s="600"/>
      <c r="K645" s="600"/>
    </row>
    <row r="646" spans="1:11">
      <c r="A646" s="600"/>
      <c r="K646" s="600"/>
    </row>
    <row r="647" spans="1:11">
      <c r="A647" s="600"/>
      <c r="K647" s="600"/>
    </row>
    <row r="648" spans="1:11">
      <c r="A648" s="600"/>
      <c r="K648" s="600"/>
    </row>
    <row r="649" spans="1:11">
      <c r="A649" s="600"/>
      <c r="K649" s="600"/>
    </row>
    <row r="650" spans="1:11">
      <c r="A650" s="600"/>
      <c r="K650" s="600"/>
    </row>
    <row r="651" spans="1:11">
      <c r="A651" s="600"/>
      <c r="K651" s="600"/>
    </row>
    <row r="652" spans="1:11">
      <c r="A652" s="600"/>
      <c r="K652" s="600"/>
    </row>
    <row r="653" spans="1:11">
      <c r="A653" s="600"/>
      <c r="K653" s="600"/>
    </row>
    <row r="654" spans="1:11">
      <c r="A654" s="600"/>
      <c r="K654" s="600"/>
    </row>
    <row r="655" spans="1:11">
      <c r="A655" s="600"/>
      <c r="K655" s="600"/>
    </row>
    <row r="656" spans="1:11">
      <c r="A656" s="600"/>
      <c r="K656" s="600"/>
    </row>
    <row r="657" spans="1:11">
      <c r="A657" s="600"/>
      <c r="K657" s="600"/>
    </row>
    <row r="658" spans="1:11">
      <c r="A658" s="600"/>
      <c r="K658" s="600"/>
    </row>
    <row r="659" spans="1:11">
      <c r="A659" s="600"/>
      <c r="K659" s="600"/>
    </row>
    <row r="660" spans="1:11">
      <c r="A660" s="600"/>
      <c r="K660" s="600"/>
    </row>
    <row r="661" spans="1:11">
      <c r="A661" s="600"/>
      <c r="K661" s="600"/>
    </row>
    <row r="662" spans="1:11">
      <c r="A662" s="600"/>
      <c r="K662" s="600"/>
    </row>
    <row r="663" spans="1:11">
      <c r="A663" s="600"/>
      <c r="K663" s="600"/>
    </row>
    <row r="664" spans="1:11">
      <c r="A664" s="600"/>
      <c r="K664" s="600"/>
    </row>
    <row r="665" spans="1:11">
      <c r="A665" s="600"/>
      <c r="K665" s="600"/>
    </row>
    <row r="666" spans="1:11">
      <c r="A666" s="600"/>
      <c r="K666" s="600"/>
    </row>
    <row r="667" spans="1:11">
      <c r="A667" s="600"/>
      <c r="K667" s="600"/>
    </row>
    <row r="668" spans="1:11">
      <c r="A668" s="600"/>
      <c r="K668" s="600"/>
    </row>
    <row r="669" spans="1:11">
      <c r="A669" s="600"/>
      <c r="K669" s="600"/>
    </row>
    <row r="670" spans="1:11">
      <c r="A670" s="600"/>
      <c r="K670" s="600"/>
    </row>
    <row r="671" spans="1:11">
      <c r="A671" s="600"/>
      <c r="K671" s="600"/>
    </row>
    <row r="672" spans="1:11">
      <c r="A672" s="600"/>
      <c r="K672" s="600"/>
    </row>
    <row r="673" spans="1:11">
      <c r="A673" s="600"/>
      <c r="K673" s="600"/>
    </row>
    <row r="674" spans="1:11">
      <c r="A674" s="600"/>
      <c r="K674" s="600"/>
    </row>
    <row r="675" spans="1:11">
      <c r="A675" s="600"/>
      <c r="K675" s="600"/>
    </row>
    <row r="676" spans="1:11">
      <c r="A676" s="600"/>
      <c r="K676" s="600"/>
    </row>
    <row r="677" spans="1:11">
      <c r="A677" s="600"/>
      <c r="K677" s="600"/>
    </row>
    <row r="678" spans="1:11">
      <c r="A678" s="600"/>
      <c r="K678" s="600"/>
    </row>
    <row r="679" spans="1:11">
      <c r="A679" s="600"/>
      <c r="K679" s="600"/>
    </row>
    <row r="680" spans="1:11">
      <c r="A680" s="600"/>
      <c r="K680" s="600"/>
    </row>
    <row r="681" spans="1:11">
      <c r="A681" s="600"/>
      <c r="K681" s="600"/>
    </row>
    <row r="682" spans="1:11">
      <c r="A682" s="600"/>
      <c r="K682" s="600"/>
    </row>
    <row r="683" spans="1:11">
      <c r="A683" s="600"/>
      <c r="K683" s="600"/>
    </row>
    <row r="684" spans="1:11">
      <c r="A684" s="600"/>
      <c r="K684" s="600"/>
    </row>
    <row r="685" spans="1:11">
      <c r="A685" s="600"/>
      <c r="K685" s="600"/>
    </row>
    <row r="686" spans="1:11">
      <c r="A686" s="600"/>
      <c r="K686" s="600"/>
    </row>
    <row r="687" spans="1:11">
      <c r="A687" s="600"/>
      <c r="K687" s="600"/>
    </row>
    <row r="688" spans="1:11">
      <c r="A688" s="600"/>
      <c r="K688" s="600"/>
    </row>
    <row r="689" spans="1:11">
      <c r="A689" s="600"/>
      <c r="K689" s="600"/>
    </row>
    <row r="690" spans="1:11">
      <c r="A690" s="600"/>
      <c r="K690" s="600"/>
    </row>
    <row r="691" spans="1:11">
      <c r="A691" s="600"/>
      <c r="K691" s="600"/>
    </row>
    <row r="692" spans="1:11">
      <c r="A692" s="600"/>
      <c r="K692" s="600"/>
    </row>
    <row r="693" spans="1:11">
      <c r="A693" s="600"/>
      <c r="K693" s="600"/>
    </row>
    <row r="694" spans="1:11">
      <c r="A694" s="600"/>
      <c r="K694" s="600"/>
    </row>
    <row r="695" spans="1:11">
      <c r="A695" s="600"/>
      <c r="K695" s="600"/>
    </row>
    <row r="696" spans="1:11">
      <c r="A696" s="600"/>
      <c r="K696" s="600"/>
    </row>
    <row r="697" spans="1:11">
      <c r="A697" s="600"/>
      <c r="K697" s="600"/>
    </row>
    <row r="698" spans="1:11">
      <c r="A698" s="600"/>
      <c r="K698" s="600"/>
    </row>
    <row r="699" spans="1:11">
      <c r="A699" s="600"/>
      <c r="K699" s="600"/>
    </row>
    <row r="700" spans="1:11">
      <c r="A700" s="600"/>
      <c r="K700" s="600"/>
    </row>
    <row r="701" spans="1:11">
      <c r="A701" s="600"/>
      <c r="K701" s="600"/>
    </row>
    <row r="702" spans="1:11">
      <c r="A702" s="600"/>
      <c r="K702" s="600"/>
    </row>
    <row r="703" spans="1:11">
      <c r="A703" s="600"/>
      <c r="K703" s="600"/>
    </row>
    <row r="704" spans="1:11">
      <c r="A704" s="600"/>
      <c r="K704" s="600"/>
    </row>
    <row r="705" spans="1:11">
      <c r="A705" s="600"/>
      <c r="K705" s="600"/>
    </row>
    <row r="706" spans="1:11">
      <c r="A706" s="600"/>
      <c r="K706" s="600"/>
    </row>
    <row r="707" spans="1:11">
      <c r="A707" s="600"/>
      <c r="K707" s="600"/>
    </row>
    <row r="708" spans="1:11">
      <c r="A708" s="600"/>
      <c r="K708" s="600"/>
    </row>
    <row r="709" spans="1:11">
      <c r="A709" s="600"/>
      <c r="K709" s="600"/>
    </row>
    <row r="710" spans="1:11">
      <c r="A710" s="600"/>
      <c r="K710" s="600"/>
    </row>
    <row r="711" spans="1:11">
      <c r="A711" s="600"/>
      <c r="K711" s="600"/>
    </row>
    <row r="712" spans="1:11">
      <c r="A712" s="600"/>
      <c r="K712" s="600"/>
    </row>
    <row r="713" spans="1:11">
      <c r="A713" s="600"/>
      <c r="K713" s="600"/>
    </row>
    <row r="714" spans="1:11">
      <c r="A714" s="600"/>
      <c r="K714" s="600"/>
    </row>
    <row r="715" spans="1:11">
      <c r="A715" s="600"/>
      <c r="K715" s="600"/>
    </row>
    <row r="716" spans="1:11">
      <c r="A716" s="600"/>
      <c r="K716" s="600"/>
    </row>
    <row r="717" spans="1:11">
      <c r="A717" s="600"/>
      <c r="K717" s="600"/>
    </row>
    <row r="718" spans="1:11">
      <c r="A718" s="600"/>
      <c r="K718" s="600"/>
    </row>
    <row r="719" spans="1:11">
      <c r="A719" s="600"/>
      <c r="K719" s="600"/>
    </row>
    <row r="720" spans="1:11">
      <c r="A720" s="600"/>
      <c r="K720" s="600"/>
    </row>
    <row r="721" spans="1:11">
      <c r="A721" s="600"/>
      <c r="K721" s="600"/>
    </row>
    <row r="722" spans="1:11">
      <c r="A722" s="600"/>
      <c r="K722" s="600"/>
    </row>
    <row r="723" spans="1:11">
      <c r="A723" s="600"/>
      <c r="K723" s="600"/>
    </row>
    <row r="724" spans="1:11">
      <c r="A724" s="600"/>
      <c r="K724" s="600"/>
    </row>
    <row r="725" spans="1:11">
      <c r="A725" s="600"/>
      <c r="K725" s="600"/>
    </row>
    <row r="726" spans="1:11">
      <c r="A726" s="600"/>
      <c r="K726" s="600"/>
    </row>
    <row r="727" spans="1:11">
      <c r="A727" s="600"/>
      <c r="K727" s="600"/>
    </row>
    <row r="728" spans="1:11">
      <c r="A728" s="600"/>
      <c r="K728" s="600"/>
    </row>
    <row r="729" spans="1:11">
      <c r="A729" s="600"/>
      <c r="K729" s="600"/>
    </row>
    <row r="730" spans="1:11">
      <c r="A730" s="600"/>
      <c r="K730" s="600"/>
    </row>
    <row r="731" spans="1:11">
      <c r="A731" s="600"/>
      <c r="K731" s="600"/>
    </row>
    <row r="732" spans="1:11">
      <c r="A732" s="600"/>
      <c r="K732" s="600"/>
    </row>
    <row r="733" spans="1:11">
      <c r="A733" s="600"/>
      <c r="K733" s="600"/>
    </row>
    <row r="734" spans="1:11">
      <c r="A734" s="600"/>
      <c r="K734" s="600"/>
    </row>
    <row r="735" spans="1:11">
      <c r="A735" s="600"/>
      <c r="K735" s="600"/>
    </row>
    <row r="736" spans="1:11">
      <c r="A736" s="600"/>
      <c r="K736" s="600"/>
    </row>
    <row r="737" spans="1:11">
      <c r="A737" s="600"/>
      <c r="K737" s="600"/>
    </row>
    <row r="738" spans="1:11">
      <c r="A738" s="600"/>
      <c r="K738" s="600"/>
    </row>
    <row r="739" spans="1:11">
      <c r="A739" s="600"/>
      <c r="K739" s="600"/>
    </row>
    <row r="740" spans="1:11">
      <c r="A740" s="600"/>
      <c r="K740" s="600"/>
    </row>
    <row r="741" spans="1:11">
      <c r="A741" s="600"/>
      <c r="K741" s="600"/>
    </row>
    <row r="742" spans="1:11">
      <c r="A742" s="600"/>
      <c r="K742" s="600"/>
    </row>
    <row r="743" spans="1:11">
      <c r="A743" s="600"/>
      <c r="K743" s="600"/>
    </row>
    <row r="744" spans="1:11">
      <c r="A744" s="600"/>
      <c r="K744" s="600"/>
    </row>
    <row r="745" spans="1:11">
      <c r="A745" s="600"/>
      <c r="K745" s="600"/>
    </row>
    <row r="746" spans="1:11">
      <c r="A746" s="600"/>
      <c r="K746" s="600"/>
    </row>
    <row r="747" spans="1:11">
      <c r="A747" s="600"/>
      <c r="K747" s="600"/>
    </row>
    <row r="748" spans="1:11">
      <c r="A748" s="600"/>
      <c r="K748" s="600"/>
    </row>
    <row r="749" spans="1:11">
      <c r="A749" s="600"/>
      <c r="K749" s="600"/>
    </row>
    <row r="750" spans="1:11">
      <c r="A750" s="600"/>
      <c r="K750" s="600"/>
    </row>
    <row r="751" spans="1:11">
      <c r="A751" s="600"/>
      <c r="K751" s="600"/>
    </row>
    <row r="752" spans="1:11">
      <c r="A752" s="600"/>
      <c r="K752" s="600"/>
    </row>
    <row r="753" spans="1:11">
      <c r="A753" s="600"/>
      <c r="K753" s="600"/>
    </row>
    <row r="754" spans="1:11">
      <c r="A754" s="600"/>
      <c r="K754" s="600"/>
    </row>
    <row r="755" spans="1:11">
      <c r="A755" s="600"/>
      <c r="K755" s="600"/>
    </row>
    <row r="756" spans="1:11">
      <c r="A756" s="600"/>
      <c r="K756" s="600"/>
    </row>
    <row r="757" spans="1:11">
      <c r="A757" s="600"/>
      <c r="K757" s="600"/>
    </row>
    <row r="758" spans="1:11">
      <c r="A758" s="600"/>
      <c r="K758" s="600"/>
    </row>
    <row r="759" spans="1:11">
      <c r="A759" s="600"/>
      <c r="K759" s="600"/>
    </row>
    <row r="760" spans="1:11">
      <c r="A760" s="600"/>
      <c r="K760" s="600"/>
    </row>
    <row r="761" spans="1:11">
      <c r="A761" s="600"/>
      <c r="K761" s="600"/>
    </row>
    <row r="762" spans="1:11">
      <c r="A762" s="600"/>
      <c r="K762" s="600"/>
    </row>
    <row r="763" spans="1:11">
      <c r="A763" s="600"/>
      <c r="K763" s="600"/>
    </row>
    <row r="764" spans="1:11">
      <c r="A764" s="600"/>
      <c r="K764" s="600"/>
    </row>
    <row r="765" spans="1:11">
      <c r="A765" s="600"/>
      <c r="K765" s="600"/>
    </row>
    <row r="766" spans="1:11">
      <c r="A766" s="600"/>
      <c r="K766" s="600"/>
    </row>
    <row r="767" spans="1:11">
      <c r="A767" s="600"/>
      <c r="K767" s="600"/>
    </row>
    <row r="768" spans="1:11">
      <c r="A768" s="600"/>
      <c r="K768" s="600"/>
    </row>
    <row r="769" spans="1:11">
      <c r="A769" s="600"/>
      <c r="K769" s="600"/>
    </row>
    <row r="770" spans="1:11">
      <c r="A770" s="600"/>
      <c r="K770" s="600"/>
    </row>
    <row r="771" spans="1:11">
      <c r="A771" s="600"/>
      <c r="K771" s="600"/>
    </row>
    <row r="772" spans="1:11">
      <c r="A772" s="600"/>
      <c r="K772" s="600"/>
    </row>
    <row r="773" spans="1:11">
      <c r="A773" s="600"/>
      <c r="K773" s="600"/>
    </row>
    <row r="774" spans="1:11">
      <c r="A774" s="600"/>
      <c r="K774" s="600"/>
    </row>
    <row r="775" spans="1:11">
      <c r="A775" s="600"/>
      <c r="K775" s="600"/>
    </row>
    <row r="776" spans="1:11">
      <c r="A776" s="600"/>
      <c r="K776" s="600"/>
    </row>
    <row r="777" spans="1:11">
      <c r="A777" s="600"/>
      <c r="K777" s="600"/>
    </row>
    <row r="778" spans="1:11">
      <c r="A778" s="600"/>
      <c r="K778" s="600"/>
    </row>
    <row r="779" spans="1:11">
      <c r="A779" s="600"/>
      <c r="K779" s="600"/>
    </row>
    <row r="780" spans="1:11">
      <c r="A780" s="600"/>
      <c r="K780" s="600"/>
    </row>
    <row r="781" spans="1:11">
      <c r="A781" s="600"/>
      <c r="K781" s="600"/>
    </row>
    <row r="782" spans="1:11">
      <c r="A782" s="600"/>
      <c r="K782" s="600"/>
    </row>
    <row r="783" spans="1:11">
      <c r="A783" s="600"/>
      <c r="K783" s="600"/>
    </row>
    <row r="784" spans="1:11">
      <c r="A784" s="600"/>
      <c r="K784" s="600"/>
    </row>
    <row r="785" spans="1:11">
      <c r="A785" s="600"/>
      <c r="K785" s="600"/>
    </row>
    <row r="786" spans="1:11">
      <c r="A786" s="600"/>
      <c r="K786" s="600"/>
    </row>
    <row r="787" spans="1:11">
      <c r="A787" s="600"/>
      <c r="K787" s="600"/>
    </row>
    <row r="788" spans="1:11">
      <c r="A788" s="600"/>
      <c r="K788" s="600"/>
    </row>
    <row r="789" spans="1:11">
      <c r="A789" s="600"/>
      <c r="K789" s="600"/>
    </row>
    <row r="790" spans="1:11">
      <c r="A790" s="600"/>
      <c r="K790" s="600"/>
    </row>
    <row r="791" spans="1:11">
      <c r="A791" s="600"/>
      <c r="K791" s="600"/>
    </row>
    <row r="792" spans="1:11">
      <c r="A792" s="600"/>
      <c r="K792" s="600"/>
    </row>
    <row r="793" spans="1:11">
      <c r="A793" s="600"/>
      <c r="K793" s="600"/>
    </row>
    <row r="794" spans="1:11">
      <c r="A794" s="600"/>
      <c r="K794" s="600"/>
    </row>
    <row r="795" spans="1:11">
      <c r="A795" s="600"/>
      <c r="K795" s="600"/>
    </row>
    <row r="796" spans="1:11">
      <c r="A796" s="600"/>
      <c r="K796" s="600"/>
    </row>
    <row r="797" spans="1:11">
      <c r="A797" s="600"/>
      <c r="K797" s="600"/>
    </row>
    <row r="798" spans="1:11">
      <c r="A798" s="600"/>
      <c r="K798" s="600"/>
    </row>
    <row r="799" spans="1:11">
      <c r="A799" s="600"/>
      <c r="K799" s="600"/>
    </row>
    <row r="800" spans="1:11">
      <c r="A800" s="600"/>
      <c r="K800" s="600"/>
    </row>
    <row r="801" spans="1:11">
      <c r="A801" s="600"/>
      <c r="K801" s="600"/>
    </row>
    <row r="802" spans="1:11">
      <c r="A802" s="600"/>
      <c r="K802" s="600"/>
    </row>
    <row r="803" spans="1:11">
      <c r="A803" s="600"/>
      <c r="K803" s="600"/>
    </row>
    <row r="804" spans="1:11">
      <c r="A804" s="600"/>
      <c r="K804" s="600"/>
    </row>
    <row r="805" spans="1:11">
      <c r="A805" s="600"/>
      <c r="K805" s="600"/>
    </row>
    <row r="806" spans="1:11">
      <c r="A806" s="600"/>
      <c r="K806" s="600"/>
    </row>
    <row r="807" spans="1:11">
      <c r="A807" s="600"/>
      <c r="K807" s="600"/>
    </row>
    <row r="808" spans="1:11">
      <c r="A808" s="600"/>
      <c r="K808" s="600"/>
    </row>
    <row r="809" spans="1:11">
      <c r="A809" s="600"/>
      <c r="K809" s="600"/>
    </row>
    <row r="810" spans="1:11">
      <c r="A810" s="600"/>
      <c r="K810" s="600"/>
    </row>
    <row r="811" spans="1:11">
      <c r="A811" s="600"/>
      <c r="K811" s="600"/>
    </row>
    <row r="812" spans="1:11">
      <c r="A812" s="600"/>
      <c r="K812" s="600"/>
    </row>
    <row r="813" spans="1:11">
      <c r="A813" s="600"/>
      <c r="K813" s="600"/>
    </row>
    <row r="814" spans="1:11">
      <c r="A814" s="600"/>
      <c r="K814" s="600"/>
    </row>
    <row r="815" spans="1:11">
      <c r="A815" s="600"/>
      <c r="K815" s="600"/>
    </row>
    <row r="816" spans="1:11">
      <c r="A816" s="600"/>
      <c r="K816" s="600"/>
    </row>
    <row r="817" spans="1:11">
      <c r="A817" s="600"/>
      <c r="K817" s="600"/>
    </row>
    <row r="818" spans="1:11">
      <c r="A818" s="600"/>
      <c r="K818" s="600"/>
    </row>
    <row r="819" spans="1:11">
      <c r="A819" s="600"/>
      <c r="K819" s="600"/>
    </row>
    <row r="820" spans="1:11">
      <c r="A820" s="600"/>
      <c r="K820" s="600"/>
    </row>
    <row r="821" spans="1:11">
      <c r="A821" s="600"/>
      <c r="K821" s="600"/>
    </row>
    <row r="822" spans="1:11">
      <c r="A822" s="600"/>
      <c r="K822" s="600"/>
    </row>
    <row r="823" spans="1:11">
      <c r="A823" s="600"/>
      <c r="K823" s="600"/>
    </row>
    <row r="824" spans="1:11">
      <c r="A824" s="600"/>
      <c r="K824" s="600"/>
    </row>
    <row r="825" spans="1:11">
      <c r="A825" s="600"/>
      <c r="K825" s="600"/>
    </row>
    <row r="826" spans="1:11">
      <c r="A826" s="600"/>
      <c r="K826" s="600"/>
    </row>
    <row r="827" spans="1:11">
      <c r="A827" s="600"/>
      <c r="K827" s="600"/>
    </row>
    <row r="828" spans="1:11">
      <c r="A828" s="600"/>
      <c r="K828" s="600"/>
    </row>
    <row r="829" spans="1:11">
      <c r="A829" s="600"/>
      <c r="K829" s="600"/>
    </row>
    <row r="830" spans="1:11">
      <c r="A830" s="600"/>
      <c r="K830" s="600"/>
    </row>
    <row r="831" spans="1:11">
      <c r="A831" s="600"/>
      <c r="K831" s="600"/>
    </row>
    <row r="832" spans="1:11">
      <c r="A832" s="600"/>
      <c r="K832" s="600"/>
    </row>
    <row r="833" spans="1:11">
      <c r="A833" s="600"/>
      <c r="K833" s="600"/>
    </row>
    <row r="834" spans="1:11">
      <c r="A834" s="600"/>
      <c r="K834" s="600"/>
    </row>
    <row r="835" spans="1:11">
      <c r="A835" s="600"/>
      <c r="K835" s="600"/>
    </row>
    <row r="836" spans="1:11">
      <c r="A836" s="600"/>
      <c r="K836" s="600"/>
    </row>
    <row r="837" spans="1:11">
      <c r="A837" s="600"/>
      <c r="K837" s="600"/>
    </row>
    <row r="838" spans="1:11">
      <c r="A838" s="600"/>
      <c r="K838" s="600"/>
    </row>
    <row r="839" spans="1:11">
      <c r="A839" s="600"/>
      <c r="K839" s="600"/>
    </row>
    <row r="840" spans="1:11">
      <c r="A840" s="600"/>
      <c r="K840" s="600"/>
    </row>
    <row r="841" spans="1:11">
      <c r="A841" s="600"/>
      <c r="K841" s="600"/>
    </row>
    <row r="842" spans="1:11">
      <c r="A842" s="600"/>
      <c r="K842" s="600"/>
    </row>
    <row r="843" spans="1:11">
      <c r="A843" s="600"/>
      <c r="K843" s="600"/>
    </row>
    <row r="844" spans="1:11">
      <c r="A844" s="600"/>
      <c r="K844" s="600"/>
    </row>
    <row r="845" spans="1:11">
      <c r="A845" s="600"/>
      <c r="K845" s="600"/>
    </row>
    <row r="846" spans="1:11">
      <c r="A846" s="600"/>
      <c r="K846" s="600"/>
    </row>
    <row r="847" spans="1:11">
      <c r="A847" s="600"/>
      <c r="K847" s="600"/>
    </row>
    <row r="848" spans="1:11">
      <c r="A848" s="600"/>
      <c r="K848" s="600"/>
    </row>
    <row r="849" spans="1:11">
      <c r="A849" s="600"/>
      <c r="K849" s="600"/>
    </row>
    <row r="850" spans="1:11">
      <c r="A850" s="600"/>
      <c r="K850" s="600"/>
    </row>
    <row r="851" spans="1:11">
      <c r="A851" s="600"/>
      <c r="K851" s="600"/>
    </row>
    <row r="852" spans="1:11">
      <c r="A852" s="600"/>
      <c r="K852" s="600"/>
    </row>
    <row r="853" spans="1:11">
      <c r="A853" s="600"/>
      <c r="K853" s="600"/>
    </row>
    <row r="854" spans="1:11">
      <c r="A854" s="600"/>
      <c r="K854" s="600"/>
    </row>
    <row r="855" spans="1:11">
      <c r="A855" s="600"/>
      <c r="K855" s="600"/>
    </row>
    <row r="856" spans="1:11">
      <c r="A856" s="600"/>
      <c r="K856" s="600"/>
    </row>
    <row r="857" spans="1:11">
      <c r="A857" s="600"/>
      <c r="K857" s="600"/>
    </row>
    <row r="858" spans="1:11">
      <c r="A858" s="600"/>
      <c r="K858" s="600"/>
    </row>
    <row r="859" spans="1:11">
      <c r="A859" s="600"/>
      <c r="K859" s="600"/>
    </row>
    <row r="860" spans="1:11">
      <c r="A860" s="600"/>
      <c r="K860" s="600"/>
    </row>
    <row r="861" spans="1:11">
      <c r="A861" s="600"/>
      <c r="K861" s="600"/>
    </row>
    <row r="862" spans="1:11">
      <c r="A862" s="600"/>
      <c r="K862" s="600"/>
    </row>
    <row r="863" spans="1:11">
      <c r="A863" s="600"/>
      <c r="K863" s="600"/>
    </row>
    <row r="864" spans="1:11">
      <c r="A864" s="600"/>
      <c r="K864" s="600"/>
    </row>
    <row r="865" spans="1:11">
      <c r="A865" s="600"/>
      <c r="K865" s="600"/>
    </row>
    <row r="866" spans="1:11">
      <c r="A866" s="600"/>
      <c r="K866" s="600"/>
    </row>
    <row r="867" spans="1:11">
      <c r="A867" s="600"/>
      <c r="K867" s="600"/>
    </row>
    <row r="868" spans="1:11">
      <c r="A868" s="600"/>
      <c r="K868" s="600"/>
    </row>
    <row r="869" spans="1:11">
      <c r="A869" s="600"/>
      <c r="K869" s="600"/>
    </row>
    <row r="870" spans="1:11">
      <c r="A870" s="600"/>
      <c r="K870" s="600"/>
    </row>
    <row r="871" spans="1:11">
      <c r="A871" s="600"/>
      <c r="K871" s="600"/>
    </row>
    <row r="872" spans="1:11">
      <c r="A872" s="600"/>
      <c r="K872" s="600"/>
    </row>
    <row r="873" spans="1:11">
      <c r="A873" s="600"/>
      <c r="K873" s="600"/>
    </row>
    <row r="874" spans="1:11">
      <c r="A874" s="600"/>
      <c r="K874" s="600"/>
    </row>
    <row r="875" spans="1:11">
      <c r="A875" s="600"/>
      <c r="K875" s="600"/>
    </row>
    <row r="876" spans="1:11">
      <c r="A876" s="600"/>
      <c r="K876" s="600"/>
    </row>
    <row r="877" spans="1:11">
      <c r="A877" s="600"/>
      <c r="K877" s="600"/>
    </row>
    <row r="878" spans="1:11">
      <c r="A878" s="600"/>
      <c r="K878" s="600"/>
    </row>
    <row r="879" spans="1:11">
      <c r="A879" s="600"/>
      <c r="K879" s="600"/>
    </row>
    <row r="880" spans="1:11">
      <c r="A880" s="600"/>
      <c r="K880" s="600"/>
    </row>
    <row r="881" spans="1:11">
      <c r="A881" s="600"/>
      <c r="K881" s="600"/>
    </row>
    <row r="882" spans="1:11">
      <c r="A882" s="600"/>
      <c r="K882" s="600"/>
    </row>
    <row r="883" spans="1:11">
      <c r="A883" s="600"/>
      <c r="K883" s="600"/>
    </row>
    <row r="884" spans="1:11">
      <c r="A884" s="600"/>
      <c r="K884" s="600"/>
    </row>
    <row r="885" spans="1:11">
      <c r="A885" s="600"/>
      <c r="K885" s="600"/>
    </row>
    <row r="886" spans="1:11">
      <c r="A886" s="600"/>
      <c r="K886" s="600"/>
    </row>
    <row r="887" spans="1:11">
      <c r="A887" s="600"/>
      <c r="K887" s="600"/>
    </row>
    <row r="888" spans="1:11">
      <c r="A888" s="600"/>
      <c r="K888" s="600"/>
    </row>
    <row r="889" spans="1:11">
      <c r="A889" s="600"/>
      <c r="K889" s="600"/>
    </row>
    <row r="890" spans="1:11">
      <c r="A890" s="600"/>
      <c r="K890" s="600"/>
    </row>
    <row r="891" spans="1:11">
      <c r="A891" s="600"/>
      <c r="K891" s="600"/>
    </row>
    <row r="892" spans="1:11">
      <c r="A892" s="600"/>
      <c r="K892" s="600"/>
    </row>
    <row r="893" spans="1:11">
      <c r="A893" s="600"/>
      <c r="K893" s="600"/>
    </row>
    <row r="894" spans="1:11">
      <c r="A894" s="600"/>
      <c r="K894" s="600"/>
    </row>
    <row r="895" spans="1:11">
      <c r="A895" s="600"/>
      <c r="K895" s="600"/>
    </row>
    <row r="896" spans="1:11">
      <c r="A896" s="600"/>
      <c r="K896" s="600"/>
    </row>
    <row r="897" spans="1:11">
      <c r="A897" s="600"/>
      <c r="K897" s="600"/>
    </row>
    <row r="898" spans="1:11">
      <c r="A898" s="600"/>
      <c r="K898" s="600"/>
    </row>
    <row r="899" spans="1:11">
      <c r="A899" s="600"/>
      <c r="K899" s="600"/>
    </row>
    <row r="900" spans="1:11">
      <c r="A900" s="600"/>
      <c r="K900" s="600"/>
    </row>
    <row r="901" spans="1:11">
      <c r="A901" s="600"/>
      <c r="K901" s="600"/>
    </row>
    <row r="902" spans="1:11">
      <c r="A902" s="600"/>
      <c r="K902" s="600"/>
    </row>
    <row r="903" spans="1:11">
      <c r="A903" s="600"/>
      <c r="K903" s="600"/>
    </row>
    <row r="904" spans="1:11">
      <c r="A904" s="600"/>
      <c r="K904" s="600"/>
    </row>
    <row r="905" spans="1:11">
      <c r="A905" s="600"/>
      <c r="K905" s="600"/>
    </row>
    <row r="906" spans="1:11">
      <c r="A906" s="600"/>
      <c r="K906" s="600"/>
    </row>
    <row r="907" spans="1:11">
      <c r="A907" s="600"/>
      <c r="K907" s="600"/>
    </row>
    <row r="908" spans="1:11">
      <c r="A908" s="600"/>
      <c r="K908" s="600"/>
    </row>
    <row r="909" spans="1:11">
      <c r="A909" s="600"/>
      <c r="K909" s="600"/>
    </row>
    <row r="910" spans="1:11">
      <c r="A910" s="600"/>
      <c r="K910" s="600"/>
    </row>
    <row r="911" spans="1:11">
      <c r="A911" s="600"/>
      <c r="K911" s="600"/>
    </row>
    <row r="912" spans="1:11">
      <c r="A912" s="600"/>
      <c r="K912" s="600"/>
    </row>
    <row r="913" spans="1:11">
      <c r="A913" s="600"/>
      <c r="K913" s="600"/>
    </row>
    <row r="914" spans="1:11">
      <c r="A914" s="600"/>
      <c r="K914" s="600"/>
    </row>
    <row r="915" spans="1:11">
      <c r="A915" s="600"/>
      <c r="K915" s="600"/>
    </row>
    <row r="916" spans="1:11">
      <c r="A916" s="600"/>
      <c r="K916" s="600"/>
    </row>
    <row r="917" spans="1:11">
      <c r="A917" s="600"/>
      <c r="K917" s="600"/>
    </row>
    <row r="918" spans="1:11">
      <c r="A918" s="600"/>
      <c r="K918" s="600"/>
    </row>
    <row r="919" spans="1:11">
      <c r="A919" s="600"/>
      <c r="K919" s="600"/>
    </row>
    <row r="920" spans="1:11">
      <c r="A920" s="600"/>
      <c r="K920" s="600"/>
    </row>
    <row r="921" spans="1:11">
      <c r="A921" s="600"/>
      <c r="K921" s="600"/>
    </row>
    <row r="922" spans="1:11">
      <c r="A922" s="600"/>
      <c r="K922" s="600"/>
    </row>
    <row r="923" spans="1:11">
      <c r="A923" s="600"/>
      <c r="K923" s="600"/>
    </row>
    <row r="924" spans="1:11">
      <c r="A924" s="600"/>
      <c r="K924" s="600"/>
    </row>
    <row r="925" spans="1:11">
      <c r="A925" s="600"/>
      <c r="K925" s="600"/>
    </row>
    <row r="926" spans="1:11">
      <c r="A926" s="600"/>
      <c r="K926" s="600"/>
    </row>
    <row r="927" spans="1:11">
      <c r="A927" s="600"/>
      <c r="K927" s="600"/>
    </row>
    <row r="928" spans="1:11">
      <c r="A928" s="600"/>
      <c r="K928" s="600"/>
    </row>
    <row r="929" spans="1:11">
      <c r="A929" s="600"/>
      <c r="K929" s="600"/>
    </row>
    <row r="930" spans="1:11">
      <c r="A930" s="600"/>
      <c r="K930" s="600"/>
    </row>
    <row r="931" spans="1:11">
      <c r="A931" s="600"/>
      <c r="K931" s="600"/>
    </row>
    <row r="932" spans="1:11">
      <c r="A932" s="600"/>
      <c r="K932" s="600"/>
    </row>
    <row r="933" spans="1:11">
      <c r="A933" s="600"/>
      <c r="K933" s="600"/>
    </row>
    <row r="934" spans="1:11">
      <c r="A934" s="600"/>
      <c r="K934" s="600"/>
    </row>
    <row r="935" spans="1:11">
      <c r="A935" s="600"/>
      <c r="K935" s="600"/>
    </row>
    <row r="936" spans="1:11">
      <c r="A936" s="600"/>
      <c r="K936" s="600"/>
    </row>
    <row r="937" spans="1:11">
      <c r="A937" s="600"/>
      <c r="K937" s="600"/>
    </row>
    <row r="938" spans="1:11">
      <c r="A938" s="600"/>
      <c r="K938" s="600"/>
    </row>
    <row r="939" spans="1:11">
      <c r="A939" s="600"/>
      <c r="K939" s="600"/>
    </row>
    <row r="940" spans="1:11">
      <c r="A940" s="600"/>
      <c r="K940" s="600"/>
    </row>
    <row r="941" spans="1:11">
      <c r="A941" s="600"/>
      <c r="K941" s="600"/>
    </row>
    <row r="942" spans="1:11">
      <c r="A942" s="600"/>
      <c r="K942" s="600"/>
    </row>
    <row r="943" spans="1:11">
      <c r="A943" s="600"/>
      <c r="K943" s="600"/>
    </row>
    <row r="944" spans="1:11">
      <c r="A944" s="600"/>
      <c r="K944" s="600"/>
    </row>
    <row r="945" spans="1:11">
      <c r="A945" s="600"/>
      <c r="K945" s="600"/>
    </row>
    <row r="946" spans="1:11">
      <c r="A946" s="600"/>
      <c r="K946" s="600"/>
    </row>
    <row r="947" spans="1:11">
      <c r="A947" s="600"/>
      <c r="K947" s="600"/>
    </row>
    <row r="948" spans="1:11">
      <c r="A948" s="600"/>
      <c r="K948" s="600"/>
    </row>
    <row r="949" spans="1:11">
      <c r="A949" s="600"/>
      <c r="K949" s="600"/>
    </row>
    <row r="950" spans="1:11">
      <c r="A950" s="600"/>
      <c r="K950" s="600"/>
    </row>
    <row r="951" spans="1:11">
      <c r="A951" s="600"/>
      <c r="K951" s="600"/>
    </row>
    <row r="952" spans="1:11">
      <c r="A952" s="600"/>
      <c r="K952" s="600"/>
    </row>
    <row r="953" spans="1:11">
      <c r="A953" s="600"/>
      <c r="K953" s="600"/>
    </row>
    <row r="954" spans="1:11">
      <c r="A954" s="600"/>
      <c r="K954" s="600"/>
    </row>
    <row r="955" spans="1:11">
      <c r="A955" s="600"/>
      <c r="K955" s="600"/>
    </row>
    <row r="956" spans="1:11">
      <c r="A956" s="600"/>
      <c r="K956" s="600"/>
    </row>
    <row r="957" spans="1:11">
      <c r="A957" s="600"/>
      <c r="K957" s="600"/>
    </row>
    <row r="958" spans="1:11">
      <c r="A958" s="600"/>
      <c r="K958" s="600"/>
    </row>
    <row r="959" spans="1:11">
      <c r="A959" s="600"/>
      <c r="K959" s="600"/>
    </row>
    <row r="960" spans="1:11">
      <c r="A960" s="600"/>
      <c r="K960" s="600"/>
    </row>
    <row r="961" spans="1:11">
      <c r="A961" s="600"/>
      <c r="K961" s="600"/>
    </row>
    <row r="962" spans="1:11">
      <c r="A962" s="600"/>
      <c r="K962" s="600"/>
    </row>
    <row r="963" spans="1:11">
      <c r="A963" s="600"/>
      <c r="K963" s="600"/>
    </row>
    <row r="964" spans="1:11">
      <c r="A964" s="600"/>
      <c r="K964" s="600"/>
    </row>
    <row r="965" spans="1:11">
      <c r="A965" s="600"/>
      <c r="K965" s="600"/>
    </row>
    <row r="966" spans="1:11">
      <c r="A966" s="600"/>
      <c r="K966" s="600"/>
    </row>
    <row r="967" spans="1:11">
      <c r="A967" s="600"/>
      <c r="K967" s="600"/>
    </row>
    <row r="968" spans="1:11">
      <c r="A968" s="600"/>
      <c r="K968" s="600"/>
    </row>
    <row r="969" spans="1:11">
      <c r="A969" s="600"/>
      <c r="K969" s="600"/>
    </row>
    <row r="970" spans="1:11">
      <c r="A970" s="600"/>
      <c r="K970" s="600"/>
    </row>
    <row r="971" spans="1:11">
      <c r="A971" s="600"/>
      <c r="K971" s="600"/>
    </row>
    <row r="972" spans="1:11">
      <c r="A972" s="600"/>
      <c r="K972" s="600"/>
    </row>
    <row r="973" spans="1:11">
      <c r="A973" s="600"/>
      <c r="K973" s="600"/>
    </row>
    <row r="974" spans="1:11">
      <c r="A974" s="600"/>
      <c r="K974" s="600"/>
    </row>
    <row r="975" spans="1:11">
      <c r="A975" s="600"/>
      <c r="K975" s="600"/>
    </row>
    <row r="976" spans="1:11">
      <c r="A976" s="600"/>
      <c r="K976" s="600"/>
    </row>
    <row r="977" spans="1:11">
      <c r="A977" s="600"/>
      <c r="K977" s="600"/>
    </row>
    <row r="978" spans="1:11">
      <c r="A978" s="600"/>
      <c r="K978" s="600"/>
    </row>
    <row r="979" spans="1:11">
      <c r="A979" s="600"/>
      <c r="K979" s="600"/>
    </row>
    <row r="980" spans="1:11">
      <c r="A980" s="600"/>
      <c r="K980" s="600"/>
    </row>
    <row r="981" spans="1:11">
      <c r="A981" s="600"/>
      <c r="K981" s="600"/>
    </row>
    <row r="982" spans="1:11">
      <c r="A982" s="600"/>
      <c r="K982" s="600"/>
    </row>
    <row r="983" spans="1:11">
      <c r="A983" s="600"/>
      <c r="K983" s="600"/>
    </row>
    <row r="984" spans="1:11">
      <c r="A984" s="600"/>
      <c r="K984" s="600"/>
    </row>
    <row r="985" spans="1:11">
      <c r="A985" s="600"/>
      <c r="K985" s="600"/>
    </row>
    <row r="986" spans="1:11">
      <c r="A986" s="600"/>
      <c r="K986" s="600"/>
    </row>
    <row r="987" spans="1:11">
      <c r="A987" s="600"/>
      <c r="K987" s="600"/>
    </row>
    <row r="988" spans="1:11">
      <c r="A988" s="600"/>
      <c r="K988" s="600"/>
    </row>
    <row r="989" spans="1:11">
      <c r="A989" s="600"/>
      <c r="K989" s="600"/>
    </row>
    <row r="990" spans="1:11">
      <c r="A990" s="600"/>
      <c r="K990" s="600"/>
    </row>
    <row r="991" spans="1:11">
      <c r="A991" s="600"/>
      <c r="K991" s="600"/>
    </row>
    <row r="992" spans="1:11">
      <c r="A992" s="600"/>
      <c r="K992" s="600"/>
    </row>
    <row r="993" spans="1:11">
      <c r="A993" s="600"/>
      <c r="K993" s="600"/>
    </row>
    <row r="994" spans="1:11">
      <c r="A994" s="600"/>
      <c r="K994" s="600"/>
    </row>
    <row r="995" spans="1:11">
      <c r="A995" s="600"/>
      <c r="K995" s="600"/>
    </row>
    <row r="996" spans="1:11">
      <c r="A996" s="600"/>
      <c r="K996" s="600"/>
    </row>
    <row r="997" spans="1:11">
      <c r="A997" s="600"/>
      <c r="K997" s="600"/>
    </row>
    <row r="998" spans="1:11">
      <c r="A998" s="600"/>
      <c r="K998" s="600"/>
    </row>
    <row r="999" spans="1:11">
      <c r="A999" s="600"/>
      <c r="K999" s="600"/>
    </row>
    <row r="1000" spans="1:11">
      <c r="A1000" s="600"/>
      <c r="K1000" s="600"/>
    </row>
    <row r="1001" spans="1:11">
      <c r="A1001" s="600"/>
      <c r="K1001" s="600"/>
    </row>
    <row r="1002" spans="1:11">
      <c r="A1002" s="600"/>
      <c r="K1002" s="600"/>
    </row>
    <row r="1003" spans="1:11">
      <c r="A1003" s="600"/>
      <c r="K1003" s="600"/>
    </row>
    <row r="1004" spans="1:11">
      <c r="A1004" s="600"/>
      <c r="K1004" s="600"/>
    </row>
  </sheetData>
  <phoneticPr fontId="135"/>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M56"/>
  <sheetViews>
    <sheetView workbookViewId="0"/>
  </sheetViews>
  <sheetFormatPr defaultColWidth="12.6328125" defaultRowHeight="15" customHeight="1"/>
  <cols>
    <col min="1" max="1" width="13.90625" customWidth="1"/>
  </cols>
  <sheetData>
    <row r="1" spans="1:13">
      <c r="A1" s="594" t="s">
        <v>4919</v>
      </c>
      <c r="B1" s="594" t="s">
        <v>4920</v>
      </c>
      <c r="E1" s="594" t="s">
        <v>4921</v>
      </c>
    </row>
    <row r="2" spans="1:13">
      <c r="A2" s="594" t="s">
        <v>4922</v>
      </c>
      <c r="B2" s="594" t="s">
        <v>4923</v>
      </c>
      <c r="E2" s="594" t="s">
        <v>4921</v>
      </c>
    </row>
    <row r="5" spans="1:13" ht="15" customHeight="1">
      <c r="A5" s="903" t="s">
        <v>4924</v>
      </c>
      <c r="B5" s="903" t="s">
        <v>4925</v>
      </c>
    </row>
    <row r="6" spans="1:13" ht="15" customHeight="1">
      <c r="B6" s="903"/>
    </row>
    <row r="7" spans="1:13" ht="15" customHeight="1">
      <c r="A7" s="594" t="s">
        <v>4924</v>
      </c>
      <c r="B7" s="903" t="s">
        <v>4926</v>
      </c>
    </row>
    <row r="9" spans="1:13">
      <c r="A9" s="594" t="s">
        <v>4927</v>
      </c>
      <c r="D9" s="594" t="s">
        <v>4928</v>
      </c>
    </row>
    <row r="10" spans="1:13">
      <c r="D10" s="1502" t="s">
        <v>4929</v>
      </c>
      <c r="E10" s="1503"/>
      <c r="F10" s="1503"/>
    </row>
    <row r="11" spans="1:13">
      <c r="C11" s="594" t="s">
        <v>2293</v>
      </c>
      <c r="D11" s="1504" t="s">
        <v>3293</v>
      </c>
      <c r="E11" s="1505" t="s">
        <v>3296</v>
      </c>
      <c r="F11" s="1505" t="s">
        <v>3298</v>
      </c>
    </row>
    <row r="12" spans="1:13">
      <c r="D12" s="1506" t="s">
        <v>4930</v>
      </c>
      <c r="E12" s="1719" t="s">
        <v>4931</v>
      </c>
      <c r="F12" s="1602"/>
      <c r="J12" s="1720" t="s">
        <v>4932</v>
      </c>
      <c r="K12" s="1602"/>
      <c r="L12" s="1602"/>
      <c r="M12" s="1602"/>
    </row>
    <row r="13" spans="1:13">
      <c r="F13" s="1507" t="s">
        <v>4933</v>
      </c>
      <c r="J13" s="1602"/>
      <c r="K13" s="1602"/>
      <c r="L13" s="1602"/>
      <c r="M13" s="1602"/>
    </row>
    <row r="14" spans="1:13">
      <c r="F14" s="1507" t="s">
        <v>4934</v>
      </c>
      <c r="J14" s="1602"/>
      <c r="K14" s="1602"/>
      <c r="L14" s="1602"/>
      <c r="M14" s="1602"/>
    </row>
    <row r="15" spans="1:13" ht="15" customHeight="1">
      <c r="J15" s="1602"/>
      <c r="K15" s="1602"/>
      <c r="L15" s="1602"/>
      <c r="M15" s="1602"/>
    </row>
    <row r="16" spans="1:13">
      <c r="D16" s="594" t="s">
        <v>4928</v>
      </c>
      <c r="G16" s="594" t="s">
        <v>4928</v>
      </c>
      <c r="J16" s="1602"/>
      <c r="K16" s="1602"/>
      <c r="L16" s="1602"/>
      <c r="M16" s="1602"/>
    </row>
    <row r="17" spans="3:13">
      <c r="D17" s="1502" t="s">
        <v>4929</v>
      </c>
      <c r="E17" s="1503"/>
      <c r="F17" s="1503"/>
      <c r="G17" s="1508" t="s">
        <v>4929</v>
      </c>
      <c r="H17" s="1509"/>
      <c r="J17" s="1602"/>
      <c r="K17" s="1602"/>
      <c r="L17" s="1602"/>
      <c r="M17" s="1602"/>
    </row>
    <row r="18" spans="3:13">
      <c r="D18" s="1504" t="s">
        <v>3293</v>
      </c>
      <c r="E18" s="1505" t="s">
        <v>3296</v>
      </c>
      <c r="F18" s="1505" t="s">
        <v>3298</v>
      </c>
      <c r="G18" s="1505" t="s">
        <v>3300</v>
      </c>
      <c r="H18" s="1510" t="s">
        <v>3302</v>
      </c>
      <c r="J18" s="1602"/>
      <c r="K18" s="1602"/>
      <c r="L18" s="1602"/>
      <c r="M18" s="1602"/>
    </row>
    <row r="19" spans="3:13">
      <c r="D19" s="1506" t="s">
        <v>4930</v>
      </c>
      <c r="E19" s="1719" t="s">
        <v>4931</v>
      </c>
      <c r="F19" s="1602"/>
      <c r="G19" s="1721" t="s">
        <v>4935</v>
      </c>
      <c r="H19" s="1602"/>
      <c r="J19" s="1602"/>
      <c r="K19" s="1602"/>
      <c r="L19" s="1602"/>
      <c r="M19" s="1602"/>
    </row>
    <row r="20" spans="3:13">
      <c r="F20" s="1507" t="s">
        <v>4933</v>
      </c>
      <c r="G20" s="594"/>
      <c r="H20" s="1507" t="s">
        <v>4933</v>
      </c>
      <c r="J20" s="1602"/>
      <c r="K20" s="1602"/>
      <c r="L20" s="1602"/>
      <c r="M20" s="1602"/>
    </row>
    <row r="21" spans="3:13">
      <c r="F21" s="1511" t="s">
        <v>4934</v>
      </c>
      <c r="H21" s="1511" t="s">
        <v>4934</v>
      </c>
    </row>
    <row r="23" spans="3:13">
      <c r="C23" s="1507" t="s">
        <v>4936</v>
      </c>
      <c r="D23" s="594" t="s">
        <v>4928</v>
      </c>
      <c r="G23" s="594" t="s">
        <v>4928</v>
      </c>
      <c r="I23" s="1045" t="s">
        <v>4937</v>
      </c>
      <c r="L23" s="594"/>
    </row>
    <row r="24" spans="3:13">
      <c r="D24" s="1502" t="s">
        <v>4929</v>
      </c>
      <c r="E24" s="1503"/>
      <c r="F24" s="1503"/>
      <c r="G24" s="1508" t="s">
        <v>4929</v>
      </c>
      <c r="H24" s="1509"/>
      <c r="I24" s="1502" t="s">
        <v>4929</v>
      </c>
      <c r="J24" s="1503"/>
      <c r="K24" s="1503"/>
      <c r="L24" s="1508"/>
      <c r="M24" s="1509"/>
    </row>
    <row r="25" spans="3:13">
      <c r="D25" s="1504" t="s">
        <v>3293</v>
      </c>
      <c r="E25" s="1505" t="s">
        <v>3296</v>
      </c>
      <c r="F25" s="1505" t="s">
        <v>3298</v>
      </c>
      <c r="G25" s="1505" t="s">
        <v>3300</v>
      </c>
      <c r="H25" s="1510" t="s">
        <v>3302</v>
      </c>
      <c r="I25" s="1504" t="s">
        <v>3293</v>
      </c>
      <c r="J25" s="1505" t="s">
        <v>3296</v>
      </c>
      <c r="K25" s="1505" t="s">
        <v>3298</v>
      </c>
      <c r="L25" s="1505" t="s">
        <v>3300</v>
      </c>
      <c r="M25" s="1510" t="s">
        <v>3302</v>
      </c>
    </row>
    <row r="26" spans="3:13">
      <c r="D26" s="1506" t="s">
        <v>4930</v>
      </c>
      <c r="E26" s="1719" t="s">
        <v>4931</v>
      </c>
      <c r="F26" s="1602"/>
      <c r="G26" s="1721" t="s">
        <v>4935</v>
      </c>
      <c r="H26" s="1602"/>
      <c r="I26" s="1716" t="s">
        <v>4296</v>
      </c>
      <c r="J26" s="1602"/>
      <c r="K26" s="1602"/>
      <c r="L26" s="1602"/>
      <c r="M26" s="1602"/>
    </row>
    <row r="27" spans="3:13">
      <c r="F27" s="1507" t="s">
        <v>4933</v>
      </c>
      <c r="G27" s="594"/>
      <c r="H27" s="1507" t="s">
        <v>4933</v>
      </c>
      <c r="K27" s="1507"/>
      <c r="L27" s="594"/>
      <c r="M27" s="1507" t="s">
        <v>4933</v>
      </c>
    </row>
    <row r="28" spans="3:13">
      <c r="F28" s="1511" t="s">
        <v>4934</v>
      </c>
      <c r="H28" s="1512" t="s">
        <v>4938</v>
      </c>
      <c r="K28" s="1511"/>
      <c r="M28" s="1511" t="s">
        <v>4934</v>
      </c>
    </row>
    <row r="29" spans="3:13">
      <c r="H29" s="1507" t="s">
        <v>4934</v>
      </c>
      <c r="M29" s="1512" t="s">
        <v>4938</v>
      </c>
    </row>
    <row r="31" spans="3:13">
      <c r="C31" s="594" t="s">
        <v>3137</v>
      </c>
      <c r="D31" s="594" t="s">
        <v>4928</v>
      </c>
      <c r="G31" s="594"/>
    </row>
    <row r="32" spans="3:13" ht="14.5">
      <c r="D32" s="1502" t="s">
        <v>4929</v>
      </c>
      <c r="E32" s="1503"/>
      <c r="F32" s="1503"/>
      <c r="G32" s="1508"/>
      <c r="H32" s="1509"/>
    </row>
    <row r="33" spans="2:12" ht="14.5">
      <c r="D33" s="1504" t="s">
        <v>3293</v>
      </c>
      <c r="E33" s="1505" t="s">
        <v>3296</v>
      </c>
      <c r="F33" s="1505" t="s">
        <v>3298</v>
      </c>
      <c r="G33" s="1505" t="s">
        <v>3300</v>
      </c>
      <c r="H33" s="1510" t="s">
        <v>3302</v>
      </c>
    </row>
    <row r="34" spans="2:12" ht="14.5">
      <c r="D34" s="1716" t="s">
        <v>4296</v>
      </c>
      <c r="E34" s="1602"/>
      <c r="F34" s="1602"/>
      <c r="G34" s="1602"/>
      <c r="H34" s="1602"/>
    </row>
    <row r="35" spans="2:12" ht="14.5">
      <c r="F35" s="1513" t="s">
        <v>4933</v>
      </c>
      <c r="G35" s="594"/>
      <c r="H35" s="1507" t="s">
        <v>4933</v>
      </c>
    </row>
    <row r="36" spans="2:12" ht="14.5">
      <c r="F36" s="1512" t="s">
        <v>4939</v>
      </c>
      <c r="H36" s="1507" t="s">
        <v>4934</v>
      </c>
    </row>
    <row r="41" spans="2:12" ht="14.5">
      <c r="B41" s="595" t="s">
        <v>4940</v>
      </c>
      <c r="E41" s="594" t="s">
        <v>4941</v>
      </c>
      <c r="F41" s="1717">
        <v>8040005017680</v>
      </c>
      <c r="G41" s="1602"/>
    </row>
    <row r="42" spans="2:12" ht="14.5">
      <c r="B42" s="594" t="s">
        <v>4942</v>
      </c>
      <c r="E42" s="594" t="s">
        <v>4943</v>
      </c>
      <c r="F42" s="594" t="s">
        <v>4944</v>
      </c>
    </row>
    <row r="43" spans="2:12" ht="14.5">
      <c r="B43" s="594" t="s">
        <v>4945</v>
      </c>
      <c r="E43" s="594" t="s">
        <v>4946</v>
      </c>
      <c r="F43" s="1514">
        <v>45086</v>
      </c>
    </row>
    <row r="44" spans="2:12" ht="14.5">
      <c r="B44" s="594" t="s">
        <v>4947</v>
      </c>
      <c r="C44" s="594" t="s">
        <v>4948</v>
      </c>
      <c r="E44" s="594" t="s">
        <v>4949</v>
      </c>
      <c r="F44" s="594" t="s">
        <v>4950</v>
      </c>
    </row>
    <row r="45" spans="2:12" ht="14.5">
      <c r="E45" s="594" t="s">
        <v>4951</v>
      </c>
      <c r="F45" s="594" t="s">
        <v>4952</v>
      </c>
    </row>
    <row r="46" spans="2:12" ht="14.5">
      <c r="L46" s="594"/>
    </row>
    <row r="47" spans="2:12" ht="14.5">
      <c r="B47" s="594" t="s">
        <v>4953</v>
      </c>
      <c r="E47" s="594" t="s">
        <v>4941</v>
      </c>
      <c r="F47" s="1718">
        <v>4500005001501</v>
      </c>
      <c r="G47" s="1602"/>
    </row>
    <row r="48" spans="2:12" ht="14.5">
      <c r="B48" s="594" t="s">
        <v>4954</v>
      </c>
      <c r="E48" s="594" t="s">
        <v>4943</v>
      </c>
      <c r="F48" s="594" t="s">
        <v>4955</v>
      </c>
    </row>
    <row r="49" spans="2:7" ht="14.5">
      <c r="B49" s="594" t="s">
        <v>4956</v>
      </c>
      <c r="E49" s="594" t="s">
        <v>4946</v>
      </c>
      <c r="F49" s="1514">
        <v>43735</v>
      </c>
    </row>
    <row r="50" spans="2:7" ht="14.5">
      <c r="B50" s="594" t="s">
        <v>4957</v>
      </c>
      <c r="E50" s="594" t="s">
        <v>4949</v>
      </c>
      <c r="F50" s="594" t="s">
        <v>4958</v>
      </c>
    </row>
    <row r="53" spans="2:7" ht="14.5">
      <c r="B53" s="594" t="s">
        <v>4959</v>
      </c>
      <c r="E53" s="594" t="s">
        <v>4941</v>
      </c>
      <c r="F53" s="1718">
        <v>7500001024222</v>
      </c>
      <c r="G53" s="1602"/>
    </row>
    <row r="54" spans="2:7" ht="14.5">
      <c r="B54" s="594" t="s">
        <v>4960</v>
      </c>
      <c r="E54" s="594" t="s">
        <v>4943</v>
      </c>
      <c r="F54" s="594" t="s">
        <v>4961</v>
      </c>
    </row>
    <row r="55" spans="2:7" ht="14.5">
      <c r="B55" s="594" t="s">
        <v>4962</v>
      </c>
      <c r="E55" s="594" t="s">
        <v>4949</v>
      </c>
      <c r="F55" s="594" t="s">
        <v>4963</v>
      </c>
    </row>
    <row r="56" spans="2:7" ht="14.5">
      <c r="B56" s="594" t="s">
        <v>4964</v>
      </c>
      <c r="C56" s="594" t="s">
        <v>4965</v>
      </c>
    </row>
  </sheetData>
  <mergeCells count="11">
    <mergeCell ref="J12:M20"/>
    <mergeCell ref="E19:F19"/>
    <mergeCell ref="G19:H19"/>
    <mergeCell ref="E26:F26"/>
    <mergeCell ref="G26:H26"/>
    <mergeCell ref="I26:M26"/>
    <mergeCell ref="D34:H34"/>
    <mergeCell ref="F41:G41"/>
    <mergeCell ref="F47:G47"/>
    <mergeCell ref="F53:G53"/>
    <mergeCell ref="E12:F12"/>
  </mergeCells>
  <phoneticPr fontId="135"/>
  <printOptions horizontalCentered="1" gridLines="1"/>
  <pageMargins left="0.7" right="0.7" top="0.75" bottom="0.75" header="0" footer="0"/>
  <pageSetup paperSize="9" fitToHeight="0" pageOrder="overThenDown" orientation="landscape" cellComments="atEnd"/>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C95"/>
  <sheetViews>
    <sheetView workbookViewId="0"/>
  </sheetViews>
  <sheetFormatPr defaultColWidth="12.6328125" defaultRowHeight="15" customHeight="1"/>
  <cols>
    <col min="1" max="29" width="7.453125" customWidth="1"/>
  </cols>
  <sheetData>
    <row r="1" spans="1:29" ht="18">
      <c r="A1" s="1375"/>
      <c r="B1" s="1375"/>
      <c r="C1" s="1375"/>
      <c r="D1" s="1375"/>
      <c r="E1" s="1375"/>
      <c r="F1" s="1375"/>
      <c r="G1" s="1375"/>
      <c r="H1" s="1375"/>
      <c r="I1" s="1375"/>
      <c r="J1" s="1375"/>
      <c r="K1" s="1375"/>
      <c r="L1" s="1375"/>
      <c r="M1" s="1375"/>
      <c r="N1" s="1375"/>
      <c r="O1" s="1375"/>
      <c r="P1" s="1375"/>
      <c r="Q1" s="1375"/>
      <c r="R1" s="1375"/>
      <c r="S1" s="1375"/>
      <c r="T1" s="1375"/>
      <c r="U1" s="1375"/>
      <c r="V1" s="1375"/>
      <c r="W1" s="1375"/>
      <c r="X1" s="1375"/>
      <c r="Y1" s="1375"/>
      <c r="Z1" s="1375"/>
      <c r="AA1" s="1375"/>
      <c r="AB1" s="1375"/>
      <c r="AC1" s="1375"/>
    </row>
    <row r="2" spans="1:29" ht="18">
      <c r="A2" s="1375"/>
      <c r="B2" s="1726" t="s">
        <v>4966</v>
      </c>
      <c r="C2" s="1606"/>
      <c r="D2" s="1606"/>
      <c r="E2" s="1606"/>
      <c r="F2" s="1606"/>
      <c r="G2" s="1606"/>
      <c r="H2" s="1606"/>
      <c r="I2" s="1606"/>
      <c r="J2" s="1606"/>
      <c r="K2" s="1606"/>
      <c r="L2" s="1606"/>
      <c r="M2" s="1606"/>
      <c r="N2" s="1606"/>
      <c r="O2" s="1606"/>
      <c r="P2" s="1606"/>
      <c r="Q2" s="1606"/>
      <c r="R2" s="1606"/>
      <c r="S2" s="1606"/>
      <c r="T2" s="1606"/>
      <c r="U2" s="1606"/>
      <c r="V2" s="1606"/>
      <c r="W2" s="1606"/>
      <c r="X2" s="1606"/>
      <c r="Y2" s="1606"/>
      <c r="Z2" s="1606"/>
      <c r="AA2" s="1606"/>
      <c r="AB2" s="1606"/>
      <c r="AC2" s="1607"/>
    </row>
    <row r="3" spans="1:29" ht="18">
      <c r="A3" s="1375"/>
      <c r="B3" s="1727"/>
      <c r="C3" s="1602"/>
      <c r="D3" s="1602"/>
      <c r="E3" s="1602"/>
      <c r="F3" s="1602"/>
      <c r="G3" s="1602"/>
      <c r="H3" s="1602"/>
      <c r="I3" s="1602"/>
      <c r="J3" s="1602"/>
      <c r="K3" s="1602"/>
      <c r="L3" s="1602"/>
      <c r="M3" s="1602"/>
      <c r="N3" s="1602"/>
      <c r="O3" s="1602"/>
      <c r="P3" s="1602"/>
      <c r="Q3" s="1602"/>
      <c r="R3" s="1602"/>
      <c r="S3" s="1602"/>
      <c r="T3" s="1602"/>
      <c r="U3" s="1602"/>
      <c r="V3" s="1602"/>
      <c r="W3" s="1602"/>
      <c r="X3" s="1602"/>
      <c r="Y3" s="1602"/>
      <c r="Z3" s="1602"/>
      <c r="AA3" s="1602"/>
      <c r="AB3" s="1602"/>
      <c r="AC3" s="1728"/>
    </row>
    <row r="4" spans="1:29" ht="18">
      <c r="A4" s="1375"/>
      <c r="B4" s="1727"/>
      <c r="C4" s="1602"/>
      <c r="D4" s="1602"/>
      <c r="E4" s="1602"/>
      <c r="F4" s="1602"/>
      <c r="G4" s="1602"/>
      <c r="H4" s="1602"/>
      <c r="I4" s="1602"/>
      <c r="J4" s="1602"/>
      <c r="K4" s="1602"/>
      <c r="L4" s="1602"/>
      <c r="M4" s="1602"/>
      <c r="N4" s="1602"/>
      <c r="O4" s="1602"/>
      <c r="P4" s="1602"/>
      <c r="Q4" s="1602"/>
      <c r="R4" s="1602"/>
      <c r="S4" s="1602"/>
      <c r="T4" s="1602"/>
      <c r="U4" s="1602"/>
      <c r="V4" s="1602"/>
      <c r="W4" s="1602"/>
      <c r="X4" s="1602"/>
      <c r="Y4" s="1602"/>
      <c r="Z4" s="1602"/>
      <c r="AA4" s="1602"/>
      <c r="AB4" s="1602"/>
      <c r="AC4" s="1728"/>
    </row>
    <row r="5" spans="1:29" ht="18">
      <c r="A5" s="1375"/>
      <c r="B5" s="1729"/>
      <c r="C5" s="1615"/>
      <c r="D5" s="1615"/>
      <c r="E5" s="1615"/>
      <c r="F5" s="1615"/>
      <c r="G5" s="1615"/>
      <c r="H5" s="1615"/>
      <c r="I5" s="1615"/>
      <c r="J5" s="1615"/>
      <c r="K5" s="1615"/>
      <c r="L5" s="1615"/>
      <c r="M5" s="1615"/>
      <c r="N5" s="1615"/>
      <c r="O5" s="1615"/>
      <c r="P5" s="1615"/>
      <c r="Q5" s="1615"/>
      <c r="R5" s="1615"/>
      <c r="S5" s="1615"/>
      <c r="T5" s="1615"/>
      <c r="U5" s="1615"/>
      <c r="V5" s="1615"/>
      <c r="W5" s="1615"/>
      <c r="X5" s="1615"/>
      <c r="Y5" s="1615"/>
      <c r="Z5" s="1615"/>
      <c r="AA5" s="1615"/>
      <c r="AB5" s="1615"/>
      <c r="AC5" s="1616"/>
    </row>
    <row r="6" spans="1:29" ht="18">
      <c r="A6" s="1375"/>
      <c r="B6" s="1375"/>
      <c r="C6" s="1375"/>
      <c r="D6" s="1375"/>
      <c r="E6" s="1375"/>
      <c r="F6" s="1375"/>
      <c r="G6" s="1375"/>
      <c r="H6" s="1375"/>
      <c r="I6" s="1375"/>
      <c r="J6" s="1375"/>
      <c r="K6" s="1375"/>
      <c r="L6" s="1375"/>
      <c r="M6" s="1375"/>
      <c r="N6" s="1375"/>
      <c r="O6" s="1375"/>
      <c r="P6" s="1375"/>
      <c r="Q6" s="1375"/>
      <c r="R6" s="1375"/>
      <c r="S6" s="1375"/>
      <c r="T6" s="1375"/>
      <c r="U6" s="1375"/>
      <c r="V6" s="1730">
        <v>45740</v>
      </c>
      <c r="W6" s="1606"/>
      <c r="X6" s="1606"/>
      <c r="Y6" s="1606"/>
      <c r="Z6" s="1606"/>
      <c r="AA6" s="1606"/>
      <c r="AB6" s="1606"/>
      <c r="AC6" s="1606"/>
    </row>
    <row r="7" spans="1:29" ht="18">
      <c r="A7" s="1375"/>
      <c r="B7" s="1375"/>
      <c r="C7" s="1375"/>
      <c r="D7" s="1375"/>
      <c r="E7" s="1375"/>
      <c r="F7" s="1375"/>
      <c r="G7" s="1375"/>
      <c r="H7" s="1375"/>
      <c r="I7" s="1375"/>
      <c r="J7" s="1375"/>
      <c r="K7" s="1375"/>
      <c r="L7" s="1375"/>
      <c r="M7" s="1375"/>
      <c r="N7" s="1375"/>
      <c r="O7" s="1375"/>
      <c r="P7" s="1375"/>
      <c r="Q7" s="1375"/>
      <c r="R7" s="1375"/>
      <c r="S7" s="1375"/>
      <c r="T7" s="1375"/>
      <c r="U7" s="1375"/>
      <c r="V7" s="1602"/>
      <c r="W7" s="1602"/>
      <c r="X7" s="1602"/>
      <c r="Y7" s="1602"/>
      <c r="Z7" s="1602"/>
      <c r="AA7" s="1602"/>
      <c r="AB7" s="1602"/>
      <c r="AC7" s="1602"/>
    </row>
    <row r="8" spans="1:29" ht="18">
      <c r="A8" s="1375"/>
      <c r="B8" s="1731" t="s">
        <v>4967</v>
      </c>
      <c r="C8" s="1606"/>
      <c r="D8" s="1606"/>
      <c r="E8" s="1606"/>
      <c r="F8" s="1606"/>
      <c r="G8" s="1606"/>
      <c r="H8" s="1606"/>
      <c r="I8" s="1606"/>
      <c r="J8" s="1606"/>
      <c r="K8" s="1606"/>
      <c r="L8" s="1606"/>
      <c r="M8" s="1606"/>
      <c r="N8" s="1606"/>
      <c r="O8" s="1606"/>
      <c r="P8" s="1606"/>
      <c r="Q8" s="1606"/>
      <c r="R8" s="1606"/>
      <c r="S8" s="1606"/>
      <c r="T8" s="1606"/>
      <c r="U8" s="1606"/>
      <c r="V8" s="1606"/>
      <c r="W8" s="1606"/>
      <c r="X8" s="1606"/>
      <c r="Y8" s="1606"/>
      <c r="Z8" s="1606"/>
      <c r="AA8" s="1606"/>
      <c r="AB8" s="1606"/>
      <c r="AC8" s="1607"/>
    </row>
    <row r="9" spans="1:29" ht="18">
      <c r="A9" s="1375"/>
      <c r="B9" s="1729"/>
      <c r="C9" s="1615"/>
      <c r="D9" s="1615"/>
      <c r="E9" s="1615"/>
      <c r="F9" s="1615"/>
      <c r="G9" s="1615"/>
      <c r="H9" s="1615"/>
      <c r="I9" s="1615"/>
      <c r="J9" s="1615"/>
      <c r="K9" s="1615"/>
      <c r="L9" s="1615"/>
      <c r="M9" s="1615"/>
      <c r="N9" s="1615"/>
      <c r="O9" s="1615"/>
      <c r="P9" s="1615"/>
      <c r="Q9" s="1615"/>
      <c r="R9" s="1615"/>
      <c r="S9" s="1615"/>
      <c r="T9" s="1615"/>
      <c r="U9" s="1615"/>
      <c r="V9" s="1615"/>
      <c r="W9" s="1615"/>
      <c r="X9" s="1615"/>
      <c r="Y9" s="1615"/>
      <c r="Z9" s="1615"/>
      <c r="AA9" s="1615"/>
      <c r="AB9" s="1615"/>
      <c r="AC9" s="1616"/>
    </row>
    <row r="10" spans="1:29" ht="18">
      <c r="A10" s="1375"/>
      <c r="B10" s="1488"/>
      <c r="C10" s="1488"/>
      <c r="D10" s="1488"/>
      <c r="E10" s="1488"/>
      <c r="F10" s="1488"/>
      <c r="G10" s="1488"/>
      <c r="H10" s="1488"/>
      <c r="I10" s="1488"/>
      <c r="J10" s="1488"/>
      <c r="K10" s="1488"/>
      <c r="L10" s="1488"/>
      <c r="M10" s="1488"/>
      <c r="N10" s="1488"/>
      <c r="O10" s="1515"/>
      <c r="P10" s="1488"/>
      <c r="Q10" s="1488"/>
      <c r="R10" s="1488"/>
      <c r="S10" s="1488"/>
      <c r="T10" s="1488"/>
      <c r="U10" s="1488"/>
      <c r="V10" s="1488"/>
      <c r="W10" s="1488"/>
      <c r="X10" s="1488"/>
      <c r="Y10" s="1488"/>
      <c r="Z10" s="1488"/>
      <c r="AA10" s="1488"/>
      <c r="AB10" s="1488"/>
      <c r="AC10" s="1488"/>
    </row>
    <row r="11" spans="1:29" ht="35">
      <c r="A11" s="1375"/>
      <c r="B11" s="1375"/>
      <c r="C11" s="1375"/>
      <c r="D11" s="1375"/>
      <c r="E11" s="1375"/>
      <c r="F11" s="1375"/>
      <c r="G11" s="1375"/>
      <c r="H11" s="1375"/>
      <c r="I11" s="1375"/>
      <c r="J11" s="1375"/>
      <c r="K11" s="1375"/>
      <c r="L11" s="1375"/>
      <c r="M11" s="1375"/>
      <c r="N11" s="1375"/>
      <c r="O11" s="1375"/>
      <c r="P11" s="1375"/>
      <c r="Q11" s="1375"/>
      <c r="R11" s="1375"/>
      <c r="S11" s="1375"/>
      <c r="T11" s="1375"/>
      <c r="U11" s="1375"/>
      <c r="V11" s="1516"/>
      <c r="W11" s="1516"/>
      <c r="X11" s="1516"/>
      <c r="Y11" s="1516"/>
      <c r="Z11" s="1516"/>
      <c r="AA11" s="1516"/>
      <c r="AB11" s="1516"/>
      <c r="AC11" s="1516"/>
    </row>
    <row r="12" spans="1:29" ht="18">
      <c r="A12" s="1375"/>
      <c r="B12" s="1732" t="s">
        <v>4968</v>
      </c>
      <c r="C12" s="1606"/>
      <c r="D12" s="1606"/>
      <c r="E12" s="1606"/>
      <c r="F12" s="1606"/>
      <c r="G12" s="1606"/>
      <c r="H12" s="1606"/>
      <c r="I12" s="1606"/>
      <c r="J12" s="1606"/>
      <c r="K12" s="1606"/>
      <c r="L12" s="1606"/>
      <c r="M12" s="1606"/>
      <c r="N12" s="1606"/>
      <c r="O12" s="1606"/>
      <c r="P12" s="1606"/>
      <c r="Q12" s="1606"/>
      <c r="R12" s="1606"/>
      <c r="S12" s="1606"/>
      <c r="T12" s="1606"/>
      <c r="U12" s="1606"/>
      <c r="V12" s="1606"/>
      <c r="W12" s="1606"/>
      <c r="X12" s="1606"/>
      <c r="Y12" s="1606"/>
      <c r="Z12" s="1606"/>
      <c r="AA12" s="1606"/>
      <c r="AB12" s="1606"/>
      <c r="AC12" s="1607"/>
    </row>
    <row r="13" spans="1:29" ht="18">
      <c r="A13" s="1375"/>
      <c r="B13" s="1727"/>
      <c r="C13" s="1602"/>
      <c r="D13" s="1602"/>
      <c r="E13" s="1602"/>
      <c r="F13" s="1602"/>
      <c r="G13" s="1602"/>
      <c r="H13" s="1602"/>
      <c r="I13" s="1602"/>
      <c r="J13" s="1602"/>
      <c r="K13" s="1602"/>
      <c r="L13" s="1602"/>
      <c r="M13" s="1602"/>
      <c r="N13" s="1602"/>
      <c r="O13" s="1602"/>
      <c r="P13" s="1602"/>
      <c r="Q13" s="1602"/>
      <c r="R13" s="1602"/>
      <c r="S13" s="1602"/>
      <c r="T13" s="1602"/>
      <c r="U13" s="1602"/>
      <c r="V13" s="1602"/>
      <c r="W13" s="1602"/>
      <c r="X13" s="1602"/>
      <c r="Y13" s="1602"/>
      <c r="Z13" s="1602"/>
      <c r="AA13" s="1602"/>
      <c r="AB13" s="1602"/>
      <c r="AC13" s="1728"/>
    </row>
    <row r="14" spans="1:29" ht="18">
      <c r="A14" s="1375"/>
      <c r="B14" s="1727"/>
      <c r="C14" s="1602"/>
      <c r="D14" s="1602"/>
      <c r="E14" s="1602"/>
      <c r="F14" s="1602"/>
      <c r="G14" s="1602"/>
      <c r="H14" s="1602"/>
      <c r="I14" s="1602"/>
      <c r="J14" s="1602"/>
      <c r="K14" s="1602"/>
      <c r="L14" s="1602"/>
      <c r="M14" s="1602"/>
      <c r="N14" s="1602"/>
      <c r="O14" s="1602"/>
      <c r="P14" s="1602"/>
      <c r="Q14" s="1602"/>
      <c r="R14" s="1602"/>
      <c r="S14" s="1602"/>
      <c r="T14" s="1602"/>
      <c r="U14" s="1602"/>
      <c r="V14" s="1602"/>
      <c r="W14" s="1602"/>
      <c r="X14" s="1602"/>
      <c r="Y14" s="1602"/>
      <c r="Z14" s="1602"/>
      <c r="AA14" s="1602"/>
      <c r="AB14" s="1602"/>
      <c r="AC14" s="1728"/>
    </row>
    <row r="15" spans="1:29" ht="18">
      <c r="A15" s="1375"/>
      <c r="B15" s="1729"/>
      <c r="C15" s="1615"/>
      <c r="D15" s="1615"/>
      <c r="E15" s="1615"/>
      <c r="F15" s="1615"/>
      <c r="G15" s="1615"/>
      <c r="H15" s="1615"/>
      <c r="I15" s="1615"/>
      <c r="J15" s="1615"/>
      <c r="K15" s="1615"/>
      <c r="L15" s="1615"/>
      <c r="M15" s="1615"/>
      <c r="N15" s="1615"/>
      <c r="O15" s="1615"/>
      <c r="P15" s="1615"/>
      <c r="Q15" s="1615"/>
      <c r="R15" s="1615"/>
      <c r="S15" s="1615"/>
      <c r="T15" s="1615"/>
      <c r="U15" s="1615"/>
      <c r="V15" s="1615"/>
      <c r="W15" s="1615"/>
      <c r="X15" s="1615"/>
      <c r="Y15" s="1615"/>
      <c r="Z15" s="1615"/>
      <c r="AA15" s="1615"/>
      <c r="AB15" s="1615"/>
      <c r="AC15" s="1616"/>
    </row>
    <row r="16" spans="1:29" ht="23.25" customHeight="1">
      <c r="A16" s="1375"/>
      <c r="B16" s="1375"/>
      <c r="C16" s="1375"/>
      <c r="D16" s="1375"/>
      <c r="E16" s="1708"/>
      <c r="F16" s="1602"/>
      <c r="G16" s="1375"/>
      <c r="H16" s="1375"/>
      <c r="I16" s="1375"/>
      <c r="J16" s="1375"/>
      <c r="K16" s="1375"/>
      <c r="L16" s="1375"/>
      <c r="M16" s="1375"/>
      <c r="N16" s="1375"/>
      <c r="O16" s="1708"/>
      <c r="P16" s="1602"/>
      <c r="Q16" s="1375"/>
      <c r="R16" s="1375"/>
      <c r="S16" s="1375"/>
      <c r="T16" s="1375"/>
      <c r="U16" s="1375"/>
      <c r="V16" s="1516"/>
      <c r="W16" s="1516"/>
      <c r="X16" s="1725"/>
      <c r="Y16" s="1602"/>
      <c r="Z16" s="1516"/>
      <c r="AA16" s="1375"/>
      <c r="AB16" s="1375"/>
      <c r="AC16" s="1375"/>
    </row>
    <row r="17" spans="1:29" ht="23.25" customHeight="1">
      <c r="A17" s="1375"/>
      <c r="B17" s="1375"/>
      <c r="C17" s="1375"/>
      <c r="D17" s="1375"/>
      <c r="E17" s="1602"/>
      <c r="F17" s="1602"/>
      <c r="G17" s="1375"/>
      <c r="H17" s="1375"/>
      <c r="I17" s="1375"/>
      <c r="J17" s="1375"/>
      <c r="K17" s="1375"/>
      <c r="L17" s="1375"/>
      <c r="M17" s="1375"/>
      <c r="N17" s="1375"/>
      <c r="O17" s="1602"/>
      <c r="P17" s="1602"/>
      <c r="Q17" s="1375"/>
      <c r="R17" s="1375"/>
      <c r="S17" s="1375"/>
      <c r="T17" s="1375"/>
      <c r="U17" s="1375"/>
      <c r="V17" s="1516"/>
      <c r="W17" s="1516"/>
      <c r="X17" s="1602"/>
      <c r="Y17" s="1602"/>
      <c r="Z17" s="1516"/>
      <c r="AA17" s="1375"/>
      <c r="AB17" s="1375"/>
      <c r="AC17" s="1375"/>
    </row>
    <row r="18" spans="1:29" ht="23.25" customHeight="1">
      <c r="A18" s="1375"/>
      <c r="B18" s="1733" t="s">
        <v>4969</v>
      </c>
      <c r="C18" s="1606"/>
      <c r="D18" s="1606"/>
      <c r="E18" s="1606"/>
      <c r="F18" s="1606"/>
      <c r="G18" s="1606"/>
      <c r="H18" s="1606"/>
      <c r="I18" s="1606"/>
      <c r="J18" s="1606"/>
      <c r="K18" s="1606"/>
      <c r="L18" s="1606"/>
      <c r="M18" s="1606"/>
      <c r="N18" s="1606"/>
      <c r="O18" s="1606"/>
      <c r="P18" s="1606"/>
      <c r="Q18" s="1606"/>
      <c r="R18" s="1606"/>
      <c r="S18" s="1606"/>
      <c r="T18" s="1606"/>
      <c r="U18" s="1606"/>
      <c r="V18" s="1606"/>
      <c r="W18" s="1606"/>
      <c r="X18" s="1606"/>
      <c r="Y18" s="1606"/>
      <c r="Z18" s="1606"/>
      <c r="AA18" s="1606"/>
      <c r="AB18" s="1606"/>
      <c r="AC18" s="1607"/>
    </row>
    <row r="19" spans="1:29" ht="18">
      <c r="A19" s="1375"/>
      <c r="B19" s="1727"/>
      <c r="C19" s="1602"/>
      <c r="D19" s="1602"/>
      <c r="E19" s="1602"/>
      <c r="F19" s="1602"/>
      <c r="G19" s="1602"/>
      <c r="H19" s="1602"/>
      <c r="I19" s="1602"/>
      <c r="J19" s="1602"/>
      <c r="K19" s="1602"/>
      <c r="L19" s="1602"/>
      <c r="M19" s="1602"/>
      <c r="N19" s="1602"/>
      <c r="O19" s="1602"/>
      <c r="P19" s="1602"/>
      <c r="Q19" s="1602"/>
      <c r="R19" s="1602"/>
      <c r="S19" s="1602"/>
      <c r="T19" s="1602"/>
      <c r="U19" s="1602"/>
      <c r="V19" s="1602"/>
      <c r="W19" s="1602"/>
      <c r="X19" s="1602"/>
      <c r="Y19" s="1602"/>
      <c r="Z19" s="1602"/>
      <c r="AA19" s="1602"/>
      <c r="AB19" s="1602"/>
      <c r="AC19" s="1728"/>
    </row>
    <row r="20" spans="1:29" ht="18">
      <c r="A20" s="1375"/>
      <c r="B20" s="1729"/>
      <c r="C20" s="1615"/>
      <c r="D20" s="1615"/>
      <c r="E20" s="1615"/>
      <c r="F20" s="1615"/>
      <c r="G20" s="1615"/>
      <c r="H20" s="1615"/>
      <c r="I20" s="1615"/>
      <c r="J20" s="1615"/>
      <c r="K20" s="1615"/>
      <c r="L20" s="1615"/>
      <c r="M20" s="1615"/>
      <c r="N20" s="1615"/>
      <c r="O20" s="1615"/>
      <c r="P20" s="1615"/>
      <c r="Q20" s="1615"/>
      <c r="R20" s="1615"/>
      <c r="S20" s="1615"/>
      <c r="T20" s="1615"/>
      <c r="U20" s="1615"/>
      <c r="V20" s="1615"/>
      <c r="W20" s="1615"/>
      <c r="X20" s="1615"/>
      <c r="Y20" s="1615"/>
      <c r="Z20" s="1615"/>
      <c r="AA20" s="1615"/>
      <c r="AB20" s="1615"/>
      <c r="AC20" s="1616"/>
    </row>
    <row r="21" spans="1:29" ht="18">
      <c r="A21" s="1375"/>
      <c r="B21" s="1375"/>
      <c r="C21" s="1375"/>
      <c r="D21" s="1375"/>
      <c r="E21" s="1375"/>
      <c r="F21" s="1375"/>
      <c r="G21" s="1375"/>
      <c r="H21" s="1375"/>
      <c r="I21" s="1375"/>
      <c r="J21" s="1375"/>
      <c r="K21" s="1375"/>
      <c r="L21" s="1375"/>
      <c r="M21" s="1375"/>
      <c r="N21" s="1375"/>
      <c r="O21" s="1375"/>
      <c r="P21" s="1375"/>
      <c r="Q21" s="1375"/>
      <c r="R21" s="1375"/>
      <c r="S21" s="1375"/>
      <c r="T21" s="1375"/>
      <c r="U21" s="1375"/>
      <c r="V21" s="1375"/>
      <c r="W21" s="1375"/>
      <c r="X21" s="1375"/>
      <c r="Y21" s="1375"/>
      <c r="Z21" s="1375"/>
      <c r="AA21" s="1375"/>
      <c r="AB21" s="1375"/>
      <c r="AC21" s="1375"/>
    </row>
    <row r="22" spans="1:29" ht="41.5">
      <c r="A22" s="1375"/>
      <c r="B22" s="1734" t="s">
        <v>55</v>
      </c>
      <c r="C22" s="1613"/>
      <c r="D22" s="1613"/>
      <c r="E22" s="1613"/>
      <c r="F22" s="1613"/>
      <c r="G22" s="1613"/>
      <c r="H22" s="1613"/>
      <c r="I22" s="1613"/>
      <c r="J22" s="1610"/>
      <c r="K22" s="1375"/>
      <c r="L22" s="1375"/>
      <c r="M22" s="1517"/>
      <c r="N22" s="1517"/>
      <c r="O22" s="1518"/>
      <c r="P22" s="1743" t="s">
        <v>611</v>
      </c>
      <c r="Q22" s="1613"/>
      <c r="R22" s="1613"/>
      <c r="S22" s="1613"/>
      <c r="T22" s="1613"/>
      <c r="U22" s="1613"/>
      <c r="V22" s="1613"/>
      <c r="W22" s="1613"/>
      <c r="X22" s="1613"/>
      <c r="Y22" s="1613"/>
      <c r="Z22" s="1613"/>
      <c r="AA22" s="1613"/>
      <c r="AB22" s="1613"/>
      <c r="AC22" s="1610"/>
    </row>
    <row r="23" spans="1:29" ht="41.5">
      <c r="A23" s="1375"/>
      <c r="B23" s="1375"/>
      <c r="C23" s="1375"/>
      <c r="D23" s="1375"/>
      <c r="E23" s="1375"/>
      <c r="F23" s="1375"/>
      <c r="G23" s="1375"/>
      <c r="H23" s="1375"/>
      <c r="I23" s="1375"/>
      <c r="J23" s="1375"/>
      <c r="K23" s="1375"/>
      <c r="L23" s="1375"/>
      <c r="M23" s="1517"/>
      <c r="N23" s="1517"/>
      <c r="O23" s="1517"/>
      <c r="P23" s="1375"/>
      <c r="Q23" s="1375"/>
      <c r="R23" s="1375"/>
      <c r="S23" s="1375"/>
      <c r="T23" s="1375"/>
      <c r="U23" s="1375"/>
      <c r="V23" s="1375"/>
      <c r="W23" s="1375"/>
      <c r="X23" s="1375"/>
      <c r="Y23" s="1375"/>
      <c r="Z23" s="1375"/>
      <c r="AA23" s="1375"/>
      <c r="AB23" s="1375"/>
      <c r="AC23" s="1375"/>
    </row>
    <row r="24" spans="1:29" ht="41.5">
      <c r="A24" s="1375"/>
      <c r="B24" s="1375"/>
      <c r="C24" s="1737" t="s">
        <v>3437</v>
      </c>
      <c r="D24" s="1602"/>
      <c r="E24" s="1375"/>
      <c r="F24" s="1375"/>
      <c r="G24" s="1375"/>
      <c r="H24" s="1737" t="s">
        <v>3446</v>
      </c>
      <c r="I24" s="1602"/>
      <c r="J24" s="1375"/>
      <c r="K24" s="1375"/>
      <c r="L24" s="1375"/>
      <c r="M24" s="1517"/>
      <c r="N24" s="1517"/>
      <c r="O24" s="1517"/>
      <c r="P24" s="1375"/>
      <c r="Q24" s="1737" t="s">
        <v>3437</v>
      </c>
      <c r="R24" s="1602"/>
      <c r="S24" s="1375"/>
      <c r="T24" s="1375"/>
      <c r="U24" s="1375"/>
      <c r="V24" s="1375"/>
      <c r="W24" s="1375"/>
      <c r="X24" s="1737" t="s">
        <v>3446</v>
      </c>
      <c r="Y24" s="1602"/>
      <c r="Z24" s="1602"/>
      <c r="AA24" s="1375"/>
      <c r="AB24" s="1375"/>
      <c r="AC24" s="1375"/>
    </row>
    <row r="25" spans="1:29" ht="41.5">
      <c r="A25" s="1375"/>
      <c r="B25" s="1735" t="s">
        <v>3411</v>
      </c>
      <c r="C25" s="1615"/>
      <c r="D25" s="1615"/>
      <c r="E25" s="1615"/>
      <c r="F25" s="1375"/>
      <c r="G25" s="1735" t="s">
        <v>3411</v>
      </c>
      <c r="H25" s="1615"/>
      <c r="I25" s="1615"/>
      <c r="J25" s="1615"/>
      <c r="K25" s="1375"/>
      <c r="L25" s="1375"/>
      <c r="M25" s="1517"/>
      <c r="N25" s="1517"/>
      <c r="O25" s="1517"/>
      <c r="P25" s="1735" t="s">
        <v>3411</v>
      </c>
      <c r="Q25" s="1615"/>
      <c r="R25" s="1615"/>
      <c r="S25" s="1615"/>
      <c r="T25" s="1375"/>
      <c r="U25" s="1375"/>
      <c r="V25" s="1737" t="s">
        <v>3411</v>
      </c>
      <c r="W25" s="1602"/>
      <c r="X25" s="1602"/>
      <c r="Y25" s="1602"/>
      <c r="Z25" s="1602"/>
      <c r="AA25" s="1602"/>
      <c r="AB25" s="1602"/>
      <c r="AC25" s="1375"/>
    </row>
    <row r="26" spans="1:29" ht="21" customHeight="1">
      <c r="A26" s="1375"/>
      <c r="B26" s="1732" t="s">
        <v>4970</v>
      </c>
      <c r="C26" s="1606"/>
      <c r="D26" s="1606"/>
      <c r="E26" s="1607"/>
      <c r="F26" s="1375"/>
      <c r="G26" s="1736" t="s">
        <v>4971</v>
      </c>
      <c r="H26" s="1606"/>
      <c r="I26" s="1606"/>
      <c r="J26" s="1607"/>
      <c r="K26" s="1375"/>
      <c r="L26" s="1375"/>
      <c r="M26" s="1517"/>
      <c r="N26" s="1517"/>
      <c r="O26" s="1517"/>
      <c r="P26" s="1732" t="s">
        <v>4972</v>
      </c>
      <c r="Q26" s="1606"/>
      <c r="R26" s="1606"/>
      <c r="S26" s="1607"/>
      <c r="T26" s="1375"/>
      <c r="U26" s="1736" t="s">
        <v>4973</v>
      </c>
      <c r="V26" s="1606"/>
      <c r="W26" s="1606"/>
      <c r="X26" s="1607"/>
      <c r="Y26" s="1519"/>
      <c r="Z26" s="1736" t="s">
        <v>4974</v>
      </c>
      <c r="AA26" s="1606"/>
      <c r="AB26" s="1606"/>
      <c r="AC26" s="1607"/>
    </row>
    <row r="27" spans="1:29" ht="21" customHeight="1">
      <c r="A27" s="1375"/>
      <c r="B27" s="1727"/>
      <c r="C27" s="1602"/>
      <c r="D27" s="1602"/>
      <c r="E27" s="1728"/>
      <c r="F27" s="1375"/>
      <c r="G27" s="1727"/>
      <c r="H27" s="1602"/>
      <c r="I27" s="1602"/>
      <c r="J27" s="1728"/>
      <c r="K27" s="1375"/>
      <c r="L27" s="1375"/>
      <c r="M27" s="1517"/>
      <c r="N27" s="1517"/>
      <c r="O27" s="1517"/>
      <c r="P27" s="1727"/>
      <c r="Q27" s="1602"/>
      <c r="R27" s="1602"/>
      <c r="S27" s="1728"/>
      <c r="T27" s="1375"/>
      <c r="U27" s="1727"/>
      <c r="V27" s="1602"/>
      <c r="W27" s="1602"/>
      <c r="X27" s="1728"/>
      <c r="Y27" s="1519"/>
      <c r="Z27" s="1727"/>
      <c r="AA27" s="1602"/>
      <c r="AB27" s="1602"/>
      <c r="AC27" s="1728"/>
    </row>
    <row r="28" spans="1:29" ht="21" customHeight="1">
      <c r="A28" s="1375"/>
      <c r="B28" s="1729"/>
      <c r="C28" s="1615"/>
      <c r="D28" s="1615"/>
      <c r="E28" s="1616"/>
      <c r="F28" s="1375"/>
      <c r="G28" s="1729"/>
      <c r="H28" s="1615"/>
      <c r="I28" s="1615"/>
      <c r="J28" s="1616"/>
      <c r="K28" s="1375"/>
      <c r="L28" s="1375"/>
      <c r="M28" s="1517"/>
      <c r="N28" s="1517"/>
      <c r="O28" s="1517"/>
      <c r="P28" s="1729"/>
      <c r="Q28" s="1615"/>
      <c r="R28" s="1615"/>
      <c r="S28" s="1616"/>
      <c r="T28" s="1375"/>
      <c r="U28" s="1729"/>
      <c r="V28" s="1615"/>
      <c r="W28" s="1615"/>
      <c r="X28" s="1616"/>
      <c r="Y28" s="1519"/>
      <c r="Z28" s="1729"/>
      <c r="AA28" s="1615"/>
      <c r="AB28" s="1615"/>
      <c r="AC28" s="1616"/>
    </row>
    <row r="29" spans="1:29" ht="41.5">
      <c r="A29" s="1375"/>
      <c r="B29" s="1520"/>
      <c r="C29" s="1515"/>
      <c r="D29" s="1520"/>
      <c r="E29" s="1520"/>
      <c r="F29" s="1375"/>
      <c r="G29" s="1520"/>
      <c r="H29" s="1515"/>
      <c r="I29" s="1520"/>
      <c r="J29" s="1520"/>
      <c r="K29" s="1375"/>
      <c r="L29" s="1375"/>
      <c r="M29" s="1517"/>
      <c r="N29" s="1517"/>
      <c r="O29" s="1517"/>
      <c r="P29" s="1520"/>
      <c r="Q29" s="1515"/>
      <c r="R29" s="1520"/>
      <c r="S29" s="1520"/>
      <c r="T29" s="1375"/>
      <c r="U29" s="1375"/>
      <c r="V29" s="1515"/>
      <c r="W29" s="1521"/>
      <c r="X29" s="1521"/>
      <c r="Y29" s="1521"/>
      <c r="Z29" s="1521"/>
      <c r="AA29" s="1515"/>
      <c r="AB29" s="1521"/>
      <c r="AC29" s="1375"/>
    </row>
    <row r="30" spans="1:29" ht="41.5">
      <c r="A30" s="1375"/>
      <c r="B30" s="1375"/>
      <c r="C30" s="1375"/>
      <c r="D30" s="1375"/>
      <c r="E30" s="1375"/>
      <c r="F30" s="1375"/>
      <c r="G30" s="1375"/>
      <c r="H30" s="1375"/>
      <c r="I30" s="1375"/>
      <c r="J30" s="1375"/>
      <c r="K30" s="1375"/>
      <c r="L30" s="1375"/>
      <c r="M30" s="1517"/>
      <c r="N30" s="1517"/>
      <c r="O30" s="1517"/>
      <c r="P30" s="1375"/>
      <c r="Q30" s="1375"/>
      <c r="R30" s="1375"/>
      <c r="S30" s="1375"/>
      <c r="T30" s="1375"/>
      <c r="U30" s="1375"/>
      <c r="V30" s="1375"/>
      <c r="W30" s="1375"/>
      <c r="X30" s="1375"/>
      <c r="Y30" s="1375"/>
      <c r="Z30" s="1375"/>
      <c r="AA30" s="1375"/>
      <c r="AB30" s="1375"/>
      <c r="AC30" s="1375"/>
    </row>
    <row r="31" spans="1:29" ht="41.5">
      <c r="A31" s="1375"/>
      <c r="B31" s="1738" t="s">
        <v>104</v>
      </c>
      <c r="C31" s="1613"/>
      <c r="D31" s="1613"/>
      <c r="E31" s="1610"/>
      <c r="F31" s="1522"/>
      <c r="G31" s="1742" t="s">
        <v>4971</v>
      </c>
      <c r="H31" s="1613"/>
      <c r="I31" s="1613"/>
      <c r="J31" s="1610"/>
      <c r="K31" s="1522"/>
      <c r="L31" s="1522"/>
      <c r="M31" s="1517"/>
      <c r="N31" s="1517"/>
      <c r="O31" s="1517"/>
      <c r="P31" s="1738" t="s">
        <v>4975</v>
      </c>
      <c r="Q31" s="1613"/>
      <c r="R31" s="1613"/>
      <c r="S31" s="1610"/>
      <c r="T31" s="1523"/>
      <c r="U31" s="1741" t="s">
        <v>850</v>
      </c>
      <c r="V31" s="1613"/>
      <c r="W31" s="1613"/>
      <c r="X31" s="1610"/>
      <c r="Y31" s="1524"/>
      <c r="Z31" s="1741" t="s">
        <v>1139</v>
      </c>
      <c r="AA31" s="1613"/>
      <c r="AB31" s="1613"/>
      <c r="AC31" s="1610"/>
    </row>
    <row r="32" spans="1:29" ht="41.5">
      <c r="A32" s="1375"/>
      <c r="B32" s="1738" t="s">
        <v>211</v>
      </c>
      <c r="C32" s="1613"/>
      <c r="D32" s="1613"/>
      <c r="E32" s="1610"/>
      <c r="F32" s="1522"/>
      <c r="G32" s="1724" t="s">
        <v>4976</v>
      </c>
      <c r="H32" s="1613"/>
      <c r="I32" s="1613"/>
      <c r="J32" s="1610"/>
      <c r="K32" s="1522"/>
      <c r="L32" s="1522"/>
      <c r="M32" s="1517"/>
      <c r="N32" s="1517"/>
      <c r="O32" s="1517"/>
      <c r="P32" s="1738" t="s">
        <v>725</v>
      </c>
      <c r="Q32" s="1613"/>
      <c r="R32" s="1613"/>
      <c r="S32" s="1610"/>
      <c r="T32" s="1522"/>
      <c r="U32" s="1742" t="s">
        <v>1159</v>
      </c>
      <c r="V32" s="1613"/>
      <c r="W32" s="1613"/>
      <c r="X32" s="1610"/>
      <c r="Y32" s="1524"/>
      <c r="Z32" s="1741" t="s">
        <v>701</v>
      </c>
      <c r="AA32" s="1613"/>
      <c r="AB32" s="1613"/>
      <c r="AC32" s="1610"/>
    </row>
    <row r="33" spans="1:29" ht="41.5">
      <c r="A33" s="1375"/>
      <c r="B33" s="1724" t="s">
        <v>382</v>
      </c>
      <c r="C33" s="1613"/>
      <c r="D33" s="1613"/>
      <c r="E33" s="1610"/>
      <c r="F33" s="1522"/>
      <c r="G33" s="1724" t="s">
        <v>4977</v>
      </c>
      <c r="H33" s="1613"/>
      <c r="I33" s="1613"/>
      <c r="J33" s="1610"/>
      <c r="K33" s="1522"/>
      <c r="L33" s="1522"/>
      <c r="M33" s="1517"/>
      <c r="N33" s="1517"/>
      <c r="O33" s="1517"/>
      <c r="P33" s="1738" t="s">
        <v>4972</v>
      </c>
      <c r="Q33" s="1613"/>
      <c r="R33" s="1613"/>
      <c r="S33" s="1610"/>
      <c r="T33" s="1522"/>
      <c r="U33" s="1740" t="s">
        <v>1508</v>
      </c>
      <c r="V33" s="1613"/>
      <c r="W33" s="1613"/>
      <c r="X33" s="1610"/>
      <c r="Y33" s="1524"/>
      <c r="Z33" s="1741" t="s">
        <v>687</v>
      </c>
      <c r="AA33" s="1613"/>
      <c r="AB33" s="1613"/>
      <c r="AC33" s="1610"/>
    </row>
    <row r="34" spans="1:29" ht="41.5">
      <c r="A34" s="1375"/>
      <c r="B34" s="1724" t="s">
        <v>4978</v>
      </c>
      <c r="C34" s="1613"/>
      <c r="D34" s="1613"/>
      <c r="E34" s="1610"/>
      <c r="F34" s="1522"/>
      <c r="G34" s="1724" t="s">
        <v>4979</v>
      </c>
      <c r="H34" s="1613"/>
      <c r="I34" s="1613"/>
      <c r="J34" s="1610"/>
      <c r="K34" s="1522"/>
      <c r="L34" s="1522"/>
      <c r="M34" s="1517"/>
      <c r="N34" s="1517"/>
      <c r="O34" s="1517"/>
      <c r="P34" s="1724" t="s">
        <v>786</v>
      </c>
      <c r="Q34" s="1613"/>
      <c r="R34" s="1613"/>
      <c r="S34" s="1610"/>
      <c r="T34" s="1522"/>
      <c r="U34" s="1740" t="s">
        <v>4980</v>
      </c>
      <c r="V34" s="1613"/>
      <c r="W34" s="1613"/>
      <c r="X34" s="1610"/>
      <c r="Y34" s="1524"/>
      <c r="Z34" s="1739" t="s">
        <v>1609</v>
      </c>
      <c r="AA34" s="1613"/>
      <c r="AB34" s="1613"/>
      <c r="AC34" s="1610"/>
    </row>
    <row r="35" spans="1:29" ht="41.5">
      <c r="A35" s="1375"/>
      <c r="B35" s="1724" t="s">
        <v>4981</v>
      </c>
      <c r="C35" s="1613"/>
      <c r="D35" s="1613"/>
      <c r="E35" s="1610"/>
      <c r="F35" s="1522"/>
      <c r="G35" s="1724"/>
      <c r="H35" s="1613"/>
      <c r="I35" s="1613"/>
      <c r="J35" s="1610"/>
      <c r="K35" s="1522"/>
      <c r="L35" s="1522"/>
      <c r="M35" s="1517"/>
      <c r="N35" s="1517"/>
      <c r="O35" s="1517"/>
      <c r="P35" s="1724" t="s">
        <v>4982</v>
      </c>
      <c r="Q35" s="1613"/>
      <c r="R35" s="1613"/>
      <c r="S35" s="1610"/>
      <c r="T35" s="1522"/>
      <c r="U35" s="1740" t="s">
        <v>1572</v>
      </c>
      <c r="V35" s="1613"/>
      <c r="W35" s="1613"/>
      <c r="X35" s="1610"/>
      <c r="Y35" s="1524"/>
      <c r="Z35" s="1739" t="s">
        <v>1617</v>
      </c>
      <c r="AA35" s="1613"/>
      <c r="AB35" s="1613"/>
      <c r="AC35" s="1610"/>
    </row>
    <row r="36" spans="1:29" ht="41.5">
      <c r="A36" s="1375"/>
      <c r="B36" s="1724" t="s">
        <v>4983</v>
      </c>
      <c r="C36" s="1613"/>
      <c r="D36" s="1613"/>
      <c r="E36" s="1610"/>
      <c r="F36" s="1522"/>
      <c r="G36" s="1724"/>
      <c r="H36" s="1613"/>
      <c r="I36" s="1613"/>
      <c r="J36" s="1610"/>
      <c r="K36" s="1522"/>
      <c r="L36" s="1522"/>
      <c r="M36" s="1517"/>
      <c r="N36" s="1517"/>
      <c r="O36" s="1517"/>
      <c r="P36" s="1724" t="s">
        <v>895</v>
      </c>
      <c r="Q36" s="1613"/>
      <c r="R36" s="1613"/>
      <c r="S36" s="1610"/>
      <c r="T36" s="1522"/>
      <c r="U36" s="1724" t="s">
        <v>1128</v>
      </c>
      <c r="V36" s="1613"/>
      <c r="W36" s="1613"/>
      <c r="X36" s="1610"/>
      <c r="Y36" s="1525"/>
      <c r="Z36" s="1739" t="s">
        <v>1643</v>
      </c>
      <c r="AA36" s="1613"/>
      <c r="AB36" s="1613"/>
      <c r="AC36" s="1610"/>
    </row>
    <row r="37" spans="1:29" ht="41.5">
      <c r="A37" s="1375"/>
      <c r="B37" s="1724" t="s">
        <v>1454</v>
      </c>
      <c r="C37" s="1613"/>
      <c r="D37" s="1613"/>
      <c r="E37" s="1610"/>
      <c r="F37" s="1522"/>
      <c r="G37" s="1724"/>
      <c r="H37" s="1613"/>
      <c r="I37" s="1613"/>
      <c r="J37" s="1610"/>
      <c r="K37" s="1522"/>
      <c r="L37" s="1522"/>
      <c r="M37" s="1517"/>
      <c r="N37" s="1517"/>
      <c r="O37" s="1517"/>
      <c r="P37" s="1724" t="s">
        <v>4984</v>
      </c>
      <c r="Q37" s="1613"/>
      <c r="R37" s="1613"/>
      <c r="S37" s="1610"/>
      <c r="T37" s="1522"/>
      <c r="U37" s="1724" t="s">
        <v>1151</v>
      </c>
      <c r="V37" s="1613"/>
      <c r="W37" s="1613"/>
      <c r="X37" s="1610"/>
      <c r="Y37" s="1525"/>
      <c r="Z37" s="1739" t="s">
        <v>1666</v>
      </c>
      <c r="AA37" s="1613"/>
      <c r="AB37" s="1613"/>
      <c r="AC37" s="1610"/>
    </row>
    <row r="38" spans="1:29" ht="41.5">
      <c r="A38" s="1375"/>
      <c r="B38" s="1724"/>
      <c r="C38" s="1613"/>
      <c r="D38" s="1613"/>
      <c r="E38" s="1610"/>
      <c r="F38" s="1522"/>
      <c r="G38" s="1724"/>
      <c r="H38" s="1613"/>
      <c r="I38" s="1613"/>
      <c r="J38" s="1610"/>
      <c r="K38" s="1522"/>
      <c r="L38" s="1522"/>
      <c r="M38" s="1517"/>
      <c r="N38" s="1517"/>
      <c r="O38" s="1517"/>
      <c r="P38" s="1724" t="s">
        <v>4985</v>
      </c>
      <c r="Q38" s="1613"/>
      <c r="R38" s="1613"/>
      <c r="S38" s="1610"/>
      <c r="T38" s="1522"/>
      <c r="U38" s="1724" t="s">
        <v>616</v>
      </c>
      <c r="V38" s="1613"/>
      <c r="W38" s="1613"/>
      <c r="X38" s="1610"/>
      <c r="Y38" s="1525"/>
      <c r="Z38" s="1739" t="s">
        <v>4986</v>
      </c>
      <c r="AA38" s="1613"/>
      <c r="AB38" s="1613"/>
      <c r="AC38" s="1610"/>
    </row>
    <row r="39" spans="1:29" ht="41.5">
      <c r="A39" s="1375"/>
      <c r="B39" s="1724"/>
      <c r="C39" s="1613"/>
      <c r="D39" s="1613"/>
      <c r="E39" s="1610"/>
      <c r="F39" s="1522"/>
      <c r="G39" s="1724"/>
      <c r="H39" s="1613"/>
      <c r="I39" s="1613"/>
      <c r="J39" s="1610"/>
      <c r="K39" s="1522"/>
      <c r="L39" s="1522"/>
      <c r="M39" s="1517"/>
      <c r="N39" s="1517"/>
      <c r="O39" s="1517"/>
      <c r="P39" s="1724" t="s">
        <v>4987</v>
      </c>
      <c r="Q39" s="1613"/>
      <c r="R39" s="1613"/>
      <c r="S39" s="1610"/>
      <c r="T39" s="1522"/>
      <c r="U39" s="1724" t="s">
        <v>4988</v>
      </c>
      <c r="V39" s="1613"/>
      <c r="W39" s="1613"/>
      <c r="X39" s="1610"/>
      <c r="Y39" s="1525"/>
      <c r="Z39" s="1739" t="s">
        <v>4989</v>
      </c>
      <c r="AA39" s="1613"/>
      <c r="AB39" s="1613"/>
      <c r="AC39" s="1610"/>
    </row>
    <row r="40" spans="1:29" ht="41.5">
      <c r="A40" s="1375"/>
      <c r="B40" s="1724"/>
      <c r="C40" s="1613"/>
      <c r="D40" s="1613"/>
      <c r="E40" s="1610"/>
      <c r="F40" s="1522"/>
      <c r="G40" s="1724"/>
      <c r="H40" s="1613"/>
      <c r="I40" s="1613"/>
      <c r="J40" s="1610"/>
      <c r="K40" s="1522"/>
      <c r="L40" s="1522"/>
      <c r="M40" s="1517"/>
      <c r="N40" s="1517"/>
      <c r="O40" s="1517"/>
      <c r="P40" s="1724" t="s">
        <v>2015</v>
      </c>
      <c r="Q40" s="1613"/>
      <c r="R40" s="1613"/>
      <c r="S40" s="1610"/>
      <c r="T40" s="1522"/>
      <c r="U40" s="1724" t="s">
        <v>657</v>
      </c>
      <c r="V40" s="1613"/>
      <c r="W40" s="1613"/>
      <c r="X40" s="1610"/>
      <c r="Y40" s="1525"/>
      <c r="Z40" s="1739" t="s">
        <v>4990</v>
      </c>
      <c r="AA40" s="1613"/>
      <c r="AB40" s="1613"/>
      <c r="AC40" s="1610"/>
    </row>
    <row r="41" spans="1:29" ht="41.5">
      <c r="A41" s="1375"/>
      <c r="B41" s="1724"/>
      <c r="C41" s="1613"/>
      <c r="D41" s="1613"/>
      <c r="E41" s="1610"/>
      <c r="F41" s="1522"/>
      <c r="G41" s="1724"/>
      <c r="H41" s="1613"/>
      <c r="I41" s="1613"/>
      <c r="J41" s="1610"/>
      <c r="K41" s="1522"/>
      <c r="L41" s="1522"/>
      <c r="M41" s="1517"/>
      <c r="N41" s="1517"/>
      <c r="O41" s="1517"/>
      <c r="P41" s="1724" t="s">
        <v>982</v>
      </c>
      <c r="Q41" s="1613"/>
      <c r="R41" s="1613"/>
      <c r="S41" s="1610"/>
      <c r="T41" s="1522"/>
      <c r="U41" s="1724"/>
      <c r="V41" s="1613"/>
      <c r="W41" s="1613"/>
      <c r="X41" s="1610"/>
      <c r="Y41" s="1525"/>
      <c r="Z41" s="1739"/>
      <c r="AA41" s="1613"/>
      <c r="AB41" s="1613"/>
      <c r="AC41" s="1610"/>
    </row>
    <row r="42" spans="1:29" ht="41.5">
      <c r="A42" s="1375"/>
      <c r="B42" s="1724"/>
      <c r="C42" s="1613"/>
      <c r="D42" s="1613"/>
      <c r="E42" s="1610"/>
      <c r="F42" s="1522"/>
      <c r="G42" s="1724"/>
      <c r="H42" s="1613"/>
      <c r="I42" s="1613"/>
      <c r="J42" s="1610"/>
      <c r="K42" s="1522"/>
      <c r="L42" s="1522"/>
      <c r="M42" s="1517"/>
      <c r="N42" s="1517"/>
      <c r="O42" s="1517"/>
      <c r="P42" s="1724" t="s">
        <v>1696</v>
      </c>
      <c r="Q42" s="1613"/>
      <c r="R42" s="1613"/>
      <c r="S42" s="1610"/>
      <c r="T42" s="1522"/>
      <c r="U42" s="1724"/>
      <c r="V42" s="1613"/>
      <c r="W42" s="1613"/>
      <c r="X42" s="1610"/>
      <c r="Y42" s="1525"/>
      <c r="Z42" s="1739"/>
      <c r="AA42" s="1613"/>
      <c r="AB42" s="1613"/>
      <c r="AC42" s="1610"/>
    </row>
    <row r="43" spans="1:29" ht="41.5">
      <c r="A43" s="1375"/>
      <c r="B43" s="1724"/>
      <c r="C43" s="1613"/>
      <c r="D43" s="1613"/>
      <c r="E43" s="1610"/>
      <c r="F43" s="1522"/>
      <c r="G43" s="1724"/>
      <c r="H43" s="1613"/>
      <c r="I43" s="1613"/>
      <c r="J43" s="1610"/>
      <c r="K43" s="1522"/>
      <c r="L43" s="1522"/>
      <c r="M43" s="1517"/>
      <c r="N43" s="1517"/>
      <c r="O43" s="1517"/>
      <c r="P43" s="1722" t="s">
        <v>4991</v>
      </c>
      <c r="Q43" s="1606"/>
      <c r="R43" s="1606"/>
      <c r="S43" s="1607"/>
      <c r="T43" s="1523"/>
      <c r="U43" s="1739"/>
      <c r="V43" s="1613"/>
      <c r="W43" s="1613"/>
      <c r="X43" s="1610"/>
      <c r="Y43" s="1525"/>
      <c r="Z43" s="1739"/>
      <c r="AA43" s="1613"/>
      <c r="AB43" s="1613"/>
      <c r="AC43" s="1610"/>
    </row>
    <row r="44" spans="1:29" ht="41.5">
      <c r="A44" s="1375"/>
      <c r="B44" s="1724"/>
      <c r="C44" s="1613"/>
      <c r="D44" s="1613"/>
      <c r="E44" s="1610"/>
      <c r="F44" s="1522"/>
      <c r="G44" s="1724"/>
      <c r="H44" s="1613"/>
      <c r="I44" s="1613"/>
      <c r="J44" s="1610"/>
      <c r="K44" s="1522"/>
      <c r="L44" s="1522"/>
      <c r="M44" s="1517"/>
      <c r="N44" s="1517"/>
      <c r="O44" s="1517"/>
      <c r="P44" s="1722" t="s">
        <v>4992</v>
      </c>
      <c r="Q44" s="1606"/>
      <c r="R44" s="1606"/>
      <c r="S44" s="1607"/>
      <c r="T44" s="1523"/>
      <c r="U44" s="1739"/>
      <c r="V44" s="1613"/>
      <c r="W44" s="1613"/>
      <c r="X44" s="1610"/>
      <c r="Y44" s="1525"/>
      <c r="Z44" s="1739"/>
      <c r="AA44" s="1613"/>
      <c r="AB44" s="1613"/>
      <c r="AC44" s="1610"/>
    </row>
    <row r="45" spans="1:29" ht="41.5">
      <c r="A45" s="1375"/>
      <c r="B45" s="1723" t="s">
        <v>4993</v>
      </c>
      <c r="C45" s="1606"/>
      <c r="D45" s="1606"/>
      <c r="E45" s="1606"/>
      <c r="F45" s="1522"/>
      <c r="G45" s="1723" t="s">
        <v>4994</v>
      </c>
      <c r="H45" s="1606"/>
      <c r="I45" s="1606"/>
      <c r="J45" s="1606"/>
      <c r="K45" s="1522"/>
      <c r="L45" s="1522"/>
      <c r="M45" s="1517"/>
      <c r="N45" s="1517"/>
      <c r="O45" s="1517"/>
      <c r="P45" s="1723" t="s">
        <v>4995</v>
      </c>
      <c r="Q45" s="1606"/>
      <c r="R45" s="1606"/>
      <c r="S45" s="1606"/>
      <c r="T45" s="1522"/>
      <c r="U45" s="1723" t="s">
        <v>4996</v>
      </c>
      <c r="V45" s="1606"/>
      <c r="W45" s="1606"/>
      <c r="X45" s="1606"/>
      <c r="Y45" s="1522"/>
      <c r="Z45" s="1723" t="s">
        <v>4996</v>
      </c>
      <c r="AA45" s="1606"/>
      <c r="AB45" s="1606"/>
      <c r="AC45" s="1606"/>
    </row>
    <row r="46" spans="1:29" ht="41.5">
      <c r="A46" s="1375"/>
      <c r="B46" s="1602"/>
      <c r="C46" s="1602"/>
      <c r="D46" s="1602"/>
      <c r="E46" s="1602"/>
      <c r="F46" s="1522"/>
      <c r="G46" s="1602"/>
      <c r="H46" s="1602"/>
      <c r="I46" s="1602"/>
      <c r="J46" s="1602"/>
      <c r="K46" s="1522"/>
      <c r="L46" s="1522"/>
      <c r="M46" s="1517"/>
      <c r="N46" s="1517"/>
      <c r="O46" s="1517"/>
      <c r="P46" s="1602"/>
      <c r="Q46" s="1602"/>
      <c r="R46" s="1602"/>
      <c r="S46" s="1602"/>
      <c r="T46" s="1522"/>
      <c r="U46" s="1602"/>
      <c r="V46" s="1602"/>
      <c r="W46" s="1602"/>
      <c r="X46" s="1602"/>
      <c r="Y46" s="1522"/>
      <c r="Z46" s="1602"/>
      <c r="AA46" s="1602"/>
      <c r="AB46" s="1602"/>
      <c r="AC46" s="1602"/>
    </row>
    <row r="50" spans="1:29" ht="18">
      <c r="A50" s="1375"/>
      <c r="B50" s="1375"/>
      <c r="C50" s="1375"/>
      <c r="D50" s="1375"/>
      <c r="E50" s="1375"/>
      <c r="F50" s="1375"/>
      <c r="G50" s="1375"/>
      <c r="H50" s="1375"/>
      <c r="I50" s="1375"/>
      <c r="J50" s="1375"/>
      <c r="K50" s="1375"/>
      <c r="L50" s="1375"/>
      <c r="M50" s="1375"/>
      <c r="N50" s="1375"/>
      <c r="O50" s="1375"/>
      <c r="P50" s="1375"/>
      <c r="Q50" s="1375"/>
      <c r="R50" s="1375"/>
      <c r="S50" s="1375"/>
      <c r="T50" s="1375"/>
      <c r="U50" s="1375"/>
      <c r="V50" s="1375"/>
      <c r="W50" s="1375"/>
      <c r="X50" s="1375"/>
      <c r="Y50" s="1375"/>
      <c r="Z50" s="1375"/>
      <c r="AA50" s="1375"/>
      <c r="AB50" s="1375"/>
      <c r="AC50" s="1375"/>
    </row>
    <row r="51" spans="1:29" ht="18">
      <c r="A51" s="1375"/>
      <c r="B51" s="1726" t="s">
        <v>4966</v>
      </c>
      <c r="C51" s="1606"/>
      <c r="D51" s="1606"/>
      <c r="E51" s="1606"/>
      <c r="F51" s="1606"/>
      <c r="G51" s="1606"/>
      <c r="H51" s="1606"/>
      <c r="I51" s="1606"/>
      <c r="J51" s="1606"/>
      <c r="K51" s="1606"/>
      <c r="L51" s="1606"/>
      <c r="M51" s="1606"/>
      <c r="N51" s="1606"/>
      <c r="O51" s="1606"/>
      <c r="P51" s="1606"/>
      <c r="Q51" s="1606"/>
      <c r="R51" s="1606"/>
      <c r="S51" s="1606"/>
      <c r="T51" s="1606"/>
      <c r="U51" s="1606"/>
      <c r="V51" s="1606"/>
      <c r="W51" s="1606"/>
      <c r="X51" s="1606"/>
      <c r="Y51" s="1606"/>
      <c r="Z51" s="1606"/>
      <c r="AA51" s="1606"/>
      <c r="AB51" s="1606"/>
      <c r="AC51" s="1607"/>
    </row>
    <row r="52" spans="1:29" ht="18">
      <c r="A52" s="1375"/>
      <c r="B52" s="1727"/>
      <c r="C52" s="1602"/>
      <c r="D52" s="1602"/>
      <c r="E52" s="1602"/>
      <c r="F52" s="1602"/>
      <c r="G52" s="1602"/>
      <c r="H52" s="1602"/>
      <c r="I52" s="1602"/>
      <c r="J52" s="1602"/>
      <c r="K52" s="1602"/>
      <c r="L52" s="1602"/>
      <c r="M52" s="1602"/>
      <c r="N52" s="1602"/>
      <c r="O52" s="1602"/>
      <c r="P52" s="1602"/>
      <c r="Q52" s="1602"/>
      <c r="R52" s="1602"/>
      <c r="S52" s="1602"/>
      <c r="T52" s="1602"/>
      <c r="U52" s="1602"/>
      <c r="V52" s="1602"/>
      <c r="W52" s="1602"/>
      <c r="X52" s="1602"/>
      <c r="Y52" s="1602"/>
      <c r="Z52" s="1602"/>
      <c r="AA52" s="1602"/>
      <c r="AB52" s="1602"/>
      <c r="AC52" s="1728"/>
    </row>
    <row r="53" spans="1:29" ht="18">
      <c r="A53" s="1375"/>
      <c r="B53" s="1727"/>
      <c r="C53" s="1602"/>
      <c r="D53" s="1602"/>
      <c r="E53" s="1602"/>
      <c r="F53" s="1602"/>
      <c r="G53" s="1602"/>
      <c r="H53" s="1602"/>
      <c r="I53" s="1602"/>
      <c r="J53" s="1602"/>
      <c r="K53" s="1602"/>
      <c r="L53" s="1602"/>
      <c r="M53" s="1602"/>
      <c r="N53" s="1602"/>
      <c r="O53" s="1602"/>
      <c r="P53" s="1602"/>
      <c r="Q53" s="1602"/>
      <c r="R53" s="1602"/>
      <c r="S53" s="1602"/>
      <c r="T53" s="1602"/>
      <c r="U53" s="1602"/>
      <c r="V53" s="1602"/>
      <c r="W53" s="1602"/>
      <c r="X53" s="1602"/>
      <c r="Y53" s="1602"/>
      <c r="Z53" s="1602"/>
      <c r="AA53" s="1602"/>
      <c r="AB53" s="1602"/>
      <c r="AC53" s="1728"/>
    </row>
    <row r="54" spans="1:29" ht="18">
      <c r="A54" s="1375"/>
      <c r="B54" s="1729"/>
      <c r="C54" s="1615"/>
      <c r="D54" s="1615"/>
      <c r="E54" s="1615"/>
      <c r="F54" s="1615"/>
      <c r="G54" s="1615"/>
      <c r="H54" s="1615"/>
      <c r="I54" s="1615"/>
      <c r="J54" s="1615"/>
      <c r="K54" s="1615"/>
      <c r="L54" s="1615"/>
      <c r="M54" s="1615"/>
      <c r="N54" s="1615"/>
      <c r="O54" s="1615"/>
      <c r="P54" s="1615"/>
      <c r="Q54" s="1615"/>
      <c r="R54" s="1615"/>
      <c r="S54" s="1615"/>
      <c r="T54" s="1615"/>
      <c r="U54" s="1615"/>
      <c r="V54" s="1615"/>
      <c r="W54" s="1615"/>
      <c r="X54" s="1615"/>
      <c r="Y54" s="1615"/>
      <c r="Z54" s="1615"/>
      <c r="AA54" s="1615"/>
      <c r="AB54" s="1615"/>
      <c r="AC54" s="1616"/>
    </row>
    <row r="55" spans="1:29" ht="18">
      <c r="A55" s="1375"/>
      <c r="B55" s="1375"/>
      <c r="C55" s="1375"/>
      <c r="D55" s="1375"/>
      <c r="E55" s="1375"/>
      <c r="F55" s="1375"/>
      <c r="G55" s="1375"/>
      <c r="H55" s="1375"/>
      <c r="I55" s="1375"/>
      <c r="J55" s="1375"/>
      <c r="K55" s="1375"/>
      <c r="L55" s="1375"/>
      <c r="M55" s="1375"/>
      <c r="N55" s="1375"/>
      <c r="O55" s="1375"/>
      <c r="P55" s="1375"/>
      <c r="Q55" s="1375"/>
      <c r="R55" s="1375"/>
      <c r="S55" s="1375"/>
      <c r="T55" s="1375"/>
      <c r="U55" s="1375"/>
      <c r="V55" s="1730">
        <v>45740</v>
      </c>
      <c r="W55" s="1606"/>
      <c r="X55" s="1606"/>
      <c r="Y55" s="1606"/>
      <c r="Z55" s="1606"/>
      <c r="AA55" s="1606"/>
      <c r="AB55" s="1606"/>
      <c r="AC55" s="1606"/>
    </row>
    <row r="56" spans="1:29" ht="18">
      <c r="A56" s="1375"/>
      <c r="B56" s="1375"/>
      <c r="C56" s="1375"/>
      <c r="D56" s="1375"/>
      <c r="E56" s="1375"/>
      <c r="F56" s="1375"/>
      <c r="G56" s="1375"/>
      <c r="H56" s="1375"/>
      <c r="I56" s="1375"/>
      <c r="J56" s="1375"/>
      <c r="K56" s="1375"/>
      <c r="L56" s="1375"/>
      <c r="M56" s="1375"/>
      <c r="N56" s="1375"/>
      <c r="O56" s="1375"/>
      <c r="P56" s="1375"/>
      <c r="Q56" s="1375"/>
      <c r="R56" s="1375"/>
      <c r="S56" s="1375"/>
      <c r="T56" s="1375"/>
      <c r="U56" s="1375"/>
      <c r="V56" s="1615"/>
      <c r="W56" s="1615"/>
      <c r="X56" s="1615"/>
      <c r="Y56" s="1615"/>
      <c r="Z56" s="1615"/>
      <c r="AA56" s="1615"/>
      <c r="AB56" s="1615"/>
      <c r="AC56" s="1615"/>
    </row>
    <row r="57" spans="1:29" ht="18">
      <c r="A57" s="1375"/>
      <c r="B57" s="1731" t="s">
        <v>4967</v>
      </c>
      <c r="C57" s="1606"/>
      <c r="D57" s="1606"/>
      <c r="E57" s="1606"/>
      <c r="F57" s="1606"/>
      <c r="G57" s="1606"/>
      <c r="H57" s="1606"/>
      <c r="I57" s="1606"/>
      <c r="J57" s="1606"/>
      <c r="K57" s="1606"/>
      <c r="L57" s="1606"/>
      <c r="M57" s="1606"/>
      <c r="N57" s="1606"/>
      <c r="O57" s="1606"/>
      <c r="P57" s="1606"/>
      <c r="Q57" s="1606"/>
      <c r="R57" s="1606"/>
      <c r="S57" s="1606"/>
      <c r="T57" s="1606"/>
      <c r="U57" s="1606"/>
      <c r="V57" s="1606"/>
      <c r="W57" s="1606"/>
      <c r="X57" s="1606"/>
      <c r="Y57" s="1606"/>
      <c r="Z57" s="1606"/>
      <c r="AA57" s="1606"/>
      <c r="AB57" s="1606"/>
      <c r="AC57" s="1607"/>
    </row>
    <row r="58" spans="1:29" ht="18">
      <c r="A58" s="1375"/>
      <c r="B58" s="1729"/>
      <c r="C58" s="1615"/>
      <c r="D58" s="1615"/>
      <c r="E58" s="1615"/>
      <c r="F58" s="1615"/>
      <c r="G58" s="1615"/>
      <c r="H58" s="1615"/>
      <c r="I58" s="1615"/>
      <c r="J58" s="1615"/>
      <c r="K58" s="1615"/>
      <c r="L58" s="1615"/>
      <c r="M58" s="1615"/>
      <c r="N58" s="1615"/>
      <c r="O58" s="1615"/>
      <c r="P58" s="1615"/>
      <c r="Q58" s="1615"/>
      <c r="R58" s="1615"/>
      <c r="S58" s="1615"/>
      <c r="T58" s="1615"/>
      <c r="U58" s="1615"/>
      <c r="V58" s="1615"/>
      <c r="W58" s="1615"/>
      <c r="X58" s="1615"/>
      <c r="Y58" s="1615"/>
      <c r="Z58" s="1615"/>
      <c r="AA58" s="1615"/>
      <c r="AB58" s="1615"/>
      <c r="AC58" s="1616"/>
    </row>
    <row r="59" spans="1:29" ht="18">
      <c r="A59" s="1375"/>
      <c r="B59" s="1488"/>
      <c r="C59" s="1488"/>
      <c r="D59" s="1488"/>
      <c r="E59" s="1488"/>
      <c r="F59" s="1488"/>
      <c r="G59" s="1488"/>
      <c r="H59" s="1488"/>
      <c r="I59" s="1488"/>
      <c r="J59" s="1488"/>
      <c r="K59" s="1488"/>
      <c r="L59" s="1488"/>
      <c r="M59" s="1488"/>
      <c r="N59" s="1488"/>
      <c r="O59" s="1515"/>
      <c r="P59" s="1488"/>
      <c r="Q59" s="1488"/>
      <c r="R59" s="1488"/>
      <c r="S59" s="1488"/>
      <c r="T59" s="1488"/>
      <c r="U59" s="1488"/>
      <c r="V59" s="1488"/>
      <c r="W59" s="1488"/>
      <c r="X59" s="1488"/>
      <c r="Y59" s="1488"/>
      <c r="Z59" s="1488"/>
      <c r="AA59" s="1488"/>
      <c r="AB59" s="1488"/>
      <c r="AC59" s="1488"/>
    </row>
    <row r="60" spans="1:29" ht="35">
      <c r="A60" s="1375"/>
      <c r="B60" s="1375"/>
      <c r="C60" s="1375"/>
      <c r="D60" s="1375"/>
      <c r="E60" s="1375"/>
      <c r="F60" s="1375"/>
      <c r="G60" s="1375"/>
      <c r="H60" s="1375"/>
      <c r="I60" s="1375"/>
      <c r="J60" s="1375"/>
      <c r="K60" s="1375"/>
      <c r="L60" s="1375"/>
      <c r="M60" s="1375"/>
      <c r="N60" s="1375"/>
      <c r="O60" s="1375"/>
      <c r="P60" s="1375"/>
      <c r="Q60" s="1375"/>
      <c r="R60" s="1375"/>
      <c r="S60" s="1375"/>
      <c r="T60" s="1375"/>
      <c r="U60" s="1375"/>
      <c r="V60" s="1516"/>
      <c r="W60" s="1516"/>
      <c r="X60" s="1516"/>
      <c r="Y60" s="1516"/>
      <c r="Z60" s="1516"/>
      <c r="AA60" s="1516"/>
      <c r="AB60" s="1516"/>
      <c r="AC60" s="1516"/>
    </row>
    <row r="61" spans="1:29" ht="18">
      <c r="A61" s="1375"/>
      <c r="B61" s="1732" t="s">
        <v>4968</v>
      </c>
      <c r="C61" s="1606"/>
      <c r="D61" s="1606"/>
      <c r="E61" s="1606"/>
      <c r="F61" s="1606"/>
      <c r="G61" s="1606"/>
      <c r="H61" s="1606"/>
      <c r="I61" s="1606"/>
      <c r="J61" s="1606"/>
      <c r="K61" s="1606"/>
      <c r="L61" s="1606"/>
      <c r="M61" s="1606"/>
      <c r="N61" s="1606"/>
      <c r="O61" s="1606"/>
      <c r="P61" s="1606"/>
      <c r="Q61" s="1606"/>
      <c r="R61" s="1606"/>
      <c r="S61" s="1606"/>
      <c r="T61" s="1606"/>
      <c r="U61" s="1606"/>
      <c r="V61" s="1606"/>
      <c r="W61" s="1606"/>
      <c r="X61" s="1606"/>
      <c r="Y61" s="1606"/>
      <c r="Z61" s="1606"/>
      <c r="AA61" s="1606"/>
      <c r="AB61" s="1606"/>
      <c r="AC61" s="1607"/>
    </row>
    <row r="62" spans="1:29" ht="18">
      <c r="A62" s="1375"/>
      <c r="B62" s="1727"/>
      <c r="C62" s="1602"/>
      <c r="D62" s="1602"/>
      <c r="E62" s="1602"/>
      <c r="F62" s="1602"/>
      <c r="G62" s="1602"/>
      <c r="H62" s="1602"/>
      <c r="I62" s="1602"/>
      <c r="J62" s="1602"/>
      <c r="K62" s="1602"/>
      <c r="L62" s="1602"/>
      <c r="M62" s="1602"/>
      <c r="N62" s="1602"/>
      <c r="O62" s="1602"/>
      <c r="P62" s="1602"/>
      <c r="Q62" s="1602"/>
      <c r="R62" s="1602"/>
      <c r="S62" s="1602"/>
      <c r="T62" s="1602"/>
      <c r="U62" s="1602"/>
      <c r="V62" s="1602"/>
      <c r="W62" s="1602"/>
      <c r="X62" s="1602"/>
      <c r="Y62" s="1602"/>
      <c r="Z62" s="1602"/>
      <c r="AA62" s="1602"/>
      <c r="AB62" s="1602"/>
      <c r="AC62" s="1728"/>
    </row>
    <row r="63" spans="1:29" ht="18">
      <c r="A63" s="1375"/>
      <c r="B63" s="1727"/>
      <c r="C63" s="1602"/>
      <c r="D63" s="1602"/>
      <c r="E63" s="1602"/>
      <c r="F63" s="1602"/>
      <c r="G63" s="1602"/>
      <c r="H63" s="1602"/>
      <c r="I63" s="1602"/>
      <c r="J63" s="1602"/>
      <c r="K63" s="1602"/>
      <c r="L63" s="1602"/>
      <c r="M63" s="1602"/>
      <c r="N63" s="1602"/>
      <c r="O63" s="1602"/>
      <c r="P63" s="1602"/>
      <c r="Q63" s="1602"/>
      <c r="R63" s="1602"/>
      <c r="S63" s="1602"/>
      <c r="T63" s="1602"/>
      <c r="U63" s="1602"/>
      <c r="V63" s="1602"/>
      <c r="W63" s="1602"/>
      <c r="X63" s="1602"/>
      <c r="Y63" s="1602"/>
      <c r="Z63" s="1602"/>
      <c r="AA63" s="1602"/>
      <c r="AB63" s="1602"/>
      <c r="AC63" s="1728"/>
    </row>
    <row r="64" spans="1:29" ht="18">
      <c r="A64" s="1375"/>
      <c r="B64" s="1729"/>
      <c r="C64" s="1615"/>
      <c r="D64" s="1615"/>
      <c r="E64" s="1615"/>
      <c r="F64" s="1615"/>
      <c r="G64" s="1615"/>
      <c r="H64" s="1615"/>
      <c r="I64" s="1615"/>
      <c r="J64" s="1615"/>
      <c r="K64" s="1615"/>
      <c r="L64" s="1615"/>
      <c r="M64" s="1615"/>
      <c r="N64" s="1615"/>
      <c r="O64" s="1615"/>
      <c r="P64" s="1615"/>
      <c r="Q64" s="1615"/>
      <c r="R64" s="1615"/>
      <c r="S64" s="1615"/>
      <c r="T64" s="1615"/>
      <c r="U64" s="1615"/>
      <c r="V64" s="1615"/>
      <c r="W64" s="1615"/>
      <c r="X64" s="1615"/>
      <c r="Y64" s="1615"/>
      <c r="Z64" s="1615"/>
      <c r="AA64" s="1615"/>
      <c r="AB64" s="1615"/>
      <c r="AC64" s="1616"/>
    </row>
    <row r="65" spans="1:29" ht="35">
      <c r="A65" s="1375"/>
      <c r="B65" s="1375"/>
      <c r="C65" s="1375"/>
      <c r="D65" s="1375"/>
      <c r="E65" s="1708"/>
      <c r="F65" s="1602"/>
      <c r="G65" s="1375"/>
      <c r="H65" s="1375"/>
      <c r="I65" s="1375"/>
      <c r="J65" s="1375"/>
      <c r="K65" s="1375"/>
      <c r="L65" s="1375"/>
      <c r="M65" s="1375"/>
      <c r="N65" s="1375"/>
      <c r="O65" s="1708"/>
      <c r="P65" s="1602"/>
      <c r="Q65" s="1375"/>
      <c r="R65" s="1375"/>
      <c r="S65" s="1375"/>
      <c r="T65" s="1375"/>
      <c r="U65" s="1375"/>
      <c r="V65" s="1516"/>
      <c r="W65" s="1516"/>
      <c r="X65" s="1725"/>
      <c r="Y65" s="1602"/>
      <c r="Z65" s="1516"/>
      <c r="AA65" s="1375"/>
      <c r="AB65" s="1375"/>
      <c r="AC65" s="1375"/>
    </row>
    <row r="66" spans="1:29" ht="35">
      <c r="A66" s="1375"/>
      <c r="B66" s="1375"/>
      <c r="C66" s="1375"/>
      <c r="D66" s="1375"/>
      <c r="E66" s="1602"/>
      <c r="F66" s="1602"/>
      <c r="G66" s="1375"/>
      <c r="H66" s="1375"/>
      <c r="I66" s="1375"/>
      <c r="J66" s="1375"/>
      <c r="K66" s="1375"/>
      <c r="L66" s="1375"/>
      <c r="M66" s="1375"/>
      <c r="N66" s="1375"/>
      <c r="O66" s="1602"/>
      <c r="P66" s="1602"/>
      <c r="Q66" s="1375"/>
      <c r="R66" s="1375"/>
      <c r="S66" s="1375"/>
      <c r="T66" s="1375"/>
      <c r="U66" s="1375"/>
      <c r="V66" s="1516"/>
      <c r="W66" s="1516"/>
      <c r="X66" s="1602"/>
      <c r="Y66" s="1602"/>
      <c r="Z66" s="1516"/>
      <c r="AA66" s="1375"/>
      <c r="AB66" s="1375"/>
      <c r="AC66" s="1375"/>
    </row>
    <row r="67" spans="1:29" ht="18">
      <c r="A67" s="1375"/>
      <c r="B67" s="1733" t="s">
        <v>4997</v>
      </c>
      <c r="C67" s="1606"/>
      <c r="D67" s="1606"/>
      <c r="E67" s="1606"/>
      <c r="F67" s="1606"/>
      <c r="G67" s="1606"/>
      <c r="H67" s="1606"/>
      <c r="I67" s="1607"/>
      <c r="J67" s="1375"/>
      <c r="K67" s="1375"/>
      <c r="L67" s="1733" t="s">
        <v>4998</v>
      </c>
      <c r="M67" s="1606"/>
      <c r="N67" s="1606"/>
      <c r="O67" s="1606"/>
      <c r="P67" s="1606"/>
      <c r="Q67" s="1606"/>
      <c r="R67" s="1606"/>
      <c r="S67" s="1607"/>
      <c r="T67" s="1375"/>
      <c r="U67" s="1733" t="s">
        <v>4999</v>
      </c>
      <c r="V67" s="1606"/>
      <c r="W67" s="1606"/>
      <c r="X67" s="1606"/>
      <c r="Y67" s="1606"/>
      <c r="Z67" s="1606"/>
      <c r="AA67" s="1606"/>
      <c r="AB67" s="1606"/>
      <c r="AC67" s="1607"/>
    </row>
    <row r="68" spans="1:29" ht="18">
      <c r="A68" s="1375"/>
      <c r="B68" s="1727"/>
      <c r="C68" s="1602"/>
      <c r="D68" s="1602"/>
      <c r="E68" s="1602"/>
      <c r="F68" s="1602"/>
      <c r="G68" s="1602"/>
      <c r="H68" s="1602"/>
      <c r="I68" s="1728"/>
      <c r="J68" s="1375"/>
      <c r="K68" s="1375"/>
      <c r="L68" s="1727"/>
      <c r="M68" s="1602"/>
      <c r="N68" s="1602"/>
      <c r="O68" s="1602"/>
      <c r="P68" s="1602"/>
      <c r="Q68" s="1602"/>
      <c r="R68" s="1602"/>
      <c r="S68" s="1728"/>
      <c r="T68" s="1375"/>
      <c r="U68" s="1727"/>
      <c r="V68" s="1602"/>
      <c r="W68" s="1602"/>
      <c r="X68" s="1602"/>
      <c r="Y68" s="1602"/>
      <c r="Z68" s="1602"/>
      <c r="AA68" s="1602"/>
      <c r="AB68" s="1602"/>
      <c r="AC68" s="1728"/>
    </row>
    <row r="69" spans="1:29" ht="18">
      <c r="A69" s="1375"/>
      <c r="B69" s="1729"/>
      <c r="C69" s="1615"/>
      <c r="D69" s="1615"/>
      <c r="E69" s="1615"/>
      <c r="F69" s="1615"/>
      <c r="G69" s="1615"/>
      <c r="H69" s="1615"/>
      <c r="I69" s="1616"/>
      <c r="J69" s="1375"/>
      <c r="K69" s="1375"/>
      <c r="L69" s="1729"/>
      <c r="M69" s="1615"/>
      <c r="N69" s="1615"/>
      <c r="O69" s="1615"/>
      <c r="P69" s="1615"/>
      <c r="Q69" s="1615"/>
      <c r="R69" s="1615"/>
      <c r="S69" s="1616"/>
      <c r="T69" s="1375"/>
      <c r="U69" s="1729"/>
      <c r="V69" s="1615"/>
      <c r="W69" s="1615"/>
      <c r="X69" s="1615"/>
      <c r="Y69" s="1615"/>
      <c r="Z69" s="1615"/>
      <c r="AA69" s="1615"/>
      <c r="AB69" s="1615"/>
      <c r="AC69" s="1616"/>
    </row>
    <row r="70" spans="1:29" ht="18">
      <c r="A70" s="1375"/>
      <c r="B70" s="1375"/>
      <c r="C70" s="1375"/>
      <c r="D70" s="1375"/>
      <c r="E70" s="1375"/>
      <c r="F70" s="1375"/>
      <c r="G70" s="1375"/>
      <c r="H70" s="1375"/>
      <c r="I70" s="1375"/>
      <c r="J70" s="1375"/>
      <c r="K70" s="1375"/>
      <c r="L70" s="1375"/>
      <c r="M70" s="1375"/>
      <c r="N70" s="1375"/>
      <c r="O70" s="1375"/>
      <c r="P70" s="1375"/>
      <c r="Q70" s="1375"/>
      <c r="R70" s="1375"/>
      <c r="S70" s="1375"/>
      <c r="T70" s="1375"/>
      <c r="U70" s="1375"/>
      <c r="V70" s="1375"/>
      <c r="W70" s="1375"/>
      <c r="X70" s="1375"/>
      <c r="Y70" s="1375"/>
      <c r="Z70" s="1375"/>
      <c r="AA70" s="1375"/>
      <c r="AB70" s="1375"/>
      <c r="AC70" s="1375"/>
    </row>
    <row r="71" spans="1:29" ht="41.5">
      <c r="A71" s="1375"/>
      <c r="B71" s="1734" t="s">
        <v>611</v>
      </c>
      <c r="C71" s="1613"/>
      <c r="D71" s="1613"/>
      <c r="E71" s="1613"/>
      <c r="F71" s="1613"/>
      <c r="G71" s="1613"/>
      <c r="H71" s="1613"/>
      <c r="I71" s="1613"/>
      <c r="J71" s="1526"/>
      <c r="K71" s="1375"/>
      <c r="L71" s="1734" t="s">
        <v>611</v>
      </c>
      <c r="M71" s="1613"/>
      <c r="N71" s="1613"/>
      <c r="O71" s="1613"/>
      <c r="P71" s="1613"/>
      <c r="Q71" s="1613"/>
      <c r="R71" s="1613"/>
      <c r="S71" s="1610"/>
      <c r="T71" s="1375"/>
      <c r="U71" s="1734" t="s">
        <v>55</v>
      </c>
      <c r="V71" s="1613"/>
      <c r="W71" s="1613"/>
      <c r="X71" s="1613"/>
      <c r="Y71" s="1526"/>
      <c r="Z71" s="1734" t="s">
        <v>611</v>
      </c>
      <c r="AA71" s="1613"/>
      <c r="AB71" s="1613"/>
      <c r="AC71" s="1610"/>
    </row>
    <row r="72" spans="1:29" ht="18">
      <c r="A72" s="1375"/>
      <c r="B72" s="1375"/>
      <c r="C72" s="1375"/>
      <c r="D72" s="1375"/>
      <c r="E72" s="1375"/>
      <c r="F72" s="1375"/>
      <c r="G72" s="1375"/>
      <c r="H72" s="1375"/>
      <c r="I72" s="1375"/>
      <c r="J72" s="1375"/>
      <c r="K72" s="1375"/>
      <c r="L72" s="1375"/>
      <c r="M72" s="1375"/>
      <c r="N72" s="1375"/>
      <c r="O72" s="1375"/>
      <c r="P72" s="1375"/>
      <c r="Q72" s="1375"/>
      <c r="R72" s="1375"/>
      <c r="S72" s="1375"/>
      <c r="T72" s="1375"/>
      <c r="U72" s="1375"/>
      <c r="V72" s="1375"/>
      <c r="W72" s="1375"/>
      <c r="X72" s="1375"/>
      <c r="Y72" s="1375"/>
      <c r="Z72" s="1375"/>
      <c r="AA72" s="1375"/>
      <c r="AB72" s="1375"/>
      <c r="AC72" s="1375"/>
    </row>
    <row r="73" spans="1:29" ht="38.5">
      <c r="A73" s="1375"/>
      <c r="B73" s="1375"/>
      <c r="C73" s="1737"/>
      <c r="D73" s="1602"/>
      <c r="E73" s="1737" t="s">
        <v>3437</v>
      </c>
      <c r="F73" s="1602"/>
      <c r="G73" s="1375"/>
      <c r="H73" s="1737"/>
      <c r="I73" s="1602"/>
      <c r="J73" s="1375"/>
      <c r="K73" s="1375"/>
      <c r="L73" s="1375"/>
      <c r="M73" s="1737"/>
      <c r="N73" s="1602"/>
      <c r="O73" s="1737" t="s">
        <v>3437</v>
      </c>
      <c r="P73" s="1602"/>
      <c r="Q73" s="1375"/>
      <c r="R73" s="1737"/>
      <c r="S73" s="1602"/>
      <c r="T73" s="1375"/>
      <c r="U73" s="1375"/>
      <c r="V73" s="1737" t="s">
        <v>3437</v>
      </c>
      <c r="W73" s="1602"/>
      <c r="X73" s="1527"/>
      <c r="Y73" s="1527"/>
      <c r="Z73" s="1375"/>
      <c r="AA73" s="1737" t="s">
        <v>3446</v>
      </c>
      <c r="AB73" s="1602"/>
      <c r="AC73" s="1527"/>
    </row>
    <row r="74" spans="1:29" ht="38.5">
      <c r="A74" s="1375"/>
      <c r="B74" s="1735" t="s">
        <v>3411</v>
      </c>
      <c r="C74" s="1615"/>
      <c r="D74" s="1615"/>
      <c r="E74" s="1615"/>
      <c r="F74" s="1615"/>
      <c r="G74" s="1615"/>
      <c r="H74" s="1615"/>
      <c r="I74" s="1615"/>
      <c r="J74" s="1527"/>
      <c r="K74" s="1375"/>
      <c r="L74" s="1735" t="s">
        <v>3411</v>
      </c>
      <c r="M74" s="1615"/>
      <c r="N74" s="1615"/>
      <c r="O74" s="1615"/>
      <c r="P74" s="1615"/>
      <c r="Q74" s="1615"/>
      <c r="R74" s="1615"/>
      <c r="S74" s="1615"/>
      <c r="T74" s="1375"/>
      <c r="U74" s="1735" t="s">
        <v>3411</v>
      </c>
      <c r="V74" s="1615"/>
      <c r="W74" s="1615"/>
      <c r="X74" s="1615"/>
      <c r="Y74" s="1527"/>
      <c r="Z74" s="1735" t="s">
        <v>3411</v>
      </c>
      <c r="AA74" s="1615"/>
      <c r="AB74" s="1615"/>
      <c r="AC74" s="1615"/>
    </row>
    <row r="75" spans="1:29" ht="38.5">
      <c r="A75" s="1375"/>
      <c r="B75" s="1732" t="s">
        <v>733</v>
      </c>
      <c r="C75" s="1606"/>
      <c r="D75" s="1606"/>
      <c r="E75" s="1606"/>
      <c r="F75" s="1606"/>
      <c r="G75" s="1606"/>
      <c r="H75" s="1606"/>
      <c r="I75" s="1607"/>
      <c r="J75" s="1519"/>
      <c r="K75" s="1375"/>
      <c r="L75" s="1732" t="s">
        <v>725</v>
      </c>
      <c r="M75" s="1606"/>
      <c r="N75" s="1606"/>
      <c r="O75" s="1606"/>
      <c r="P75" s="1606"/>
      <c r="Q75" s="1606"/>
      <c r="R75" s="1606"/>
      <c r="S75" s="1607"/>
      <c r="T75" s="1375"/>
      <c r="U75" s="1732" t="s">
        <v>5000</v>
      </c>
      <c r="V75" s="1606"/>
      <c r="W75" s="1606"/>
      <c r="X75" s="1606"/>
      <c r="Y75" s="1528"/>
      <c r="Z75" s="1736" t="s">
        <v>850</v>
      </c>
      <c r="AA75" s="1606"/>
      <c r="AB75" s="1606"/>
      <c r="AC75" s="1607"/>
    </row>
    <row r="76" spans="1:29" ht="38.5">
      <c r="A76" s="1375"/>
      <c r="B76" s="1727"/>
      <c r="C76" s="1602"/>
      <c r="D76" s="1602"/>
      <c r="E76" s="1602"/>
      <c r="F76" s="1602"/>
      <c r="G76" s="1602"/>
      <c r="H76" s="1602"/>
      <c r="I76" s="1728"/>
      <c r="J76" s="1519"/>
      <c r="K76" s="1375"/>
      <c r="L76" s="1727"/>
      <c r="M76" s="1602"/>
      <c r="N76" s="1602"/>
      <c r="O76" s="1602"/>
      <c r="P76" s="1602"/>
      <c r="Q76" s="1602"/>
      <c r="R76" s="1602"/>
      <c r="S76" s="1728"/>
      <c r="T76" s="1375"/>
      <c r="U76" s="1727"/>
      <c r="V76" s="1602"/>
      <c r="W76" s="1602"/>
      <c r="X76" s="1602"/>
      <c r="Y76" s="1528"/>
      <c r="Z76" s="1727"/>
      <c r="AA76" s="1602"/>
      <c r="AB76" s="1602"/>
      <c r="AC76" s="1728"/>
    </row>
    <row r="77" spans="1:29" ht="38.5">
      <c r="A77" s="1375"/>
      <c r="B77" s="1729"/>
      <c r="C77" s="1615"/>
      <c r="D77" s="1615"/>
      <c r="E77" s="1615"/>
      <c r="F77" s="1615"/>
      <c r="G77" s="1615"/>
      <c r="H77" s="1615"/>
      <c r="I77" s="1616"/>
      <c r="J77" s="1519"/>
      <c r="K77" s="1375"/>
      <c r="L77" s="1729"/>
      <c r="M77" s="1615"/>
      <c r="N77" s="1615"/>
      <c r="O77" s="1615"/>
      <c r="P77" s="1615"/>
      <c r="Q77" s="1615"/>
      <c r="R77" s="1615"/>
      <c r="S77" s="1616"/>
      <c r="T77" s="1375"/>
      <c r="U77" s="1729"/>
      <c r="V77" s="1615"/>
      <c r="W77" s="1615"/>
      <c r="X77" s="1615"/>
      <c r="Y77" s="1528"/>
      <c r="Z77" s="1729"/>
      <c r="AA77" s="1615"/>
      <c r="AB77" s="1615"/>
      <c r="AC77" s="1616"/>
    </row>
    <row r="78" spans="1:29" ht="38.5">
      <c r="A78" s="1375"/>
      <c r="B78" s="1520"/>
      <c r="C78" s="1520"/>
      <c r="D78" s="1520"/>
      <c r="E78" s="1515"/>
      <c r="F78" s="1375"/>
      <c r="G78" s="1520"/>
      <c r="H78" s="1520"/>
      <c r="I78" s="1520"/>
      <c r="J78" s="1520"/>
      <c r="K78" s="1375"/>
      <c r="L78" s="1520"/>
      <c r="M78" s="1520"/>
      <c r="N78" s="1520"/>
      <c r="O78" s="1515"/>
      <c r="P78" s="1375"/>
      <c r="Q78" s="1520"/>
      <c r="R78" s="1520"/>
      <c r="S78" s="1520"/>
      <c r="T78" s="1375"/>
      <c r="U78" s="1520"/>
      <c r="V78" s="1515"/>
      <c r="W78" s="1520"/>
      <c r="X78" s="1520"/>
      <c r="Y78" s="1375"/>
      <c r="Z78" s="1520"/>
      <c r="AA78" s="1515"/>
      <c r="AB78" s="1520"/>
      <c r="AC78" s="1375"/>
    </row>
    <row r="79" spans="1:29" ht="18">
      <c r="A79" s="1375"/>
      <c r="B79" s="1375"/>
      <c r="C79" s="1375"/>
      <c r="D79" s="1375"/>
      <c r="E79" s="1375"/>
      <c r="F79" s="1375"/>
      <c r="G79" s="1375"/>
      <c r="H79" s="1375"/>
      <c r="I79" s="1375"/>
      <c r="J79" s="1375"/>
      <c r="K79" s="1375"/>
      <c r="L79" s="1375"/>
      <c r="M79" s="1375"/>
      <c r="N79" s="1375"/>
      <c r="O79" s="1375"/>
      <c r="P79" s="1375"/>
      <c r="Q79" s="1375"/>
      <c r="R79" s="1375"/>
      <c r="S79" s="1375"/>
      <c r="T79" s="1375"/>
      <c r="U79" s="1375"/>
      <c r="V79" s="1375"/>
      <c r="W79" s="1375"/>
      <c r="X79" s="1375"/>
      <c r="Y79" s="1375"/>
      <c r="Z79" s="1375"/>
      <c r="AA79" s="1375"/>
      <c r="AB79" s="1375"/>
      <c r="AC79" s="1375"/>
    </row>
    <row r="80" spans="1:29" ht="35">
      <c r="A80" s="1375"/>
      <c r="B80" s="1724" t="s">
        <v>5001</v>
      </c>
      <c r="C80" s="1613"/>
      <c r="D80" s="1613"/>
      <c r="E80" s="1610"/>
      <c r="F80" s="1739" t="s">
        <v>1054</v>
      </c>
      <c r="G80" s="1613"/>
      <c r="H80" s="1613"/>
      <c r="I80" s="1610"/>
      <c r="J80" s="1529"/>
      <c r="K80" s="1522"/>
      <c r="L80" s="1724" t="s">
        <v>1675</v>
      </c>
      <c r="M80" s="1613"/>
      <c r="N80" s="1613"/>
      <c r="O80" s="1610"/>
      <c r="P80" s="1739"/>
      <c r="Q80" s="1613"/>
      <c r="R80" s="1613"/>
      <c r="S80" s="1610"/>
      <c r="T80" s="1522"/>
      <c r="U80" s="1738" t="s">
        <v>78</v>
      </c>
      <c r="V80" s="1613"/>
      <c r="W80" s="1613"/>
      <c r="X80" s="1610"/>
      <c r="Y80" s="1522"/>
      <c r="Z80" s="1724" t="s">
        <v>1592</v>
      </c>
      <c r="AA80" s="1613"/>
      <c r="AB80" s="1613"/>
      <c r="AC80" s="1610"/>
    </row>
    <row r="81" spans="1:29" ht="35">
      <c r="A81" s="1375"/>
      <c r="B81" s="1724" t="s">
        <v>5002</v>
      </c>
      <c r="C81" s="1613"/>
      <c r="D81" s="1613"/>
      <c r="E81" s="1610"/>
      <c r="F81" s="1739" t="s">
        <v>1064</v>
      </c>
      <c r="G81" s="1613"/>
      <c r="H81" s="1613"/>
      <c r="I81" s="1610"/>
      <c r="J81" s="1529"/>
      <c r="K81" s="1522"/>
      <c r="L81" s="1724" t="s">
        <v>1685</v>
      </c>
      <c r="M81" s="1613"/>
      <c r="N81" s="1613"/>
      <c r="O81" s="1610"/>
      <c r="P81" s="1739"/>
      <c r="Q81" s="1613"/>
      <c r="R81" s="1613"/>
      <c r="S81" s="1610"/>
      <c r="T81" s="1522"/>
      <c r="U81" s="1738" t="s">
        <v>297</v>
      </c>
      <c r="V81" s="1613"/>
      <c r="W81" s="1613"/>
      <c r="X81" s="1610"/>
      <c r="Y81" s="1522"/>
      <c r="Z81" s="1724" t="s">
        <v>1601</v>
      </c>
      <c r="AA81" s="1613"/>
      <c r="AB81" s="1613"/>
      <c r="AC81" s="1610"/>
    </row>
    <row r="82" spans="1:29" ht="35">
      <c r="A82" s="1375"/>
      <c r="B82" s="1724" t="s">
        <v>5003</v>
      </c>
      <c r="C82" s="1613"/>
      <c r="D82" s="1613"/>
      <c r="E82" s="1610"/>
      <c r="F82" s="1739" t="s">
        <v>5004</v>
      </c>
      <c r="G82" s="1613"/>
      <c r="H82" s="1613"/>
      <c r="I82" s="1610"/>
      <c r="J82" s="1529"/>
      <c r="K82" s="1522"/>
      <c r="L82" s="1724" t="s">
        <v>1694</v>
      </c>
      <c r="M82" s="1613"/>
      <c r="N82" s="1613"/>
      <c r="O82" s="1610"/>
      <c r="P82" s="1739"/>
      <c r="Q82" s="1613"/>
      <c r="R82" s="1613"/>
      <c r="S82" s="1610"/>
      <c r="T82" s="1522"/>
      <c r="U82" s="1724" t="s">
        <v>190</v>
      </c>
      <c r="V82" s="1613"/>
      <c r="W82" s="1613"/>
      <c r="X82" s="1610"/>
      <c r="Y82" s="1522"/>
      <c r="Z82" s="1724" t="s">
        <v>1626</v>
      </c>
      <c r="AA82" s="1613"/>
      <c r="AB82" s="1613"/>
      <c r="AC82" s="1610"/>
    </row>
    <row r="83" spans="1:29" ht="35">
      <c r="A83" s="1375"/>
      <c r="B83" s="1724" t="s">
        <v>5005</v>
      </c>
      <c r="C83" s="1613"/>
      <c r="D83" s="1613"/>
      <c r="E83" s="1610"/>
      <c r="F83" s="1739" t="s">
        <v>5006</v>
      </c>
      <c r="G83" s="1613"/>
      <c r="H83" s="1613"/>
      <c r="I83" s="1610"/>
      <c r="J83" s="1529"/>
      <c r="K83" s="1522"/>
      <c r="L83" s="1724" t="s">
        <v>1704</v>
      </c>
      <c r="M83" s="1613"/>
      <c r="N83" s="1613"/>
      <c r="O83" s="1610"/>
      <c r="P83" s="1739"/>
      <c r="Q83" s="1613"/>
      <c r="R83" s="1613"/>
      <c r="S83" s="1610"/>
      <c r="T83" s="1522"/>
      <c r="U83" s="1724" t="s">
        <v>1303</v>
      </c>
      <c r="V83" s="1613"/>
      <c r="W83" s="1613"/>
      <c r="X83" s="1610"/>
      <c r="Y83" s="1522"/>
      <c r="Z83" s="1724" t="s">
        <v>5007</v>
      </c>
      <c r="AA83" s="1613"/>
      <c r="AB83" s="1613"/>
      <c r="AC83" s="1610"/>
    </row>
    <row r="84" spans="1:29" ht="35">
      <c r="A84" s="1375"/>
      <c r="B84" s="1724" t="s">
        <v>4987</v>
      </c>
      <c r="C84" s="1613"/>
      <c r="D84" s="1613"/>
      <c r="E84" s="1610"/>
      <c r="F84" s="1739" t="s">
        <v>1108</v>
      </c>
      <c r="G84" s="1613"/>
      <c r="H84" s="1613"/>
      <c r="I84" s="1610"/>
      <c r="J84" s="1529"/>
      <c r="K84" s="1522"/>
      <c r="L84" s="1724" t="s">
        <v>1713</v>
      </c>
      <c r="M84" s="1613"/>
      <c r="N84" s="1613"/>
      <c r="O84" s="1610"/>
      <c r="P84" s="1739"/>
      <c r="Q84" s="1613"/>
      <c r="R84" s="1613"/>
      <c r="S84" s="1610"/>
      <c r="T84" s="1522"/>
      <c r="U84" s="1724" t="s">
        <v>230</v>
      </c>
      <c r="V84" s="1613"/>
      <c r="W84" s="1613"/>
      <c r="X84" s="1610"/>
      <c r="Y84" s="1522"/>
      <c r="Z84" s="1724" t="s">
        <v>1653</v>
      </c>
      <c r="AA84" s="1613"/>
      <c r="AB84" s="1613"/>
      <c r="AC84" s="1610"/>
    </row>
    <row r="85" spans="1:29" ht="35">
      <c r="A85" s="1375"/>
      <c r="B85" s="1724" t="s">
        <v>947</v>
      </c>
      <c r="C85" s="1613"/>
      <c r="D85" s="1613"/>
      <c r="E85" s="1610"/>
      <c r="F85" s="1739" t="s">
        <v>5008</v>
      </c>
      <c r="G85" s="1613"/>
      <c r="H85" s="1613"/>
      <c r="I85" s="1610"/>
      <c r="J85" s="1529"/>
      <c r="K85" s="1522"/>
      <c r="L85" s="1724" t="s">
        <v>1722</v>
      </c>
      <c r="M85" s="1613"/>
      <c r="N85" s="1613"/>
      <c r="O85" s="1610"/>
      <c r="P85" s="1739"/>
      <c r="Q85" s="1613"/>
      <c r="R85" s="1613"/>
      <c r="S85" s="1610"/>
      <c r="T85" s="1522"/>
      <c r="U85" s="1724" t="s">
        <v>291</v>
      </c>
      <c r="V85" s="1613"/>
      <c r="W85" s="1613"/>
      <c r="X85" s="1610"/>
      <c r="Y85" s="1522"/>
      <c r="Z85" s="1724" t="s">
        <v>1661</v>
      </c>
      <c r="AA85" s="1613"/>
      <c r="AB85" s="1613"/>
      <c r="AC85" s="1610"/>
    </row>
    <row r="86" spans="1:29" ht="35">
      <c r="A86" s="1375"/>
      <c r="B86" s="1724" t="s">
        <v>956</v>
      </c>
      <c r="C86" s="1613"/>
      <c r="D86" s="1613"/>
      <c r="E86" s="1610"/>
      <c r="F86" s="1739" t="s">
        <v>5009</v>
      </c>
      <c r="G86" s="1613"/>
      <c r="H86" s="1613"/>
      <c r="I86" s="1610"/>
      <c r="J86" s="1529"/>
      <c r="K86" s="1522"/>
      <c r="L86" s="1724" t="s">
        <v>5010</v>
      </c>
      <c r="M86" s="1613"/>
      <c r="N86" s="1613"/>
      <c r="O86" s="1610"/>
      <c r="P86" s="1739"/>
      <c r="Q86" s="1613"/>
      <c r="R86" s="1613"/>
      <c r="S86" s="1610"/>
      <c r="T86" s="1522"/>
      <c r="U86" s="1724"/>
      <c r="V86" s="1613"/>
      <c r="W86" s="1613"/>
      <c r="X86" s="1610"/>
      <c r="Y86" s="1522"/>
      <c r="Z86" s="1724"/>
      <c r="AA86" s="1613"/>
      <c r="AB86" s="1613"/>
      <c r="AC86" s="1610"/>
    </row>
    <row r="87" spans="1:29" ht="35">
      <c r="A87" s="1375"/>
      <c r="B87" s="1724" t="s">
        <v>5011</v>
      </c>
      <c r="C87" s="1613"/>
      <c r="D87" s="1613"/>
      <c r="E87" s="1610"/>
      <c r="F87" s="1739" t="s">
        <v>5012</v>
      </c>
      <c r="G87" s="1613"/>
      <c r="H87" s="1613"/>
      <c r="I87" s="1610"/>
      <c r="J87" s="1529"/>
      <c r="K87" s="1522"/>
      <c r="L87" s="1724" t="s">
        <v>1740</v>
      </c>
      <c r="M87" s="1613"/>
      <c r="N87" s="1613"/>
      <c r="O87" s="1610"/>
      <c r="P87" s="1739"/>
      <c r="Q87" s="1613"/>
      <c r="R87" s="1613"/>
      <c r="S87" s="1610"/>
      <c r="T87" s="1522"/>
      <c r="U87" s="1724"/>
      <c r="V87" s="1613"/>
      <c r="W87" s="1613"/>
      <c r="X87" s="1610"/>
      <c r="Y87" s="1522"/>
      <c r="Z87" s="1724"/>
      <c r="AA87" s="1613"/>
      <c r="AB87" s="1613"/>
      <c r="AC87" s="1610"/>
    </row>
    <row r="88" spans="1:29" ht="35">
      <c r="A88" s="1375"/>
      <c r="B88" s="1724" t="s">
        <v>5013</v>
      </c>
      <c r="C88" s="1613"/>
      <c r="D88" s="1613"/>
      <c r="E88" s="1610"/>
      <c r="F88" s="1745"/>
      <c r="G88" s="1613"/>
      <c r="H88" s="1613"/>
      <c r="I88" s="1610"/>
      <c r="J88" s="1529"/>
      <c r="K88" s="1522"/>
      <c r="L88" s="1724" t="s">
        <v>1748</v>
      </c>
      <c r="M88" s="1613"/>
      <c r="N88" s="1613"/>
      <c r="O88" s="1610"/>
      <c r="P88" s="1745"/>
      <c r="Q88" s="1613"/>
      <c r="R88" s="1613"/>
      <c r="S88" s="1610"/>
      <c r="T88" s="1522"/>
      <c r="U88" s="1724"/>
      <c r="V88" s="1613"/>
      <c r="W88" s="1613"/>
      <c r="X88" s="1610"/>
      <c r="Y88" s="1522"/>
      <c r="Z88" s="1724"/>
      <c r="AA88" s="1613"/>
      <c r="AB88" s="1613"/>
      <c r="AC88" s="1610"/>
    </row>
    <row r="89" spans="1:29" ht="35">
      <c r="A89" s="1375"/>
      <c r="B89" s="1724" t="s">
        <v>1001</v>
      </c>
      <c r="C89" s="1613"/>
      <c r="D89" s="1613"/>
      <c r="E89" s="1610"/>
      <c r="F89" s="1745"/>
      <c r="G89" s="1613"/>
      <c r="H89" s="1613"/>
      <c r="I89" s="1610"/>
      <c r="J89" s="1529"/>
      <c r="K89" s="1522"/>
      <c r="L89" s="1724" t="s">
        <v>1753</v>
      </c>
      <c r="M89" s="1613"/>
      <c r="N89" s="1613"/>
      <c r="O89" s="1610"/>
      <c r="P89" s="1745"/>
      <c r="Q89" s="1613"/>
      <c r="R89" s="1613"/>
      <c r="S89" s="1610"/>
      <c r="T89" s="1522"/>
      <c r="U89" s="1724"/>
      <c r="V89" s="1613"/>
      <c r="W89" s="1613"/>
      <c r="X89" s="1610"/>
      <c r="Y89" s="1522"/>
      <c r="Z89" s="1724"/>
      <c r="AA89" s="1613"/>
      <c r="AB89" s="1613"/>
      <c r="AC89" s="1610"/>
    </row>
    <row r="90" spans="1:29" ht="35">
      <c r="A90" s="1375"/>
      <c r="B90" s="1724" t="s">
        <v>5014</v>
      </c>
      <c r="C90" s="1613"/>
      <c r="D90" s="1613"/>
      <c r="E90" s="1610"/>
      <c r="F90" s="1745"/>
      <c r="G90" s="1613"/>
      <c r="H90" s="1613"/>
      <c r="I90" s="1610"/>
      <c r="J90" s="1529"/>
      <c r="K90" s="1522"/>
      <c r="L90" s="1724"/>
      <c r="M90" s="1613"/>
      <c r="N90" s="1613"/>
      <c r="O90" s="1610"/>
      <c r="P90" s="1745"/>
      <c r="Q90" s="1613"/>
      <c r="R90" s="1613"/>
      <c r="S90" s="1610"/>
      <c r="T90" s="1522"/>
      <c r="U90" s="1724"/>
      <c r="V90" s="1613"/>
      <c r="W90" s="1613"/>
      <c r="X90" s="1610"/>
      <c r="Y90" s="1522"/>
      <c r="Z90" s="1724"/>
      <c r="AA90" s="1613"/>
      <c r="AB90" s="1613"/>
      <c r="AC90" s="1610"/>
    </row>
    <row r="91" spans="1:29" ht="35">
      <c r="A91" s="1375"/>
      <c r="B91" s="1724" t="s">
        <v>1022</v>
      </c>
      <c r="C91" s="1613"/>
      <c r="D91" s="1613"/>
      <c r="E91" s="1610"/>
      <c r="F91" s="1745"/>
      <c r="G91" s="1613"/>
      <c r="H91" s="1613"/>
      <c r="I91" s="1610"/>
      <c r="J91" s="1529"/>
      <c r="K91" s="1522"/>
      <c r="L91" s="1724"/>
      <c r="M91" s="1613"/>
      <c r="N91" s="1613"/>
      <c r="O91" s="1610"/>
      <c r="P91" s="1745"/>
      <c r="Q91" s="1613"/>
      <c r="R91" s="1613"/>
      <c r="S91" s="1610"/>
      <c r="T91" s="1522"/>
      <c r="U91" s="1724"/>
      <c r="V91" s="1613"/>
      <c r="W91" s="1613"/>
      <c r="X91" s="1610"/>
      <c r="Y91" s="1522"/>
      <c r="Z91" s="1724"/>
      <c r="AA91" s="1613"/>
      <c r="AB91" s="1613"/>
      <c r="AC91" s="1610"/>
    </row>
    <row r="92" spans="1:29" ht="35">
      <c r="A92" s="1375"/>
      <c r="B92" s="1722" t="s">
        <v>5015</v>
      </c>
      <c r="C92" s="1606"/>
      <c r="D92" s="1606"/>
      <c r="E92" s="1607"/>
      <c r="F92" s="1746"/>
      <c r="G92" s="1606"/>
      <c r="H92" s="1606"/>
      <c r="I92" s="1607"/>
      <c r="J92" s="1529"/>
      <c r="K92" s="1522"/>
      <c r="L92" s="1722"/>
      <c r="M92" s="1606"/>
      <c r="N92" s="1606"/>
      <c r="O92" s="1607"/>
      <c r="P92" s="1746"/>
      <c r="Q92" s="1606"/>
      <c r="R92" s="1606"/>
      <c r="S92" s="1607"/>
      <c r="T92" s="1522"/>
      <c r="U92" s="1722"/>
      <c r="V92" s="1606"/>
      <c r="W92" s="1606"/>
      <c r="X92" s="1607"/>
      <c r="Y92" s="1522"/>
      <c r="Z92" s="1722"/>
      <c r="AA92" s="1606"/>
      <c r="AB92" s="1606"/>
      <c r="AC92" s="1607"/>
    </row>
    <row r="93" spans="1:29" ht="35">
      <c r="A93" s="1375"/>
      <c r="B93" s="1729"/>
      <c r="C93" s="1615"/>
      <c r="D93" s="1615"/>
      <c r="E93" s="1616"/>
      <c r="F93" s="1729"/>
      <c r="G93" s="1615"/>
      <c r="H93" s="1615"/>
      <c r="I93" s="1616"/>
      <c r="J93" s="1529"/>
      <c r="K93" s="1522"/>
      <c r="L93" s="1729"/>
      <c r="M93" s="1615"/>
      <c r="N93" s="1615"/>
      <c r="O93" s="1616"/>
      <c r="P93" s="1729"/>
      <c r="Q93" s="1615"/>
      <c r="R93" s="1615"/>
      <c r="S93" s="1616"/>
      <c r="T93" s="1522"/>
      <c r="U93" s="1729"/>
      <c r="V93" s="1615"/>
      <c r="W93" s="1615"/>
      <c r="X93" s="1616"/>
      <c r="Y93" s="1522"/>
      <c r="Z93" s="1729"/>
      <c r="AA93" s="1615"/>
      <c r="AB93" s="1615"/>
      <c r="AC93" s="1616"/>
    </row>
    <row r="94" spans="1:29" ht="38.5">
      <c r="A94" s="1375"/>
      <c r="B94" s="1744"/>
      <c r="C94" s="1606"/>
      <c r="D94" s="1606"/>
      <c r="E94" s="1606"/>
      <c r="F94" s="1744" t="s">
        <v>5016</v>
      </c>
      <c r="G94" s="1606"/>
      <c r="H94" s="1606"/>
      <c r="I94" s="1606"/>
      <c r="J94" s="1527"/>
      <c r="K94" s="1522"/>
      <c r="L94" s="1744"/>
      <c r="M94" s="1606"/>
      <c r="N94" s="1606"/>
      <c r="O94" s="1606"/>
      <c r="P94" s="1744" t="s">
        <v>4996</v>
      </c>
      <c r="Q94" s="1606"/>
      <c r="R94" s="1606"/>
      <c r="S94" s="1606"/>
      <c r="T94" s="1522"/>
      <c r="U94" s="1744" t="s">
        <v>5017</v>
      </c>
      <c r="V94" s="1606"/>
      <c r="W94" s="1606"/>
      <c r="X94" s="1606"/>
      <c r="Y94" s="1530"/>
      <c r="Z94" s="1744" t="s">
        <v>5017</v>
      </c>
      <c r="AA94" s="1606"/>
      <c r="AB94" s="1606"/>
      <c r="AC94" s="1606"/>
    </row>
    <row r="95" spans="1:29" ht="38.5">
      <c r="A95" s="1375"/>
      <c r="B95" s="1602"/>
      <c r="C95" s="1602"/>
      <c r="D95" s="1602"/>
      <c r="E95" s="1602"/>
      <c r="F95" s="1602"/>
      <c r="G95" s="1602"/>
      <c r="H95" s="1602"/>
      <c r="I95" s="1602"/>
      <c r="J95" s="1527"/>
      <c r="K95" s="1522"/>
      <c r="L95" s="1602"/>
      <c r="M95" s="1602"/>
      <c r="N95" s="1602"/>
      <c r="O95" s="1602"/>
      <c r="P95" s="1602"/>
      <c r="Q95" s="1602"/>
      <c r="R95" s="1602"/>
      <c r="S95" s="1602"/>
      <c r="T95" s="1522"/>
      <c r="U95" s="1602"/>
      <c r="V95" s="1602"/>
      <c r="W95" s="1602"/>
      <c r="X95" s="1602"/>
      <c r="Y95" s="1530"/>
      <c r="Z95" s="1602"/>
      <c r="AA95" s="1602"/>
      <c r="AB95" s="1602"/>
      <c r="AC95" s="1602"/>
    </row>
  </sheetData>
  <mergeCells count="212">
    <mergeCell ref="Z89:AC89"/>
    <mergeCell ref="P90:S90"/>
    <mergeCell ref="U90:X90"/>
    <mergeCell ref="Z90:AC90"/>
    <mergeCell ref="Z91:AC91"/>
    <mergeCell ref="Z92:AC93"/>
    <mergeCell ref="Z94:AC95"/>
    <mergeCell ref="L94:O95"/>
    <mergeCell ref="P94:S95"/>
    <mergeCell ref="U94:X95"/>
    <mergeCell ref="L90:O90"/>
    <mergeCell ref="L91:O91"/>
    <mergeCell ref="P91:S91"/>
    <mergeCell ref="U91:X91"/>
    <mergeCell ref="L92:O93"/>
    <mergeCell ref="P92:S93"/>
    <mergeCell ref="U92:X93"/>
    <mergeCell ref="L87:O87"/>
    <mergeCell ref="P87:S87"/>
    <mergeCell ref="U87:X87"/>
    <mergeCell ref="L88:O88"/>
    <mergeCell ref="P88:S88"/>
    <mergeCell ref="U88:X88"/>
    <mergeCell ref="L89:O89"/>
    <mergeCell ref="P89:S89"/>
    <mergeCell ref="U89:X89"/>
    <mergeCell ref="B90:E90"/>
    <mergeCell ref="B91:E91"/>
    <mergeCell ref="B92:E93"/>
    <mergeCell ref="B94:E95"/>
    <mergeCell ref="F91:I91"/>
    <mergeCell ref="F92:I93"/>
    <mergeCell ref="F94:I95"/>
    <mergeCell ref="B87:E87"/>
    <mergeCell ref="F87:I87"/>
    <mergeCell ref="B88:E88"/>
    <mergeCell ref="F88:I88"/>
    <mergeCell ref="B89:E89"/>
    <mergeCell ref="F89:I89"/>
    <mergeCell ref="F90:I90"/>
    <mergeCell ref="U42:X42"/>
    <mergeCell ref="Z42:AC42"/>
    <mergeCell ref="B81:E81"/>
    <mergeCell ref="B82:E82"/>
    <mergeCell ref="F82:I82"/>
    <mergeCell ref="B83:E83"/>
    <mergeCell ref="F83:I83"/>
    <mergeCell ref="B84:E84"/>
    <mergeCell ref="F84:I84"/>
    <mergeCell ref="L80:O80"/>
    <mergeCell ref="L81:O81"/>
    <mergeCell ref="L82:O82"/>
    <mergeCell ref="P82:S82"/>
    <mergeCell ref="L83:O83"/>
    <mergeCell ref="P83:S83"/>
    <mergeCell ref="P84:S84"/>
    <mergeCell ref="L84:O84"/>
    <mergeCell ref="G26:J28"/>
    <mergeCell ref="P26:S28"/>
    <mergeCell ref="B31:E31"/>
    <mergeCell ref="G31:J31"/>
    <mergeCell ref="P31:S31"/>
    <mergeCell ref="Z31:AC31"/>
    <mergeCell ref="G32:J32"/>
    <mergeCell ref="P32:S32"/>
    <mergeCell ref="Z32:AC32"/>
    <mergeCell ref="U39:X39"/>
    <mergeCell ref="Z39:AC39"/>
    <mergeCell ref="Z40:AC40"/>
    <mergeCell ref="B2:AC5"/>
    <mergeCell ref="V6:AC7"/>
    <mergeCell ref="B8:AC9"/>
    <mergeCell ref="B12:AC15"/>
    <mergeCell ref="E16:F17"/>
    <mergeCell ref="O16:P17"/>
    <mergeCell ref="X16:Y17"/>
    <mergeCell ref="B18:AC20"/>
    <mergeCell ref="B22:J22"/>
    <mergeCell ref="P22:AC22"/>
    <mergeCell ref="C24:D24"/>
    <mergeCell ref="H24:I24"/>
    <mergeCell ref="Q24:R24"/>
    <mergeCell ref="X24:Z24"/>
    <mergeCell ref="U26:X28"/>
    <mergeCell ref="Z26:AC28"/>
    <mergeCell ref="B25:E25"/>
    <mergeCell ref="G25:J25"/>
    <mergeCell ref="P25:S25"/>
    <mergeCell ref="V25:AB25"/>
    <mergeCell ref="B26:E28"/>
    <mergeCell ref="U31:X31"/>
    <mergeCell ref="U32:X32"/>
    <mergeCell ref="U33:X33"/>
    <mergeCell ref="Z33:AC33"/>
    <mergeCell ref="U34:X34"/>
    <mergeCell ref="Z34:AC34"/>
    <mergeCell ref="Z35:AC35"/>
    <mergeCell ref="G37:J37"/>
    <mergeCell ref="G38:J38"/>
    <mergeCell ref="G36:J36"/>
    <mergeCell ref="P36:S36"/>
    <mergeCell ref="P37:S37"/>
    <mergeCell ref="P38:S38"/>
    <mergeCell ref="Z36:AC36"/>
    <mergeCell ref="Z37:AC37"/>
    <mergeCell ref="U38:X38"/>
    <mergeCell ref="Z38:AC38"/>
    <mergeCell ref="Z87:AC87"/>
    <mergeCell ref="Z88:AC88"/>
    <mergeCell ref="G34:J34"/>
    <mergeCell ref="G35:J35"/>
    <mergeCell ref="B32:E32"/>
    <mergeCell ref="B33:E33"/>
    <mergeCell ref="G33:J33"/>
    <mergeCell ref="P33:S33"/>
    <mergeCell ref="B34:E34"/>
    <mergeCell ref="P34:S34"/>
    <mergeCell ref="P35:S35"/>
    <mergeCell ref="U35:X35"/>
    <mergeCell ref="U36:X36"/>
    <mergeCell ref="U37:X37"/>
    <mergeCell ref="B35:E35"/>
    <mergeCell ref="B36:E36"/>
    <mergeCell ref="B37:E37"/>
    <mergeCell ref="U40:X40"/>
    <mergeCell ref="U41:X41"/>
    <mergeCell ref="U43:X43"/>
    <mergeCell ref="U44:X44"/>
    <mergeCell ref="U45:X46"/>
    <mergeCell ref="Z41:AC41"/>
    <mergeCell ref="Z43:AC43"/>
    <mergeCell ref="B85:E85"/>
    <mergeCell ref="F85:I85"/>
    <mergeCell ref="L85:O85"/>
    <mergeCell ref="P85:S85"/>
    <mergeCell ref="U85:X85"/>
    <mergeCell ref="Z85:AC85"/>
    <mergeCell ref="B86:E86"/>
    <mergeCell ref="F86:I86"/>
    <mergeCell ref="L86:O86"/>
    <mergeCell ref="P86:S86"/>
    <mergeCell ref="U86:X86"/>
    <mergeCell ref="Z86:AC86"/>
    <mergeCell ref="U80:X80"/>
    <mergeCell ref="U81:X81"/>
    <mergeCell ref="U82:X82"/>
    <mergeCell ref="Z82:AC82"/>
    <mergeCell ref="U83:X83"/>
    <mergeCell ref="Z83:AC83"/>
    <mergeCell ref="U84:X84"/>
    <mergeCell ref="Z84:AC84"/>
    <mergeCell ref="B80:E80"/>
    <mergeCell ref="F80:I80"/>
    <mergeCell ref="P80:S80"/>
    <mergeCell ref="Z80:AC80"/>
    <mergeCell ref="F81:I81"/>
    <mergeCell ref="P81:S81"/>
    <mergeCell ref="Z81:AC81"/>
    <mergeCell ref="B67:I69"/>
    <mergeCell ref="L67:S69"/>
    <mergeCell ref="U67:AC69"/>
    <mergeCell ref="B71:I71"/>
    <mergeCell ref="L71:S71"/>
    <mergeCell ref="U71:X71"/>
    <mergeCell ref="Z71:AC71"/>
    <mergeCell ref="Z74:AC74"/>
    <mergeCell ref="Z75:AC77"/>
    <mergeCell ref="C73:D73"/>
    <mergeCell ref="E73:F73"/>
    <mergeCell ref="M73:N73"/>
    <mergeCell ref="O73:P73"/>
    <mergeCell ref="R73:S73"/>
    <mergeCell ref="V73:W73"/>
    <mergeCell ref="AA73:AB73"/>
    <mergeCell ref="H73:I73"/>
    <mergeCell ref="B74:I74"/>
    <mergeCell ref="L74:S74"/>
    <mergeCell ref="U74:X74"/>
    <mergeCell ref="B75:I77"/>
    <mergeCell ref="L75:S77"/>
    <mergeCell ref="U75:X77"/>
    <mergeCell ref="O65:P66"/>
    <mergeCell ref="X65:Y66"/>
    <mergeCell ref="G44:J44"/>
    <mergeCell ref="G45:J46"/>
    <mergeCell ref="B51:AC54"/>
    <mergeCell ref="V55:AC56"/>
    <mergeCell ref="B57:AC58"/>
    <mergeCell ref="B61:AC64"/>
    <mergeCell ref="E65:F66"/>
    <mergeCell ref="Z44:AC44"/>
    <mergeCell ref="Z45:AC46"/>
    <mergeCell ref="P43:S43"/>
    <mergeCell ref="P44:S44"/>
    <mergeCell ref="P45:S46"/>
    <mergeCell ref="B38:E38"/>
    <mergeCell ref="B39:E39"/>
    <mergeCell ref="G39:J39"/>
    <mergeCell ref="P39:S39"/>
    <mergeCell ref="B40:E40"/>
    <mergeCell ref="P40:S40"/>
    <mergeCell ref="P41:S41"/>
    <mergeCell ref="G40:J40"/>
    <mergeCell ref="G41:J41"/>
    <mergeCell ref="G42:J42"/>
    <mergeCell ref="B43:E43"/>
    <mergeCell ref="G43:J43"/>
    <mergeCell ref="B44:E44"/>
    <mergeCell ref="B45:E46"/>
    <mergeCell ref="B41:E41"/>
    <mergeCell ref="B42:E42"/>
    <mergeCell ref="P42:S42"/>
  </mergeCells>
  <phoneticPr fontId="135"/>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BD65"/>
  <sheetViews>
    <sheetView workbookViewId="0"/>
  </sheetViews>
  <sheetFormatPr defaultColWidth="12.6328125" defaultRowHeight="15" customHeight="1"/>
  <cols>
    <col min="1" max="1" width="30.36328125" customWidth="1"/>
    <col min="2" max="2" width="26.453125" customWidth="1"/>
    <col min="3" max="25" width="8" hidden="1" customWidth="1"/>
    <col min="26" max="26" width="9.36328125" hidden="1" customWidth="1"/>
    <col min="27" max="56" width="9.36328125" customWidth="1"/>
  </cols>
  <sheetData>
    <row r="1" spans="1:56" ht="14.5">
      <c r="C1" s="1750">
        <v>45536</v>
      </c>
      <c r="D1" s="1751"/>
      <c r="E1" s="1751"/>
      <c r="F1" s="1751"/>
      <c r="G1" s="1751"/>
      <c r="H1" s="1751"/>
      <c r="I1" s="1750">
        <v>45566</v>
      </c>
      <c r="J1" s="1751"/>
      <c r="K1" s="1751"/>
      <c r="L1" s="1751"/>
      <c r="M1" s="1751"/>
      <c r="N1" s="1752"/>
      <c r="O1" s="1753">
        <v>45597</v>
      </c>
      <c r="P1" s="1751"/>
      <c r="Q1" s="1751"/>
      <c r="R1" s="1751"/>
      <c r="S1" s="1751"/>
      <c r="T1" s="1751"/>
      <c r="U1" s="1750">
        <v>45627</v>
      </c>
      <c r="V1" s="1751"/>
      <c r="W1" s="1751"/>
      <c r="X1" s="1751"/>
      <c r="Y1" s="1751"/>
      <c r="Z1" s="1752"/>
      <c r="AA1" s="1750">
        <v>45748</v>
      </c>
      <c r="AB1" s="1751"/>
      <c r="AC1" s="1751"/>
      <c r="AD1" s="1751"/>
      <c r="AE1" s="1751"/>
      <c r="AF1" s="1752"/>
      <c r="AG1" s="1747">
        <v>45778</v>
      </c>
      <c r="AH1" s="1748"/>
      <c r="AI1" s="1748"/>
      <c r="AJ1" s="1748"/>
      <c r="AK1" s="1748"/>
      <c r="AL1" s="1749"/>
      <c r="AM1" s="1753">
        <v>45444</v>
      </c>
      <c r="AN1" s="1751"/>
      <c r="AO1" s="1751"/>
      <c r="AP1" s="1751"/>
      <c r="AQ1" s="1751"/>
      <c r="AR1" s="1752"/>
      <c r="AS1" s="1747">
        <v>45839</v>
      </c>
      <c r="AT1" s="1748"/>
      <c r="AU1" s="1748"/>
      <c r="AV1" s="1748"/>
      <c r="AW1" s="1748"/>
      <c r="AX1" s="1749"/>
      <c r="AY1" s="1747">
        <v>45870</v>
      </c>
      <c r="AZ1" s="1748"/>
      <c r="BA1" s="1748"/>
      <c r="BB1" s="1748"/>
      <c r="BC1" s="1748"/>
      <c r="BD1" s="1749"/>
    </row>
    <row r="2" spans="1:56" ht="14.5">
      <c r="C2" s="1531" t="s">
        <v>5018</v>
      </c>
      <c r="D2" s="1532" t="s">
        <v>5019</v>
      </c>
      <c r="E2" s="1532" t="s">
        <v>5020</v>
      </c>
      <c r="F2" s="1532" t="s">
        <v>5021</v>
      </c>
      <c r="G2" s="1532" t="s">
        <v>5022</v>
      </c>
      <c r="H2" s="1532" t="s">
        <v>5023</v>
      </c>
      <c r="I2" s="1531" t="s">
        <v>5018</v>
      </c>
      <c r="J2" s="1532" t="s">
        <v>5019</v>
      </c>
      <c r="K2" s="1532" t="s">
        <v>5020</v>
      </c>
      <c r="L2" s="1532" t="s">
        <v>5021</v>
      </c>
      <c r="M2" s="1532" t="s">
        <v>5022</v>
      </c>
      <c r="N2" s="1533" t="s">
        <v>5023</v>
      </c>
      <c r="O2" s="1532" t="s">
        <v>5018</v>
      </c>
      <c r="P2" s="1532" t="s">
        <v>5019</v>
      </c>
      <c r="Q2" s="1532" t="s">
        <v>5020</v>
      </c>
      <c r="R2" s="1532" t="s">
        <v>5021</v>
      </c>
      <c r="S2" s="1532" t="s">
        <v>5022</v>
      </c>
      <c r="T2" s="1532" t="s">
        <v>5023</v>
      </c>
      <c r="U2" s="1531" t="s">
        <v>5018</v>
      </c>
      <c r="V2" s="1532" t="s">
        <v>5019</v>
      </c>
      <c r="W2" s="1532" t="s">
        <v>5020</v>
      </c>
      <c r="X2" s="1532" t="s">
        <v>5021</v>
      </c>
      <c r="Y2" s="1532" t="s">
        <v>5022</v>
      </c>
      <c r="Z2" s="1533" t="s">
        <v>5023</v>
      </c>
      <c r="AA2" s="1531" t="s">
        <v>5018</v>
      </c>
      <c r="AB2" s="1532" t="s">
        <v>5019</v>
      </c>
      <c r="AC2" s="1532" t="s">
        <v>5020</v>
      </c>
      <c r="AD2" s="1532" t="s">
        <v>5021</v>
      </c>
      <c r="AE2" s="1532" t="s">
        <v>5022</v>
      </c>
      <c r="AF2" s="1532" t="s">
        <v>5023</v>
      </c>
      <c r="AG2" s="1534" t="s">
        <v>5018</v>
      </c>
      <c r="AH2" s="1532" t="s">
        <v>5019</v>
      </c>
      <c r="AI2" s="1532" t="s">
        <v>5020</v>
      </c>
      <c r="AJ2" s="1532" t="s">
        <v>5021</v>
      </c>
      <c r="AK2" s="1532" t="s">
        <v>5022</v>
      </c>
      <c r="AL2" s="1535" t="s">
        <v>5023</v>
      </c>
      <c r="AM2" s="1532" t="s">
        <v>5018</v>
      </c>
      <c r="AN2" s="1532" t="s">
        <v>5019</v>
      </c>
      <c r="AO2" s="1532" t="s">
        <v>5020</v>
      </c>
      <c r="AP2" s="1532" t="s">
        <v>5021</v>
      </c>
      <c r="AQ2" s="1532" t="s">
        <v>5022</v>
      </c>
      <c r="AR2" s="1532" t="s">
        <v>5023</v>
      </c>
      <c r="AS2" s="1534" t="s">
        <v>5018</v>
      </c>
      <c r="AT2" s="1532" t="s">
        <v>5019</v>
      </c>
      <c r="AU2" s="1532" t="s">
        <v>5020</v>
      </c>
      <c r="AV2" s="1532" t="s">
        <v>5021</v>
      </c>
      <c r="AW2" s="1532" t="s">
        <v>5022</v>
      </c>
      <c r="AX2" s="1535" t="s">
        <v>5023</v>
      </c>
      <c r="AY2" s="1534" t="s">
        <v>5018</v>
      </c>
      <c r="AZ2" s="1532" t="s">
        <v>5019</v>
      </c>
      <c r="BA2" s="1532" t="s">
        <v>5020</v>
      </c>
      <c r="BB2" s="1532" t="s">
        <v>5021</v>
      </c>
      <c r="BC2" s="1532" t="s">
        <v>5022</v>
      </c>
      <c r="BD2" s="1535" t="s">
        <v>5023</v>
      </c>
    </row>
    <row r="3" spans="1:56" ht="14.5" hidden="1">
      <c r="A3" s="1536" t="s">
        <v>54</v>
      </c>
      <c r="B3" s="1537" t="s">
        <v>3563</v>
      </c>
      <c r="C3" s="1538" t="s">
        <v>5024</v>
      </c>
      <c r="D3" s="1539"/>
      <c r="E3" s="1539"/>
      <c r="F3" s="1539"/>
      <c r="G3" s="1539"/>
      <c r="H3" s="1539"/>
      <c r="I3" s="1540"/>
      <c r="J3" s="1541"/>
      <c r="K3" s="1541"/>
      <c r="L3" s="1541"/>
      <c r="M3" s="1541"/>
      <c r="N3" s="1542"/>
      <c r="O3" s="1539"/>
      <c r="P3" s="1539"/>
      <c r="Q3" s="1539"/>
      <c r="R3" s="1539"/>
      <c r="S3" s="1539"/>
      <c r="T3" s="1539"/>
      <c r="U3" s="1540"/>
      <c r="V3" s="1541"/>
      <c r="W3" s="1541"/>
      <c r="X3" s="1541"/>
      <c r="Y3" s="1541"/>
      <c r="Z3" s="1542"/>
      <c r="AA3" s="1539"/>
      <c r="AB3" s="1539"/>
      <c r="AC3" s="1539"/>
      <c r="AD3" s="1539"/>
      <c r="AE3" s="1539"/>
      <c r="AF3" s="1539"/>
      <c r="AG3" s="1543"/>
      <c r="AH3" s="1539"/>
      <c r="AI3" s="1539"/>
      <c r="AJ3" s="1539"/>
      <c r="AK3" s="1539"/>
      <c r="AL3" s="1544"/>
      <c r="AM3" s="1539"/>
      <c r="AN3" s="1539"/>
      <c r="AO3" s="1539"/>
      <c r="AP3" s="1539"/>
      <c r="AQ3" s="1539"/>
      <c r="AR3" s="1539"/>
      <c r="AS3" s="1543"/>
      <c r="AT3" s="1539"/>
      <c r="AU3" s="1539"/>
      <c r="AV3" s="1539"/>
      <c r="AW3" s="1539"/>
      <c r="AX3" s="1544"/>
      <c r="AY3" s="1543"/>
      <c r="AZ3" s="1539"/>
      <c r="BA3" s="1539"/>
      <c r="BB3" s="1539"/>
      <c r="BC3" s="1539"/>
      <c r="BD3" s="1544"/>
    </row>
    <row r="4" spans="1:56" ht="14.5" hidden="1">
      <c r="A4" s="1545" t="s">
        <v>1167</v>
      </c>
      <c r="B4" s="1546" t="s">
        <v>60</v>
      </c>
      <c r="I4" s="1272"/>
      <c r="N4" s="1275"/>
      <c r="U4" s="1272"/>
      <c r="Z4" s="1275"/>
      <c r="AG4" s="1310"/>
      <c r="AL4" s="1312"/>
      <c r="AS4" s="1310"/>
      <c r="AX4" s="1312"/>
      <c r="AY4" s="1310"/>
      <c r="BD4" s="1312"/>
    </row>
    <row r="5" spans="1:56" ht="14.5" hidden="1">
      <c r="A5" s="1547" t="s">
        <v>3486</v>
      </c>
      <c r="B5" s="1548" t="s">
        <v>5025</v>
      </c>
      <c r="C5" s="1281"/>
      <c r="D5" s="1281"/>
      <c r="E5" s="1281"/>
      <c r="F5" s="1281"/>
      <c r="G5" s="1281"/>
      <c r="H5" s="1281"/>
      <c r="I5" s="1281"/>
      <c r="J5" s="1281"/>
      <c r="K5" s="1281"/>
      <c r="L5" s="1281"/>
      <c r="M5" s="1281"/>
      <c r="N5" s="1281"/>
      <c r="O5" s="1281"/>
      <c r="P5" s="1281"/>
      <c r="Q5" s="1281"/>
      <c r="R5" s="1281"/>
      <c r="S5" s="1281"/>
      <c r="T5" s="1281"/>
      <c r="U5" s="1281"/>
      <c r="V5" s="1281"/>
      <c r="W5" s="1281"/>
      <c r="X5" s="1281"/>
      <c r="Y5" s="1281"/>
      <c r="Z5" s="1336"/>
      <c r="AA5" s="1281"/>
      <c r="AB5" s="1281"/>
      <c r="AC5" s="1281"/>
      <c r="AD5" s="1281"/>
      <c r="AE5" s="1281"/>
      <c r="AF5" s="1281"/>
      <c r="AG5" s="1549"/>
      <c r="AH5" s="1281"/>
      <c r="AI5" s="1281"/>
      <c r="AJ5" s="1281"/>
      <c r="AK5" s="1281"/>
      <c r="AL5" s="1550"/>
      <c r="AM5" s="1281"/>
      <c r="AN5" s="1281"/>
      <c r="AO5" s="1281"/>
      <c r="AP5" s="1281"/>
      <c r="AQ5" s="1281"/>
      <c r="AR5" s="1281"/>
      <c r="AS5" s="1549"/>
      <c r="AT5" s="1281"/>
      <c r="AU5" s="1281"/>
      <c r="AV5" s="1281"/>
      <c r="AW5" s="1281"/>
      <c r="AX5" s="1550"/>
      <c r="AY5" s="1549"/>
      <c r="AZ5" s="1281"/>
      <c r="BA5" s="1281"/>
      <c r="BB5" s="1281"/>
      <c r="BC5" s="1281"/>
      <c r="BD5" s="1550"/>
    </row>
    <row r="6" spans="1:56" ht="14.5" hidden="1">
      <c r="A6" s="1551" t="s">
        <v>54</v>
      </c>
      <c r="B6" s="1537" t="s">
        <v>1294</v>
      </c>
      <c r="C6" s="594"/>
      <c r="D6" s="1552" t="s">
        <v>5026</v>
      </c>
      <c r="E6" s="1553"/>
      <c r="F6" s="1553"/>
      <c r="G6" s="1553"/>
      <c r="H6" s="1553"/>
      <c r="I6" s="1554"/>
      <c r="J6" s="1555"/>
      <c r="K6" s="1555"/>
      <c r="L6" s="1555"/>
      <c r="M6" s="1555"/>
      <c r="N6" s="1556"/>
      <c r="O6" s="1553"/>
      <c r="P6" s="1553"/>
      <c r="Q6" s="1553"/>
      <c r="R6" s="1553"/>
      <c r="S6" s="1553"/>
      <c r="T6" s="1553"/>
      <c r="U6" s="1554"/>
      <c r="V6" s="1555"/>
      <c r="W6" s="1555"/>
      <c r="X6" s="1555"/>
      <c r="Y6" s="1555"/>
      <c r="Z6" s="1556"/>
      <c r="AA6" s="1553"/>
      <c r="AB6" s="1553"/>
      <c r="AC6" s="1553"/>
      <c r="AD6" s="1553"/>
      <c r="AE6" s="1553"/>
      <c r="AF6" s="1553"/>
      <c r="AG6" s="1557"/>
      <c r="AH6" s="1553"/>
      <c r="AI6" s="1553"/>
      <c r="AJ6" s="1553"/>
      <c r="AK6" s="1553"/>
      <c r="AL6" s="1558"/>
      <c r="AM6" s="1553"/>
      <c r="AN6" s="1553"/>
      <c r="AO6" s="1553"/>
      <c r="AP6" s="1553"/>
      <c r="AQ6" s="1553"/>
      <c r="AR6" s="1553"/>
      <c r="AS6" s="1557"/>
      <c r="AT6" s="1553"/>
      <c r="AU6" s="1553"/>
      <c r="AV6" s="1553"/>
      <c r="AW6" s="1553"/>
      <c r="AX6" s="1558"/>
      <c r="AY6" s="1557"/>
      <c r="AZ6" s="1553"/>
      <c r="BA6" s="1553"/>
      <c r="BB6" s="1553"/>
      <c r="BC6" s="1553"/>
      <c r="BD6" s="1558"/>
    </row>
    <row r="7" spans="1:56" ht="14.5" hidden="1">
      <c r="A7" s="1545" t="s">
        <v>713</v>
      </c>
      <c r="B7" s="1546" t="s">
        <v>261</v>
      </c>
      <c r="I7" s="1272"/>
      <c r="N7" s="1275"/>
      <c r="U7" s="1272"/>
      <c r="Z7" s="1275"/>
      <c r="AG7" s="1310"/>
      <c r="AL7" s="1312"/>
      <c r="AS7" s="1310"/>
      <c r="AX7" s="1312"/>
      <c r="AY7" s="1310"/>
      <c r="BD7" s="1312"/>
    </row>
    <row r="8" spans="1:56" ht="14.5" hidden="1">
      <c r="A8" s="1547" t="s">
        <v>3565</v>
      </c>
      <c r="B8" s="1559" t="s">
        <v>5027</v>
      </c>
      <c r="C8" s="1281"/>
      <c r="D8" s="1281"/>
      <c r="E8" s="1281"/>
      <c r="F8" s="1281"/>
      <c r="G8" s="1281"/>
      <c r="H8" s="1281"/>
      <c r="I8" s="1281"/>
      <c r="J8" s="1281"/>
      <c r="K8" s="1281"/>
      <c r="L8" s="1281"/>
      <c r="M8" s="1281"/>
      <c r="N8" s="1281"/>
      <c r="O8" s="1281"/>
      <c r="P8" s="1281"/>
      <c r="Q8" s="1281"/>
      <c r="R8" s="1281"/>
      <c r="S8" s="1281"/>
      <c r="T8" s="1281"/>
      <c r="U8" s="1281"/>
      <c r="V8" s="1281"/>
      <c r="W8" s="1281"/>
      <c r="X8" s="1281"/>
      <c r="Y8" s="1281"/>
      <c r="Z8" s="1336"/>
      <c r="AA8" s="1281"/>
      <c r="AB8" s="1281"/>
      <c r="AC8" s="1281"/>
      <c r="AD8" s="1281"/>
      <c r="AE8" s="1281"/>
      <c r="AF8" s="1281"/>
      <c r="AG8" s="1549"/>
      <c r="AH8" s="1281"/>
      <c r="AI8" s="1281"/>
      <c r="AJ8" s="1281"/>
      <c r="AK8" s="1281"/>
      <c r="AL8" s="1550"/>
      <c r="AM8" s="1281"/>
      <c r="AN8" s="1281"/>
      <c r="AO8" s="1281"/>
      <c r="AP8" s="1281"/>
      <c r="AQ8" s="1281"/>
      <c r="AR8" s="1281"/>
      <c r="AS8" s="1549"/>
      <c r="AT8" s="1281"/>
      <c r="AU8" s="1281"/>
      <c r="AV8" s="1281"/>
      <c r="AW8" s="1281"/>
      <c r="AX8" s="1550"/>
      <c r="AY8" s="1549"/>
      <c r="AZ8" s="1281"/>
      <c r="BA8" s="1281"/>
      <c r="BB8" s="1281"/>
      <c r="BC8" s="1281"/>
      <c r="BD8" s="1550"/>
    </row>
    <row r="9" spans="1:56" ht="14.5" hidden="1">
      <c r="A9" s="1560" t="s">
        <v>54</v>
      </c>
      <c r="B9" s="1537" t="s">
        <v>67</v>
      </c>
      <c r="C9" s="594"/>
      <c r="D9" s="1561" t="s">
        <v>5028</v>
      </c>
      <c r="E9" s="608"/>
      <c r="F9" s="608"/>
      <c r="G9" s="608"/>
      <c r="H9" s="1562" t="s">
        <v>5029</v>
      </c>
      <c r="I9" s="1298"/>
      <c r="J9" s="1279"/>
      <c r="K9" s="1279"/>
      <c r="L9" s="1279"/>
      <c r="M9" s="1279"/>
      <c r="N9" s="1299"/>
      <c r="U9" s="1298"/>
      <c r="V9" s="1279"/>
      <c r="W9" s="1279"/>
      <c r="X9" s="1279"/>
      <c r="Y9" s="1279"/>
      <c r="Z9" s="1563"/>
      <c r="AG9" s="1310"/>
      <c r="AL9" s="1312"/>
      <c r="AS9" s="1310"/>
      <c r="AX9" s="1312"/>
      <c r="AY9" s="1310"/>
      <c r="BD9" s="1312"/>
    </row>
    <row r="10" spans="1:56" ht="14.5" hidden="1">
      <c r="A10" s="1545" t="s">
        <v>577</v>
      </c>
      <c r="B10" s="1546" t="s">
        <v>261</v>
      </c>
      <c r="D10" s="608"/>
      <c r="E10" s="1561" t="s">
        <v>5030</v>
      </c>
      <c r="F10" s="608"/>
      <c r="G10" s="608"/>
      <c r="H10" s="608"/>
      <c r="I10" s="1272"/>
      <c r="N10" s="1275"/>
      <c r="U10" s="1272"/>
      <c r="Z10" s="1275"/>
      <c r="AG10" s="1310"/>
      <c r="AL10" s="1312"/>
      <c r="AS10" s="1310"/>
      <c r="AX10" s="1312"/>
      <c r="AY10" s="1310"/>
      <c r="BD10" s="1312"/>
    </row>
    <row r="11" spans="1:56" ht="14.5" hidden="1">
      <c r="A11" s="1547" t="s">
        <v>3568</v>
      </c>
      <c r="B11" s="1559" t="s">
        <v>5031</v>
      </c>
      <c r="C11" s="1281"/>
      <c r="D11" s="1281"/>
      <c r="E11" s="1281"/>
      <c r="F11" s="1564" t="s">
        <v>5032</v>
      </c>
      <c r="G11" s="1281"/>
      <c r="H11" s="1281"/>
      <c r="I11" s="1281"/>
      <c r="J11" s="1281"/>
      <c r="K11" s="1281"/>
      <c r="L11" s="1281"/>
      <c r="M11" s="1281"/>
      <c r="N11" s="1281"/>
      <c r="O11" s="1281"/>
      <c r="P11" s="1281"/>
      <c r="Q11" s="1281"/>
      <c r="R11" s="1281"/>
      <c r="S11" s="1281"/>
      <c r="T11" s="1281"/>
      <c r="U11" s="1281"/>
      <c r="V11" s="1281"/>
      <c r="W11" s="1281"/>
      <c r="X11" s="1281"/>
      <c r="Y11" s="1281"/>
      <c r="Z11" s="1336"/>
      <c r="AA11" s="1281"/>
      <c r="AB11" s="1281"/>
      <c r="AC11" s="1281"/>
      <c r="AD11" s="1281"/>
      <c r="AE11" s="1281"/>
      <c r="AF11" s="1281"/>
      <c r="AG11" s="1549"/>
      <c r="AH11" s="1281"/>
      <c r="AI11" s="1281"/>
      <c r="AJ11" s="1281"/>
      <c r="AK11" s="1281"/>
      <c r="AL11" s="1550"/>
      <c r="AM11" s="1281"/>
      <c r="AN11" s="1281"/>
      <c r="AO11" s="1281"/>
      <c r="AP11" s="1281"/>
      <c r="AQ11" s="1281"/>
      <c r="AR11" s="1281"/>
      <c r="AS11" s="1549"/>
      <c r="AT11" s="1281"/>
      <c r="AU11" s="1281"/>
      <c r="AV11" s="1281"/>
      <c r="AW11" s="1281"/>
      <c r="AX11" s="1550"/>
      <c r="AY11" s="1549"/>
      <c r="AZ11" s="1281"/>
      <c r="BA11" s="1281"/>
      <c r="BB11" s="1281"/>
      <c r="BC11" s="1281"/>
      <c r="BD11" s="1550"/>
    </row>
    <row r="12" spans="1:56" ht="14.5" hidden="1">
      <c r="A12" s="1560" t="s">
        <v>3577</v>
      </c>
      <c r="B12" s="1537" t="s">
        <v>3575</v>
      </c>
      <c r="C12" s="1565" t="s">
        <v>5033</v>
      </c>
      <c r="D12" s="1565"/>
      <c r="E12" s="1566"/>
      <c r="F12" s="1566"/>
      <c r="G12" s="1566"/>
      <c r="H12" s="1566"/>
      <c r="I12" s="1567"/>
      <c r="J12" s="1568"/>
      <c r="K12" s="1568"/>
      <c r="L12" s="1568"/>
      <c r="M12" s="1568"/>
      <c r="N12" s="1569"/>
      <c r="O12" s="1566"/>
      <c r="P12" s="1566"/>
      <c r="Q12" s="1566"/>
      <c r="R12" s="1566"/>
      <c r="S12" s="1566"/>
      <c r="T12" s="1566"/>
      <c r="U12" s="1567"/>
      <c r="V12" s="1568"/>
      <c r="W12" s="1568"/>
      <c r="X12" s="1568"/>
      <c r="Y12" s="1568"/>
      <c r="Z12" s="1570"/>
      <c r="AA12" s="1566"/>
      <c r="AB12" s="1566"/>
      <c r="AC12" s="1566"/>
      <c r="AD12" s="1566"/>
      <c r="AE12" s="1566"/>
      <c r="AF12" s="1566"/>
      <c r="AG12" s="1571"/>
      <c r="AH12" s="1566"/>
      <c r="AI12" s="1566"/>
      <c r="AJ12" s="1566"/>
      <c r="AK12" s="1566"/>
      <c r="AL12" s="1572"/>
      <c r="AM12" s="1566"/>
      <c r="AN12" s="1566"/>
      <c r="AO12" s="1566"/>
      <c r="AP12" s="1566"/>
      <c r="AQ12" s="1566"/>
      <c r="AR12" s="1566"/>
      <c r="AS12" s="1571"/>
      <c r="AT12" s="1566"/>
      <c r="AU12" s="1566"/>
      <c r="AV12" s="1566"/>
      <c r="AW12" s="1566"/>
      <c r="AX12" s="1572"/>
      <c r="AY12" s="1571"/>
      <c r="AZ12" s="1566"/>
      <c r="BA12" s="1566"/>
      <c r="BB12" s="1566"/>
      <c r="BC12" s="1566"/>
      <c r="BD12" s="1572"/>
    </row>
    <row r="13" spans="1:56" ht="14.5" hidden="1">
      <c r="A13" s="1545" t="s">
        <v>2554</v>
      </c>
      <c r="B13" s="1546" t="s">
        <v>261</v>
      </c>
      <c r="C13" s="1565" t="s">
        <v>5034</v>
      </c>
      <c r="D13" s="1566"/>
      <c r="E13" s="1565"/>
      <c r="F13" s="1566"/>
      <c r="G13" s="1566"/>
      <c r="H13" s="1566"/>
      <c r="I13" s="1573"/>
      <c r="J13" s="1566"/>
      <c r="K13" s="1566"/>
      <c r="L13" s="1566"/>
      <c r="M13" s="1566"/>
      <c r="N13" s="1574"/>
      <c r="O13" s="1566"/>
      <c r="P13" s="1566"/>
      <c r="Q13" s="1566"/>
      <c r="R13" s="1566"/>
      <c r="S13" s="1566"/>
      <c r="T13" s="1566"/>
      <c r="U13" s="1573"/>
      <c r="V13" s="1566"/>
      <c r="W13" s="1566"/>
      <c r="X13" s="1566"/>
      <c r="Y13" s="1566"/>
      <c r="Z13" s="1574"/>
      <c r="AA13" s="1566"/>
      <c r="AB13" s="1566"/>
      <c r="AC13" s="1566"/>
      <c r="AD13" s="1566"/>
      <c r="AE13" s="1566"/>
      <c r="AF13" s="1566"/>
      <c r="AG13" s="1571"/>
      <c r="AH13" s="1566"/>
      <c r="AI13" s="1566"/>
      <c r="AJ13" s="1566"/>
      <c r="AK13" s="1566"/>
      <c r="AL13" s="1572"/>
      <c r="AM13" s="1566"/>
      <c r="AN13" s="1566"/>
      <c r="AO13" s="1566"/>
      <c r="AP13" s="1566"/>
      <c r="AQ13" s="1566"/>
      <c r="AR13" s="1566"/>
      <c r="AS13" s="1571"/>
      <c r="AT13" s="1566"/>
      <c r="AU13" s="1566"/>
      <c r="AV13" s="1566"/>
      <c r="AW13" s="1566"/>
      <c r="AX13" s="1572"/>
      <c r="AY13" s="1571"/>
      <c r="AZ13" s="1566"/>
      <c r="BA13" s="1566"/>
      <c r="BB13" s="1566"/>
      <c r="BC13" s="1566"/>
      <c r="BD13" s="1572"/>
    </row>
    <row r="14" spans="1:56" ht="14.5" hidden="1">
      <c r="A14" s="1547" t="s">
        <v>1430</v>
      </c>
      <c r="B14" s="1559" t="s">
        <v>5035</v>
      </c>
      <c r="C14" s="1281"/>
      <c r="D14" s="1281"/>
      <c r="E14" s="1281"/>
      <c r="F14" s="1564"/>
      <c r="G14" s="1281"/>
      <c r="H14" s="1281"/>
      <c r="I14" s="1281"/>
      <c r="J14" s="1281"/>
      <c r="K14" s="1281"/>
      <c r="L14" s="1281"/>
      <c r="M14" s="1281"/>
      <c r="N14" s="1281"/>
      <c r="O14" s="1281"/>
      <c r="P14" s="1281"/>
      <c r="Q14" s="1281"/>
      <c r="R14" s="1281"/>
      <c r="S14" s="1281"/>
      <c r="T14" s="1281"/>
      <c r="U14" s="1281"/>
      <c r="V14" s="1281"/>
      <c r="W14" s="1281"/>
      <c r="X14" s="1281"/>
      <c r="Y14" s="1281"/>
      <c r="Z14" s="1336"/>
      <c r="AA14" s="1281"/>
      <c r="AB14" s="1281"/>
      <c r="AC14" s="1281"/>
      <c r="AD14" s="1281"/>
      <c r="AE14" s="1281"/>
      <c r="AF14" s="1281"/>
      <c r="AG14" s="1549"/>
      <c r="AH14" s="1281"/>
      <c r="AI14" s="1281"/>
      <c r="AJ14" s="1281"/>
      <c r="AK14" s="1281"/>
      <c r="AL14" s="1550"/>
      <c r="AM14" s="1281"/>
      <c r="AN14" s="1281"/>
      <c r="AO14" s="1281"/>
      <c r="AP14" s="1281"/>
      <c r="AQ14" s="1281"/>
      <c r="AR14" s="1281"/>
      <c r="AS14" s="1549"/>
      <c r="AT14" s="1281"/>
      <c r="AU14" s="1281"/>
      <c r="AV14" s="1281"/>
      <c r="AW14" s="1281"/>
      <c r="AX14" s="1550"/>
      <c r="AY14" s="1549"/>
      <c r="AZ14" s="1281"/>
      <c r="BA14" s="1281"/>
      <c r="BB14" s="1281"/>
      <c r="BC14" s="1281"/>
      <c r="BD14" s="1550"/>
    </row>
    <row r="15" spans="1:56" ht="14.5" hidden="1">
      <c r="A15" s="1560" t="s">
        <v>3577</v>
      </c>
      <c r="B15" s="1537" t="s">
        <v>3575</v>
      </c>
      <c r="C15" s="1565" t="s">
        <v>5036</v>
      </c>
      <c r="D15" s="1565"/>
      <c r="E15" s="1566"/>
      <c r="F15" s="1566"/>
      <c r="G15" s="1566"/>
      <c r="H15" s="1566"/>
      <c r="I15" s="1567"/>
      <c r="J15" s="1568"/>
      <c r="K15" s="1568"/>
      <c r="L15" s="1568"/>
      <c r="M15" s="1568"/>
      <c r="N15" s="1569"/>
      <c r="O15" s="1566"/>
      <c r="P15" s="1566"/>
      <c r="Q15" s="1566"/>
      <c r="R15" s="1566"/>
      <c r="S15" s="1566"/>
      <c r="T15" s="1566"/>
      <c r="U15" s="1567"/>
      <c r="V15" s="1568"/>
      <c r="W15" s="1568"/>
      <c r="X15" s="1568"/>
      <c r="Y15" s="1568"/>
      <c r="Z15" s="1570"/>
      <c r="AA15" s="1566"/>
      <c r="AB15" s="1566"/>
      <c r="AC15" s="1566"/>
      <c r="AD15" s="1566"/>
      <c r="AE15" s="1566"/>
      <c r="AF15" s="1566"/>
      <c r="AG15" s="1571"/>
      <c r="AH15" s="1566"/>
      <c r="AI15" s="1566"/>
      <c r="AJ15" s="1566"/>
      <c r="AK15" s="1566"/>
      <c r="AL15" s="1572"/>
      <c r="AM15" s="1566"/>
      <c r="AN15" s="1566"/>
      <c r="AO15" s="1566"/>
      <c r="AP15" s="1566"/>
      <c r="AQ15" s="1566"/>
      <c r="AR15" s="1566"/>
      <c r="AS15" s="1571"/>
      <c r="AT15" s="1566"/>
      <c r="AU15" s="1566"/>
      <c r="AV15" s="1566"/>
      <c r="AW15" s="1566"/>
      <c r="AX15" s="1572"/>
      <c r="AY15" s="1571"/>
      <c r="AZ15" s="1566"/>
      <c r="BA15" s="1566"/>
      <c r="BB15" s="1566"/>
      <c r="BC15" s="1566"/>
      <c r="BD15" s="1572"/>
    </row>
    <row r="16" spans="1:56" ht="14.5" hidden="1">
      <c r="A16" s="1545" t="s">
        <v>129</v>
      </c>
      <c r="B16" s="1546" t="s">
        <v>60</v>
      </c>
      <c r="E16" s="594"/>
      <c r="I16" s="1272"/>
      <c r="N16" s="1275"/>
      <c r="U16" s="1272"/>
      <c r="Z16" s="1275"/>
      <c r="AG16" s="1310"/>
      <c r="AL16" s="1312"/>
      <c r="AS16" s="1310"/>
      <c r="AX16" s="1312"/>
      <c r="AY16" s="1310"/>
      <c r="BD16" s="1312"/>
    </row>
    <row r="17" spans="1:56" ht="14.5" hidden="1">
      <c r="A17" s="1547" t="s">
        <v>3583</v>
      </c>
      <c r="B17" s="1559" t="s">
        <v>5037</v>
      </c>
      <c r="C17" s="1281"/>
      <c r="D17" s="1281"/>
      <c r="E17" s="1281"/>
      <c r="F17" s="1564"/>
      <c r="G17" s="1281"/>
      <c r="H17" s="1281"/>
      <c r="I17" s="1281"/>
      <c r="J17" s="1281"/>
      <c r="K17" s="1281"/>
      <c r="L17" s="1281"/>
      <c r="M17" s="1281"/>
      <c r="N17" s="1281"/>
      <c r="O17" s="1281"/>
      <c r="P17" s="1281"/>
      <c r="Q17" s="1281"/>
      <c r="R17" s="1281"/>
      <c r="S17" s="1281"/>
      <c r="T17" s="1281"/>
      <c r="U17" s="1281"/>
      <c r="V17" s="1281"/>
      <c r="W17" s="1281"/>
      <c r="X17" s="1281"/>
      <c r="Y17" s="1281"/>
      <c r="Z17" s="1336"/>
      <c r="AA17" s="1281"/>
      <c r="AB17" s="1281"/>
      <c r="AC17" s="1281"/>
      <c r="AD17" s="1281"/>
      <c r="AE17" s="1281"/>
      <c r="AF17" s="1281"/>
      <c r="AG17" s="1549"/>
      <c r="AH17" s="1281"/>
      <c r="AI17" s="1281"/>
      <c r="AJ17" s="1281"/>
      <c r="AK17" s="1281"/>
      <c r="AL17" s="1550"/>
      <c r="AM17" s="1281"/>
      <c r="AN17" s="1281"/>
      <c r="AO17" s="1281"/>
      <c r="AP17" s="1281"/>
      <c r="AQ17" s="1281"/>
      <c r="AR17" s="1281"/>
      <c r="AS17" s="1549"/>
      <c r="AT17" s="1281"/>
      <c r="AU17" s="1281"/>
      <c r="AV17" s="1281"/>
      <c r="AW17" s="1281"/>
      <c r="AX17" s="1550"/>
      <c r="AY17" s="1549"/>
      <c r="AZ17" s="1281"/>
      <c r="BA17" s="1281"/>
      <c r="BB17" s="1281"/>
      <c r="BC17" s="1281"/>
      <c r="BD17" s="1550"/>
    </row>
    <row r="18" spans="1:56" ht="14.5" hidden="1">
      <c r="A18" s="1560" t="s">
        <v>3577</v>
      </c>
      <c r="B18" s="1537" t="s">
        <v>3575</v>
      </c>
      <c r="C18" s="1565" t="s">
        <v>5036</v>
      </c>
      <c r="D18" s="1565"/>
      <c r="E18" s="1566"/>
      <c r="F18" s="1566"/>
      <c r="G18" s="1566"/>
      <c r="H18" s="1566"/>
      <c r="I18" s="1567"/>
      <c r="J18" s="1568"/>
      <c r="K18" s="1568"/>
      <c r="L18" s="1568"/>
      <c r="M18" s="1568"/>
      <c r="N18" s="1569"/>
      <c r="O18" s="1566"/>
      <c r="P18" s="1566"/>
      <c r="Q18" s="1566"/>
      <c r="R18" s="1566"/>
      <c r="S18" s="1566"/>
      <c r="T18" s="1566"/>
      <c r="U18" s="1567"/>
      <c r="V18" s="1568"/>
      <c r="W18" s="1568"/>
      <c r="X18" s="1568"/>
      <c r="Y18" s="1568"/>
      <c r="Z18" s="1570"/>
      <c r="AA18" s="1566"/>
      <c r="AB18" s="1566"/>
      <c r="AC18" s="1566"/>
      <c r="AD18" s="1566"/>
      <c r="AE18" s="1566"/>
      <c r="AF18" s="1566"/>
      <c r="AG18" s="1571"/>
      <c r="AH18" s="1566"/>
      <c r="AI18" s="1566"/>
      <c r="AJ18" s="1566"/>
      <c r="AK18" s="1566"/>
      <c r="AL18" s="1572"/>
      <c r="AM18" s="1566"/>
      <c r="AN18" s="1566"/>
      <c r="AO18" s="1566"/>
      <c r="AP18" s="1566"/>
      <c r="AQ18" s="1566"/>
      <c r="AR18" s="1566"/>
      <c r="AS18" s="1571"/>
      <c r="AT18" s="1566"/>
      <c r="AU18" s="1566"/>
      <c r="AV18" s="1566"/>
      <c r="AW18" s="1566"/>
      <c r="AX18" s="1572"/>
      <c r="AY18" s="1571"/>
      <c r="AZ18" s="1566"/>
      <c r="BA18" s="1566"/>
      <c r="BB18" s="1566"/>
      <c r="BC18" s="1566"/>
      <c r="BD18" s="1572"/>
    </row>
    <row r="19" spans="1:56" ht="14.5" hidden="1">
      <c r="A19" s="1545" t="s">
        <v>144</v>
      </c>
      <c r="B19" s="1546" t="s">
        <v>60</v>
      </c>
      <c r="E19" s="594"/>
      <c r="I19" s="1272"/>
      <c r="N19" s="1275"/>
      <c r="U19" s="1272"/>
      <c r="Z19" s="1275"/>
      <c r="AG19" s="1310"/>
      <c r="AL19" s="1312"/>
      <c r="AS19" s="1310"/>
      <c r="AX19" s="1312"/>
      <c r="AY19" s="1310"/>
      <c r="BD19" s="1312"/>
    </row>
    <row r="20" spans="1:56" ht="14.5" hidden="1">
      <c r="A20" s="1547" t="s">
        <v>3585</v>
      </c>
      <c r="B20" s="1559" t="s">
        <v>5038</v>
      </c>
      <c r="C20" s="1281"/>
      <c r="D20" s="1281"/>
      <c r="E20" s="1281"/>
      <c r="F20" s="1564"/>
      <c r="G20" s="1281"/>
      <c r="H20" s="1281"/>
      <c r="I20" s="1281"/>
      <c r="J20" s="1281"/>
      <c r="K20" s="1281"/>
      <c r="L20" s="1281"/>
      <c r="M20" s="1281"/>
      <c r="N20" s="1281"/>
      <c r="O20" s="1281"/>
      <c r="P20" s="1281"/>
      <c r="Q20" s="1281"/>
      <c r="R20" s="1281"/>
      <c r="S20" s="1281"/>
      <c r="T20" s="1281"/>
      <c r="U20" s="1281"/>
      <c r="V20" s="1281"/>
      <c r="W20" s="1281"/>
      <c r="X20" s="1281"/>
      <c r="Y20" s="1281"/>
      <c r="Z20" s="1336"/>
      <c r="AA20" s="1281"/>
      <c r="AB20" s="1281"/>
      <c r="AC20" s="1281"/>
      <c r="AD20" s="1281"/>
      <c r="AE20" s="1281"/>
      <c r="AF20" s="1281"/>
      <c r="AG20" s="1549"/>
      <c r="AH20" s="1281"/>
      <c r="AI20" s="1281"/>
      <c r="AJ20" s="1281"/>
      <c r="AK20" s="1281"/>
      <c r="AL20" s="1550"/>
      <c r="AM20" s="1281"/>
      <c r="AN20" s="1281"/>
      <c r="AO20" s="1281"/>
      <c r="AP20" s="1281"/>
      <c r="AQ20" s="1281"/>
      <c r="AR20" s="1281"/>
      <c r="AS20" s="1549"/>
      <c r="AT20" s="1281"/>
      <c r="AU20" s="1281"/>
      <c r="AV20" s="1281"/>
      <c r="AW20" s="1281"/>
      <c r="AX20" s="1550"/>
      <c r="AY20" s="1549"/>
      <c r="AZ20" s="1281"/>
      <c r="BA20" s="1281"/>
      <c r="BB20" s="1281"/>
      <c r="BC20" s="1281"/>
      <c r="BD20" s="1550"/>
    </row>
    <row r="21" spans="1:56" ht="14.5" hidden="1">
      <c r="A21" s="1560" t="s">
        <v>54</v>
      </c>
      <c r="B21" s="1537" t="s">
        <v>5039</v>
      </c>
      <c r="C21" s="1552"/>
      <c r="D21" s="1552"/>
      <c r="E21" s="1553"/>
      <c r="F21" s="1553"/>
      <c r="G21" s="1553"/>
      <c r="H21" s="1575" t="s">
        <v>5040</v>
      </c>
      <c r="I21" s="1576" t="s">
        <v>5041</v>
      </c>
      <c r="J21" s="1577"/>
      <c r="K21" s="1279"/>
      <c r="L21" s="1279"/>
      <c r="M21" s="1279"/>
      <c r="N21" s="1299"/>
      <c r="U21" s="1298"/>
      <c r="V21" s="1279"/>
      <c r="W21" s="1279"/>
      <c r="X21" s="1279"/>
      <c r="Y21" s="1279"/>
      <c r="Z21" s="1563"/>
      <c r="AG21" s="1310"/>
      <c r="AL21" s="1312"/>
      <c r="AS21" s="1310"/>
      <c r="AX21" s="1312"/>
      <c r="AY21" s="1310"/>
      <c r="BD21" s="1312"/>
    </row>
    <row r="22" spans="1:56" ht="14.5" hidden="1">
      <c r="A22" s="1545" t="s">
        <v>585</v>
      </c>
      <c r="B22" s="1546" t="s">
        <v>60</v>
      </c>
      <c r="E22" s="594"/>
      <c r="I22" s="1333" t="s">
        <v>5042</v>
      </c>
      <c r="J22" s="594"/>
      <c r="N22" s="1275"/>
      <c r="U22" s="1272"/>
      <c r="Z22" s="1275"/>
      <c r="AG22" s="1310"/>
      <c r="AL22" s="1312"/>
      <c r="AS22" s="1310"/>
      <c r="AX22" s="1312"/>
      <c r="AY22" s="1310"/>
      <c r="BD22" s="1312"/>
    </row>
    <row r="23" spans="1:56" ht="14.5" hidden="1">
      <c r="A23" s="1547" t="s">
        <v>3590</v>
      </c>
      <c r="B23" s="1559" t="s">
        <v>5043</v>
      </c>
      <c r="C23" s="1281"/>
      <c r="D23" s="1281"/>
      <c r="E23" s="1281"/>
      <c r="F23" s="1564"/>
      <c r="G23" s="1281"/>
      <c r="H23" s="1281"/>
      <c r="I23" s="1281"/>
      <c r="J23" s="1564" t="s">
        <v>5044</v>
      </c>
      <c r="K23" s="1281"/>
      <c r="L23" s="1281"/>
      <c r="M23" s="1281"/>
      <c r="N23" s="1281"/>
      <c r="O23" s="1281"/>
      <c r="P23" s="1281"/>
      <c r="Q23" s="1281"/>
      <c r="R23" s="1281"/>
      <c r="S23" s="1281"/>
      <c r="T23" s="1281"/>
      <c r="U23" s="1281"/>
      <c r="V23" s="1281"/>
      <c r="W23" s="1281"/>
      <c r="X23" s="1281"/>
      <c r="Y23" s="1281"/>
      <c r="Z23" s="1336"/>
      <c r="AA23" s="1281"/>
      <c r="AB23" s="1281"/>
      <c r="AC23" s="1281"/>
      <c r="AD23" s="1281"/>
      <c r="AE23" s="1281"/>
      <c r="AF23" s="1281"/>
      <c r="AG23" s="1549"/>
      <c r="AH23" s="1281"/>
      <c r="AI23" s="1281"/>
      <c r="AJ23" s="1281"/>
      <c r="AK23" s="1281"/>
      <c r="AL23" s="1550"/>
      <c r="AM23" s="1281"/>
      <c r="AN23" s="1281"/>
      <c r="AO23" s="1281"/>
      <c r="AP23" s="1281"/>
      <c r="AQ23" s="1281"/>
      <c r="AR23" s="1281"/>
      <c r="AS23" s="1549"/>
      <c r="AT23" s="1281"/>
      <c r="AU23" s="1281"/>
      <c r="AV23" s="1281"/>
      <c r="AW23" s="1281"/>
      <c r="AX23" s="1550"/>
      <c r="AY23" s="1549"/>
      <c r="AZ23" s="1281"/>
      <c r="BA23" s="1281"/>
      <c r="BB23" s="1281"/>
      <c r="BC23" s="1281"/>
      <c r="BD23" s="1550"/>
    </row>
    <row r="24" spans="1:56" ht="14.5" hidden="1">
      <c r="A24" s="1560" t="s">
        <v>54</v>
      </c>
      <c r="B24" s="1537" t="s">
        <v>5045</v>
      </c>
      <c r="C24" s="1552"/>
      <c r="D24" s="1552"/>
      <c r="E24" s="1553"/>
      <c r="F24" s="1553"/>
      <c r="G24" s="1553"/>
      <c r="H24" s="1575" t="s">
        <v>5040</v>
      </c>
      <c r="I24" s="1576" t="s">
        <v>5046</v>
      </c>
      <c r="J24" s="1577"/>
      <c r="K24" s="1279"/>
      <c r="L24" s="1279"/>
      <c r="M24" s="1279"/>
      <c r="N24" s="1299"/>
      <c r="U24" s="1298"/>
      <c r="V24" s="1279"/>
      <c r="W24" s="1279"/>
      <c r="X24" s="1578" t="s">
        <v>5047</v>
      </c>
      <c r="Y24" s="1579"/>
      <c r="Z24" s="1562"/>
      <c r="AG24" s="1310"/>
      <c r="AL24" s="1312"/>
      <c r="AS24" s="1310"/>
      <c r="AX24" s="1312"/>
      <c r="AY24" s="1310"/>
      <c r="BD24" s="1312"/>
    </row>
    <row r="25" spans="1:56" ht="14.5" hidden="1">
      <c r="A25" s="1545" t="s">
        <v>534</v>
      </c>
      <c r="B25" s="1546" t="s">
        <v>261</v>
      </c>
      <c r="E25" s="594"/>
      <c r="I25" s="1272"/>
      <c r="N25" s="1275"/>
      <c r="U25" s="1272"/>
      <c r="Z25" s="1275"/>
      <c r="AG25" s="1310"/>
      <c r="AL25" s="1312"/>
      <c r="AS25" s="1310"/>
      <c r="AX25" s="1312"/>
      <c r="AY25" s="1310"/>
      <c r="BD25" s="1312"/>
    </row>
    <row r="26" spans="1:56" ht="14.5" hidden="1">
      <c r="A26" s="1547" t="s">
        <v>535</v>
      </c>
      <c r="B26" s="1559" t="s">
        <v>5043</v>
      </c>
      <c r="C26" s="1281"/>
      <c r="D26" s="1281"/>
      <c r="E26" s="1281"/>
      <c r="F26" s="1564"/>
      <c r="G26" s="1281"/>
      <c r="H26" s="1281"/>
      <c r="I26" s="1281"/>
      <c r="J26" s="1281"/>
      <c r="K26" s="1281"/>
      <c r="L26" s="1281"/>
      <c r="M26" s="1281"/>
      <c r="N26" s="1281"/>
      <c r="O26" s="1281"/>
      <c r="P26" s="1281"/>
      <c r="Q26" s="1281"/>
      <c r="R26" s="1281"/>
      <c r="S26" s="1281"/>
      <c r="T26" s="1281"/>
      <c r="U26" s="1281"/>
      <c r="V26" s="1281"/>
      <c r="W26" s="1281"/>
      <c r="X26" s="1281"/>
      <c r="Y26" s="1281"/>
      <c r="Z26" s="1336"/>
      <c r="AA26" s="1281"/>
      <c r="AB26" s="1281"/>
      <c r="AC26" s="1281"/>
      <c r="AD26" s="1281"/>
      <c r="AE26" s="1281"/>
      <c r="AF26" s="1281"/>
      <c r="AG26" s="1549"/>
      <c r="AH26" s="1281"/>
      <c r="AI26" s="1281"/>
      <c r="AJ26" s="1281"/>
      <c r="AK26" s="1281"/>
      <c r="AL26" s="1550"/>
      <c r="AM26" s="1281"/>
      <c r="AN26" s="1281"/>
      <c r="AO26" s="1281"/>
      <c r="AP26" s="1281"/>
      <c r="AQ26" s="1281"/>
      <c r="AR26" s="1281"/>
      <c r="AS26" s="1549"/>
      <c r="AT26" s="1281"/>
      <c r="AU26" s="1281"/>
      <c r="AV26" s="1281"/>
      <c r="AW26" s="1281"/>
      <c r="AX26" s="1550"/>
      <c r="AY26" s="1549"/>
      <c r="AZ26" s="1281"/>
      <c r="BA26" s="1281"/>
      <c r="BB26" s="1281"/>
      <c r="BC26" s="1281"/>
      <c r="BD26" s="1550"/>
    </row>
    <row r="27" spans="1:56" ht="14.5" hidden="1">
      <c r="A27" s="1560"/>
      <c r="B27" s="1580" t="s">
        <v>154</v>
      </c>
      <c r="C27" s="594"/>
      <c r="D27" s="594"/>
      <c r="I27" s="1298"/>
      <c r="J27" s="1279"/>
      <c r="K27" s="1279"/>
      <c r="L27" s="1279"/>
      <c r="M27" s="1279"/>
      <c r="N27" s="1299"/>
      <c r="U27" s="1298"/>
      <c r="V27" s="1279"/>
      <c r="W27" s="1279"/>
      <c r="X27" s="1279"/>
      <c r="Y27" s="1279"/>
      <c r="Z27" s="1563"/>
      <c r="AG27" s="1310"/>
      <c r="AL27" s="1312"/>
      <c r="AS27" s="1310"/>
      <c r="AX27" s="1312"/>
      <c r="AY27" s="1310"/>
      <c r="BD27" s="1312"/>
    </row>
    <row r="28" spans="1:56" ht="14.5" hidden="1">
      <c r="A28" s="1545"/>
      <c r="B28" s="1546"/>
      <c r="E28" s="594"/>
      <c r="I28" s="1272"/>
      <c r="N28" s="1275"/>
      <c r="U28" s="1272"/>
      <c r="Z28" s="1275"/>
      <c r="AG28" s="1310"/>
      <c r="AL28" s="1312"/>
      <c r="AS28" s="1310"/>
      <c r="AX28" s="1312"/>
      <c r="AY28" s="1310"/>
      <c r="BD28" s="1312"/>
    </row>
    <row r="29" spans="1:56" ht="14.5" hidden="1">
      <c r="A29" s="1581"/>
      <c r="B29" s="1582"/>
      <c r="C29" s="1281"/>
      <c r="D29" s="1281"/>
      <c r="E29" s="1281"/>
      <c r="F29" s="1564"/>
      <c r="G29" s="1281"/>
      <c r="H29" s="1281"/>
      <c r="I29" s="1281"/>
      <c r="J29" s="1281"/>
      <c r="K29" s="1281"/>
      <c r="L29" s="1281"/>
      <c r="M29" s="1281"/>
      <c r="N29" s="1281"/>
      <c r="O29" s="1281"/>
      <c r="P29" s="1281"/>
      <c r="Q29" s="1281"/>
      <c r="R29" s="1281"/>
      <c r="S29" s="1281"/>
      <c r="T29" s="1281"/>
      <c r="U29" s="1281"/>
      <c r="V29" s="1281"/>
      <c r="W29" s="1281"/>
      <c r="X29" s="1281"/>
      <c r="Y29" s="1281"/>
      <c r="Z29" s="1336"/>
      <c r="AA29" s="1281"/>
      <c r="AB29" s="1281"/>
      <c r="AC29" s="1281"/>
      <c r="AD29" s="1281"/>
      <c r="AE29" s="1281"/>
      <c r="AF29" s="1281"/>
      <c r="AG29" s="1549"/>
      <c r="AH29" s="1281"/>
      <c r="AI29" s="1281"/>
      <c r="AJ29" s="1281"/>
      <c r="AK29" s="1281"/>
      <c r="AL29" s="1550"/>
      <c r="AM29" s="1281"/>
      <c r="AN29" s="1281"/>
      <c r="AO29" s="1281"/>
      <c r="AP29" s="1281"/>
      <c r="AQ29" s="1281"/>
      <c r="AR29" s="1281"/>
      <c r="AS29" s="1549"/>
      <c r="AT29" s="1281"/>
      <c r="AU29" s="1281"/>
      <c r="AV29" s="1281"/>
      <c r="AW29" s="1281"/>
      <c r="AX29" s="1550"/>
      <c r="AY29" s="1549"/>
      <c r="AZ29" s="1281"/>
      <c r="BA29" s="1281"/>
      <c r="BB29" s="1281"/>
      <c r="BC29" s="1281"/>
      <c r="BD29" s="1550"/>
    </row>
    <row r="30" spans="1:56" ht="14.5">
      <c r="A30" s="1583" t="s">
        <v>3577</v>
      </c>
      <c r="B30" s="1584" t="s">
        <v>1294</v>
      </c>
      <c r="C30" s="594"/>
      <c r="D30" s="594"/>
      <c r="I30" s="1298"/>
      <c r="J30" s="1279"/>
      <c r="K30" s="1279"/>
      <c r="L30" s="1279"/>
      <c r="M30" s="1279"/>
      <c r="N30" s="1299"/>
      <c r="U30" s="1298"/>
      <c r="V30" s="1279"/>
      <c r="W30" s="1279"/>
      <c r="X30" s="1279"/>
      <c r="Y30" s="1279"/>
      <c r="Z30" s="1563"/>
      <c r="AD30" s="1462"/>
      <c r="AE30" s="1462"/>
      <c r="AF30" s="1462"/>
      <c r="AG30" s="1585"/>
      <c r="AH30" s="1462"/>
      <c r="AI30" s="1462"/>
      <c r="AJ30" s="1462"/>
      <c r="AK30" s="1462"/>
      <c r="AL30" s="1586"/>
      <c r="AM30" s="1462"/>
      <c r="AS30" s="1310"/>
      <c r="AX30" s="1312"/>
      <c r="AY30" s="1310"/>
      <c r="BD30" s="1312"/>
    </row>
    <row r="31" spans="1:56" ht="14.5">
      <c r="A31" s="1587" t="s">
        <v>3777</v>
      </c>
      <c r="B31" s="1588" t="s">
        <v>261</v>
      </c>
      <c r="E31" s="594"/>
      <c r="I31" s="1272"/>
      <c r="N31" s="1275"/>
      <c r="U31" s="1272"/>
      <c r="Z31" s="1275"/>
      <c r="AG31" s="1310"/>
      <c r="AL31" s="1312"/>
      <c r="AS31" s="1310"/>
      <c r="AX31" s="1312"/>
      <c r="AY31" s="1310"/>
      <c r="BD31" s="1312"/>
    </row>
    <row r="32" spans="1:56" ht="14.5">
      <c r="A32" s="1589" t="s">
        <v>3778</v>
      </c>
      <c r="B32" s="1590" t="s">
        <v>5048</v>
      </c>
      <c r="C32" s="1281"/>
      <c r="D32" s="1281"/>
      <c r="E32" s="1281"/>
      <c r="F32" s="1564"/>
      <c r="G32" s="1281"/>
      <c r="H32" s="1281"/>
      <c r="I32" s="1281"/>
      <c r="J32" s="1281"/>
      <c r="K32" s="1281"/>
      <c r="L32" s="1281"/>
      <c r="M32" s="1281"/>
      <c r="N32" s="1281"/>
      <c r="O32" s="1281"/>
      <c r="P32" s="1281"/>
      <c r="Q32" s="1281"/>
      <c r="R32" s="1281"/>
      <c r="S32" s="1281"/>
      <c r="T32" s="1281"/>
      <c r="U32" s="1281"/>
      <c r="V32" s="1281"/>
      <c r="W32" s="1281"/>
      <c r="X32" s="1281"/>
      <c r="Y32" s="1281"/>
      <c r="Z32" s="1336"/>
      <c r="AA32" s="1281"/>
      <c r="AB32" s="1281"/>
      <c r="AC32" s="1281"/>
      <c r="AD32" s="1564" t="s">
        <v>5049</v>
      </c>
      <c r="AE32" s="1564"/>
      <c r="AF32" s="1281"/>
      <c r="AG32" s="1549"/>
      <c r="AH32" s="1281"/>
      <c r="AI32" s="1281"/>
      <c r="AJ32" s="1281"/>
      <c r="AK32" s="1281"/>
      <c r="AL32" s="1550"/>
      <c r="AM32" s="1281"/>
      <c r="AN32" s="1281"/>
      <c r="AO32" s="1281"/>
      <c r="AP32" s="1281"/>
      <c r="AQ32" s="1281"/>
      <c r="AR32" s="1281"/>
      <c r="AS32" s="1549"/>
      <c r="AT32" s="1281"/>
      <c r="AU32" s="1281"/>
      <c r="AV32" s="1281"/>
      <c r="AW32" s="1281"/>
      <c r="AX32" s="1550"/>
      <c r="AY32" s="1549"/>
      <c r="AZ32" s="1281"/>
      <c r="BA32" s="1281"/>
      <c r="BB32" s="1281"/>
      <c r="BC32" s="1281"/>
      <c r="BD32" s="1550"/>
    </row>
    <row r="33" spans="1:56" ht="14.5">
      <c r="A33" s="1591" t="s">
        <v>3577</v>
      </c>
      <c r="B33" s="1592" t="s">
        <v>1294</v>
      </c>
      <c r="C33" s="594"/>
      <c r="D33" s="594"/>
      <c r="I33" s="1298"/>
      <c r="J33" s="1279"/>
      <c r="K33" s="1279"/>
      <c r="L33" s="1279"/>
      <c r="M33" s="1279"/>
      <c r="N33" s="1299"/>
      <c r="U33" s="1298"/>
      <c r="V33" s="1279"/>
      <c r="W33" s="1279"/>
      <c r="X33" s="1279"/>
      <c r="Y33" s="1279"/>
      <c r="Z33" s="1563"/>
      <c r="AF33" s="1462"/>
      <c r="AG33" s="1585"/>
      <c r="AH33" s="1462"/>
      <c r="AI33" s="1462"/>
      <c r="AJ33" s="1462"/>
      <c r="AK33" s="1462"/>
      <c r="AL33" s="1586"/>
      <c r="AM33" s="1462"/>
      <c r="AN33" s="1462"/>
      <c r="AS33" s="1310"/>
      <c r="AX33" s="1312"/>
      <c r="AY33" s="1310"/>
      <c r="BD33" s="1312"/>
    </row>
    <row r="34" spans="1:56" ht="14.5">
      <c r="A34" s="1587" t="s">
        <v>3821</v>
      </c>
      <c r="B34" s="1588" t="s">
        <v>261</v>
      </c>
      <c r="E34" s="594"/>
      <c r="I34" s="1272"/>
      <c r="N34" s="1275"/>
      <c r="U34" s="1272"/>
      <c r="Z34" s="1275"/>
      <c r="AG34" s="1310"/>
      <c r="AL34" s="1312"/>
      <c r="AS34" s="1310"/>
      <c r="AX34" s="1312"/>
      <c r="AY34" s="1310"/>
      <c r="BD34" s="1312"/>
    </row>
    <row r="35" spans="1:56" ht="14.5">
      <c r="A35" s="1589" t="s">
        <v>3893</v>
      </c>
      <c r="B35" s="1590" t="s">
        <v>5048</v>
      </c>
      <c r="C35" s="1281"/>
      <c r="D35" s="1281"/>
      <c r="E35" s="1281"/>
      <c r="F35" s="1564"/>
      <c r="G35" s="1281"/>
      <c r="H35" s="1281"/>
      <c r="I35" s="1281"/>
      <c r="J35" s="1281"/>
      <c r="K35" s="1281"/>
      <c r="L35" s="1281"/>
      <c r="M35" s="1281"/>
      <c r="N35" s="1281"/>
      <c r="O35" s="1281"/>
      <c r="P35" s="1281"/>
      <c r="Q35" s="1281"/>
      <c r="R35" s="1281"/>
      <c r="S35" s="1281"/>
      <c r="T35" s="1281"/>
      <c r="U35" s="1281"/>
      <c r="V35" s="1281"/>
      <c r="W35" s="1281"/>
      <c r="X35" s="1281"/>
      <c r="Y35" s="1281"/>
      <c r="Z35" s="1336"/>
      <c r="AA35" s="1281"/>
      <c r="AB35" s="1281"/>
      <c r="AC35" s="1281"/>
      <c r="AD35" s="1281"/>
      <c r="AE35" s="1281"/>
      <c r="AF35" s="1564" t="s">
        <v>5050</v>
      </c>
      <c r="AG35" s="1549"/>
      <c r="AH35" s="1281"/>
      <c r="AI35" s="1281"/>
      <c r="AJ35" s="1281"/>
      <c r="AK35" s="1281"/>
      <c r="AL35" s="1550"/>
      <c r="AM35" s="1281"/>
      <c r="AN35" s="1281"/>
      <c r="AO35" s="1281"/>
      <c r="AP35" s="1281"/>
      <c r="AQ35" s="1281"/>
      <c r="AR35" s="1281"/>
      <c r="AS35" s="1549"/>
      <c r="AT35" s="1281"/>
      <c r="AU35" s="1281"/>
      <c r="AV35" s="1281"/>
      <c r="AW35" s="1281"/>
      <c r="AX35" s="1550"/>
      <c r="AY35" s="1549"/>
      <c r="AZ35" s="1281"/>
      <c r="BA35" s="1281"/>
      <c r="BB35" s="1281"/>
      <c r="BC35" s="1281"/>
      <c r="BD35" s="1550"/>
    </row>
    <row r="36" spans="1:56" ht="14.5">
      <c r="A36" s="1591" t="s">
        <v>3577</v>
      </c>
      <c r="B36" s="1592" t="s">
        <v>1294</v>
      </c>
      <c r="C36" s="594"/>
      <c r="D36" s="594"/>
      <c r="I36" s="1298"/>
      <c r="J36" s="1279"/>
      <c r="K36" s="1279"/>
      <c r="L36" s="1279"/>
      <c r="M36" s="1279"/>
      <c r="N36" s="1299"/>
      <c r="U36" s="1298"/>
      <c r="V36" s="1279"/>
      <c r="W36" s="1279"/>
      <c r="X36" s="1279"/>
      <c r="Y36" s="1279"/>
      <c r="Z36" s="1563"/>
      <c r="AG36" s="1310"/>
      <c r="AL36" s="1586"/>
      <c r="AM36" s="1462"/>
      <c r="AN36" s="1462"/>
      <c r="AO36" s="1462"/>
      <c r="AP36" s="1462"/>
      <c r="AQ36" s="1462"/>
      <c r="AR36" s="1462"/>
      <c r="AS36" s="1310"/>
      <c r="AX36" s="1312"/>
      <c r="AY36" s="1310"/>
      <c r="BD36" s="1312"/>
    </row>
    <row r="37" spans="1:56" ht="14.5">
      <c r="A37" s="1587" t="s">
        <v>3831</v>
      </c>
      <c r="B37" s="1588" t="s">
        <v>60</v>
      </c>
      <c r="E37" s="594"/>
      <c r="I37" s="1272"/>
      <c r="N37" s="1275"/>
      <c r="U37" s="1272"/>
      <c r="Z37" s="1275"/>
      <c r="AG37" s="1310"/>
      <c r="AL37" s="1312"/>
      <c r="AS37" s="1310"/>
      <c r="AX37" s="1312"/>
      <c r="AY37" s="1310"/>
      <c r="BD37" s="1312"/>
    </row>
    <row r="38" spans="1:56" ht="14.5">
      <c r="A38" s="1589" t="s">
        <v>3899</v>
      </c>
      <c r="B38" s="1590" t="s">
        <v>5051</v>
      </c>
      <c r="C38" s="1281"/>
      <c r="D38" s="1281"/>
      <c r="E38" s="1281"/>
      <c r="F38" s="1564"/>
      <c r="G38" s="1281"/>
      <c r="H38" s="1281"/>
      <c r="I38" s="1281"/>
      <c r="J38" s="1281"/>
      <c r="K38" s="1281"/>
      <c r="L38" s="1281"/>
      <c r="M38" s="1281"/>
      <c r="N38" s="1281"/>
      <c r="O38" s="1281"/>
      <c r="P38" s="1281"/>
      <c r="Q38" s="1281"/>
      <c r="R38" s="1281"/>
      <c r="S38" s="1281"/>
      <c r="T38" s="1281"/>
      <c r="U38" s="1281"/>
      <c r="V38" s="1281"/>
      <c r="W38" s="1281"/>
      <c r="X38" s="1281"/>
      <c r="Y38" s="1281"/>
      <c r="Z38" s="1336"/>
      <c r="AA38" s="1281"/>
      <c r="AB38" s="1281"/>
      <c r="AC38" s="1281"/>
      <c r="AD38" s="1281"/>
      <c r="AE38" s="1281"/>
      <c r="AF38" s="1281"/>
      <c r="AG38" s="1549"/>
      <c r="AH38" s="1281"/>
      <c r="AI38" s="1281"/>
      <c r="AJ38" s="1281"/>
      <c r="AK38" s="1281"/>
      <c r="AL38" s="1593" t="s">
        <v>5052</v>
      </c>
      <c r="AM38" s="1281"/>
      <c r="AN38" s="1281"/>
      <c r="AO38" s="1281"/>
      <c r="AP38" s="1281"/>
      <c r="AQ38" s="1281"/>
      <c r="AR38" s="1281"/>
      <c r="AS38" s="1549"/>
      <c r="AT38" s="1281"/>
      <c r="AU38" s="1281"/>
      <c r="AV38" s="1281"/>
      <c r="AW38" s="1281"/>
      <c r="AX38" s="1550"/>
      <c r="AY38" s="1549"/>
      <c r="AZ38" s="1281"/>
      <c r="BA38" s="1281"/>
      <c r="BB38" s="1281"/>
      <c r="BC38" s="1281"/>
      <c r="BD38" s="1550"/>
    </row>
    <row r="39" spans="1:56" ht="14.5">
      <c r="A39" s="1591" t="s">
        <v>3577</v>
      </c>
      <c r="B39" s="1592" t="s">
        <v>1294</v>
      </c>
      <c r="C39" s="594"/>
      <c r="D39" s="594"/>
      <c r="I39" s="1298"/>
      <c r="J39" s="1279"/>
      <c r="K39" s="1279"/>
      <c r="L39" s="1279"/>
      <c r="M39" s="1279"/>
      <c r="N39" s="1299"/>
      <c r="U39" s="1298"/>
      <c r="V39" s="1279"/>
      <c r="W39" s="1279"/>
      <c r="X39" s="1279"/>
      <c r="Y39" s="1279"/>
      <c r="Z39" s="1563"/>
      <c r="AG39" s="1310"/>
      <c r="AL39" s="1312"/>
      <c r="AM39" s="1462"/>
      <c r="AN39" s="1462"/>
      <c r="AO39" s="1462"/>
      <c r="AP39" s="1462"/>
      <c r="AQ39" s="1462"/>
      <c r="AR39" s="1462"/>
      <c r="AS39" s="1585"/>
      <c r="AT39" s="1462"/>
      <c r="AU39" s="1462"/>
      <c r="AX39" s="1312"/>
      <c r="AY39" s="1310"/>
      <c r="BD39" s="1312"/>
    </row>
    <row r="40" spans="1:56" ht="14.5">
      <c r="A40" s="1587" t="s">
        <v>3780</v>
      </c>
      <c r="B40" s="1588" t="s">
        <v>60</v>
      </c>
      <c r="E40" s="594"/>
      <c r="I40" s="1272"/>
      <c r="N40" s="1275"/>
      <c r="U40" s="1272"/>
      <c r="Z40" s="1275"/>
      <c r="AG40" s="1310"/>
      <c r="AL40" s="1312"/>
      <c r="AS40" s="1310"/>
      <c r="AX40" s="1312"/>
      <c r="AY40" s="1310"/>
      <c r="BD40" s="1312"/>
    </row>
    <row r="41" spans="1:56" ht="14.5">
      <c r="A41" s="1589" t="s">
        <v>3781</v>
      </c>
      <c r="B41" s="1590" t="s">
        <v>5051</v>
      </c>
      <c r="C41" s="1281"/>
      <c r="D41" s="1281"/>
      <c r="E41" s="1281"/>
      <c r="F41" s="1564"/>
      <c r="G41" s="1281"/>
      <c r="H41" s="1281"/>
      <c r="I41" s="1281"/>
      <c r="J41" s="1281"/>
      <c r="K41" s="1281"/>
      <c r="L41" s="1281"/>
      <c r="M41" s="1281"/>
      <c r="N41" s="1281"/>
      <c r="O41" s="1281"/>
      <c r="P41" s="1281"/>
      <c r="Q41" s="1281"/>
      <c r="R41" s="1281"/>
      <c r="S41" s="1281"/>
      <c r="T41" s="1281"/>
      <c r="U41" s="1281"/>
      <c r="V41" s="1281"/>
      <c r="W41" s="1281"/>
      <c r="X41" s="1281"/>
      <c r="Y41" s="1281"/>
      <c r="Z41" s="1336"/>
      <c r="AA41" s="1281"/>
      <c r="AB41" s="1281"/>
      <c r="AC41" s="1281"/>
      <c r="AD41" s="1281"/>
      <c r="AE41" s="1281"/>
      <c r="AF41" s="1281"/>
      <c r="AG41" s="1549"/>
      <c r="AH41" s="1281"/>
      <c r="AI41" s="1281"/>
      <c r="AJ41" s="1281"/>
      <c r="AK41" s="1281"/>
      <c r="AL41" s="1550"/>
      <c r="AM41" s="1564" t="s">
        <v>5053</v>
      </c>
      <c r="AN41" s="1281"/>
      <c r="AO41" s="1281"/>
      <c r="AP41" s="1281"/>
      <c r="AQ41" s="1281"/>
      <c r="AR41" s="1281"/>
      <c r="AS41" s="1549"/>
      <c r="AT41" s="1281"/>
      <c r="AU41" s="1281"/>
      <c r="AV41" s="1281"/>
      <c r="AW41" s="1281"/>
      <c r="AX41" s="1550"/>
      <c r="AY41" s="1549"/>
      <c r="AZ41" s="1281"/>
      <c r="BA41" s="1281"/>
      <c r="BB41" s="1281"/>
      <c r="BC41" s="1281"/>
      <c r="BD41" s="1550"/>
    </row>
    <row r="42" spans="1:56" ht="14.5">
      <c r="A42" s="1591" t="s">
        <v>3577</v>
      </c>
      <c r="B42" s="1592" t="s">
        <v>1294</v>
      </c>
      <c r="C42" s="594"/>
      <c r="D42" s="594"/>
      <c r="I42" s="1298"/>
      <c r="J42" s="1279"/>
      <c r="K42" s="1279"/>
      <c r="L42" s="1279"/>
      <c r="M42" s="1279"/>
      <c r="N42" s="1299"/>
      <c r="U42" s="1298"/>
      <c r="V42" s="1279"/>
      <c r="W42" s="1279"/>
      <c r="X42" s="1279"/>
      <c r="Y42" s="1279"/>
      <c r="Z42" s="1563"/>
      <c r="AG42" s="1310"/>
      <c r="AL42" s="1312"/>
      <c r="AN42" s="1462"/>
      <c r="AO42" s="1462"/>
      <c r="AP42" s="1462"/>
      <c r="AQ42" s="1462"/>
      <c r="AR42" s="1462"/>
      <c r="AS42" s="1585"/>
      <c r="AT42" s="1462"/>
      <c r="AU42" s="1462"/>
      <c r="AV42" s="1462"/>
      <c r="AX42" s="1312"/>
      <c r="AY42" s="1310"/>
      <c r="BD42" s="1312"/>
    </row>
    <row r="43" spans="1:56" ht="14.5">
      <c r="A43" s="1587" t="s">
        <v>3742</v>
      </c>
      <c r="B43" s="1588" t="s">
        <v>60</v>
      </c>
      <c r="E43" s="594"/>
      <c r="I43" s="1272"/>
      <c r="N43" s="1275"/>
      <c r="U43" s="1272"/>
      <c r="Z43" s="1275"/>
      <c r="AG43" s="1310"/>
      <c r="AL43" s="1312"/>
      <c r="AS43" s="1310"/>
      <c r="AX43" s="1312"/>
      <c r="AY43" s="1310"/>
      <c r="BD43" s="1312"/>
    </row>
    <row r="44" spans="1:56" ht="14.5">
      <c r="A44" s="1589" t="s">
        <v>3897</v>
      </c>
      <c r="B44" s="1590" t="s">
        <v>5054</v>
      </c>
      <c r="C44" s="1281"/>
      <c r="D44" s="1281"/>
      <c r="E44" s="1281"/>
      <c r="F44" s="1564"/>
      <c r="G44" s="1281"/>
      <c r="H44" s="1281"/>
      <c r="I44" s="1281"/>
      <c r="J44" s="1281"/>
      <c r="K44" s="1281"/>
      <c r="L44" s="1281"/>
      <c r="M44" s="1281"/>
      <c r="N44" s="1281"/>
      <c r="O44" s="1281"/>
      <c r="P44" s="1281"/>
      <c r="Q44" s="1281"/>
      <c r="R44" s="1281"/>
      <c r="S44" s="1281"/>
      <c r="T44" s="1281"/>
      <c r="U44" s="1281"/>
      <c r="V44" s="1281"/>
      <c r="W44" s="1281"/>
      <c r="X44" s="1281"/>
      <c r="Y44" s="1281"/>
      <c r="Z44" s="1336"/>
      <c r="AA44" s="1281"/>
      <c r="AB44" s="1281"/>
      <c r="AC44" s="1281"/>
      <c r="AD44" s="1281"/>
      <c r="AE44" s="1281"/>
      <c r="AF44" s="1281"/>
      <c r="AG44" s="1549"/>
      <c r="AH44" s="1281"/>
      <c r="AI44" s="1281"/>
      <c r="AJ44" s="1281"/>
      <c r="AK44" s="1281"/>
      <c r="AL44" s="1550"/>
      <c r="AM44" s="1281"/>
      <c r="AN44" s="1564" t="s">
        <v>5055</v>
      </c>
      <c r="AO44" s="1281"/>
      <c r="AP44" s="1281"/>
      <c r="AQ44" s="1281"/>
      <c r="AR44" s="1281"/>
      <c r="AS44" s="1549"/>
      <c r="AT44" s="1281"/>
      <c r="AU44" s="1281"/>
      <c r="AV44" s="1281"/>
      <c r="AW44" s="1281"/>
      <c r="AX44" s="1550"/>
      <c r="AY44" s="1549"/>
      <c r="AZ44" s="1281"/>
      <c r="BA44" s="1281"/>
      <c r="BB44" s="1281"/>
      <c r="BC44" s="1281"/>
      <c r="BD44" s="1550"/>
    </row>
    <row r="45" spans="1:56" ht="14.5">
      <c r="A45" s="1591" t="s">
        <v>3577</v>
      </c>
      <c r="B45" s="1592" t="s">
        <v>1294</v>
      </c>
      <c r="C45" s="594"/>
      <c r="D45" s="594"/>
      <c r="I45" s="1298"/>
      <c r="J45" s="1279"/>
      <c r="K45" s="1279"/>
      <c r="L45" s="1279"/>
      <c r="M45" s="1279"/>
      <c r="N45" s="1299"/>
      <c r="U45" s="1298"/>
      <c r="V45" s="1279"/>
      <c r="W45" s="1279"/>
      <c r="X45" s="1279"/>
      <c r="Y45" s="1279"/>
      <c r="Z45" s="1563"/>
      <c r="AG45" s="1310"/>
      <c r="AL45" s="1312"/>
      <c r="AN45" s="1462"/>
      <c r="AO45" s="1462"/>
      <c r="AP45" s="1462"/>
      <c r="AQ45" s="1462"/>
      <c r="AR45" s="1462"/>
      <c r="AS45" s="1585"/>
      <c r="AT45" s="1462"/>
      <c r="AU45" s="1462"/>
      <c r="AV45" s="1462"/>
      <c r="AX45" s="1312"/>
      <c r="AY45" s="1310"/>
      <c r="BD45" s="1312"/>
    </row>
    <row r="46" spans="1:56" ht="14.5">
      <c r="A46" s="1587" t="s">
        <v>3826</v>
      </c>
      <c r="B46" s="1588" t="s">
        <v>60</v>
      </c>
      <c r="E46" s="594"/>
      <c r="I46" s="1272"/>
      <c r="N46" s="1275"/>
      <c r="U46" s="1272"/>
      <c r="Z46" s="1275"/>
      <c r="AG46" s="1310"/>
      <c r="AL46" s="1312"/>
      <c r="AS46" s="1310"/>
      <c r="AX46" s="1312"/>
      <c r="AY46" s="1310"/>
      <c r="BD46" s="1312"/>
    </row>
    <row r="47" spans="1:56" ht="14.5">
      <c r="A47" s="1589" t="s">
        <v>5056</v>
      </c>
      <c r="B47" s="1590" t="s">
        <v>5054</v>
      </c>
      <c r="C47" s="1281"/>
      <c r="D47" s="1281"/>
      <c r="E47" s="1281"/>
      <c r="F47" s="1564"/>
      <c r="G47" s="1281"/>
      <c r="H47" s="1281"/>
      <c r="I47" s="1281"/>
      <c r="J47" s="1281"/>
      <c r="K47" s="1281"/>
      <c r="L47" s="1281"/>
      <c r="M47" s="1281"/>
      <c r="N47" s="1281"/>
      <c r="O47" s="1281"/>
      <c r="P47" s="1281"/>
      <c r="Q47" s="1281"/>
      <c r="R47" s="1281"/>
      <c r="S47" s="1281"/>
      <c r="T47" s="1281"/>
      <c r="U47" s="1281"/>
      <c r="V47" s="1281"/>
      <c r="W47" s="1281"/>
      <c r="X47" s="1281"/>
      <c r="Y47" s="1281"/>
      <c r="Z47" s="1336"/>
      <c r="AA47" s="1281"/>
      <c r="AB47" s="1281"/>
      <c r="AC47" s="1281"/>
      <c r="AD47" s="1281"/>
      <c r="AE47" s="1281"/>
      <c r="AF47" s="1281"/>
      <c r="AG47" s="1549"/>
      <c r="AH47" s="1281"/>
      <c r="AI47" s="1281"/>
      <c r="AJ47" s="1281"/>
      <c r="AK47" s="1281"/>
      <c r="AL47" s="1550"/>
      <c r="AM47" s="1281"/>
      <c r="AN47" s="1564" t="s">
        <v>5055</v>
      </c>
      <c r="AO47" s="1281"/>
      <c r="AP47" s="1281"/>
      <c r="AQ47" s="1281"/>
      <c r="AR47" s="1281"/>
      <c r="AS47" s="1549"/>
      <c r="AT47" s="1281"/>
      <c r="AU47" s="1281"/>
      <c r="AV47" s="1281"/>
      <c r="AW47" s="1281"/>
      <c r="AX47" s="1550"/>
      <c r="AY47" s="1549"/>
      <c r="AZ47" s="1281"/>
      <c r="BA47" s="1281"/>
      <c r="BB47" s="1281"/>
      <c r="BC47" s="1281"/>
      <c r="BD47" s="1550"/>
    </row>
    <row r="48" spans="1:56" ht="14.5">
      <c r="A48" s="1591" t="s">
        <v>3577</v>
      </c>
      <c r="B48" s="1592" t="s">
        <v>1294</v>
      </c>
      <c r="C48" s="594"/>
      <c r="D48" s="594"/>
      <c r="I48" s="1298"/>
      <c r="J48" s="1279"/>
      <c r="K48" s="1279"/>
      <c r="L48" s="1279"/>
      <c r="M48" s="1279"/>
      <c r="N48" s="1299"/>
      <c r="U48" s="1298"/>
      <c r="V48" s="1279"/>
      <c r="W48" s="1279"/>
      <c r="X48" s="1279"/>
      <c r="Y48" s="1279"/>
      <c r="Z48" s="1563"/>
      <c r="AG48" s="1310"/>
      <c r="AL48" s="1312"/>
      <c r="AS48" s="1585"/>
      <c r="AT48" s="1462"/>
      <c r="AU48" s="1462"/>
      <c r="AV48" s="1462"/>
      <c r="AW48" s="1462"/>
      <c r="AX48" s="1586"/>
      <c r="AY48" s="1585"/>
      <c r="AZ48" s="1462"/>
      <c r="BA48" s="1462"/>
      <c r="BD48" s="1312"/>
    </row>
    <row r="49" spans="1:56" ht="14.5">
      <c r="A49" s="1587" t="s">
        <v>3828</v>
      </c>
      <c r="B49" s="1588" t="s">
        <v>60</v>
      </c>
      <c r="E49" s="594"/>
      <c r="I49" s="1272"/>
      <c r="N49" s="1275"/>
      <c r="U49" s="1272"/>
      <c r="Z49" s="1275"/>
      <c r="AG49" s="1310"/>
      <c r="AL49" s="1312"/>
      <c r="AS49" s="1310"/>
      <c r="AX49" s="1312"/>
      <c r="AY49" s="1310"/>
      <c r="BD49" s="1312"/>
    </row>
    <row r="50" spans="1:56" ht="14.5">
      <c r="A50" s="1589" t="s">
        <v>3891</v>
      </c>
      <c r="B50" s="1590" t="s">
        <v>5051</v>
      </c>
      <c r="C50" s="1281"/>
      <c r="D50" s="1281"/>
      <c r="E50" s="1281"/>
      <c r="F50" s="1564"/>
      <c r="G50" s="1281"/>
      <c r="H50" s="1281"/>
      <c r="I50" s="1281"/>
      <c r="J50" s="1281"/>
      <c r="K50" s="1281"/>
      <c r="L50" s="1281"/>
      <c r="M50" s="1281"/>
      <c r="N50" s="1281"/>
      <c r="O50" s="1281"/>
      <c r="P50" s="1281"/>
      <c r="Q50" s="1281"/>
      <c r="R50" s="1281"/>
      <c r="S50" s="1281"/>
      <c r="T50" s="1281"/>
      <c r="U50" s="1281"/>
      <c r="V50" s="1281"/>
      <c r="W50" s="1281"/>
      <c r="X50" s="1281"/>
      <c r="Y50" s="1281"/>
      <c r="Z50" s="1336"/>
      <c r="AA50" s="1281"/>
      <c r="AB50" s="1281"/>
      <c r="AC50" s="1281"/>
      <c r="AD50" s="1281"/>
      <c r="AE50" s="1281"/>
      <c r="AF50" s="1281"/>
      <c r="AG50" s="1549"/>
      <c r="AH50" s="1281"/>
      <c r="AI50" s="1281"/>
      <c r="AJ50" s="1281"/>
      <c r="AK50" s="1281"/>
      <c r="AL50" s="1550"/>
      <c r="AM50" s="1281"/>
      <c r="AN50" s="1281"/>
      <c r="AO50" s="1281"/>
      <c r="AP50" s="1281"/>
      <c r="AQ50" s="1281"/>
      <c r="AR50" s="1281"/>
      <c r="AS50" s="1549"/>
      <c r="AT50" s="1564" t="s">
        <v>5057</v>
      </c>
      <c r="AU50" s="1281"/>
      <c r="AV50" s="1281"/>
      <c r="AW50" s="1281"/>
      <c r="AX50" s="1550"/>
      <c r="AY50" s="1549"/>
      <c r="AZ50" s="1281"/>
      <c r="BA50" s="1281"/>
      <c r="BB50" s="1281"/>
      <c r="BC50" s="1281"/>
      <c r="BD50" s="1550"/>
    </row>
    <row r="51" spans="1:56" ht="14.5">
      <c r="A51" s="1591" t="s">
        <v>3577</v>
      </c>
      <c r="B51" s="1592" t="s">
        <v>1294</v>
      </c>
      <c r="C51" s="594"/>
      <c r="D51" s="594"/>
      <c r="I51" s="1298"/>
      <c r="J51" s="1279"/>
      <c r="K51" s="1279"/>
      <c r="L51" s="1279"/>
      <c r="M51" s="1279"/>
      <c r="N51" s="1299"/>
      <c r="U51" s="1298"/>
      <c r="V51" s="1279"/>
      <c r="W51" s="1279"/>
      <c r="X51" s="1279"/>
      <c r="Y51" s="1279"/>
      <c r="Z51" s="1563"/>
      <c r="AG51" s="1310"/>
      <c r="AL51" s="1312"/>
      <c r="AS51" s="1310"/>
      <c r="AX51" s="1312"/>
      <c r="AY51" s="1310"/>
      <c r="AZ51" s="1462"/>
      <c r="BA51" s="1462"/>
      <c r="BB51" s="1462"/>
      <c r="BC51" s="1462"/>
      <c r="BD51" s="1586"/>
    </row>
    <row r="52" spans="1:56" ht="14.5">
      <c r="A52" s="1587" t="s">
        <v>3809</v>
      </c>
      <c r="B52" s="1588" t="s">
        <v>60</v>
      </c>
      <c r="E52" s="594"/>
      <c r="I52" s="1272"/>
      <c r="N52" s="1275"/>
      <c r="U52" s="1272"/>
      <c r="Z52" s="1275"/>
      <c r="AG52" s="1310"/>
      <c r="AL52" s="1312"/>
      <c r="AS52" s="1310"/>
      <c r="AX52" s="1312"/>
      <c r="AY52" s="1310"/>
      <c r="BD52" s="1312"/>
    </row>
    <row r="53" spans="1:56" ht="14.5">
      <c r="A53" s="1589" t="s">
        <v>5058</v>
      </c>
      <c r="B53" s="1590" t="s">
        <v>5054</v>
      </c>
      <c r="C53" s="1281"/>
      <c r="D53" s="1281"/>
      <c r="E53" s="1281"/>
      <c r="F53" s="1564"/>
      <c r="G53" s="1281"/>
      <c r="H53" s="1281"/>
      <c r="I53" s="1281"/>
      <c r="J53" s="1281"/>
      <c r="K53" s="1281"/>
      <c r="L53" s="1281"/>
      <c r="M53" s="1281"/>
      <c r="N53" s="1281"/>
      <c r="O53" s="1281"/>
      <c r="P53" s="1281"/>
      <c r="Q53" s="1281"/>
      <c r="R53" s="1281"/>
      <c r="S53" s="1281"/>
      <c r="T53" s="1281"/>
      <c r="U53" s="1281"/>
      <c r="V53" s="1281"/>
      <c r="W53" s="1281"/>
      <c r="X53" s="1281"/>
      <c r="Y53" s="1281"/>
      <c r="Z53" s="1336"/>
      <c r="AA53" s="1281"/>
      <c r="AB53" s="1281"/>
      <c r="AC53" s="1281"/>
      <c r="AD53" s="1281"/>
      <c r="AE53" s="1281"/>
      <c r="AF53" s="1281"/>
      <c r="AG53" s="1549"/>
      <c r="AH53" s="1281"/>
      <c r="AI53" s="1281"/>
      <c r="AJ53" s="1281"/>
      <c r="AK53" s="1281"/>
      <c r="AL53" s="1550"/>
      <c r="AM53" s="1281"/>
      <c r="AN53" s="1281"/>
      <c r="AO53" s="1281"/>
      <c r="AP53" s="1281"/>
      <c r="AQ53" s="1281"/>
      <c r="AR53" s="1281"/>
      <c r="AS53" s="1549"/>
      <c r="AT53" s="1281"/>
      <c r="AU53" s="1281"/>
      <c r="AV53" s="1281"/>
      <c r="AW53" s="1281"/>
      <c r="AX53" s="1550"/>
      <c r="AY53" s="1549"/>
      <c r="AZ53" s="1281"/>
      <c r="BA53" s="1564" t="s">
        <v>5059</v>
      </c>
      <c r="BB53" s="1281"/>
      <c r="BC53" s="1281"/>
      <c r="BD53" s="1550"/>
    </row>
    <row r="54" spans="1:56" ht="14.5">
      <c r="A54" s="1591"/>
      <c r="B54" s="1594" t="s">
        <v>154</v>
      </c>
      <c r="C54" s="594"/>
      <c r="D54" s="594"/>
      <c r="I54" s="1298"/>
      <c r="J54" s="1279"/>
      <c r="K54" s="1279"/>
      <c r="L54" s="1279"/>
      <c r="M54" s="1279"/>
      <c r="N54" s="1299"/>
      <c r="U54" s="1298"/>
      <c r="V54" s="1279"/>
      <c r="W54" s="1279"/>
      <c r="X54" s="1279"/>
      <c r="Y54" s="1279"/>
      <c r="Z54" s="1563"/>
      <c r="AG54" s="1310"/>
      <c r="AL54" s="1312"/>
      <c r="AS54" s="1310"/>
      <c r="AX54" s="1312"/>
      <c r="AY54" s="1310"/>
      <c r="BD54" s="1312"/>
    </row>
    <row r="55" spans="1:56" ht="14.5">
      <c r="A55" s="1595" t="s">
        <v>350</v>
      </c>
      <c r="B55" s="1588" t="s">
        <v>261</v>
      </c>
      <c r="E55" s="594"/>
      <c r="I55" s="1272"/>
      <c r="N55" s="1275"/>
      <c r="U55" s="1272"/>
      <c r="Z55" s="1275"/>
      <c r="AG55" s="1310"/>
      <c r="AL55" s="1312"/>
      <c r="AS55" s="1310"/>
      <c r="AX55" s="1312"/>
      <c r="AY55" s="1310"/>
      <c r="BD55" s="1312"/>
    </row>
    <row r="56" spans="1:56" ht="14.5">
      <c r="A56" s="1596"/>
      <c r="B56" s="1597"/>
      <c r="C56" s="1281"/>
      <c r="D56" s="1281"/>
      <c r="E56" s="1281"/>
      <c r="F56" s="1564"/>
      <c r="G56" s="1281"/>
      <c r="H56" s="1281"/>
      <c r="I56" s="1281"/>
      <c r="J56" s="1281"/>
      <c r="K56" s="1281"/>
      <c r="L56" s="1281"/>
      <c r="M56" s="1281"/>
      <c r="N56" s="1281"/>
      <c r="O56" s="1281"/>
      <c r="P56" s="1281"/>
      <c r="Q56" s="1281"/>
      <c r="R56" s="1281"/>
      <c r="S56" s="1281"/>
      <c r="T56" s="1281"/>
      <c r="U56" s="1281"/>
      <c r="V56" s="1281"/>
      <c r="W56" s="1281"/>
      <c r="X56" s="1281"/>
      <c r="Y56" s="1281"/>
      <c r="Z56" s="1336"/>
      <c r="AA56" s="1281"/>
      <c r="AB56" s="1281"/>
      <c r="AC56" s="1281"/>
      <c r="AD56" s="1281"/>
      <c r="AE56" s="1281"/>
      <c r="AF56" s="1281"/>
      <c r="AG56" s="1549"/>
      <c r="AH56" s="1281"/>
      <c r="AI56" s="1281"/>
      <c r="AJ56" s="1281"/>
      <c r="AK56" s="1281"/>
      <c r="AL56" s="1550"/>
      <c r="AM56" s="1281"/>
      <c r="AN56" s="1281"/>
      <c r="AO56" s="1281"/>
      <c r="AP56" s="1281"/>
      <c r="AQ56" s="1281"/>
      <c r="AR56" s="1281"/>
      <c r="AS56" s="1549"/>
      <c r="AT56" s="1281"/>
      <c r="AU56" s="1281"/>
      <c r="AV56" s="1281"/>
      <c r="AW56" s="1281"/>
      <c r="AX56" s="1550"/>
      <c r="AY56" s="1549"/>
      <c r="AZ56" s="1281"/>
      <c r="BA56" s="1281"/>
      <c r="BB56" s="1281"/>
      <c r="BC56" s="1281"/>
      <c r="BD56" s="1550"/>
    </row>
    <row r="57" spans="1:56" ht="14.5">
      <c r="A57" s="1591" t="s">
        <v>5060</v>
      </c>
      <c r="B57" s="1592"/>
      <c r="C57" s="594"/>
      <c r="D57" s="594"/>
      <c r="I57" s="1298"/>
      <c r="J57" s="1279"/>
      <c r="K57" s="1279"/>
      <c r="L57" s="1279"/>
      <c r="M57" s="1279"/>
      <c r="N57" s="1299"/>
      <c r="U57" s="1298"/>
      <c r="V57" s="1279"/>
      <c r="W57" s="1279"/>
      <c r="X57" s="1279"/>
      <c r="Y57" s="1279"/>
      <c r="Z57" s="1563"/>
      <c r="AG57" s="1310"/>
      <c r="AL57" s="1312"/>
      <c r="AS57" s="1310"/>
      <c r="AX57" s="1312"/>
      <c r="AY57" s="1310"/>
      <c r="BD57" s="1312"/>
    </row>
    <row r="58" spans="1:56" ht="14.5">
      <c r="A58" s="1595" t="s">
        <v>5061</v>
      </c>
      <c r="B58" s="1588" t="s">
        <v>60</v>
      </c>
      <c r="E58" s="594"/>
      <c r="I58" s="1272"/>
      <c r="N58" s="1275"/>
      <c r="U58" s="1272"/>
      <c r="Z58" s="1275"/>
      <c r="AG58" s="1310"/>
      <c r="AL58" s="1312"/>
      <c r="AS58" s="1310"/>
      <c r="AX58" s="1312"/>
      <c r="AY58" s="1310"/>
      <c r="BD58" s="1312"/>
    </row>
    <row r="59" spans="1:56" ht="14.5">
      <c r="A59" s="1596"/>
      <c r="B59" s="1597"/>
      <c r="C59" s="1281"/>
      <c r="D59" s="1281"/>
      <c r="E59" s="1281"/>
      <c r="F59" s="1564"/>
      <c r="G59" s="1281"/>
      <c r="H59" s="1281"/>
      <c r="I59" s="1281"/>
      <c r="J59" s="1281"/>
      <c r="K59" s="1281"/>
      <c r="L59" s="1281"/>
      <c r="M59" s="1281"/>
      <c r="N59" s="1281"/>
      <c r="O59" s="1281"/>
      <c r="P59" s="1281"/>
      <c r="Q59" s="1281"/>
      <c r="R59" s="1281"/>
      <c r="S59" s="1281"/>
      <c r="T59" s="1281"/>
      <c r="U59" s="1281"/>
      <c r="V59" s="1281"/>
      <c r="W59" s="1281"/>
      <c r="X59" s="1281"/>
      <c r="Y59" s="1281"/>
      <c r="Z59" s="1336"/>
      <c r="AA59" s="1281"/>
      <c r="AB59" s="1281"/>
      <c r="AC59" s="1281"/>
      <c r="AD59" s="1281"/>
      <c r="AE59" s="1281"/>
      <c r="AF59" s="1281"/>
      <c r="AG59" s="1549"/>
      <c r="AH59" s="1281"/>
      <c r="AI59" s="1281"/>
      <c r="AJ59" s="1281"/>
      <c r="AK59" s="1281"/>
      <c r="AL59" s="1550"/>
      <c r="AM59" s="1281"/>
      <c r="AN59" s="1281"/>
      <c r="AO59" s="1281"/>
      <c r="AP59" s="1281"/>
      <c r="AQ59" s="1281"/>
      <c r="AR59" s="1281"/>
      <c r="AS59" s="1549"/>
      <c r="AT59" s="1281"/>
      <c r="AU59" s="1281"/>
      <c r="AV59" s="1281"/>
      <c r="AW59" s="1281"/>
      <c r="AX59" s="1550"/>
      <c r="AY59" s="1549"/>
      <c r="AZ59" s="1281"/>
      <c r="BA59" s="1281"/>
      <c r="BB59" s="1281"/>
      <c r="BC59" s="1281"/>
      <c r="BD59" s="1550"/>
    </row>
    <row r="60" spans="1:56" ht="14.5">
      <c r="A60" s="1591"/>
      <c r="B60" s="1592"/>
      <c r="C60" s="594"/>
      <c r="D60" s="594"/>
      <c r="I60" s="1298"/>
      <c r="J60" s="1279"/>
      <c r="K60" s="1279"/>
      <c r="L60" s="1279"/>
      <c r="M60" s="1279"/>
      <c r="N60" s="1299"/>
      <c r="U60" s="1298"/>
      <c r="V60" s="1279"/>
      <c r="W60" s="1279"/>
      <c r="X60" s="1279"/>
      <c r="Y60" s="1279"/>
      <c r="Z60" s="1563"/>
      <c r="AG60" s="1310"/>
      <c r="AL60" s="1312"/>
      <c r="AS60" s="1310"/>
      <c r="AX60" s="1312"/>
      <c r="AY60" s="1310"/>
      <c r="BD60" s="1312"/>
    </row>
    <row r="61" spans="1:56" ht="14.5">
      <c r="A61" s="1595"/>
      <c r="B61" s="1588"/>
      <c r="E61" s="594"/>
      <c r="I61" s="1272"/>
      <c r="N61" s="1275"/>
      <c r="U61" s="1272"/>
      <c r="Z61" s="1275"/>
      <c r="AG61" s="1310"/>
      <c r="AL61" s="1312"/>
      <c r="AS61" s="1310"/>
      <c r="AX61" s="1312"/>
      <c r="AY61" s="1310"/>
      <c r="BD61" s="1312"/>
    </row>
    <row r="62" spans="1:56" ht="14.5">
      <c r="A62" s="1598"/>
      <c r="B62" s="1599"/>
      <c r="C62" s="1281"/>
      <c r="D62" s="1281"/>
      <c r="E62" s="1281"/>
      <c r="F62" s="1564"/>
      <c r="G62" s="1281"/>
      <c r="H62" s="1281"/>
      <c r="I62" s="1281"/>
      <c r="J62" s="1281"/>
      <c r="K62" s="1281"/>
      <c r="L62" s="1281"/>
      <c r="M62" s="1281"/>
      <c r="N62" s="1281"/>
      <c r="O62" s="1281"/>
      <c r="P62" s="1281"/>
      <c r="Q62" s="1281"/>
      <c r="R62" s="1281"/>
      <c r="S62" s="1281"/>
      <c r="T62" s="1281"/>
      <c r="U62" s="1281"/>
      <c r="V62" s="1281"/>
      <c r="W62" s="1281"/>
      <c r="X62" s="1281"/>
      <c r="Y62" s="1281"/>
      <c r="Z62" s="1336"/>
      <c r="AA62" s="1281"/>
      <c r="AB62" s="1281"/>
      <c r="AC62" s="1281"/>
      <c r="AD62" s="1281"/>
      <c r="AE62" s="1281"/>
      <c r="AF62" s="1281"/>
      <c r="AG62" s="1321"/>
      <c r="AH62" s="1600"/>
      <c r="AI62" s="1600"/>
      <c r="AJ62" s="1600"/>
      <c r="AK62" s="1600"/>
      <c r="AL62" s="1324"/>
      <c r="AM62" s="1281"/>
      <c r="AN62" s="1281"/>
      <c r="AO62" s="1281"/>
      <c r="AP62" s="1281"/>
      <c r="AQ62" s="1281"/>
      <c r="AR62" s="1281"/>
      <c r="AS62" s="1321"/>
      <c r="AT62" s="1600"/>
      <c r="AU62" s="1600"/>
      <c r="AV62" s="1600"/>
      <c r="AW62" s="1600"/>
      <c r="AX62" s="1324"/>
      <c r="AY62" s="1321"/>
      <c r="AZ62" s="1600"/>
      <c r="BA62" s="1600"/>
      <c r="BB62" s="1600"/>
      <c r="BC62" s="1600"/>
      <c r="BD62" s="1324"/>
    </row>
    <row r="63" spans="1:56" ht="14.5">
      <c r="A63" s="1591"/>
      <c r="B63" s="1592"/>
      <c r="C63" s="594"/>
      <c r="D63" s="594"/>
      <c r="I63" s="1298"/>
      <c r="J63" s="1279"/>
      <c r="K63" s="1279"/>
      <c r="L63" s="1279"/>
      <c r="M63" s="1279"/>
      <c r="N63" s="1299"/>
      <c r="U63" s="1298"/>
      <c r="V63" s="1279"/>
      <c r="W63" s="1279"/>
      <c r="X63" s="1279"/>
      <c r="Y63" s="1279"/>
      <c r="Z63" s="1563"/>
      <c r="AG63" s="1310"/>
      <c r="AL63" s="1312"/>
      <c r="AS63" s="1310"/>
      <c r="AX63" s="1312"/>
      <c r="AY63" s="1310"/>
      <c r="BD63" s="1312"/>
    </row>
    <row r="64" spans="1:56" ht="14.5">
      <c r="A64" s="1595"/>
      <c r="B64" s="1588"/>
      <c r="E64" s="594"/>
      <c r="I64" s="1272"/>
      <c r="N64" s="1275"/>
      <c r="U64" s="1272"/>
      <c r="Z64" s="1275"/>
      <c r="AG64" s="1310"/>
      <c r="AL64" s="1312"/>
      <c r="AS64" s="1310"/>
      <c r="AX64" s="1312"/>
      <c r="AY64" s="1310"/>
      <c r="BD64" s="1312"/>
    </row>
    <row r="65" spans="1:56" ht="14.5">
      <c r="A65" s="1598"/>
      <c r="B65" s="1599"/>
      <c r="C65" s="1281"/>
      <c r="D65" s="1281"/>
      <c r="E65" s="1281"/>
      <c r="F65" s="1564"/>
      <c r="G65" s="1281"/>
      <c r="H65" s="1281"/>
      <c r="I65" s="1281"/>
      <c r="J65" s="1281"/>
      <c r="K65" s="1281"/>
      <c r="L65" s="1281"/>
      <c r="M65" s="1281"/>
      <c r="N65" s="1281"/>
      <c r="O65" s="1281"/>
      <c r="P65" s="1281"/>
      <c r="Q65" s="1281"/>
      <c r="R65" s="1281"/>
      <c r="S65" s="1281"/>
      <c r="T65" s="1281"/>
      <c r="U65" s="1281"/>
      <c r="V65" s="1281"/>
      <c r="W65" s="1281"/>
      <c r="X65" s="1281"/>
      <c r="Y65" s="1281"/>
      <c r="Z65" s="1336"/>
      <c r="AA65" s="1281"/>
      <c r="AB65" s="1281"/>
      <c r="AC65" s="1281"/>
      <c r="AD65" s="1281"/>
      <c r="AE65" s="1281"/>
      <c r="AF65" s="1281"/>
      <c r="AG65" s="1321"/>
      <c r="AH65" s="1600"/>
      <c r="AI65" s="1600"/>
      <c r="AJ65" s="1600"/>
      <c r="AK65" s="1600"/>
      <c r="AL65" s="1324"/>
      <c r="AM65" s="1281"/>
      <c r="AN65" s="1281"/>
      <c r="AO65" s="1281"/>
      <c r="AP65" s="1281"/>
      <c r="AQ65" s="1281"/>
      <c r="AR65" s="1281"/>
      <c r="AS65" s="1321"/>
      <c r="AT65" s="1600"/>
      <c r="AU65" s="1600"/>
      <c r="AV65" s="1600"/>
      <c r="AW65" s="1600"/>
      <c r="AX65" s="1324"/>
      <c r="AY65" s="1321"/>
      <c r="AZ65" s="1600"/>
      <c r="BA65" s="1600"/>
      <c r="BB65" s="1600"/>
      <c r="BC65" s="1600"/>
      <c r="BD65" s="1324"/>
    </row>
  </sheetData>
  <mergeCells count="9">
    <mergeCell ref="AS1:AX1"/>
    <mergeCell ref="AY1:BD1"/>
    <mergeCell ref="C1:H1"/>
    <mergeCell ref="I1:N1"/>
    <mergeCell ref="O1:T1"/>
    <mergeCell ref="U1:Z1"/>
    <mergeCell ref="AA1:AF1"/>
    <mergeCell ref="AG1:AL1"/>
    <mergeCell ref="AM1:AR1"/>
  </mergeCells>
  <phoneticPr fontId="135"/>
  <dataValidations count="3">
    <dataValidation type="list" allowBlank="1" sqref="B3 B6 B9 B12 B15 B18 B21 B24 B27 B30 B33 B36 B39 B42 B45 B48 B51 B54 B57 B60 B63" xr:uid="{00000000-0002-0000-1A00-000000000000}">
      <formula1>"',退職,一時帰国,給料,入社,引越,育児休暇,未定"</formula1>
    </dataValidation>
    <dataValidation type="list" allowBlank="1" showErrorMessage="1" sqref="A3 A6 A9 A12 A15 A18 A21 A24 A27 A30 A33 A36 A39 A42 A45 A48 A51 A54 A57 A60 A63" xr:uid="{00000000-0002-0000-1A00-000001000000}">
      <formula1>"’,小栗,津吉"</formula1>
    </dataValidation>
    <dataValidation type="list" allowBlank="1" showErrorMessage="1" sqref="B4 B7 B10 B13 B16 B19 B22 B25 B28 B31 B34 B37 B40 B43 B46 B49 B52 B55 B58 B61 B64" xr:uid="{00000000-0002-0000-1A00-000002000000}">
      <formula1>"女,男"</formula1>
    </dataValidation>
  </dataValidations>
  <printOptions horizontalCentered="1" gridLines="1"/>
  <pageMargins left="0.25" right="0.25" top="0.75" bottom="0.75" header="0" footer="0"/>
  <pageSetup paperSize="8"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27</vt:i4>
      </vt:variant>
    </vt:vector>
  </HeadingPairs>
  <TitlesOfParts>
    <vt:vector size="27" baseType="lpstr">
      <vt:lpstr>管理表</vt:lpstr>
      <vt:lpstr>履歴</vt:lpstr>
      <vt:lpstr>集計</vt:lpstr>
      <vt:lpstr>入社予定</vt:lpstr>
      <vt:lpstr>リーダー・副</vt:lpstr>
      <vt:lpstr>帰国・退職予定</vt:lpstr>
      <vt:lpstr>連絡事項</vt:lpstr>
      <vt:lpstr>本社</vt:lpstr>
      <vt:lpstr>津吉</vt:lpstr>
      <vt:lpstr>小栗部屋(アトム)</vt:lpstr>
      <vt:lpstr>津吉部屋(コーポ津吉)</vt:lpstr>
      <vt:lpstr>津吉部屋(ビレッジ)</vt:lpstr>
      <vt:lpstr>中野①</vt:lpstr>
      <vt:lpstr>中野②</vt:lpstr>
      <vt:lpstr>中野③</vt:lpstr>
      <vt:lpstr>牛渕170-3</vt:lpstr>
      <vt:lpstr>牛渕123-1</vt:lpstr>
      <vt:lpstr>西条寮</vt:lpstr>
      <vt:lpstr>待機自転車</vt:lpstr>
      <vt:lpstr>H&amp;Cビレッジ</vt:lpstr>
      <vt:lpstr>推移表</vt:lpstr>
      <vt:lpstr>推移表２</vt:lpstr>
      <vt:lpstr>資格管理表</vt:lpstr>
      <vt:lpstr>購入明細</vt:lpstr>
      <vt:lpstr>３６協定</vt:lpstr>
      <vt:lpstr>連絡網</vt:lpstr>
      <vt:lpstr>スケジュール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 中温</cp:lastModifiedBy>
  <dcterms:modified xsi:type="dcterms:W3CDTF">2026-04-21T01:09:28Z</dcterms:modified>
</cp:coreProperties>
</file>